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ED DEALS" sheetId="1" state="visible" r:id="rId3"/>
    <sheet name="FUNDED DEALS 2027" sheetId="2" state="visible" r:id="rId4"/>
    <sheet name="DASHBOARD" sheetId="3" state="visible" r:id="rId5"/>
    <sheet name="REP COMMISSION" sheetId="4" state="visible" r:id="rId6"/>
    <sheet name="REP MONTHLY" sheetId="5" state="visible" r:id="rId7"/>
    <sheet name="DEAL TRACKER" sheetId="6" state="visible" r:id="rId8"/>
    <sheet name="SETTINGS" sheetId="7" state="visible" r:id="rId9"/>
    <sheet name="REPS" sheetId="8" state="visible" r:id="rId10"/>
    <sheet name="PARTNE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AUTO: LOC/consolidation/reverse parents self-fill their own ID. For DRAW/DISBURSEMENT rows type the parent deal ID over the formula.</t>
        </r>
      </text>
    </comment>
    <comment ref="I2" authorId="0">
      <text>
        <r>
          <rPr>
            <sz val="10"/>
            <rFont val="Arial"/>
            <family val="2"/>
          </rPr>
          <t xml:space="preserve">BUSINESS DAYS (M-F). Weekly = weeks x 5. Monthly products: enter # of MONTHS.</t>
        </r>
      </text>
    </comment>
    <comment ref="M2" authorId="0">
      <text>
        <r>
          <rPr>
            <sz val="10"/>
            <rFont val="Arial"/>
            <family val="2"/>
          </rPr>
          <t xml:space="preserve">Type EITHER a percent (12 or 0.12) OR a flat dollar amount (e.g. 2500). Over 100 = dollars.</t>
        </r>
      </text>
    </comment>
    <comment ref="AE2" authorId="0">
      <text>
        <r>
          <rPr>
            <sz val="10"/>
            <rFont val="Arial"/>
            <family val="2"/>
          </rPr>
          <t xml:space="preserve">Deal defaulted? Expand group (+), enter GROSS comm $ clawed back, set status "Clawed Back".</t>
        </r>
      </text>
    </comment>
    <comment ref="AM2" authorId="0">
      <text>
        <r>
          <rPr>
            <sz val="10"/>
            <rFont val="Arial"/>
            <family val="2"/>
          </rPr>
          <t xml:space="preserve">AUTO: "Waiting for payment" once dated. Pick real status from dropdown when it changes.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AUTO: LOC/consolidation/reverse parents self-fill their own ID. For DRAW/DISBURSEMENT rows type the parent deal ID over the formula.</t>
        </r>
      </text>
    </comment>
    <comment ref="I2" authorId="0">
      <text>
        <r>
          <rPr>
            <sz val="10"/>
            <rFont val="Arial"/>
            <family val="2"/>
          </rPr>
          <t xml:space="preserve">BUSINESS DAYS (M-F). Weekly = weeks x 5. Monthly products: enter # of MONTHS.</t>
        </r>
      </text>
    </comment>
    <comment ref="M2" authorId="0">
      <text>
        <r>
          <rPr>
            <sz val="10"/>
            <rFont val="Arial"/>
            <family val="2"/>
          </rPr>
          <t xml:space="preserve">Type EITHER a percent (12 or 0.12) OR a flat dollar amount (e.g. 2500). Over 100 = dollars.</t>
        </r>
      </text>
    </comment>
    <comment ref="AE2" authorId="0">
      <text>
        <r>
          <rPr>
            <sz val="10"/>
            <rFont val="Arial"/>
            <family val="2"/>
          </rPr>
          <t xml:space="preserve">Deal defaulted? Expand group (+), enter GROSS comm $ clawed back, set status "Clawed Back".</t>
        </r>
      </text>
    </comment>
    <comment ref="AM2" authorId="0">
      <text>
        <r>
          <rPr>
            <sz val="10"/>
            <rFont val="Arial"/>
            <family val="2"/>
          </rPr>
          <t xml:space="preserve">AUTO: "Waiting for payment" once dated. Pick real status from dropdown when it changes.</t>
        </r>
      </text>
    </comment>
  </commentList>
</comments>
</file>

<file path=xl/sharedStrings.xml><?xml version="1.0" encoding="utf-8"?>
<sst xmlns="http://schemas.openxmlformats.org/spreadsheetml/2006/main" count="422" uniqueCount="261">
  <si>
    <t xml:space="preserve">2026 GRAND TOTAL</t>
  </si>
  <si>
    <t xml:space="preserve">Deal ID</t>
  </si>
  <si>
    <t xml:space="preserve">Parent Deal</t>
  </si>
  <si>
    <t xml:space="preserve">Date</t>
  </si>
  <si>
    <t xml:space="preserve">Business Name</t>
  </si>
  <si>
    <t xml:space="preserve">Lender</t>
  </si>
  <si>
    <t xml:space="preserve">Product</t>
  </si>
  <si>
    <t xml:space="preserve">Funded / Draw Amount ($)</t>
  </si>
  <si>
    <t xml:space="preserve">Factor Rate</t>
  </si>
  <si>
    <t xml:space="preserve">Term (bus. days)</t>
  </si>
  <si>
    <t xml:space="preserve">Payback ($)</t>
  </si>
  <si>
    <t xml:space="preserve">Frequency</t>
  </si>
  <si>
    <t xml:space="preserve">Comm %</t>
  </si>
  <si>
    <t xml:space="preserve">PSF (% or $)</t>
  </si>
  <si>
    <t xml:space="preserve">PSF $ (auto)</t>
  </si>
  <si>
    <t xml:space="preserve">Gross Commission ($)</t>
  </si>
  <si>
    <t xml:space="preserve">Referral Partner</t>
  </si>
  <si>
    <t xml:space="preserve">Referral %</t>
  </si>
  <si>
    <t xml:space="preserve">Referral Fee ($)</t>
  </si>
  <si>
    <t xml:space="preserve">Net Comm After Referral ($)</t>
  </si>
  <si>
    <t xml:space="preserve">Opener</t>
  </si>
  <si>
    <t xml:space="preserve">Opener %</t>
  </si>
  <si>
    <t xml:space="preserve">Opener $</t>
  </si>
  <si>
    <t xml:space="preserve">Closer</t>
  </si>
  <si>
    <t xml:space="preserve">Closer %</t>
  </si>
  <si>
    <t xml:space="preserve">Closer $</t>
  </si>
  <si>
    <t xml:space="preserve">Override Rep</t>
  </si>
  <si>
    <t xml:space="preserve">Override %</t>
  </si>
  <si>
    <t xml:space="preserve">Override $</t>
  </si>
  <si>
    <t xml:space="preserve">Total Rep Payout ($)</t>
  </si>
  <si>
    <t xml:space="preserve">HOUSE NET ($)</t>
  </si>
  <si>
    <t xml:space="preserve">Clawback $</t>
  </si>
  <si>
    <t xml:space="preserve">Clawback Date</t>
  </si>
  <si>
    <t xml:space="preserve">Opener CB $</t>
  </si>
  <si>
    <t xml:space="preserve">Closer CB $</t>
  </si>
  <si>
    <t xml:space="preserve">Override CB $</t>
  </si>
  <si>
    <t xml:space="preserve">Rep Clawback $</t>
  </si>
  <si>
    <t xml:space="preserve">House Clawback $</t>
  </si>
  <si>
    <t xml:space="preserve">House Net After Clawback ($)</t>
  </si>
  <si>
    <t xml:space="preserve">Commission Status</t>
  </si>
  <si>
    <t xml:space="preserve">Lender Paid Date</t>
  </si>
  <si>
    <t xml:space="preserve">Rep Paid Date</t>
  </si>
  <si>
    <t xml:space="preserve">Est. Renewal (40% in)</t>
  </si>
  <si>
    <t xml:space="preserve">Deal Status</t>
  </si>
  <si>
    <t xml:space="preserve">Maturity Date</t>
  </si>
  <si>
    <t xml:space="preserve">Notes</t>
  </si>
  <si>
    <t xml:space="preserve">CB Risk</t>
  </si>
  <si>
    <t xml:space="preserve">Lead Source</t>
  </si>
  <si>
    <t xml:space="preserve">▼  APRIL 2026</t>
  </si>
  <si>
    <t xml:space="preserve">APRIL TOTAL</t>
  </si>
  <si>
    <t xml:space="preserve">▼  MAY 2026</t>
  </si>
  <si>
    <t xml:space="preserve">MAY TOTAL</t>
  </si>
  <si>
    <t xml:space="preserve">▼  JUNE 2026</t>
  </si>
  <si>
    <t xml:space="preserve">JUNE TOTAL</t>
  </si>
  <si>
    <t xml:space="preserve">▼  JULY 2026</t>
  </si>
  <si>
    <t xml:space="preserve">JULY TOTAL</t>
  </si>
  <si>
    <t xml:space="preserve">▼  AUGUST 2026</t>
  </si>
  <si>
    <t xml:space="preserve">AUGUST TOTAL</t>
  </si>
  <si>
    <t xml:space="preserve">▼  SEPTEMBER 2026</t>
  </si>
  <si>
    <t xml:space="preserve">SEPTEMBER TOTAL</t>
  </si>
  <si>
    <t xml:space="preserve">▼  OCTOBER 2026</t>
  </si>
  <si>
    <t xml:space="preserve">OCTOBER TOTAL</t>
  </si>
  <si>
    <t xml:space="preserve">▼  NOVEMBER 2026</t>
  </si>
  <si>
    <t xml:space="preserve">NOVEMBER TOTAL</t>
  </si>
  <si>
    <t xml:space="preserve">▼  DECEMBER 2026</t>
  </si>
  <si>
    <t xml:space="preserve">DECEMBER TOTAL</t>
  </si>
  <si>
    <t xml:space="preserve">2027 GRAND TOTAL</t>
  </si>
  <si>
    <t xml:space="preserve">▼  JANUARY 2027</t>
  </si>
  <si>
    <t xml:space="preserve">JANUARY TOTAL</t>
  </si>
  <si>
    <t xml:space="preserve">▼  FEBRUARY 2027</t>
  </si>
  <si>
    <t xml:space="preserve">FEBRUARY TOTAL</t>
  </si>
  <si>
    <t xml:space="preserve">▼  MARCH 2027</t>
  </si>
  <si>
    <t xml:space="preserve">MARCH TOTAL</t>
  </si>
  <si>
    <t xml:space="preserve">▼  APRIL 2027</t>
  </si>
  <si>
    <t xml:space="preserve">▼  MAY 2027</t>
  </si>
  <si>
    <t xml:space="preserve">▼  JUNE 2027</t>
  </si>
  <si>
    <t xml:space="preserve">▼  JULY 2027</t>
  </si>
  <si>
    <t xml:space="preserve">▼  AUGUST 2027</t>
  </si>
  <si>
    <t xml:space="preserve">▼  SEPTEMBER 2027</t>
  </si>
  <si>
    <t xml:space="preserve">▼  OCTOBER 2027</t>
  </si>
  <si>
    <t xml:space="preserve">▼  NOVEMBER 2027</t>
  </si>
  <si>
    <t xml:space="preserve">▼  DECEMBER 2027</t>
  </si>
  <si>
    <t xml:space="preserve">GREYSTONE FUNDING DASHBOARD</t>
  </si>
  <si>
    <t xml:space="preserve">Live across FUNDED DEALS 2026 + 2027</t>
  </si>
  <si>
    <t xml:space="preserve">TOTAL FUNDED</t>
  </si>
  <si>
    <t xml:space="preserve">GROSS COMMISSION</t>
  </si>
  <si>
    <t xml:space="preserve">HOUSE NET</t>
  </si>
  <si>
    <t xml:space="preserve">COMM OUTSTANDING</t>
  </si>
  <si>
    <t xml:space="preserve">REP EARNINGS</t>
  </si>
  <si>
    <t xml:space="preserve">BY PRODUCT</t>
  </si>
  <si>
    <t xml:space="preserve">Rep</t>
  </si>
  <si>
    <t xml:space="preserve">Total $</t>
  </si>
  <si>
    <t xml:space="preserve">Deals</t>
  </si>
  <si>
    <t xml:space="preserve">Funded $</t>
  </si>
  <si>
    <t xml:space="preserve">Gross $</t>
  </si>
  <si>
    <t xml:space="preserve">House Net $</t>
  </si>
  <si>
    <t xml:space="preserve">BY LENDER</t>
  </si>
  <si>
    <t xml:space="preserve">Comm Outstanding $</t>
  </si>
  <si>
    <t xml:space="preserve">TOTAL</t>
  </si>
  <si>
    <t xml:space="preserve">CLAWBACKS</t>
  </si>
  <si>
    <t xml:space="preserve">Total Clawed Back (gross)</t>
  </si>
  <si>
    <t xml:space="preserve">Reps' Share</t>
  </si>
  <si>
    <t xml:space="preserve">House Share</t>
  </si>
  <si>
    <t xml:space="preserve">House Net Outstanding</t>
  </si>
  <si>
    <t xml:space="preserve">REFERRAL CAP</t>
  </si>
  <si>
    <t xml:space="preserve">Referral Cap Savings (house keeps)</t>
  </si>
  <si>
    <t xml:space="preserve">House Net incl. Cap Savings</t>
  </si>
  <si>
    <t xml:space="preserve">REP COMMISSION</t>
  </si>
  <si>
    <t xml:space="preserve">Filter by rep:</t>
  </si>
  <si>
    <t xml:space="preserve">OPENER $</t>
  </si>
  <si>
    <t xml:space="preserve">CLOSER $</t>
  </si>
  <si>
    <t xml:space="preserve">TOTAL EARNED</t>
  </si>
  <si>
    <t xml:space="preserve">TOTAL PAID</t>
  </si>
  <si>
    <t xml:space="preserve">OUTSTANDING</t>
  </si>
  <si>
    <t xml:space="preserve">Blank filter = companywide.</t>
  </si>
  <si>
    <t xml:space="preserve">Closer-only rep? Opener $ shows 0.</t>
  </si>
  <si>
    <t xml:space="preserve">MONTHLY BREAKDOWN</t>
  </si>
  <si>
    <t xml:space="preserve">Month</t>
  </si>
  <si>
    <t xml:space="preserve">Total Earned $</t>
  </si>
  <si>
    <t xml:space="preserve">Paid $</t>
  </si>
  <si>
    <t xml:space="preserve">Outstanding $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</si>
  <si>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</si>
  <si>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</si>
  <si>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</si>
  <si>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</si>
  <si>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</si>
  <si>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</si>
  <si>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</si>
  <si>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</si>
  <si>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</si>
  <si>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</si>
  <si>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</si>
  <si>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</si>
  <si>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</si>
  <si>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</si>
  <si>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</si>
  <si>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</si>
  <si>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</si>
  <si>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</si>
  <si>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</si>
  <si>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</si>
  <si>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</si>
  <si>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PAYMENT LOG  (a deal logs here once its Rep Paid Date is entered)</t>
  </si>
  <si>
    <t xml:space="preserve">Date Funded</t>
  </si>
  <si>
    <t xml:space="preserve">Business</t>
  </si>
  <si>
    <t xml:space="preserve">Total Paid $</t>
  </si>
  <si>
    <t xml:space="preserve">Date Paid</t>
  </si>
  <si>
    <t xml:space="preserve">TOTAL LOGGED PAYMENTS</t>
  </si>
  <si>
    <t xml:space="preserve">REP EARNINGS BY MONTH</t>
  </si>
  <si>
    <t xml:space="preserve">DEAL TRACKER — LOC &amp; CONSOLIDATION ROLL-UPS</t>
  </si>
  <si>
    <t xml:space="preserve">AUTO-LISTS every LOC / consolidation / reverse deal (both years). Overtype an ID to inspect a specific deal.</t>
  </si>
  <si>
    <t xml:space="preserve"># Draws</t>
  </si>
  <si>
    <t xml:space="preserve">Total Funded + Drawn $</t>
  </si>
  <si>
    <t xml:space="preserve">Total Gross Comm $</t>
  </si>
  <si>
    <t xml:space="preserve">Total Rep Payout $</t>
  </si>
  <si>
    <t xml:space="preserve">Total House Net $</t>
  </si>
  <si>
    <t xml:space="preserve">Comm Collected $</t>
  </si>
  <si>
    <t xml:space="preserve">Net After CB $</t>
  </si>
  <si>
    <t xml:space="preserve">COMPANY / BRAND</t>
  </si>
  <si>
    <t xml:space="preserve">PRODUCT</t>
  </si>
  <si>
    <t xml:space="preserve">FREQUENCY</t>
  </si>
  <si>
    <t xml:space="preserve">COMMISSION STATUS</t>
  </si>
  <si>
    <t xml:space="preserve">LENDERS</t>
  </si>
  <si>
    <t xml:space="preserve">DEAL STATUS</t>
  </si>
  <si>
    <t xml:space="preserve">CLAWBACK WINDOW (days)</t>
  </si>
  <si>
    <t xml:space="preserve">GREYSTONE</t>
  </si>
  <si>
    <t xml:space="preserve">MCA</t>
  </si>
  <si>
    <t xml:space="preserve">Daily</t>
  </si>
  <si>
    <t xml:space="preserve">Waiting for payment</t>
  </si>
  <si>
    <t xml:space="preserve">MBC</t>
  </si>
  <si>
    <t xml:space="preserve">Performing</t>
  </si>
  <si>
    <t xml:space="preserve">LOC - INITIAL</t>
  </si>
  <si>
    <t xml:space="preserve">Weekly</t>
  </si>
  <si>
    <t xml:space="preserve">Invoice Sent</t>
  </si>
  <si>
    <t xml:space="preserve">ACE FUNDING</t>
  </si>
  <si>
    <t xml:space="preserve">Prospecting</t>
  </si>
  <si>
    <t xml:space="preserve">Calendar days deals stay AT RISK after funding</t>
  </si>
  <si>
    <t xml:space="preserve">LOC DRAW</t>
  </si>
  <si>
    <t xml:space="preserve">Bi-Weekly</t>
  </si>
  <si>
    <t xml:space="preserve">Partially Paid</t>
  </si>
  <si>
    <t xml:space="preserve">ROWAN</t>
  </si>
  <si>
    <t xml:space="preserve">Refi Ready</t>
  </si>
  <si>
    <t xml:space="preserve">PAYMENT OVERDUE AFTER (days)</t>
  </si>
  <si>
    <t xml:space="preserve">CONSOLIDATION - UPFRONT COMM</t>
  </si>
  <si>
    <t xml:space="preserve">Monthly</t>
  </si>
  <si>
    <t xml:space="preserve">YES - Paid In Full</t>
  </si>
  <si>
    <t xml:space="preserve">ENOD CAPITAL</t>
  </si>
  <si>
    <t xml:space="preserve">Refinanced</t>
  </si>
  <si>
    <t xml:space="preserve">CONSOLIDATION DISBURSEMENT</t>
  </si>
  <si>
    <t xml:space="preserve">Clawed Back</t>
  </si>
  <si>
    <t xml:space="preserve">IDEA</t>
  </si>
  <si>
    <t xml:space="preserve">Default</t>
  </si>
  <si>
    <t xml:space="preserve">Unpaid deals older than this turn red</t>
  </si>
  <si>
    <t xml:space="preserve">REVERSE - TOTAL FUNDING</t>
  </si>
  <si>
    <t xml:space="preserve">NO - Never got paid</t>
  </si>
  <si>
    <t xml:space="preserve">BIZPOINT</t>
  </si>
  <si>
    <t xml:space="preserve">Paid In Full</t>
  </si>
  <si>
    <t xml:space="preserve">RENEWAL MARK (% paid in)</t>
  </si>
  <si>
    <t xml:space="preserve">REVERSE - DISBURSEMENT</t>
  </si>
  <si>
    <t xml:space="preserve">Lendini</t>
  </si>
  <si>
    <t xml:space="preserve">TERM LOAN</t>
  </si>
  <si>
    <t xml:space="preserve">WALL</t>
  </si>
  <si>
    <t xml:space="preserve">Est. renewal = this far through the term</t>
  </si>
  <si>
    <t xml:space="preserve">EQUIPMENT</t>
  </si>
  <si>
    <t xml:space="preserve">UFS FUNDING</t>
  </si>
  <si>
    <t xml:space="preserve">ADDITIONAL CAPITAL AFTER (days)</t>
  </si>
  <si>
    <t xml:space="preserve">REAL ESTATE</t>
  </si>
  <si>
    <t xml:space="preserve">MILVADO CAPITAL</t>
  </si>
  <si>
    <t xml:space="preserve">SBA</t>
  </si>
  <si>
    <t xml:space="preserve">Cetan Funds</t>
  </si>
  <si>
    <t xml:space="preserve">Auto-flips to Prospecting this many days in</t>
  </si>
  <si>
    <t xml:space="preserve">Rep Name</t>
  </si>
  <si>
    <t xml:space="preserve">Total Commission $</t>
  </si>
  <si>
    <t xml:space="preserve">Total Clawback $</t>
  </si>
  <si>
    <t xml:space="preserve">Deals Worked</t>
  </si>
  <si>
    <t xml:space="preserve">Active</t>
  </si>
  <si>
    <t xml:space="preserve">TOTAL COMMISSION</t>
  </si>
  <si>
    <t xml:space="preserve">TOTAL OUTSTANDING</t>
  </si>
  <si>
    <t xml:space="preserve">Leor</t>
  </si>
  <si>
    <t xml:space="preserve">Raymond Amato</t>
  </si>
  <si>
    <t xml:space="preserve">Azi Sharbani</t>
  </si>
  <si>
    <t xml:space="preserve">Mark departed reps Inactive — they leave dropdowns, history stays.</t>
  </si>
  <si>
    <t xml:space="preserve">Nick Faldo</t>
  </si>
  <si>
    <t xml:space="preserve">Zach Sanders</t>
  </si>
  <si>
    <t xml:space="preserve">Gil Dichy</t>
  </si>
  <si>
    <t xml:space="preserve">Julian Ribak</t>
  </si>
  <si>
    <t xml:space="preserve">Louie Palleta</t>
  </si>
  <si>
    <t xml:space="preserve">Jacobo Simkin</t>
  </si>
  <si>
    <t xml:space="preserve">Gabriel Barnes</t>
  </si>
  <si>
    <t xml:space="preserve">Edward Obi</t>
  </si>
  <si>
    <t xml:space="preserve">Shulamit Cohen</t>
  </si>
  <si>
    <t xml:space="preserve">Albert Dichy</t>
  </si>
  <si>
    <t xml:space="preserve">Louie Espinoza</t>
  </si>
  <si>
    <t xml:space="preserve">Noah Levine</t>
  </si>
  <si>
    <t xml:space="preserve">Samuel Knox</t>
  </si>
  <si>
    <t xml:space="preserve">Rav Sova</t>
  </si>
  <si>
    <t xml:space="preserve">Netanel Benjamin</t>
  </si>
  <si>
    <t xml:space="preserve">Solomon Gold</t>
  </si>
  <si>
    <t xml:space="preserve">Mark Gold</t>
  </si>
  <si>
    <t xml:space="preserve">Aaron Dahan</t>
  </si>
  <si>
    <t xml:space="preserve">Darren Wolf</t>
  </si>
  <si>
    <t xml:space="preserve">David Silvers</t>
  </si>
  <si>
    <t xml:space="preserve">Jason Reed</t>
  </si>
  <si>
    <t xml:space="preserve">Levi Forgash</t>
  </si>
  <si>
    <t xml:space="preserve">Total Fees Paid ($)</t>
  </si>
  <si>
    <t xml:space="preserve">Monthly Cap $</t>
  </si>
  <si>
    <t xml:space="preserve">MONTHLY CAP TRACKER</t>
  </si>
  <si>
    <t xml:space="preserve">PAYABLE AFTER CAP</t>
  </si>
  <si>
    <t xml:space="preserve">HOUSE KEEPS (over-cap)</t>
  </si>
  <si>
    <t xml:space="preserve">Partner:</t>
  </si>
  <si>
    <t xml:space="preserve">NONE</t>
  </si>
  <si>
    <t xml:space="preserve">Calculated Fees $</t>
  </si>
  <si>
    <t xml:space="preserve">Cap $</t>
  </si>
  <si>
    <t xml:space="preserve">Payable $</t>
  </si>
  <si>
    <t xml:space="preserve">House Keeps $</t>
  </si>
  <si>
    <t xml:space="preserve">HUB TRACKER</t>
  </si>
  <si>
    <t xml:space="preserve">None</t>
  </si>
  <si>
    <t xml:space="preserve">Deal rows show full calculated fees.</t>
  </si>
  <si>
    <t xml:space="preserve">Amber Payable = month hit the cap;</t>
  </si>
  <si>
    <t xml:space="preserve">over-cap $ stays with the house.</t>
  </si>
  <si>
    <t xml:space="preserve">Blank cap on a partner = uncapped.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</si>
</sst>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mm/dd/yyyy"/>
    <numFmt numFmtId="167" formatCode="0.000"/>
    <numFmt numFmtId="168" formatCode="0.00%"/>
    <numFmt numFmtId="169" formatCode="General"/>
    <numFmt numFmtId="170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  <font>
      <b val="true"/>
      <sz val="16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4"/>
      <color rgb="FF006100"/>
      <name val="Calibri"/>
      <family val="0"/>
      <charset val="1"/>
    </font>
    <font>
      <b val="true"/>
      <sz val="14"/>
      <color rgb="FF9C0006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2"/>
      <color rgb="FF006100"/>
      <name val="Calibri"/>
      <family val="0"/>
      <charset val="1"/>
    </font>
    <font>
      <b val="true"/>
      <sz val="13"/>
      <color rgb="FF0000FF"/>
      <name val="Calibri"/>
      <family val="0"/>
      <charset val="1"/>
    </font>
    <font>
      <b val="true"/>
      <sz val="12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395"/>
        <bgColor rgb="FF1F4E79"/>
      </patternFill>
    </fill>
    <fill>
      <patternFill patternType="solid">
        <fgColor rgb="FF1F3864"/>
        <bgColor rgb="FF1F4E79"/>
      </patternFill>
    </fill>
    <fill>
      <patternFill patternType="solid">
        <fgColor rgb="FFD9E2F3"/>
        <bgColor rgb="FFDDEBF7"/>
      </patternFill>
    </fill>
    <fill>
      <patternFill patternType="solid">
        <fgColor rgb="FFEEF3FA"/>
        <bgColor rgb="FFDDEBF7"/>
      </patternFill>
    </fill>
    <fill>
      <patternFill patternType="solid">
        <fgColor rgb="FFF8D7DA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8D7DA"/>
      </patternFill>
    </fill>
    <fill>
      <patternFill patternType="solid">
        <fgColor rgb="FFBDD7EE"/>
        <bgColor rgb="FFC0E7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9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9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9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9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9" fillId="5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7B241C"/>
        </patternFill>
      </fill>
    </dxf>
    <dxf>
      <font>
        <name val="Calibri"/>
        <charset val="1"/>
        <family val="0"/>
        <color rgb="FF595959"/>
        <sz val="11"/>
      </font>
      <fill>
        <patternFill>
          <bgColor rgb="FFD9D9D9"/>
        </patternFill>
      </fill>
    </dxf>
    <dxf>
      <font>
        <name val="Calibri"/>
        <charset val="1"/>
        <family val="0"/>
        <b val="1"/>
        <color rgb="FF9C6500"/>
        <sz val="11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1D6F62"/>
        <sz val="11"/>
      </font>
      <fill>
        <patternFill>
          <bgColor rgb="FFC0E7E3"/>
        </patternFill>
      </fill>
    </dxf>
    <dxf>
      <font>
        <name val="Calibri"/>
        <charset val="1"/>
        <family val="0"/>
        <b val="1"/>
        <color rgb="FF1F4E79"/>
        <sz val="11"/>
      </font>
      <fill>
        <patternFill>
          <bgColor rgb="FFDDEBF7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D6F62"/>
      <rgbColor rgb="FFBFBFBF"/>
      <rgbColor rgb="FF808080"/>
      <rgbColor rgb="FFD9E2F3"/>
      <rgbColor rgb="FF993366"/>
      <rgbColor rgb="FFEEF3FA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0E7E3"/>
      <rgbColor rgb="FFF8D7DA"/>
      <rgbColor rgb="FFD9D9D9"/>
      <rgbColor rgb="FFFFC7CE"/>
      <rgbColor rgb="FF3366FF"/>
      <rgbColor rgb="FF33CCCC"/>
      <rgbColor rgb="FF99CC00"/>
      <rgbColor rgb="FFFCE4E4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7B241C"/>
      <rgbColor rgb="FF993366"/>
      <rgbColor rgb="FF2E5395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9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20" min="19" style="0" width="14"/>
    <col collapsed="false" customWidth="true" hidden="true" outlineLevel="0" max="21" min="21" style="0" width="8"/>
    <col collapsed="false" customWidth="true" hidden="false" outlineLevel="0" max="22" min="22" style="0" width="11"/>
    <col collapsed="false" customWidth="true" hidden="false" outlineLevel="0" max="23" min="23" style="0" width="14"/>
    <col collapsed="false" customWidth="true" hidden="true" outlineLevel="0" max="24" min="24" style="0" width="8"/>
    <col collapsed="false" customWidth="true" hidden="false" outlineLevel="0" max="25" min="25" style="0" width="11"/>
    <col collapsed="false" customWidth="true" hidden="false" outlineLevel="0" max="26" min="26" style="0" width="14"/>
    <col collapsed="false" customWidth="true" hidden="true" outlineLevel="0" max="27" min="27" style="0" width="8"/>
    <col collapsed="false" customWidth="true" hidden="false" outlineLevel="0" max="28" min="28" style="0" width="11"/>
    <col collapsed="false" customWidth="true" hidden="false" outlineLevel="0" max="30" min="29" style="0" width="14"/>
    <col collapsed="false" customWidth="true" hidden="true" outlineLevel="1" max="32" min="31" style="0" width="11"/>
    <col collapsed="false" customWidth="true" hidden="true" outlineLevel="1" max="35" min="33" style="0" width="10"/>
    <col collapsed="false" customWidth="true" hidden="true" outlineLevel="1" max="37" min="36" style="0" width="11"/>
    <col collapsed="false" customWidth="true" hidden="true" outlineLevel="1" max="38" min="38" style="0" width="15"/>
    <col collapsed="false" customWidth="true" hidden="false" outlineLevel="0" max="39" min="39" style="0" width="18"/>
    <col collapsed="false" customWidth="true" hidden="false" outlineLevel="0" max="41" min="40" style="0" width="12"/>
    <col collapsed="false" customWidth="true" hidden="false" outlineLevel="0" max="43" min="42" style="0" width="13"/>
    <col collapsed="false" customWidth="true" hidden="false" outlineLevel="0" max="44" min="44" style="0" width="12"/>
    <col collapsed="false" customWidth="true" hidden="false" outlineLevel="0" max="45" min="45" style="0" width="30"/>
    <col collapsed="false" customWidth="true" hidden="false" outlineLevel="0" max="46" min="46" style="0" width="11"/>
    <col collapsed="false" customWidth="true" hidden="false" outlineLevel="0" max="47" min="47" style="0" width="14"/>
    <col collapsed="false" customWidth="true" hidden="true" outlineLevel="0" max="50" min="49" style="0" width="13"/>
  </cols>
  <sheetData>
    <row r="1" customFormat="false" ht="24" hidden="false" customHeight="true" outlineLevel="0" collapsed="false">
      <c r="A1" s="1" t="s">
        <v>0</v>
      </c>
      <c r="B1" s="2"/>
      <c r="C1" s="2"/>
      <c r="D1" s="3" t="str">
        <f aca="false">SUM(COUNT(C4:C103),COUNT(C106:C205),COUNT(C208:C307),COUNT(C310:C409),COUNT(C412:C511),COUNT(C514:C613),COUNT(C616:C715),COUNT(C718:C817),COUNT(C820:C919))&amp;" units"</f>
        <v>0 units</v>
      </c>
      <c r="E1" s="2"/>
      <c r="F1" s="2"/>
      <c r="G1" s="4" t="n">
        <f aca="false">G104+G206+G308+G410+G512+G614+G716+G818+G920</f>
        <v>0</v>
      </c>
      <c r="H1" s="2"/>
      <c r="I1" s="2"/>
      <c r="J1" s="2"/>
      <c r="K1" s="2"/>
      <c r="L1" s="2"/>
      <c r="M1" s="2"/>
      <c r="N1" s="4" t="n">
        <f aca="false">N104+N206+N308+N410+N512+N614+N716+N818+N920</f>
        <v>0</v>
      </c>
      <c r="O1" s="4" t="n">
        <f aca="false">O104+O206+O308+O410+O512+O614+O716+O818+O920</f>
        <v>0</v>
      </c>
      <c r="P1" s="2"/>
      <c r="Q1" s="2"/>
      <c r="R1" s="4" t="n">
        <f aca="false">R104+R206+R308+R410+R512+R614+R716+R818+R920</f>
        <v>0</v>
      </c>
      <c r="S1" s="4" t="n">
        <f aca="false">S104+S206+S308+S410+S512+S614+S716+S818+S920</f>
        <v>0</v>
      </c>
      <c r="T1" s="2"/>
      <c r="U1" s="2"/>
      <c r="V1" s="2"/>
      <c r="W1" s="2"/>
      <c r="X1" s="2"/>
      <c r="Y1" s="2"/>
      <c r="Z1" s="2"/>
      <c r="AA1" s="2"/>
      <c r="AB1" s="2"/>
      <c r="AC1" s="4" t="n">
        <f aca="false">AC104+AC206+AC308+AC410+AC512+AC614+AC716+AC818+AC920</f>
        <v>0</v>
      </c>
      <c r="AD1" s="4" t="n">
        <f aca="false">AD104+AD206+AD308+AD410+AD512+AD614+AD716+AD818+AD920</f>
        <v>0</v>
      </c>
      <c r="AE1" s="4" t="n">
        <f aca="false">AE104+AE206+AE308+AE410+AE512+AE614+AE716+AE818+AE920</f>
        <v>0</v>
      </c>
      <c r="AF1" s="2"/>
      <c r="AG1" s="2"/>
      <c r="AH1" s="2"/>
      <c r="AI1" s="2"/>
      <c r="AJ1" s="4" t="n">
        <f aca="false">AJ104+AJ206+AJ308+AJ410+AJ512+AJ614+AJ716+AJ818+AJ920</f>
        <v>0</v>
      </c>
      <c r="AK1" s="4" t="n">
        <f aca="false">AK104+AK206+AK308+AK410+AK512+AK614+AK716+AK818+AK920</f>
        <v>0</v>
      </c>
      <c r="AL1" s="4" t="n">
        <f aca="false">AL104+AL206+AL308+AL410+AL512+AL614+AL716+AL818+AL920</f>
        <v>0</v>
      </c>
      <c r="AM1" s="2"/>
      <c r="AN1" s="2"/>
      <c r="AO1" s="2"/>
      <c r="AP1" s="2"/>
      <c r="AQ1" s="2"/>
      <c r="AR1" s="2"/>
      <c r="AS1" s="2"/>
      <c r="AT1" s="2"/>
      <c r="AU1" s="2"/>
    </row>
    <row r="2" customFormat="false" ht="42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</row>
    <row r="3" customFormat="false" ht="19.5" hidden="false" customHeight="true" outlineLevel="0" collapsed="false">
      <c r="A3" s="6" t="s">
        <v>48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W3" s="0" t="n">
        <v>0</v>
      </c>
      <c r="AX3" s="0" t="n">
        <v>0</v>
      </c>
    </row>
    <row r="4" customFormat="false" ht="15" hidden="false" customHeight="false" outlineLevel="0" collapsed="false">
      <c r="A4" s="8" t="str">
        <f aca="false">IF(C4&lt;&gt;"","F"&amp;COUNT($C$4:C4),"")</f>
        <v/>
      </c>
      <c r="B4" s="9" t="str">
        <f aca="false">IF(OR(F4="LOC - INITIAL",F4="CONSOLIDATION - UPFRONT COMM",F4="REVERSE - TOTAL FUNDING"),A4,"")</f>
        <v/>
      </c>
      <c r="C4" s="10"/>
      <c r="D4" s="11"/>
      <c r="E4" s="11"/>
      <c r="F4" s="11"/>
      <c r="G4" s="12"/>
      <c r="H4" s="13"/>
      <c r="I4" s="11"/>
      <c r="J4" s="14" t="str">
        <f aca="false">IF(AND(G4&lt;&gt;"",H4&lt;&gt;""),G4*H4,"")</f>
        <v/>
      </c>
      <c r="K4" s="11"/>
      <c r="L4" s="15"/>
      <c r="M4" s="15"/>
      <c r="N4" s="14" t="n">
        <f aca="false">IF(OR(G4="",M4=""),0,IF(M4&gt;100,M4,G4*IF(M4&gt;1,M4/100,M4)))</f>
        <v>0</v>
      </c>
      <c r="O4" s="14" t="str">
        <f aca="false">IF(G4="","",G4*IF(L4="",0,IF(L4&gt;1,L4/100,L4))+N4)</f>
        <v/>
      </c>
      <c r="P4" s="11"/>
      <c r="Q4" s="16" t="str">
        <f aca="false">IF(P4="","",IFERROR(VLOOKUP(P4,PARTNERS!$A$2:$B$30,2,0),""))</f>
        <v/>
      </c>
      <c r="R4" s="17" t="str">
        <f aca="false">IF(O4="","",IF(OR(P4="",Q4=""),0,(O4-N4)*IF(Q4&gt;1,Q4/100,Q4)))</f>
        <v/>
      </c>
      <c r="S4" s="14" t="str">
        <f aca="false">IF(O4="","",O4-R4)</f>
        <v/>
      </c>
      <c r="T4" s="11"/>
      <c r="U4" s="18" t="str">
        <f aca="false">IF(T4="","",IFERROR(VLOOKUP(T4,REPS!$A$2:$D$40,2,0),""))</f>
        <v/>
      </c>
      <c r="V4" s="14" t="str">
        <f aca="false">IF(O4="","",IF(U4="",0,O4*IF(U4&gt;1,U4/100,U4)))</f>
        <v/>
      </c>
      <c r="W4" s="11"/>
      <c r="X4" s="18" t="str">
        <f aca="false">IF(W4="","",IFERROR(VLOOKUP(W4,REPS!$A$2:$D$40,3,0),""))</f>
        <v/>
      </c>
      <c r="Y4" s="14" t="str">
        <f aca="false">IF(O4="","",IF(X4="",0,O4*IF(X4&gt;1,X4/100,X4)))</f>
        <v/>
      </c>
      <c r="Z4" s="11"/>
      <c r="AA4" s="18" t="str">
        <f aca="false">IF(Z4="","",IFERROR(VLOOKUP(Z4,REPS!$A$2:$D$40,4,0),""))</f>
        <v/>
      </c>
      <c r="AB4" s="14" t="str">
        <f aca="false">IF(O4="","",IF(AA4="",0,O4*IF(AA4&gt;1,AA4/100,AA4)))</f>
        <v/>
      </c>
      <c r="AC4" s="14" t="str">
        <f aca="false">IF(O4="","",V4+Y4+AB4)</f>
        <v/>
      </c>
      <c r="AD4" s="19" t="str">
        <f aca="false">IF(O4="","",O4-R4-AC4)</f>
        <v/>
      </c>
      <c r="AE4" s="20"/>
      <c r="AF4" s="10"/>
      <c r="AG4" s="21" t="n">
        <f aca="false">IF(OR(AE4="",AE4=0),0,AE4*IF(U4="",0,IF(U4&gt;1,U4/100,U4)))</f>
        <v>0</v>
      </c>
      <c r="AH4" s="21" t="n">
        <f aca="false">IF(OR(AE4="",AE4=0),0,AE4*IF(X4="",0,IF(X4&gt;1,X4/100,X4)))</f>
        <v>0</v>
      </c>
      <c r="AI4" s="21" t="n">
        <f aca="false">IF(OR(AE4="",AE4=0),0,AE4*IF(AA4="",0,IF(AA4&gt;1,AA4/100,AA4)))</f>
        <v>0</v>
      </c>
      <c r="AJ4" s="21" t="n">
        <f aca="false">AG4+AH4+AI4</f>
        <v>0</v>
      </c>
      <c r="AK4" s="21" t="n">
        <f aca="false">IF(OR(AE4="",AE4=0),0,AE4-AJ4)</f>
        <v>0</v>
      </c>
      <c r="AL4" s="19" t="str">
        <f aca="false">IF(AD4="","",AD4-AK4)</f>
        <v/>
      </c>
      <c r="AM4" s="9" t="str">
        <f aca="false">IF(C4="","","Waiting for payment")</f>
        <v/>
      </c>
      <c r="AN4" s="10"/>
      <c r="AO4" s="10"/>
      <c r="AP4" s="22" t="str">
        <f aca="false">IF(OR(C4="",I4="",K4=""),"",IF(K4="Monthly",EDATE(C4,ROUND(I4*SETTINGS!$I$8,0)),WORKDAY(C4,ROUND(I4*SETTINGS!$I$8,0))))</f>
        <v/>
      </c>
      <c r="AQ4" s="9" t="str">
        <f aca="true">IF(C4="","",IF(AND(AP4&lt;&gt;"",TODAY()&gt;=AP4),"Refi Ready",IF(TODAY()-C4&gt;=SETTINGS!$I$11,"Prospecting","Performing")))</f>
        <v/>
      </c>
      <c r="AR4" s="22" t="str">
        <f aca="false">IF(OR(C4="",I4="",K4=""),"",IF(K4="Monthly",EDATE(C4,I4),WORKDAY(C4,I4)))</f>
        <v/>
      </c>
      <c r="AS4" s="11"/>
      <c r="AT4" s="23" t="str">
        <f aca="true">IF(C4="","",IF(AM4="Clawed Back","CLAWED",IF(TODAY()&lt;=C4+SETTINGS!$I$2,"⚠ AT RISK","SAFE")))</f>
        <v/>
      </c>
      <c r="AU4" s="11"/>
      <c r="AW4" s="24" t="n">
        <f aca="false">AW3+IF(AND(C4&lt;&gt;"",AO4&lt;&gt;"",OR('REP COMMISSION'!$B$3="",T4='REP COMMISSION'!$B$3,W4='REP COMMISSION'!$B$3,Z4='REP COMMISSION'!$B$3)),1,0)</f>
        <v>0</v>
      </c>
      <c r="AX4" s="24" t="n">
        <f aca="false">AX3+IF(AND(C4&lt;&gt;"",OR(F4="LOC - INITIAL",F4="CONSOLIDATION - UPFRONT COMM",F4="REVERSE - TOTAL FUNDING")),1,0)</f>
        <v>0</v>
      </c>
    </row>
    <row r="5" customFormat="false" ht="15" hidden="false" customHeight="false" outlineLevel="0" collapsed="false">
      <c r="A5" s="25" t="str">
        <f aca="false">IF(C5&lt;&gt;"","F"&amp;COUNT($C$4:C5),"")</f>
        <v/>
      </c>
      <c r="B5" s="26" t="str">
        <f aca="false">IF(OR(F5="LOC - INITIAL",F5="CONSOLIDATION - UPFRONT COMM",F5="REVERSE - TOTAL FUNDING"),A5,"")</f>
        <v/>
      </c>
      <c r="C5" s="27"/>
      <c r="D5" s="28"/>
      <c r="E5" s="28"/>
      <c r="F5" s="28"/>
      <c r="G5" s="29"/>
      <c r="H5" s="30"/>
      <c r="I5" s="28"/>
      <c r="J5" s="31" t="str">
        <f aca="false">IF(AND(G5&lt;&gt;"",H5&lt;&gt;""),G5*H5,"")</f>
        <v/>
      </c>
      <c r="K5" s="28"/>
      <c r="L5" s="32"/>
      <c r="M5" s="32"/>
      <c r="N5" s="31" t="n">
        <f aca="false">IF(OR(G5="",M5=""),0,IF(M5&gt;100,M5,G5*IF(M5&gt;1,M5/100,M5)))</f>
        <v>0</v>
      </c>
      <c r="O5" s="31" t="str">
        <f aca="false">IF(G5="","",G5*IF(L5="",0,IF(L5&gt;1,L5/100,L5))+N5)</f>
        <v/>
      </c>
      <c r="P5" s="28"/>
      <c r="Q5" s="33" t="str">
        <f aca="false">IF(P5="","",IFERROR(VLOOKUP(P5,PARTNERS!$A$2:$B$30,2,0),""))</f>
        <v/>
      </c>
      <c r="R5" s="17" t="str">
        <f aca="false">IF(O5="","",IF(OR(P5="",Q5=""),0,(O5-N5)*IF(Q5&gt;1,Q5/100,Q5)))</f>
        <v/>
      </c>
      <c r="S5" s="31" t="str">
        <f aca="false">IF(O5="","",O5-R5)</f>
        <v/>
      </c>
      <c r="T5" s="28"/>
      <c r="U5" s="34" t="str">
        <f aca="false">IF(T5="","",IFERROR(VLOOKUP(T5,REPS!$A$2:$D$40,2,0),""))</f>
        <v/>
      </c>
      <c r="V5" s="31" t="str">
        <f aca="false">IF(O5="","",IF(U5="",0,O5*IF(U5&gt;1,U5/100,U5)))</f>
        <v/>
      </c>
      <c r="W5" s="28"/>
      <c r="X5" s="34" t="str">
        <f aca="false">IF(W5="","",IFERROR(VLOOKUP(W5,REPS!$A$2:$D$40,3,0),""))</f>
        <v/>
      </c>
      <c r="Y5" s="31" t="str">
        <f aca="false">IF(O5="","",IF(X5="",0,O5*IF(X5&gt;1,X5/100,X5)))</f>
        <v/>
      </c>
      <c r="Z5" s="28"/>
      <c r="AA5" s="34" t="str">
        <f aca="false">IF(Z5="","",IFERROR(VLOOKUP(Z5,REPS!$A$2:$D$40,4,0),""))</f>
        <v/>
      </c>
      <c r="AB5" s="31" t="str">
        <f aca="false">IF(O5="","",IF(AA5="",0,O5*IF(AA5&gt;1,AA5/100,AA5)))</f>
        <v/>
      </c>
      <c r="AC5" s="31" t="str">
        <f aca="false">IF(O5="","",V5+Y5+AB5)</f>
        <v/>
      </c>
      <c r="AD5" s="19" t="str">
        <f aca="false">IF(O5="","",O5-R5-AC5)</f>
        <v/>
      </c>
      <c r="AE5" s="20"/>
      <c r="AF5" s="27"/>
      <c r="AG5" s="21" t="n">
        <f aca="false">IF(OR(AE5="",AE5=0),0,AE5*IF(U5="",0,IF(U5&gt;1,U5/100,U5)))</f>
        <v>0</v>
      </c>
      <c r="AH5" s="21" t="n">
        <f aca="false">IF(OR(AE5="",AE5=0),0,AE5*IF(X5="",0,IF(X5&gt;1,X5/100,X5)))</f>
        <v>0</v>
      </c>
      <c r="AI5" s="21" t="n">
        <f aca="false">IF(OR(AE5="",AE5=0),0,AE5*IF(AA5="",0,IF(AA5&gt;1,AA5/100,AA5)))</f>
        <v>0</v>
      </c>
      <c r="AJ5" s="21" t="n">
        <f aca="false">AG5+AH5+AI5</f>
        <v>0</v>
      </c>
      <c r="AK5" s="21" t="n">
        <f aca="false">IF(OR(AE5="",AE5=0),0,AE5-AJ5)</f>
        <v>0</v>
      </c>
      <c r="AL5" s="19" t="str">
        <f aca="false">IF(AD5="","",AD5-AK5)</f>
        <v/>
      </c>
      <c r="AM5" s="26" t="str">
        <f aca="false">IF(C5="","","Waiting for payment")</f>
        <v/>
      </c>
      <c r="AN5" s="27"/>
      <c r="AO5" s="27"/>
      <c r="AP5" s="35" t="str">
        <f aca="false">IF(OR(C5="",I5="",K5=""),"",IF(K5="Monthly",EDATE(C5,ROUND(I5*SETTINGS!$I$8,0)),WORKDAY(C5,ROUND(I5*SETTINGS!$I$8,0))))</f>
        <v/>
      </c>
      <c r="AQ5" s="26" t="str">
        <f aca="true">IF(C5="","",IF(AND(AP5&lt;&gt;"",TODAY()&gt;=AP5),"Refi Ready",IF(TODAY()-C5&gt;=SETTINGS!$I$11,"Prospecting","Performing")))</f>
        <v/>
      </c>
      <c r="AR5" s="35" t="str">
        <f aca="false">IF(OR(C5="",I5="",K5=""),"",IF(K5="Monthly",EDATE(C5,I5),WORKDAY(C5,I5)))</f>
        <v/>
      </c>
      <c r="AS5" s="28"/>
      <c r="AT5" s="36" t="str">
        <f aca="true">IF(C5="","",IF(AM5="Clawed Back","CLAWED",IF(TODAY()&lt;=C5+SETTINGS!$I$2,"⚠ AT RISK","SAFE")))</f>
        <v/>
      </c>
      <c r="AU5" s="28"/>
      <c r="AW5" s="24" t="n">
        <f aca="false">AW4+IF(AND(C5&lt;&gt;"",AO5&lt;&gt;"",OR('REP COMMISSION'!$B$3="",T5='REP COMMISSION'!$B$3,W5='REP COMMISSION'!$B$3,Z5='REP COMMISSION'!$B$3)),1,0)</f>
        <v>0</v>
      </c>
      <c r="AX5" s="24" t="n">
        <f aca="false">AX4+IF(AND(C5&lt;&gt;"",OR(F5="LOC - INITIAL",F5="CONSOLIDATION - UPFRONT COMM",F5="REVERSE - TOTAL FUNDING")),1,0)</f>
        <v>0</v>
      </c>
    </row>
    <row r="6" customFormat="false" ht="15" hidden="false" customHeight="false" outlineLevel="0" collapsed="false">
      <c r="A6" s="8" t="str">
        <f aca="false">IF(C6&lt;&gt;"","F"&amp;COUNT($C$4:C6),"")</f>
        <v/>
      </c>
      <c r="B6" s="9" t="str">
        <f aca="false">IF(OR(F6="LOC - INITIAL",F6="CONSOLIDATION - UPFRONT COMM",F6="REVERSE - TOTAL FUNDING"),A6,"")</f>
        <v/>
      </c>
      <c r="C6" s="10"/>
      <c r="D6" s="11"/>
      <c r="E6" s="11"/>
      <c r="F6" s="11"/>
      <c r="G6" s="12"/>
      <c r="H6" s="13"/>
      <c r="I6" s="11"/>
      <c r="J6" s="14" t="str">
        <f aca="false">IF(AND(G6&lt;&gt;"",H6&lt;&gt;""),G6*H6,"")</f>
        <v/>
      </c>
      <c r="K6" s="11"/>
      <c r="L6" s="15"/>
      <c r="M6" s="15"/>
      <c r="N6" s="14" t="n">
        <f aca="false">IF(OR(G6="",M6=""),0,IF(M6&gt;100,M6,G6*IF(M6&gt;1,M6/100,M6)))</f>
        <v>0</v>
      </c>
      <c r="O6" s="14" t="str">
        <f aca="false">IF(G6="","",G6*IF(L6="",0,IF(L6&gt;1,L6/100,L6))+N6)</f>
        <v/>
      </c>
      <c r="P6" s="11"/>
      <c r="Q6" s="16" t="str">
        <f aca="false">IF(P6="","",IFERROR(VLOOKUP(P6,PARTNERS!$A$2:$B$30,2,0),""))</f>
        <v/>
      </c>
      <c r="R6" s="17" t="str">
        <f aca="false">IF(O6="","",IF(OR(P6="",Q6=""),0,(O6-N6)*IF(Q6&gt;1,Q6/100,Q6)))</f>
        <v/>
      </c>
      <c r="S6" s="14" t="str">
        <f aca="false">IF(O6="","",O6-R6)</f>
        <v/>
      </c>
      <c r="T6" s="11"/>
      <c r="U6" s="18" t="str">
        <f aca="false">IF(T6="","",IFERROR(VLOOKUP(T6,REPS!$A$2:$D$40,2,0),""))</f>
        <v/>
      </c>
      <c r="V6" s="14" t="str">
        <f aca="false">IF(O6="","",IF(U6="",0,O6*IF(U6&gt;1,U6/100,U6)))</f>
        <v/>
      </c>
      <c r="W6" s="11"/>
      <c r="X6" s="18" t="str">
        <f aca="false">IF(W6="","",IFERROR(VLOOKUP(W6,REPS!$A$2:$D$40,3,0),""))</f>
        <v/>
      </c>
      <c r="Y6" s="14" t="str">
        <f aca="false">IF(O6="","",IF(X6="",0,O6*IF(X6&gt;1,X6/100,X6)))</f>
        <v/>
      </c>
      <c r="Z6" s="11"/>
      <c r="AA6" s="18" t="str">
        <f aca="false">IF(Z6="","",IFERROR(VLOOKUP(Z6,REPS!$A$2:$D$40,4,0),""))</f>
        <v/>
      </c>
      <c r="AB6" s="14" t="str">
        <f aca="false">IF(O6="","",IF(AA6="",0,O6*IF(AA6&gt;1,AA6/100,AA6)))</f>
        <v/>
      </c>
      <c r="AC6" s="14" t="str">
        <f aca="false">IF(O6="","",V6+Y6+AB6)</f>
        <v/>
      </c>
      <c r="AD6" s="19" t="str">
        <f aca="false">IF(O6="","",O6-R6-AC6)</f>
        <v/>
      </c>
      <c r="AE6" s="20"/>
      <c r="AF6" s="10"/>
      <c r="AG6" s="21" t="n">
        <f aca="false">IF(OR(AE6="",AE6=0),0,AE6*IF(U6="",0,IF(U6&gt;1,U6/100,U6)))</f>
        <v>0</v>
      </c>
      <c r="AH6" s="21" t="n">
        <f aca="false">IF(OR(AE6="",AE6=0),0,AE6*IF(X6="",0,IF(X6&gt;1,X6/100,X6)))</f>
        <v>0</v>
      </c>
      <c r="AI6" s="21" t="n">
        <f aca="false">IF(OR(AE6="",AE6=0),0,AE6*IF(AA6="",0,IF(AA6&gt;1,AA6/100,AA6)))</f>
        <v>0</v>
      </c>
      <c r="AJ6" s="21" t="n">
        <f aca="false">AG6+AH6+AI6</f>
        <v>0</v>
      </c>
      <c r="AK6" s="21" t="n">
        <f aca="false">IF(OR(AE6="",AE6=0),0,AE6-AJ6)</f>
        <v>0</v>
      </c>
      <c r="AL6" s="19" t="str">
        <f aca="false">IF(AD6="","",AD6-AK6)</f>
        <v/>
      </c>
      <c r="AM6" s="9" t="str">
        <f aca="false">IF(C6="","","Waiting for payment")</f>
        <v/>
      </c>
      <c r="AN6" s="10"/>
      <c r="AO6" s="10"/>
      <c r="AP6" s="22" t="str">
        <f aca="false">IF(OR(C6="",I6="",K6=""),"",IF(K6="Monthly",EDATE(C6,ROUND(I6*SETTINGS!$I$8,0)),WORKDAY(C6,ROUND(I6*SETTINGS!$I$8,0))))</f>
        <v/>
      </c>
      <c r="AQ6" s="9" t="str">
        <f aca="true">IF(C6="","",IF(AND(AP6&lt;&gt;"",TODAY()&gt;=AP6),"Refi Ready",IF(TODAY()-C6&gt;=SETTINGS!$I$11,"Prospecting","Performing")))</f>
        <v/>
      </c>
      <c r="AR6" s="22" t="str">
        <f aca="false">IF(OR(C6="",I6="",K6=""),"",IF(K6="Monthly",EDATE(C6,I6),WORKDAY(C6,I6)))</f>
        <v/>
      </c>
      <c r="AS6" s="11"/>
      <c r="AT6" s="23" t="str">
        <f aca="true">IF(C6="","",IF(AM6="Clawed Back","CLAWED",IF(TODAY()&lt;=C6+SETTINGS!$I$2,"⚠ AT RISK","SAFE")))</f>
        <v/>
      </c>
      <c r="AU6" s="11"/>
      <c r="AW6" s="24" t="n">
        <f aca="false">AW5+IF(AND(C6&lt;&gt;"",AO6&lt;&gt;"",OR('REP COMMISSION'!$B$3="",T6='REP COMMISSION'!$B$3,W6='REP COMMISSION'!$B$3,Z6='REP COMMISSION'!$B$3)),1,0)</f>
        <v>0</v>
      </c>
      <c r="AX6" s="24" t="n">
        <f aca="false">AX5+IF(AND(C6&lt;&gt;"",OR(F6="LOC - INITIAL",F6="CONSOLIDATION - UPFRONT COMM",F6="REVERSE - TOTAL FUNDING")),1,0)</f>
        <v>0</v>
      </c>
    </row>
    <row r="7" customFormat="false" ht="15" hidden="false" customHeight="false" outlineLevel="0" collapsed="false">
      <c r="A7" s="25" t="str">
        <f aca="false">IF(C7&lt;&gt;"","F"&amp;COUNT($C$4:C7),"")</f>
        <v/>
      </c>
      <c r="B7" s="26" t="str">
        <f aca="false">IF(OR(F7="LOC - INITIAL",F7="CONSOLIDATION - UPFRONT COMM",F7="REVERSE - TOTAL FUNDING"),A7,"")</f>
        <v/>
      </c>
      <c r="C7" s="27"/>
      <c r="D7" s="28"/>
      <c r="E7" s="28"/>
      <c r="F7" s="28"/>
      <c r="G7" s="29"/>
      <c r="H7" s="30"/>
      <c r="I7" s="28"/>
      <c r="J7" s="31" t="str">
        <f aca="false">IF(AND(G7&lt;&gt;"",H7&lt;&gt;""),G7*H7,"")</f>
        <v/>
      </c>
      <c r="K7" s="28"/>
      <c r="L7" s="32"/>
      <c r="M7" s="32"/>
      <c r="N7" s="31" t="n">
        <f aca="false">IF(OR(G7="",M7=""),0,IF(M7&gt;100,M7,G7*IF(M7&gt;1,M7/100,M7)))</f>
        <v>0</v>
      </c>
      <c r="O7" s="31" t="str">
        <f aca="false">IF(G7="","",G7*IF(L7="",0,IF(L7&gt;1,L7/100,L7))+N7)</f>
        <v/>
      </c>
      <c r="P7" s="28"/>
      <c r="Q7" s="33" t="str">
        <f aca="false">IF(P7="","",IFERROR(VLOOKUP(P7,PARTNERS!$A$2:$B$30,2,0),""))</f>
        <v/>
      </c>
      <c r="R7" s="17" t="str">
        <f aca="false">IF(O7="","",IF(OR(P7="",Q7=""),0,(O7-N7)*IF(Q7&gt;1,Q7/100,Q7)))</f>
        <v/>
      </c>
      <c r="S7" s="31" t="str">
        <f aca="false">IF(O7="","",O7-R7)</f>
        <v/>
      </c>
      <c r="T7" s="28"/>
      <c r="U7" s="34" t="str">
        <f aca="false">IF(T7="","",IFERROR(VLOOKUP(T7,REPS!$A$2:$D$40,2,0),""))</f>
        <v/>
      </c>
      <c r="V7" s="31" t="str">
        <f aca="false">IF(O7="","",IF(U7="",0,O7*IF(U7&gt;1,U7/100,U7)))</f>
        <v/>
      </c>
      <c r="W7" s="28"/>
      <c r="X7" s="34" t="str">
        <f aca="false">IF(W7="","",IFERROR(VLOOKUP(W7,REPS!$A$2:$D$40,3,0),""))</f>
        <v/>
      </c>
      <c r="Y7" s="31" t="str">
        <f aca="false">IF(O7="","",IF(X7="",0,O7*IF(X7&gt;1,X7/100,X7)))</f>
        <v/>
      </c>
      <c r="Z7" s="28"/>
      <c r="AA7" s="34" t="str">
        <f aca="false">IF(Z7="","",IFERROR(VLOOKUP(Z7,REPS!$A$2:$D$40,4,0),""))</f>
        <v/>
      </c>
      <c r="AB7" s="31" t="str">
        <f aca="false">IF(O7="","",IF(AA7="",0,O7*IF(AA7&gt;1,AA7/100,AA7)))</f>
        <v/>
      </c>
      <c r="AC7" s="31" t="str">
        <f aca="false">IF(O7="","",V7+Y7+AB7)</f>
        <v/>
      </c>
      <c r="AD7" s="19" t="str">
        <f aca="false">IF(O7="","",O7-R7-AC7)</f>
        <v/>
      </c>
      <c r="AE7" s="20"/>
      <c r="AF7" s="27"/>
      <c r="AG7" s="21" t="n">
        <f aca="false">IF(OR(AE7="",AE7=0),0,AE7*IF(U7="",0,IF(U7&gt;1,U7/100,U7)))</f>
        <v>0</v>
      </c>
      <c r="AH7" s="21" t="n">
        <f aca="false">IF(OR(AE7="",AE7=0),0,AE7*IF(X7="",0,IF(X7&gt;1,X7/100,X7)))</f>
        <v>0</v>
      </c>
      <c r="AI7" s="21" t="n">
        <f aca="false">IF(OR(AE7="",AE7=0),0,AE7*IF(AA7="",0,IF(AA7&gt;1,AA7/100,AA7)))</f>
        <v>0</v>
      </c>
      <c r="AJ7" s="21" t="n">
        <f aca="false">AG7+AH7+AI7</f>
        <v>0</v>
      </c>
      <c r="AK7" s="21" t="n">
        <f aca="false">IF(OR(AE7="",AE7=0),0,AE7-AJ7)</f>
        <v>0</v>
      </c>
      <c r="AL7" s="19" t="str">
        <f aca="false">IF(AD7="","",AD7-AK7)</f>
        <v/>
      </c>
      <c r="AM7" s="26" t="str">
        <f aca="false">IF(C7="","","Waiting for payment")</f>
        <v/>
      </c>
      <c r="AN7" s="27"/>
      <c r="AO7" s="27"/>
      <c r="AP7" s="35" t="str">
        <f aca="false">IF(OR(C7="",I7="",K7=""),"",IF(K7="Monthly",EDATE(C7,ROUND(I7*SETTINGS!$I$8,0)),WORKDAY(C7,ROUND(I7*SETTINGS!$I$8,0))))</f>
        <v/>
      </c>
      <c r="AQ7" s="26" t="str">
        <f aca="true">IF(C7="","",IF(AND(AP7&lt;&gt;"",TODAY()&gt;=AP7),"Refi Ready",IF(TODAY()-C7&gt;=SETTINGS!$I$11,"Prospecting","Performing")))</f>
        <v/>
      </c>
      <c r="AR7" s="35" t="str">
        <f aca="false">IF(OR(C7="",I7="",K7=""),"",IF(K7="Monthly",EDATE(C7,I7),WORKDAY(C7,I7)))</f>
        <v/>
      </c>
      <c r="AS7" s="28"/>
      <c r="AT7" s="36" t="str">
        <f aca="true">IF(C7="","",IF(AM7="Clawed Back","CLAWED",IF(TODAY()&lt;=C7+SETTINGS!$I$2,"⚠ AT RISK","SAFE")))</f>
        <v/>
      </c>
      <c r="AU7" s="28"/>
      <c r="AW7" s="24" t="n">
        <f aca="false">AW6+IF(AND(C7&lt;&gt;"",AO7&lt;&gt;"",OR('REP COMMISSION'!$B$3="",T7='REP COMMISSION'!$B$3,W7='REP COMMISSION'!$B$3,Z7='REP COMMISSION'!$B$3)),1,0)</f>
        <v>0</v>
      </c>
      <c r="AX7" s="24" t="n">
        <f aca="false">AX6+IF(AND(C7&lt;&gt;"",OR(F7="LOC - INITIAL",F7="CONSOLIDATION - UPFRONT COMM",F7="REVERSE - TOTAL FUNDING")),1,0)</f>
        <v>0</v>
      </c>
    </row>
    <row r="8" customFormat="false" ht="15" hidden="false" customHeight="false" outlineLevel="0" collapsed="false">
      <c r="A8" s="8" t="str">
        <f aca="false">IF(C8&lt;&gt;"","F"&amp;COUNT($C$4:C8),"")</f>
        <v/>
      </c>
      <c r="B8" s="9" t="str">
        <f aca="false">IF(OR(F8="LOC - INITIAL",F8="CONSOLIDATION - UPFRONT COMM",F8="REVERSE - TOTAL FUNDING"),A8,"")</f>
        <v/>
      </c>
      <c r="C8" s="10"/>
      <c r="D8" s="11"/>
      <c r="E8" s="11"/>
      <c r="F8" s="11"/>
      <c r="G8" s="12"/>
      <c r="H8" s="13"/>
      <c r="I8" s="11"/>
      <c r="J8" s="14" t="str">
        <f aca="false">IF(AND(G8&lt;&gt;"",H8&lt;&gt;""),G8*H8,"")</f>
        <v/>
      </c>
      <c r="K8" s="11"/>
      <c r="L8" s="15"/>
      <c r="M8" s="15"/>
      <c r="N8" s="14" t="n">
        <f aca="false">IF(OR(G8="",M8=""),0,IF(M8&gt;100,M8,G8*IF(M8&gt;1,M8/100,M8)))</f>
        <v>0</v>
      </c>
      <c r="O8" s="14" t="str">
        <f aca="false">IF(G8="","",G8*IF(L8="",0,IF(L8&gt;1,L8/100,L8))+N8)</f>
        <v/>
      </c>
      <c r="P8" s="11"/>
      <c r="Q8" s="16" t="str">
        <f aca="false">IF(P8="","",IFERROR(VLOOKUP(P8,PARTNERS!$A$2:$B$30,2,0),""))</f>
        <v/>
      </c>
      <c r="R8" s="17" t="str">
        <f aca="false">IF(O8="","",IF(OR(P8="",Q8=""),0,(O8-N8)*IF(Q8&gt;1,Q8/100,Q8)))</f>
        <v/>
      </c>
      <c r="S8" s="14" t="str">
        <f aca="false">IF(O8="","",O8-R8)</f>
        <v/>
      </c>
      <c r="T8" s="11"/>
      <c r="U8" s="18" t="str">
        <f aca="false">IF(T8="","",IFERROR(VLOOKUP(T8,REPS!$A$2:$D$40,2,0),""))</f>
        <v/>
      </c>
      <c r="V8" s="14" t="str">
        <f aca="false">IF(O8="","",IF(U8="",0,O8*IF(U8&gt;1,U8/100,U8)))</f>
        <v/>
      </c>
      <c r="W8" s="11"/>
      <c r="X8" s="18" t="str">
        <f aca="false">IF(W8="","",IFERROR(VLOOKUP(W8,REPS!$A$2:$D$40,3,0),""))</f>
        <v/>
      </c>
      <c r="Y8" s="14" t="str">
        <f aca="false">IF(O8="","",IF(X8="",0,O8*IF(X8&gt;1,X8/100,X8)))</f>
        <v/>
      </c>
      <c r="Z8" s="11"/>
      <c r="AA8" s="18" t="str">
        <f aca="false">IF(Z8="","",IFERROR(VLOOKUP(Z8,REPS!$A$2:$D$40,4,0),""))</f>
        <v/>
      </c>
      <c r="AB8" s="14" t="str">
        <f aca="false">IF(O8="","",IF(AA8="",0,O8*IF(AA8&gt;1,AA8/100,AA8)))</f>
        <v/>
      </c>
      <c r="AC8" s="14" t="str">
        <f aca="false">IF(O8="","",V8+Y8+AB8)</f>
        <v/>
      </c>
      <c r="AD8" s="19" t="str">
        <f aca="false">IF(O8="","",O8-R8-AC8)</f>
        <v/>
      </c>
      <c r="AE8" s="20"/>
      <c r="AF8" s="10"/>
      <c r="AG8" s="21" t="n">
        <f aca="false">IF(OR(AE8="",AE8=0),0,AE8*IF(U8="",0,IF(U8&gt;1,U8/100,U8)))</f>
        <v>0</v>
      </c>
      <c r="AH8" s="21" t="n">
        <f aca="false">IF(OR(AE8="",AE8=0),0,AE8*IF(X8="",0,IF(X8&gt;1,X8/100,X8)))</f>
        <v>0</v>
      </c>
      <c r="AI8" s="21" t="n">
        <f aca="false">IF(OR(AE8="",AE8=0),0,AE8*IF(AA8="",0,IF(AA8&gt;1,AA8/100,AA8)))</f>
        <v>0</v>
      </c>
      <c r="AJ8" s="21" t="n">
        <f aca="false">AG8+AH8+AI8</f>
        <v>0</v>
      </c>
      <c r="AK8" s="21" t="n">
        <f aca="false">IF(OR(AE8="",AE8=0),0,AE8-AJ8)</f>
        <v>0</v>
      </c>
      <c r="AL8" s="19" t="str">
        <f aca="false">IF(AD8="","",AD8-AK8)</f>
        <v/>
      </c>
      <c r="AM8" s="9" t="str">
        <f aca="false">IF(C8="","","Waiting for payment")</f>
        <v/>
      </c>
      <c r="AN8" s="10"/>
      <c r="AO8" s="10"/>
      <c r="AP8" s="22" t="str">
        <f aca="false">IF(OR(C8="",I8="",K8=""),"",IF(K8="Monthly",EDATE(C8,ROUND(I8*SETTINGS!$I$8,0)),WORKDAY(C8,ROUND(I8*SETTINGS!$I$8,0))))</f>
        <v/>
      </c>
      <c r="AQ8" s="9" t="str">
        <f aca="true">IF(C8="","",IF(AND(AP8&lt;&gt;"",TODAY()&gt;=AP8),"Refi Ready",IF(TODAY()-C8&gt;=SETTINGS!$I$11,"Prospecting","Performing")))</f>
        <v/>
      </c>
      <c r="AR8" s="22" t="str">
        <f aca="false">IF(OR(C8="",I8="",K8=""),"",IF(K8="Monthly",EDATE(C8,I8),WORKDAY(C8,I8)))</f>
        <v/>
      </c>
      <c r="AS8" s="11"/>
      <c r="AT8" s="23" t="str">
        <f aca="true">IF(C8="","",IF(AM8="Clawed Back","CLAWED",IF(TODAY()&lt;=C8+SETTINGS!$I$2,"⚠ AT RISK","SAFE")))</f>
        <v/>
      </c>
      <c r="AU8" s="11"/>
      <c r="AW8" s="24" t="n">
        <f aca="false">AW7+IF(AND(C8&lt;&gt;"",AO8&lt;&gt;"",OR('REP COMMISSION'!$B$3="",T8='REP COMMISSION'!$B$3,W8='REP COMMISSION'!$B$3,Z8='REP COMMISSION'!$B$3)),1,0)</f>
        <v>0</v>
      </c>
      <c r="AX8" s="24" t="n">
        <f aca="false">AX7+IF(AND(C8&lt;&gt;"",OR(F8="LOC - INITIAL",F8="CONSOLIDATION - UPFRONT COMM",F8="REVERSE - TOTAL FUNDING")),1,0)</f>
        <v>0</v>
      </c>
    </row>
    <row r="9" customFormat="false" ht="15" hidden="false" customHeight="false" outlineLevel="0" collapsed="false">
      <c r="A9" s="25" t="str">
        <f aca="false">IF(C9&lt;&gt;"","F"&amp;COUNT($C$4:C9),"")</f>
        <v/>
      </c>
      <c r="B9" s="26" t="str">
        <f aca="false">IF(OR(F9="LOC - INITIAL",F9="CONSOLIDATION - UPFRONT COMM",F9="REVERSE - TOTAL FUNDING"),A9,"")</f>
        <v/>
      </c>
      <c r="C9" s="27"/>
      <c r="D9" s="28"/>
      <c r="E9" s="28"/>
      <c r="F9" s="28"/>
      <c r="G9" s="29"/>
      <c r="H9" s="30"/>
      <c r="I9" s="28"/>
      <c r="J9" s="31" t="str">
        <f aca="false">IF(AND(G9&lt;&gt;"",H9&lt;&gt;""),G9*H9,"")</f>
        <v/>
      </c>
      <c r="K9" s="28"/>
      <c r="L9" s="32"/>
      <c r="M9" s="32"/>
      <c r="N9" s="31" t="n">
        <f aca="false">IF(OR(G9="",M9=""),0,IF(M9&gt;100,M9,G9*IF(M9&gt;1,M9/100,M9)))</f>
        <v>0</v>
      </c>
      <c r="O9" s="31" t="str">
        <f aca="false">IF(G9="","",G9*IF(L9="",0,IF(L9&gt;1,L9/100,L9))+N9)</f>
        <v/>
      </c>
      <c r="P9" s="28"/>
      <c r="Q9" s="33" t="str">
        <f aca="false">IF(P9="","",IFERROR(VLOOKUP(P9,PARTNERS!$A$2:$B$30,2,0),""))</f>
        <v/>
      </c>
      <c r="R9" s="17" t="str">
        <f aca="false">IF(O9="","",IF(OR(P9="",Q9=""),0,(O9-N9)*IF(Q9&gt;1,Q9/100,Q9)))</f>
        <v/>
      </c>
      <c r="S9" s="31" t="str">
        <f aca="false">IF(O9="","",O9-R9)</f>
        <v/>
      </c>
      <c r="T9" s="28"/>
      <c r="U9" s="34" t="str">
        <f aca="false">IF(T9="","",IFERROR(VLOOKUP(T9,REPS!$A$2:$D$40,2,0),""))</f>
        <v/>
      </c>
      <c r="V9" s="31" t="str">
        <f aca="false">IF(O9="","",IF(U9="",0,O9*IF(U9&gt;1,U9/100,U9)))</f>
        <v/>
      </c>
      <c r="W9" s="28"/>
      <c r="X9" s="34" t="str">
        <f aca="false">IF(W9="","",IFERROR(VLOOKUP(W9,REPS!$A$2:$D$40,3,0),""))</f>
        <v/>
      </c>
      <c r="Y9" s="31" t="str">
        <f aca="false">IF(O9="","",IF(X9="",0,O9*IF(X9&gt;1,X9/100,X9)))</f>
        <v/>
      </c>
      <c r="Z9" s="28"/>
      <c r="AA9" s="34" t="str">
        <f aca="false">IF(Z9="","",IFERROR(VLOOKUP(Z9,REPS!$A$2:$D$40,4,0),""))</f>
        <v/>
      </c>
      <c r="AB9" s="31" t="str">
        <f aca="false">IF(O9="","",IF(AA9="",0,O9*IF(AA9&gt;1,AA9/100,AA9)))</f>
        <v/>
      </c>
      <c r="AC9" s="31" t="str">
        <f aca="false">IF(O9="","",V9+Y9+AB9)</f>
        <v/>
      </c>
      <c r="AD9" s="19" t="str">
        <f aca="false">IF(O9="","",O9-R9-AC9)</f>
        <v/>
      </c>
      <c r="AE9" s="20"/>
      <c r="AF9" s="27"/>
      <c r="AG9" s="21" t="n">
        <f aca="false">IF(OR(AE9="",AE9=0),0,AE9*IF(U9="",0,IF(U9&gt;1,U9/100,U9)))</f>
        <v>0</v>
      </c>
      <c r="AH9" s="21" t="n">
        <f aca="false">IF(OR(AE9="",AE9=0),0,AE9*IF(X9="",0,IF(X9&gt;1,X9/100,X9)))</f>
        <v>0</v>
      </c>
      <c r="AI9" s="21" t="n">
        <f aca="false">IF(OR(AE9="",AE9=0),0,AE9*IF(AA9="",0,IF(AA9&gt;1,AA9/100,AA9)))</f>
        <v>0</v>
      </c>
      <c r="AJ9" s="21" t="n">
        <f aca="false">AG9+AH9+AI9</f>
        <v>0</v>
      </c>
      <c r="AK9" s="21" t="n">
        <f aca="false">IF(OR(AE9="",AE9=0),0,AE9-AJ9)</f>
        <v>0</v>
      </c>
      <c r="AL9" s="19" t="str">
        <f aca="false">IF(AD9="","",AD9-AK9)</f>
        <v/>
      </c>
      <c r="AM9" s="26" t="str">
        <f aca="false">IF(C9="","","Waiting for payment")</f>
        <v/>
      </c>
      <c r="AN9" s="27"/>
      <c r="AO9" s="27"/>
      <c r="AP9" s="35" t="str">
        <f aca="false">IF(OR(C9="",I9="",K9=""),"",IF(K9="Monthly",EDATE(C9,ROUND(I9*SETTINGS!$I$8,0)),WORKDAY(C9,ROUND(I9*SETTINGS!$I$8,0))))</f>
        <v/>
      </c>
      <c r="AQ9" s="26" t="str">
        <f aca="true">IF(C9="","",IF(AND(AP9&lt;&gt;"",TODAY()&gt;=AP9),"Refi Ready",IF(TODAY()-C9&gt;=SETTINGS!$I$11,"Prospecting","Performing")))</f>
        <v/>
      </c>
      <c r="AR9" s="35" t="str">
        <f aca="false">IF(OR(C9="",I9="",K9=""),"",IF(K9="Monthly",EDATE(C9,I9),WORKDAY(C9,I9)))</f>
        <v/>
      </c>
      <c r="AS9" s="28"/>
      <c r="AT9" s="36" t="str">
        <f aca="true">IF(C9="","",IF(AM9="Clawed Back","CLAWED",IF(TODAY()&lt;=C9+SETTINGS!$I$2,"⚠ AT RISK","SAFE")))</f>
        <v/>
      </c>
      <c r="AU9" s="28"/>
      <c r="AW9" s="24" t="n">
        <f aca="false">AW8+IF(AND(C9&lt;&gt;"",AO9&lt;&gt;"",OR('REP COMMISSION'!$B$3="",T9='REP COMMISSION'!$B$3,W9='REP COMMISSION'!$B$3,Z9='REP COMMISSION'!$B$3)),1,0)</f>
        <v>0</v>
      </c>
      <c r="AX9" s="24" t="n">
        <f aca="false">AX8+IF(AND(C9&lt;&gt;"",OR(F9="LOC - INITIAL",F9="CONSOLIDATION - UPFRONT COMM",F9="REVERSE - TOTAL FUNDING")),1,0)</f>
        <v>0</v>
      </c>
    </row>
    <row r="10" customFormat="false" ht="15" hidden="false" customHeight="false" outlineLevel="0" collapsed="false">
      <c r="A10" s="8" t="str">
        <f aca="false">IF(C10&lt;&gt;"","F"&amp;COUNT($C$4:C10),"")</f>
        <v/>
      </c>
      <c r="B10" s="9" t="str">
        <f aca="false">IF(OR(F10="LOC - INITIAL",F10="CONSOLIDATION - UPFRONT COMM",F10="REVERSE - TOTAL FUNDING"),A10,"")</f>
        <v/>
      </c>
      <c r="C10" s="10"/>
      <c r="D10" s="11"/>
      <c r="E10" s="11"/>
      <c r="F10" s="11"/>
      <c r="G10" s="12"/>
      <c r="H10" s="13"/>
      <c r="I10" s="11"/>
      <c r="J10" s="14" t="str">
        <f aca="false">IF(AND(G10&lt;&gt;"",H10&lt;&gt;""),G10*H10,"")</f>
        <v/>
      </c>
      <c r="K10" s="11"/>
      <c r="L10" s="15"/>
      <c r="M10" s="15"/>
      <c r="N10" s="14" t="n">
        <f aca="false">IF(OR(G10="",M10=""),0,IF(M10&gt;100,M10,G10*IF(M10&gt;1,M10/100,M10)))</f>
        <v>0</v>
      </c>
      <c r="O10" s="14" t="str">
        <f aca="false">IF(G10="","",G10*IF(L10="",0,IF(L10&gt;1,L10/100,L10))+N10)</f>
        <v/>
      </c>
      <c r="P10" s="11"/>
      <c r="Q10" s="16" t="str">
        <f aca="false">IF(P10="","",IFERROR(VLOOKUP(P10,PARTNERS!$A$2:$B$30,2,0),""))</f>
        <v/>
      </c>
      <c r="R10" s="17" t="str">
        <f aca="false">IF(O10="","",IF(OR(P10="",Q10=""),0,(O10-N10)*IF(Q10&gt;1,Q10/100,Q10)))</f>
        <v/>
      </c>
      <c r="S10" s="14" t="str">
        <f aca="false">IF(O10="","",O10-R10)</f>
        <v/>
      </c>
      <c r="T10" s="11"/>
      <c r="U10" s="18" t="str">
        <f aca="false">IF(T10="","",IFERROR(VLOOKUP(T10,REPS!$A$2:$D$40,2,0),""))</f>
        <v/>
      </c>
      <c r="V10" s="14" t="str">
        <f aca="false">IF(O10="","",IF(U10="",0,O10*IF(U10&gt;1,U10/100,U10)))</f>
        <v/>
      </c>
      <c r="W10" s="11"/>
      <c r="X10" s="18" t="str">
        <f aca="false">IF(W10="","",IFERROR(VLOOKUP(W10,REPS!$A$2:$D$40,3,0),""))</f>
        <v/>
      </c>
      <c r="Y10" s="14" t="str">
        <f aca="false">IF(O10="","",IF(X10="",0,O10*IF(X10&gt;1,X10/100,X10)))</f>
        <v/>
      </c>
      <c r="Z10" s="11"/>
      <c r="AA10" s="18" t="str">
        <f aca="false">IF(Z10="","",IFERROR(VLOOKUP(Z10,REPS!$A$2:$D$40,4,0),""))</f>
        <v/>
      </c>
      <c r="AB10" s="14" t="str">
        <f aca="false">IF(O10="","",IF(AA10="",0,O10*IF(AA10&gt;1,AA10/100,AA10)))</f>
        <v/>
      </c>
      <c r="AC10" s="14" t="str">
        <f aca="false">IF(O10="","",V10+Y10+AB10)</f>
        <v/>
      </c>
      <c r="AD10" s="19" t="str">
        <f aca="false">IF(O10="","",O10-R10-AC10)</f>
        <v/>
      </c>
      <c r="AE10" s="20"/>
      <c r="AF10" s="10"/>
      <c r="AG10" s="21" t="n">
        <f aca="false">IF(OR(AE10="",AE10=0),0,AE10*IF(U10="",0,IF(U10&gt;1,U10/100,U10)))</f>
        <v>0</v>
      </c>
      <c r="AH10" s="21" t="n">
        <f aca="false">IF(OR(AE10="",AE10=0),0,AE10*IF(X10="",0,IF(X10&gt;1,X10/100,X10)))</f>
        <v>0</v>
      </c>
      <c r="AI10" s="21" t="n">
        <f aca="false">IF(OR(AE10="",AE10=0),0,AE10*IF(AA10="",0,IF(AA10&gt;1,AA10/100,AA10)))</f>
        <v>0</v>
      </c>
      <c r="AJ10" s="21" t="n">
        <f aca="false">AG10+AH10+AI10</f>
        <v>0</v>
      </c>
      <c r="AK10" s="21" t="n">
        <f aca="false">IF(OR(AE10="",AE10=0),0,AE10-AJ10)</f>
        <v>0</v>
      </c>
      <c r="AL10" s="19" t="str">
        <f aca="false">IF(AD10="","",AD10-AK10)</f>
        <v/>
      </c>
      <c r="AM10" s="9" t="str">
        <f aca="false">IF(C10="","","Waiting for payment")</f>
        <v/>
      </c>
      <c r="AN10" s="10"/>
      <c r="AO10" s="10"/>
      <c r="AP10" s="22" t="str">
        <f aca="false">IF(OR(C10="",I10="",K10=""),"",IF(K10="Monthly",EDATE(C10,ROUND(I10*SETTINGS!$I$8,0)),WORKDAY(C10,ROUND(I10*SETTINGS!$I$8,0))))</f>
        <v/>
      </c>
      <c r="AQ10" s="9" t="str">
        <f aca="true">IF(C10="","",IF(AND(AP10&lt;&gt;"",TODAY()&gt;=AP10),"Refi Ready",IF(TODAY()-C10&gt;=SETTINGS!$I$11,"Prospecting","Performing")))</f>
        <v/>
      </c>
      <c r="AR10" s="22" t="str">
        <f aca="false">IF(OR(C10="",I10="",K10=""),"",IF(K10="Monthly",EDATE(C10,I10),WORKDAY(C10,I10)))</f>
        <v/>
      </c>
      <c r="AS10" s="11"/>
      <c r="AT10" s="23" t="str">
        <f aca="true">IF(C10="","",IF(AM10="Clawed Back","CLAWED",IF(TODAY()&lt;=C10+SETTINGS!$I$2,"⚠ AT RISK","SAFE")))</f>
        <v/>
      </c>
      <c r="AU10" s="11"/>
      <c r="AW10" s="24" t="n">
        <f aca="false">AW9+IF(AND(C10&lt;&gt;"",AO10&lt;&gt;"",OR('REP COMMISSION'!$B$3="",T10='REP COMMISSION'!$B$3,W10='REP COMMISSION'!$B$3,Z10='REP COMMISSION'!$B$3)),1,0)</f>
        <v>0</v>
      </c>
      <c r="AX10" s="24" t="n">
        <f aca="false">AX9+IF(AND(C10&lt;&gt;"",OR(F10="LOC - INITIAL",F10="CONSOLIDATION - UPFRONT COMM",F10="REVERSE - TOTAL FUNDING")),1,0)</f>
        <v>0</v>
      </c>
    </row>
    <row r="11" customFormat="false" ht="15" hidden="false" customHeight="false" outlineLevel="0" collapsed="false">
      <c r="A11" s="25" t="str">
        <f aca="false">IF(C11&lt;&gt;"","F"&amp;COUNT($C$4:C11),"")</f>
        <v/>
      </c>
      <c r="B11" s="26" t="str">
        <f aca="false">IF(OR(F11="LOC - INITIAL",F11="CONSOLIDATION - UPFRONT COMM",F11="REVERSE - TOTAL FUNDING"),A11,"")</f>
        <v/>
      </c>
      <c r="C11" s="27"/>
      <c r="D11" s="28"/>
      <c r="E11" s="28"/>
      <c r="F11" s="28"/>
      <c r="G11" s="29"/>
      <c r="H11" s="30"/>
      <c r="I11" s="28"/>
      <c r="J11" s="31" t="str">
        <f aca="false">IF(AND(G11&lt;&gt;"",H11&lt;&gt;""),G11*H11,"")</f>
        <v/>
      </c>
      <c r="K11" s="28"/>
      <c r="L11" s="32"/>
      <c r="M11" s="32"/>
      <c r="N11" s="31" t="n">
        <f aca="false">IF(OR(G11="",M11=""),0,IF(M11&gt;100,M11,G11*IF(M11&gt;1,M11/100,M11)))</f>
        <v>0</v>
      </c>
      <c r="O11" s="31" t="str">
        <f aca="false">IF(G11="","",G11*IF(L11="",0,IF(L11&gt;1,L11/100,L11))+N11)</f>
        <v/>
      </c>
      <c r="P11" s="28"/>
      <c r="Q11" s="33" t="str">
        <f aca="false">IF(P11="","",IFERROR(VLOOKUP(P11,PARTNERS!$A$2:$B$30,2,0),""))</f>
        <v/>
      </c>
      <c r="R11" s="17" t="str">
        <f aca="false">IF(O11="","",IF(OR(P11="",Q11=""),0,(O11-N11)*IF(Q11&gt;1,Q11/100,Q11)))</f>
        <v/>
      </c>
      <c r="S11" s="31" t="str">
        <f aca="false">IF(O11="","",O11-R11)</f>
        <v/>
      </c>
      <c r="T11" s="28"/>
      <c r="U11" s="34" t="str">
        <f aca="false">IF(T11="","",IFERROR(VLOOKUP(T11,REPS!$A$2:$D$40,2,0),""))</f>
        <v/>
      </c>
      <c r="V11" s="31" t="str">
        <f aca="false">IF(O11="","",IF(U11="",0,O11*IF(U11&gt;1,U11/100,U11)))</f>
        <v/>
      </c>
      <c r="W11" s="28"/>
      <c r="X11" s="34" t="str">
        <f aca="false">IF(W11="","",IFERROR(VLOOKUP(W11,REPS!$A$2:$D$40,3,0),""))</f>
        <v/>
      </c>
      <c r="Y11" s="31" t="str">
        <f aca="false">IF(O11="","",IF(X11="",0,O11*IF(X11&gt;1,X11/100,X11)))</f>
        <v/>
      </c>
      <c r="Z11" s="28"/>
      <c r="AA11" s="34" t="str">
        <f aca="false">IF(Z11="","",IFERROR(VLOOKUP(Z11,REPS!$A$2:$D$40,4,0),""))</f>
        <v/>
      </c>
      <c r="AB11" s="31" t="str">
        <f aca="false">IF(O11="","",IF(AA11="",0,O11*IF(AA11&gt;1,AA11/100,AA11)))</f>
        <v/>
      </c>
      <c r="AC11" s="31" t="str">
        <f aca="false">IF(O11="","",V11+Y11+AB11)</f>
        <v/>
      </c>
      <c r="AD11" s="19" t="str">
        <f aca="false">IF(O11="","",O11-R11-AC11)</f>
        <v/>
      </c>
      <c r="AE11" s="20"/>
      <c r="AF11" s="27"/>
      <c r="AG11" s="21" t="n">
        <f aca="false">IF(OR(AE11="",AE11=0),0,AE11*IF(U11="",0,IF(U11&gt;1,U11/100,U11)))</f>
        <v>0</v>
      </c>
      <c r="AH11" s="21" t="n">
        <f aca="false">IF(OR(AE11="",AE11=0),0,AE11*IF(X11="",0,IF(X11&gt;1,X11/100,X11)))</f>
        <v>0</v>
      </c>
      <c r="AI11" s="21" t="n">
        <f aca="false">IF(OR(AE11="",AE11=0),0,AE11*IF(AA11="",0,IF(AA11&gt;1,AA11/100,AA11)))</f>
        <v>0</v>
      </c>
      <c r="AJ11" s="21" t="n">
        <f aca="false">AG11+AH11+AI11</f>
        <v>0</v>
      </c>
      <c r="AK11" s="21" t="n">
        <f aca="false">IF(OR(AE11="",AE11=0),0,AE11-AJ11)</f>
        <v>0</v>
      </c>
      <c r="AL11" s="19" t="str">
        <f aca="false">IF(AD11="","",AD11-AK11)</f>
        <v/>
      </c>
      <c r="AM11" s="26" t="str">
        <f aca="false">IF(C11="","","Waiting for payment")</f>
        <v/>
      </c>
      <c r="AN11" s="27"/>
      <c r="AO11" s="27"/>
      <c r="AP11" s="35" t="str">
        <f aca="false">IF(OR(C11="",I11="",K11=""),"",IF(K11="Monthly",EDATE(C11,ROUND(I11*SETTINGS!$I$8,0)),WORKDAY(C11,ROUND(I11*SETTINGS!$I$8,0))))</f>
        <v/>
      </c>
      <c r="AQ11" s="26" t="str">
        <f aca="true">IF(C11="","",IF(AND(AP11&lt;&gt;"",TODAY()&gt;=AP11),"Refi Ready",IF(TODAY()-C11&gt;=SETTINGS!$I$11,"Prospecting","Performing")))</f>
        <v/>
      </c>
      <c r="AR11" s="35" t="str">
        <f aca="false">IF(OR(C11="",I11="",K11=""),"",IF(K11="Monthly",EDATE(C11,I11),WORKDAY(C11,I11)))</f>
        <v/>
      </c>
      <c r="AS11" s="28"/>
      <c r="AT11" s="36" t="str">
        <f aca="true">IF(C11="","",IF(AM11="Clawed Back","CLAWED",IF(TODAY()&lt;=C11+SETTINGS!$I$2,"⚠ AT RISK","SAFE")))</f>
        <v/>
      </c>
      <c r="AU11" s="28"/>
      <c r="AW11" s="24" t="n">
        <f aca="false">AW10+IF(AND(C11&lt;&gt;"",AO11&lt;&gt;"",OR('REP COMMISSION'!$B$3="",T11='REP COMMISSION'!$B$3,W11='REP COMMISSION'!$B$3,Z11='REP COMMISSION'!$B$3)),1,0)</f>
        <v>0</v>
      </c>
      <c r="AX11" s="24" t="n">
        <f aca="false">AX10+IF(AND(C11&lt;&gt;"",OR(F11="LOC - INITIAL",F11="CONSOLIDATION - UPFRONT COMM",F11="REVERSE - TOTAL FUNDING")),1,0)</f>
        <v>0</v>
      </c>
    </row>
    <row r="12" customFormat="false" ht="15" hidden="false" customHeight="false" outlineLevel="0" collapsed="false">
      <c r="A12" s="8" t="str">
        <f aca="false">IF(C12&lt;&gt;"","F"&amp;COUNT($C$4:C12),"")</f>
        <v/>
      </c>
      <c r="B12" s="9" t="str">
        <f aca="false">IF(OR(F12="LOC - INITIAL",F12="CONSOLIDATION - UPFRONT COMM",F12="REVERSE - TOTAL FUNDING"),A12,"")</f>
        <v/>
      </c>
      <c r="C12" s="10"/>
      <c r="D12" s="11"/>
      <c r="E12" s="11"/>
      <c r="F12" s="11"/>
      <c r="G12" s="12"/>
      <c r="H12" s="13"/>
      <c r="I12" s="11"/>
      <c r="J12" s="14" t="str">
        <f aca="false">IF(AND(G12&lt;&gt;"",H12&lt;&gt;""),G12*H12,"")</f>
        <v/>
      </c>
      <c r="K12" s="11"/>
      <c r="L12" s="15"/>
      <c r="M12" s="15"/>
      <c r="N12" s="14" t="n">
        <f aca="false">IF(OR(G12="",M12=""),0,IF(M12&gt;100,M12,G12*IF(M12&gt;1,M12/100,M12)))</f>
        <v>0</v>
      </c>
      <c r="O12" s="14" t="str">
        <f aca="false">IF(G12="","",G12*IF(L12="",0,IF(L12&gt;1,L12/100,L12))+N12)</f>
        <v/>
      </c>
      <c r="P12" s="11"/>
      <c r="Q12" s="16" t="str">
        <f aca="false">IF(P12="","",IFERROR(VLOOKUP(P12,PARTNERS!$A$2:$B$30,2,0),""))</f>
        <v/>
      </c>
      <c r="R12" s="17" t="str">
        <f aca="false">IF(O12="","",IF(OR(P12="",Q12=""),0,(O12-N12)*IF(Q12&gt;1,Q12/100,Q12)))</f>
        <v/>
      </c>
      <c r="S12" s="14" t="str">
        <f aca="false">IF(O12="","",O12-R12)</f>
        <v/>
      </c>
      <c r="T12" s="11"/>
      <c r="U12" s="18" t="str">
        <f aca="false">IF(T12="","",IFERROR(VLOOKUP(T12,REPS!$A$2:$D$40,2,0),""))</f>
        <v/>
      </c>
      <c r="V12" s="14" t="str">
        <f aca="false">IF(O12="","",IF(U12="",0,O12*IF(U12&gt;1,U12/100,U12)))</f>
        <v/>
      </c>
      <c r="W12" s="11"/>
      <c r="X12" s="18" t="str">
        <f aca="false">IF(W12="","",IFERROR(VLOOKUP(W12,REPS!$A$2:$D$40,3,0),""))</f>
        <v/>
      </c>
      <c r="Y12" s="14" t="str">
        <f aca="false">IF(O12="","",IF(X12="",0,O12*IF(X12&gt;1,X12/100,X12)))</f>
        <v/>
      </c>
      <c r="Z12" s="11"/>
      <c r="AA12" s="18" t="str">
        <f aca="false">IF(Z12="","",IFERROR(VLOOKUP(Z12,REPS!$A$2:$D$40,4,0),""))</f>
        <v/>
      </c>
      <c r="AB12" s="14" t="str">
        <f aca="false">IF(O12="","",IF(AA12="",0,O12*IF(AA12&gt;1,AA12/100,AA12)))</f>
        <v/>
      </c>
      <c r="AC12" s="14" t="str">
        <f aca="false">IF(O12="","",V12+Y12+AB12)</f>
        <v/>
      </c>
      <c r="AD12" s="19" t="str">
        <f aca="false">IF(O12="","",O12-R12-AC12)</f>
        <v/>
      </c>
      <c r="AE12" s="20"/>
      <c r="AF12" s="10"/>
      <c r="AG12" s="21" t="n">
        <f aca="false">IF(OR(AE12="",AE12=0),0,AE12*IF(U12="",0,IF(U12&gt;1,U12/100,U12)))</f>
        <v>0</v>
      </c>
      <c r="AH12" s="21" t="n">
        <f aca="false">IF(OR(AE12="",AE12=0),0,AE12*IF(X12="",0,IF(X12&gt;1,X12/100,X12)))</f>
        <v>0</v>
      </c>
      <c r="AI12" s="21" t="n">
        <f aca="false">IF(OR(AE12="",AE12=0),0,AE12*IF(AA12="",0,IF(AA12&gt;1,AA12/100,AA12)))</f>
        <v>0</v>
      </c>
      <c r="AJ12" s="21" t="n">
        <f aca="false">AG12+AH12+AI12</f>
        <v>0</v>
      </c>
      <c r="AK12" s="21" t="n">
        <f aca="false">IF(OR(AE12="",AE12=0),0,AE12-AJ12)</f>
        <v>0</v>
      </c>
      <c r="AL12" s="19" t="str">
        <f aca="false">IF(AD12="","",AD12-AK12)</f>
        <v/>
      </c>
      <c r="AM12" s="9" t="str">
        <f aca="false">IF(C12="","","Waiting for payment")</f>
        <v/>
      </c>
      <c r="AN12" s="10"/>
      <c r="AO12" s="10"/>
      <c r="AP12" s="22" t="str">
        <f aca="false">IF(OR(C12="",I12="",K12=""),"",IF(K12="Monthly",EDATE(C12,ROUND(I12*SETTINGS!$I$8,0)),WORKDAY(C12,ROUND(I12*SETTINGS!$I$8,0))))</f>
        <v/>
      </c>
      <c r="AQ12" s="9" t="str">
        <f aca="true">IF(C12="","",IF(AND(AP12&lt;&gt;"",TODAY()&gt;=AP12),"Refi Ready",IF(TODAY()-C12&gt;=SETTINGS!$I$11,"Prospecting","Performing")))</f>
        <v/>
      </c>
      <c r="AR12" s="22" t="str">
        <f aca="false">IF(OR(C12="",I12="",K12=""),"",IF(K12="Monthly",EDATE(C12,I12),WORKDAY(C12,I12)))</f>
        <v/>
      </c>
      <c r="AS12" s="11"/>
      <c r="AT12" s="23" t="str">
        <f aca="true">IF(C12="","",IF(AM12="Clawed Back","CLAWED",IF(TODAY()&lt;=C12+SETTINGS!$I$2,"⚠ AT RISK","SAFE")))</f>
        <v/>
      </c>
      <c r="AU12" s="11"/>
      <c r="AW12" s="24" t="n">
        <f aca="false">AW11+IF(AND(C12&lt;&gt;"",AO12&lt;&gt;"",OR('REP COMMISSION'!$B$3="",T12='REP COMMISSION'!$B$3,W12='REP COMMISSION'!$B$3,Z12='REP COMMISSION'!$B$3)),1,0)</f>
        <v>0</v>
      </c>
      <c r="AX12" s="24" t="n">
        <f aca="false">AX11+IF(AND(C12&lt;&gt;"",OR(F12="LOC - INITIAL",F12="CONSOLIDATION - UPFRONT COMM",F12="REVERSE - TOTAL FUNDING")),1,0)</f>
        <v>0</v>
      </c>
    </row>
    <row r="13" customFormat="false" ht="15" hidden="false" customHeight="false" outlineLevel="0" collapsed="false">
      <c r="A13" s="25" t="str">
        <f aca="false">IF(C13&lt;&gt;"","F"&amp;COUNT($C$4:C13),"")</f>
        <v/>
      </c>
      <c r="B13" s="26" t="str">
        <f aca="false">IF(OR(F13="LOC - INITIAL",F13="CONSOLIDATION - UPFRONT COMM",F13="REVERSE - TOTAL FUNDING"),A13,"")</f>
        <v/>
      </c>
      <c r="C13" s="27"/>
      <c r="D13" s="28"/>
      <c r="E13" s="28"/>
      <c r="F13" s="28"/>
      <c r="G13" s="29"/>
      <c r="H13" s="30"/>
      <c r="I13" s="28"/>
      <c r="J13" s="31" t="str">
        <f aca="false">IF(AND(G13&lt;&gt;"",H13&lt;&gt;""),G13*H13,"")</f>
        <v/>
      </c>
      <c r="K13" s="28"/>
      <c r="L13" s="32"/>
      <c r="M13" s="32"/>
      <c r="N13" s="31" t="n">
        <f aca="false">IF(OR(G13="",M13=""),0,IF(M13&gt;100,M13,G13*IF(M13&gt;1,M13/100,M13)))</f>
        <v>0</v>
      </c>
      <c r="O13" s="31" t="str">
        <f aca="false">IF(G13="","",G13*IF(L13="",0,IF(L13&gt;1,L13/100,L13))+N13)</f>
        <v/>
      </c>
      <c r="P13" s="28"/>
      <c r="Q13" s="33" t="str">
        <f aca="false">IF(P13="","",IFERROR(VLOOKUP(P13,PARTNERS!$A$2:$B$30,2,0),""))</f>
        <v/>
      </c>
      <c r="R13" s="17" t="str">
        <f aca="false">IF(O13="","",IF(OR(P13="",Q13=""),0,(O13-N13)*IF(Q13&gt;1,Q13/100,Q13)))</f>
        <v/>
      </c>
      <c r="S13" s="31" t="str">
        <f aca="false">IF(O13="","",O13-R13)</f>
        <v/>
      </c>
      <c r="T13" s="28"/>
      <c r="U13" s="34" t="str">
        <f aca="false">IF(T13="","",IFERROR(VLOOKUP(T13,REPS!$A$2:$D$40,2,0),""))</f>
        <v/>
      </c>
      <c r="V13" s="31" t="str">
        <f aca="false">IF(O13="","",IF(U13="",0,O13*IF(U13&gt;1,U13/100,U13)))</f>
        <v/>
      </c>
      <c r="W13" s="28"/>
      <c r="X13" s="34" t="str">
        <f aca="false">IF(W13="","",IFERROR(VLOOKUP(W13,REPS!$A$2:$D$40,3,0),""))</f>
        <v/>
      </c>
      <c r="Y13" s="31" t="str">
        <f aca="false">IF(O13="","",IF(X13="",0,O13*IF(X13&gt;1,X13/100,X13)))</f>
        <v/>
      </c>
      <c r="Z13" s="28"/>
      <c r="AA13" s="34" t="str">
        <f aca="false">IF(Z13="","",IFERROR(VLOOKUP(Z13,REPS!$A$2:$D$40,4,0),""))</f>
        <v/>
      </c>
      <c r="AB13" s="31" t="str">
        <f aca="false">IF(O13="","",IF(AA13="",0,O13*IF(AA13&gt;1,AA13/100,AA13)))</f>
        <v/>
      </c>
      <c r="AC13" s="31" t="str">
        <f aca="false">IF(O13="","",V13+Y13+AB13)</f>
        <v/>
      </c>
      <c r="AD13" s="19" t="str">
        <f aca="false">IF(O13="","",O13-R13-AC13)</f>
        <v/>
      </c>
      <c r="AE13" s="20"/>
      <c r="AF13" s="27"/>
      <c r="AG13" s="21" t="n">
        <f aca="false">IF(OR(AE13="",AE13=0),0,AE13*IF(U13="",0,IF(U13&gt;1,U13/100,U13)))</f>
        <v>0</v>
      </c>
      <c r="AH13" s="21" t="n">
        <f aca="false">IF(OR(AE13="",AE13=0),0,AE13*IF(X13="",0,IF(X13&gt;1,X13/100,X13)))</f>
        <v>0</v>
      </c>
      <c r="AI13" s="21" t="n">
        <f aca="false">IF(OR(AE13="",AE13=0),0,AE13*IF(AA13="",0,IF(AA13&gt;1,AA13/100,AA13)))</f>
        <v>0</v>
      </c>
      <c r="AJ13" s="21" t="n">
        <f aca="false">AG13+AH13+AI13</f>
        <v>0</v>
      </c>
      <c r="AK13" s="21" t="n">
        <f aca="false">IF(OR(AE13="",AE13=0),0,AE13-AJ13)</f>
        <v>0</v>
      </c>
      <c r="AL13" s="19" t="str">
        <f aca="false">IF(AD13="","",AD13-AK13)</f>
        <v/>
      </c>
      <c r="AM13" s="26" t="str">
        <f aca="false">IF(C13="","","Waiting for payment")</f>
        <v/>
      </c>
      <c r="AN13" s="27"/>
      <c r="AO13" s="27"/>
      <c r="AP13" s="35" t="str">
        <f aca="false">IF(OR(C13="",I13="",K13=""),"",IF(K13="Monthly",EDATE(C13,ROUND(I13*SETTINGS!$I$8,0)),WORKDAY(C13,ROUND(I13*SETTINGS!$I$8,0))))</f>
        <v/>
      </c>
      <c r="AQ13" s="26" t="str">
        <f aca="true">IF(C13="","",IF(AND(AP13&lt;&gt;"",TODAY()&gt;=AP13),"Refi Ready",IF(TODAY()-C13&gt;=SETTINGS!$I$11,"Prospecting","Performing")))</f>
        <v/>
      </c>
      <c r="AR13" s="35" t="str">
        <f aca="false">IF(OR(C13="",I13="",K13=""),"",IF(K13="Monthly",EDATE(C13,I13),WORKDAY(C13,I13)))</f>
        <v/>
      </c>
      <c r="AS13" s="28"/>
      <c r="AT13" s="36" t="str">
        <f aca="true">IF(C13="","",IF(AM13="Clawed Back","CLAWED",IF(TODAY()&lt;=C13+SETTINGS!$I$2,"⚠ AT RISK","SAFE")))</f>
        <v/>
      </c>
      <c r="AU13" s="28"/>
      <c r="AW13" s="24" t="n">
        <f aca="false">AW12+IF(AND(C13&lt;&gt;"",AO13&lt;&gt;"",OR('REP COMMISSION'!$B$3="",T13='REP COMMISSION'!$B$3,W13='REP COMMISSION'!$B$3,Z13='REP COMMISSION'!$B$3)),1,0)</f>
        <v>0</v>
      </c>
      <c r="AX13" s="24" t="n">
        <f aca="false">AX12+IF(AND(C13&lt;&gt;"",OR(F13="LOC - INITIAL",F13="CONSOLIDATION - UPFRONT COMM",F13="REVERSE - TOTAL FUNDING")),1,0)</f>
        <v>0</v>
      </c>
    </row>
    <row r="14" customFormat="false" ht="15" hidden="false" customHeight="false" outlineLevel="0" collapsed="false">
      <c r="A14" s="8" t="str">
        <f aca="false">IF(C14&lt;&gt;"","F"&amp;COUNT($C$4:C14),"")</f>
        <v/>
      </c>
      <c r="B14" s="9" t="str">
        <f aca="false">IF(OR(F14="LOC - INITIAL",F14="CONSOLIDATION - UPFRONT COMM",F14="REVERSE - TOTAL FUNDING"),A14,"")</f>
        <v/>
      </c>
      <c r="C14" s="10"/>
      <c r="D14" s="11"/>
      <c r="E14" s="11"/>
      <c r="F14" s="11"/>
      <c r="G14" s="12"/>
      <c r="H14" s="13"/>
      <c r="I14" s="11"/>
      <c r="J14" s="14" t="str">
        <f aca="false">IF(AND(G14&lt;&gt;"",H14&lt;&gt;""),G14*H14,"")</f>
        <v/>
      </c>
      <c r="K14" s="11"/>
      <c r="L14" s="15"/>
      <c r="M14" s="15"/>
      <c r="N14" s="14" t="n">
        <f aca="false">IF(OR(G14="",M14=""),0,IF(M14&gt;100,M14,G14*IF(M14&gt;1,M14/100,M14)))</f>
        <v>0</v>
      </c>
      <c r="O14" s="14" t="str">
        <f aca="false">IF(G14="","",G14*IF(L14="",0,IF(L14&gt;1,L14/100,L14))+N14)</f>
        <v/>
      </c>
      <c r="P14" s="11"/>
      <c r="Q14" s="16" t="str">
        <f aca="false">IF(P14="","",IFERROR(VLOOKUP(P14,PARTNERS!$A$2:$B$30,2,0),""))</f>
        <v/>
      </c>
      <c r="R14" s="17" t="str">
        <f aca="false">IF(O14="","",IF(OR(P14="",Q14=""),0,(O14-N14)*IF(Q14&gt;1,Q14/100,Q14)))</f>
        <v/>
      </c>
      <c r="S14" s="14" t="str">
        <f aca="false">IF(O14="","",O14-R14)</f>
        <v/>
      </c>
      <c r="T14" s="11"/>
      <c r="U14" s="18" t="str">
        <f aca="false">IF(T14="","",IFERROR(VLOOKUP(T14,REPS!$A$2:$D$40,2,0),""))</f>
        <v/>
      </c>
      <c r="V14" s="14" t="str">
        <f aca="false">IF(O14="","",IF(U14="",0,O14*IF(U14&gt;1,U14/100,U14)))</f>
        <v/>
      </c>
      <c r="W14" s="11"/>
      <c r="X14" s="18" t="str">
        <f aca="false">IF(W14="","",IFERROR(VLOOKUP(W14,REPS!$A$2:$D$40,3,0),""))</f>
        <v/>
      </c>
      <c r="Y14" s="14" t="str">
        <f aca="false">IF(O14="","",IF(X14="",0,O14*IF(X14&gt;1,X14/100,X14)))</f>
        <v/>
      </c>
      <c r="Z14" s="11"/>
      <c r="AA14" s="18" t="str">
        <f aca="false">IF(Z14="","",IFERROR(VLOOKUP(Z14,REPS!$A$2:$D$40,4,0),""))</f>
        <v/>
      </c>
      <c r="AB14" s="14" t="str">
        <f aca="false">IF(O14="","",IF(AA14="",0,O14*IF(AA14&gt;1,AA14/100,AA14)))</f>
        <v/>
      </c>
      <c r="AC14" s="14" t="str">
        <f aca="false">IF(O14="","",V14+Y14+AB14)</f>
        <v/>
      </c>
      <c r="AD14" s="19" t="str">
        <f aca="false">IF(O14="","",O14-R14-AC14)</f>
        <v/>
      </c>
      <c r="AE14" s="20"/>
      <c r="AF14" s="10"/>
      <c r="AG14" s="21" t="n">
        <f aca="false">IF(OR(AE14="",AE14=0),0,AE14*IF(U14="",0,IF(U14&gt;1,U14/100,U14)))</f>
        <v>0</v>
      </c>
      <c r="AH14" s="21" t="n">
        <f aca="false">IF(OR(AE14="",AE14=0),0,AE14*IF(X14="",0,IF(X14&gt;1,X14/100,X14)))</f>
        <v>0</v>
      </c>
      <c r="AI14" s="21" t="n">
        <f aca="false">IF(OR(AE14="",AE14=0),0,AE14*IF(AA14="",0,IF(AA14&gt;1,AA14/100,AA14)))</f>
        <v>0</v>
      </c>
      <c r="AJ14" s="21" t="n">
        <f aca="false">AG14+AH14+AI14</f>
        <v>0</v>
      </c>
      <c r="AK14" s="21" t="n">
        <f aca="false">IF(OR(AE14="",AE14=0),0,AE14-AJ14)</f>
        <v>0</v>
      </c>
      <c r="AL14" s="19" t="str">
        <f aca="false">IF(AD14="","",AD14-AK14)</f>
        <v/>
      </c>
      <c r="AM14" s="9" t="str">
        <f aca="false">IF(C14="","","Waiting for payment")</f>
        <v/>
      </c>
      <c r="AN14" s="10"/>
      <c r="AO14" s="10"/>
      <c r="AP14" s="22" t="str">
        <f aca="false">IF(OR(C14="",I14="",K14=""),"",IF(K14="Monthly",EDATE(C14,ROUND(I14*SETTINGS!$I$8,0)),WORKDAY(C14,ROUND(I14*SETTINGS!$I$8,0))))</f>
        <v/>
      </c>
      <c r="AQ14" s="9" t="str">
        <f aca="true">IF(C14="","",IF(AND(AP14&lt;&gt;"",TODAY()&gt;=AP14),"Refi Ready",IF(TODAY()-C14&gt;=SETTINGS!$I$11,"Prospecting","Performing")))</f>
        <v/>
      </c>
      <c r="AR14" s="22" t="str">
        <f aca="false">IF(OR(C14="",I14="",K14=""),"",IF(K14="Monthly",EDATE(C14,I14),WORKDAY(C14,I14)))</f>
        <v/>
      </c>
      <c r="AS14" s="11"/>
      <c r="AT14" s="23" t="str">
        <f aca="true">IF(C14="","",IF(AM14="Clawed Back","CLAWED",IF(TODAY()&lt;=C14+SETTINGS!$I$2,"⚠ AT RISK","SAFE")))</f>
        <v/>
      </c>
      <c r="AU14" s="11"/>
      <c r="AW14" s="24" t="n">
        <f aca="false">AW13+IF(AND(C14&lt;&gt;"",AO14&lt;&gt;"",OR('REP COMMISSION'!$B$3="",T14='REP COMMISSION'!$B$3,W14='REP COMMISSION'!$B$3,Z14='REP COMMISSION'!$B$3)),1,0)</f>
        <v>0</v>
      </c>
      <c r="AX14" s="24" t="n">
        <f aca="false">AX13+IF(AND(C14&lt;&gt;"",OR(F14="LOC - INITIAL",F14="CONSOLIDATION - UPFRONT COMM",F14="REVERSE - TOTAL FUNDING")),1,0)</f>
        <v>0</v>
      </c>
    </row>
    <row r="15" customFormat="false" ht="15" hidden="false" customHeight="false" outlineLevel="0" collapsed="false">
      <c r="A15" s="25" t="str">
        <f aca="false">IF(C15&lt;&gt;"","F"&amp;COUNT($C$4:C15),"")</f>
        <v/>
      </c>
      <c r="B15" s="26" t="str">
        <f aca="false">IF(OR(F15="LOC - INITIAL",F15="CONSOLIDATION - UPFRONT COMM",F15="REVERSE - TOTAL FUNDING"),A15,"")</f>
        <v/>
      </c>
      <c r="C15" s="27"/>
      <c r="D15" s="28"/>
      <c r="E15" s="28"/>
      <c r="F15" s="28"/>
      <c r="G15" s="29"/>
      <c r="H15" s="30"/>
      <c r="I15" s="28"/>
      <c r="J15" s="31" t="str">
        <f aca="false">IF(AND(G15&lt;&gt;"",H15&lt;&gt;""),G15*H15,"")</f>
        <v/>
      </c>
      <c r="K15" s="28"/>
      <c r="L15" s="32"/>
      <c r="M15" s="32"/>
      <c r="N15" s="31" t="n">
        <f aca="false">IF(OR(G15="",M15=""),0,IF(M15&gt;100,M15,G15*IF(M15&gt;1,M15/100,M15)))</f>
        <v>0</v>
      </c>
      <c r="O15" s="31" t="str">
        <f aca="false">IF(G15="","",G15*IF(L15="",0,IF(L15&gt;1,L15/100,L15))+N15)</f>
        <v/>
      </c>
      <c r="P15" s="28"/>
      <c r="Q15" s="33" t="str">
        <f aca="false">IF(P15="","",IFERROR(VLOOKUP(P15,PARTNERS!$A$2:$B$30,2,0),""))</f>
        <v/>
      </c>
      <c r="R15" s="17" t="str">
        <f aca="false">IF(O15="","",IF(OR(P15="",Q15=""),0,(O15-N15)*IF(Q15&gt;1,Q15/100,Q15)))</f>
        <v/>
      </c>
      <c r="S15" s="31" t="str">
        <f aca="false">IF(O15="","",O15-R15)</f>
        <v/>
      </c>
      <c r="T15" s="28"/>
      <c r="U15" s="34" t="str">
        <f aca="false">IF(T15="","",IFERROR(VLOOKUP(T15,REPS!$A$2:$D$40,2,0),""))</f>
        <v/>
      </c>
      <c r="V15" s="31" t="str">
        <f aca="false">IF(O15="","",IF(U15="",0,O15*IF(U15&gt;1,U15/100,U15)))</f>
        <v/>
      </c>
      <c r="W15" s="28"/>
      <c r="X15" s="34" t="str">
        <f aca="false">IF(W15="","",IFERROR(VLOOKUP(W15,REPS!$A$2:$D$40,3,0),""))</f>
        <v/>
      </c>
      <c r="Y15" s="31" t="str">
        <f aca="false">IF(O15="","",IF(X15="",0,O15*IF(X15&gt;1,X15/100,X15)))</f>
        <v/>
      </c>
      <c r="Z15" s="28"/>
      <c r="AA15" s="34" t="str">
        <f aca="false">IF(Z15="","",IFERROR(VLOOKUP(Z15,REPS!$A$2:$D$40,4,0),""))</f>
        <v/>
      </c>
      <c r="AB15" s="31" t="str">
        <f aca="false">IF(O15="","",IF(AA15="",0,O15*IF(AA15&gt;1,AA15/100,AA15)))</f>
        <v/>
      </c>
      <c r="AC15" s="31" t="str">
        <f aca="false">IF(O15="","",V15+Y15+AB15)</f>
        <v/>
      </c>
      <c r="AD15" s="19" t="str">
        <f aca="false">IF(O15="","",O15-R15-AC15)</f>
        <v/>
      </c>
      <c r="AE15" s="20"/>
      <c r="AF15" s="27"/>
      <c r="AG15" s="21" t="n">
        <f aca="false">IF(OR(AE15="",AE15=0),0,AE15*IF(U15="",0,IF(U15&gt;1,U15/100,U15)))</f>
        <v>0</v>
      </c>
      <c r="AH15" s="21" t="n">
        <f aca="false">IF(OR(AE15="",AE15=0),0,AE15*IF(X15="",0,IF(X15&gt;1,X15/100,X15)))</f>
        <v>0</v>
      </c>
      <c r="AI15" s="21" t="n">
        <f aca="false">IF(OR(AE15="",AE15=0),0,AE15*IF(AA15="",0,IF(AA15&gt;1,AA15/100,AA15)))</f>
        <v>0</v>
      </c>
      <c r="AJ15" s="21" t="n">
        <f aca="false">AG15+AH15+AI15</f>
        <v>0</v>
      </c>
      <c r="AK15" s="21" t="n">
        <f aca="false">IF(OR(AE15="",AE15=0),0,AE15-AJ15)</f>
        <v>0</v>
      </c>
      <c r="AL15" s="19" t="str">
        <f aca="false">IF(AD15="","",AD15-AK15)</f>
        <v/>
      </c>
      <c r="AM15" s="26" t="str">
        <f aca="false">IF(C15="","","Waiting for payment")</f>
        <v/>
      </c>
      <c r="AN15" s="27"/>
      <c r="AO15" s="27"/>
      <c r="AP15" s="35" t="str">
        <f aca="false">IF(OR(C15="",I15="",K15=""),"",IF(K15="Monthly",EDATE(C15,ROUND(I15*SETTINGS!$I$8,0)),WORKDAY(C15,ROUND(I15*SETTINGS!$I$8,0))))</f>
        <v/>
      </c>
      <c r="AQ15" s="26" t="str">
        <f aca="true">IF(C15="","",IF(AND(AP15&lt;&gt;"",TODAY()&gt;=AP15),"Refi Ready",IF(TODAY()-C15&gt;=SETTINGS!$I$11,"Prospecting","Performing")))</f>
        <v/>
      </c>
      <c r="AR15" s="35" t="str">
        <f aca="false">IF(OR(C15="",I15="",K15=""),"",IF(K15="Monthly",EDATE(C15,I15),WORKDAY(C15,I15)))</f>
        <v/>
      </c>
      <c r="AS15" s="28"/>
      <c r="AT15" s="36" t="str">
        <f aca="true">IF(C15="","",IF(AM15="Clawed Back","CLAWED",IF(TODAY()&lt;=C15+SETTINGS!$I$2,"⚠ AT RISK","SAFE")))</f>
        <v/>
      </c>
      <c r="AU15" s="28"/>
      <c r="AW15" s="24" t="n">
        <f aca="false">AW14+IF(AND(C15&lt;&gt;"",AO15&lt;&gt;"",OR('REP COMMISSION'!$B$3="",T15='REP COMMISSION'!$B$3,W15='REP COMMISSION'!$B$3,Z15='REP COMMISSION'!$B$3)),1,0)</f>
        <v>0</v>
      </c>
      <c r="AX15" s="24" t="n">
        <f aca="false">AX14+IF(AND(C15&lt;&gt;"",OR(F15="LOC - INITIAL",F15="CONSOLIDATION - UPFRONT COMM",F15="REVERSE - TOTAL FUNDING")),1,0)</f>
        <v>0</v>
      </c>
    </row>
    <row r="16" customFormat="false" ht="15" hidden="false" customHeight="false" outlineLevel="0" collapsed="false">
      <c r="A16" s="8" t="str">
        <f aca="false">IF(C16&lt;&gt;"","F"&amp;COUNT($C$4:C16),"")</f>
        <v/>
      </c>
      <c r="B16" s="9" t="str">
        <f aca="false">IF(OR(F16="LOC - INITIAL",F16="CONSOLIDATION - UPFRONT COMM",F16="REVERSE - TOTAL FUNDING"),A16,"")</f>
        <v/>
      </c>
      <c r="C16" s="10"/>
      <c r="D16" s="11"/>
      <c r="E16" s="11"/>
      <c r="F16" s="11"/>
      <c r="G16" s="12"/>
      <c r="H16" s="13"/>
      <c r="I16" s="11"/>
      <c r="J16" s="14" t="str">
        <f aca="false">IF(AND(G16&lt;&gt;"",H16&lt;&gt;""),G16*H16,"")</f>
        <v/>
      </c>
      <c r="K16" s="11"/>
      <c r="L16" s="15"/>
      <c r="M16" s="15"/>
      <c r="N16" s="14" t="n">
        <f aca="false">IF(OR(G16="",M16=""),0,IF(M16&gt;100,M16,G16*IF(M16&gt;1,M16/100,M16)))</f>
        <v>0</v>
      </c>
      <c r="O16" s="14" t="str">
        <f aca="false">IF(G16="","",G16*IF(L16="",0,IF(L16&gt;1,L16/100,L16))+N16)</f>
        <v/>
      </c>
      <c r="P16" s="11"/>
      <c r="Q16" s="16" t="str">
        <f aca="false">IF(P16="","",IFERROR(VLOOKUP(P16,PARTNERS!$A$2:$B$30,2,0),""))</f>
        <v/>
      </c>
      <c r="R16" s="17" t="str">
        <f aca="false">IF(O16="","",IF(OR(P16="",Q16=""),0,(O16-N16)*IF(Q16&gt;1,Q16/100,Q16)))</f>
        <v/>
      </c>
      <c r="S16" s="14" t="str">
        <f aca="false">IF(O16="","",O16-R16)</f>
        <v/>
      </c>
      <c r="T16" s="11"/>
      <c r="U16" s="18" t="str">
        <f aca="false">IF(T16="","",IFERROR(VLOOKUP(T16,REPS!$A$2:$D$40,2,0),""))</f>
        <v/>
      </c>
      <c r="V16" s="14" t="str">
        <f aca="false">IF(O16="","",IF(U16="",0,O16*IF(U16&gt;1,U16/100,U16)))</f>
        <v/>
      </c>
      <c r="W16" s="11"/>
      <c r="X16" s="18" t="str">
        <f aca="false">IF(W16="","",IFERROR(VLOOKUP(W16,REPS!$A$2:$D$40,3,0),""))</f>
        <v/>
      </c>
      <c r="Y16" s="14" t="str">
        <f aca="false">IF(O16="","",IF(X16="",0,O16*IF(X16&gt;1,X16/100,X16)))</f>
        <v/>
      </c>
      <c r="Z16" s="11"/>
      <c r="AA16" s="18" t="str">
        <f aca="false">IF(Z16="","",IFERROR(VLOOKUP(Z16,REPS!$A$2:$D$40,4,0),""))</f>
        <v/>
      </c>
      <c r="AB16" s="14" t="str">
        <f aca="false">IF(O16="","",IF(AA16="",0,O16*IF(AA16&gt;1,AA16/100,AA16)))</f>
        <v/>
      </c>
      <c r="AC16" s="14" t="str">
        <f aca="false">IF(O16="","",V16+Y16+AB16)</f>
        <v/>
      </c>
      <c r="AD16" s="19" t="str">
        <f aca="false">IF(O16="","",O16-R16-AC16)</f>
        <v/>
      </c>
      <c r="AE16" s="20"/>
      <c r="AF16" s="10"/>
      <c r="AG16" s="21" t="n">
        <f aca="false">IF(OR(AE16="",AE16=0),0,AE16*IF(U16="",0,IF(U16&gt;1,U16/100,U16)))</f>
        <v>0</v>
      </c>
      <c r="AH16" s="21" t="n">
        <f aca="false">IF(OR(AE16="",AE16=0),0,AE16*IF(X16="",0,IF(X16&gt;1,X16/100,X16)))</f>
        <v>0</v>
      </c>
      <c r="AI16" s="21" t="n">
        <f aca="false">IF(OR(AE16="",AE16=0),0,AE16*IF(AA16="",0,IF(AA16&gt;1,AA16/100,AA16)))</f>
        <v>0</v>
      </c>
      <c r="AJ16" s="21" t="n">
        <f aca="false">AG16+AH16+AI16</f>
        <v>0</v>
      </c>
      <c r="AK16" s="21" t="n">
        <f aca="false">IF(OR(AE16="",AE16=0),0,AE16-AJ16)</f>
        <v>0</v>
      </c>
      <c r="AL16" s="19" t="str">
        <f aca="false">IF(AD16="","",AD16-AK16)</f>
        <v/>
      </c>
      <c r="AM16" s="9" t="str">
        <f aca="false">IF(C16="","","Waiting for payment")</f>
        <v/>
      </c>
      <c r="AN16" s="10"/>
      <c r="AO16" s="10"/>
      <c r="AP16" s="22" t="str">
        <f aca="false">IF(OR(C16="",I16="",K16=""),"",IF(K16="Monthly",EDATE(C16,ROUND(I16*SETTINGS!$I$8,0)),WORKDAY(C16,ROUND(I16*SETTINGS!$I$8,0))))</f>
        <v/>
      </c>
      <c r="AQ16" s="9" t="str">
        <f aca="true">IF(C16="","",IF(AND(AP16&lt;&gt;"",TODAY()&gt;=AP16),"Refi Ready",IF(TODAY()-C16&gt;=SETTINGS!$I$11,"Prospecting","Performing")))</f>
        <v/>
      </c>
      <c r="AR16" s="22" t="str">
        <f aca="false">IF(OR(C16="",I16="",K16=""),"",IF(K16="Monthly",EDATE(C16,I16),WORKDAY(C16,I16)))</f>
        <v/>
      </c>
      <c r="AS16" s="11"/>
      <c r="AT16" s="23" t="str">
        <f aca="true">IF(C16="","",IF(AM16="Clawed Back","CLAWED",IF(TODAY()&lt;=C16+SETTINGS!$I$2,"⚠ AT RISK","SAFE")))</f>
        <v/>
      </c>
      <c r="AU16" s="11"/>
      <c r="AW16" s="24" t="n">
        <f aca="false">AW15+IF(AND(C16&lt;&gt;"",AO16&lt;&gt;"",OR('REP COMMISSION'!$B$3="",T16='REP COMMISSION'!$B$3,W16='REP COMMISSION'!$B$3,Z16='REP COMMISSION'!$B$3)),1,0)</f>
        <v>0</v>
      </c>
      <c r="AX16" s="24" t="n">
        <f aca="false">AX15+IF(AND(C16&lt;&gt;"",OR(F16="LOC - INITIAL",F16="CONSOLIDATION - UPFRONT COMM",F16="REVERSE - TOTAL FUNDING")),1,0)</f>
        <v>0</v>
      </c>
    </row>
    <row r="17" customFormat="false" ht="15" hidden="false" customHeight="false" outlineLevel="0" collapsed="false">
      <c r="A17" s="25" t="str">
        <f aca="false">IF(C17&lt;&gt;"","F"&amp;COUNT($C$4:C17),"")</f>
        <v/>
      </c>
      <c r="B17" s="26" t="str">
        <f aca="false">IF(OR(F17="LOC - INITIAL",F17="CONSOLIDATION - UPFRONT COMM",F17="REVERSE - TOTAL FUNDING"),A17,"")</f>
        <v/>
      </c>
      <c r="C17" s="27"/>
      <c r="D17" s="28"/>
      <c r="E17" s="28"/>
      <c r="F17" s="28"/>
      <c r="G17" s="29"/>
      <c r="H17" s="30"/>
      <c r="I17" s="28"/>
      <c r="J17" s="31" t="str">
        <f aca="false">IF(AND(G17&lt;&gt;"",H17&lt;&gt;""),G17*H17,"")</f>
        <v/>
      </c>
      <c r="K17" s="28"/>
      <c r="L17" s="32"/>
      <c r="M17" s="32"/>
      <c r="N17" s="31" t="n">
        <f aca="false">IF(OR(G17="",M17=""),0,IF(M17&gt;100,M17,G17*IF(M17&gt;1,M17/100,M17)))</f>
        <v>0</v>
      </c>
      <c r="O17" s="31" t="str">
        <f aca="false">IF(G17="","",G17*IF(L17="",0,IF(L17&gt;1,L17/100,L17))+N17)</f>
        <v/>
      </c>
      <c r="P17" s="28"/>
      <c r="Q17" s="33" t="str">
        <f aca="false">IF(P17="","",IFERROR(VLOOKUP(P17,PARTNERS!$A$2:$B$30,2,0),""))</f>
        <v/>
      </c>
      <c r="R17" s="17" t="str">
        <f aca="false">IF(O17="","",IF(OR(P17="",Q17=""),0,(O17-N17)*IF(Q17&gt;1,Q17/100,Q17)))</f>
        <v/>
      </c>
      <c r="S17" s="31" t="str">
        <f aca="false">IF(O17="","",O17-R17)</f>
        <v/>
      </c>
      <c r="T17" s="28"/>
      <c r="U17" s="34" t="str">
        <f aca="false">IF(T17="","",IFERROR(VLOOKUP(T17,REPS!$A$2:$D$40,2,0),""))</f>
        <v/>
      </c>
      <c r="V17" s="31" t="str">
        <f aca="false">IF(O17="","",IF(U17="",0,O17*IF(U17&gt;1,U17/100,U17)))</f>
        <v/>
      </c>
      <c r="W17" s="28"/>
      <c r="X17" s="34" t="str">
        <f aca="false">IF(W17="","",IFERROR(VLOOKUP(W17,REPS!$A$2:$D$40,3,0),""))</f>
        <v/>
      </c>
      <c r="Y17" s="31" t="str">
        <f aca="false">IF(O17="","",IF(X17="",0,O17*IF(X17&gt;1,X17/100,X17)))</f>
        <v/>
      </c>
      <c r="Z17" s="28"/>
      <c r="AA17" s="34" t="str">
        <f aca="false">IF(Z17="","",IFERROR(VLOOKUP(Z17,REPS!$A$2:$D$40,4,0),""))</f>
        <v/>
      </c>
      <c r="AB17" s="31" t="str">
        <f aca="false">IF(O17="","",IF(AA17="",0,O17*IF(AA17&gt;1,AA17/100,AA17)))</f>
        <v/>
      </c>
      <c r="AC17" s="31" t="str">
        <f aca="false">IF(O17="","",V17+Y17+AB17)</f>
        <v/>
      </c>
      <c r="AD17" s="19" t="str">
        <f aca="false">IF(O17="","",O17-R17-AC17)</f>
        <v/>
      </c>
      <c r="AE17" s="20"/>
      <c r="AF17" s="27"/>
      <c r="AG17" s="21" t="n">
        <f aca="false">IF(OR(AE17="",AE17=0),0,AE17*IF(U17="",0,IF(U17&gt;1,U17/100,U17)))</f>
        <v>0</v>
      </c>
      <c r="AH17" s="21" t="n">
        <f aca="false">IF(OR(AE17="",AE17=0),0,AE17*IF(X17="",0,IF(X17&gt;1,X17/100,X17)))</f>
        <v>0</v>
      </c>
      <c r="AI17" s="21" t="n">
        <f aca="false">IF(OR(AE17="",AE17=0),0,AE17*IF(AA17="",0,IF(AA17&gt;1,AA17/100,AA17)))</f>
        <v>0</v>
      </c>
      <c r="AJ17" s="21" t="n">
        <f aca="false">AG17+AH17+AI17</f>
        <v>0</v>
      </c>
      <c r="AK17" s="21" t="n">
        <f aca="false">IF(OR(AE17="",AE17=0),0,AE17-AJ17)</f>
        <v>0</v>
      </c>
      <c r="AL17" s="19" t="str">
        <f aca="false">IF(AD17="","",AD17-AK17)</f>
        <v/>
      </c>
      <c r="AM17" s="26" t="str">
        <f aca="false">IF(C17="","","Waiting for payment")</f>
        <v/>
      </c>
      <c r="AN17" s="27"/>
      <c r="AO17" s="27"/>
      <c r="AP17" s="35" t="str">
        <f aca="false">IF(OR(C17="",I17="",K17=""),"",IF(K17="Monthly",EDATE(C17,ROUND(I17*SETTINGS!$I$8,0)),WORKDAY(C17,ROUND(I17*SETTINGS!$I$8,0))))</f>
        <v/>
      </c>
      <c r="AQ17" s="26" t="str">
        <f aca="true">IF(C17="","",IF(AND(AP17&lt;&gt;"",TODAY()&gt;=AP17),"Refi Ready",IF(TODAY()-C17&gt;=SETTINGS!$I$11,"Prospecting","Performing")))</f>
        <v/>
      </c>
      <c r="AR17" s="35" t="str">
        <f aca="false">IF(OR(C17="",I17="",K17=""),"",IF(K17="Monthly",EDATE(C17,I17),WORKDAY(C17,I17)))</f>
        <v/>
      </c>
      <c r="AS17" s="28"/>
      <c r="AT17" s="36" t="str">
        <f aca="true">IF(C17="","",IF(AM17="Clawed Back","CLAWED",IF(TODAY()&lt;=C17+SETTINGS!$I$2,"⚠ AT RISK","SAFE")))</f>
        <v/>
      </c>
      <c r="AU17" s="28"/>
      <c r="AW17" s="24" t="n">
        <f aca="false">AW16+IF(AND(C17&lt;&gt;"",AO17&lt;&gt;"",OR('REP COMMISSION'!$B$3="",T17='REP COMMISSION'!$B$3,W17='REP COMMISSION'!$B$3,Z17='REP COMMISSION'!$B$3)),1,0)</f>
        <v>0</v>
      </c>
      <c r="AX17" s="24" t="n">
        <f aca="false">AX16+IF(AND(C17&lt;&gt;"",OR(F17="LOC - INITIAL",F17="CONSOLIDATION - UPFRONT COMM",F17="REVERSE - TOTAL FUNDING")),1,0)</f>
        <v>0</v>
      </c>
    </row>
    <row r="18" customFormat="false" ht="15" hidden="false" customHeight="false" outlineLevel="0" collapsed="false">
      <c r="A18" s="8" t="str">
        <f aca="false">IF(C18&lt;&gt;"","F"&amp;COUNT($C$4:C18),"")</f>
        <v/>
      </c>
      <c r="B18" s="9" t="str">
        <f aca="false">IF(OR(F18="LOC - INITIAL",F18="CONSOLIDATION - UPFRONT COMM",F18="REVERSE - TOTAL FUNDING"),A18,"")</f>
        <v/>
      </c>
      <c r="C18" s="10"/>
      <c r="D18" s="11"/>
      <c r="E18" s="11"/>
      <c r="F18" s="11"/>
      <c r="G18" s="12"/>
      <c r="H18" s="13"/>
      <c r="I18" s="11"/>
      <c r="J18" s="14" t="str">
        <f aca="false">IF(AND(G18&lt;&gt;"",H18&lt;&gt;""),G18*H18,"")</f>
        <v/>
      </c>
      <c r="K18" s="11"/>
      <c r="L18" s="15"/>
      <c r="M18" s="15"/>
      <c r="N18" s="14" t="n">
        <f aca="false">IF(OR(G18="",M18=""),0,IF(M18&gt;100,M18,G18*IF(M18&gt;1,M18/100,M18)))</f>
        <v>0</v>
      </c>
      <c r="O18" s="14" t="str">
        <f aca="false">IF(G18="","",G18*IF(L18="",0,IF(L18&gt;1,L18/100,L18))+N18)</f>
        <v/>
      </c>
      <c r="P18" s="11"/>
      <c r="Q18" s="16" t="str">
        <f aca="false">IF(P18="","",IFERROR(VLOOKUP(P18,PARTNERS!$A$2:$B$30,2,0),""))</f>
        <v/>
      </c>
      <c r="R18" s="17" t="str">
        <f aca="false">IF(O18="","",IF(OR(P18="",Q18=""),0,(O18-N18)*IF(Q18&gt;1,Q18/100,Q18)))</f>
        <v/>
      </c>
      <c r="S18" s="14" t="str">
        <f aca="false">IF(O18="","",O18-R18)</f>
        <v/>
      </c>
      <c r="T18" s="11"/>
      <c r="U18" s="18" t="str">
        <f aca="false">IF(T18="","",IFERROR(VLOOKUP(T18,REPS!$A$2:$D$40,2,0),""))</f>
        <v/>
      </c>
      <c r="V18" s="14" t="str">
        <f aca="false">IF(O18="","",IF(U18="",0,O18*IF(U18&gt;1,U18/100,U18)))</f>
        <v/>
      </c>
      <c r="W18" s="11"/>
      <c r="X18" s="18" t="str">
        <f aca="false">IF(W18="","",IFERROR(VLOOKUP(W18,REPS!$A$2:$D$40,3,0),""))</f>
        <v/>
      </c>
      <c r="Y18" s="14" t="str">
        <f aca="false">IF(O18="","",IF(X18="",0,O18*IF(X18&gt;1,X18/100,X18)))</f>
        <v/>
      </c>
      <c r="Z18" s="11"/>
      <c r="AA18" s="18" t="str">
        <f aca="false">IF(Z18="","",IFERROR(VLOOKUP(Z18,REPS!$A$2:$D$40,4,0),""))</f>
        <v/>
      </c>
      <c r="AB18" s="14" t="str">
        <f aca="false">IF(O18="","",IF(AA18="",0,O18*IF(AA18&gt;1,AA18/100,AA18)))</f>
        <v/>
      </c>
      <c r="AC18" s="14" t="str">
        <f aca="false">IF(O18="","",V18+Y18+AB18)</f>
        <v/>
      </c>
      <c r="AD18" s="19" t="str">
        <f aca="false">IF(O18="","",O18-R18-AC18)</f>
        <v/>
      </c>
      <c r="AE18" s="20"/>
      <c r="AF18" s="10"/>
      <c r="AG18" s="21" t="n">
        <f aca="false">IF(OR(AE18="",AE18=0),0,AE18*IF(U18="",0,IF(U18&gt;1,U18/100,U18)))</f>
        <v>0</v>
      </c>
      <c r="AH18" s="21" t="n">
        <f aca="false">IF(OR(AE18="",AE18=0),0,AE18*IF(X18="",0,IF(X18&gt;1,X18/100,X18)))</f>
        <v>0</v>
      </c>
      <c r="AI18" s="21" t="n">
        <f aca="false">IF(OR(AE18="",AE18=0),0,AE18*IF(AA18="",0,IF(AA18&gt;1,AA18/100,AA18)))</f>
        <v>0</v>
      </c>
      <c r="AJ18" s="21" t="n">
        <f aca="false">AG18+AH18+AI18</f>
        <v>0</v>
      </c>
      <c r="AK18" s="21" t="n">
        <f aca="false">IF(OR(AE18="",AE18=0),0,AE18-AJ18)</f>
        <v>0</v>
      </c>
      <c r="AL18" s="19" t="str">
        <f aca="false">IF(AD18="","",AD18-AK18)</f>
        <v/>
      </c>
      <c r="AM18" s="9" t="str">
        <f aca="false">IF(C18="","","Waiting for payment")</f>
        <v/>
      </c>
      <c r="AN18" s="10"/>
      <c r="AO18" s="10"/>
      <c r="AP18" s="22" t="str">
        <f aca="false">IF(OR(C18="",I18="",K18=""),"",IF(K18="Monthly",EDATE(C18,ROUND(I18*SETTINGS!$I$8,0)),WORKDAY(C18,ROUND(I18*SETTINGS!$I$8,0))))</f>
        <v/>
      </c>
      <c r="AQ18" s="9" t="str">
        <f aca="true">IF(C18="","",IF(AND(AP18&lt;&gt;"",TODAY()&gt;=AP18),"Refi Ready",IF(TODAY()-C18&gt;=SETTINGS!$I$11,"Prospecting","Performing")))</f>
        <v/>
      </c>
      <c r="AR18" s="22" t="str">
        <f aca="false">IF(OR(C18="",I18="",K18=""),"",IF(K18="Monthly",EDATE(C18,I18),WORKDAY(C18,I18)))</f>
        <v/>
      </c>
      <c r="AS18" s="11"/>
      <c r="AT18" s="23" t="str">
        <f aca="true">IF(C18="","",IF(AM18="Clawed Back","CLAWED",IF(TODAY()&lt;=C18+SETTINGS!$I$2,"⚠ AT RISK","SAFE")))</f>
        <v/>
      </c>
      <c r="AU18" s="11"/>
      <c r="AW18" s="24" t="n">
        <f aca="false">AW17+IF(AND(C18&lt;&gt;"",AO18&lt;&gt;"",OR('REP COMMISSION'!$B$3="",T18='REP COMMISSION'!$B$3,W18='REP COMMISSION'!$B$3,Z18='REP COMMISSION'!$B$3)),1,0)</f>
        <v>0</v>
      </c>
      <c r="AX18" s="24" t="n">
        <f aca="false">AX17+IF(AND(C18&lt;&gt;"",OR(F18="LOC - INITIAL",F18="CONSOLIDATION - UPFRONT COMM",F18="REVERSE - TOTAL FUNDING")),1,0)</f>
        <v>0</v>
      </c>
    </row>
    <row r="19" customFormat="false" ht="15" hidden="false" customHeight="false" outlineLevel="0" collapsed="false">
      <c r="A19" s="25" t="str">
        <f aca="false">IF(C19&lt;&gt;"","F"&amp;COUNT($C$4:C19),"")</f>
        <v/>
      </c>
      <c r="B19" s="26" t="str">
        <f aca="false">IF(OR(F19="LOC - INITIAL",F19="CONSOLIDATION - UPFRONT COMM",F19="REVERSE - TOTAL FUNDING"),A19,"")</f>
        <v/>
      </c>
      <c r="C19" s="27"/>
      <c r="D19" s="28"/>
      <c r="E19" s="28"/>
      <c r="F19" s="28"/>
      <c r="G19" s="29"/>
      <c r="H19" s="30"/>
      <c r="I19" s="28"/>
      <c r="J19" s="31" t="str">
        <f aca="false">IF(AND(G19&lt;&gt;"",H19&lt;&gt;""),G19*H19,"")</f>
        <v/>
      </c>
      <c r="K19" s="28"/>
      <c r="L19" s="32"/>
      <c r="M19" s="32"/>
      <c r="N19" s="31" t="n">
        <f aca="false">IF(OR(G19="",M19=""),0,IF(M19&gt;100,M19,G19*IF(M19&gt;1,M19/100,M19)))</f>
        <v>0</v>
      </c>
      <c r="O19" s="31" t="str">
        <f aca="false">IF(G19="","",G19*IF(L19="",0,IF(L19&gt;1,L19/100,L19))+N19)</f>
        <v/>
      </c>
      <c r="P19" s="28"/>
      <c r="Q19" s="33" t="str">
        <f aca="false">IF(P19="","",IFERROR(VLOOKUP(P19,PARTNERS!$A$2:$B$30,2,0),""))</f>
        <v/>
      </c>
      <c r="R19" s="17" t="str">
        <f aca="false">IF(O19="","",IF(OR(P19="",Q19=""),0,(O19-N19)*IF(Q19&gt;1,Q19/100,Q19)))</f>
        <v/>
      </c>
      <c r="S19" s="31" t="str">
        <f aca="false">IF(O19="","",O19-R19)</f>
        <v/>
      </c>
      <c r="T19" s="28"/>
      <c r="U19" s="34" t="str">
        <f aca="false">IF(T19="","",IFERROR(VLOOKUP(T19,REPS!$A$2:$D$40,2,0),""))</f>
        <v/>
      </c>
      <c r="V19" s="31" t="str">
        <f aca="false">IF(O19="","",IF(U19="",0,O19*IF(U19&gt;1,U19/100,U19)))</f>
        <v/>
      </c>
      <c r="W19" s="28"/>
      <c r="X19" s="34" t="str">
        <f aca="false">IF(W19="","",IFERROR(VLOOKUP(W19,REPS!$A$2:$D$40,3,0),""))</f>
        <v/>
      </c>
      <c r="Y19" s="31" t="str">
        <f aca="false">IF(O19="","",IF(X19="",0,O19*IF(X19&gt;1,X19/100,X19)))</f>
        <v/>
      </c>
      <c r="Z19" s="28"/>
      <c r="AA19" s="34" t="str">
        <f aca="false">IF(Z19="","",IFERROR(VLOOKUP(Z19,REPS!$A$2:$D$40,4,0),""))</f>
        <v/>
      </c>
      <c r="AB19" s="31" t="str">
        <f aca="false">IF(O19="","",IF(AA19="",0,O19*IF(AA19&gt;1,AA19/100,AA19)))</f>
        <v/>
      </c>
      <c r="AC19" s="31" t="str">
        <f aca="false">IF(O19="","",V19+Y19+AB19)</f>
        <v/>
      </c>
      <c r="AD19" s="19" t="str">
        <f aca="false">IF(O19="","",O19-R19-AC19)</f>
        <v/>
      </c>
      <c r="AE19" s="20"/>
      <c r="AF19" s="27"/>
      <c r="AG19" s="21" t="n">
        <f aca="false">IF(OR(AE19="",AE19=0),0,AE19*IF(U19="",0,IF(U19&gt;1,U19/100,U19)))</f>
        <v>0</v>
      </c>
      <c r="AH19" s="21" t="n">
        <f aca="false">IF(OR(AE19="",AE19=0),0,AE19*IF(X19="",0,IF(X19&gt;1,X19/100,X19)))</f>
        <v>0</v>
      </c>
      <c r="AI19" s="21" t="n">
        <f aca="false">IF(OR(AE19="",AE19=0),0,AE19*IF(AA19="",0,IF(AA19&gt;1,AA19/100,AA19)))</f>
        <v>0</v>
      </c>
      <c r="AJ19" s="21" t="n">
        <f aca="false">AG19+AH19+AI19</f>
        <v>0</v>
      </c>
      <c r="AK19" s="21" t="n">
        <f aca="false">IF(OR(AE19="",AE19=0),0,AE19-AJ19)</f>
        <v>0</v>
      </c>
      <c r="AL19" s="19" t="str">
        <f aca="false">IF(AD19="","",AD19-AK19)</f>
        <v/>
      </c>
      <c r="AM19" s="26" t="str">
        <f aca="false">IF(C19="","","Waiting for payment")</f>
        <v/>
      </c>
      <c r="AN19" s="27"/>
      <c r="AO19" s="27"/>
      <c r="AP19" s="35" t="str">
        <f aca="false">IF(OR(C19="",I19="",K19=""),"",IF(K19="Monthly",EDATE(C19,ROUND(I19*SETTINGS!$I$8,0)),WORKDAY(C19,ROUND(I19*SETTINGS!$I$8,0))))</f>
        <v/>
      </c>
      <c r="AQ19" s="26" t="str">
        <f aca="true">IF(C19="","",IF(AND(AP19&lt;&gt;"",TODAY()&gt;=AP19),"Refi Ready",IF(TODAY()-C19&gt;=SETTINGS!$I$11,"Prospecting","Performing")))</f>
        <v/>
      </c>
      <c r="AR19" s="35" t="str">
        <f aca="false">IF(OR(C19="",I19="",K19=""),"",IF(K19="Monthly",EDATE(C19,I19),WORKDAY(C19,I19)))</f>
        <v/>
      </c>
      <c r="AS19" s="28"/>
      <c r="AT19" s="36" t="str">
        <f aca="true">IF(C19="","",IF(AM19="Clawed Back","CLAWED",IF(TODAY()&lt;=C19+SETTINGS!$I$2,"⚠ AT RISK","SAFE")))</f>
        <v/>
      </c>
      <c r="AU19" s="28"/>
      <c r="AW19" s="24" t="n">
        <f aca="false">AW18+IF(AND(C19&lt;&gt;"",AO19&lt;&gt;"",OR('REP COMMISSION'!$B$3="",T19='REP COMMISSION'!$B$3,W19='REP COMMISSION'!$B$3,Z19='REP COMMISSION'!$B$3)),1,0)</f>
        <v>0</v>
      </c>
      <c r="AX19" s="24" t="n">
        <f aca="false">AX18+IF(AND(C19&lt;&gt;"",OR(F19="LOC - INITIAL",F19="CONSOLIDATION - UPFRONT COMM",F19="REVERSE - TOTAL FUNDING")),1,0)</f>
        <v>0</v>
      </c>
    </row>
    <row r="20" customFormat="false" ht="15" hidden="false" customHeight="false" outlineLevel="0" collapsed="false">
      <c r="A20" s="8" t="str">
        <f aca="false">IF(C20&lt;&gt;"","F"&amp;COUNT($C$4:C20),"")</f>
        <v/>
      </c>
      <c r="B20" s="9" t="str">
        <f aca="false">IF(OR(F20="LOC - INITIAL",F20="CONSOLIDATION - UPFRONT COMM",F20="REVERSE - TOTAL FUNDING"),A20,"")</f>
        <v/>
      </c>
      <c r="C20" s="10"/>
      <c r="D20" s="11"/>
      <c r="E20" s="11"/>
      <c r="F20" s="11"/>
      <c r="G20" s="12"/>
      <c r="H20" s="13"/>
      <c r="I20" s="11"/>
      <c r="J20" s="14" t="str">
        <f aca="false">IF(AND(G20&lt;&gt;"",H20&lt;&gt;""),G20*H20,"")</f>
        <v/>
      </c>
      <c r="K20" s="11"/>
      <c r="L20" s="15"/>
      <c r="M20" s="15"/>
      <c r="N20" s="14" t="n">
        <f aca="false">IF(OR(G20="",M20=""),0,IF(M20&gt;100,M20,G20*IF(M20&gt;1,M20/100,M20)))</f>
        <v>0</v>
      </c>
      <c r="O20" s="14" t="str">
        <f aca="false">IF(G20="","",G20*IF(L20="",0,IF(L20&gt;1,L20/100,L20))+N20)</f>
        <v/>
      </c>
      <c r="P20" s="11"/>
      <c r="Q20" s="16" t="str">
        <f aca="false">IF(P20="","",IFERROR(VLOOKUP(P20,PARTNERS!$A$2:$B$30,2,0),""))</f>
        <v/>
      </c>
      <c r="R20" s="17" t="str">
        <f aca="false">IF(O20="","",IF(OR(P20="",Q20=""),0,(O20-N20)*IF(Q20&gt;1,Q20/100,Q20)))</f>
        <v/>
      </c>
      <c r="S20" s="14" t="str">
        <f aca="false">IF(O20="","",O20-R20)</f>
        <v/>
      </c>
      <c r="T20" s="11"/>
      <c r="U20" s="18" t="str">
        <f aca="false">IF(T20="","",IFERROR(VLOOKUP(T20,REPS!$A$2:$D$40,2,0),""))</f>
        <v/>
      </c>
      <c r="V20" s="14" t="str">
        <f aca="false">IF(O20="","",IF(U20="",0,O20*IF(U20&gt;1,U20/100,U20)))</f>
        <v/>
      </c>
      <c r="W20" s="11"/>
      <c r="X20" s="18" t="str">
        <f aca="false">IF(W20="","",IFERROR(VLOOKUP(W20,REPS!$A$2:$D$40,3,0),""))</f>
        <v/>
      </c>
      <c r="Y20" s="14" t="str">
        <f aca="false">IF(O20="","",IF(X20="",0,O20*IF(X20&gt;1,X20/100,X20)))</f>
        <v/>
      </c>
      <c r="Z20" s="11"/>
      <c r="AA20" s="18" t="str">
        <f aca="false">IF(Z20="","",IFERROR(VLOOKUP(Z20,REPS!$A$2:$D$40,4,0),""))</f>
        <v/>
      </c>
      <c r="AB20" s="14" t="str">
        <f aca="false">IF(O20="","",IF(AA20="",0,O20*IF(AA20&gt;1,AA20/100,AA20)))</f>
        <v/>
      </c>
      <c r="AC20" s="14" t="str">
        <f aca="false">IF(O20="","",V20+Y20+AB20)</f>
        <v/>
      </c>
      <c r="AD20" s="19" t="str">
        <f aca="false">IF(O20="","",O20-R20-AC20)</f>
        <v/>
      </c>
      <c r="AE20" s="20"/>
      <c r="AF20" s="10"/>
      <c r="AG20" s="21" t="n">
        <f aca="false">IF(OR(AE20="",AE20=0),0,AE20*IF(U20="",0,IF(U20&gt;1,U20/100,U20)))</f>
        <v>0</v>
      </c>
      <c r="AH20" s="21" t="n">
        <f aca="false">IF(OR(AE20="",AE20=0),0,AE20*IF(X20="",0,IF(X20&gt;1,X20/100,X20)))</f>
        <v>0</v>
      </c>
      <c r="AI20" s="21" t="n">
        <f aca="false">IF(OR(AE20="",AE20=0),0,AE20*IF(AA20="",0,IF(AA20&gt;1,AA20/100,AA20)))</f>
        <v>0</v>
      </c>
      <c r="AJ20" s="21" t="n">
        <f aca="false">AG20+AH20+AI20</f>
        <v>0</v>
      </c>
      <c r="AK20" s="21" t="n">
        <f aca="false">IF(OR(AE20="",AE20=0),0,AE20-AJ20)</f>
        <v>0</v>
      </c>
      <c r="AL20" s="19" t="str">
        <f aca="false">IF(AD20="","",AD20-AK20)</f>
        <v/>
      </c>
      <c r="AM20" s="9" t="str">
        <f aca="false">IF(C20="","","Waiting for payment")</f>
        <v/>
      </c>
      <c r="AN20" s="10"/>
      <c r="AO20" s="10"/>
      <c r="AP20" s="22" t="str">
        <f aca="false">IF(OR(C20="",I20="",K20=""),"",IF(K20="Monthly",EDATE(C20,ROUND(I20*SETTINGS!$I$8,0)),WORKDAY(C20,ROUND(I20*SETTINGS!$I$8,0))))</f>
        <v/>
      </c>
      <c r="AQ20" s="9" t="str">
        <f aca="true">IF(C20="","",IF(AND(AP20&lt;&gt;"",TODAY()&gt;=AP20),"Refi Ready",IF(TODAY()-C20&gt;=SETTINGS!$I$11,"Prospecting","Performing")))</f>
        <v/>
      </c>
      <c r="AR20" s="22" t="str">
        <f aca="false">IF(OR(C20="",I20="",K20=""),"",IF(K20="Monthly",EDATE(C20,I20),WORKDAY(C20,I20)))</f>
        <v/>
      </c>
      <c r="AS20" s="11"/>
      <c r="AT20" s="23" t="str">
        <f aca="true">IF(C20="","",IF(AM20="Clawed Back","CLAWED",IF(TODAY()&lt;=C20+SETTINGS!$I$2,"⚠ AT RISK","SAFE")))</f>
        <v/>
      </c>
      <c r="AU20" s="11"/>
      <c r="AW20" s="24" t="n">
        <f aca="false">AW19+IF(AND(C20&lt;&gt;"",AO20&lt;&gt;"",OR('REP COMMISSION'!$B$3="",T20='REP COMMISSION'!$B$3,W20='REP COMMISSION'!$B$3,Z20='REP COMMISSION'!$B$3)),1,0)</f>
        <v>0</v>
      </c>
      <c r="AX20" s="24" t="n">
        <f aca="false">AX19+IF(AND(C20&lt;&gt;"",OR(F20="LOC - INITIAL",F20="CONSOLIDATION - UPFRONT COMM",F20="REVERSE - TOTAL FUNDING")),1,0)</f>
        <v>0</v>
      </c>
    </row>
    <row r="21" customFormat="false" ht="15" hidden="false" customHeight="false" outlineLevel="0" collapsed="false">
      <c r="A21" s="25" t="str">
        <f aca="false">IF(C21&lt;&gt;"","F"&amp;COUNT($C$4:C21),"")</f>
        <v/>
      </c>
      <c r="B21" s="26" t="str">
        <f aca="false">IF(OR(F21="LOC - INITIAL",F21="CONSOLIDATION - UPFRONT COMM",F21="REVERSE - TOTAL FUNDING"),A21,"")</f>
        <v/>
      </c>
      <c r="C21" s="27"/>
      <c r="D21" s="28"/>
      <c r="E21" s="28"/>
      <c r="F21" s="28"/>
      <c r="G21" s="29"/>
      <c r="H21" s="30"/>
      <c r="I21" s="28"/>
      <c r="J21" s="31" t="str">
        <f aca="false">IF(AND(G21&lt;&gt;"",H21&lt;&gt;""),G21*H21,"")</f>
        <v/>
      </c>
      <c r="K21" s="28"/>
      <c r="L21" s="32"/>
      <c r="M21" s="32"/>
      <c r="N21" s="31" t="n">
        <f aca="false">IF(OR(G21="",M21=""),0,IF(M21&gt;100,M21,G21*IF(M21&gt;1,M21/100,M21)))</f>
        <v>0</v>
      </c>
      <c r="O21" s="31" t="str">
        <f aca="false">IF(G21="","",G21*IF(L21="",0,IF(L21&gt;1,L21/100,L21))+N21)</f>
        <v/>
      </c>
      <c r="P21" s="28"/>
      <c r="Q21" s="33" t="str">
        <f aca="false">IF(P21="","",IFERROR(VLOOKUP(P21,PARTNERS!$A$2:$B$30,2,0),""))</f>
        <v/>
      </c>
      <c r="R21" s="17" t="str">
        <f aca="false">IF(O21="","",IF(OR(P21="",Q21=""),0,(O21-N21)*IF(Q21&gt;1,Q21/100,Q21)))</f>
        <v/>
      </c>
      <c r="S21" s="31" t="str">
        <f aca="false">IF(O21="","",O21-R21)</f>
        <v/>
      </c>
      <c r="T21" s="28"/>
      <c r="U21" s="34" t="str">
        <f aca="false">IF(T21="","",IFERROR(VLOOKUP(T21,REPS!$A$2:$D$40,2,0),""))</f>
        <v/>
      </c>
      <c r="V21" s="31" t="str">
        <f aca="false">IF(O21="","",IF(U21="",0,O21*IF(U21&gt;1,U21/100,U21)))</f>
        <v/>
      </c>
      <c r="W21" s="28"/>
      <c r="X21" s="34" t="str">
        <f aca="false">IF(W21="","",IFERROR(VLOOKUP(W21,REPS!$A$2:$D$40,3,0),""))</f>
        <v/>
      </c>
      <c r="Y21" s="31" t="str">
        <f aca="false">IF(O21="","",IF(X21="",0,O21*IF(X21&gt;1,X21/100,X21)))</f>
        <v/>
      </c>
      <c r="Z21" s="28"/>
      <c r="AA21" s="34" t="str">
        <f aca="false">IF(Z21="","",IFERROR(VLOOKUP(Z21,REPS!$A$2:$D$40,4,0),""))</f>
        <v/>
      </c>
      <c r="AB21" s="31" t="str">
        <f aca="false">IF(O21="","",IF(AA21="",0,O21*IF(AA21&gt;1,AA21/100,AA21)))</f>
        <v/>
      </c>
      <c r="AC21" s="31" t="str">
        <f aca="false">IF(O21="","",V21+Y21+AB21)</f>
        <v/>
      </c>
      <c r="AD21" s="19" t="str">
        <f aca="false">IF(O21="","",O21-R21-AC21)</f>
        <v/>
      </c>
      <c r="AE21" s="20"/>
      <c r="AF21" s="27"/>
      <c r="AG21" s="21" t="n">
        <f aca="false">IF(OR(AE21="",AE21=0),0,AE21*IF(U21="",0,IF(U21&gt;1,U21/100,U21)))</f>
        <v>0</v>
      </c>
      <c r="AH21" s="21" t="n">
        <f aca="false">IF(OR(AE21="",AE21=0),0,AE21*IF(X21="",0,IF(X21&gt;1,X21/100,X21)))</f>
        <v>0</v>
      </c>
      <c r="AI21" s="21" t="n">
        <f aca="false">IF(OR(AE21="",AE21=0),0,AE21*IF(AA21="",0,IF(AA21&gt;1,AA21/100,AA21)))</f>
        <v>0</v>
      </c>
      <c r="AJ21" s="21" t="n">
        <f aca="false">AG21+AH21+AI21</f>
        <v>0</v>
      </c>
      <c r="AK21" s="21" t="n">
        <f aca="false">IF(OR(AE21="",AE21=0),0,AE21-AJ21)</f>
        <v>0</v>
      </c>
      <c r="AL21" s="19" t="str">
        <f aca="false">IF(AD21="","",AD21-AK21)</f>
        <v/>
      </c>
      <c r="AM21" s="26" t="str">
        <f aca="false">IF(C21="","","Waiting for payment")</f>
        <v/>
      </c>
      <c r="AN21" s="27"/>
      <c r="AO21" s="27"/>
      <c r="AP21" s="35" t="str">
        <f aca="false">IF(OR(C21="",I21="",K21=""),"",IF(K21="Monthly",EDATE(C21,ROUND(I21*SETTINGS!$I$8,0)),WORKDAY(C21,ROUND(I21*SETTINGS!$I$8,0))))</f>
        <v/>
      </c>
      <c r="AQ21" s="26" t="str">
        <f aca="true">IF(C21="","",IF(AND(AP21&lt;&gt;"",TODAY()&gt;=AP21),"Refi Ready",IF(TODAY()-C21&gt;=SETTINGS!$I$11,"Prospecting","Performing")))</f>
        <v/>
      </c>
      <c r="AR21" s="35" t="str">
        <f aca="false">IF(OR(C21="",I21="",K21=""),"",IF(K21="Monthly",EDATE(C21,I21),WORKDAY(C21,I21)))</f>
        <v/>
      </c>
      <c r="AS21" s="28"/>
      <c r="AT21" s="36" t="str">
        <f aca="true">IF(C21="","",IF(AM21="Clawed Back","CLAWED",IF(TODAY()&lt;=C21+SETTINGS!$I$2,"⚠ AT RISK","SAFE")))</f>
        <v/>
      </c>
      <c r="AU21" s="28"/>
      <c r="AW21" s="24" t="n">
        <f aca="false">AW20+IF(AND(C21&lt;&gt;"",AO21&lt;&gt;"",OR('REP COMMISSION'!$B$3="",T21='REP COMMISSION'!$B$3,W21='REP COMMISSION'!$B$3,Z21='REP COMMISSION'!$B$3)),1,0)</f>
        <v>0</v>
      </c>
      <c r="AX21" s="24" t="n">
        <f aca="false">AX20+IF(AND(C21&lt;&gt;"",OR(F21="LOC - INITIAL",F21="CONSOLIDATION - UPFRONT COMM",F21="REVERSE - TOTAL FUNDING")),1,0)</f>
        <v>0</v>
      </c>
    </row>
    <row r="22" customFormat="false" ht="15" hidden="false" customHeight="false" outlineLevel="0" collapsed="false">
      <c r="A22" s="8" t="str">
        <f aca="false">IF(C22&lt;&gt;"","F"&amp;COUNT($C$4:C22),"")</f>
        <v/>
      </c>
      <c r="B22" s="9" t="str">
        <f aca="false">IF(OR(F22="LOC - INITIAL",F22="CONSOLIDATION - UPFRONT COMM",F22="REVERSE - TOTAL FUNDING"),A22,"")</f>
        <v/>
      </c>
      <c r="C22" s="10"/>
      <c r="D22" s="11"/>
      <c r="E22" s="11"/>
      <c r="F22" s="11"/>
      <c r="G22" s="12"/>
      <c r="H22" s="13"/>
      <c r="I22" s="11"/>
      <c r="J22" s="14" t="str">
        <f aca="false">IF(AND(G22&lt;&gt;"",H22&lt;&gt;""),G22*H22,"")</f>
        <v/>
      </c>
      <c r="K22" s="11"/>
      <c r="L22" s="15"/>
      <c r="M22" s="15"/>
      <c r="N22" s="14" t="n">
        <f aca="false">IF(OR(G22="",M22=""),0,IF(M22&gt;100,M22,G22*IF(M22&gt;1,M22/100,M22)))</f>
        <v>0</v>
      </c>
      <c r="O22" s="14" t="str">
        <f aca="false">IF(G22="","",G22*IF(L22="",0,IF(L22&gt;1,L22/100,L22))+N22)</f>
        <v/>
      </c>
      <c r="P22" s="11"/>
      <c r="Q22" s="16" t="str">
        <f aca="false">IF(P22="","",IFERROR(VLOOKUP(P22,PARTNERS!$A$2:$B$30,2,0),""))</f>
        <v/>
      </c>
      <c r="R22" s="17" t="str">
        <f aca="false">IF(O22="","",IF(OR(P22="",Q22=""),0,(O22-N22)*IF(Q22&gt;1,Q22/100,Q22)))</f>
        <v/>
      </c>
      <c r="S22" s="14" t="str">
        <f aca="false">IF(O22="","",O22-R22)</f>
        <v/>
      </c>
      <c r="T22" s="11"/>
      <c r="U22" s="18" t="str">
        <f aca="false">IF(T22="","",IFERROR(VLOOKUP(T22,REPS!$A$2:$D$40,2,0),""))</f>
        <v/>
      </c>
      <c r="V22" s="14" t="str">
        <f aca="false">IF(O22="","",IF(U22="",0,O22*IF(U22&gt;1,U22/100,U22)))</f>
        <v/>
      </c>
      <c r="W22" s="11"/>
      <c r="X22" s="18" t="str">
        <f aca="false">IF(W22="","",IFERROR(VLOOKUP(W22,REPS!$A$2:$D$40,3,0),""))</f>
        <v/>
      </c>
      <c r="Y22" s="14" t="str">
        <f aca="false">IF(O22="","",IF(X22="",0,O22*IF(X22&gt;1,X22/100,X22)))</f>
        <v/>
      </c>
      <c r="Z22" s="11"/>
      <c r="AA22" s="18" t="str">
        <f aca="false">IF(Z22="","",IFERROR(VLOOKUP(Z22,REPS!$A$2:$D$40,4,0),""))</f>
        <v/>
      </c>
      <c r="AB22" s="14" t="str">
        <f aca="false">IF(O22="","",IF(AA22="",0,O22*IF(AA22&gt;1,AA22/100,AA22)))</f>
        <v/>
      </c>
      <c r="AC22" s="14" t="str">
        <f aca="false">IF(O22="","",V22+Y22+AB22)</f>
        <v/>
      </c>
      <c r="AD22" s="19" t="str">
        <f aca="false">IF(O22="","",O22-R22-AC22)</f>
        <v/>
      </c>
      <c r="AE22" s="20"/>
      <c r="AF22" s="10"/>
      <c r="AG22" s="21" t="n">
        <f aca="false">IF(OR(AE22="",AE22=0),0,AE22*IF(U22="",0,IF(U22&gt;1,U22/100,U22)))</f>
        <v>0</v>
      </c>
      <c r="AH22" s="21" t="n">
        <f aca="false">IF(OR(AE22="",AE22=0),0,AE22*IF(X22="",0,IF(X22&gt;1,X22/100,X22)))</f>
        <v>0</v>
      </c>
      <c r="AI22" s="21" t="n">
        <f aca="false">IF(OR(AE22="",AE22=0),0,AE22*IF(AA22="",0,IF(AA22&gt;1,AA22/100,AA22)))</f>
        <v>0</v>
      </c>
      <c r="AJ22" s="21" t="n">
        <f aca="false">AG22+AH22+AI22</f>
        <v>0</v>
      </c>
      <c r="AK22" s="21" t="n">
        <f aca="false">IF(OR(AE22="",AE22=0),0,AE22-AJ22)</f>
        <v>0</v>
      </c>
      <c r="AL22" s="19" t="str">
        <f aca="false">IF(AD22="","",AD22-AK22)</f>
        <v/>
      </c>
      <c r="AM22" s="9" t="str">
        <f aca="false">IF(C22="","","Waiting for payment")</f>
        <v/>
      </c>
      <c r="AN22" s="10"/>
      <c r="AO22" s="10"/>
      <c r="AP22" s="22" t="str">
        <f aca="false">IF(OR(C22="",I22="",K22=""),"",IF(K22="Monthly",EDATE(C22,ROUND(I22*SETTINGS!$I$8,0)),WORKDAY(C22,ROUND(I22*SETTINGS!$I$8,0))))</f>
        <v/>
      </c>
      <c r="AQ22" s="9" t="str">
        <f aca="true">IF(C22="","",IF(AND(AP22&lt;&gt;"",TODAY()&gt;=AP22),"Refi Ready",IF(TODAY()-C22&gt;=SETTINGS!$I$11,"Prospecting","Performing")))</f>
        <v/>
      </c>
      <c r="AR22" s="22" t="str">
        <f aca="false">IF(OR(C22="",I22="",K22=""),"",IF(K22="Monthly",EDATE(C22,I22),WORKDAY(C22,I22)))</f>
        <v/>
      </c>
      <c r="AS22" s="11"/>
      <c r="AT22" s="23" t="str">
        <f aca="true">IF(C22="","",IF(AM22="Clawed Back","CLAWED",IF(TODAY()&lt;=C22+SETTINGS!$I$2,"⚠ AT RISK","SAFE")))</f>
        <v/>
      </c>
      <c r="AU22" s="11"/>
      <c r="AW22" s="24" t="n">
        <f aca="false">AW21+IF(AND(C22&lt;&gt;"",AO22&lt;&gt;"",OR('REP COMMISSION'!$B$3="",T22='REP COMMISSION'!$B$3,W22='REP COMMISSION'!$B$3,Z22='REP COMMISSION'!$B$3)),1,0)</f>
        <v>0</v>
      </c>
      <c r="AX22" s="24" t="n">
        <f aca="false">AX21+IF(AND(C22&lt;&gt;"",OR(F22="LOC - INITIAL",F22="CONSOLIDATION - UPFRONT COMM",F22="REVERSE - TOTAL FUNDING")),1,0)</f>
        <v>0</v>
      </c>
    </row>
    <row r="23" customFormat="false" ht="15" hidden="false" customHeight="false" outlineLevel="0" collapsed="false">
      <c r="A23" s="25" t="str">
        <f aca="false">IF(C23&lt;&gt;"","F"&amp;COUNT($C$4:C23),"")</f>
        <v/>
      </c>
      <c r="B23" s="26" t="str">
        <f aca="false">IF(OR(F23="LOC - INITIAL",F23="CONSOLIDATION - UPFRONT COMM",F23="REVERSE - TOTAL FUNDING"),A23,"")</f>
        <v/>
      </c>
      <c r="C23" s="27"/>
      <c r="D23" s="28"/>
      <c r="E23" s="28"/>
      <c r="F23" s="28"/>
      <c r="G23" s="29"/>
      <c r="H23" s="30"/>
      <c r="I23" s="28"/>
      <c r="J23" s="31" t="str">
        <f aca="false">IF(AND(G23&lt;&gt;"",H23&lt;&gt;""),G23*H23,"")</f>
        <v/>
      </c>
      <c r="K23" s="28"/>
      <c r="L23" s="32"/>
      <c r="M23" s="32"/>
      <c r="N23" s="31" t="n">
        <f aca="false">IF(OR(G23="",M23=""),0,IF(M23&gt;100,M23,G23*IF(M23&gt;1,M23/100,M23)))</f>
        <v>0</v>
      </c>
      <c r="O23" s="31" t="str">
        <f aca="false">IF(G23="","",G23*IF(L23="",0,IF(L23&gt;1,L23/100,L23))+N23)</f>
        <v/>
      </c>
      <c r="P23" s="28"/>
      <c r="Q23" s="33" t="str">
        <f aca="false">IF(P23="","",IFERROR(VLOOKUP(P23,PARTNERS!$A$2:$B$30,2,0),""))</f>
        <v/>
      </c>
      <c r="R23" s="17" t="str">
        <f aca="false">IF(O23="","",IF(OR(P23="",Q23=""),0,(O23-N23)*IF(Q23&gt;1,Q23/100,Q23)))</f>
        <v/>
      </c>
      <c r="S23" s="31" t="str">
        <f aca="false">IF(O23="","",O23-R23)</f>
        <v/>
      </c>
      <c r="T23" s="28"/>
      <c r="U23" s="34" t="str">
        <f aca="false">IF(T23="","",IFERROR(VLOOKUP(T23,REPS!$A$2:$D$40,2,0),""))</f>
        <v/>
      </c>
      <c r="V23" s="31" t="str">
        <f aca="false">IF(O23="","",IF(U23="",0,O23*IF(U23&gt;1,U23/100,U23)))</f>
        <v/>
      </c>
      <c r="W23" s="28"/>
      <c r="X23" s="34" t="str">
        <f aca="false">IF(W23="","",IFERROR(VLOOKUP(W23,REPS!$A$2:$D$40,3,0),""))</f>
        <v/>
      </c>
      <c r="Y23" s="31" t="str">
        <f aca="false">IF(O23="","",IF(X23="",0,O23*IF(X23&gt;1,X23/100,X23)))</f>
        <v/>
      </c>
      <c r="Z23" s="28"/>
      <c r="AA23" s="34" t="str">
        <f aca="false">IF(Z23="","",IFERROR(VLOOKUP(Z23,REPS!$A$2:$D$40,4,0),""))</f>
        <v/>
      </c>
      <c r="AB23" s="31" t="str">
        <f aca="false">IF(O23="","",IF(AA23="",0,O23*IF(AA23&gt;1,AA23/100,AA23)))</f>
        <v/>
      </c>
      <c r="AC23" s="31" t="str">
        <f aca="false">IF(O23="","",V23+Y23+AB23)</f>
        <v/>
      </c>
      <c r="AD23" s="19" t="str">
        <f aca="false">IF(O23="","",O23-R23-AC23)</f>
        <v/>
      </c>
      <c r="AE23" s="20"/>
      <c r="AF23" s="27"/>
      <c r="AG23" s="21" t="n">
        <f aca="false">IF(OR(AE23="",AE23=0),0,AE23*IF(U23="",0,IF(U23&gt;1,U23/100,U23)))</f>
        <v>0</v>
      </c>
      <c r="AH23" s="21" t="n">
        <f aca="false">IF(OR(AE23="",AE23=0),0,AE23*IF(X23="",0,IF(X23&gt;1,X23/100,X23)))</f>
        <v>0</v>
      </c>
      <c r="AI23" s="21" t="n">
        <f aca="false">IF(OR(AE23="",AE23=0),0,AE23*IF(AA23="",0,IF(AA23&gt;1,AA23/100,AA23)))</f>
        <v>0</v>
      </c>
      <c r="AJ23" s="21" t="n">
        <f aca="false">AG23+AH23+AI23</f>
        <v>0</v>
      </c>
      <c r="AK23" s="21" t="n">
        <f aca="false">IF(OR(AE23="",AE23=0),0,AE23-AJ23)</f>
        <v>0</v>
      </c>
      <c r="AL23" s="19" t="str">
        <f aca="false">IF(AD23="","",AD23-AK23)</f>
        <v/>
      </c>
      <c r="AM23" s="26" t="str">
        <f aca="false">IF(C23="","","Waiting for payment")</f>
        <v/>
      </c>
      <c r="AN23" s="27"/>
      <c r="AO23" s="27"/>
      <c r="AP23" s="35" t="str">
        <f aca="false">IF(OR(C23="",I23="",K23=""),"",IF(K23="Monthly",EDATE(C23,ROUND(I23*SETTINGS!$I$8,0)),WORKDAY(C23,ROUND(I23*SETTINGS!$I$8,0))))</f>
        <v/>
      </c>
      <c r="AQ23" s="26" t="str">
        <f aca="true">IF(C23="","",IF(AND(AP23&lt;&gt;"",TODAY()&gt;=AP23),"Refi Ready",IF(TODAY()-C23&gt;=SETTINGS!$I$11,"Prospecting","Performing")))</f>
        <v/>
      </c>
      <c r="AR23" s="35" t="str">
        <f aca="false">IF(OR(C23="",I23="",K23=""),"",IF(K23="Monthly",EDATE(C23,I23),WORKDAY(C23,I23)))</f>
        <v/>
      </c>
      <c r="AS23" s="28"/>
      <c r="AT23" s="36" t="str">
        <f aca="true">IF(C23="","",IF(AM23="Clawed Back","CLAWED",IF(TODAY()&lt;=C23+SETTINGS!$I$2,"⚠ AT RISK","SAFE")))</f>
        <v/>
      </c>
      <c r="AU23" s="28"/>
      <c r="AW23" s="24" t="n">
        <f aca="false">AW22+IF(AND(C23&lt;&gt;"",AO23&lt;&gt;"",OR('REP COMMISSION'!$B$3="",T23='REP COMMISSION'!$B$3,W23='REP COMMISSION'!$B$3,Z23='REP COMMISSION'!$B$3)),1,0)</f>
        <v>0</v>
      </c>
      <c r="AX23" s="24" t="n">
        <f aca="false">AX22+IF(AND(C23&lt;&gt;"",OR(F23="LOC - INITIAL",F23="CONSOLIDATION - UPFRONT COMM",F23="REVERSE - TOTAL FUNDING")),1,0)</f>
        <v>0</v>
      </c>
    </row>
    <row r="24" customFormat="false" ht="15" hidden="false" customHeight="false" outlineLevel="0" collapsed="false">
      <c r="A24" s="8" t="str">
        <f aca="false">IF(C24&lt;&gt;"","F"&amp;COUNT($C$4:C24),"")</f>
        <v/>
      </c>
      <c r="B24" s="9" t="str">
        <f aca="false">IF(OR(F24="LOC - INITIAL",F24="CONSOLIDATION - UPFRONT COMM",F24="REVERSE - TOTAL FUNDING"),A24,"")</f>
        <v/>
      </c>
      <c r="C24" s="10"/>
      <c r="D24" s="11"/>
      <c r="E24" s="11"/>
      <c r="F24" s="11"/>
      <c r="G24" s="12"/>
      <c r="H24" s="13"/>
      <c r="I24" s="11"/>
      <c r="J24" s="14" t="str">
        <f aca="false">IF(AND(G24&lt;&gt;"",H24&lt;&gt;""),G24*H24,"")</f>
        <v/>
      </c>
      <c r="K24" s="11"/>
      <c r="L24" s="15"/>
      <c r="M24" s="15"/>
      <c r="N24" s="14" t="n">
        <f aca="false">IF(OR(G24="",M24=""),0,IF(M24&gt;100,M24,G24*IF(M24&gt;1,M24/100,M24)))</f>
        <v>0</v>
      </c>
      <c r="O24" s="14" t="str">
        <f aca="false">IF(G24="","",G24*IF(L24="",0,IF(L24&gt;1,L24/100,L24))+N24)</f>
        <v/>
      </c>
      <c r="P24" s="11"/>
      <c r="Q24" s="16" t="str">
        <f aca="false">IF(P24="","",IFERROR(VLOOKUP(P24,PARTNERS!$A$2:$B$30,2,0),""))</f>
        <v/>
      </c>
      <c r="R24" s="17" t="str">
        <f aca="false">IF(O24="","",IF(OR(P24="",Q24=""),0,(O24-N24)*IF(Q24&gt;1,Q24/100,Q24)))</f>
        <v/>
      </c>
      <c r="S24" s="14" t="str">
        <f aca="false">IF(O24="","",O24-R24)</f>
        <v/>
      </c>
      <c r="T24" s="11"/>
      <c r="U24" s="18" t="str">
        <f aca="false">IF(T24="","",IFERROR(VLOOKUP(T24,REPS!$A$2:$D$40,2,0),""))</f>
        <v/>
      </c>
      <c r="V24" s="14" t="str">
        <f aca="false">IF(O24="","",IF(U24="",0,O24*IF(U24&gt;1,U24/100,U24)))</f>
        <v/>
      </c>
      <c r="W24" s="11"/>
      <c r="X24" s="18" t="str">
        <f aca="false">IF(W24="","",IFERROR(VLOOKUP(W24,REPS!$A$2:$D$40,3,0),""))</f>
        <v/>
      </c>
      <c r="Y24" s="14" t="str">
        <f aca="false">IF(O24="","",IF(X24="",0,O24*IF(X24&gt;1,X24/100,X24)))</f>
        <v/>
      </c>
      <c r="Z24" s="11"/>
      <c r="AA24" s="18" t="str">
        <f aca="false">IF(Z24="","",IFERROR(VLOOKUP(Z24,REPS!$A$2:$D$40,4,0),""))</f>
        <v/>
      </c>
      <c r="AB24" s="14" t="str">
        <f aca="false">IF(O24="","",IF(AA24="",0,O24*IF(AA24&gt;1,AA24/100,AA24)))</f>
        <v/>
      </c>
      <c r="AC24" s="14" t="str">
        <f aca="false">IF(O24="","",V24+Y24+AB24)</f>
        <v/>
      </c>
      <c r="AD24" s="19" t="str">
        <f aca="false">IF(O24="","",O24-R24-AC24)</f>
        <v/>
      </c>
      <c r="AE24" s="20"/>
      <c r="AF24" s="10"/>
      <c r="AG24" s="21" t="n">
        <f aca="false">IF(OR(AE24="",AE24=0),0,AE24*IF(U24="",0,IF(U24&gt;1,U24/100,U24)))</f>
        <v>0</v>
      </c>
      <c r="AH24" s="21" t="n">
        <f aca="false">IF(OR(AE24="",AE24=0),0,AE24*IF(X24="",0,IF(X24&gt;1,X24/100,X24)))</f>
        <v>0</v>
      </c>
      <c r="AI24" s="21" t="n">
        <f aca="false">IF(OR(AE24="",AE24=0),0,AE24*IF(AA24="",0,IF(AA24&gt;1,AA24/100,AA24)))</f>
        <v>0</v>
      </c>
      <c r="AJ24" s="21" t="n">
        <f aca="false">AG24+AH24+AI24</f>
        <v>0</v>
      </c>
      <c r="AK24" s="21" t="n">
        <f aca="false">IF(OR(AE24="",AE24=0),0,AE24-AJ24)</f>
        <v>0</v>
      </c>
      <c r="AL24" s="19" t="str">
        <f aca="false">IF(AD24="","",AD24-AK24)</f>
        <v/>
      </c>
      <c r="AM24" s="9" t="str">
        <f aca="false">IF(C24="","","Waiting for payment")</f>
        <v/>
      </c>
      <c r="AN24" s="10"/>
      <c r="AO24" s="10"/>
      <c r="AP24" s="22" t="str">
        <f aca="false">IF(OR(C24="",I24="",K24=""),"",IF(K24="Monthly",EDATE(C24,ROUND(I24*SETTINGS!$I$8,0)),WORKDAY(C24,ROUND(I24*SETTINGS!$I$8,0))))</f>
        <v/>
      </c>
      <c r="AQ24" s="9" t="str">
        <f aca="true">IF(C24="","",IF(AND(AP24&lt;&gt;"",TODAY()&gt;=AP24),"Refi Ready",IF(TODAY()-C24&gt;=SETTINGS!$I$11,"Prospecting","Performing")))</f>
        <v/>
      </c>
      <c r="AR24" s="22" t="str">
        <f aca="false">IF(OR(C24="",I24="",K24=""),"",IF(K24="Monthly",EDATE(C24,I24),WORKDAY(C24,I24)))</f>
        <v/>
      </c>
      <c r="AS24" s="11"/>
      <c r="AT24" s="23" t="str">
        <f aca="true">IF(C24="","",IF(AM24="Clawed Back","CLAWED",IF(TODAY()&lt;=C24+SETTINGS!$I$2,"⚠ AT RISK","SAFE")))</f>
        <v/>
      </c>
      <c r="AU24" s="11"/>
      <c r="AW24" s="24" t="n">
        <f aca="false">AW23+IF(AND(C24&lt;&gt;"",AO24&lt;&gt;"",OR('REP COMMISSION'!$B$3="",T24='REP COMMISSION'!$B$3,W24='REP COMMISSION'!$B$3,Z24='REP COMMISSION'!$B$3)),1,0)</f>
        <v>0</v>
      </c>
      <c r="AX24" s="24" t="n">
        <f aca="false">AX23+IF(AND(C24&lt;&gt;"",OR(F24="LOC - INITIAL",F24="CONSOLIDATION - UPFRONT COMM",F24="REVERSE - TOTAL FUNDING")),1,0)</f>
        <v>0</v>
      </c>
    </row>
    <row r="25" customFormat="false" ht="15" hidden="false" customHeight="false" outlineLevel="0" collapsed="false">
      <c r="A25" s="25" t="str">
        <f aca="false">IF(C25&lt;&gt;"","F"&amp;COUNT($C$4:C25),"")</f>
        <v/>
      </c>
      <c r="B25" s="26" t="str">
        <f aca="false">IF(OR(F25="LOC - INITIAL",F25="CONSOLIDATION - UPFRONT COMM",F25="REVERSE - TOTAL FUNDING"),A25,"")</f>
        <v/>
      </c>
      <c r="C25" s="27"/>
      <c r="D25" s="28"/>
      <c r="E25" s="28"/>
      <c r="F25" s="28"/>
      <c r="G25" s="29"/>
      <c r="H25" s="30"/>
      <c r="I25" s="28"/>
      <c r="J25" s="31" t="str">
        <f aca="false">IF(AND(G25&lt;&gt;"",H25&lt;&gt;""),G25*H25,"")</f>
        <v/>
      </c>
      <c r="K25" s="28"/>
      <c r="L25" s="32"/>
      <c r="M25" s="32"/>
      <c r="N25" s="31" t="n">
        <f aca="false">IF(OR(G25="",M25=""),0,IF(M25&gt;100,M25,G25*IF(M25&gt;1,M25/100,M25)))</f>
        <v>0</v>
      </c>
      <c r="O25" s="31" t="str">
        <f aca="false">IF(G25="","",G25*IF(L25="",0,IF(L25&gt;1,L25/100,L25))+N25)</f>
        <v/>
      </c>
      <c r="P25" s="28"/>
      <c r="Q25" s="33" t="str">
        <f aca="false">IF(P25="","",IFERROR(VLOOKUP(P25,PARTNERS!$A$2:$B$30,2,0),""))</f>
        <v/>
      </c>
      <c r="R25" s="17" t="str">
        <f aca="false">IF(O25="","",IF(OR(P25="",Q25=""),0,(O25-N25)*IF(Q25&gt;1,Q25/100,Q25)))</f>
        <v/>
      </c>
      <c r="S25" s="31" t="str">
        <f aca="false">IF(O25="","",O25-R25)</f>
        <v/>
      </c>
      <c r="T25" s="28"/>
      <c r="U25" s="34" t="str">
        <f aca="false">IF(T25="","",IFERROR(VLOOKUP(T25,REPS!$A$2:$D$40,2,0),""))</f>
        <v/>
      </c>
      <c r="V25" s="31" t="str">
        <f aca="false">IF(O25="","",IF(U25="",0,O25*IF(U25&gt;1,U25/100,U25)))</f>
        <v/>
      </c>
      <c r="W25" s="28"/>
      <c r="X25" s="34" t="str">
        <f aca="false">IF(W25="","",IFERROR(VLOOKUP(W25,REPS!$A$2:$D$40,3,0),""))</f>
        <v/>
      </c>
      <c r="Y25" s="31" t="str">
        <f aca="false">IF(O25="","",IF(X25="",0,O25*IF(X25&gt;1,X25/100,X25)))</f>
        <v/>
      </c>
      <c r="Z25" s="28"/>
      <c r="AA25" s="34" t="str">
        <f aca="false">IF(Z25="","",IFERROR(VLOOKUP(Z25,REPS!$A$2:$D$40,4,0),""))</f>
        <v/>
      </c>
      <c r="AB25" s="31" t="str">
        <f aca="false">IF(O25="","",IF(AA25="",0,O25*IF(AA25&gt;1,AA25/100,AA25)))</f>
        <v/>
      </c>
      <c r="AC25" s="31" t="str">
        <f aca="false">IF(O25="","",V25+Y25+AB25)</f>
        <v/>
      </c>
      <c r="AD25" s="19" t="str">
        <f aca="false">IF(O25="","",O25-R25-AC25)</f>
        <v/>
      </c>
      <c r="AE25" s="20"/>
      <c r="AF25" s="27"/>
      <c r="AG25" s="21" t="n">
        <f aca="false">IF(OR(AE25="",AE25=0),0,AE25*IF(U25="",0,IF(U25&gt;1,U25/100,U25)))</f>
        <v>0</v>
      </c>
      <c r="AH25" s="21" t="n">
        <f aca="false">IF(OR(AE25="",AE25=0),0,AE25*IF(X25="",0,IF(X25&gt;1,X25/100,X25)))</f>
        <v>0</v>
      </c>
      <c r="AI25" s="21" t="n">
        <f aca="false">IF(OR(AE25="",AE25=0),0,AE25*IF(AA25="",0,IF(AA25&gt;1,AA25/100,AA25)))</f>
        <v>0</v>
      </c>
      <c r="AJ25" s="21" t="n">
        <f aca="false">AG25+AH25+AI25</f>
        <v>0</v>
      </c>
      <c r="AK25" s="21" t="n">
        <f aca="false">IF(OR(AE25="",AE25=0),0,AE25-AJ25)</f>
        <v>0</v>
      </c>
      <c r="AL25" s="19" t="str">
        <f aca="false">IF(AD25="","",AD25-AK25)</f>
        <v/>
      </c>
      <c r="AM25" s="26" t="str">
        <f aca="false">IF(C25="","","Waiting for payment")</f>
        <v/>
      </c>
      <c r="AN25" s="27"/>
      <c r="AO25" s="27"/>
      <c r="AP25" s="35" t="str">
        <f aca="false">IF(OR(C25="",I25="",K25=""),"",IF(K25="Monthly",EDATE(C25,ROUND(I25*SETTINGS!$I$8,0)),WORKDAY(C25,ROUND(I25*SETTINGS!$I$8,0))))</f>
        <v/>
      </c>
      <c r="AQ25" s="26" t="str">
        <f aca="true">IF(C25="","",IF(AND(AP25&lt;&gt;"",TODAY()&gt;=AP25),"Refi Ready",IF(TODAY()-C25&gt;=SETTINGS!$I$11,"Prospecting","Performing")))</f>
        <v/>
      </c>
      <c r="AR25" s="35" t="str">
        <f aca="false">IF(OR(C25="",I25="",K25=""),"",IF(K25="Monthly",EDATE(C25,I25),WORKDAY(C25,I25)))</f>
        <v/>
      </c>
      <c r="AS25" s="28"/>
      <c r="AT25" s="36" t="str">
        <f aca="true">IF(C25="","",IF(AM25="Clawed Back","CLAWED",IF(TODAY()&lt;=C25+SETTINGS!$I$2,"⚠ AT RISK","SAFE")))</f>
        <v/>
      </c>
      <c r="AU25" s="28"/>
      <c r="AW25" s="24" t="n">
        <f aca="false">AW24+IF(AND(C25&lt;&gt;"",AO25&lt;&gt;"",OR('REP COMMISSION'!$B$3="",T25='REP COMMISSION'!$B$3,W25='REP COMMISSION'!$B$3,Z25='REP COMMISSION'!$B$3)),1,0)</f>
        <v>0</v>
      </c>
      <c r="AX25" s="24" t="n">
        <f aca="false">AX24+IF(AND(C25&lt;&gt;"",OR(F25="LOC - INITIAL",F25="CONSOLIDATION - UPFRONT COMM",F25="REVERSE - TOTAL FUNDING")),1,0)</f>
        <v>0</v>
      </c>
    </row>
    <row r="26" customFormat="false" ht="15" hidden="false" customHeight="false" outlineLevel="0" collapsed="false">
      <c r="A26" s="8" t="str">
        <f aca="false">IF(C26&lt;&gt;"","F"&amp;COUNT($C$4:C26),"")</f>
        <v/>
      </c>
      <c r="B26" s="9" t="str">
        <f aca="false">IF(OR(F26="LOC - INITIAL",F26="CONSOLIDATION - UPFRONT COMM",F26="REVERSE - TOTAL FUNDING"),A26,"")</f>
        <v/>
      </c>
      <c r="C26" s="10"/>
      <c r="D26" s="11"/>
      <c r="E26" s="11"/>
      <c r="F26" s="11"/>
      <c r="G26" s="12"/>
      <c r="H26" s="13"/>
      <c r="I26" s="11"/>
      <c r="J26" s="14" t="str">
        <f aca="false">IF(AND(G26&lt;&gt;"",H26&lt;&gt;""),G26*H26,"")</f>
        <v/>
      </c>
      <c r="K26" s="11"/>
      <c r="L26" s="15"/>
      <c r="M26" s="15"/>
      <c r="N26" s="14" t="n">
        <f aca="false">IF(OR(G26="",M26=""),0,IF(M26&gt;100,M26,G26*IF(M26&gt;1,M26/100,M26)))</f>
        <v>0</v>
      </c>
      <c r="O26" s="14" t="str">
        <f aca="false">IF(G26="","",G26*IF(L26="",0,IF(L26&gt;1,L26/100,L26))+N26)</f>
        <v/>
      </c>
      <c r="P26" s="11"/>
      <c r="Q26" s="16" t="str">
        <f aca="false">IF(P26="","",IFERROR(VLOOKUP(P26,PARTNERS!$A$2:$B$30,2,0),""))</f>
        <v/>
      </c>
      <c r="R26" s="17" t="str">
        <f aca="false">IF(O26="","",IF(OR(P26="",Q26=""),0,(O26-N26)*IF(Q26&gt;1,Q26/100,Q26)))</f>
        <v/>
      </c>
      <c r="S26" s="14" t="str">
        <f aca="false">IF(O26="","",O26-R26)</f>
        <v/>
      </c>
      <c r="T26" s="11"/>
      <c r="U26" s="18" t="str">
        <f aca="false">IF(T26="","",IFERROR(VLOOKUP(T26,REPS!$A$2:$D$40,2,0),""))</f>
        <v/>
      </c>
      <c r="V26" s="14" t="str">
        <f aca="false">IF(O26="","",IF(U26="",0,O26*IF(U26&gt;1,U26/100,U26)))</f>
        <v/>
      </c>
      <c r="W26" s="11"/>
      <c r="X26" s="18" t="str">
        <f aca="false">IF(W26="","",IFERROR(VLOOKUP(W26,REPS!$A$2:$D$40,3,0),""))</f>
        <v/>
      </c>
      <c r="Y26" s="14" t="str">
        <f aca="false">IF(O26="","",IF(X26="",0,O26*IF(X26&gt;1,X26/100,X26)))</f>
        <v/>
      </c>
      <c r="Z26" s="11"/>
      <c r="AA26" s="18" t="str">
        <f aca="false">IF(Z26="","",IFERROR(VLOOKUP(Z26,REPS!$A$2:$D$40,4,0),""))</f>
        <v/>
      </c>
      <c r="AB26" s="14" t="str">
        <f aca="false">IF(O26="","",IF(AA26="",0,O26*IF(AA26&gt;1,AA26/100,AA26)))</f>
        <v/>
      </c>
      <c r="AC26" s="14" t="str">
        <f aca="false">IF(O26="","",V26+Y26+AB26)</f>
        <v/>
      </c>
      <c r="AD26" s="19" t="str">
        <f aca="false">IF(O26="","",O26-R26-AC26)</f>
        <v/>
      </c>
      <c r="AE26" s="20"/>
      <c r="AF26" s="10"/>
      <c r="AG26" s="21" t="n">
        <f aca="false">IF(OR(AE26="",AE26=0),0,AE26*IF(U26="",0,IF(U26&gt;1,U26/100,U26)))</f>
        <v>0</v>
      </c>
      <c r="AH26" s="21" t="n">
        <f aca="false">IF(OR(AE26="",AE26=0),0,AE26*IF(X26="",0,IF(X26&gt;1,X26/100,X26)))</f>
        <v>0</v>
      </c>
      <c r="AI26" s="21" t="n">
        <f aca="false">IF(OR(AE26="",AE26=0),0,AE26*IF(AA26="",0,IF(AA26&gt;1,AA26/100,AA26)))</f>
        <v>0</v>
      </c>
      <c r="AJ26" s="21" t="n">
        <f aca="false">AG26+AH26+AI26</f>
        <v>0</v>
      </c>
      <c r="AK26" s="21" t="n">
        <f aca="false">IF(OR(AE26="",AE26=0),0,AE26-AJ26)</f>
        <v>0</v>
      </c>
      <c r="AL26" s="19" t="str">
        <f aca="false">IF(AD26="","",AD26-AK26)</f>
        <v/>
      </c>
      <c r="AM26" s="9" t="str">
        <f aca="false">IF(C26="","","Waiting for payment")</f>
        <v/>
      </c>
      <c r="AN26" s="10"/>
      <c r="AO26" s="10"/>
      <c r="AP26" s="22" t="str">
        <f aca="false">IF(OR(C26="",I26="",K26=""),"",IF(K26="Monthly",EDATE(C26,ROUND(I26*SETTINGS!$I$8,0)),WORKDAY(C26,ROUND(I26*SETTINGS!$I$8,0))))</f>
        <v/>
      </c>
      <c r="AQ26" s="9" t="str">
        <f aca="true">IF(C26="","",IF(AND(AP26&lt;&gt;"",TODAY()&gt;=AP26),"Refi Ready",IF(TODAY()-C26&gt;=SETTINGS!$I$11,"Prospecting","Performing")))</f>
        <v/>
      </c>
      <c r="AR26" s="22" t="str">
        <f aca="false">IF(OR(C26="",I26="",K26=""),"",IF(K26="Monthly",EDATE(C26,I26),WORKDAY(C26,I26)))</f>
        <v/>
      </c>
      <c r="AS26" s="11"/>
      <c r="AT26" s="23" t="str">
        <f aca="true">IF(C26="","",IF(AM26="Clawed Back","CLAWED",IF(TODAY()&lt;=C26+SETTINGS!$I$2,"⚠ AT RISK","SAFE")))</f>
        <v/>
      </c>
      <c r="AU26" s="11"/>
      <c r="AW26" s="24" t="n">
        <f aca="false">AW25+IF(AND(C26&lt;&gt;"",AO26&lt;&gt;"",OR('REP COMMISSION'!$B$3="",T26='REP COMMISSION'!$B$3,W26='REP COMMISSION'!$B$3,Z26='REP COMMISSION'!$B$3)),1,0)</f>
        <v>0</v>
      </c>
      <c r="AX26" s="24" t="n">
        <f aca="false">AX25+IF(AND(C26&lt;&gt;"",OR(F26="LOC - INITIAL",F26="CONSOLIDATION - UPFRONT COMM",F26="REVERSE - TOTAL FUNDING")),1,0)</f>
        <v>0</v>
      </c>
    </row>
    <row r="27" customFormat="false" ht="15" hidden="false" customHeight="false" outlineLevel="0" collapsed="false">
      <c r="A27" s="25" t="str">
        <f aca="false">IF(C27&lt;&gt;"","F"&amp;COUNT($C$4:C27),"")</f>
        <v/>
      </c>
      <c r="B27" s="26" t="str">
        <f aca="false">IF(OR(F27="LOC - INITIAL",F27="CONSOLIDATION - UPFRONT COMM",F27="REVERSE - TOTAL FUNDING"),A27,"")</f>
        <v/>
      </c>
      <c r="C27" s="27"/>
      <c r="D27" s="28"/>
      <c r="E27" s="28"/>
      <c r="F27" s="28"/>
      <c r="G27" s="29"/>
      <c r="H27" s="30"/>
      <c r="I27" s="28"/>
      <c r="J27" s="31" t="str">
        <f aca="false">IF(AND(G27&lt;&gt;"",H27&lt;&gt;""),G27*H27,"")</f>
        <v/>
      </c>
      <c r="K27" s="28"/>
      <c r="L27" s="32"/>
      <c r="M27" s="32"/>
      <c r="N27" s="31" t="n">
        <f aca="false">IF(OR(G27="",M27=""),0,IF(M27&gt;100,M27,G27*IF(M27&gt;1,M27/100,M27)))</f>
        <v>0</v>
      </c>
      <c r="O27" s="31" t="str">
        <f aca="false">IF(G27="","",G27*IF(L27="",0,IF(L27&gt;1,L27/100,L27))+N27)</f>
        <v/>
      </c>
      <c r="P27" s="28"/>
      <c r="Q27" s="33" t="str">
        <f aca="false">IF(P27="","",IFERROR(VLOOKUP(P27,PARTNERS!$A$2:$B$30,2,0),""))</f>
        <v/>
      </c>
      <c r="R27" s="17" t="str">
        <f aca="false">IF(O27="","",IF(OR(P27="",Q27=""),0,(O27-N27)*IF(Q27&gt;1,Q27/100,Q27)))</f>
        <v/>
      </c>
      <c r="S27" s="31" t="str">
        <f aca="false">IF(O27="","",O27-R27)</f>
        <v/>
      </c>
      <c r="T27" s="28"/>
      <c r="U27" s="34" t="str">
        <f aca="false">IF(T27="","",IFERROR(VLOOKUP(T27,REPS!$A$2:$D$40,2,0),""))</f>
        <v/>
      </c>
      <c r="V27" s="31" t="str">
        <f aca="false">IF(O27="","",IF(U27="",0,O27*IF(U27&gt;1,U27/100,U27)))</f>
        <v/>
      </c>
      <c r="W27" s="28"/>
      <c r="X27" s="34" t="str">
        <f aca="false">IF(W27="","",IFERROR(VLOOKUP(W27,REPS!$A$2:$D$40,3,0),""))</f>
        <v/>
      </c>
      <c r="Y27" s="31" t="str">
        <f aca="false">IF(O27="","",IF(X27="",0,O27*IF(X27&gt;1,X27/100,X27)))</f>
        <v/>
      </c>
      <c r="Z27" s="28"/>
      <c r="AA27" s="34" t="str">
        <f aca="false">IF(Z27="","",IFERROR(VLOOKUP(Z27,REPS!$A$2:$D$40,4,0),""))</f>
        <v/>
      </c>
      <c r="AB27" s="31" t="str">
        <f aca="false">IF(O27="","",IF(AA27="",0,O27*IF(AA27&gt;1,AA27/100,AA27)))</f>
        <v/>
      </c>
      <c r="AC27" s="31" t="str">
        <f aca="false">IF(O27="","",V27+Y27+AB27)</f>
        <v/>
      </c>
      <c r="AD27" s="19" t="str">
        <f aca="false">IF(O27="","",O27-R27-AC27)</f>
        <v/>
      </c>
      <c r="AE27" s="20"/>
      <c r="AF27" s="27"/>
      <c r="AG27" s="21" t="n">
        <f aca="false">IF(OR(AE27="",AE27=0),0,AE27*IF(U27="",0,IF(U27&gt;1,U27/100,U27)))</f>
        <v>0</v>
      </c>
      <c r="AH27" s="21" t="n">
        <f aca="false">IF(OR(AE27="",AE27=0),0,AE27*IF(X27="",0,IF(X27&gt;1,X27/100,X27)))</f>
        <v>0</v>
      </c>
      <c r="AI27" s="21" t="n">
        <f aca="false">IF(OR(AE27="",AE27=0),0,AE27*IF(AA27="",0,IF(AA27&gt;1,AA27/100,AA27)))</f>
        <v>0</v>
      </c>
      <c r="AJ27" s="21" t="n">
        <f aca="false">AG27+AH27+AI27</f>
        <v>0</v>
      </c>
      <c r="AK27" s="21" t="n">
        <f aca="false">IF(OR(AE27="",AE27=0),0,AE27-AJ27)</f>
        <v>0</v>
      </c>
      <c r="AL27" s="19" t="str">
        <f aca="false">IF(AD27="","",AD27-AK27)</f>
        <v/>
      </c>
      <c r="AM27" s="26" t="str">
        <f aca="false">IF(C27="","","Waiting for payment")</f>
        <v/>
      </c>
      <c r="AN27" s="27"/>
      <c r="AO27" s="27"/>
      <c r="AP27" s="35" t="str">
        <f aca="false">IF(OR(C27="",I27="",K27=""),"",IF(K27="Monthly",EDATE(C27,ROUND(I27*SETTINGS!$I$8,0)),WORKDAY(C27,ROUND(I27*SETTINGS!$I$8,0))))</f>
        <v/>
      </c>
      <c r="AQ27" s="26" t="str">
        <f aca="true">IF(C27="","",IF(AND(AP27&lt;&gt;"",TODAY()&gt;=AP27),"Refi Ready",IF(TODAY()-C27&gt;=SETTINGS!$I$11,"Prospecting","Performing")))</f>
        <v/>
      </c>
      <c r="AR27" s="35" t="str">
        <f aca="false">IF(OR(C27="",I27="",K27=""),"",IF(K27="Monthly",EDATE(C27,I27),WORKDAY(C27,I27)))</f>
        <v/>
      </c>
      <c r="AS27" s="28"/>
      <c r="AT27" s="36" t="str">
        <f aca="true">IF(C27="","",IF(AM27="Clawed Back","CLAWED",IF(TODAY()&lt;=C27+SETTINGS!$I$2,"⚠ AT RISK","SAFE")))</f>
        <v/>
      </c>
      <c r="AU27" s="28"/>
      <c r="AW27" s="24" t="n">
        <f aca="false">AW26+IF(AND(C27&lt;&gt;"",AO27&lt;&gt;"",OR('REP COMMISSION'!$B$3="",T27='REP COMMISSION'!$B$3,W27='REP COMMISSION'!$B$3,Z27='REP COMMISSION'!$B$3)),1,0)</f>
        <v>0</v>
      </c>
      <c r="AX27" s="24" t="n">
        <f aca="false">AX26+IF(AND(C27&lt;&gt;"",OR(F27="LOC - INITIAL",F27="CONSOLIDATION - UPFRONT COMM",F27="REVERSE - TOTAL FUNDING")),1,0)</f>
        <v>0</v>
      </c>
    </row>
    <row r="28" customFormat="false" ht="15" hidden="false" customHeight="false" outlineLevel="0" collapsed="false">
      <c r="A28" s="8" t="str">
        <f aca="false">IF(C28&lt;&gt;"","F"&amp;COUNT($C$4:C28),"")</f>
        <v/>
      </c>
      <c r="B28" s="9" t="str">
        <f aca="false">IF(OR(F28="LOC - INITIAL",F28="CONSOLIDATION - UPFRONT COMM",F28="REVERSE - TOTAL FUNDING"),A28,"")</f>
        <v/>
      </c>
      <c r="C28" s="10"/>
      <c r="D28" s="11"/>
      <c r="E28" s="11"/>
      <c r="F28" s="11"/>
      <c r="G28" s="12"/>
      <c r="H28" s="13"/>
      <c r="I28" s="11"/>
      <c r="J28" s="14" t="str">
        <f aca="false">IF(AND(G28&lt;&gt;"",H28&lt;&gt;""),G28*H28,"")</f>
        <v/>
      </c>
      <c r="K28" s="11"/>
      <c r="L28" s="15"/>
      <c r="M28" s="15"/>
      <c r="N28" s="14" t="n">
        <f aca="false">IF(OR(G28="",M28=""),0,IF(M28&gt;100,M28,G28*IF(M28&gt;1,M28/100,M28)))</f>
        <v>0</v>
      </c>
      <c r="O28" s="14" t="str">
        <f aca="false">IF(G28="","",G28*IF(L28="",0,IF(L28&gt;1,L28/100,L28))+N28)</f>
        <v/>
      </c>
      <c r="P28" s="11"/>
      <c r="Q28" s="16" t="str">
        <f aca="false">IF(P28="","",IFERROR(VLOOKUP(P28,PARTNERS!$A$2:$B$30,2,0),""))</f>
        <v/>
      </c>
      <c r="R28" s="17" t="str">
        <f aca="false">IF(O28="","",IF(OR(P28="",Q28=""),0,(O28-N28)*IF(Q28&gt;1,Q28/100,Q28)))</f>
        <v/>
      </c>
      <c r="S28" s="14" t="str">
        <f aca="false">IF(O28="","",O28-R28)</f>
        <v/>
      </c>
      <c r="T28" s="11"/>
      <c r="U28" s="18" t="str">
        <f aca="false">IF(T28="","",IFERROR(VLOOKUP(T28,REPS!$A$2:$D$40,2,0),""))</f>
        <v/>
      </c>
      <c r="V28" s="14" t="str">
        <f aca="false">IF(O28="","",IF(U28="",0,O28*IF(U28&gt;1,U28/100,U28)))</f>
        <v/>
      </c>
      <c r="W28" s="11"/>
      <c r="X28" s="18" t="str">
        <f aca="false">IF(W28="","",IFERROR(VLOOKUP(W28,REPS!$A$2:$D$40,3,0),""))</f>
        <v/>
      </c>
      <c r="Y28" s="14" t="str">
        <f aca="false">IF(O28="","",IF(X28="",0,O28*IF(X28&gt;1,X28/100,X28)))</f>
        <v/>
      </c>
      <c r="Z28" s="11"/>
      <c r="AA28" s="18" t="str">
        <f aca="false">IF(Z28="","",IFERROR(VLOOKUP(Z28,REPS!$A$2:$D$40,4,0),""))</f>
        <v/>
      </c>
      <c r="AB28" s="14" t="str">
        <f aca="false">IF(O28="","",IF(AA28="",0,O28*IF(AA28&gt;1,AA28/100,AA28)))</f>
        <v/>
      </c>
      <c r="AC28" s="14" t="str">
        <f aca="false">IF(O28="","",V28+Y28+AB28)</f>
        <v/>
      </c>
      <c r="AD28" s="19" t="str">
        <f aca="false">IF(O28="","",O28-R28-AC28)</f>
        <v/>
      </c>
      <c r="AE28" s="20"/>
      <c r="AF28" s="10"/>
      <c r="AG28" s="21" t="n">
        <f aca="false">IF(OR(AE28="",AE28=0),0,AE28*IF(U28="",0,IF(U28&gt;1,U28/100,U28)))</f>
        <v>0</v>
      </c>
      <c r="AH28" s="21" t="n">
        <f aca="false">IF(OR(AE28="",AE28=0),0,AE28*IF(X28="",0,IF(X28&gt;1,X28/100,X28)))</f>
        <v>0</v>
      </c>
      <c r="AI28" s="21" t="n">
        <f aca="false">IF(OR(AE28="",AE28=0),0,AE28*IF(AA28="",0,IF(AA28&gt;1,AA28/100,AA28)))</f>
        <v>0</v>
      </c>
      <c r="AJ28" s="21" t="n">
        <f aca="false">AG28+AH28+AI28</f>
        <v>0</v>
      </c>
      <c r="AK28" s="21" t="n">
        <f aca="false">IF(OR(AE28="",AE28=0),0,AE28-AJ28)</f>
        <v>0</v>
      </c>
      <c r="AL28" s="19" t="str">
        <f aca="false">IF(AD28="","",AD28-AK28)</f>
        <v/>
      </c>
      <c r="AM28" s="9" t="str">
        <f aca="false">IF(C28="","","Waiting for payment")</f>
        <v/>
      </c>
      <c r="AN28" s="10"/>
      <c r="AO28" s="10"/>
      <c r="AP28" s="22" t="str">
        <f aca="false">IF(OR(C28="",I28="",K28=""),"",IF(K28="Monthly",EDATE(C28,ROUND(I28*SETTINGS!$I$8,0)),WORKDAY(C28,ROUND(I28*SETTINGS!$I$8,0))))</f>
        <v/>
      </c>
      <c r="AQ28" s="9" t="str">
        <f aca="true">IF(C28="","",IF(AND(AP28&lt;&gt;"",TODAY()&gt;=AP28),"Refi Ready",IF(TODAY()-C28&gt;=SETTINGS!$I$11,"Prospecting","Performing")))</f>
        <v/>
      </c>
      <c r="AR28" s="22" t="str">
        <f aca="false">IF(OR(C28="",I28="",K28=""),"",IF(K28="Monthly",EDATE(C28,I28),WORKDAY(C28,I28)))</f>
        <v/>
      </c>
      <c r="AS28" s="11"/>
      <c r="AT28" s="23" t="str">
        <f aca="true">IF(C28="","",IF(AM28="Clawed Back","CLAWED",IF(TODAY()&lt;=C28+SETTINGS!$I$2,"⚠ AT RISK","SAFE")))</f>
        <v/>
      </c>
      <c r="AU28" s="11"/>
      <c r="AW28" s="24" t="n">
        <f aca="false">AW27+IF(AND(C28&lt;&gt;"",AO28&lt;&gt;"",OR('REP COMMISSION'!$B$3="",T28='REP COMMISSION'!$B$3,W28='REP COMMISSION'!$B$3,Z28='REP COMMISSION'!$B$3)),1,0)</f>
        <v>0</v>
      </c>
      <c r="AX28" s="24" t="n">
        <f aca="false">AX27+IF(AND(C28&lt;&gt;"",OR(F28="LOC - INITIAL",F28="CONSOLIDATION - UPFRONT COMM",F28="REVERSE - TOTAL FUNDING")),1,0)</f>
        <v>0</v>
      </c>
    </row>
    <row r="29" customFormat="false" ht="15" hidden="false" customHeight="false" outlineLevel="0" collapsed="false">
      <c r="A29" s="25" t="str">
        <f aca="false">IF(C29&lt;&gt;"","F"&amp;COUNT($C$4:C29),"")</f>
        <v/>
      </c>
      <c r="B29" s="26" t="str">
        <f aca="false">IF(OR(F29="LOC - INITIAL",F29="CONSOLIDATION - UPFRONT COMM",F29="REVERSE - TOTAL FUNDING"),A29,"")</f>
        <v/>
      </c>
      <c r="C29" s="27"/>
      <c r="D29" s="28"/>
      <c r="E29" s="28"/>
      <c r="F29" s="28"/>
      <c r="G29" s="29"/>
      <c r="H29" s="30"/>
      <c r="I29" s="28"/>
      <c r="J29" s="31" t="str">
        <f aca="false">IF(AND(G29&lt;&gt;"",H29&lt;&gt;""),G29*H29,"")</f>
        <v/>
      </c>
      <c r="K29" s="28"/>
      <c r="L29" s="32"/>
      <c r="M29" s="32"/>
      <c r="N29" s="31" t="n">
        <f aca="false">IF(OR(G29="",M29=""),0,IF(M29&gt;100,M29,G29*IF(M29&gt;1,M29/100,M29)))</f>
        <v>0</v>
      </c>
      <c r="O29" s="31" t="str">
        <f aca="false">IF(G29="","",G29*IF(L29="",0,IF(L29&gt;1,L29/100,L29))+N29)</f>
        <v/>
      </c>
      <c r="P29" s="28"/>
      <c r="Q29" s="33" t="str">
        <f aca="false">IF(P29="","",IFERROR(VLOOKUP(P29,PARTNERS!$A$2:$B$30,2,0),""))</f>
        <v/>
      </c>
      <c r="R29" s="17" t="str">
        <f aca="false">IF(O29="","",IF(OR(P29="",Q29=""),0,(O29-N29)*IF(Q29&gt;1,Q29/100,Q29)))</f>
        <v/>
      </c>
      <c r="S29" s="31" t="str">
        <f aca="false">IF(O29="","",O29-R29)</f>
        <v/>
      </c>
      <c r="T29" s="28"/>
      <c r="U29" s="34" t="str">
        <f aca="false">IF(T29="","",IFERROR(VLOOKUP(T29,REPS!$A$2:$D$40,2,0),""))</f>
        <v/>
      </c>
      <c r="V29" s="31" t="str">
        <f aca="false">IF(O29="","",IF(U29="",0,O29*IF(U29&gt;1,U29/100,U29)))</f>
        <v/>
      </c>
      <c r="W29" s="28"/>
      <c r="X29" s="34" t="str">
        <f aca="false">IF(W29="","",IFERROR(VLOOKUP(W29,REPS!$A$2:$D$40,3,0),""))</f>
        <v/>
      </c>
      <c r="Y29" s="31" t="str">
        <f aca="false">IF(O29="","",IF(X29="",0,O29*IF(X29&gt;1,X29/100,X29)))</f>
        <v/>
      </c>
      <c r="Z29" s="28"/>
      <c r="AA29" s="34" t="str">
        <f aca="false">IF(Z29="","",IFERROR(VLOOKUP(Z29,REPS!$A$2:$D$40,4,0),""))</f>
        <v/>
      </c>
      <c r="AB29" s="31" t="str">
        <f aca="false">IF(O29="","",IF(AA29="",0,O29*IF(AA29&gt;1,AA29/100,AA29)))</f>
        <v/>
      </c>
      <c r="AC29" s="31" t="str">
        <f aca="false">IF(O29="","",V29+Y29+AB29)</f>
        <v/>
      </c>
      <c r="AD29" s="19" t="str">
        <f aca="false">IF(O29="","",O29-R29-AC29)</f>
        <v/>
      </c>
      <c r="AE29" s="20"/>
      <c r="AF29" s="27"/>
      <c r="AG29" s="21" t="n">
        <f aca="false">IF(OR(AE29="",AE29=0),0,AE29*IF(U29="",0,IF(U29&gt;1,U29/100,U29)))</f>
        <v>0</v>
      </c>
      <c r="AH29" s="21" t="n">
        <f aca="false">IF(OR(AE29="",AE29=0),0,AE29*IF(X29="",0,IF(X29&gt;1,X29/100,X29)))</f>
        <v>0</v>
      </c>
      <c r="AI29" s="21" t="n">
        <f aca="false">IF(OR(AE29="",AE29=0),0,AE29*IF(AA29="",0,IF(AA29&gt;1,AA29/100,AA29)))</f>
        <v>0</v>
      </c>
      <c r="AJ29" s="21" t="n">
        <f aca="false">AG29+AH29+AI29</f>
        <v>0</v>
      </c>
      <c r="AK29" s="21" t="n">
        <f aca="false">IF(OR(AE29="",AE29=0),0,AE29-AJ29)</f>
        <v>0</v>
      </c>
      <c r="AL29" s="19" t="str">
        <f aca="false">IF(AD29="","",AD29-AK29)</f>
        <v/>
      </c>
      <c r="AM29" s="26" t="str">
        <f aca="false">IF(C29="","","Waiting for payment")</f>
        <v/>
      </c>
      <c r="AN29" s="27"/>
      <c r="AO29" s="27"/>
      <c r="AP29" s="35" t="str">
        <f aca="false">IF(OR(C29="",I29="",K29=""),"",IF(K29="Monthly",EDATE(C29,ROUND(I29*SETTINGS!$I$8,0)),WORKDAY(C29,ROUND(I29*SETTINGS!$I$8,0))))</f>
        <v/>
      </c>
      <c r="AQ29" s="26" t="str">
        <f aca="true">IF(C29="","",IF(AND(AP29&lt;&gt;"",TODAY()&gt;=AP29),"Refi Ready",IF(TODAY()-C29&gt;=SETTINGS!$I$11,"Prospecting","Performing")))</f>
        <v/>
      </c>
      <c r="AR29" s="35" t="str">
        <f aca="false">IF(OR(C29="",I29="",K29=""),"",IF(K29="Monthly",EDATE(C29,I29),WORKDAY(C29,I29)))</f>
        <v/>
      </c>
      <c r="AS29" s="28"/>
      <c r="AT29" s="36" t="str">
        <f aca="true">IF(C29="","",IF(AM29="Clawed Back","CLAWED",IF(TODAY()&lt;=C29+SETTINGS!$I$2,"⚠ AT RISK","SAFE")))</f>
        <v/>
      </c>
      <c r="AU29" s="28"/>
      <c r="AW29" s="24" t="n">
        <f aca="false">AW28+IF(AND(C29&lt;&gt;"",AO29&lt;&gt;"",OR('REP COMMISSION'!$B$3="",T29='REP COMMISSION'!$B$3,W29='REP COMMISSION'!$B$3,Z29='REP COMMISSION'!$B$3)),1,0)</f>
        <v>0</v>
      </c>
      <c r="AX29" s="24" t="n">
        <f aca="false">AX28+IF(AND(C29&lt;&gt;"",OR(F29="LOC - INITIAL",F29="CONSOLIDATION - UPFRONT COMM",F29="REVERSE - TOTAL FUNDING")),1,0)</f>
        <v>0</v>
      </c>
    </row>
    <row r="30" customFormat="false" ht="15" hidden="false" customHeight="false" outlineLevel="0" collapsed="false">
      <c r="A30" s="8" t="str">
        <f aca="false">IF(C30&lt;&gt;"","F"&amp;COUNT($C$4:C30),"")</f>
        <v/>
      </c>
      <c r="B30" s="9" t="str">
        <f aca="false">IF(OR(F30="LOC - INITIAL",F30="CONSOLIDATION - UPFRONT COMM",F30="REVERSE - TOTAL FUNDING"),A30,"")</f>
        <v/>
      </c>
      <c r="C30" s="10"/>
      <c r="D30" s="11"/>
      <c r="E30" s="11"/>
      <c r="F30" s="11"/>
      <c r="G30" s="12"/>
      <c r="H30" s="13"/>
      <c r="I30" s="11"/>
      <c r="J30" s="14" t="str">
        <f aca="false">IF(AND(G30&lt;&gt;"",H30&lt;&gt;""),G30*H30,"")</f>
        <v/>
      </c>
      <c r="K30" s="11"/>
      <c r="L30" s="15"/>
      <c r="M30" s="15"/>
      <c r="N30" s="14" t="n">
        <f aca="false">IF(OR(G30="",M30=""),0,IF(M30&gt;100,M30,G30*IF(M30&gt;1,M30/100,M30)))</f>
        <v>0</v>
      </c>
      <c r="O30" s="14" t="str">
        <f aca="false">IF(G30="","",G30*IF(L30="",0,IF(L30&gt;1,L30/100,L30))+N30)</f>
        <v/>
      </c>
      <c r="P30" s="11"/>
      <c r="Q30" s="16" t="str">
        <f aca="false">IF(P30="","",IFERROR(VLOOKUP(P30,PARTNERS!$A$2:$B$30,2,0),""))</f>
        <v/>
      </c>
      <c r="R30" s="17" t="str">
        <f aca="false">IF(O30="","",IF(OR(P30="",Q30=""),0,(O30-N30)*IF(Q30&gt;1,Q30/100,Q30)))</f>
        <v/>
      </c>
      <c r="S30" s="14" t="str">
        <f aca="false">IF(O30="","",O30-R30)</f>
        <v/>
      </c>
      <c r="T30" s="11"/>
      <c r="U30" s="18" t="str">
        <f aca="false">IF(T30="","",IFERROR(VLOOKUP(T30,REPS!$A$2:$D$40,2,0),""))</f>
        <v/>
      </c>
      <c r="V30" s="14" t="str">
        <f aca="false">IF(O30="","",IF(U30="",0,O30*IF(U30&gt;1,U30/100,U30)))</f>
        <v/>
      </c>
      <c r="W30" s="11"/>
      <c r="X30" s="18" t="str">
        <f aca="false">IF(W30="","",IFERROR(VLOOKUP(W30,REPS!$A$2:$D$40,3,0),""))</f>
        <v/>
      </c>
      <c r="Y30" s="14" t="str">
        <f aca="false">IF(O30="","",IF(X30="",0,O30*IF(X30&gt;1,X30/100,X30)))</f>
        <v/>
      </c>
      <c r="Z30" s="11"/>
      <c r="AA30" s="18" t="str">
        <f aca="false">IF(Z30="","",IFERROR(VLOOKUP(Z30,REPS!$A$2:$D$40,4,0),""))</f>
        <v/>
      </c>
      <c r="AB30" s="14" t="str">
        <f aca="false">IF(O30="","",IF(AA30="",0,O30*IF(AA30&gt;1,AA30/100,AA30)))</f>
        <v/>
      </c>
      <c r="AC30" s="14" t="str">
        <f aca="false">IF(O30="","",V30+Y30+AB30)</f>
        <v/>
      </c>
      <c r="AD30" s="19" t="str">
        <f aca="false">IF(O30="","",O30-R30-AC30)</f>
        <v/>
      </c>
      <c r="AE30" s="20"/>
      <c r="AF30" s="10"/>
      <c r="AG30" s="21" t="n">
        <f aca="false">IF(OR(AE30="",AE30=0),0,AE30*IF(U30="",0,IF(U30&gt;1,U30/100,U30)))</f>
        <v>0</v>
      </c>
      <c r="AH30" s="21" t="n">
        <f aca="false">IF(OR(AE30="",AE30=0),0,AE30*IF(X30="",0,IF(X30&gt;1,X30/100,X30)))</f>
        <v>0</v>
      </c>
      <c r="AI30" s="21" t="n">
        <f aca="false">IF(OR(AE30="",AE30=0),0,AE30*IF(AA30="",0,IF(AA30&gt;1,AA30/100,AA30)))</f>
        <v>0</v>
      </c>
      <c r="AJ30" s="21" t="n">
        <f aca="false">AG30+AH30+AI30</f>
        <v>0</v>
      </c>
      <c r="AK30" s="21" t="n">
        <f aca="false">IF(OR(AE30="",AE30=0),0,AE30-AJ30)</f>
        <v>0</v>
      </c>
      <c r="AL30" s="19" t="str">
        <f aca="false">IF(AD30="","",AD30-AK30)</f>
        <v/>
      </c>
      <c r="AM30" s="9" t="str">
        <f aca="false">IF(C30="","","Waiting for payment")</f>
        <v/>
      </c>
      <c r="AN30" s="10"/>
      <c r="AO30" s="10"/>
      <c r="AP30" s="22" t="str">
        <f aca="false">IF(OR(C30="",I30="",K30=""),"",IF(K30="Monthly",EDATE(C30,ROUND(I30*SETTINGS!$I$8,0)),WORKDAY(C30,ROUND(I30*SETTINGS!$I$8,0))))</f>
        <v/>
      </c>
      <c r="AQ30" s="9" t="str">
        <f aca="true">IF(C30="","",IF(AND(AP30&lt;&gt;"",TODAY()&gt;=AP30),"Refi Ready",IF(TODAY()-C30&gt;=SETTINGS!$I$11,"Prospecting","Performing")))</f>
        <v/>
      </c>
      <c r="AR30" s="22" t="str">
        <f aca="false">IF(OR(C30="",I30="",K30=""),"",IF(K30="Monthly",EDATE(C30,I30),WORKDAY(C30,I30)))</f>
        <v/>
      </c>
      <c r="AS30" s="11"/>
      <c r="AT30" s="23" t="str">
        <f aca="true">IF(C30="","",IF(AM30="Clawed Back","CLAWED",IF(TODAY()&lt;=C30+SETTINGS!$I$2,"⚠ AT RISK","SAFE")))</f>
        <v/>
      </c>
      <c r="AU30" s="11"/>
      <c r="AW30" s="24" t="n">
        <f aca="false">AW29+IF(AND(C30&lt;&gt;"",AO30&lt;&gt;"",OR('REP COMMISSION'!$B$3="",T30='REP COMMISSION'!$B$3,W30='REP COMMISSION'!$B$3,Z30='REP COMMISSION'!$B$3)),1,0)</f>
        <v>0</v>
      </c>
      <c r="AX30" s="24" t="n">
        <f aca="false">AX29+IF(AND(C30&lt;&gt;"",OR(F30="LOC - INITIAL",F30="CONSOLIDATION - UPFRONT COMM",F30="REVERSE - TOTAL FUNDING")),1,0)</f>
        <v>0</v>
      </c>
    </row>
    <row r="31" customFormat="false" ht="15" hidden="false" customHeight="false" outlineLevel="0" collapsed="false">
      <c r="A31" s="25" t="str">
        <f aca="false">IF(C31&lt;&gt;"","F"&amp;COUNT($C$4:C31),"")</f>
        <v/>
      </c>
      <c r="B31" s="26" t="str">
        <f aca="false">IF(OR(F31="LOC - INITIAL",F31="CONSOLIDATION - UPFRONT COMM",F31="REVERSE - TOTAL FUNDING"),A31,"")</f>
        <v/>
      </c>
      <c r="C31" s="27"/>
      <c r="D31" s="28"/>
      <c r="E31" s="28"/>
      <c r="F31" s="28"/>
      <c r="G31" s="29"/>
      <c r="H31" s="30"/>
      <c r="I31" s="28"/>
      <c r="J31" s="31" t="str">
        <f aca="false">IF(AND(G31&lt;&gt;"",H31&lt;&gt;""),G31*H31,"")</f>
        <v/>
      </c>
      <c r="K31" s="28"/>
      <c r="L31" s="32"/>
      <c r="M31" s="32"/>
      <c r="N31" s="31" t="n">
        <f aca="false">IF(OR(G31="",M31=""),0,IF(M31&gt;100,M31,G31*IF(M31&gt;1,M31/100,M31)))</f>
        <v>0</v>
      </c>
      <c r="O31" s="31" t="str">
        <f aca="false">IF(G31="","",G31*IF(L31="",0,IF(L31&gt;1,L31/100,L31))+N31)</f>
        <v/>
      </c>
      <c r="P31" s="28"/>
      <c r="Q31" s="33" t="str">
        <f aca="false">IF(P31="","",IFERROR(VLOOKUP(P31,PARTNERS!$A$2:$B$30,2,0),""))</f>
        <v/>
      </c>
      <c r="R31" s="17" t="str">
        <f aca="false">IF(O31="","",IF(OR(P31="",Q31=""),0,(O31-N31)*IF(Q31&gt;1,Q31/100,Q31)))</f>
        <v/>
      </c>
      <c r="S31" s="31" t="str">
        <f aca="false">IF(O31="","",O31-R31)</f>
        <v/>
      </c>
      <c r="T31" s="28"/>
      <c r="U31" s="34" t="str">
        <f aca="false">IF(T31="","",IFERROR(VLOOKUP(T31,REPS!$A$2:$D$40,2,0),""))</f>
        <v/>
      </c>
      <c r="V31" s="31" t="str">
        <f aca="false">IF(O31="","",IF(U31="",0,O31*IF(U31&gt;1,U31/100,U31)))</f>
        <v/>
      </c>
      <c r="W31" s="28"/>
      <c r="X31" s="34" t="str">
        <f aca="false">IF(W31="","",IFERROR(VLOOKUP(W31,REPS!$A$2:$D$40,3,0),""))</f>
        <v/>
      </c>
      <c r="Y31" s="31" t="str">
        <f aca="false">IF(O31="","",IF(X31="",0,O31*IF(X31&gt;1,X31/100,X31)))</f>
        <v/>
      </c>
      <c r="Z31" s="28"/>
      <c r="AA31" s="34" t="str">
        <f aca="false">IF(Z31="","",IFERROR(VLOOKUP(Z31,REPS!$A$2:$D$40,4,0),""))</f>
        <v/>
      </c>
      <c r="AB31" s="31" t="str">
        <f aca="false">IF(O31="","",IF(AA31="",0,O31*IF(AA31&gt;1,AA31/100,AA31)))</f>
        <v/>
      </c>
      <c r="AC31" s="31" t="str">
        <f aca="false">IF(O31="","",V31+Y31+AB31)</f>
        <v/>
      </c>
      <c r="AD31" s="19" t="str">
        <f aca="false">IF(O31="","",O31-R31-AC31)</f>
        <v/>
      </c>
      <c r="AE31" s="20"/>
      <c r="AF31" s="27"/>
      <c r="AG31" s="21" t="n">
        <f aca="false">IF(OR(AE31="",AE31=0),0,AE31*IF(U31="",0,IF(U31&gt;1,U31/100,U31)))</f>
        <v>0</v>
      </c>
      <c r="AH31" s="21" t="n">
        <f aca="false">IF(OR(AE31="",AE31=0),0,AE31*IF(X31="",0,IF(X31&gt;1,X31/100,X31)))</f>
        <v>0</v>
      </c>
      <c r="AI31" s="21" t="n">
        <f aca="false">IF(OR(AE31="",AE31=0),0,AE31*IF(AA31="",0,IF(AA31&gt;1,AA31/100,AA31)))</f>
        <v>0</v>
      </c>
      <c r="AJ31" s="21" t="n">
        <f aca="false">AG31+AH31+AI31</f>
        <v>0</v>
      </c>
      <c r="AK31" s="21" t="n">
        <f aca="false">IF(OR(AE31="",AE31=0),0,AE31-AJ31)</f>
        <v>0</v>
      </c>
      <c r="AL31" s="19" t="str">
        <f aca="false">IF(AD31="","",AD31-AK31)</f>
        <v/>
      </c>
      <c r="AM31" s="26" t="str">
        <f aca="false">IF(C31="","","Waiting for payment")</f>
        <v/>
      </c>
      <c r="AN31" s="27"/>
      <c r="AO31" s="27"/>
      <c r="AP31" s="35" t="str">
        <f aca="false">IF(OR(C31="",I31="",K31=""),"",IF(K31="Monthly",EDATE(C31,ROUND(I31*SETTINGS!$I$8,0)),WORKDAY(C31,ROUND(I31*SETTINGS!$I$8,0))))</f>
        <v/>
      </c>
      <c r="AQ31" s="26" t="str">
        <f aca="true">IF(C31="","",IF(AND(AP31&lt;&gt;"",TODAY()&gt;=AP31),"Refi Ready",IF(TODAY()-C31&gt;=SETTINGS!$I$11,"Prospecting","Performing")))</f>
        <v/>
      </c>
      <c r="AR31" s="35" t="str">
        <f aca="false">IF(OR(C31="",I31="",K31=""),"",IF(K31="Monthly",EDATE(C31,I31),WORKDAY(C31,I31)))</f>
        <v/>
      </c>
      <c r="AS31" s="28"/>
      <c r="AT31" s="36" t="str">
        <f aca="true">IF(C31="","",IF(AM31="Clawed Back","CLAWED",IF(TODAY()&lt;=C31+SETTINGS!$I$2,"⚠ AT RISK","SAFE")))</f>
        <v/>
      </c>
      <c r="AU31" s="28"/>
      <c r="AW31" s="24" t="n">
        <f aca="false">AW30+IF(AND(C31&lt;&gt;"",AO31&lt;&gt;"",OR('REP COMMISSION'!$B$3="",T31='REP COMMISSION'!$B$3,W31='REP COMMISSION'!$B$3,Z31='REP COMMISSION'!$B$3)),1,0)</f>
        <v>0</v>
      </c>
      <c r="AX31" s="24" t="n">
        <f aca="false">AX30+IF(AND(C31&lt;&gt;"",OR(F31="LOC - INITIAL",F31="CONSOLIDATION - UPFRONT COMM",F31="REVERSE - TOTAL FUNDING")),1,0)</f>
        <v>0</v>
      </c>
    </row>
    <row r="32" customFormat="false" ht="15" hidden="false" customHeight="false" outlineLevel="0" collapsed="false">
      <c r="A32" s="8" t="str">
        <f aca="false">IF(C32&lt;&gt;"","F"&amp;COUNT($C$4:C32),"")</f>
        <v/>
      </c>
      <c r="B32" s="9" t="str">
        <f aca="false">IF(OR(F32="LOC - INITIAL",F32="CONSOLIDATION - UPFRONT COMM",F32="REVERSE - TOTAL FUNDING"),A32,"")</f>
        <v/>
      </c>
      <c r="C32" s="10"/>
      <c r="D32" s="11"/>
      <c r="E32" s="11"/>
      <c r="F32" s="11"/>
      <c r="G32" s="12"/>
      <c r="H32" s="13"/>
      <c r="I32" s="11"/>
      <c r="J32" s="14" t="str">
        <f aca="false">IF(AND(G32&lt;&gt;"",H32&lt;&gt;""),G32*H32,"")</f>
        <v/>
      </c>
      <c r="K32" s="11"/>
      <c r="L32" s="15"/>
      <c r="M32" s="15"/>
      <c r="N32" s="14" t="n">
        <f aca="false">IF(OR(G32="",M32=""),0,IF(M32&gt;100,M32,G32*IF(M32&gt;1,M32/100,M32)))</f>
        <v>0</v>
      </c>
      <c r="O32" s="14" t="str">
        <f aca="false">IF(G32="","",G32*IF(L32="",0,IF(L32&gt;1,L32/100,L32))+N32)</f>
        <v/>
      </c>
      <c r="P32" s="11"/>
      <c r="Q32" s="16" t="str">
        <f aca="false">IF(P32="","",IFERROR(VLOOKUP(P32,PARTNERS!$A$2:$B$30,2,0),""))</f>
        <v/>
      </c>
      <c r="R32" s="17" t="str">
        <f aca="false">IF(O32="","",IF(OR(P32="",Q32=""),0,(O32-N32)*IF(Q32&gt;1,Q32/100,Q32)))</f>
        <v/>
      </c>
      <c r="S32" s="14" t="str">
        <f aca="false">IF(O32="","",O32-R32)</f>
        <v/>
      </c>
      <c r="T32" s="11"/>
      <c r="U32" s="18" t="str">
        <f aca="false">IF(T32="","",IFERROR(VLOOKUP(T32,REPS!$A$2:$D$40,2,0),""))</f>
        <v/>
      </c>
      <c r="V32" s="14" t="str">
        <f aca="false">IF(O32="","",IF(U32="",0,O32*IF(U32&gt;1,U32/100,U32)))</f>
        <v/>
      </c>
      <c r="W32" s="11"/>
      <c r="X32" s="18" t="str">
        <f aca="false">IF(W32="","",IFERROR(VLOOKUP(W32,REPS!$A$2:$D$40,3,0),""))</f>
        <v/>
      </c>
      <c r="Y32" s="14" t="str">
        <f aca="false">IF(O32="","",IF(X32="",0,O32*IF(X32&gt;1,X32/100,X32)))</f>
        <v/>
      </c>
      <c r="Z32" s="11"/>
      <c r="AA32" s="18" t="str">
        <f aca="false">IF(Z32="","",IFERROR(VLOOKUP(Z32,REPS!$A$2:$D$40,4,0),""))</f>
        <v/>
      </c>
      <c r="AB32" s="14" t="str">
        <f aca="false">IF(O32="","",IF(AA32="",0,O32*IF(AA32&gt;1,AA32/100,AA32)))</f>
        <v/>
      </c>
      <c r="AC32" s="14" t="str">
        <f aca="false">IF(O32="","",V32+Y32+AB32)</f>
        <v/>
      </c>
      <c r="AD32" s="19" t="str">
        <f aca="false">IF(O32="","",O32-R32-AC32)</f>
        <v/>
      </c>
      <c r="AE32" s="20"/>
      <c r="AF32" s="10"/>
      <c r="AG32" s="21" t="n">
        <f aca="false">IF(OR(AE32="",AE32=0),0,AE32*IF(U32="",0,IF(U32&gt;1,U32/100,U32)))</f>
        <v>0</v>
      </c>
      <c r="AH32" s="21" t="n">
        <f aca="false">IF(OR(AE32="",AE32=0),0,AE32*IF(X32="",0,IF(X32&gt;1,X32/100,X32)))</f>
        <v>0</v>
      </c>
      <c r="AI32" s="21" t="n">
        <f aca="false">IF(OR(AE32="",AE32=0),0,AE32*IF(AA32="",0,IF(AA32&gt;1,AA32/100,AA32)))</f>
        <v>0</v>
      </c>
      <c r="AJ32" s="21" t="n">
        <f aca="false">AG32+AH32+AI32</f>
        <v>0</v>
      </c>
      <c r="AK32" s="21" t="n">
        <f aca="false">IF(OR(AE32="",AE32=0),0,AE32-AJ32)</f>
        <v>0</v>
      </c>
      <c r="AL32" s="19" t="str">
        <f aca="false">IF(AD32="","",AD32-AK32)</f>
        <v/>
      </c>
      <c r="AM32" s="9" t="str">
        <f aca="false">IF(C32="","","Waiting for payment")</f>
        <v/>
      </c>
      <c r="AN32" s="10"/>
      <c r="AO32" s="10"/>
      <c r="AP32" s="22" t="str">
        <f aca="false">IF(OR(C32="",I32="",K32=""),"",IF(K32="Monthly",EDATE(C32,ROUND(I32*SETTINGS!$I$8,0)),WORKDAY(C32,ROUND(I32*SETTINGS!$I$8,0))))</f>
        <v/>
      </c>
      <c r="AQ32" s="9" t="str">
        <f aca="true">IF(C32="","",IF(AND(AP32&lt;&gt;"",TODAY()&gt;=AP32),"Refi Ready",IF(TODAY()-C32&gt;=SETTINGS!$I$11,"Prospecting","Performing")))</f>
        <v/>
      </c>
      <c r="AR32" s="22" t="str">
        <f aca="false">IF(OR(C32="",I32="",K32=""),"",IF(K32="Monthly",EDATE(C32,I32),WORKDAY(C32,I32)))</f>
        <v/>
      </c>
      <c r="AS32" s="11"/>
      <c r="AT32" s="23" t="str">
        <f aca="true">IF(C32="","",IF(AM32="Clawed Back","CLAWED",IF(TODAY()&lt;=C32+SETTINGS!$I$2,"⚠ AT RISK","SAFE")))</f>
        <v/>
      </c>
      <c r="AU32" s="11"/>
      <c r="AW32" s="24" t="n">
        <f aca="false">AW31+IF(AND(C32&lt;&gt;"",AO32&lt;&gt;"",OR('REP COMMISSION'!$B$3="",T32='REP COMMISSION'!$B$3,W32='REP COMMISSION'!$B$3,Z32='REP COMMISSION'!$B$3)),1,0)</f>
        <v>0</v>
      </c>
      <c r="AX32" s="24" t="n">
        <f aca="false">AX31+IF(AND(C32&lt;&gt;"",OR(F32="LOC - INITIAL",F32="CONSOLIDATION - UPFRONT COMM",F32="REVERSE - TOTAL FUNDING")),1,0)</f>
        <v>0</v>
      </c>
    </row>
    <row r="33" customFormat="false" ht="15" hidden="false" customHeight="false" outlineLevel="0" collapsed="false">
      <c r="A33" s="25" t="str">
        <f aca="false">IF(C33&lt;&gt;"","F"&amp;COUNT($C$4:C33),"")</f>
        <v/>
      </c>
      <c r="B33" s="26" t="str">
        <f aca="false">IF(OR(F33="LOC - INITIAL",F33="CONSOLIDATION - UPFRONT COMM",F33="REVERSE - TOTAL FUNDING"),A33,"")</f>
        <v/>
      </c>
      <c r="C33" s="27"/>
      <c r="D33" s="28"/>
      <c r="E33" s="28"/>
      <c r="F33" s="28"/>
      <c r="G33" s="29"/>
      <c r="H33" s="30"/>
      <c r="I33" s="28"/>
      <c r="J33" s="31" t="str">
        <f aca="false">IF(AND(G33&lt;&gt;"",H33&lt;&gt;""),G33*H33,"")</f>
        <v/>
      </c>
      <c r="K33" s="28"/>
      <c r="L33" s="32"/>
      <c r="M33" s="32"/>
      <c r="N33" s="31" t="n">
        <f aca="false">IF(OR(G33="",M33=""),0,IF(M33&gt;100,M33,G33*IF(M33&gt;1,M33/100,M33)))</f>
        <v>0</v>
      </c>
      <c r="O33" s="31" t="str">
        <f aca="false">IF(G33="","",G33*IF(L33="",0,IF(L33&gt;1,L33/100,L33))+N33)</f>
        <v/>
      </c>
      <c r="P33" s="28"/>
      <c r="Q33" s="33" t="str">
        <f aca="false">IF(P33="","",IFERROR(VLOOKUP(P33,PARTNERS!$A$2:$B$30,2,0),""))</f>
        <v/>
      </c>
      <c r="R33" s="17" t="str">
        <f aca="false">IF(O33="","",IF(OR(P33="",Q33=""),0,(O33-N33)*IF(Q33&gt;1,Q33/100,Q33)))</f>
        <v/>
      </c>
      <c r="S33" s="31" t="str">
        <f aca="false">IF(O33="","",O33-R33)</f>
        <v/>
      </c>
      <c r="T33" s="28"/>
      <c r="U33" s="34" t="str">
        <f aca="false">IF(T33="","",IFERROR(VLOOKUP(T33,REPS!$A$2:$D$40,2,0),""))</f>
        <v/>
      </c>
      <c r="V33" s="31" t="str">
        <f aca="false">IF(O33="","",IF(U33="",0,O33*IF(U33&gt;1,U33/100,U33)))</f>
        <v/>
      </c>
      <c r="W33" s="28"/>
      <c r="X33" s="34" t="str">
        <f aca="false">IF(W33="","",IFERROR(VLOOKUP(W33,REPS!$A$2:$D$40,3,0),""))</f>
        <v/>
      </c>
      <c r="Y33" s="31" t="str">
        <f aca="false">IF(O33="","",IF(X33="",0,O33*IF(X33&gt;1,X33/100,X33)))</f>
        <v/>
      </c>
      <c r="Z33" s="28"/>
      <c r="AA33" s="34" t="str">
        <f aca="false">IF(Z33="","",IFERROR(VLOOKUP(Z33,REPS!$A$2:$D$40,4,0),""))</f>
        <v/>
      </c>
      <c r="AB33" s="31" t="str">
        <f aca="false">IF(O33="","",IF(AA33="",0,O33*IF(AA33&gt;1,AA33/100,AA33)))</f>
        <v/>
      </c>
      <c r="AC33" s="31" t="str">
        <f aca="false">IF(O33="","",V33+Y33+AB33)</f>
        <v/>
      </c>
      <c r="AD33" s="19" t="str">
        <f aca="false">IF(O33="","",O33-R33-AC33)</f>
        <v/>
      </c>
      <c r="AE33" s="20"/>
      <c r="AF33" s="27"/>
      <c r="AG33" s="21" t="n">
        <f aca="false">IF(OR(AE33="",AE33=0),0,AE33*IF(U33="",0,IF(U33&gt;1,U33/100,U33)))</f>
        <v>0</v>
      </c>
      <c r="AH33" s="21" t="n">
        <f aca="false">IF(OR(AE33="",AE33=0),0,AE33*IF(X33="",0,IF(X33&gt;1,X33/100,X33)))</f>
        <v>0</v>
      </c>
      <c r="AI33" s="21" t="n">
        <f aca="false">IF(OR(AE33="",AE33=0),0,AE33*IF(AA33="",0,IF(AA33&gt;1,AA33/100,AA33)))</f>
        <v>0</v>
      </c>
      <c r="AJ33" s="21" t="n">
        <f aca="false">AG33+AH33+AI33</f>
        <v>0</v>
      </c>
      <c r="AK33" s="21" t="n">
        <f aca="false">IF(OR(AE33="",AE33=0),0,AE33-AJ33)</f>
        <v>0</v>
      </c>
      <c r="AL33" s="19" t="str">
        <f aca="false">IF(AD33="","",AD33-AK33)</f>
        <v/>
      </c>
      <c r="AM33" s="26" t="str">
        <f aca="false">IF(C33="","","Waiting for payment")</f>
        <v/>
      </c>
      <c r="AN33" s="27"/>
      <c r="AO33" s="27"/>
      <c r="AP33" s="35" t="str">
        <f aca="false">IF(OR(C33="",I33="",K33=""),"",IF(K33="Monthly",EDATE(C33,ROUND(I33*SETTINGS!$I$8,0)),WORKDAY(C33,ROUND(I33*SETTINGS!$I$8,0))))</f>
        <v/>
      </c>
      <c r="AQ33" s="26" t="str">
        <f aca="true">IF(C33="","",IF(AND(AP33&lt;&gt;"",TODAY()&gt;=AP33),"Refi Ready",IF(TODAY()-C33&gt;=SETTINGS!$I$11,"Prospecting","Performing")))</f>
        <v/>
      </c>
      <c r="AR33" s="35" t="str">
        <f aca="false">IF(OR(C33="",I33="",K33=""),"",IF(K33="Monthly",EDATE(C33,I33),WORKDAY(C33,I33)))</f>
        <v/>
      </c>
      <c r="AS33" s="28"/>
      <c r="AT33" s="36" t="str">
        <f aca="true">IF(C33="","",IF(AM33="Clawed Back","CLAWED",IF(TODAY()&lt;=C33+SETTINGS!$I$2,"⚠ AT RISK","SAFE")))</f>
        <v/>
      </c>
      <c r="AU33" s="28"/>
      <c r="AW33" s="24" t="n">
        <f aca="false">AW32+IF(AND(C33&lt;&gt;"",AO33&lt;&gt;"",OR('REP COMMISSION'!$B$3="",T33='REP COMMISSION'!$B$3,W33='REP COMMISSION'!$B$3,Z33='REP COMMISSION'!$B$3)),1,0)</f>
        <v>0</v>
      </c>
      <c r="AX33" s="24" t="n">
        <f aca="false">AX32+IF(AND(C33&lt;&gt;"",OR(F33="LOC - INITIAL",F33="CONSOLIDATION - UPFRONT COMM",F33="REVERSE - TOTAL FUNDING")),1,0)</f>
        <v>0</v>
      </c>
    </row>
    <row r="34" customFormat="false" ht="15" hidden="false" customHeight="false" outlineLevel="0" collapsed="false">
      <c r="A34" s="8" t="str">
        <f aca="false">IF(C34&lt;&gt;"","F"&amp;COUNT($C$4:C34),"")</f>
        <v/>
      </c>
      <c r="B34" s="9" t="str">
        <f aca="false">IF(OR(F34="LOC - INITIAL",F34="CONSOLIDATION - UPFRONT COMM",F34="REVERSE - TOTAL FUNDING"),A34,"")</f>
        <v/>
      </c>
      <c r="C34" s="10"/>
      <c r="D34" s="11"/>
      <c r="E34" s="11"/>
      <c r="F34" s="11"/>
      <c r="G34" s="12"/>
      <c r="H34" s="13"/>
      <c r="I34" s="11"/>
      <c r="J34" s="14" t="str">
        <f aca="false">IF(AND(G34&lt;&gt;"",H34&lt;&gt;""),G34*H34,"")</f>
        <v/>
      </c>
      <c r="K34" s="11"/>
      <c r="L34" s="15"/>
      <c r="M34" s="15"/>
      <c r="N34" s="14" t="n">
        <f aca="false">IF(OR(G34="",M34=""),0,IF(M34&gt;100,M34,G34*IF(M34&gt;1,M34/100,M34)))</f>
        <v>0</v>
      </c>
      <c r="O34" s="14" t="str">
        <f aca="false">IF(G34="","",G34*IF(L34="",0,IF(L34&gt;1,L34/100,L34))+N34)</f>
        <v/>
      </c>
      <c r="P34" s="11"/>
      <c r="Q34" s="16" t="str">
        <f aca="false">IF(P34="","",IFERROR(VLOOKUP(P34,PARTNERS!$A$2:$B$30,2,0),""))</f>
        <v/>
      </c>
      <c r="R34" s="17" t="str">
        <f aca="false">IF(O34="","",IF(OR(P34="",Q34=""),0,(O34-N34)*IF(Q34&gt;1,Q34/100,Q34)))</f>
        <v/>
      </c>
      <c r="S34" s="14" t="str">
        <f aca="false">IF(O34="","",O34-R34)</f>
        <v/>
      </c>
      <c r="T34" s="11"/>
      <c r="U34" s="18" t="str">
        <f aca="false">IF(T34="","",IFERROR(VLOOKUP(T34,REPS!$A$2:$D$40,2,0),""))</f>
        <v/>
      </c>
      <c r="V34" s="14" t="str">
        <f aca="false">IF(O34="","",IF(U34="",0,O34*IF(U34&gt;1,U34/100,U34)))</f>
        <v/>
      </c>
      <c r="W34" s="11"/>
      <c r="X34" s="18" t="str">
        <f aca="false">IF(W34="","",IFERROR(VLOOKUP(W34,REPS!$A$2:$D$40,3,0),""))</f>
        <v/>
      </c>
      <c r="Y34" s="14" t="str">
        <f aca="false">IF(O34="","",IF(X34="",0,O34*IF(X34&gt;1,X34/100,X34)))</f>
        <v/>
      </c>
      <c r="Z34" s="11"/>
      <c r="AA34" s="18" t="str">
        <f aca="false">IF(Z34="","",IFERROR(VLOOKUP(Z34,REPS!$A$2:$D$40,4,0),""))</f>
        <v/>
      </c>
      <c r="AB34" s="14" t="str">
        <f aca="false">IF(O34="","",IF(AA34="",0,O34*IF(AA34&gt;1,AA34/100,AA34)))</f>
        <v/>
      </c>
      <c r="AC34" s="14" t="str">
        <f aca="false">IF(O34="","",V34+Y34+AB34)</f>
        <v/>
      </c>
      <c r="AD34" s="19" t="str">
        <f aca="false">IF(O34="","",O34-R34-AC34)</f>
        <v/>
      </c>
      <c r="AE34" s="20"/>
      <c r="AF34" s="10"/>
      <c r="AG34" s="21" t="n">
        <f aca="false">IF(OR(AE34="",AE34=0),0,AE34*IF(U34="",0,IF(U34&gt;1,U34/100,U34)))</f>
        <v>0</v>
      </c>
      <c r="AH34" s="21" t="n">
        <f aca="false">IF(OR(AE34="",AE34=0),0,AE34*IF(X34="",0,IF(X34&gt;1,X34/100,X34)))</f>
        <v>0</v>
      </c>
      <c r="AI34" s="21" t="n">
        <f aca="false">IF(OR(AE34="",AE34=0),0,AE34*IF(AA34="",0,IF(AA34&gt;1,AA34/100,AA34)))</f>
        <v>0</v>
      </c>
      <c r="AJ34" s="21" t="n">
        <f aca="false">AG34+AH34+AI34</f>
        <v>0</v>
      </c>
      <c r="AK34" s="21" t="n">
        <f aca="false">IF(OR(AE34="",AE34=0),0,AE34-AJ34)</f>
        <v>0</v>
      </c>
      <c r="AL34" s="19" t="str">
        <f aca="false">IF(AD34="","",AD34-AK34)</f>
        <v/>
      </c>
      <c r="AM34" s="9" t="str">
        <f aca="false">IF(C34="","","Waiting for payment")</f>
        <v/>
      </c>
      <c r="AN34" s="10"/>
      <c r="AO34" s="10"/>
      <c r="AP34" s="22" t="str">
        <f aca="false">IF(OR(C34="",I34="",K34=""),"",IF(K34="Monthly",EDATE(C34,ROUND(I34*SETTINGS!$I$8,0)),WORKDAY(C34,ROUND(I34*SETTINGS!$I$8,0))))</f>
        <v/>
      </c>
      <c r="AQ34" s="9" t="str">
        <f aca="true">IF(C34="","",IF(AND(AP34&lt;&gt;"",TODAY()&gt;=AP34),"Refi Ready",IF(TODAY()-C34&gt;=SETTINGS!$I$11,"Prospecting","Performing")))</f>
        <v/>
      </c>
      <c r="AR34" s="22" t="str">
        <f aca="false">IF(OR(C34="",I34="",K34=""),"",IF(K34="Monthly",EDATE(C34,I34),WORKDAY(C34,I34)))</f>
        <v/>
      </c>
      <c r="AS34" s="11"/>
      <c r="AT34" s="23" t="str">
        <f aca="true">IF(C34="","",IF(AM34="Clawed Back","CLAWED",IF(TODAY()&lt;=C34+SETTINGS!$I$2,"⚠ AT RISK","SAFE")))</f>
        <v/>
      </c>
      <c r="AU34" s="11"/>
      <c r="AW34" s="24" t="n">
        <f aca="false">AW33+IF(AND(C34&lt;&gt;"",AO34&lt;&gt;"",OR('REP COMMISSION'!$B$3="",T34='REP COMMISSION'!$B$3,W34='REP COMMISSION'!$B$3,Z34='REP COMMISSION'!$B$3)),1,0)</f>
        <v>0</v>
      </c>
      <c r="AX34" s="24" t="n">
        <f aca="false">AX33+IF(AND(C34&lt;&gt;"",OR(F34="LOC - INITIAL",F34="CONSOLIDATION - UPFRONT COMM",F34="REVERSE - TOTAL FUNDING")),1,0)</f>
        <v>0</v>
      </c>
    </row>
    <row r="35" customFormat="false" ht="15" hidden="false" customHeight="false" outlineLevel="0" collapsed="false">
      <c r="A35" s="25" t="str">
        <f aca="false">IF(C35&lt;&gt;"","F"&amp;COUNT($C$4:C35),"")</f>
        <v/>
      </c>
      <c r="B35" s="26" t="str">
        <f aca="false">IF(OR(F35="LOC - INITIAL",F35="CONSOLIDATION - UPFRONT COMM",F35="REVERSE - TOTAL FUNDING"),A35,"")</f>
        <v/>
      </c>
      <c r="C35" s="27"/>
      <c r="D35" s="28"/>
      <c r="E35" s="28"/>
      <c r="F35" s="28"/>
      <c r="G35" s="29"/>
      <c r="H35" s="30"/>
      <c r="I35" s="28"/>
      <c r="J35" s="31" t="str">
        <f aca="false">IF(AND(G35&lt;&gt;"",H35&lt;&gt;""),G35*H35,"")</f>
        <v/>
      </c>
      <c r="K35" s="28"/>
      <c r="L35" s="32"/>
      <c r="M35" s="32"/>
      <c r="N35" s="31" t="n">
        <f aca="false">IF(OR(G35="",M35=""),0,IF(M35&gt;100,M35,G35*IF(M35&gt;1,M35/100,M35)))</f>
        <v>0</v>
      </c>
      <c r="O35" s="31" t="str">
        <f aca="false">IF(G35="","",G35*IF(L35="",0,IF(L35&gt;1,L35/100,L35))+N35)</f>
        <v/>
      </c>
      <c r="P35" s="28"/>
      <c r="Q35" s="33" t="str">
        <f aca="false">IF(P35="","",IFERROR(VLOOKUP(P35,PARTNERS!$A$2:$B$30,2,0),""))</f>
        <v/>
      </c>
      <c r="R35" s="17" t="str">
        <f aca="false">IF(O35="","",IF(OR(P35="",Q35=""),0,(O35-N35)*IF(Q35&gt;1,Q35/100,Q35)))</f>
        <v/>
      </c>
      <c r="S35" s="31" t="str">
        <f aca="false">IF(O35="","",O35-R35)</f>
        <v/>
      </c>
      <c r="T35" s="28"/>
      <c r="U35" s="34" t="str">
        <f aca="false">IF(T35="","",IFERROR(VLOOKUP(T35,REPS!$A$2:$D$40,2,0),""))</f>
        <v/>
      </c>
      <c r="V35" s="31" t="str">
        <f aca="false">IF(O35="","",IF(U35="",0,O35*IF(U35&gt;1,U35/100,U35)))</f>
        <v/>
      </c>
      <c r="W35" s="28"/>
      <c r="X35" s="34" t="str">
        <f aca="false">IF(W35="","",IFERROR(VLOOKUP(W35,REPS!$A$2:$D$40,3,0),""))</f>
        <v/>
      </c>
      <c r="Y35" s="31" t="str">
        <f aca="false">IF(O35="","",IF(X35="",0,O35*IF(X35&gt;1,X35/100,X35)))</f>
        <v/>
      </c>
      <c r="Z35" s="28"/>
      <c r="AA35" s="34" t="str">
        <f aca="false">IF(Z35="","",IFERROR(VLOOKUP(Z35,REPS!$A$2:$D$40,4,0),""))</f>
        <v/>
      </c>
      <c r="AB35" s="31" t="str">
        <f aca="false">IF(O35="","",IF(AA35="",0,O35*IF(AA35&gt;1,AA35/100,AA35)))</f>
        <v/>
      </c>
      <c r="AC35" s="31" t="str">
        <f aca="false">IF(O35="","",V35+Y35+AB35)</f>
        <v/>
      </c>
      <c r="AD35" s="19" t="str">
        <f aca="false">IF(O35="","",O35-R35-AC35)</f>
        <v/>
      </c>
      <c r="AE35" s="20"/>
      <c r="AF35" s="27"/>
      <c r="AG35" s="21" t="n">
        <f aca="false">IF(OR(AE35="",AE35=0),0,AE35*IF(U35="",0,IF(U35&gt;1,U35/100,U35)))</f>
        <v>0</v>
      </c>
      <c r="AH35" s="21" t="n">
        <f aca="false">IF(OR(AE35="",AE35=0),0,AE35*IF(X35="",0,IF(X35&gt;1,X35/100,X35)))</f>
        <v>0</v>
      </c>
      <c r="AI35" s="21" t="n">
        <f aca="false">IF(OR(AE35="",AE35=0),0,AE35*IF(AA35="",0,IF(AA35&gt;1,AA35/100,AA35)))</f>
        <v>0</v>
      </c>
      <c r="AJ35" s="21" t="n">
        <f aca="false">AG35+AH35+AI35</f>
        <v>0</v>
      </c>
      <c r="AK35" s="21" t="n">
        <f aca="false">IF(OR(AE35="",AE35=0),0,AE35-AJ35)</f>
        <v>0</v>
      </c>
      <c r="AL35" s="19" t="str">
        <f aca="false">IF(AD35="","",AD35-AK35)</f>
        <v/>
      </c>
      <c r="AM35" s="26" t="str">
        <f aca="false">IF(C35="","","Waiting for payment")</f>
        <v/>
      </c>
      <c r="AN35" s="27"/>
      <c r="AO35" s="27"/>
      <c r="AP35" s="35" t="str">
        <f aca="false">IF(OR(C35="",I35="",K35=""),"",IF(K35="Monthly",EDATE(C35,ROUND(I35*SETTINGS!$I$8,0)),WORKDAY(C35,ROUND(I35*SETTINGS!$I$8,0))))</f>
        <v/>
      </c>
      <c r="AQ35" s="26" t="str">
        <f aca="true">IF(C35="","",IF(AND(AP35&lt;&gt;"",TODAY()&gt;=AP35),"Refi Ready",IF(TODAY()-C35&gt;=SETTINGS!$I$11,"Prospecting","Performing")))</f>
        <v/>
      </c>
      <c r="AR35" s="35" t="str">
        <f aca="false">IF(OR(C35="",I35="",K35=""),"",IF(K35="Monthly",EDATE(C35,I35),WORKDAY(C35,I35)))</f>
        <v/>
      </c>
      <c r="AS35" s="28"/>
      <c r="AT35" s="36" t="str">
        <f aca="true">IF(C35="","",IF(AM35="Clawed Back","CLAWED",IF(TODAY()&lt;=C35+SETTINGS!$I$2,"⚠ AT RISK","SAFE")))</f>
        <v/>
      </c>
      <c r="AU35" s="28"/>
      <c r="AW35" s="24" t="n">
        <f aca="false">AW34+IF(AND(C35&lt;&gt;"",AO35&lt;&gt;"",OR('REP COMMISSION'!$B$3="",T35='REP COMMISSION'!$B$3,W35='REP COMMISSION'!$B$3,Z35='REP COMMISSION'!$B$3)),1,0)</f>
        <v>0</v>
      </c>
      <c r="AX35" s="24" t="n">
        <f aca="false">AX34+IF(AND(C35&lt;&gt;"",OR(F35="LOC - INITIAL",F35="CONSOLIDATION - UPFRONT COMM",F35="REVERSE - TOTAL FUNDING")),1,0)</f>
        <v>0</v>
      </c>
    </row>
    <row r="36" customFormat="false" ht="15" hidden="false" customHeight="false" outlineLevel="0" collapsed="false">
      <c r="A36" s="8" t="str">
        <f aca="false">IF(C36&lt;&gt;"","F"&amp;COUNT($C$4:C36),"")</f>
        <v/>
      </c>
      <c r="B36" s="9" t="str">
        <f aca="false">IF(OR(F36="LOC - INITIAL",F36="CONSOLIDATION - UPFRONT COMM",F36="REVERSE - TOTAL FUNDING"),A36,"")</f>
        <v/>
      </c>
      <c r="C36" s="10"/>
      <c r="D36" s="11"/>
      <c r="E36" s="11"/>
      <c r="F36" s="11"/>
      <c r="G36" s="12"/>
      <c r="H36" s="13"/>
      <c r="I36" s="11"/>
      <c r="J36" s="14" t="str">
        <f aca="false">IF(AND(G36&lt;&gt;"",H36&lt;&gt;""),G36*H36,"")</f>
        <v/>
      </c>
      <c r="K36" s="11"/>
      <c r="L36" s="15"/>
      <c r="M36" s="15"/>
      <c r="N36" s="14" t="n">
        <f aca="false">IF(OR(G36="",M36=""),0,IF(M36&gt;100,M36,G36*IF(M36&gt;1,M36/100,M36)))</f>
        <v>0</v>
      </c>
      <c r="O36" s="14" t="str">
        <f aca="false">IF(G36="","",G36*IF(L36="",0,IF(L36&gt;1,L36/100,L36))+N36)</f>
        <v/>
      </c>
      <c r="P36" s="11"/>
      <c r="Q36" s="16" t="str">
        <f aca="false">IF(P36="","",IFERROR(VLOOKUP(P36,PARTNERS!$A$2:$B$30,2,0),""))</f>
        <v/>
      </c>
      <c r="R36" s="17" t="str">
        <f aca="false">IF(O36="","",IF(OR(P36="",Q36=""),0,(O36-N36)*IF(Q36&gt;1,Q36/100,Q36)))</f>
        <v/>
      </c>
      <c r="S36" s="14" t="str">
        <f aca="false">IF(O36="","",O36-R36)</f>
        <v/>
      </c>
      <c r="T36" s="11"/>
      <c r="U36" s="18" t="str">
        <f aca="false">IF(T36="","",IFERROR(VLOOKUP(T36,REPS!$A$2:$D$40,2,0),""))</f>
        <v/>
      </c>
      <c r="V36" s="14" t="str">
        <f aca="false">IF(O36="","",IF(U36="",0,O36*IF(U36&gt;1,U36/100,U36)))</f>
        <v/>
      </c>
      <c r="W36" s="11"/>
      <c r="X36" s="18" t="str">
        <f aca="false">IF(W36="","",IFERROR(VLOOKUP(W36,REPS!$A$2:$D$40,3,0),""))</f>
        <v/>
      </c>
      <c r="Y36" s="14" t="str">
        <f aca="false">IF(O36="","",IF(X36="",0,O36*IF(X36&gt;1,X36/100,X36)))</f>
        <v/>
      </c>
      <c r="Z36" s="11"/>
      <c r="AA36" s="18" t="str">
        <f aca="false">IF(Z36="","",IFERROR(VLOOKUP(Z36,REPS!$A$2:$D$40,4,0),""))</f>
        <v/>
      </c>
      <c r="AB36" s="14" t="str">
        <f aca="false">IF(O36="","",IF(AA36="",0,O36*IF(AA36&gt;1,AA36/100,AA36)))</f>
        <v/>
      </c>
      <c r="AC36" s="14" t="str">
        <f aca="false">IF(O36="","",V36+Y36+AB36)</f>
        <v/>
      </c>
      <c r="AD36" s="19" t="str">
        <f aca="false">IF(O36="","",O36-R36-AC36)</f>
        <v/>
      </c>
      <c r="AE36" s="20"/>
      <c r="AF36" s="10"/>
      <c r="AG36" s="21" t="n">
        <f aca="false">IF(OR(AE36="",AE36=0),0,AE36*IF(U36="",0,IF(U36&gt;1,U36/100,U36)))</f>
        <v>0</v>
      </c>
      <c r="AH36" s="21" t="n">
        <f aca="false">IF(OR(AE36="",AE36=0),0,AE36*IF(X36="",0,IF(X36&gt;1,X36/100,X36)))</f>
        <v>0</v>
      </c>
      <c r="AI36" s="21" t="n">
        <f aca="false">IF(OR(AE36="",AE36=0),0,AE36*IF(AA36="",0,IF(AA36&gt;1,AA36/100,AA36)))</f>
        <v>0</v>
      </c>
      <c r="AJ36" s="21" t="n">
        <f aca="false">AG36+AH36+AI36</f>
        <v>0</v>
      </c>
      <c r="AK36" s="21" t="n">
        <f aca="false">IF(OR(AE36="",AE36=0),0,AE36-AJ36)</f>
        <v>0</v>
      </c>
      <c r="AL36" s="19" t="str">
        <f aca="false">IF(AD36="","",AD36-AK36)</f>
        <v/>
      </c>
      <c r="AM36" s="9" t="str">
        <f aca="false">IF(C36="","","Waiting for payment")</f>
        <v/>
      </c>
      <c r="AN36" s="10"/>
      <c r="AO36" s="10"/>
      <c r="AP36" s="22" t="str">
        <f aca="false">IF(OR(C36="",I36="",K36=""),"",IF(K36="Monthly",EDATE(C36,ROUND(I36*SETTINGS!$I$8,0)),WORKDAY(C36,ROUND(I36*SETTINGS!$I$8,0))))</f>
        <v/>
      </c>
      <c r="AQ36" s="9" t="str">
        <f aca="true">IF(C36="","",IF(AND(AP36&lt;&gt;"",TODAY()&gt;=AP36),"Refi Ready",IF(TODAY()-C36&gt;=SETTINGS!$I$11,"Prospecting","Performing")))</f>
        <v/>
      </c>
      <c r="AR36" s="22" t="str">
        <f aca="false">IF(OR(C36="",I36="",K36=""),"",IF(K36="Monthly",EDATE(C36,I36),WORKDAY(C36,I36)))</f>
        <v/>
      </c>
      <c r="AS36" s="11"/>
      <c r="AT36" s="23" t="str">
        <f aca="true">IF(C36="","",IF(AM36="Clawed Back","CLAWED",IF(TODAY()&lt;=C36+SETTINGS!$I$2,"⚠ AT RISK","SAFE")))</f>
        <v/>
      </c>
      <c r="AU36" s="11"/>
      <c r="AW36" s="24" t="n">
        <f aca="false">AW35+IF(AND(C36&lt;&gt;"",AO36&lt;&gt;"",OR('REP COMMISSION'!$B$3="",T36='REP COMMISSION'!$B$3,W36='REP COMMISSION'!$B$3,Z36='REP COMMISSION'!$B$3)),1,0)</f>
        <v>0</v>
      </c>
      <c r="AX36" s="24" t="n">
        <f aca="false">AX35+IF(AND(C36&lt;&gt;"",OR(F36="LOC - INITIAL",F36="CONSOLIDATION - UPFRONT COMM",F36="REVERSE - TOTAL FUNDING")),1,0)</f>
        <v>0</v>
      </c>
    </row>
    <row r="37" customFormat="false" ht="15" hidden="false" customHeight="false" outlineLevel="0" collapsed="false">
      <c r="A37" s="25" t="str">
        <f aca="false">IF(C37&lt;&gt;"","F"&amp;COUNT($C$4:C37),"")</f>
        <v/>
      </c>
      <c r="B37" s="26" t="str">
        <f aca="false">IF(OR(F37="LOC - INITIAL",F37="CONSOLIDATION - UPFRONT COMM",F37="REVERSE - TOTAL FUNDING"),A37,"")</f>
        <v/>
      </c>
      <c r="C37" s="27"/>
      <c r="D37" s="28"/>
      <c r="E37" s="28"/>
      <c r="F37" s="28"/>
      <c r="G37" s="29"/>
      <c r="H37" s="30"/>
      <c r="I37" s="28"/>
      <c r="J37" s="31" t="str">
        <f aca="false">IF(AND(G37&lt;&gt;"",H37&lt;&gt;""),G37*H37,"")</f>
        <v/>
      </c>
      <c r="K37" s="28"/>
      <c r="L37" s="32"/>
      <c r="M37" s="32"/>
      <c r="N37" s="31" t="n">
        <f aca="false">IF(OR(G37="",M37=""),0,IF(M37&gt;100,M37,G37*IF(M37&gt;1,M37/100,M37)))</f>
        <v>0</v>
      </c>
      <c r="O37" s="31" t="str">
        <f aca="false">IF(G37="","",G37*IF(L37="",0,IF(L37&gt;1,L37/100,L37))+N37)</f>
        <v/>
      </c>
      <c r="P37" s="28"/>
      <c r="Q37" s="33" t="str">
        <f aca="false">IF(P37="","",IFERROR(VLOOKUP(P37,PARTNERS!$A$2:$B$30,2,0),""))</f>
        <v/>
      </c>
      <c r="R37" s="17" t="str">
        <f aca="false">IF(O37="","",IF(OR(P37="",Q37=""),0,(O37-N37)*IF(Q37&gt;1,Q37/100,Q37)))</f>
        <v/>
      </c>
      <c r="S37" s="31" t="str">
        <f aca="false">IF(O37="","",O37-R37)</f>
        <v/>
      </c>
      <c r="T37" s="28"/>
      <c r="U37" s="34" t="str">
        <f aca="false">IF(T37="","",IFERROR(VLOOKUP(T37,REPS!$A$2:$D$40,2,0),""))</f>
        <v/>
      </c>
      <c r="V37" s="31" t="str">
        <f aca="false">IF(O37="","",IF(U37="",0,O37*IF(U37&gt;1,U37/100,U37)))</f>
        <v/>
      </c>
      <c r="W37" s="28"/>
      <c r="X37" s="34" t="str">
        <f aca="false">IF(W37="","",IFERROR(VLOOKUP(W37,REPS!$A$2:$D$40,3,0),""))</f>
        <v/>
      </c>
      <c r="Y37" s="31" t="str">
        <f aca="false">IF(O37="","",IF(X37="",0,O37*IF(X37&gt;1,X37/100,X37)))</f>
        <v/>
      </c>
      <c r="Z37" s="28"/>
      <c r="AA37" s="34" t="str">
        <f aca="false">IF(Z37="","",IFERROR(VLOOKUP(Z37,REPS!$A$2:$D$40,4,0),""))</f>
        <v/>
      </c>
      <c r="AB37" s="31" t="str">
        <f aca="false">IF(O37="","",IF(AA37="",0,O37*IF(AA37&gt;1,AA37/100,AA37)))</f>
        <v/>
      </c>
      <c r="AC37" s="31" t="str">
        <f aca="false">IF(O37="","",V37+Y37+AB37)</f>
        <v/>
      </c>
      <c r="AD37" s="19" t="str">
        <f aca="false">IF(O37="","",O37-R37-AC37)</f>
        <v/>
      </c>
      <c r="AE37" s="20"/>
      <c r="AF37" s="27"/>
      <c r="AG37" s="21" t="n">
        <f aca="false">IF(OR(AE37="",AE37=0),0,AE37*IF(U37="",0,IF(U37&gt;1,U37/100,U37)))</f>
        <v>0</v>
      </c>
      <c r="AH37" s="21" t="n">
        <f aca="false">IF(OR(AE37="",AE37=0),0,AE37*IF(X37="",0,IF(X37&gt;1,X37/100,X37)))</f>
        <v>0</v>
      </c>
      <c r="AI37" s="21" t="n">
        <f aca="false">IF(OR(AE37="",AE37=0),0,AE37*IF(AA37="",0,IF(AA37&gt;1,AA37/100,AA37)))</f>
        <v>0</v>
      </c>
      <c r="AJ37" s="21" t="n">
        <f aca="false">AG37+AH37+AI37</f>
        <v>0</v>
      </c>
      <c r="AK37" s="21" t="n">
        <f aca="false">IF(OR(AE37="",AE37=0),0,AE37-AJ37)</f>
        <v>0</v>
      </c>
      <c r="AL37" s="19" t="str">
        <f aca="false">IF(AD37="","",AD37-AK37)</f>
        <v/>
      </c>
      <c r="AM37" s="26" t="str">
        <f aca="false">IF(C37="","","Waiting for payment")</f>
        <v/>
      </c>
      <c r="AN37" s="27"/>
      <c r="AO37" s="27"/>
      <c r="AP37" s="35" t="str">
        <f aca="false">IF(OR(C37="",I37="",K37=""),"",IF(K37="Monthly",EDATE(C37,ROUND(I37*SETTINGS!$I$8,0)),WORKDAY(C37,ROUND(I37*SETTINGS!$I$8,0))))</f>
        <v/>
      </c>
      <c r="AQ37" s="26" t="str">
        <f aca="true">IF(C37="","",IF(AND(AP37&lt;&gt;"",TODAY()&gt;=AP37),"Refi Ready",IF(TODAY()-C37&gt;=SETTINGS!$I$11,"Prospecting","Performing")))</f>
        <v/>
      </c>
      <c r="AR37" s="35" t="str">
        <f aca="false">IF(OR(C37="",I37="",K37=""),"",IF(K37="Monthly",EDATE(C37,I37),WORKDAY(C37,I37)))</f>
        <v/>
      </c>
      <c r="AS37" s="28"/>
      <c r="AT37" s="36" t="str">
        <f aca="true">IF(C37="","",IF(AM37="Clawed Back","CLAWED",IF(TODAY()&lt;=C37+SETTINGS!$I$2,"⚠ AT RISK","SAFE")))</f>
        <v/>
      </c>
      <c r="AU37" s="28"/>
      <c r="AW37" s="24" t="n">
        <f aca="false">AW36+IF(AND(C37&lt;&gt;"",AO37&lt;&gt;"",OR('REP COMMISSION'!$B$3="",T37='REP COMMISSION'!$B$3,W37='REP COMMISSION'!$B$3,Z37='REP COMMISSION'!$B$3)),1,0)</f>
        <v>0</v>
      </c>
      <c r="AX37" s="24" t="n">
        <f aca="false">AX36+IF(AND(C37&lt;&gt;"",OR(F37="LOC - INITIAL",F37="CONSOLIDATION - UPFRONT COMM",F37="REVERSE - TOTAL FUNDING")),1,0)</f>
        <v>0</v>
      </c>
    </row>
    <row r="38" customFormat="false" ht="15" hidden="false" customHeight="false" outlineLevel="0" collapsed="false">
      <c r="A38" s="8" t="str">
        <f aca="false">IF(C38&lt;&gt;"","F"&amp;COUNT($C$4:C38),"")</f>
        <v/>
      </c>
      <c r="B38" s="9" t="str">
        <f aca="false">IF(OR(F38="LOC - INITIAL",F38="CONSOLIDATION - UPFRONT COMM",F38="REVERSE - TOTAL FUNDING"),A38,"")</f>
        <v/>
      </c>
      <c r="C38" s="10"/>
      <c r="D38" s="11"/>
      <c r="E38" s="11"/>
      <c r="F38" s="11"/>
      <c r="G38" s="12"/>
      <c r="H38" s="13"/>
      <c r="I38" s="11"/>
      <c r="J38" s="14" t="str">
        <f aca="false">IF(AND(G38&lt;&gt;"",H38&lt;&gt;""),G38*H38,"")</f>
        <v/>
      </c>
      <c r="K38" s="11"/>
      <c r="L38" s="15"/>
      <c r="M38" s="15"/>
      <c r="N38" s="14" t="n">
        <f aca="false">IF(OR(G38="",M38=""),0,IF(M38&gt;100,M38,G38*IF(M38&gt;1,M38/100,M38)))</f>
        <v>0</v>
      </c>
      <c r="O38" s="14" t="str">
        <f aca="false">IF(G38="","",G38*IF(L38="",0,IF(L38&gt;1,L38/100,L38))+N38)</f>
        <v/>
      </c>
      <c r="P38" s="11"/>
      <c r="Q38" s="16" t="str">
        <f aca="false">IF(P38="","",IFERROR(VLOOKUP(P38,PARTNERS!$A$2:$B$30,2,0),""))</f>
        <v/>
      </c>
      <c r="R38" s="17" t="str">
        <f aca="false">IF(O38="","",IF(OR(P38="",Q38=""),0,(O38-N38)*IF(Q38&gt;1,Q38/100,Q38)))</f>
        <v/>
      </c>
      <c r="S38" s="14" t="str">
        <f aca="false">IF(O38="","",O38-R38)</f>
        <v/>
      </c>
      <c r="T38" s="11"/>
      <c r="U38" s="18" t="str">
        <f aca="false">IF(T38="","",IFERROR(VLOOKUP(T38,REPS!$A$2:$D$40,2,0),""))</f>
        <v/>
      </c>
      <c r="V38" s="14" t="str">
        <f aca="false">IF(O38="","",IF(U38="",0,O38*IF(U38&gt;1,U38/100,U38)))</f>
        <v/>
      </c>
      <c r="W38" s="11"/>
      <c r="X38" s="18" t="str">
        <f aca="false">IF(W38="","",IFERROR(VLOOKUP(W38,REPS!$A$2:$D$40,3,0),""))</f>
        <v/>
      </c>
      <c r="Y38" s="14" t="str">
        <f aca="false">IF(O38="","",IF(X38="",0,O38*IF(X38&gt;1,X38/100,X38)))</f>
        <v/>
      </c>
      <c r="Z38" s="11"/>
      <c r="AA38" s="18" t="str">
        <f aca="false">IF(Z38="","",IFERROR(VLOOKUP(Z38,REPS!$A$2:$D$40,4,0),""))</f>
        <v/>
      </c>
      <c r="AB38" s="14" t="str">
        <f aca="false">IF(O38="","",IF(AA38="",0,O38*IF(AA38&gt;1,AA38/100,AA38)))</f>
        <v/>
      </c>
      <c r="AC38" s="14" t="str">
        <f aca="false">IF(O38="","",V38+Y38+AB38)</f>
        <v/>
      </c>
      <c r="AD38" s="19" t="str">
        <f aca="false">IF(O38="","",O38-R38-AC38)</f>
        <v/>
      </c>
      <c r="AE38" s="20"/>
      <c r="AF38" s="10"/>
      <c r="AG38" s="21" t="n">
        <f aca="false">IF(OR(AE38="",AE38=0),0,AE38*IF(U38="",0,IF(U38&gt;1,U38/100,U38)))</f>
        <v>0</v>
      </c>
      <c r="AH38" s="21" t="n">
        <f aca="false">IF(OR(AE38="",AE38=0),0,AE38*IF(X38="",0,IF(X38&gt;1,X38/100,X38)))</f>
        <v>0</v>
      </c>
      <c r="AI38" s="21" t="n">
        <f aca="false">IF(OR(AE38="",AE38=0),0,AE38*IF(AA38="",0,IF(AA38&gt;1,AA38/100,AA38)))</f>
        <v>0</v>
      </c>
      <c r="AJ38" s="21" t="n">
        <f aca="false">AG38+AH38+AI38</f>
        <v>0</v>
      </c>
      <c r="AK38" s="21" t="n">
        <f aca="false">IF(OR(AE38="",AE38=0),0,AE38-AJ38)</f>
        <v>0</v>
      </c>
      <c r="AL38" s="19" t="str">
        <f aca="false">IF(AD38="","",AD38-AK38)</f>
        <v/>
      </c>
      <c r="AM38" s="9" t="str">
        <f aca="false">IF(C38="","","Waiting for payment")</f>
        <v/>
      </c>
      <c r="AN38" s="10"/>
      <c r="AO38" s="10"/>
      <c r="AP38" s="22" t="str">
        <f aca="false">IF(OR(C38="",I38="",K38=""),"",IF(K38="Monthly",EDATE(C38,ROUND(I38*SETTINGS!$I$8,0)),WORKDAY(C38,ROUND(I38*SETTINGS!$I$8,0))))</f>
        <v/>
      </c>
      <c r="AQ38" s="9" t="str">
        <f aca="true">IF(C38="","",IF(AND(AP38&lt;&gt;"",TODAY()&gt;=AP38),"Refi Ready",IF(TODAY()-C38&gt;=SETTINGS!$I$11,"Prospecting","Performing")))</f>
        <v/>
      </c>
      <c r="AR38" s="22" t="str">
        <f aca="false">IF(OR(C38="",I38="",K38=""),"",IF(K38="Monthly",EDATE(C38,I38),WORKDAY(C38,I38)))</f>
        <v/>
      </c>
      <c r="AS38" s="11"/>
      <c r="AT38" s="23" t="str">
        <f aca="true">IF(C38="","",IF(AM38="Clawed Back","CLAWED",IF(TODAY()&lt;=C38+SETTINGS!$I$2,"⚠ AT RISK","SAFE")))</f>
        <v/>
      </c>
      <c r="AU38" s="11"/>
      <c r="AW38" s="24" t="n">
        <f aca="false">AW37+IF(AND(C38&lt;&gt;"",AO38&lt;&gt;"",OR('REP COMMISSION'!$B$3="",T38='REP COMMISSION'!$B$3,W38='REP COMMISSION'!$B$3,Z38='REP COMMISSION'!$B$3)),1,0)</f>
        <v>0</v>
      </c>
      <c r="AX38" s="24" t="n">
        <f aca="false">AX37+IF(AND(C38&lt;&gt;"",OR(F38="LOC - INITIAL",F38="CONSOLIDATION - UPFRONT COMM",F38="REVERSE - TOTAL FUNDING")),1,0)</f>
        <v>0</v>
      </c>
    </row>
    <row r="39" customFormat="false" ht="15" hidden="false" customHeight="false" outlineLevel="0" collapsed="false">
      <c r="A39" s="25" t="str">
        <f aca="false">IF(C39&lt;&gt;"","F"&amp;COUNT($C$4:C39),"")</f>
        <v/>
      </c>
      <c r="B39" s="26" t="str">
        <f aca="false">IF(OR(F39="LOC - INITIAL",F39="CONSOLIDATION - UPFRONT COMM",F39="REVERSE - TOTAL FUNDING"),A39,"")</f>
        <v/>
      </c>
      <c r="C39" s="27"/>
      <c r="D39" s="28"/>
      <c r="E39" s="28"/>
      <c r="F39" s="28"/>
      <c r="G39" s="29"/>
      <c r="H39" s="30"/>
      <c r="I39" s="28"/>
      <c r="J39" s="31" t="str">
        <f aca="false">IF(AND(G39&lt;&gt;"",H39&lt;&gt;""),G39*H39,"")</f>
        <v/>
      </c>
      <c r="K39" s="28"/>
      <c r="L39" s="32"/>
      <c r="M39" s="32"/>
      <c r="N39" s="31" t="n">
        <f aca="false">IF(OR(G39="",M39=""),0,IF(M39&gt;100,M39,G39*IF(M39&gt;1,M39/100,M39)))</f>
        <v>0</v>
      </c>
      <c r="O39" s="31" t="str">
        <f aca="false">IF(G39="","",G39*IF(L39="",0,IF(L39&gt;1,L39/100,L39))+N39)</f>
        <v/>
      </c>
      <c r="P39" s="28"/>
      <c r="Q39" s="33" t="str">
        <f aca="false">IF(P39="","",IFERROR(VLOOKUP(P39,PARTNERS!$A$2:$B$30,2,0),""))</f>
        <v/>
      </c>
      <c r="R39" s="17" t="str">
        <f aca="false">IF(O39="","",IF(OR(P39="",Q39=""),0,(O39-N39)*IF(Q39&gt;1,Q39/100,Q39)))</f>
        <v/>
      </c>
      <c r="S39" s="31" t="str">
        <f aca="false">IF(O39="","",O39-R39)</f>
        <v/>
      </c>
      <c r="T39" s="28"/>
      <c r="U39" s="34" t="str">
        <f aca="false">IF(T39="","",IFERROR(VLOOKUP(T39,REPS!$A$2:$D$40,2,0),""))</f>
        <v/>
      </c>
      <c r="V39" s="31" t="str">
        <f aca="false">IF(O39="","",IF(U39="",0,O39*IF(U39&gt;1,U39/100,U39)))</f>
        <v/>
      </c>
      <c r="W39" s="28"/>
      <c r="X39" s="34" t="str">
        <f aca="false">IF(W39="","",IFERROR(VLOOKUP(W39,REPS!$A$2:$D$40,3,0),""))</f>
        <v/>
      </c>
      <c r="Y39" s="31" t="str">
        <f aca="false">IF(O39="","",IF(X39="",0,O39*IF(X39&gt;1,X39/100,X39)))</f>
        <v/>
      </c>
      <c r="Z39" s="28"/>
      <c r="AA39" s="34" t="str">
        <f aca="false">IF(Z39="","",IFERROR(VLOOKUP(Z39,REPS!$A$2:$D$40,4,0),""))</f>
        <v/>
      </c>
      <c r="AB39" s="31" t="str">
        <f aca="false">IF(O39="","",IF(AA39="",0,O39*IF(AA39&gt;1,AA39/100,AA39)))</f>
        <v/>
      </c>
      <c r="AC39" s="31" t="str">
        <f aca="false">IF(O39="","",V39+Y39+AB39)</f>
        <v/>
      </c>
      <c r="AD39" s="19" t="str">
        <f aca="false">IF(O39="","",O39-R39-AC39)</f>
        <v/>
      </c>
      <c r="AE39" s="20"/>
      <c r="AF39" s="27"/>
      <c r="AG39" s="21" t="n">
        <f aca="false">IF(OR(AE39="",AE39=0),0,AE39*IF(U39="",0,IF(U39&gt;1,U39/100,U39)))</f>
        <v>0</v>
      </c>
      <c r="AH39" s="21" t="n">
        <f aca="false">IF(OR(AE39="",AE39=0),0,AE39*IF(X39="",0,IF(X39&gt;1,X39/100,X39)))</f>
        <v>0</v>
      </c>
      <c r="AI39" s="21" t="n">
        <f aca="false">IF(OR(AE39="",AE39=0),0,AE39*IF(AA39="",0,IF(AA39&gt;1,AA39/100,AA39)))</f>
        <v>0</v>
      </c>
      <c r="AJ39" s="21" t="n">
        <f aca="false">AG39+AH39+AI39</f>
        <v>0</v>
      </c>
      <c r="AK39" s="21" t="n">
        <f aca="false">IF(OR(AE39="",AE39=0),0,AE39-AJ39)</f>
        <v>0</v>
      </c>
      <c r="AL39" s="19" t="str">
        <f aca="false">IF(AD39="","",AD39-AK39)</f>
        <v/>
      </c>
      <c r="AM39" s="26" t="str">
        <f aca="false">IF(C39="","","Waiting for payment")</f>
        <v/>
      </c>
      <c r="AN39" s="27"/>
      <c r="AO39" s="27"/>
      <c r="AP39" s="35" t="str">
        <f aca="false">IF(OR(C39="",I39="",K39=""),"",IF(K39="Monthly",EDATE(C39,ROUND(I39*SETTINGS!$I$8,0)),WORKDAY(C39,ROUND(I39*SETTINGS!$I$8,0))))</f>
        <v/>
      </c>
      <c r="AQ39" s="26" t="str">
        <f aca="true">IF(C39="","",IF(AND(AP39&lt;&gt;"",TODAY()&gt;=AP39),"Refi Ready",IF(TODAY()-C39&gt;=SETTINGS!$I$11,"Prospecting","Performing")))</f>
        <v/>
      </c>
      <c r="AR39" s="35" t="str">
        <f aca="false">IF(OR(C39="",I39="",K39=""),"",IF(K39="Monthly",EDATE(C39,I39),WORKDAY(C39,I39)))</f>
        <v/>
      </c>
      <c r="AS39" s="28"/>
      <c r="AT39" s="36" t="str">
        <f aca="true">IF(C39="","",IF(AM39="Clawed Back","CLAWED",IF(TODAY()&lt;=C39+SETTINGS!$I$2,"⚠ AT RISK","SAFE")))</f>
        <v/>
      </c>
      <c r="AU39" s="28"/>
      <c r="AW39" s="24" t="n">
        <f aca="false">AW38+IF(AND(C39&lt;&gt;"",AO39&lt;&gt;"",OR('REP COMMISSION'!$B$3="",T39='REP COMMISSION'!$B$3,W39='REP COMMISSION'!$B$3,Z39='REP COMMISSION'!$B$3)),1,0)</f>
        <v>0</v>
      </c>
      <c r="AX39" s="24" t="n">
        <f aca="false">AX38+IF(AND(C39&lt;&gt;"",OR(F39="LOC - INITIAL",F39="CONSOLIDATION - UPFRONT COMM",F39="REVERSE - TOTAL FUNDING")),1,0)</f>
        <v>0</v>
      </c>
    </row>
    <row r="40" customFormat="false" ht="15" hidden="false" customHeight="false" outlineLevel="0" collapsed="false">
      <c r="A40" s="8" t="str">
        <f aca="false">IF(C40&lt;&gt;"","F"&amp;COUNT($C$4:C40),"")</f>
        <v/>
      </c>
      <c r="B40" s="9" t="str">
        <f aca="false">IF(OR(F40="LOC - INITIAL",F40="CONSOLIDATION - UPFRONT COMM",F40="REVERSE - TOTAL FUNDING"),A40,"")</f>
        <v/>
      </c>
      <c r="C40" s="10"/>
      <c r="D40" s="11"/>
      <c r="E40" s="11"/>
      <c r="F40" s="11"/>
      <c r="G40" s="12"/>
      <c r="H40" s="13"/>
      <c r="I40" s="11"/>
      <c r="J40" s="14" t="str">
        <f aca="false">IF(AND(G40&lt;&gt;"",H40&lt;&gt;""),G40*H40,"")</f>
        <v/>
      </c>
      <c r="K40" s="11"/>
      <c r="L40" s="15"/>
      <c r="M40" s="15"/>
      <c r="N40" s="14" t="n">
        <f aca="false">IF(OR(G40="",M40=""),0,IF(M40&gt;100,M40,G40*IF(M40&gt;1,M40/100,M40)))</f>
        <v>0</v>
      </c>
      <c r="O40" s="14" t="str">
        <f aca="false">IF(G40="","",G40*IF(L40="",0,IF(L40&gt;1,L40/100,L40))+N40)</f>
        <v/>
      </c>
      <c r="P40" s="11"/>
      <c r="Q40" s="16" t="str">
        <f aca="false">IF(P40="","",IFERROR(VLOOKUP(P40,PARTNERS!$A$2:$B$30,2,0),""))</f>
        <v/>
      </c>
      <c r="R40" s="17" t="str">
        <f aca="false">IF(O40="","",IF(OR(P40="",Q40=""),0,(O40-N40)*IF(Q40&gt;1,Q40/100,Q40)))</f>
        <v/>
      </c>
      <c r="S40" s="14" t="str">
        <f aca="false">IF(O40="","",O40-R40)</f>
        <v/>
      </c>
      <c r="T40" s="11"/>
      <c r="U40" s="18" t="str">
        <f aca="false">IF(T40="","",IFERROR(VLOOKUP(T40,REPS!$A$2:$D$40,2,0),""))</f>
        <v/>
      </c>
      <c r="V40" s="14" t="str">
        <f aca="false">IF(O40="","",IF(U40="",0,O40*IF(U40&gt;1,U40/100,U40)))</f>
        <v/>
      </c>
      <c r="W40" s="11"/>
      <c r="X40" s="18" t="str">
        <f aca="false">IF(W40="","",IFERROR(VLOOKUP(W40,REPS!$A$2:$D$40,3,0),""))</f>
        <v/>
      </c>
      <c r="Y40" s="14" t="str">
        <f aca="false">IF(O40="","",IF(X40="",0,O40*IF(X40&gt;1,X40/100,X40)))</f>
        <v/>
      </c>
      <c r="Z40" s="11"/>
      <c r="AA40" s="18" t="str">
        <f aca="false">IF(Z40="","",IFERROR(VLOOKUP(Z40,REPS!$A$2:$D$40,4,0),""))</f>
        <v/>
      </c>
      <c r="AB40" s="14" t="str">
        <f aca="false">IF(O40="","",IF(AA40="",0,O40*IF(AA40&gt;1,AA40/100,AA40)))</f>
        <v/>
      </c>
      <c r="AC40" s="14" t="str">
        <f aca="false">IF(O40="","",V40+Y40+AB40)</f>
        <v/>
      </c>
      <c r="AD40" s="19" t="str">
        <f aca="false">IF(O40="","",O40-R40-AC40)</f>
        <v/>
      </c>
      <c r="AE40" s="20"/>
      <c r="AF40" s="10"/>
      <c r="AG40" s="21" t="n">
        <f aca="false">IF(OR(AE40="",AE40=0),0,AE40*IF(U40="",0,IF(U40&gt;1,U40/100,U40)))</f>
        <v>0</v>
      </c>
      <c r="AH40" s="21" t="n">
        <f aca="false">IF(OR(AE40="",AE40=0),0,AE40*IF(X40="",0,IF(X40&gt;1,X40/100,X40)))</f>
        <v>0</v>
      </c>
      <c r="AI40" s="21" t="n">
        <f aca="false">IF(OR(AE40="",AE40=0),0,AE40*IF(AA40="",0,IF(AA40&gt;1,AA40/100,AA40)))</f>
        <v>0</v>
      </c>
      <c r="AJ40" s="21" t="n">
        <f aca="false">AG40+AH40+AI40</f>
        <v>0</v>
      </c>
      <c r="AK40" s="21" t="n">
        <f aca="false">IF(OR(AE40="",AE40=0),0,AE40-AJ40)</f>
        <v>0</v>
      </c>
      <c r="AL40" s="19" t="str">
        <f aca="false">IF(AD40="","",AD40-AK40)</f>
        <v/>
      </c>
      <c r="AM40" s="9" t="str">
        <f aca="false">IF(C40="","","Waiting for payment")</f>
        <v/>
      </c>
      <c r="AN40" s="10"/>
      <c r="AO40" s="10"/>
      <c r="AP40" s="22" t="str">
        <f aca="false">IF(OR(C40="",I40="",K40=""),"",IF(K40="Monthly",EDATE(C40,ROUND(I40*SETTINGS!$I$8,0)),WORKDAY(C40,ROUND(I40*SETTINGS!$I$8,0))))</f>
        <v/>
      </c>
      <c r="AQ40" s="9" t="str">
        <f aca="true">IF(C40="","",IF(AND(AP40&lt;&gt;"",TODAY()&gt;=AP40),"Refi Ready",IF(TODAY()-C40&gt;=SETTINGS!$I$11,"Prospecting","Performing")))</f>
        <v/>
      </c>
      <c r="AR40" s="22" t="str">
        <f aca="false">IF(OR(C40="",I40="",K40=""),"",IF(K40="Monthly",EDATE(C40,I40),WORKDAY(C40,I40)))</f>
        <v/>
      </c>
      <c r="AS40" s="11"/>
      <c r="AT40" s="23" t="str">
        <f aca="true">IF(C40="","",IF(AM40="Clawed Back","CLAWED",IF(TODAY()&lt;=C40+SETTINGS!$I$2,"⚠ AT RISK","SAFE")))</f>
        <v/>
      </c>
      <c r="AU40" s="11"/>
      <c r="AW40" s="24" t="n">
        <f aca="false">AW39+IF(AND(C40&lt;&gt;"",AO40&lt;&gt;"",OR('REP COMMISSION'!$B$3="",T40='REP COMMISSION'!$B$3,W40='REP COMMISSION'!$B$3,Z40='REP COMMISSION'!$B$3)),1,0)</f>
        <v>0</v>
      </c>
      <c r="AX40" s="24" t="n">
        <f aca="false">AX39+IF(AND(C40&lt;&gt;"",OR(F40="LOC - INITIAL",F40="CONSOLIDATION - UPFRONT COMM",F40="REVERSE - TOTAL FUNDING")),1,0)</f>
        <v>0</v>
      </c>
    </row>
    <row r="41" customFormat="false" ht="15" hidden="false" customHeight="false" outlineLevel="0" collapsed="false">
      <c r="A41" s="25" t="str">
        <f aca="false">IF(C41&lt;&gt;"","F"&amp;COUNT($C$4:C41),"")</f>
        <v/>
      </c>
      <c r="B41" s="26" t="str">
        <f aca="false">IF(OR(F41="LOC - INITIAL",F41="CONSOLIDATION - UPFRONT COMM",F41="REVERSE - TOTAL FUNDING"),A41,"")</f>
        <v/>
      </c>
      <c r="C41" s="27"/>
      <c r="D41" s="28"/>
      <c r="E41" s="28"/>
      <c r="F41" s="28"/>
      <c r="G41" s="29"/>
      <c r="H41" s="30"/>
      <c r="I41" s="28"/>
      <c r="J41" s="31" t="str">
        <f aca="false">IF(AND(G41&lt;&gt;"",H41&lt;&gt;""),G41*H41,"")</f>
        <v/>
      </c>
      <c r="K41" s="28"/>
      <c r="L41" s="32"/>
      <c r="M41" s="32"/>
      <c r="N41" s="31" t="n">
        <f aca="false">IF(OR(G41="",M41=""),0,IF(M41&gt;100,M41,G41*IF(M41&gt;1,M41/100,M41)))</f>
        <v>0</v>
      </c>
      <c r="O41" s="31" t="str">
        <f aca="false">IF(G41="","",G41*IF(L41="",0,IF(L41&gt;1,L41/100,L41))+N41)</f>
        <v/>
      </c>
      <c r="P41" s="28"/>
      <c r="Q41" s="33" t="str">
        <f aca="false">IF(P41="","",IFERROR(VLOOKUP(P41,PARTNERS!$A$2:$B$30,2,0),""))</f>
        <v/>
      </c>
      <c r="R41" s="17" t="str">
        <f aca="false">IF(O41="","",IF(OR(P41="",Q41=""),0,(O41-N41)*IF(Q41&gt;1,Q41/100,Q41)))</f>
        <v/>
      </c>
      <c r="S41" s="31" t="str">
        <f aca="false">IF(O41="","",O41-R41)</f>
        <v/>
      </c>
      <c r="T41" s="28"/>
      <c r="U41" s="34" t="str">
        <f aca="false">IF(T41="","",IFERROR(VLOOKUP(T41,REPS!$A$2:$D$40,2,0),""))</f>
        <v/>
      </c>
      <c r="V41" s="31" t="str">
        <f aca="false">IF(O41="","",IF(U41="",0,O41*IF(U41&gt;1,U41/100,U41)))</f>
        <v/>
      </c>
      <c r="W41" s="28"/>
      <c r="X41" s="34" t="str">
        <f aca="false">IF(W41="","",IFERROR(VLOOKUP(W41,REPS!$A$2:$D$40,3,0),""))</f>
        <v/>
      </c>
      <c r="Y41" s="31" t="str">
        <f aca="false">IF(O41="","",IF(X41="",0,O41*IF(X41&gt;1,X41/100,X41)))</f>
        <v/>
      </c>
      <c r="Z41" s="28"/>
      <c r="AA41" s="34" t="str">
        <f aca="false">IF(Z41="","",IFERROR(VLOOKUP(Z41,REPS!$A$2:$D$40,4,0),""))</f>
        <v/>
      </c>
      <c r="AB41" s="31" t="str">
        <f aca="false">IF(O41="","",IF(AA41="",0,O41*IF(AA41&gt;1,AA41/100,AA41)))</f>
        <v/>
      </c>
      <c r="AC41" s="31" t="str">
        <f aca="false">IF(O41="","",V41+Y41+AB41)</f>
        <v/>
      </c>
      <c r="AD41" s="19" t="str">
        <f aca="false">IF(O41="","",O41-R41-AC41)</f>
        <v/>
      </c>
      <c r="AE41" s="20"/>
      <c r="AF41" s="27"/>
      <c r="AG41" s="21" t="n">
        <f aca="false">IF(OR(AE41="",AE41=0),0,AE41*IF(U41="",0,IF(U41&gt;1,U41/100,U41)))</f>
        <v>0</v>
      </c>
      <c r="AH41" s="21" t="n">
        <f aca="false">IF(OR(AE41="",AE41=0),0,AE41*IF(X41="",0,IF(X41&gt;1,X41/100,X41)))</f>
        <v>0</v>
      </c>
      <c r="AI41" s="21" t="n">
        <f aca="false">IF(OR(AE41="",AE41=0),0,AE41*IF(AA41="",0,IF(AA41&gt;1,AA41/100,AA41)))</f>
        <v>0</v>
      </c>
      <c r="AJ41" s="21" t="n">
        <f aca="false">AG41+AH41+AI41</f>
        <v>0</v>
      </c>
      <c r="AK41" s="21" t="n">
        <f aca="false">IF(OR(AE41="",AE41=0),0,AE41-AJ41)</f>
        <v>0</v>
      </c>
      <c r="AL41" s="19" t="str">
        <f aca="false">IF(AD41="","",AD41-AK41)</f>
        <v/>
      </c>
      <c r="AM41" s="26" t="str">
        <f aca="false">IF(C41="","","Waiting for payment")</f>
        <v/>
      </c>
      <c r="AN41" s="27"/>
      <c r="AO41" s="27"/>
      <c r="AP41" s="35" t="str">
        <f aca="false">IF(OR(C41="",I41="",K41=""),"",IF(K41="Monthly",EDATE(C41,ROUND(I41*SETTINGS!$I$8,0)),WORKDAY(C41,ROUND(I41*SETTINGS!$I$8,0))))</f>
        <v/>
      </c>
      <c r="AQ41" s="26" t="str">
        <f aca="true">IF(C41="","",IF(AND(AP41&lt;&gt;"",TODAY()&gt;=AP41),"Refi Ready",IF(TODAY()-C41&gt;=SETTINGS!$I$11,"Prospecting","Performing")))</f>
        <v/>
      </c>
      <c r="AR41" s="35" t="str">
        <f aca="false">IF(OR(C41="",I41="",K41=""),"",IF(K41="Monthly",EDATE(C41,I41),WORKDAY(C41,I41)))</f>
        <v/>
      </c>
      <c r="AS41" s="28"/>
      <c r="AT41" s="36" t="str">
        <f aca="true">IF(C41="","",IF(AM41="Clawed Back","CLAWED",IF(TODAY()&lt;=C41+SETTINGS!$I$2,"⚠ AT RISK","SAFE")))</f>
        <v/>
      </c>
      <c r="AU41" s="28"/>
      <c r="AW41" s="24" t="n">
        <f aca="false">AW40+IF(AND(C41&lt;&gt;"",AO41&lt;&gt;"",OR('REP COMMISSION'!$B$3="",T41='REP COMMISSION'!$B$3,W41='REP COMMISSION'!$B$3,Z41='REP COMMISSION'!$B$3)),1,0)</f>
        <v>0</v>
      </c>
      <c r="AX41" s="24" t="n">
        <f aca="false">AX40+IF(AND(C41&lt;&gt;"",OR(F41="LOC - INITIAL",F41="CONSOLIDATION - UPFRONT COMM",F41="REVERSE - TOTAL FUNDING")),1,0)</f>
        <v>0</v>
      </c>
    </row>
    <row r="42" customFormat="false" ht="15" hidden="false" customHeight="false" outlineLevel="0" collapsed="false">
      <c r="A42" s="8" t="str">
        <f aca="false">IF(C42&lt;&gt;"","F"&amp;COUNT($C$4:C42),"")</f>
        <v/>
      </c>
      <c r="B42" s="9" t="str">
        <f aca="false">IF(OR(F42="LOC - INITIAL",F42="CONSOLIDATION - UPFRONT COMM",F42="REVERSE - TOTAL FUNDING"),A42,"")</f>
        <v/>
      </c>
      <c r="C42" s="10"/>
      <c r="D42" s="11"/>
      <c r="E42" s="11"/>
      <c r="F42" s="11"/>
      <c r="G42" s="12"/>
      <c r="H42" s="13"/>
      <c r="I42" s="11"/>
      <c r="J42" s="14" t="str">
        <f aca="false">IF(AND(G42&lt;&gt;"",H42&lt;&gt;""),G42*H42,"")</f>
        <v/>
      </c>
      <c r="K42" s="11"/>
      <c r="L42" s="15"/>
      <c r="M42" s="15"/>
      <c r="N42" s="14" t="n">
        <f aca="false">IF(OR(G42="",M42=""),0,IF(M42&gt;100,M42,G42*IF(M42&gt;1,M42/100,M42)))</f>
        <v>0</v>
      </c>
      <c r="O42" s="14" t="str">
        <f aca="false">IF(G42="","",G42*IF(L42="",0,IF(L42&gt;1,L42/100,L42))+N42)</f>
        <v/>
      </c>
      <c r="P42" s="11"/>
      <c r="Q42" s="16" t="str">
        <f aca="false">IF(P42="","",IFERROR(VLOOKUP(P42,PARTNERS!$A$2:$B$30,2,0),""))</f>
        <v/>
      </c>
      <c r="R42" s="17" t="str">
        <f aca="false">IF(O42="","",IF(OR(P42="",Q42=""),0,(O42-N42)*IF(Q42&gt;1,Q42/100,Q42)))</f>
        <v/>
      </c>
      <c r="S42" s="14" t="str">
        <f aca="false">IF(O42="","",O42-R42)</f>
        <v/>
      </c>
      <c r="T42" s="11"/>
      <c r="U42" s="18" t="str">
        <f aca="false">IF(T42="","",IFERROR(VLOOKUP(T42,REPS!$A$2:$D$40,2,0),""))</f>
        <v/>
      </c>
      <c r="V42" s="14" t="str">
        <f aca="false">IF(O42="","",IF(U42="",0,O42*IF(U42&gt;1,U42/100,U42)))</f>
        <v/>
      </c>
      <c r="W42" s="11"/>
      <c r="X42" s="18" t="str">
        <f aca="false">IF(W42="","",IFERROR(VLOOKUP(W42,REPS!$A$2:$D$40,3,0),""))</f>
        <v/>
      </c>
      <c r="Y42" s="14" t="str">
        <f aca="false">IF(O42="","",IF(X42="",0,O42*IF(X42&gt;1,X42/100,X42)))</f>
        <v/>
      </c>
      <c r="Z42" s="11"/>
      <c r="AA42" s="18" t="str">
        <f aca="false">IF(Z42="","",IFERROR(VLOOKUP(Z42,REPS!$A$2:$D$40,4,0),""))</f>
        <v/>
      </c>
      <c r="AB42" s="14" t="str">
        <f aca="false">IF(O42="","",IF(AA42="",0,O42*IF(AA42&gt;1,AA42/100,AA42)))</f>
        <v/>
      </c>
      <c r="AC42" s="14" t="str">
        <f aca="false">IF(O42="","",V42+Y42+AB42)</f>
        <v/>
      </c>
      <c r="AD42" s="19" t="str">
        <f aca="false">IF(O42="","",O42-R42-AC42)</f>
        <v/>
      </c>
      <c r="AE42" s="20"/>
      <c r="AF42" s="10"/>
      <c r="AG42" s="21" t="n">
        <f aca="false">IF(OR(AE42="",AE42=0),0,AE42*IF(U42="",0,IF(U42&gt;1,U42/100,U42)))</f>
        <v>0</v>
      </c>
      <c r="AH42" s="21" t="n">
        <f aca="false">IF(OR(AE42="",AE42=0),0,AE42*IF(X42="",0,IF(X42&gt;1,X42/100,X42)))</f>
        <v>0</v>
      </c>
      <c r="AI42" s="21" t="n">
        <f aca="false">IF(OR(AE42="",AE42=0),0,AE42*IF(AA42="",0,IF(AA42&gt;1,AA42/100,AA42)))</f>
        <v>0</v>
      </c>
      <c r="AJ42" s="21" t="n">
        <f aca="false">AG42+AH42+AI42</f>
        <v>0</v>
      </c>
      <c r="AK42" s="21" t="n">
        <f aca="false">IF(OR(AE42="",AE42=0),0,AE42-AJ42)</f>
        <v>0</v>
      </c>
      <c r="AL42" s="19" t="str">
        <f aca="false">IF(AD42="","",AD42-AK42)</f>
        <v/>
      </c>
      <c r="AM42" s="9" t="str">
        <f aca="false">IF(C42="","","Waiting for payment")</f>
        <v/>
      </c>
      <c r="AN42" s="10"/>
      <c r="AO42" s="10"/>
      <c r="AP42" s="22" t="str">
        <f aca="false">IF(OR(C42="",I42="",K42=""),"",IF(K42="Monthly",EDATE(C42,ROUND(I42*SETTINGS!$I$8,0)),WORKDAY(C42,ROUND(I42*SETTINGS!$I$8,0))))</f>
        <v/>
      </c>
      <c r="AQ42" s="9" t="str">
        <f aca="true">IF(C42="","",IF(AND(AP42&lt;&gt;"",TODAY()&gt;=AP42),"Refi Ready",IF(TODAY()-C42&gt;=SETTINGS!$I$11,"Prospecting","Performing")))</f>
        <v/>
      </c>
      <c r="AR42" s="22" t="str">
        <f aca="false">IF(OR(C42="",I42="",K42=""),"",IF(K42="Monthly",EDATE(C42,I42),WORKDAY(C42,I42)))</f>
        <v/>
      </c>
      <c r="AS42" s="11"/>
      <c r="AT42" s="23" t="str">
        <f aca="true">IF(C42="","",IF(AM42="Clawed Back","CLAWED",IF(TODAY()&lt;=C42+SETTINGS!$I$2,"⚠ AT RISK","SAFE")))</f>
        <v/>
      </c>
      <c r="AU42" s="11"/>
      <c r="AW42" s="24" t="n">
        <f aca="false">AW41+IF(AND(C42&lt;&gt;"",AO42&lt;&gt;"",OR('REP COMMISSION'!$B$3="",T42='REP COMMISSION'!$B$3,W42='REP COMMISSION'!$B$3,Z42='REP COMMISSION'!$B$3)),1,0)</f>
        <v>0</v>
      </c>
      <c r="AX42" s="24" t="n">
        <f aca="false">AX41+IF(AND(C42&lt;&gt;"",OR(F42="LOC - INITIAL",F42="CONSOLIDATION - UPFRONT COMM",F42="REVERSE - TOTAL FUNDING")),1,0)</f>
        <v>0</v>
      </c>
    </row>
    <row r="43" customFormat="false" ht="15" hidden="false" customHeight="false" outlineLevel="0" collapsed="false">
      <c r="A43" s="25" t="str">
        <f aca="false">IF(C43&lt;&gt;"","F"&amp;COUNT($C$4:C43),"")</f>
        <v/>
      </c>
      <c r="B43" s="26" t="str">
        <f aca="false">IF(OR(F43="LOC - INITIAL",F43="CONSOLIDATION - UPFRONT COMM",F43="REVERSE - TOTAL FUNDING"),A43,"")</f>
        <v/>
      </c>
      <c r="C43" s="27"/>
      <c r="D43" s="28"/>
      <c r="E43" s="28"/>
      <c r="F43" s="28"/>
      <c r="G43" s="29"/>
      <c r="H43" s="30"/>
      <c r="I43" s="28"/>
      <c r="J43" s="31" t="str">
        <f aca="false">IF(AND(G43&lt;&gt;"",H43&lt;&gt;""),G43*H43,"")</f>
        <v/>
      </c>
      <c r="K43" s="28"/>
      <c r="L43" s="32"/>
      <c r="M43" s="32"/>
      <c r="N43" s="31" t="n">
        <f aca="false">IF(OR(G43="",M43=""),0,IF(M43&gt;100,M43,G43*IF(M43&gt;1,M43/100,M43)))</f>
        <v>0</v>
      </c>
      <c r="O43" s="31" t="str">
        <f aca="false">IF(G43="","",G43*IF(L43="",0,IF(L43&gt;1,L43/100,L43))+N43)</f>
        <v/>
      </c>
      <c r="P43" s="28"/>
      <c r="Q43" s="33" t="str">
        <f aca="false">IF(P43="","",IFERROR(VLOOKUP(P43,PARTNERS!$A$2:$B$30,2,0),""))</f>
        <v/>
      </c>
      <c r="R43" s="17" t="str">
        <f aca="false">IF(O43="","",IF(OR(P43="",Q43=""),0,(O43-N43)*IF(Q43&gt;1,Q43/100,Q43)))</f>
        <v/>
      </c>
      <c r="S43" s="31" t="str">
        <f aca="false">IF(O43="","",O43-R43)</f>
        <v/>
      </c>
      <c r="T43" s="28"/>
      <c r="U43" s="34" t="str">
        <f aca="false">IF(T43="","",IFERROR(VLOOKUP(T43,REPS!$A$2:$D$40,2,0),""))</f>
        <v/>
      </c>
      <c r="V43" s="31" t="str">
        <f aca="false">IF(O43="","",IF(U43="",0,O43*IF(U43&gt;1,U43/100,U43)))</f>
        <v/>
      </c>
      <c r="W43" s="28"/>
      <c r="X43" s="34" t="str">
        <f aca="false">IF(W43="","",IFERROR(VLOOKUP(W43,REPS!$A$2:$D$40,3,0),""))</f>
        <v/>
      </c>
      <c r="Y43" s="31" t="str">
        <f aca="false">IF(O43="","",IF(X43="",0,O43*IF(X43&gt;1,X43/100,X43)))</f>
        <v/>
      </c>
      <c r="Z43" s="28"/>
      <c r="AA43" s="34" t="str">
        <f aca="false">IF(Z43="","",IFERROR(VLOOKUP(Z43,REPS!$A$2:$D$40,4,0),""))</f>
        <v/>
      </c>
      <c r="AB43" s="31" t="str">
        <f aca="false">IF(O43="","",IF(AA43="",0,O43*IF(AA43&gt;1,AA43/100,AA43)))</f>
        <v/>
      </c>
      <c r="AC43" s="31" t="str">
        <f aca="false">IF(O43="","",V43+Y43+AB43)</f>
        <v/>
      </c>
      <c r="AD43" s="19" t="str">
        <f aca="false">IF(O43="","",O43-R43-AC43)</f>
        <v/>
      </c>
      <c r="AE43" s="20"/>
      <c r="AF43" s="27"/>
      <c r="AG43" s="21" t="n">
        <f aca="false">IF(OR(AE43="",AE43=0),0,AE43*IF(U43="",0,IF(U43&gt;1,U43/100,U43)))</f>
        <v>0</v>
      </c>
      <c r="AH43" s="21" t="n">
        <f aca="false">IF(OR(AE43="",AE43=0),0,AE43*IF(X43="",0,IF(X43&gt;1,X43/100,X43)))</f>
        <v>0</v>
      </c>
      <c r="AI43" s="21" t="n">
        <f aca="false">IF(OR(AE43="",AE43=0),0,AE43*IF(AA43="",0,IF(AA43&gt;1,AA43/100,AA43)))</f>
        <v>0</v>
      </c>
      <c r="AJ43" s="21" t="n">
        <f aca="false">AG43+AH43+AI43</f>
        <v>0</v>
      </c>
      <c r="AK43" s="21" t="n">
        <f aca="false">IF(OR(AE43="",AE43=0),0,AE43-AJ43)</f>
        <v>0</v>
      </c>
      <c r="AL43" s="19" t="str">
        <f aca="false">IF(AD43="","",AD43-AK43)</f>
        <v/>
      </c>
      <c r="AM43" s="26" t="str">
        <f aca="false">IF(C43="","","Waiting for payment")</f>
        <v/>
      </c>
      <c r="AN43" s="27"/>
      <c r="AO43" s="27"/>
      <c r="AP43" s="35" t="str">
        <f aca="false">IF(OR(C43="",I43="",K43=""),"",IF(K43="Monthly",EDATE(C43,ROUND(I43*SETTINGS!$I$8,0)),WORKDAY(C43,ROUND(I43*SETTINGS!$I$8,0))))</f>
        <v/>
      </c>
      <c r="AQ43" s="26" t="str">
        <f aca="true">IF(C43="","",IF(AND(AP43&lt;&gt;"",TODAY()&gt;=AP43),"Refi Ready",IF(TODAY()-C43&gt;=SETTINGS!$I$11,"Prospecting","Performing")))</f>
        <v/>
      </c>
      <c r="AR43" s="35" t="str">
        <f aca="false">IF(OR(C43="",I43="",K43=""),"",IF(K43="Monthly",EDATE(C43,I43),WORKDAY(C43,I43)))</f>
        <v/>
      </c>
      <c r="AS43" s="28"/>
      <c r="AT43" s="36" t="str">
        <f aca="true">IF(C43="","",IF(AM43="Clawed Back","CLAWED",IF(TODAY()&lt;=C43+SETTINGS!$I$2,"⚠ AT RISK","SAFE")))</f>
        <v/>
      </c>
      <c r="AU43" s="28"/>
      <c r="AW43" s="24" t="n">
        <f aca="false">AW42+IF(AND(C43&lt;&gt;"",AO43&lt;&gt;"",OR('REP COMMISSION'!$B$3="",T43='REP COMMISSION'!$B$3,W43='REP COMMISSION'!$B$3,Z43='REP COMMISSION'!$B$3)),1,0)</f>
        <v>0</v>
      </c>
      <c r="AX43" s="24" t="n">
        <f aca="false">AX42+IF(AND(C43&lt;&gt;"",OR(F43="LOC - INITIAL",F43="CONSOLIDATION - UPFRONT COMM",F43="REVERSE - TOTAL FUNDING")),1,0)</f>
        <v>0</v>
      </c>
    </row>
    <row r="44" customFormat="false" ht="15" hidden="false" customHeight="false" outlineLevel="0" collapsed="false">
      <c r="A44" s="8" t="str">
        <f aca="false">IF(C44&lt;&gt;"","F"&amp;COUNT($C$4:C44),"")</f>
        <v/>
      </c>
      <c r="B44" s="9" t="str">
        <f aca="false">IF(OR(F44="LOC - INITIAL",F44="CONSOLIDATION - UPFRONT COMM",F44="REVERSE - TOTAL FUNDING"),A44,"")</f>
        <v/>
      </c>
      <c r="C44" s="10"/>
      <c r="D44" s="11"/>
      <c r="E44" s="11"/>
      <c r="F44" s="11"/>
      <c r="G44" s="12"/>
      <c r="H44" s="13"/>
      <c r="I44" s="11"/>
      <c r="J44" s="14" t="str">
        <f aca="false">IF(AND(G44&lt;&gt;"",H44&lt;&gt;""),G44*H44,"")</f>
        <v/>
      </c>
      <c r="K44" s="11"/>
      <c r="L44" s="15"/>
      <c r="M44" s="15"/>
      <c r="N44" s="14" t="n">
        <f aca="false">IF(OR(G44="",M44=""),0,IF(M44&gt;100,M44,G44*IF(M44&gt;1,M44/100,M44)))</f>
        <v>0</v>
      </c>
      <c r="O44" s="14" t="str">
        <f aca="false">IF(G44="","",G44*IF(L44="",0,IF(L44&gt;1,L44/100,L44))+N44)</f>
        <v/>
      </c>
      <c r="P44" s="11"/>
      <c r="Q44" s="16" t="str">
        <f aca="false">IF(P44="","",IFERROR(VLOOKUP(P44,PARTNERS!$A$2:$B$30,2,0),""))</f>
        <v/>
      </c>
      <c r="R44" s="17" t="str">
        <f aca="false">IF(O44="","",IF(OR(P44="",Q44=""),0,(O44-N44)*IF(Q44&gt;1,Q44/100,Q44)))</f>
        <v/>
      </c>
      <c r="S44" s="14" t="str">
        <f aca="false">IF(O44="","",O44-R44)</f>
        <v/>
      </c>
      <c r="T44" s="11"/>
      <c r="U44" s="18" t="str">
        <f aca="false">IF(T44="","",IFERROR(VLOOKUP(T44,REPS!$A$2:$D$40,2,0),""))</f>
        <v/>
      </c>
      <c r="V44" s="14" t="str">
        <f aca="false">IF(O44="","",IF(U44="",0,O44*IF(U44&gt;1,U44/100,U44)))</f>
        <v/>
      </c>
      <c r="W44" s="11"/>
      <c r="X44" s="18" t="str">
        <f aca="false">IF(W44="","",IFERROR(VLOOKUP(W44,REPS!$A$2:$D$40,3,0),""))</f>
        <v/>
      </c>
      <c r="Y44" s="14" t="str">
        <f aca="false">IF(O44="","",IF(X44="",0,O44*IF(X44&gt;1,X44/100,X44)))</f>
        <v/>
      </c>
      <c r="Z44" s="11"/>
      <c r="AA44" s="18" t="str">
        <f aca="false">IF(Z44="","",IFERROR(VLOOKUP(Z44,REPS!$A$2:$D$40,4,0),""))</f>
        <v/>
      </c>
      <c r="AB44" s="14" t="str">
        <f aca="false">IF(O44="","",IF(AA44="",0,O44*IF(AA44&gt;1,AA44/100,AA44)))</f>
        <v/>
      </c>
      <c r="AC44" s="14" t="str">
        <f aca="false">IF(O44="","",V44+Y44+AB44)</f>
        <v/>
      </c>
      <c r="AD44" s="19" t="str">
        <f aca="false">IF(O44="","",O44-R44-AC44)</f>
        <v/>
      </c>
      <c r="AE44" s="20"/>
      <c r="AF44" s="10"/>
      <c r="AG44" s="21" t="n">
        <f aca="false">IF(OR(AE44="",AE44=0),0,AE44*IF(U44="",0,IF(U44&gt;1,U44/100,U44)))</f>
        <v>0</v>
      </c>
      <c r="AH44" s="21" t="n">
        <f aca="false">IF(OR(AE44="",AE44=0),0,AE44*IF(X44="",0,IF(X44&gt;1,X44/100,X44)))</f>
        <v>0</v>
      </c>
      <c r="AI44" s="21" t="n">
        <f aca="false">IF(OR(AE44="",AE44=0),0,AE44*IF(AA44="",0,IF(AA44&gt;1,AA44/100,AA44)))</f>
        <v>0</v>
      </c>
      <c r="AJ44" s="21" t="n">
        <f aca="false">AG44+AH44+AI44</f>
        <v>0</v>
      </c>
      <c r="AK44" s="21" t="n">
        <f aca="false">IF(OR(AE44="",AE44=0),0,AE44-AJ44)</f>
        <v>0</v>
      </c>
      <c r="AL44" s="19" t="str">
        <f aca="false">IF(AD44="","",AD44-AK44)</f>
        <v/>
      </c>
      <c r="AM44" s="9" t="str">
        <f aca="false">IF(C44="","","Waiting for payment")</f>
        <v/>
      </c>
      <c r="AN44" s="10"/>
      <c r="AO44" s="10"/>
      <c r="AP44" s="22" t="str">
        <f aca="false">IF(OR(C44="",I44="",K44=""),"",IF(K44="Monthly",EDATE(C44,ROUND(I44*SETTINGS!$I$8,0)),WORKDAY(C44,ROUND(I44*SETTINGS!$I$8,0))))</f>
        <v/>
      </c>
      <c r="AQ44" s="9" t="str">
        <f aca="true">IF(C44="","",IF(AND(AP44&lt;&gt;"",TODAY()&gt;=AP44),"Refi Ready",IF(TODAY()-C44&gt;=SETTINGS!$I$11,"Prospecting","Performing")))</f>
        <v/>
      </c>
      <c r="AR44" s="22" t="str">
        <f aca="false">IF(OR(C44="",I44="",K44=""),"",IF(K44="Monthly",EDATE(C44,I44),WORKDAY(C44,I44)))</f>
        <v/>
      </c>
      <c r="AS44" s="11"/>
      <c r="AT44" s="23" t="str">
        <f aca="true">IF(C44="","",IF(AM44="Clawed Back","CLAWED",IF(TODAY()&lt;=C44+SETTINGS!$I$2,"⚠ AT RISK","SAFE")))</f>
        <v/>
      </c>
      <c r="AU44" s="11"/>
      <c r="AW44" s="24" t="n">
        <f aca="false">AW43+IF(AND(C44&lt;&gt;"",AO44&lt;&gt;"",OR('REP COMMISSION'!$B$3="",T44='REP COMMISSION'!$B$3,W44='REP COMMISSION'!$B$3,Z44='REP COMMISSION'!$B$3)),1,0)</f>
        <v>0</v>
      </c>
      <c r="AX44" s="24" t="n">
        <f aca="false">AX43+IF(AND(C44&lt;&gt;"",OR(F44="LOC - INITIAL",F44="CONSOLIDATION - UPFRONT COMM",F44="REVERSE - TOTAL FUNDING")),1,0)</f>
        <v>0</v>
      </c>
    </row>
    <row r="45" customFormat="false" ht="15" hidden="false" customHeight="false" outlineLevel="0" collapsed="false">
      <c r="A45" s="25" t="str">
        <f aca="false">IF(C45&lt;&gt;"","F"&amp;COUNT($C$4:C45),"")</f>
        <v/>
      </c>
      <c r="B45" s="26" t="str">
        <f aca="false">IF(OR(F45="LOC - INITIAL",F45="CONSOLIDATION - UPFRONT COMM",F45="REVERSE - TOTAL FUNDING"),A45,"")</f>
        <v/>
      </c>
      <c r="C45" s="27"/>
      <c r="D45" s="28"/>
      <c r="E45" s="28"/>
      <c r="F45" s="28"/>
      <c r="G45" s="29"/>
      <c r="H45" s="30"/>
      <c r="I45" s="28"/>
      <c r="J45" s="31" t="str">
        <f aca="false">IF(AND(G45&lt;&gt;"",H45&lt;&gt;""),G45*H45,"")</f>
        <v/>
      </c>
      <c r="K45" s="28"/>
      <c r="L45" s="32"/>
      <c r="M45" s="32"/>
      <c r="N45" s="31" t="n">
        <f aca="false">IF(OR(G45="",M45=""),0,IF(M45&gt;100,M45,G45*IF(M45&gt;1,M45/100,M45)))</f>
        <v>0</v>
      </c>
      <c r="O45" s="31" t="str">
        <f aca="false">IF(G45="","",G45*IF(L45="",0,IF(L45&gt;1,L45/100,L45))+N45)</f>
        <v/>
      </c>
      <c r="P45" s="28"/>
      <c r="Q45" s="33" t="str">
        <f aca="false">IF(P45="","",IFERROR(VLOOKUP(P45,PARTNERS!$A$2:$B$30,2,0),""))</f>
        <v/>
      </c>
      <c r="R45" s="17" t="str">
        <f aca="false">IF(O45="","",IF(OR(P45="",Q45=""),0,(O45-N45)*IF(Q45&gt;1,Q45/100,Q45)))</f>
        <v/>
      </c>
      <c r="S45" s="31" t="str">
        <f aca="false">IF(O45="","",O45-R45)</f>
        <v/>
      </c>
      <c r="T45" s="28"/>
      <c r="U45" s="34" t="str">
        <f aca="false">IF(T45="","",IFERROR(VLOOKUP(T45,REPS!$A$2:$D$40,2,0),""))</f>
        <v/>
      </c>
      <c r="V45" s="31" t="str">
        <f aca="false">IF(O45="","",IF(U45="",0,O45*IF(U45&gt;1,U45/100,U45)))</f>
        <v/>
      </c>
      <c r="W45" s="28"/>
      <c r="X45" s="34" t="str">
        <f aca="false">IF(W45="","",IFERROR(VLOOKUP(W45,REPS!$A$2:$D$40,3,0),""))</f>
        <v/>
      </c>
      <c r="Y45" s="31" t="str">
        <f aca="false">IF(O45="","",IF(X45="",0,O45*IF(X45&gt;1,X45/100,X45)))</f>
        <v/>
      </c>
      <c r="Z45" s="28"/>
      <c r="AA45" s="34" t="str">
        <f aca="false">IF(Z45="","",IFERROR(VLOOKUP(Z45,REPS!$A$2:$D$40,4,0),""))</f>
        <v/>
      </c>
      <c r="AB45" s="31" t="str">
        <f aca="false">IF(O45="","",IF(AA45="",0,O45*IF(AA45&gt;1,AA45/100,AA45)))</f>
        <v/>
      </c>
      <c r="AC45" s="31" t="str">
        <f aca="false">IF(O45="","",V45+Y45+AB45)</f>
        <v/>
      </c>
      <c r="AD45" s="19" t="str">
        <f aca="false">IF(O45="","",O45-R45-AC45)</f>
        <v/>
      </c>
      <c r="AE45" s="20"/>
      <c r="AF45" s="27"/>
      <c r="AG45" s="21" t="n">
        <f aca="false">IF(OR(AE45="",AE45=0),0,AE45*IF(U45="",0,IF(U45&gt;1,U45/100,U45)))</f>
        <v>0</v>
      </c>
      <c r="AH45" s="21" t="n">
        <f aca="false">IF(OR(AE45="",AE45=0),0,AE45*IF(X45="",0,IF(X45&gt;1,X45/100,X45)))</f>
        <v>0</v>
      </c>
      <c r="AI45" s="21" t="n">
        <f aca="false">IF(OR(AE45="",AE45=0),0,AE45*IF(AA45="",0,IF(AA45&gt;1,AA45/100,AA45)))</f>
        <v>0</v>
      </c>
      <c r="AJ45" s="21" t="n">
        <f aca="false">AG45+AH45+AI45</f>
        <v>0</v>
      </c>
      <c r="AK45" s="21" t="n">
        <f aca="false">IF(OR(AE45="",AE45=0),0,AE45-AJ45)</f>
        <v>0</v>
      </c>
      <c r="AL45" s="19" t="str">
        <f aca="false">IF(AD45="","",AD45-AK45)</f>
        <v/>
      </c>
      <c r="AM45" s="26" t="str">
        <f aca="false">IF(C45="","","Waiting for payment")</f>
        <v/>
      </c>
      <c r="AN45" s="27"/>
      <c r="AO45" s="27"/>
      <c r="AP45" s="35" t="str">
        <f aca="false">IF(OR(C45="",I45="",K45=""),"",IF(K45="Monthly",EDATE(C45,ROUND(I45*SETTINGS!$I$8,0)),WORKDAY(C45,ROUND(I45*SETTINGS!$I$8,0))))</f>
        <v/>
      </c>
      <c r="AQ45" s="26" t="str">
        <f aca="true">IF(C45="","",IF(AND(AP45&lt;&gt;"",TODAY()&gt;=AP45),"Refi Ready",IF(TODAY()-C45&gt;=SETTINGS!$I$11,"Prospecting","Performing")))</f>
        <v/>
      </c>
      <c r="AR45" s="35" t="str">
        <f aca="false">IF(OR(C45="",I45="",K45=""),"",IF(K45="Monthly",EDATE(C45,I45),WORKDAY(C45,I45)))</f>
        <v/>
      </c>
      <c r="AS45" s="28"/>
      <c r="AT45" s="36" t="str">
        <f aca="true">IF(C45="","",IF(AM45="Clawed Back","CLAWED",IF(TODAY()&lt;=C45+SETTINGS!$I$2,"⚠ AT RISK","SAFE")))</f>
        <v/>
      </c>
      <c r="AU45" s="28"/>
      <c r="AW45" s="24" t="n">
        <f aca="false">AW44+IF(AND(C45&lt;&gt;"",AO45&lt;&gt;"",OR('REP COMMISSION'!$B$3="",T45='REP COMMISSION'!$B$3,W45='REP COMMISSION'!$B$3,Z45='REP COMMISSION'!$B$3)),1,0)</f>
        <v>0</v>
      </c>
      <c r="AX45" s="24" t="n">
        <f aca="false">AX44+IF(AND(C45&lt;&gt;"",OR(F45="LOC - INITIAL",F45="CONSOLIDATION - UPFRONT COMM",F45="REVERSE - TOTAL FUNDING")),1,0)</f>
        <v>0</v>
      </c>
    </row>
    <row r="46" customFormat="false" ht="15" hidden="false" customHeight="false" outlineLevel="0" collapsed="false">
      <c r="A46" s="8" t="str">
        <f aca="false">IF(C46&lt;&gt;"","F"&amp;COUNT($C$4:C46),"")</f>
        <v/>
      </c>
      <c r="B46" s="9" t="str">
        <f aca="false">IF(OR(F46="LOC - INITIAL",F46="CONSOLIDATION - UPFRONT COMM",F46="REVERSE - TOTAL FUNDING"),A46,"")</f>
        <v/>
      </c>
      <c r="C46" s="10"/>
      <c r="D46" s="11"/>
      <c r="E46" s="11"/>
      <c r="F46" s="11"/>
      <c r="G46" s="12"/>
      <c r="H46" s="13"/>
      <c r="I46" s="11"/>
      <c r="J46" s="14" t="str">
        <f aca="false">IF(AND(G46&lt;&gt;"",H46&lt;&gt;""),G46*H46,"")</f>
        <v/>
      </c>
      <c r="K46" s="11"/>
      <c r="L46" s="15"/>
      <c r="M46" s="15"/>
      <c r="N46" s="14" t="n">
        <f aca="false">IF(OR(G46="",M46=""),0,IF(M46&gt;100,M46,G46*IF(M46&gt;1,M46/100,M46)))</f>
        <v>0</v>
      </c>
      <c r="O46" s="14" t="str">
        <f aca="false">IF(G46="","",G46*IF(L46="",0,IF(L46&gt;1,L46/100,L46))+N46)</f>
        <v/>
      </c>
      <c r="P46" s="11"/>
      <c r="Q46" s="16" t="str">
        <f aca="false">IF(P46="","",IFERROR(VLOOKUP(P46,PARTNERS!$A$2:$B$30,2,0),""))</f>
        <v/>
      </c>
      <c r="R46" s="17" t="str">
        <f aca="false">IF(O46="","",IF(OR(P46="",Q46=""),0,(O46-N46)*IF(Q46&gt;1,Q46/100,Q46)))</f>
        <v/>
      </c>
      <c r="S46" s="14" t="str">
        <f aca="false">IF(O46="","",O46-R46)</f>
        <v/>
      </c>
      <c r="T46" s="11"/>
      <c r="U46" s="18" t="str">
        <f aca="false">IF(T46="","",IFERROR(VLOOKUP(T46,REPS!$A$2:$D$40,2,0),""))</f>
        <v/>
      </c>
      <c r="V46" s="14" t="str">
        <f aca="false">IF(O46="","",IF(U46="",0,O46*IF(U46&gt;1,U46/100,U46)))</f>
        <v/>
      </c>
      <c r="W46" s="11"/>
      <c r="X46" s="18" t="str">
        <f aca="false">IF(W46="","",IFERROR(VLOOKUP(W46,REPS!$A$2:$D$40,3,0),""))</f>
        <v/>
      </c>
      <c r="Y46" s="14" t="str">
        <f aca="false">IF(O46="","",IF(X46="",0,O46*IF(X46&gt;1,X46/100,X46)))</f>
        <v/>
      </c>
      <c r="Z46" s="11"/>
      <c r="AA46" s="18" t="str">
        <f aca="false">IF(Z46="","",IFERROR(VLOOKUP(Z46,REPS!$A$2:$D$40,4,0),""))</f>
        <v/>
      </c>
      <c r="AB46" s="14" t="str">
        <f aca="false">IF(O46="","",IF(AA46="",0,O46*IF(AA46&gt;1,AA46/100,AA46)))</f>
        <v/>
      </c>
      <c r="AC46" s="14" t="str">
        <f aca="false">IF(O46="","",V46+Y46+AB46)</f>
        <v/>
      </c>
      <c r="AD46" s="19" t="str">
        <f aca="false">IF(O46="","",O46-R46-AC46)</f>
        <v/>
      </c>
      <c r="AE46" s="20"/>
      <c r="AF46" s="10"/>
      <c r="AG46" s="21" t="n">
        <f aca="false">IF(OR(AE46="",AE46=0),0,AE46*IF(U46="",0,IF(U46&gt;1,U46/100,U46)))</f>
        <v>0</v>
      </c>
      <c r="AH46" s="21" t="n">
        <f aca="false">IF(OR(AE46="",AE46=0),0,AE46*IF(X46="",0,IF(X46&gt;1,X46/100,X46)))</f>
        <v>0</v>
      </c>
      <c r="AI46" s="21" t="n">
        <f aca="false">IF(OR(AE46="",AE46=0),0,AE46*IF(AA46="",0,IF(AA46&gt;1,AA46/100,AA46)))</f>
        <v>0</v>
      </c>
      <c r="AJ46" s="21" t="n">
        <f aca="false">AG46+AH46+AI46</f>
        <v>0</v>
      </c>
      <c r="AK46" s="21" t="n">
        <f aca="false">IF(OR(AE46="",AE46=0),0,AE46-AJ46)</f>
        <v>0</v>
      </c>
      <c r="AL46" s="19" t="str">
        <f aca="false">IF(AD46="","",AD46-AK46)</f>
        <v/>
      </c>
      <c r="AM46" s="9" t="str">
        <f aca="false">IF(C46="","","Waiting for payment")</f>
        <v/>
      </c>
      <c r="AN46" s="10"/>
      <c r="AO46" s="10"/>
      <c r="AP46" s="22" t="str">
        <f aca="false">IF(OR(C46="",I46="",K46=""),"",IF(K46="Monthly",EDATE(C46,ROUND(I46*SETTINGS!$I$8,0)),WORKDAY(C46,ROUND(I46*SETTINGS!$I$8,0))))</f>
        <v/>
      </c>
      <c r="AQ46" s="9" t="str">
        <f aca="true">IF(C46="","",IF(AND(AP46&lt;&gt;"",TODAY()&gt;=AP46),"Refi Ready",IF(TODAY()-C46&gt;=SETTINGS!$I$11,"Prospecting","Performing")))</f>
        <v/>
      </c>
      <c r="AR46" s="22" t="str">
        <f aca="false">IF(OR(C46="",I46="",K46=""),"",IF(K46="Monthly",EDATE(C46,I46),WORKDAY(C46,I46)))</f>
        <v/>
      </c>
      <c r="AS46" s="11"/>
      <c r="AT46" s="23" t="str">
        <f aca="true">IF(C46="","",IF(AM46="Clawed Back","CLAWED",IF(TODAY()&lt;=C46+SETTINGS!$I$2,"⚠ AT RISK","SAFE")))</f>
        <v/>
      </c>
      <c r="AU46" s="11"/>
      <c r="AW46" s="24" t="n">
        <f aca="false">AW45+IF(AND(C46&lt;&gt;"",AO46&lt;&gt;"",OR('REP COMMISSION'!$B$3="",T46='REP COMMISSION'!$B$3,W46='REP COMMISSION'!$B$3,Z46='REP COMMISSION'!$B$3)),1,0)</f>
        <v>0</v>
      </c>
      <c r="AX46" s="24" t="n">
        <f aca="false">AX45+IF(AND(C46&lt;&gt;"",OR(F46="LOC - INITIAL",F46="CONSOLIDATION - UPFRONT COMM",F46="REVERSE - TOTAL FUNDING")),1,0)</f>
        <v>0</v>
      </c>
    </row>
    <row r="47" customFormat="false" ht="15" hidden="false" customHeight="false" outlineLevel="0" collapsed="false">
      <c r="A47" s="25" t="str">
        <f aca="false">IF(C47&lt;&gt;"","F"&amp;COUNT($C$4:C47),"")</f>
        <v/>
      </c>
      <c r="B47" s="26" t="str">
        <f aca="false">IF(OR(F47="LOC - INITIAL",F47="CONSOLIDATION - UPFRONT COMM",F47="REVERSE - TOTAL FUNDING"),A47,"")</f>
        <v/>
      </c>
      <c r="C47" s="27"/>
      <c r="D47" s="28"/>
      <c r="E47" s="28"/>
      <c r="F47" s="28"/>
      <c r="G47" s="29"/>
      <c r="H47" s="30"/>
      <c r="I47" s="28"/>
      <c r="J47" s="31" t="str">
        <f aca="false">IF(AND(G47&lt;&gt;"",H47&lt;&gt;""),G47*H47,"")</f>
        <v/>
      </c>
      <c r="K47" s="28"/>
      <c r="L47" s="32"/>
      <c r="M47" s="32"/>
      <c r="N47" s="31" t="n">
        <f aca="false">IF(OR(G47="",M47=""),0,IF(M47&gt;100,M47,G47*IF(M47&gt;1,M47/100,M47)))</f>
        <v>0</v>
      </c>
      <c r="O47" s="31" t="str">
        <f aca="false">IF(G47="","",G47*IF(L47="",0,IF(L47&gt;1,L47/100,L47))+N47)</f>
        <v/>
      </c>
      <c r="P47" s="28"/>
      <c r="Q47" s="33" t="str">
        <f aca="false">IF(P47="","",IFERROR(VLOOKUP(P47,PARTNERS!$A$2:$B$30,2,0),""))</f>
        <v/>
      </c>
      <c r="R47" s="17" t="str">
        <f aca="false">IF(O47="","",IF(OR(P47="",Q47=""),0,(O47-N47)*IF(Q47&gt;1,Q47/100,Q47)))</f>
        <v/>
      </c>
      <c r="S47" s="31" t="str">
        <f aca="false">IF(O47="","",O47-R47)</f>
        <v/>
      </c>
      <c r="T47" s="28"/>
      <c r="U47" s="34" t="str">
        <f aca="false">IF(T47="","",IFERROR(VLOOKUP(T47,REPS!$A$2:$D$40,2,0),""))</f>
        <v/>
      </c>
      <c r="V47" s="31" t="str">
        <f aca="false">IF(O47="","",IF(U47="",0,O47*IF(U47&gt;1,U47/100,U47)))</f>
        <v/>
      </c>
      <c r="W47" s="28"/>
      <c r="X47" s="34" t="str">
        <f aca="false">IF(W47="","",IFERROR(VLOOKUP(W47,REPS!$A$2:$D$40,3,0),""))</f>
        <v/>
      </c>
      <c r="Y47" s="31" t="str">
        <f aca="false">IF(O47="","",IF(X47="",0,O47*IF(X47&gt;1,X47/100,X47)))</f>
        <v/>
      </c>
      <c r="Z47" s="28"/>
      <c r="AA47" s="34" t="str">
        <f aca="false">IF(Z47="","",IFERROR(VLOOKUP(Z47,REPS!$A$2:$D$40,4,0),""))</f>
        <v/>
      </c>
      <c r="AB47" s="31" t="str">
        <f aca="false">IF(O47="","",IF(AA47="",0,O47*IF(AA47&gt;1,AA47/100,AA47)))</f>
        <v/>
      </c>
      <c r="AC47" s="31" t="str">
        <f aca="false">IF(O47="","",V47+Y47+AB47)</f>
        <v/>
      </c>
      <c r="AD47" s="19" t="str">
        <f aca="false">IF(O47="","",O47-R47-AC47)</f>
        <v/>
      </c>
      <c r="AE47" s="20"/>
      <c r="AF47" s="27"/>
      <c r="AG47" s="21" t="n">
        <f aca="false">IF(OR(AE47="",AE47=0),0,AE47*IF(U47="",0,IF(U47&gt;1,U47/100,U47)))</f>
        <v>0</v>
      </c>
      <c r="AH47" s="21" t="n">
        <f aca="false">IF(OR(AE47="",AE47=0),0,AE47*IF(X47="",0,IF(X47&gt;1,X47/100,X47)))</f>
        <v>0</v>
      </c>
      <c r="AI47" s="21" t="n">
        <f aca="false">IF(OR(AE47="",AE47=0),0,AE47*IF(AA47="",0,IF(AA47&gt;1,AA47/100,AA47)))</f>
        <v>0</v>
      </c>
      <c r="AJ47" s="21" t="n">
        <f aca="false">AG47+AH47+AI47</f>
        <v>0</v>
      </c>
      <c r="AK47" s="21" t="n">
        <f aca="false">IF(OR(AE47="",AE47=0),0,AE47-AJ47)</f>
        <v>0</v>
      </c>
      <c r="AL47" s="19" t="str">
        <f aca="false">IF(AD47="","",AD47-AK47)</f>
        <v/>
      </c>
      <c r="AM47" s="26" t="str">
        <f aca="false">IF(C47="","","Waiting for payment")</f>
        <v/>
      </c>
      <c r="AN47" s="27"/>
      <c r="AO47" s="27"/>
      <c r="AP47" s="35" t="str">
        <f aca="false">IF(OR(C47="",I47="",K47=""),"",IF(K47="Monthly",EDATE(C47,ROUND(I47*SETTINGS!$I$8,0)),WORKDAY(C47,ROUND(I47*SETTINGS!$I$8,0))))</f>
        <v/>
      </c>
      <c r="AQ47" s="26" t="str">
        <f aca="true">IF(C47="","",IF(AND(AP47&lt;&gt;"",TODAY()&gt;=AP47),"Refi Ready",IF(TODAY()-C47&gt;=SETTINGS!$I$11,"Prospecting","Performing")))</f>
        <v/>
      </c>
      <c r="AR47" s="35" t="str">
        <f aca="false">IF(OR(C47="",I47="",K47=""),"",IF(K47="Monthly",EDATE(C47,I47),WORKDAY(C47,I47)))</f>
        <v/>
      </c>
      <c r="AS47" s="28"/>
      <c r="AT47" s="36" t="str">
        <f aca="true">IF(C47="","",IF(AM47="Clawed Back","CLAWED",IF(TODAY()&lt;=C47+SETTINGS!$I$2,"⚠ AT RISK","SAFE")))</f>
        <v/>
      </c>
      <c r="AU47" s="28"/>
      <c r="AW47" s="24" t="n">
        <f aca="false">AW46+IF(AND(C47&lt;&gt;"",AO47&lt;&gt;"",OR('REP COMMISSION'!$B$3="",T47='REP COMMISSION'!$B$3,W47='REP COMMISSION'!$B$3,Z47='REP COMMISSION'!$B$3)),1,0)</f>
        <v>0</v>
      </c>
      <c r="AX47" s="24" t="n">
        <f aca="false">AX46+IF(AND(C47&lt;&gt;"",OR(F47="LOC - INITIAL",F47="CONSOLIDATION - UPFRONT COMM",F47="REVERSE - TOTAL FUNDING")),1,0)</f>
        <v>0</v>
      </c>
    </row>
    <row r="48" customFormat="false" ht="15" hidden="false" customHeight="false" outlineLevel="0" collapsed="false">
      <c r="A48" s="8" t="str">
        <f aca="false">IF(C48&lt;&gt;"","F"&amp;COUNT($C$4:C48),"")</f>
        <v/>
      </c>
      <c r="B48" s="9" t="str">
        <f aca="false">IF(OR(F48="LOC - INITIAL",F48="CONSOLIDATION - UPFRONT COMM",F48="REVERSE - TOTAL FUNDING"),A48,"")</f>
        <v/>
      </c>
      <c r="C48" s="10"/>
      <c r="D48" s="11"/>
      <c r="E48" s="11"/>
      <c r="F48" s="11"/>
      <c r="G48" s="12"/>
      <c r="H48" s="13"/>
      <c r="I48" s="11"/>
      <c r="J48" s="14" t="str">
        <f aca="false">IF(AND(G48&lt;&gt;"",H48&lt;&gt;""),G48*H48,"")</f>
        <v/>
      </c>
      <c r="K48" s="11"/>
      <c r="L48" s="15"/>
      <c r="M48" s="15"/>
      <c r="N48" s="14" t="n">
        <f aca="false">IF(OR(G48="",M48=""),0,IF(M48&gt;100,M48,G48*IF(M48&gt;1,M48/100,M48)))</f>
        <v>0</v>
      </c>
      <c r="O48" s="14" t="str">
        <f aca="false">IF(G48="","",G48*IF(L48="",0,IF(L48&gt;1,L48/100,L48))+N48)</f>
        <v/>
      </c>
      <c r="P48" s="11"/>
      <c r="Q48" s="16" t="str">
        <f aca="false">IF(P48="","",IFERROR(VLOOKUP(P48,PARTNERS!$A$2:$B$30,2,0),""))</f>
        <v/>
      </c>
      <c r="R48" s="17" t="str">
        <f aca="false">IF(O48="","",IF(OR(P48="",Q48=""),0,(O48-N48)*IF(Q48&gt;1,Q48/100,Q48)))</f>
        <v/>
      </c>
      <c r="S48" s="14" t="str">
        <f aca="false">IF(O48="","",O48-R48)</f>
        <v/>
      </c>
      <c r="T48" s="11"/>
      <c r="U48" s="18" t="str">
        <f aca="false">IF(T48="","",IFERROR(VLOOKUP(T48,REPS!$A$2:$D$40,2,0),""))</f>
        <v/>
      </c>
      <c r="V48" s="14" t="str">
        <f aca="false">IF(O48="","",IF(U48="",0,O48*IF(U48&gt;1,U48/100,U48)))</f>
        <v/>
      </c>
      <c r="W48" s="11"/>
      <c r="X48" s="18" t="str">
        <f aca="false">IF(W48="","",IFERROR(VLOOKUP(W48,REPS!$A$2:$D$40,3,0),""))</f>
        <v/>
      </c>
      <c r="Y48" s="14" t="str">
        <f aca="false">IF(O48="","",IF(X48="",0,O48*IF(X48&gt;1,X48/100,X48)))</f>
        <v/>
      </c>
      <c r="Z48" s="11"/>
      <c r="AA48" s="18" t="str">
        <f aca="false">IF(Z48="","",IFERROR(VLOOKUP(Z48,REPS!$A$2:$D$40,4,0),""))</f>
        <v/>
      </c>
      <c r="AB48" s="14" t="str">
        <f aca="false">IF(O48="","",IF(AA48="",0,O48*IF(AA48&gt;1,AA48/100,AA48)))</f>
        <v/>
      </c>
      <c r="AC48" s="14" t="str">
        <f aca="false">IF(O48="","",V48+Y48+AB48)</f>
        <v/>
      </c>
      <c r="AD48" s="19" t="str">
        <f aca="false">IF(O48="","",O48-R48-AC48)</f>
        <v/>
      </c>
      <c r="AE48" s="20"/>
      <c r="AF48" s="10"/>
      <c r="AG48" s="21" t="n">
        <f aca="false">IF(OR(AE48="",AE48=0),0,AE48*IF(U48="",0,IF(U48&gt;1,U48/100,U48)))</f>
        <v>0</v>
      </c>
      <c r="AH48" s="21" t="n">
        <f aca="false">IF(OR(AE48="",AE48=0),0,AE48*IF(X48="",0,IF(X48&gt;1,X48/100,X48)))</f>
        <v>0</v>
      </c>
      <c r="AI48" s="21" t="n">
        <f aca="false">IF(OR(AE48="",AE48=0),0,AE48*IF(AA48="",0,IF(AA48&gt;1,AA48/100,AA48)))</f>
        <v>0</v>
      </c>
      <c r="AJ48" s="21" t="n">
        <f aca="false">AG48+AH48+AI48</f>
        <v>0</v>
      </c>
      <c r="AK48" s="21" t="n">
        <f aca="false">IF(OR(AE48="",AE48=0),0,AE48-AJ48)</f>
        <v>0</v>
      </c>
      <c r="AL48" s="19" t="str">
        <f aca="false">IF(AD48="","",AD48-AK48)</f>
        <v/>
      </c>
      <c r="AM48" s="9" t="str">
        <f aca="false">IF(C48="","","Waiting for payment")</f>
        <v/>
      </c>
      <c r="AN48" s="10"/>
      <c r="AO48" s="10"/>
      <c r="AP48" s="22" t="str">
        <f aca="false">IF(OR(C48="",I48="",K48=""),"",IF(K48="Monthly",EDATE(C48,ROUND(I48*SETTINGS!$I$8,0)),WORKDAY(C48,ROUND(I48*SETTINGS!$I$8,0))))</f>
        <v/>
      </c>
      <c r="AQ48" s="9" t="str">
        <f aca="true">IF(C48="","",IF(AND(AP48&lt;&gt;"",TODAY()&gt;=AP48),"Refi Ready",IF(TODAY()-C48&gt;=SETTINGS!$I$11,"Prospecting","Performing")))</f>
        <v/>
      </c>
      <c r="AR48" s="22" t="str">
        <f aca="false">IF(OR(C48="",I48="",K48=""),"",IF(K48="Monthly",EDATE(C48,I48),WORKDAY(C48,I48)))</f>
        <v/>
      </c>
      <c r="AS48" s="11"/>
      <c r="AT48" s="23" t="str">
        <f aca="true">IF(C48="","",IF(AM48="Clawed Back","CLAWED",IF(TODAY()&lt;=C48+SETTINGS!$I$2,"⚠ AT RISK","SAFE")))</f>
        <v/>
      </c>
      <c r="AU48" s="11"/>
      <c r="AW48" s="24" t="n">
        <f aca="false">AW47+IF(AND(C48&lt;&gt;"",AO48&lt;&gt;"",OR('REP COMMISSION'!$B$3="",T48='REP COMMISSION'!$B$3,W48='REP COMMISSION'!$B$3,Z48='REP COMMISSION'!$B$3)),1,0)</f>
        <v>0</v>
      </c>
      <c r="AX48" s="24" t="n">
        <f aca="false">AX47+IF(AND(C48&lt;&gt;"",OR(F48="LOC - INITIAL",F48="CONSOLIDATION - UPFRONT COMM",F48="REVERSE - TOTAL FUNDING")),1,0)</f>
        <v>0</v>
      </c>
    </row>
    <row r="49" customFormat="false" ht="15" hidden="false" customHeight="false" outlineLevel="0" collapsed="false">
      <c r="A49" s="25" t="str">
        <f aca="false">IF(C49&lt;&gt;"","F"&amp;COUNT($C$4:C49),"")</f>
        <v/>
      </c>
      <c r="B49" s="26" t="str">
        <f aca="false">IF(OR(F49="LOC - INITIAL",F49="CONSOLIDATION - UPFRONT COMM",F49="REVERSE - TOTAL FUNDING"),A49,"")</f>
        <v/>
      </c>
      <c r="C49" s="27"/>
      <c r="D49" s="28"/>
      <c r="E49" s="28"/>
      <c r="F49" s="28"/>
      <c r="G49" s="29"/>
      <c r="H49" s="30"/>
      <c r="I49" s="28"/>
      <c r="J49" s="31" t="str">
        <f aca="false">IF(AND(G49&lt;&gt;"",H49&lt;&gt;""),G49*H49,"")</f>
        <v/>
      </c>
      <c r="K49" s="28"/>
      <c r="L49" s="32"/>
      <c r="M49" s="32"/>
      <c r="N49" s="31" t="n">
        <f aca="false">IF(OR(G49="",M49=""),0,IF(M49&gt;100,M49,G49*IF(M49&gt;1,M49/100,M49)))</f>
        <v>0</v>
      </c>
      <c r="O49" s="31" t="str">
        <f aca="false">IF(G49="","",G49*IF(L49="",0,IF(L49&gt;1,L49/100,L49))+N49)</f>
        <v/>
      </c>
      <c r="P49" s="28"/>
      <c r="Q49" s="33" t="str">
        <f aca="false">IF(P49="","",IFERROR(VLOOKUP(P49,PARTNERS!$A$2:$B$30,2,0),""))</f>
        <v/>
      </c>
      <c r="R49" s="17" t="str">
        <f aca="false">IF(O49="","",IF(OR(P49="",Q49=""),0,(O49-N49)*IF(Q49&gt;1,Q49/100,Q49)))</f>
        <v/>
      </c>
      <c r="S49" s="31" t="str">
        <f aca="false">IF(O49="","",O49-R49)</f>
        <v/>
      </c>
      <c r="T49" s="28"/>
      <c r="U49" s="34" t="str">
        <f aca="false">IF(T49="","",IFERROR(VLOOKUP(T49,REPS!$A$2:$D$40,2,0),""))</f>
        <v/>
      </c>
      <c r="V49" s="31" t="str">
        <f aca="false">IF(O49="","",IF(U49="",0,O49*IF(U49&gt;1,U49/100,U49)))</f>
        <v/>
      </c>
      <c r="W49" s="28"/>
      <c r="X49" s="34" t="str">
        <f aca="false">IF(W49="","",IFERROR(VLOOKUP(W49,REPS!$A$2:$D$40,3,0),""))</f>
        <v/>
      </c>
      <c r="Y49" s="31" t="str">
        <f aca="false">IF(O49="","",IF(X49="",0,O49*IF(X49&gt;1,X49/100,X49)))</f>
        <v/>
      </c>
      <c r="Z49" s="28"/>
      <c r="AA49" s="34" t="str">
        <f aca="false">IF(Z49="","",IFERROR(VLOOKUP(Z49,REPS!$A$2:$D$40,4,0),""))</f>
        <v/>
      </c>
      <c r="AB49" s="31" t="str">
        <f aca="false">IF(O49="","",IF(AA49="",0,O49*IF(AA49&gt;1,AA49/100,AA49)))</f>
        <v/>
      </c>
      <c r="AC49" s="31" t="str">
        <f aca="false">IF(O49="","",V49+Y49+AB49)</f>
        <v/>
      </c>
      <c r="AD49" s="19" t="str">
        <f aca="false">IF(O49="","",O49-R49-AC49)</f>
        <v/>
      </c>
      <c r="AE49" s="20"/>
      <c r="AF49" s="27"/>
      <c r="AG49" s="21" t="n">
        <f aca="false">IF(OR(AE49="",AE49=0),0,AE49*IF(U49="",0,IF(U49&gt;1,U49/100,U49)))</f>
        <v>0</v>
      </c>
      <c r="AH49" s="21" t="n">
        <f aca="false">IF(OR(AE49="",AE49=0),0,AE49*IF(X49="",0,IF(X49&gt;1,X49/100,X49)))</f>
        <v>0</v>
      </c>
      <c r="AI49" s="21" t="n">
        <f aca="false">IF(OR(AE49="",AE49=0),0,AE49*IF(AA49="",0,IF(AA49&gt;1,AA49/100,AA49)))</f>
        <v>0</v>
      </c>
      <c r="AJ49" s="21" t="n">
        <f aca="false">AG49+AH49+AI49</f>
        <v>0</v>
      </c>
      <c r="AK49" s="21" t="n">
        <f aca="false">IF(OR(AE49="",AE49=0),0,AE49-AJ49)</f>
        <v>0</v>
      </c>
      <c r="AL49" s="19" t="str">
        <f aca="false">IF(AD49="","",AD49-AK49)</f>
        <v/>
      </c>
      <c r="AM49" s="26" t="str">
        <f aca="false">IF(C49="","","Waiting for payment")</f>
        <v/>
      </c>
      <c r="AN49" s="27"/>
      <c r="AO49" s="27"/>
      <c r="AP49" s="35" t="str">
        <f aca="false">IF(OR(C49="",I49="",K49=""),"",IF(K49="Monthly",EDATE(C49,ROUND(I49*SETTINGS!$I$8,0)),WORKDAY(C49,ROUND(I49*SETTINGS!$I$8,0))))</f>
        <v/>
      </c>
      <c r="AQ49" s="26" t="str">
        <f aca="true">IF(C49="","",IF(AND(AP49&lt;&gt;"",TODAY()&gt;=AP49),"Refi Ready",IF(TODAY()-C49&gt;=SETTINGS!$I$11,"Prospecting","Performing")))</f>
        <v/>
      </c>
      <c r="AR49" s="35" t="str">
        <f aca="false">IF(OR(C49="",I49="",K49=""),"",IF(K49="Monthly",EDATE(C49,I49),WORKDAY(C49,I49)))</f>
        <v/>
      </c>
      <c r="AS49" s="28"/>
      <c r="AT49" s="36" t="str">
        <f aca="true">IF(C49="","",IF(AM49="Clawed Back","CLAWED",IF(TODAY()&lt;=C49+SETTINGS!$I$2,"⚠ AT RISK","SAFE")))</f>
        <v/>
      </c>
      <c r="AU49" s="28"/>
      <c r="AW49" s="24" t="n">
        <f aca="false">AW48+IF(AND(C49&lt;&gt;"",AO49&lt;&gt;"",OR('REP COMMISSION'!$B$3="",T49='REP COMMISSION'!$B$3,W49='REP COMMISSION'!$B$3,Z49='REP COMMISSION'!$B$3)),1,0)</f>
        <v>0</v>
      </c>
      <c r="AX49" s="24" t="n">
        <f aca="false">AX48+IF(AND(C49&lt;&gt;"",OR(F49="LOC - INITIAL",F49="CONSOLIDATION - UPFRONT COMM",F49="REVERSE - TOTAL FUNDING")),1,0)</f>
        <v>0</v>
      </c>
    </row>
    <row r="50" customFormat="false" ht="15" hidden="false" customHeight="false" outlineLevel="0" collapsed="false">
      <c r="A50" s="8" t="str">
        <f aca="false">IF(C50&lt;&gt;"","F"&amp;COUNT($C$4:C50),"")</f>
        <v/>
      </c>
      <c r="B50" s="9" t="str">
        <f aca="false">IF(OR(F50="LOC - INITIAL",F50="CONSOLIDATION - UPFRONT COMM",F50="REVERSE - TOTAL FUNDING"),A50,"")</f>
        <v/>
      </c>
      <c r="C50" s="10"/>
      <c r="D50" s="11"/>
      <c r="E50" s="11"/>
      <c r="F50" s="11"/>
      <c r="G50" s="12"/>
      <c r="H50" s="13"/>
      <c r="I50" s="11"/>
      <c r="J50" s="14" t="str">
        <f aca="false">IF(AND(G50&lt;&gt;"",H50&lt;&gt;""),G50*H50,"")</f>
        <v/>
      </c>
      <c r="K50" s="11"/>
      <c r="L50" s="15"/>
      <c r="M50" s="15"/>
      <c r="N50" s="14" t="n">
        <f aca="false">IF(OR(G50="",M50=""),0,IF(M50&gt;100,M50,G50*IF(M50&gt;1,M50/100,M50)))</f>
        <v>0</v>
      </c>
      <c r="O50" s="14" t="str">
        <f aca="false">IF(G50="","",G50*IF(L50="",0,IF(L50&gt;1,L50/100,L50))+N50)</f>
        <v/>
      </c>
      <c r="P50" s="11"/>
      <c r="Q50" s="16" t="str">
        <f aca="false">IF(P50="","",IFERROR(VLOOKUP(P50,PARTNERS!$A$2:$B$30,2,0),""))</f>
        <v/>
      </c>
      <c r="R50" s="17" t="str">
        <f aca="false">IF(O50="","",IF(OR(P50="",Q50=""),0,(O50-N50)*IF(Q50&gt;1,Q50/100,Q50)))</f>
        <v/>
      </c>
      <c r="S50" s="14" t="str">
        <f aca="false">IF(O50="","",O50-R50)</f>
        <v/>
      </c>
      <c r="T50" s="11"/>
      <c r="U50" s="18" t="str">
        <f aca="false">IF(T50="","",IFERROR(VLOOKUP(T50,REPS!$A$2:$D$40,2,0),""))</f>
        <v/>
      </c>
      <c r="V50" s="14" t="str">
        <f aca="false">IF(O50="","",IF(U50="",0,O50*IF(U50&gt;1,U50/100,U50)))</f>
        <v/>
      </c>
      <c r="W50" s="11"/>
      <c r="X50" s="18" t="str">
        <f aca="false">IF(W50="","",IFERROR(VLOOKUP(W50,REPS!$A$2:$D$40,3,0),""))</f>
        <v/>
      </c>
      <c r="Y50" s="14" t="str">
        <f aca="false">IF(O50="","",IF(X50="",0,O50*IF(X50&gt;1,X50/100,X50)))</f>
        <v/>
      </c>
      <c r="Z50" s="11"/>
      <c r="AA50" s="18" t="str">
        <f aca="false">IF(Z50="","",IFERROR(VLOOKUP(Z50,REPS!$A$2:$D$40,4,0),""))</f>
        <v/>
      </c>
      <c r="AB50" s="14" t="str">
        <f aca="false">IF(O50="","",IF(AA50="",0,O50*IF(AA50&gt;1,AA50/100,AA50)))</f>
        <v/>
      </c>
      <c r="AC50" s="14" t="str">
        <f aca="false">IF(O50="","",V50+Y50+AB50)</f>
        <v/>
      </c>
      <c r="AD50" s="19" t="str">
        <f aca="false">IF(O50="","",O50-R50-AC50)</f>
        <v/>
      </c>
      <c r="AE50" s="20"/>
      <c r="AF50" s="10"/>
      <c r="AG50" s="21" t="n">
        <f aca="false">IF(OR(AE50="",AE50=0),0,AE50*IF(U50="",0,IF(U50&gt;1,U50/100,U50)))</f>
        <v>0</v>
      </c>
      <c r="AH50" s="21" t="n">
        <f aca="false">IF(OR(AE50="",AE50=0),0,AE50*IF(X50="",0,IF(X50&gt;1,X50/100,X50)))</f>
        <v>0</v>
      </c>
      <c r="AI50" s="21" t="n">
        <f aca="false">IF(OR(AE50="",AE50=0),0,AE50*IF(AA50="",0,IF(AA50&gt;1,AA50/100,AA50)))</f>
        <v>0</v>
      </c>
      <c r="AJ50" s="21" t="n">
        <f aca="false">AG50+AH50+AI50</f>
        <v>0</v>
      </c>
      <c r="AK50" s="21" t="n">
        <f aca="false">IF(OR(AE50="",AE50=0),0,AE50-AJ50)</f>
        <v>0</v>
      </c>
      <c r="AL50" s="19" t="str">
        <f aca="false">IF(AD50="","",AD50-AK50)</f>
        <v/>
      </c>
      <c r="AM50" s="9" t="str">
        <f aca="false">IF(C50="","","Waiting for payment")</f>
        <v/>
      </c>
      <c r="AN50" s="10"/>
      <c r="AO50" s="10"/>
      <c r="AP50" s="22" t="str">
        <f aca="false">IF(OR(C50="",I50="",K50=""),"",IF(K50="Monthly",EDATE(C50,ROUND(I50*SETTINGS!$I$8,0)),WORKDAY(C50,ROUND(I50*SETTINGS!$I$8,0))))</f>
        <v/>
      </c>
      <c r="AQ50" s="9" t="str">
        <f aca="true">IF(C50="","",IF(AND(AP50&lt;&gt;"",TODAY()&gt;=AP50),"Refi Ready",IF(TODAY()-C50&gt;=SETTINGS!$I$11,"Prospecting","Performing")))</f>
        <v/>
      </c>
      <c r="AR50" s="22" t="str">
        <f aca="false">IF(OR(C50="",I50="",K50=""),"",IF(K50="Monthly",EDATE(C50,I50),WORKDAY(C50,I50)))</f>
        <v/>
      </c>
      <c r="AS50" s="11"/>
      <c r="AT50" s="23" t="str">
        <f aca="true">IF(C50="","",IF(AM50="Clawed Back","CLAWED",IF(TODAY()&lt;=C50+SETTINGS!$I$2,"⚠ AT RISK","SAFE")))</f>
        <v/>
      </c>
      <c r="AU50" s="11"/>
      <c r="AW50" s="24" t="n">
        <f aca="false">AW49+IF(AND(C50&lt;&gt;"",AO50&lt;&gt;"",OR('REP COMMISSION'!$B$3="",T50='REP COMMISSION'!$B$3,W50='REP COMMISSION'!$B$3,Z50='REP COMMISSION'!$B$3)),1,0)</f>
        <v>0</v>
      </c>
      <c r="AX50" s="24" t="n">
        <f aca="false">AX49+IF(AND(C50&lt;&gt;"",OR(F50="LOC - INITIAL",F50="CONSOLIDATION - UPFRONT COMM",F50="REVERSE - TOTAL FUNDING")),1,0)</f>
        <v>0</v>
      </c>
    </row>
    <row r="51" customFormat="false" ht="15" hidden="false" customHeight="false" outlineLevel="0" collapsed="false">
      <c r="A51" s="25" t="str">
        <f aca="false">IF(C51&lt;&gt;"","F"&amp;COUNT($C$4:C51),"")</f>
        <v/>
      </c>
      <c r="B51" s="26" t="str">
        <f aca="false">IF(OR(F51="LOC - INITIAL",F51="CONSOLIDATION - UPFRONT COMM",F51="REVERSE - TOTAL FUNDING"),A51,"")</f>
        <v/>
      </c>
      <c r="C51" s="27"/>
      <c r="D51" s="28"/>
      <c r="E51" s="28"/>
      <c r="F51" s="28"/>
      <c r="G51" s="29"/>
      <c r="H51" s="30"/>
      <c r="I51" s="28"/>
      <c r="J51" s="31" t="str">
        <f aca="false">IF(AND(G51&lt;&gt;"",H51&lt;&gt;""),G51*H51,"")</f>
        <v/>
      </c>
      <c r="K51" s="28"/>
      <c r="L51" s="32"/>
      <c r="M51" s="32"/>
      <c r="N51" s="31" t="n">
        <f aca="false">IF(OR(G51="",M51=""),0,IF(M51&gt;100,M51,G51*IF(M51&gt;1,M51/100,M51)))</f>
        <v>0</v>
      </c>
      <c r="O51" s="31" t="str">
        <f aca="false">IF(G51="","",G51*IF(L51="",0,IF(L51&gt;1,L51/100,L51))+N51)</f>
        <v/>
      </c>
      <c r="P51" s="28"/>
      <c r="Q51" s="33" t="str">
        <f aca="false">IF(P51="","",IFERROR(VLOOKUP(P51,PARTNERS!$A$2:$B$30,2,0),""))</f>
        <v/>
      </c>
      <c r="R51" s="17" t="str">
        <f aca="false">IF(O51="","",IF(OR(P51="",Q51=""),0,(O51-N51)*IF(Q51&gt;1,Q51/100,Q51)))</f>
        <v/>
      </c>
      <c r="S51" s="31" t="str">
        <f aca="false">IF(O51="","",O51-R51)</f>
        <v/>
      </c>
      <c r="T51" s="28"/>
      <c r="U51" s="34" t="str">
        <f aca="false">IF(T51="","",IFERROR(VLOOKUP(T51,REPS!$A$2:$D$40,2,0),""))</f>
        <v/>
      </c>
      <c r="V51" s="31" t="str">
        <f aca="false">IF(O51="","",IF(U51="",0,O51*IF(U51&gt;1,U51/100,U51)))</f>
        <v/>
      </c>
      <c r="W51" s="28"/>
      <c r="X51" s="34" t="str">
        <f aca="false">IF(W51="","",IFERROR(VLOOKUP(W51,REPS!$A$2:$D$40,3,0),""))</f>
        <v/>
      </c>
      <c r="Y51" s="31" t="str">
        <f aca="false">IF(O51="","",IF(X51="",0,O51*IF(X51&gt;1,X51/100,X51)))</f>
        <v/>
      </c>
      <c r="Z51" s="28"/>
      <c r="AA51" s="34" t="str">
        <f aca="false">IF(Z51="","",IFERROR(VLOOKUP(Z51,REPS!$A$2:$D$40,4,0),""))</f>
        <v/>
      </c>
      <c r="AB51" s="31" t="str">
        <f aca="false">IF(O51="","",IF(AA51="",0,O51*IF(AA51&gt;1,AA51/100,AA51)))</f>
        <v/>
      </c>
      <c r="AC51" s="31" t="str">
        <f aca="false">IF(O51="","",V51+Y51+AB51)</f>
        <v/>
      </c>
      <c r="AD51" s="19" t="str">
        <f aca="false">IF(O51="","",O51-R51-AC51)</f>
        <v/>
      </c>
      <c r="AE51" s="20"/>
      <c r="AF51" s="27"/>
      <c r="AG51" s="21" t="n">
        <f aca="false">IF(OR(AE51="",AE51=0),0,AE51*IF(U51="",0,IF(U51&gt;1,U51/100,U51)))</f>
        <v>0</v>
      </c>
      <c r="AH51" s="21" t="n">
        <f aca="false">IF(OR(AE51="",AE51=0),0,AE51*IF(X51="",0,IF(X51&gt;1,X51/100,X51)))</f>
        <v>0</v>
      </c>
      <c r="AI51" s="21" t="n">
        <f aca="false">IF(OR(AE51="",AE51=0),0,AE51*IF(AA51="",0,IF(AA51&gt;1,AA51/100,AA51)))</f>
        <v>0</v>
      </c>
      <c r="AJ51" s="21" t="n">
        <f aca="false">AG51+AH51+AI51</f>
        <v>0</v>
      </c>
      <c r="AK51" s="21" t="n">
        <f aca="false">IF(OR(AE51="",AE51=0),0,AE51-AJ51)</f>
        <v>0</v>
      </c>
      <c r="AL51" s="19" t="str">
        <f aca="false">IF(AD51="","",AD51-AK51)</f>
        <v/>
      </c>
      <c r="AM51" s="26" t="str">
        <f aca="false">IF(C51="","","Waiting for payment")</f>
        <v/>
      </c>
      <c r="AN51" s="27"/>
      <c r="AO51" s="27"/>
      <c r="AP51" s="35" t="str">
        <f aca="false">IF(OR(C51="",I51="",K51=""),"",IF(K51="Monthly",EDATE(C51,ROUND(I51*SETTINGS!$I$8,0)),WORKDAY(C51,ROUND(I51*SETTINGS!$I$8,0))))</f>
        <v/>
      </c>
      <c r="AQ51" s="26" t="str">
        <f aca="true">IF(C51="","",IF(AND(AP51&lt;&gt;"",TODAY()&gt;=AP51),"Refi Ready",IF(TODAY()-C51&gt;=SETTINGS!$I$11,"Prospecting","Performing")))</f>
        <v/>
      </c>
      <c r="AR51" s="35" t="str">
        <f aca="false">IF(OR(C51="",I51="",K51=""),"",IF(K51="Monthly",EDATE(C51,I51),WORKDAY(C51,I51)))</f>
        <v/>
      </c>
      <c r="AS51" s="28"/>
      <c r="AT51" s="36" t="str">
        <f aca="true">IF(C51="","",IF(AM51="Clawed Back","CLAWED",IF(TODAY()&lt;=C51+SETTINGS!$I$2,"⚠ AT RISK","SAFE")))</f>
        <v/>
      </c>
      <c r="AU51" s="28"/>
      <c r="AW51" s="24" t="n">
        <f aca="false">AW50+IF(AND(C51&lt;&gt;"",AO51&lt;&gt;"",OR('REP COMMISSION'!$B$3="",T51='REP COMMISSION'!$B$3,W51='REP COMMISSION'!$B$3,Z51='REP COMMISSION'!$B$3)),1,0)</f>
        <v>0</v>
      </c>
      <c r="AX51" s="24" t="n">
        <f aca="false">AX50+IF(AND(C51&lt;&gt;"",OR(F51="LOC - INITIAL",F51="CONSOLIDATION - UPFRONT COMM",F51="REVERSE - TOTAL FUNDING")),1,0)</f>
        <v>0</v>
      </c>
    </row>
    <row r="52" customFormat="false" ht="15" hidden="false" customHeight="false" outlineLevel="0" collapsed="false">
      <c r="A52" s="8" t="str">
        <f aca="false">IF(C52&lt;&gt;"","F"&amp;COUNT($C$4:C52),"")</f>
        <v/>
      </c>
      <c r="B52" s="9" t="str">
        <f aca="false">IF(OR(F52="LOC - INITIAL",F52="CONSOLIDATION - UPFRONT COMM",F52="REVERSE - TOTAL FUNDING"),A52,"")</f>
        <v/>
      </c>
      <c r="C52" s="10"/>
      <c r="D52" s="11"/>
      <c r="E52" s="11"/>
      <c r="F52" s="11"/>
      <c r="G52" s="12"/>
      <c r="H52" s="13"/>
      <c r="I52" s="11"/>
      <c r="J52" s="14" t="str">
        <f aca="false">IF(AND(G52&lt;&gt;"",H52&lt;&gt;""),G52*H52,"")</f>
        <v/>
      </c>
      <c r="K52" s="11"/>
      <c r="L52" s="15"/>
      <c r="M52" s="15"/>
      <c r="N52" s="14" t="n">
        <f aca="false">IF(OR(G52="",M52=""),0,IF(M52&gt;100,M52,G52*IF(M52&gt;1,M52/100,M52)))</f>
        <v>0</v>
      </c>
      <c r="O52" s="14" t="str">
        <f aca="false">IF(G52="","",G52*IF(L52="",0,IF(L52&gt;1,L52/100,L52))+N52)</f>
        <v/>
      </c>
      <c r="P52" s="11"/>
      <c r="Q52" s="16" t="str">
        <f aca="false">IF(P52="","",IFERROR(VLOOKUP(P52,PARTNERS!$A$2:$B$30,2,0),""))</f>
        <v/>
      </c>
      <c r="R52" s="17" t="str">
        <f aca="false">IF(O52="","",IF(OR(P52="",Q52=""),0,(O52-N52)*IF(Q52&gt;1,Q52/100,Q52)))</f>
        <v/>
      </c>
      <c r="S52" s="14" t="str">
        <f aca="false">IF(O52="","",O52-R52)</f>
        <v/>
      </c>
      <c r="T52" s="11"/>
      <c r="U52" s="18" t="str">
        <f aca="false">IF(T52="","",IFERROR(VLOOKUP(T52,REPS!$A$2:$D$40,2,0),""))</f>
        <v/>
      </c>
      <c r="V52" s="14" t="str">
        <f aca="false">IF(O52="","",IF(U52="",0,O52*IF(U52&gt;1,U52/100,U52)))</f>
        <v/>
      </c>
      <c r="W52" s="11"/>
      <c r="X52" s="18" t="str">
        <f aca="false">IF(W52="","",IFERROR(VLOOKUP(W52,REPS!$A$2:$D$40,3,0),""))</f>
        <v/>
      </c>
      <c r="Y52" s="14" t="str">
        <f aca="false">IF(O52="","",IF(X52="",0,O52*IF(X52&gt;1,X52/100,X52)))</f>
        <v/>
      </c>
      <c r="Z52" s="11"/>
      <c r="AA52" s="18" t="str">
        <f aca="false">IF(Z52="","",IFERROR(VLOOKUP(Z52,REPS!$A$2:$D$40,4,0),""))</f>
        <v/>
      </c>
      <c r="AB52" s="14" t="str">
        <f aca="false">IF(O52="","",IF(AA52="",0,O52*IF(AA52&gt;1,AA52/100,AA52)))</f>
        <v/>
      </c>
      <c r="AC52" s="14" t="str">
        <f aca="false">IF(O52="","",V52+Y52+AB52)</f>
        <v/>
      </c>
      <c r="AD52" s="19" t="str">
        <f aca="false">IF(O52="","",O52-R52-AC52)</f>
        <v/>
      </c>
      <c r="AE52" s="20"/>
      <c r="AF52" s="10"/>
      <c r="AG52" s="21" t="n">
        <f aca="false">IF(OR(AE52="",AE52=0),0,AE52*IF(U52="",0,IF(U52&gt;1,U52/100,U52)))</f>
        <v>0</v>
      </c>
      <c r="AH52" s="21" t="n">
        <f aca="false">IF(OR(AE52="",AE52=0),0,AE52*IF(X52="",0,IF(X52&gt;1,X52/100,X52)))</f>
        <v>0</v>
      </c>
      <c r="AI52" s="21" t="n">
        <f aca="false">IF(OR(AE52="",AE52=0),0,AE52*IF(AA52="",0,IF(AA52&gt;1,AA52/100,AA52)))</f>
        <v>0</v>
      </c>
      <c r="AJ52" s="21" t="n">
        <f aca="false">AG52+AH52+AI52</f>
        <v>0</v>
      </c>
      <c r="AK52" s="21" t="n">
        <f aca="false">IF(OR(AE52="",AE52=0),0,AE52-AJ52)</f>
        <v>0</v>
      </c>
      <c r="AL52" s="19" t="str">
        <f aca="false">IF(AD52="","",AD52-AK52)</f>
        <v/>
      </c>
      <c r="AM52" s="9" t="str">
        <f aca="false">IF(C52="","","Waiting for payment")</f>
        <v/>
      </c>
      <c r="AN52" s="10"/>
      <c r="AO52" s="10"/>
      <c r="AP52" s="22" t="str">
        <f aca="false">IF(OR(C52="",I52="",K52=""),"",IF(K52="Monthly",EDATE(C52,ROUND(I52*SETTINGS!$I$8,0)),WORKDAY(C52,ROUND(I52*SETTINGS!$I$8,0))))</f>
        <v/>
      </c>
      <c r="AQ52" s="9" t="str">
        <f aca="true">IF(C52="","",IF(AND(AP52&lt;&gt;"",TODAY()&gt;=AP52),"Refi Ready",IF(TODAY()-C52&gt;=SETTINGS!$I$11,"Prospecting","Performing")))</f>
        <v/>
      </c>
      <c r="AR52" s="22" t="str">
        <f aca="false">IF(OR(C52="",I52="",K52=""),"",IF(K52="Monthly",EDATE(C52,I52),WORKDAY(C52,I52)))</f>
        <v/>
      </c>
      <c r="AS52" s="11"/>
      <c r="AT52" s="23" t="str">
        <f aca="true">IF(C52="","",IF(AM52="Clawed Back","CLAWED",IF(TODAY()&lt;=C52+SETTINGS!$I$2,"⚠ AT RISK","SAFE")))</f>
        <v/>
      </c>
      <c r="AU52" s="11"/>
      <c r="AW52" s="24" t="n">
        <f aca="false">AW51+IF(AND(C52&lt;&gt;"",AO52&lt;&gt;"",OR('REP COMMISSION'!$B$3="",T52='REP COMMISSION'!$B$3,W52='REP COMMISSION'!$B$3,Z52='REP COMMISSION'!$B$3)),1,0)</f>
        <v>0</v>
      </c>
      <c r="AX52" s="24" t="n">
        <f aca="false">AX51+IF(AND(C52&lt;&gt;"",OR(F52="LOC - INITIAL",F52="CONSOLIDATION - UPFRONT COMM",F52="REVERSE - TOTAL FUNDING")),1,0)</f>
        <v>0</v>
      </c>
    </row>
    <row r="53" customFormat="false" ht="15" hidden="false" customHeight="false" outlineLevel="0" collapsed="false">
      <c r="A53" s="25" t="str">
        <f aca="false">IF(C53&lt;&gt;"","F"&amp;COUNT($C$4:C53),"")</f>
        <v/>
      </c>
      <c r="B53" s="26" t="str">
        <f aca="false">IF(OR(F53="LOC - INITIAL",F53="CONSOLIDATION - UPFRONT COMM",F53="REVERSE - TOTAL FUNDING"),A53,"")</f>
        <v/>
      </c>
      <c r="C53" s="27"/>
      <c r="D53" s="28"/>
      <c r="E53" s="28"/>
      <c r="F53" s="28"/>
      <c r="G53" s="29"/>
      <c r="H53" s="30"/>
      <c r="I53" s="28"/>
      <c r="J53" s="31" t="str">
        <f aca="false">IF(AND(G53&lt;&gt;"",H53&lt;&gt;""),G53*H53,"")</f>
        <v/>
      </c>
      <c r="K53" s="28"/>
      <c r="L53" s="32"/>
      <c r="M53" s="32"/>
      <c r="N53" s="31" t="n">
        <f aca="false">IF(OR(G53="",M53=""),0,IF(M53&gt;100,M53,G53*IF(M53&gt;1,M53/100,M53)))</f>
        <v>0</v>
      </c>
      <c r="O53" s="31" t="str">
        <f aca="false">IF(G53="","",G53*IF(L53="",0,IF(L53&gt;1,L53/100,L53))+N53)</f>
        <v/>
      </c>
      <c r="P53" s="28"/>
      <c r="Q53" s="33" t="str">
        <f aca="false">IF(P53="","",IFERROR(VLOOKUP(P53,PARTNERS!$A$2:$B$30,2,0),""))</f>
        <v/>
      </c>
      <c r="R53" s="17" t="str">
        <f aca="false">IF(O53="","",IF(OR(P53="",Q53=""),0,(O53-N53)*IF(Q53&gt;1,Q53/100,Q53)))</f>
        <v/>
      </c>
      <c r="S53" s="31" t="str">
        <f aca="false">IF(O53="","",O53-R53)</f>
        <v/>
      </c>
      <c r="T53" s="28"/>
      <c r="U53" s="34" t="str">
        <f aca="false">IF(T53="","",IFERROR(VLOOKUP(T53,REPS!$A$2:$D$40,2,0),""))</f>
        <v/>
      </c>
      <c r="V53" s="31" t="str">
        <f aca="false">IF(O53="","",IF(U53="",0,O53*IF(U53&gt;1,U53/100,U53)))</f>
        <v/>
      </c>
      <c r="W53" s="28"/>
      <c r="X53" s="34" t="str">
        <f aca="false">IF(W53="","",IFERROR(VLOOKUP(W53,REPS!$A$2:$D$40,3,0),""))</f>
        <v/>
      </c>
      <c r="Y53" s="31" t="str">
        <f aca="false">IF(O53="","",IF(X53="",0,O53*IF(X53&gt;1,X53/100,X53)))</f>
        <v/>
      </c>
      <c r="Z53" s="28"/>
      <c r="AA53" s="34" t="str">
        <f aca="false">IF(Z53="","",IFERROR(VLOOKUP(Z53,REPS!$A$2:$D$40,4,0),""))</f>
        <v/>
      </c>
      <c r="AB53" s="31" t="str">
        <f aca="false">IF(O53="","",IF(AA53="",0,O53*IF(AA53&gt;1,AA53/100,AA53)))</f>
        <v/>
      </c>
      <c r="AC53" s="31" t="str">
        <f aca="false">IF(O53="","",V53+Y53+AB53)</f>
        <v/>
      </c>
      <c r="AD53" s="19" t="str">
        <f aca="false">IF(O53="","",O53-R53-AC53)</f>
        <v/>
      </c>
      <c r="AE53" s="20"/>
      <c r="AF53" s="27"/>
      <c r="AG53" s="21" t="n">
        <f aca="false">IF(OR(AE53="",AE53=0),0,AE53*IF(U53="",0,IF(U53&gt;1,U53/100,U53)))</f>
        <v>0</v>
      </c>
      <c r="AH53" s="21" t="n">
        <f aca="false">IF(OR(AE53="",AE53=0),0,AE53*IF(X53="",0,IF(X53&gt;1,X53/100,X53)))</f>
        <v>0</v>
      </c>
      <c r="AI53" s="21" t="n">
        <f aca="false">IF(OR(AE53="",AE53=0),0,AE53*IF(AA53="",0,IF(AA53&gt;1,AA53/100,AA53)))</f>
        <v>0</v>
      </c>
      <c r="AJ53" s="21" t="n">
        <f aca="false">AG53+AH53+AI53</f>
        <v>0</v>
      </c>
      <c r="AK53" s="21" t="n">
        <f aca="false">IF(OR(AE53="",AE53=0),0,AE53-AJ53)</f>
        <v>0</v>
      </c>
      <c r="AL53" s="19" t="str">
        <f aca="false">IF(AD53="","",AD53-AK53)</f>
        <v/>
      </c>
      <c r="AM53" s="26" t="str">
        <f aca="false">IF(C53="","","Waiting for payment")</f>
        <v/>
      </c>
      <c r="AN53" s="27"/>
      <c r="AO53" s="27"/>
      <c r="AP53" s="35" t="str">
        <f aca="false">IF(OR(C53="",I53="",K53=""),"",IF(K53="Monthly",EDATE(C53,ROUND(I53*SETTINGS!$I$8,0)),WORKDAY(C53,ROUND(I53*SETTINGS!$I$8,0))))</f>
        <v/>
      </c>
      <c r="AQ53" s="26" t="str">
        <f aca="true">IF(C53="","",IF(AND(AP53&lt;&gt;"",TODAY()&gt;=AP53),"Refi Ready",IF(TODAY()-C53&gt;=SETTINGS!$I$11,"Prospecting","Performing")))</f>
        <v/>
      </c>
      <c r="AR53" s="35" t="str">
        <f aca="false">IF(OR(C53="",I53="",K53=""),"",IF(K53="Monthly",EDATE(C53,I53),WORKDAY(C53,I53)))</f>
        <v/>
      </c>
      <c r="AS53" s="28"/>
      <c r="AT53" s="36" t="str">
        <f aca="true">IF(C53="","",IF(AM53="Clawed Back","CLAWED",IF(TODAY()&lt;=C53+SETTINGS!$I$2,"⚠ AT RISK","SAFE")))</f>
        <v/>
      </c>
      <c r="AU53" s="28"/>
      <c r="AW53" s="24" t="n">
        <f aca="false">AW52+IF(AND(C53&lt;&gt;"",AO53&lt;&gt;"",OR('REP COMMISSION'!$B$3="",T53='REP COMMISSION'!$B$3,W53='REP COMMISSION'!$B$3,Z53='REP COMMISSION'!$B$3)),1,0)</f>
        <v>0</v>
      </c>
      <c r="AX53" s="24" t="n">
        <f aca="false">AX52+IF(AND(C53&lt;&gt;"",OR(F53="LOC - INITIAL",F53="CONSOLIDATION - UPFRONT COMM",F53="REVERSE - TOTAL FUNDING")),1,0)</f>
        <v>0</v>
      </c>
    </row>
    <row r="54" customFormat="false" ht="15" hidden="false" customHeight="false" outlineLevel="0" collapsed="false">
      <c r="A54" s="8" t="str">
        <f aca="false">IF(C54&lt;&gt;"","F"&amp;COUNT($C$4:C54),"")</f>
        <v/>
      </c>
      <c r="B54" s="9" t="str">
        <f aca="false">IF(OR(F54="LOC - INITIAL",F54="CONSOLIDATION - UPFRONT COMM",F54="REVERSE - TOTAL FUNDING"),A54,"")</f>
        <v/>
      </c>
      <c r="C54" s="10"/>
      <c r="D54" s="11"/>
      <c r="E54" s="11"/>
      <c r="F54" s="11"/>
      <c r="G54" s="12"/>
      <c r="H54" s="13"/>
      <c r="I54" s="11"/>
      <c r="J54" s="14" t="str">
        <f aca="false">IF(AND(G54&lt;&gt;"",H54&lt;&gt;""),G54*H54,"")</f>
        <v/>
      </c>
      <c r="K54" s="11"/>
      <c r="L54" s="15"/>
      <c r="M54" s="15"/>
      <c r="N54" s="14" t="n">
        <f aca="false">IF(OR(G54="",M54=""),0,IF(M54&gt;100,M54,G54*IF(M54&gt;1,M54/100,M54)))</f>
        <v>0</v>
      </c>
      <c r="O54" s="14" t="str">
        <f aca="false">IF(G54="","",G54*IF(L54="",0,IF(L54&gt;1,L54/100,L54))+N54)</f>
        <v/>
      </c>
      <c r="P54" s="11"/>
      <c r="Q54" s="16" t="str">
        <f aca="false">IF(P54="","",IFERROR(VLOOKUP(P54,PARTNERS!$A$2:$B$30,2,0),""))</f>
        <v/>
      </c>
      <c r="R54" s="17" t="str">
        <f aca="false">IF(O54="","",IF(OR(P54="",Q54=""),0,(O54-N54)*IF(Q54&gt;1,Q54/100,Q54)))</f>
        <v/>
      </c>
      <c r="S54" s="14" t="str">
        <f aca="false">IF(O54="","",O54-R54)</f>
        <v/>
      </c>
      <c r="T54" s="11"/>
      <c r="U54" s="18" t="str">
        <f aca="false">IF(T54="","",IFERROR(VLOOKUP(T54,REPS!$A$2:$D$40,2,0),""))</f>
        <v/>
      </c>
      <c r="V54" s="14" t="str">
        <f aca="false">IF(O54="","",IF(U54="",0,O54*IF(U54&gt;1,U54/100,U54)))</f>
        <v/>
      </c>
      <c r="W54" s="11"/>
      <c r="X54" s="18" t="str">
        <f aca="false">IF(W54="","",IFERROR(VLOOKUP(W54,REPS!$A$2:$D$40,3,0),""))</f>
        <v/>
      </c>
      <c r="Y54" s="14" t="str">
        <f aca="false">IF(O54="","",IF(X54="",0,O54*IF(X54&gt;1,X54/100,X54)))</f>
        <v/>
      </c>
      <c r="Z54" s="11"/>
      <c r="AA54" s="18" t="str">
        <f aca="false">IF(Z54="","",IFERROR(VLOOKUP(Z54,REPS!$A$2:$D$40,4,0),""))</f>
        <v/>
      </c>
      <c r="AB54" s="14" t="str">
        <f aca="false">IF(O54="","",IF(AA54="",0,O54*IF(AA54&gt;1,AA54/100,AA54)))</f>
        <v/>
      </c>
      <c r="AC54" s="14" t="str">
        <f aca="false">IF(O54="","",V54+Y54+AB54)</f>
        <v/>
      </c>
      <c r="AD54" s="19" t="str">
        <f aca="false">IF(O54="","",O54-R54-AC54)</f>
        <v/>
      </c>
      <c r="AE54" s="20"/>
      <c r="AF54" s="10"/>
      <c r="AG54" s="21" t="n">
        <f aca="false">IF(OR(AE54="",AE54=0),0,AE54*IF(U54="",0,IF(U54&gt;1,U54/100,U54)))</f>
        <v>0</v>
      </c>
      <c r="AH54" s="21" t="n">
        <f aca="false">IF(OR(AE54="",AE54=0),0,AE54*IF(X54="",0,IF(X54&gt;1,X54/100,X54)))</f>
        <v>0</v>
      </c>
      <c r="AI54" s="21" t="n">
        <f aca="false">IF(OR(AE54="",AE54=0),0,AE54*IF(AA54="",0,IF(AA54&gt;1,AA54/100,AA54)))</f>
        <v>0</v>
      </c>
      <c r="AJ54" s="21" t="n">
        <f aca="false">AG54+AH54+AI54</f>
        <v>0</v>
      </c>
      <c r="AK54" s="21" t="n">
        <f aca="false">IF(OR(AE54="",AE54=0),0,AE54-AJ54)</f>
        <v>0</v>
      </c>
      <c r="AL54" s="19" t="str">
        <f aca="false">IF(AD54="","",AD54-AK54)</f>
        <v/>
      </c>
      <c r="AM54" s="9" t="str">
        <f aca="false">IF(C54="","","Waiting for payment")</f>
        <v/>
      </c>
      <c r="AN54" s="10"/>
      <c r="AO54" s="10"/>
      <c r="AP54" s="22" t="str">
        <f aca="false">IF(OR(C54="",I54="",K54=""),"",IF(K54="Monthly",EDATE(C54,ROUND(I54*SETTINGS!$I$8,0)),WORKDAY(C54,ROUND(I54*SETTINGS!$I$8,0))))</f>
        <v/>
      </c>
      <c r="AQ54" s="9" t="str">
        <f aca="true">IF(C54="","",IF(AND(AP54&lt;&gt;"",TODAY()&gt;=AP54),"Refi Ready",IF(TODAY()-C54&gt;=SETTINGS!$I$11,"Prospecting","Performing")))</f>
        <v/>
      </c>
      <c r="AR54" s="22" t="str">
        <f aca="false">IF(OR(C54="",I54="",K54=""),"",IF(K54="Monthly",EDATE(C54,I54),WORKDAY(C54,I54)))</f>
        <v/>
      </c>
      <c r="AS54" s="11"/>
      <c r="AT54" s="23" t="str">
        <f aca="true">IF(C54="","",IF(AM54="Clawed Back","CLAWED",IF(TODAY()&lt;=C54+SETTINGS!$I$2,"⚠ AT RISK","SAFE")))</f>
        <v/>
      </c>
      <c r="AU54" s="11"/>
      <c r="AW54" s="24" t="n">
        <f aca="false">AW53+IF(AND(C54&lt;&gt;"",AO54&lt;&gt;"",OR('REP COMMISSION'!$B$3="",T54='REP COMMISSION'!$B$3,W54='REP COMMISSION'!$B$3,Z54='REP COMMISSION'!$B$3)),1,0)</f>
        <v>0</v>
      </c>
      <c r="AX54" s="24" t="n">
        <f aca="false">AX53+IF(AND(C54&lt;&gt;"",OR(F54="LOC - INITIAL",F54="CONSOLIDATION - UPFRONT COMM",F54="REVERSE - TOTAL FUNDING")),1,0)</f>
        <v>0</v>
      </c>
    </row>
    <row r="55" customFormat="false" ht="15" hidden="false" customHeight="false" outlineLevel="0" collapsed="false">
      <c r="A55" s="25" t="str">
        <f aca="false">IF(C55&lt;&gt;"","F"&amp;COUNT($C$4:C55),"")</f>
        <v/>
      </c>
      <c r="B55" s="26" t="str">
        <f aca="false">IF(OR(F55="LOC - INITIAL",F55="CONSOLIDATION - UPFRONT COMM",F55="REVERSE - TOTAL FUNDING"),A55,"")</f>
        <v/>
      </c>
      <c r="C55" s="27"/>
      <c r="D55" s="28"/>
      <c r="E55" s="28"/>
      <c r="F55" s="28"/>
      <c r="G55" s="29"/>
      <c r="H55" s="30"/>
      <c r="I55" s="28"/>
      <c r="J55" s="31" t="str">
        <f aca="false">IF(AND(G55&lt;&gt;"",H55&lt;&gt;""),G55*H55,"")</f>
        <v/>
      </c>
      <c r="K55" s="28"/>
      <c r="L55" s="32"/>
      <c r="M55" s="32"/>
      <c r="N55" s="31" t="n">
        <f aca="false">IF(OR(G55="",M55=""),0,IF(M55&gt;100,M55,G55*IF(M55&gt;1,M55/100,M55)))</f>
        <v>0</v>
      </c>
      <c r="O55" s="31" t="str">
        <f aca="false">IF(G55="","",G55*IF(L55="",0,IF(L55&gt;1,L55/100,L55))+N55)</f>
        <v/>
      </c>
      <c r="P55" s="28"/>
      <c r="Q55" s="33" t="str">
        <f aca="false">IF(P55="","",IFERROR(VLOOKUP(P55,PARTNERS!$A$2:$B$30,2,0),""))</f>
        <v/>
      </c>
      <c r="R55" s="17" t="str">
        <f aca="false">IF(O55="","",IF(OR(P55="",Q55=""),0,(O55-N55)*IF(Q55&gt;1,Q55/100,Q55)))</f>
        <v/>
      </c>
      <c r="S55" s="31" t="str">
        <f aca="false">IF(O55="","",O55-R55)</f>
        <v/>
      </c>
      <c r="T55" s="28"/>
      <c r="U55" s="34" t="str">
        <f aca="false">IF(T55="","",IFERROR(VLOOKUP(T55,REPS!$A$2:$D$40,2,0),""))</f>
        <v/>
      </c>
      <c r="V55" s="31" t="str">
        <f aca="false">IF(O55="","",IF(U55="",0,O55*IF(U55&gt;1,U55/100,U55)))</f>
        <v/>
      </c>
      <c r="W55" s="28"/>
      <c r="X55" s="34" t="str">
        <f aca="false">IF(W55="","",IFERROR(VLOOKUP(W55,REPS!$A$2:$D$40,3,0),""))</f>
        <v/>
      </c>
      <c r="Y55" s="31" t="str">
        <f aca="false">IF(O55="","",IF(X55="",0,O55*IF(X55&gt;1,X55/100,X55)))</f>
        <v/>
      </c>
      <c r="Z55" s="28"/>
      <c r="AA55" s="34" t="str">
        <f aca="false">IF(Z55="","",IFERROR(VLOOKUP(Z55,REPS!$A$2:$D$40,4,0),""))</f>
        <v/>
      </c>
      <c r="AB55" s="31" t="str">
        <f aca="false">IF(O55="","",IF(AA55="",0,O55*IF(AA55&gt;1,AA55/100,AA55)))</f>
        <v/>
      </c>
      <c r="AC55" s="31" t="str">
        <f aca="false">IF(O55="","",V55+Y55+AB55)</f>
        <v/>
      </c>
      <c r="AD55" s="19" t="str">
        <f aca="false">IF(O55="","",O55-R55-AC55)</f>
        <v/>
      </c>
      <c r="AE55" s="20"/>
      <c r="AF55" s="27"/>
      <c r="AG55" s="21" t="n">
        <f aca="false">IF(OR(AE55="",AE55=0),0,AE55*IF(U55="",0,IF(U55&gt;1,U55/100,U55)))</f>
        <v>0</v>
      </c>
      <c r="AH55" s="21" t="n">
        <f aca="false">IF(OR(AE55="",AE55=0),0,AE55*IF(X55="",0,IF(X55&gt;1,X55/100,X55)))</f>
        <v>0</v>
      </c>
      <c r="AI55" s="21" t="n">
        <f aca="false">IF(OR(AE55="",AE55=0),0,AE55*IF(AA55="",0,IF(AA55&gt;1,AA55/100,AA55)))</f>
        <v>0</v>
      </c>
      <c r="AJ55" s="21" t="n">
        <f aca="false">AG55+AH55+AI55</f>
        <v>0</v>
      </c>
      <c r="AK55" s="21" t="n">
        <f aca="false">IF(OR(AE55="",AE55=0),0,AE55-AJ55)</f>
        <v>0</v>
      </c>
      <c r="AL55" s="19" t="str">
        <f aca="false">IF(AD55="","",AD55-AK55)</f>
        <v/>
      </c>
      <c r="AM55" s="26" t="str">
        <f aca="false">IF(C55="","","Waiting for payment")</f>
        <v/>
      </c>
      <c r="AN55" s="27"/>
      <c r="AO55" s="27"/>
      <c r="AP55" s="35" t="str">
        <f aca="false">IF(OR(C55="",I55="",K55=""),"",IF(K55="Monthly",EDATE(C55,ROUND(I55*SETTINGS!$I$8,0)),WORKDAY(C55,ROUND(I55*SETTINGS!$I$8,0))))</f>
        <v/>
      </c>
      <c r="AQ55" s="26" t="str">
        <f aca="true">IF(C55="","",IF(AND(AP55&lt;&gt;"",TODAY()&gt;=AP55),"Refi Ready",IF(TODAY()-C55&gt;=SETTINGS!$I$11,"Prospecting","Performing")))</f>
        <v/>
      </c>
      <c r="AR55" s="35" t="str">
        <f aca="false">IF(OR(C55="",I55="",K55=""),"",IF(K55="Monthly",EDATE(C55,I55),WORKDAY(C55,I55)))</f>
        <v/>
      </c>
      <c r="AS55" s="28"/>
      <c r="AT55" s="36" t="str">
        <f aca="true">IF(C55="","",IF(AM55="Clawed Back","CLAWED",IF(TODAY()&lt;=C55+SETTINGS!$I$2,"⚠ AT RISK","SAFE")))</f>
        <v/>
      </c>
      <c r="AU55" s="28"/>
      <c r="AW55" s="24" t="n">
        <f aca="false">AW54+IF(AND(C55&lt;&gt;"",AO55&lt;&gt;"",OR('REP COMMISSION'!$B$3="",T55='REP COMMISSION'!$B$3,W55='REP COMMISSION'!$B$3,Z55='REP COMMISSION'!$B$3)),1,0)</f>
        <v>0</v>
      </c>
      <c r="AX55" s="24" t="n">
        <f aca="false">AX54+IF(AND(C55&lt;&gt;"",OR(F55="LOC - INITIAL",F55="CONSOLIDATION - UPFRONT COMM",F55="REVERSE - TOTAL FUNDING")),1,0)</f>
        <v>0</v>
      </c>
    </row>
    <row r="56" customFormat="false" ht="15" hidden="false" customHeight="false" outlineLevel="0" collapsed="false">
      <c r="A56" s="8" t="str">
        <f aca="false">IF(C56&lt;&gt;"","F"&amp;COUNT($C$4:C56),"")</f>
        <v/>
      </c>
      <c r="B56" s="9" t="str">
        <f aca="false">IF(OR(F56="LOC - INITIAL",F56="CONSOLIDATION - UPFRONT COMM",F56="REVERSE - TOTAL FUNDING"),A56,"")</f>
        <v/>
      </c>
      <c r="C56" s="10"/>
      <c r="D56" s="11"/>
      <c r="E56" s="11"/>
      <c r="F56" s="11"/>
      <c r="G56" s="12"/>
      <c r="H56" s="13"/>
      <c r="I56" s="11"/>
      <c r="J56" s="14" t="str">
        <f aca="false">IF(AND(G56&lt;&gt;"",H56&lt;&gt;""),G56*H56,"")</f>
        <v/>
      </c>
      <c r="K56" s="11"/>
      <c r="L56" s="15"/>
      <c r="M56" s="15"/>
      <c r="N56" s="14" t="n">
        <f aca="false">IF(OR(G56="",M56=""),0,IF(M56&gt;100,M56,G56*IF(M56&gt;1,M56/100,M56)))</f>
        <v>0</v>
      </c>
      <c r="O56" s="14" t="str">
        <f aca="false">IF(G56="","",G56*IF(L56="",0,IF(L56&gt;1,L56/100,L56))+N56)</f>
        <v/>
      </c>
      <c r="P56" s="11"/>
      <c r="Q56" s="16" t="str">
        <f aca="false">IF(P56="","",IFERROR(VLOOKUP(P56,PARTNERS!$A$2:$B$30,2,0),""))</f>
        <v/>
      </c>
      <c r="R56" s="17" t="str">
        <f aca="false">IF(O56="","",IF(OR(P56="",Q56=""),0,(O56-N56)*IF(Q56&gt;1,Q56/100,Q56)))</f>
        <v/>
      </c>
      <c r="S56" s="14" t="str">
        <f aca="false">IF(O56="","",O56-R56)</f>
        <v/>
      </c>
      <c r="T56" s="11"/>
      <c r="U56" s="18" t="str">
        <f aca="false">IF(T56="","",IFERROR(VLOOKUP(T56,REPS!$A$2:$D$40,2,0),""))</f>
        <v/>
      </c>
      <c r="V56" s="14" t="str">
        <f aca="false">IF(O56="","",IF(U56="",0,O56*IF(U56&gt;1,U56/100,U56)))</f>
        <v/>
      </c>
      <c r="W56" s="11"/>
      <c r="X56" s="18" t="str">
        <f aca="false">IF(W56="","",IFERROR(VLOOKUP(W56,REPS!$A$2:$D$40,3,0),""))</f>
        <v/>
      </c>
      <c r="Y56" s="14" t="str">
        <f aca="false">IF(O56="","",IF(X56="",0,O56*IF(X56&gt;1,X56/100,X56)))</f>
        <v/>
      </c>
      <c r="Z56" s="11"/>
      <c r="AA56" s="18" t="str">
        <f aca="false">IF(Z56="","",IFERROR(VLOOKUP(Z56,REPS!$A$2:$D$40,4,0),""))</f>
        <v/>
      </c>
      <c r="AB56" s="14" t="str">
        <f aca="false">IF(O56="","",IF(AA56="",0,O56*IF(AA56&gt;1,AA56/100,AA56)))</f>
        <v/>
      </c>
      <c r="AC56" s="14" t="str">
        <f aca="false">IF(O56="","",V56+Y56+AB56)</f>
        <v/>
      </c>
      <c r="AD56" s="19" t="str">
        <f aca="false">IF(O56="","",O56-R56-AC56)</f>
        <v/>
      </c>
      <c r="AE56" s="20"/>
      <c r="AF56" s="10"/>
      <c r="AG56" s="21" t="n">
        <f aca="false">IF(OR(AE56="",AE56=0),0,AE56*IF(U56="",0,IF(U56&gt;1,U56/100,U56)))</f>
        <v>0</v>
      </c>
      <c r="AH56" s="21" t="n">
        <f aca="false">IF(OR(AE56="",AE56=0),0,AE56*IF(X56="",0,IF(X56&gt;1,X56/100,X56)))</f>
        <v>0</v>
      </c>
      <c r="AI56" s="21" t="n">
        <f aca="false">IF(OR(AE56="",AE56=0),0,AE56*IF(AA56="",0,IF(AA56&gt;1,AA56/100,AA56)))</f>
        <v>0</v>
      </c>
      <c r="AJ56" s="21" t="n">
        <f aca="false">AG56+AH56+AI56</f>
        <v>0</v>
      </c>
      <c r="AK56" s="21" t="n">
        <f aca="false">IF(OR(AE56="",AE56=0),0,AE56-AJ56)</f>
        <v>0</v>
      </c>
      <c r="AL56" s="19" t="str">
        <f aca="false">IF(AD56="","",AD56-AK56)</f>
        <v/>
      </c>
      <c r="AM56" s="9" t="str">
        <f aca="false">IF(C56="","","Waiting for payment")</f>
        <v/>
      </c>
      <c r="AN56" s="10"/>
      <c r="AO56" s="10"/>
      <c r="AP56" s="22" t="str">
        <f aca="false">IF(OR(C56="",I56="",K56=""),"",IF(K56="Monthly",EDATE(C56,ROUND(I56*SETTINGS!$I$8,0)),WORKDAY(C56,ROUND(I56*SETTINGS!$I$8,0))))</f>
        <v/>
      </c>
      <c r="AQ56" s="9" t="str">
        <f aca="true">IF(C56="","",IF(AND(AP56&lt;&gt;"",TODAY()&gt;=AP56),"Refi Ready",IF(TODAY()-C56&gt;=SETTINGS!$I$11,"Prospecting","Performing")))</f>
        <v/>
      </c>
      <c r="AR56" s="22" t="str">
        <f aca="false">IF(OR(C56="",I56="",K56=""),"",IF(K56="Monthly",EDATE(C56,I56),WORKDAY(C56,I56)))</f>
        <v/>
      </c>
      <c r="AS56" s="11"/>
      <c r="AT56" s="23" t="str">
        <f aca="true">IF(C56="","",IF(AM56="Clawed Back","CLAWED",IF(TODAY()&lt;=C56+SETTINGS!$I$2,"⚠ AT RISK","SAFE")))</f>
        <v/>
      </c>
      <c r="AU56" s="11"/>
      <c r="AW56" s="24" t="n">
        <f aca="false">AW55+IF(AND(C56&lt;&gt;"",AO56&lt;&gt;"",OR('REP COMMISSION'!$B$3="",T56='REP COMMISSION'!$B$3,W56='REP COMMISSION'!$B$3,Z56='REP COMMISSION'!$B$3)),1,0)</f>
        <v>0</v>
      </c>
      <c r="AX56" s="24" t="n">
        <f aca="false">AX55+IF(AND(C56&lt;&gt;"",OR(F56="LOC - INITIAL",F56="CONSOLIDATION - UPFRONT COMM",F56="REVERSE - TOTAL FUNDING")),1,0)</f>
        <v>0</v>
      </c>
    </row>
    <row r="57" customFormat="false" ht="15" hidden="false" customHeight="false" outlineLevel="0" collapsed="false">
      <c r="A57" s="25" t="str">
        <f aca="false">IF(C57&lt;&gt;"","F"&amp;COUNT($C$4:C57),"")</f>
        <v/>
      </c>
      <c r="B57" s="26" t="str">
        <f aca="false">IF(OR(F57="LOC - INITIAL",F57="CONSOLIDATION - UPFRONT COMM",F57="REVERSE - TOTAL FUNDING"),A57,"")</f>
        <v/>
      </c>
      <c r="C57" s="27"/>
      <c r="D57" s="28"/>
      <c r="E57" s="28"/>
      <c r="F57" s="28"/>
      <c r="G57" s="29"/>
      <c r="H57" s="30"/>
      <c r="I57" s="28"/>
      <c r="J57" s="31" t="str">
        <f aca="false">IF(AND(G57&lt;&gt;"",H57&lt;&gt;""),G57*H57,"")</f>
        <v/>
      </c>
      <c r="K57" s="28"/>
      <c r="L57" s="32"/>
      <c r="M57" s="32"/>
      <c r="N57" s="31" t="n">
        <f aca="false">IF(OR(G57="",M57=""),0,IF(M57&gt;100,M57,G57*IF(M57&gt;1,M57/100,M57)))</f>
        <v>0</v>
      </c>
      <c r="O57" s="31" t="str">
        <f aca="false">IF(G57="","",G57*IF(L57="",0,IF(L57&gt;1,L57/100,L57))+N57)</f>
        <v/>
      </c>
      <c r="P57" s="28"/>
      <c r="Q57" s="33" t="str">
        <f aca="false">IF(P57="","",IFERROR(VLOOKUP(P57,PARTNERS!$A$2:$B$30,2,0),""))</f>
        <v/>
      </c>
      <c r="R57" s="17" t="str">
        <f aca="false">IF(O57="","",IF(OR(P57="",Q57=""),0,(O57-N57)*IF(Q57&gt;1,Q57/100,Q57)))</f>
        <v/>
      </c>
      <c r="S57" s="31" t="str">
        <f aca="false">IF(O57="","",O57-R57)</f>
        <v/>
      </c>
      <c r="T57" s="28"/>
      <c r="U57" s="34" t="str">
        <f aca="false">IF(T57="","",IFERROR(VLOOKUP(T57,REPS!$A$2:$D$40,2,0),""))</f>
        <v/>
      </c>
      <c r="V57" s="31" t="str">
        <f aca="false">IF(O57="","",IF(U57="",0,O57*IF(U57&gt;1,U57/100,U57)))</f>
        <v/>
      </c>
      <c r="W57" s="28"/>
      <c r="X57" s="34" t="str">
        <f aca="false">IF(W57="","",IFERROR(VLOOKUP(W57,REPS!$A$2:$D$40,3,0),""))</f>
        <v/>
      </c>
      <c r="Y57" s="31" t="str">
        <f aca="false">IF(O57="","",IF(X57="",0,O57*IF(X57&gt;1,X57/100,X57)))</f>
        <v/>
      </c>
      <c r="Z57" s="28"/>
      <c r="AA57" s="34" t="str">
        <f aca="false">IF(Z57="","",IFERROR(VLOOKUP(Z57,REPS!$A$2:$D$40,4,0),""))</f>
        <v/>
      </c>
      <c r="AB57" s="31" t="str">
        <f aca="false">IF(O57="","",IF(AA57="",0,O57*IF(AA57&gt;1,AA57/100,AA57)))</f>
        <v/>
      </c>
      <c r="AC57" s="31" t="str">
        <f aca="false">IF(O57="","",V57+Y57+AB57)</f>
        <v/>
      </c>
      <c r="AD57" s="19" t="str">
        <f aca="false">IF(O57="","",O57-R57-AC57)</f>
        <v/>
      </c>
      <c r="AE57" s="20"/>
      <c r="AF57" s="27"/>
      <c r="AG57" s="21" t="n">
        <f aca="false">IF(OR(AE57="",AE57=0),0,AE57*IF(U57="",0,IF(U57&gt;1,U57/100,U57)))</f>
        <v>0</v>
      </c>
      <c r="AH57" s="21" t="n">
        <f aca="false">IF(OR(AE57="",AE57=0),0,AE57*IF(X57="",0,IF(X57&gt;1,X57/100,X57)))</f>
        <v>0</v>
      </c>
      <c r="AI57" s="21" t="n">
        <f aca="false">IF(OR(AE57="",AE57=0),0,AE57*IF(AA57="",0,IF(AA57&gt;1,AA57/100,AA57)))</f>
        <v>0</v>
      </c>
      <c r="AJ57" s="21" t="n">
        <f aca="false">AG57+AH57+AI57</f>
        <v>0</v>
      </c>
      <c r="AK57" s="21" t="n">
        <f aca="false">IF(OR(AE57="",AE57=0),0,AE57-AJ57)</f>
        <v>0</v>
      </c>
      <c r="AL57" s="19" t="str">
        <f aca="false">IF(AD57="","",AD57-AK57)</f>
        <v/>
      </c>
      <c r="AM57" s="26" t="str">
        <f aca="false">IF(C57="","","Waiting for payment")</f>
        <v/>
      </c>
      <c r="AN57" s="27"/>
      <c r="AO57" s="27"/>
      <c r="AP57" s="35" t="str">
        <f aca="false">IF(OR(C57="",I57="",K57=""),"",IF(K57="Monthly",EDATE(C57,ROUND(I57*SETTINGS!$I$8,0)),WORKDAY(C57,ROUND(I57*SETTINGS!$I$8,0))))</f>
        <v/>
      </c>
      <c r="AQ57" s="26" t="str">
        <f aca="true">IF(C57="","",IF(AND(AP57&lt;&gt;"",TODAY()&gt;=AP57),"Refi Ready",IF(TODAY()-C57&gt;=SETTINGS!$I$11,"Prospecting","Performing")))</f>
        <v/>
      </c>
      <c r="AR57" s="35" t="str">
        <f aca="false">IF(OR(C57="",I57="",K57=""),"",IF(K57="Monthly",EDATE(C57,I57),WORKDAY(C57,I57)))</f>
        <v/>
      </c>
      <c r="AS57" s="28"/>
      <c r="AT57" s="36" t="str">
        <f aca="true">IF(C57="","",IF(AM57="Clawed Back","CLAWED",IF(TODAY()&lt;=C57+SETTINGS!$I$2,"⚠ AT RISK","SAFE")))</f>
        <v/>
      </c>
      <c r="AU57" s="28"/>
      <c r="AW57" s="24" t="n">
        <f aca="false">AW56+IF(AND(C57&lt;&gt;"",AO57&lt;&gt;"",OR('REP COMMISSION'!$B$3="",T57='REP COMMISSION'!$B$3,W57='REP COMMISSION'!$B$3,Z57='REP COMMISSION'!$B$3)),1,0)</f>
        <v>0</v>
      </c>
      <c r="AX57" s="24" t="n">
        <f aca="false">AX56+IF(AND(C57&lt;&gt;"",OR(F57="LOC - INITIAL",F57="CONSOLIDATION - UPFRONT COMM",F57="REVERSE - TOTAL FUNDING")),1,0)</f>
        <v>0</v>
      </c>
    </row>
    <row r="58" customFormat="false" ht="15" hidden="false" customHeight="false" outlineLevel="0" collapsed="false">
      <c r="A58" s="8" t="str">
        <f aca="false">IF(C58&lt;&gt;"","F"&amp;COUNT($C$4:C58),"")</f>
        <v/>
      </c>
      <c r="B58" s="9" t="str">
        <f aca="false">IF(OR(F58="LOC - INITIAL",F58="CONSOLIDATION - UPFRONT COMM",F58="REVERSE - TOTAL FUNDING"),A58,"")</f>
        <v/>
      </c>
      <c r="C58" s="10"/>
      <c r="D58" s="11"/>
      <c r="E58" s="11"/>
      <c r="F58" s="11"/>
      <c r="G58" s="12"/>
      <c r="H58" s="13"/>
      <c r="I58" s="11"/>
      <c r="J58" s="14" t="str">
        <f aca="false">IF(AND(G58&lt;&gt;"",H58&lt;&gt;""),G58*H58,"")</f>
        <v/>
      </c>
      <c r="K58" s="11"/>
      <c r="L58" s="15"/>
      <c r="M58" s="15"/>
      <c r="N58" s="14" t="n">
        <f aca="false">IF(OR(G58="",M58=""),0,IF(M58&gt;100,M58,G58*IF(M58&gt;1,M58/100,M58)))</f>
        <v>0</v>
      </c>
      <c r="O58" s="14" t="str">
        <f aca="false">IF(G58="","",G58*IF(L58="",0,IF(L58&gt;1,L58/100,L58))+N58)</f>
        <v/>
      </c>
      <c r="P58" s="11"/>
      <c r="Q58" s="16" t="str">
        <f aca="false">IF(P58="","",IFERROR(VLOOKUP(P58,PARTNERS!$A$2:$B$30,2,0),""))</f>
        <v/>
      </c>
      <c r="R58" s="17" t="str">
        <f aca="false">IF(O58="","",IF(OR(P58="",Q58=""),0,(O58-N58)*IF(Q58&gt;1,Q58/100,Q58)))</f>
        <v/>
      </c>
      <c r="S58" s="14" t="str">
        <f aca="false">IF(O58="","",O58-R58)</f>
        <v/>
      </c>
      <c r="T58" s="11"/>
      <c r="U58" s="18" t="str">
        <f aca="false">IF(T58="","",IFERROR(VLOOKUP(T58,REPS!$A$2:$D$40,2,0),""))</f>
        <v/>
      </c>
      <c r="V58" s="14" t="str">
        <f aca="false">IF(O58="","",IF(U58="",0,O58*IF(U58&gt;1,U58/100,U58)))</f>
        <v/>
      </c>
      <c r="W58" s="11"/>
      <c r="X58" s="18" t="str">
        <f aca="false">IF(W58="","",IFERROR(VLOOKUP(W58,REPS!$A$2:$D$40,3,0),""))</f>
        <v/>
      </c>
      <c r="Y58" s="14" t="str">
        <f aca="false">IF(O58="","",IF(X58="",0,O58*IF(X58&gt;1,X58/100,X58)))</f>
        <v/>
      </c>
      <c r="Z58" s="11"/>
      <c r="AA58" s="18" t="str">
        <f aca="false">IF(Z58="","",IFERROR(VLOOKUP(Z58,REPS!$A$2:$D$40,4,0),""))</f>
        <v/>
      </c>
      <c r="AB58" s="14" t="str">
        <f aca="false">IF(O58="","",IF(AA58="",0,O58*IF(AA58&gt;1,AA58/100,AA58)))</f>
        <v/>
      </c>
      <c r="AC58" s="14" t="str">
        <f aca="false">IF(O58="","",V58+Y58+AB58)</f>
        <v/>
      </c>
      <c r="AD58" s="19" t="str">
        <f aca="false">IF(O58="","",O58-R58-AC58)</f>
        <v/>
      </c>
      <c r="AE58" s="20"/>
      <c r="AF58" s="10"/>
      <c r="AG58" s="21" t="n">
        <f aca="false">IF(OR(AE58="",AE58=0),0,AE58*IF(U58="",0,IF(U58&gt;1,U58/100,U58)))</f>
        <v>0</v>
      </c>
      <c r="AH58" s="21" t="n">
        <f aca="false">IF(OR(AE58="",AE58=0),0,AE58*IF(X58="",0,IF(X58&gt;1,X58/100,X58)))</f>
        <v>0</v>
      </c>
      <c r="AI58" s="21" t="n">
        <f aca="false">IF(OR(AE58="",AE58=0),0,AE58*IF(AA58="",0,IF(AA58&gt;1,AA58/100,AA58)))</f>
        <v>0</v>
      </c>
      <c r="AJ58" s="21" t="n">
        <f aca="false">AG58+AH58+AI58</f>
        <v>0</v>
      </c>
      <c r="AK58" s="21" t="n">
        <f aca="false">IF(OR(AE58="",AE58=0),0,AE58-AJ58)</f>
        <v>0</v>
      </c>
      <c r="AL58" s="19" t="str">
        <f aca="false">IF(AD58="","",AD58-AK58)</f>
        <v/>
      </c>
      <c r="AM58" s="9" t="str">
        <f aca="false">IF(C58="","","Waiting for payment")</f>
        <v/>
      </c>
      <c r="AN58" s="10"/>
      <c r="AO58" s="10"/>
      <c r="AP58" s="22" t="str">
        <f aca="false">IF(OR(C58="",I58="",K58=""),"",IF(K58="Monthly",EDATE(C58,ROUND(I58*SETTINGS!$I$8,0)),WORKDAY(C58,ROUND(I58*SETTINGS!$I$8,0))))</f>
        <v/>
      </c>
      <c r="AQ58" s="9" t="str">
        <f aca="true">IF(C58="","",IF(AND(AP58&lt;&gt;"",TODAY()&gt;=AP58),"Refi Ready",IF(TODAY()-C58&gt;=SETTINGS!$I$11,"Prospecting","Performing")))</f>
        <v/>
      </c>
      <c r="AR58" s="22" t="str">
        <f aca="false">IF(OR(C58="",I58="",K58=""),"",IF(K58="Monthly",EDATE(C58,I58),WORKDAY(C58,I58)))</f>
        <v/>
      </c>
      <c r="AS58" s="11"/>
      <c r="AT58" s="23" t="str">
        <f aca="true">IF(C58="","",IF(AM58="Clawed Back","CLAWED",IF(TODAY()&lt;=C58+SETTINGS!$I$2,"⚠ AT RISK","SAFE")))</f>
        <v/>
      </c>
      <c r="AU58" s="11"/>
      <c r="AW58" s="24" t="n">
        <f aca="false">AW57+IF(AND(C58&lt;&gt;"",AO58&lt;&gt;"",OR('REP COMMISSION'!$B$3="",T58='REP COMMISSION'!$B$3,W58='REP COMMISSION'!$B$3,Z58='REP COMMISSION'!$B$3)),1,0)</f>
        <v>0</v>
      </c>
      <c r="AX58" s="24" t="n">
        <f aca="false">AX57+IF(AND(C58&lt;&gt;"",OR(F58="LOC - INITIAL",F58="CONSOLIDATION - UPFRONT COMM",F58="REVERSE - TOTAL FUNDING")),1,0)</f>
        <v>0</v>
      </c>
    </row>
    <row r="59" customFormat="false" ht="15" hidden="false" customHeight="false" outlineLevel="0" collapsed="false">
      <c r="A59" s="25" t="str">
        <f aca="false">IF(C59&lt;&gt;"","F"&amp;COUNT($C$4:C59),"")</f>
        <v/>
      </c>
      <c r="B59" s="26" t="str">
        <f aca="false">IF(OR(F59="LOC - INITIAL",F59="CONSOLIDATION - UPFRONT COMM",F59="REVERSE - TOTAL FUNDING"),A59,"")</f>
        <v/>
      </c>
      <c r="C59" s="27"/>
      <c r="D59" s="28"/>
      <c r="E59" s="28"/>
      <c r="F59" s="28"/>
      <c r="G59" s="29"/>
      <c r="H59" s="30"/>
      <c r="I59" s="28"/>
      <c r="J59" s="31" t="str">
        <f aca="false">IF(AND(G59&lt;&gt;"",H59&lt;&gt;""),G59*H59,"")</f>
        <v/>
      </c>
      <c r="K59" s="28"/>
      <c r="L59" s="32"/>
      <c r="M59" s="32"/>
      <c r="N59" s="31" t="n">
        <f aca="false">IF(OR(G59="",M59=""),0,IF(M59&gt;100,M59,G59*IF(M59&gt;1,M59/100,M59)))</f>
        <v>0</v>
      </c>
      <c r="O59" s="31" t="str">
        <f aca="false">IF(G59="","",G59*IF(L59="",0,IF(L59&gt;1,L59/100,L59))+N59)</f>
        <v/>
      </c>
      <c r="P59" s="28"/>
      <c r="Q59" s="33" t="str">
        <f aca="false">IF(P59="","",IFERROR(VLOOKUP(P59,PARTNERS!$A$2:$B$30,2,0),""))</f>
        <v/>
      </c>
      <c r="R59" s="17" t="str">
        <f aca="false">IF(O59="","",IF(OR(P59="",Q59=""),0,(O59-N59)*IF(Q59&gt;1,Q59/100,Q59)))</f>
        <v/>
      </c>
      <c r="S59" s="31" t="str">
        <f aca="false">IF(O59="","",O59-R59)</f>
        <v/>
      </c>
      <c r="T59" s="28"/>
      <c r="U59" s="34" t="str">
        <f aca="false">IF(T59="","",IFERROR(VLOOKUP(T59,REPS!$A$2:$D$40,2,0),""))</f>
        <v/>
      </c>
      <c r="V59" s="31" t="str">
        <f aca="false">IF(O59="","",IF(U59="",0,O59*IF(U59&gt;1,U59/100,U59)))</f>
        <v/>
      </c>
      <c r="W59" s="28"/>
      <c r="X59" s="34" t="str">
        <f aca="false">IF(W59="","",IFERROR(VLOOKUP(W59,REPS!$A$2:$D$40,3,0),""))</f>
        <v/>
      </c>
      <c r="Y59" s="31" t="str">
        <f aca="false">IF(O59="","",IF(X59="",0,O59*IF(X59&gt;1,X59/100,X59)))</f>
        <v/>
      </c>
      <c r="Z59" s="28"/>
      <c r="AA59" s="34" t="str">
        <f aca="false">IF(Z59="","",IFERROR(VLOOKUP(Z59,REPS!$A$2:$D$40,4,0),""))</f>
        <v/>
      </c>
      <c r="AB59" s="31" t="str">
        <f aca="false">IF(O59="","",IF(AA59="",0,O59*IF(AA59&gt;1,AA59/100,AA59)))</f>
        <v/>
      </c>
      <c r="AC59" s="31" t="str">
        <f aca="false">IF(O59="","",V59+Y59+AB59)</f>
        <v/>
      </c>
      <c r="AD59" s="19" t="str">
        <f aca="false">IF(O59="","",O59-R59-AC59)</f>
        <v/>
      </c>
      <c r="AE59" s="20"/>
      <c r="AF59" s="27"/>
      <c r="AG59" s="21" t="n">
        <f aca="false">IF(OR(AE59="",AE59=0),0,AE59*IF(U59="",0,IF(U59&gt;1,U59/100,U59)))</f>
        <v>0</v>
      </c>
      <c r="AH59" s="21" t="n">
        <f aca="false">IF(OR(AE59="",AE59=0),0,AE59*IF(X59="",0,IF(X59&gt;1,X59/100,X59)))</f>
        <v>0</v>
      </c>
      <c r="AI59" s="21" t="n">
        <f aca="false">IF(OR(AE59="",AE59=0),0,AE59*IF(AA59="",0,IF(AA59&gt;1,AA59/100,AA59)))</f>
        <v>0</v>
      </c>
      <c r="AJ59" s="21" t="n">
        <f aca="false">AG59+AH59+AI59</f>
        <v>0</v>
      </c>
      <c r="AK59" s="21" t="n">
        <f aca="false">IF(OR(AE59="",AE59=0),0,AE59-AJ59)</f>
        <v>0</v>
      </c>
      <c r="AL59" s="19" t="str">
        <f aca="false">IF(AD59="","",AD59-AK59)</f>
        <v/>
      </c>
      <c r="AM59" s="26" t="str">
        <f aca="false">IF(C59="","","Waiting for payment")</f>
        <v/>
      </c>
      <c r="AN59" s="27"/>
      <c r="AO59" s="27"/>
      <c r="AP59" s="35" t="str">
        <f aca="false">IF(OR(C59="",I59="",K59=""),"",IF(K59="Monthly",EDATE(C59,ROUND(I59*SETTINGS!$I$8,0)),WORKDAY(C59,ROUND(I59*SETTINGS!$I$8,0))))</f>
        <v/>
      </c>
      <c r="AQ59" s="26" t="str">
        <f aca="true">IF(C59="","",IF(AND(AP59&lt;&gt;"",TODAY()&gt;=AP59),"Refi Ready",IF(TODAY()-C59&gt;=SETTINGS!$I$11,"Prospecting","Performing")))</f>
        <v/>
      </c>
      <c r="AR59" s="35" t="str">
        <f aca="false">IF(OR(C59="",I59="",K59=""),"",IF(K59="Monthly",EDATE(C59,I59),WORKDAY(C59,I59)))</f>
        <v/>
      </c>
      <c r="AS59" s="28"/>
      <c r="AT59" s="36" t="str">
        <f aca="true">IF(C59="","",IF(AM59="Clawed Back","CLAWED",IF(TODAY()&lt;=C59+SETTINGS!$I$2,"⚠ AT RISK","SAFE")))</f>
        <v/>
      </c>
      <c r="AU59" s="28"/>
      <c r="AW59" s="24" t="n">
        <f aca="false">AW58+IF(AND(C59&lt;&gt;"",AO59&lt;&gt;"",OR('REP COMMISSION'!$B$3="",T59='REP COMMISSION'!$B$3,W59='REP COMMISSION'!$B$3,Z59='REP COMMISSION'!$B$3)),1,0)</f>
        <v>0</v>
      </c>
      <c r="AX59" s="24" t="n">
        <f aca="false">AX58+IF(AND(C59&lt;&gt;"",OR(F59="LOC - INITIAL",F59="CONSOLIDATION - UPFRONT COMM",F59="REVERSE - TOTAL FUNDING")),1,0)</f>
        <v>0</v>
      </c>
    </row>
    <row r="60" customFormat="false" ht="15" hidden="false" customHeight="false" outlineLevel="0" collapsed="false">
      <c r="A60" s="8" t="str">
        <f aca="false">IF(C60&lt;&gt;"","F"&amp;COUNT($C$4:C60),"")</f>
        <v/>
      </c>
      <c r="B60" s="9" t="str">
        <f aca="false">IF(OR(F60="LOC - INITIAL",F60="CONSOLIDATION - UPFRONT COMM",F60="REVERSE - TOTAL FUNDING"),A60,"")</f>
        <v/>
      </c>
      <c r="C60" s="10"/>
      <c r="D60" s="11"/>
      <c r="E60" s="11"/>
      <c r="F60" s="11"/>
      <c r="G60" s="12"/>
      <c r="H60" s="13"/>
      <c r="I60" s="11"/>
      <c r="J60" s="14" t="str">
        <f aca="false">IF(AND(G60&lt;&gt;"",H60&lt;&gt;""),G60*H60,"")</f>
        <v/>
      </c>
      <c r="K60" s="11"/>
      <c r="L60" s="15"/>
      <c r="M60" s="15"/>
      <c r="N60" s="14" t="n">
        <f aca="false">IF(OR(G60="",M60=""),0,IF(M60&gt;100,M60,G60*IF(M60&gt;1,M60/100,M60)))</f>
        <v>0</v>
      </c>
      <c r="O60" s="14" t="str">
        <f aca="false">IF(G60="","",G60*IF(L60="",0,IF(L60&gt;1,L60/100,L60))+N60)</f>
        <v/>
      </c>
      <c r="P60" s="11"/>
      <c r="Q60" s="16" t="str">
        <f aca="false">IF(P60="","",IFERROR(VLOOKUP(P60,PARTNERS!$A$2:$B$30,2,0),""))</f>
        <v/>
      </c>
      <c r="R60" s="17" t="str">
        <f aca="false">IF(O60="","",IF(OR(P60="",Q60=""),0,(O60-N60)*IF(Q60&gt;1,Q60/100,Q60)))</f>
        <v/>
      </c>
      <c r="S60" s="14" t="str">
        <f aca="false">IF(O60="","",O60-R60)</f>
        <v/>
      </c>
      <c r="T60" s="11"/>
      <c r="U60" s="18" t="str">
        <f aca="false">IF(T60="","",IFERROR(VLOOKUP(T60,REPS!$A$2:$D$40,2,0),""))</f>
        <v/>
      </c>
      <c r="V60" s="14" t="str">
        <f aca="false">IF(O60="","",IF(U60="",0,O60*IF(U60&gt;1,U60/100,U60)))</f>
        <v/>
      </c>
      <c r="W60" s="11"/>
      <c r="X60" s="18" t="str">
        <f aca="false">IF(W60="","",IFERROR(VLOOKUP(W60,REPS!$A$2:$D$40,3,0),""))</f>
        <v/>
      </c>
      <c r="Y60" s="14" t="str">
        <f aca="false">IF(O60="","",IF(X60="",0,O60*IF(X60&gt;1,X60/100,X60)))</f>
        <v/>
      </c>
      <c r="Z60" s="11"/>
      <c r="AA60" s="18" t="str">
        <f aca="false">IF(Z60="","",IFERROR(VLOOKUP(Z60,REPS!$A$2:$D$40,4,0),""))</f>
        <v/>
      </c>
      <c r="AB60" s="14" t="str">
        <f aca="false">IF(O60="","",IF(AA60="",0,O60*IF(AA60&gt;1,AA60/100,AA60)))</f>
        <v/>
      </c>
      <c r="AC60" s="14" t="str">
        <f aca="false">IF(O60="","",V60+Y60+AB60)</f>
        <v/>
      </c>
      <c r="AD60" s="19" t="str">
        <f aca="false">IF(O60="","",O60-R60-AC60)</f>
        <v/>
      </c>
      <c r="AE60" s="20"/>
      <c r="AF60" s="10"/>
      <c r="AG60" s="21" t="n">
        <f aca="false">IF(OR(AE60="",AE60=0),0,AE60*IF(U60="",0,IF(U60&gt;1,U60/100,U60)))</f>
        <v>0</v>
      </c>
      <c r="AH60" s="21" t="n">
        <f aca="false">IF(OR(AE60="",AE60=0),0,AE60*IF(X60="",0,IF(X60&gt;1,X60/100,X60)))</f>
        <v>0</v>
      </c>
      <c r="AI60" s="21" t="n">
        <f aca="false">IF(OR(AE60="",AE60=0),0,AE60*IF(AA60="",0,IF(AA60&gt;1,AA60/100,AA60)))</f>
        <v>0</v>
      </c>
      <c r="AJ60" s="21" t="n">
        <f aca="false">AG60+AH60+AI60</f>
        <v>0</v>
      </c>
      <c r="AK60" s="21" t="n">
        <f aca="false">IF(OR(AE60="",AE60=0),0,AE60-AJ60)</f>
        <v>0</v>
      </c>
      <c r="AL60" s="19" t="str">
        <f aca="false">IF(AD60="","",AD60-AK60)</f>
        <v/>
      </c>
      <c r="AM60" s="9" t="str">
        <f aca="false">IF(C60="","","Waiting for payment")</f>
        <v/>
      </c>
      <c r="AN60" s="10"/>
      <c r="AO60" s="10"/>
      <c r="AP60" s="22" t="str">
        <f aca="false">IF(OR(C60="",I60="",K60=""),"",IF(K60="Monthly",EDATE(C60,ROUND(I60*SETTINGS!$I$8,0)),WORKDAY(C60,ROUND(I60*SETTINGS!$I$8,0))))</f>
        <v/>
      </c>
      <c r="AQ60" s="9" t="str">
        <f aca="true">IF(C60="","",IF(AND(AP60&lt;&gt;"",TODAY()&gt;=AP60),"Refi Ready",IF(TODAY()-C60&gt;=SETTINGS!$I$11,"Prospecting","Performing")))</f>
        <v/>
      </c>
      <c r="AR60" s="22" t="str">
        <f aca="false">IF(OR(C60="",I60="",K60=""),"",IF(K60="Monthly",EDATE(C60,I60),WORKDAY(C60,I60)))</f>
        <v/>
      </c>
      <c r="AS60" s="11"/>
      <c r="AT60" s="23" t="str">
        <f aca="true">IF(C60="","",IF(AM60="Clawed Back","CLAWED",IF(TODAY()&lt;=C60+SETTINGS!$I$2,"⚠ AT RISK","SAFE")))</f>
        <v/>
      </c>
      <c r="AU60" s="11"/>
      <c r="AW60" s="24" t="n">
        <f aca="false">AW59+IF(AND(C60&lt;&gt;"",AO60&lt;&gt;"",OR('REP COMMISSION'!$B$3="",T60='REP COMMISSION'!$B$3,W60='REP COMMISSION'!$B$3,Z60='REP COMMISSION'!$B$3)),1,0)</f>
        <v>0</v>
      </c>
      <c r="AX60" s="24" t="n">
        <f aca="false">AX59+IF(AND(C60&lt;&gt;"",OR(F60="LOC - INITIAL",F60="CONSOLIDATION - UPFRONT COMM",F60="REVERSE - TOTAL FUNDING")),1,0)</f>
        <v>0</v>
      </c>
    </row>
    <row r="61" customFormat="false" ht="15" hidden="false" customHeight="false" outlineLevel="0" collapsed="false">
      <c r="A61" s="25" t="str">
        <f aca="false">IF(C61&lt;&gt;"","F"&amp;COUNT($C$4:C61),"")</f>
        <v/>
      </c>
      <c r="B61" s="26" t="str">
        <f aca="false">IF(OR(F61="LOC - INITIAL",F61="CONSOLIDATION - UPFRONT COMM",F61="REVERSE - TOTAL FUNDING"),A61,"")</f>
        <v/>
      </c>
      <c r="C61" s="27"/>
      <c r="D61" s="28"/>
      <c r="E61" s="28"/>
      <c r="F61" s="28"/>
      <c r="G61" s="29"/>
      <c r="H61" s="30"/>
      <c r="I61" s="28"/>
      <c r="J61" s="31" t="str">
        <f aca="false">IF(AND(G61&lt;&gt;"",H61&lt;&gt;""),G61*H61,"")</f>
        <v/>
      </c>
      <c r="K61" s="28"/>
      <c r="L61" s="32"/>
      <c r="M61" s="32"/>
      <c r="N61" s="31" t="n">
        <f aca="false">IF(OR(G61="",M61=""),0,IF(M61&gt;100,M61,G61*IF(M61&gt;1,M61/100,M61)))</f>
        <v>0</v>
      </c>
      <c r="O61" s="31" t="str">
        <f aca="false">IF(G61="","",G61*IF(L61="",0,IF(L61&gt;1,L61/100,L61))+N61)</f>
        <v/>
      </c>
      <c r="P61" s="28"/>
      <c r="Q61" s="33" t="str">
        <f aca="false">IF(P61="","",IFERROR(VLOOKUP(P61,PARTNERS!$A$2:$B$30,2,0),""))</f>
        <v/>
      </c>
      <c r="R61" s="17" t="str">
        <f aca="false">IF(O61="","",IF(OR(P61="",Q61=""),0,(O61-N61)*IF(Q61&gt;1,Q61/100,Q61)))</f>
        <v/>
      </c>
      <c r="S61" s="31" t="str">
        <f aca="false">IF(O61="","",O61-R61)</f>
        <v/>
      </c>
      <c r="T61" s="28"/>
      <c r="U61" s="34" t="str">
        <f aca="false">IF(T61="","",IFERROR(VLOOKUP(T61,REPS!$A$2:$D$40,2,0),""))</f>
        <v/>
      </c>
      <c r="V61" s="31" t="str">
        <f aca="false">IF(O61="","",IF(U61="",0,O61*IF(U61&gt;1,U61/100,U61)))</f>
        <v/>
      </c>
      <c r="W61" s="28"/>
      <c r="X61" s="34" t="str">
        <f aca="false">IF(W61="","",IFERROR(VLOOKUP(W61,REPS!$A$2:$D$40,3,0),""))</f>
        <v/>
      </c>
      <c r="Y61" s="31" t="str">
        <f aca="false">IF(O61="","",IF(X61="",0,O61*IF(X61&gt;1,X61/100,X61)))</f>
        <v/>
      </c>
      <c r="Z61" s="28"/>
      <c r="AA61" s="34" t="str">
        <f aca="false">IF(Z61="","",IFERROR(VLOOKUP(Z61,REPS!$A$2:$D$40,4,0),""))</f>
        <v/>
      </c>
      <c r="AB61" s="31" t="str">
        <f aca="false">IF(O61="","",IF(AA61="",0,O61*IF(AA61&gt;1,AA61/100,AA61)))</f>
        <v/>
      </c>
      <c r="AC61" s="31" t="str">
        <f aca="false">IF(O61="","",V61+Y61+AB61)</f>
        <v/>
      </c>
      <c r="AD61" s="19" t="str">
        <f aca="false">IF(O61="","",O61-R61-AC61)</f>
        <v/>
      </c>
      <c r="AE61" s="20"/>
      <c r="AF61" s="27"/>
      <c r="AG61" s="21" t="n">
        <f aca="false">IF(OR(AE61="",AE61=0),0,AE61*IF(U61="",0,IF(U61&gt;1,U61/100,U61)))</f>
        <v>0</v>
      </c>
      <c r="AH61" s="21" t="n">
        <f aca="false">IF(OR(AE61="",AE61=0),0,AE61*IF(X61="",0,IF(X61&gt;1,X61/100,X61)))</f>
        <v>0</v>
      </c>
      <c r="AI61" s="21" t="n">
        <f aca="false">IF(OR(AE61="",AE61=0),0,AE61*IF(AA61="",0,IF(AA61&gt;1,AA61/100,AA61)))</f>
        <v>0</v>
      </c>
      <c r="AJ61" s="21" t="n">
        <f aca="false">AG61+AH61+AI61</f>
        <v>0</v>
      </c>
      <c r="AK61" s="21" t="n">
        <f aca="false">IF(OR(AE61="",AE61=0),0,AE61-AJ61)</f>
        <v>0</v>
      </c>
      <c r="AL61" s="19" t="str">
        <f aca="false">IF(AD61="","",AD61-AK61)</f>
        <v/>
      </c>
      <c r="AM61" s="26" t="str">
        <f aca="false">IF(C61="","","Waiting for payment")</f>
        <v/>
      </c>
      <c r="AN61" s="27"/>
      <c r="AO61" s="27"/>
      <c r="AP61" s="35" t="str">
        <f aca="false">IF(OR(C61="",I61="",K61=""),"",IF(K61="Monthly",EDATE(C61,ROUND(I61*SETTINGS!$I$8,0)),WORKDAY(C61,ROUND(I61*SETTINGS!$I$8,0))))</f>
        <v/>
      </c>
      <c r="AQ61" s="26" t="str">
        <f aca="true">IF(C61="","",IF(AND(AP61&lt;&gt;"",TODAY()&gt;=AP61),"Refi Ready",IF(TODAY()-C61&gt;=SETTINGS!$I$11,"Prospecting","Performing")))</f>
        <v/>
      </c>
      <c r="AR61" s="35" t="str">
        <f aca="false">IF(OR(C61="",I61="",K61=""),"",IF(K61="Monthly",EDATE(C61,I61),WORKDAY(C61,I61)))</f>
        <v/>
      </c>
      <c r="AS61" s="28"/>
      <c r="AT61" s="36" t="str">
        <f aca="true">IF(C61="","",IF(AM61="Clawed Back","CLAWED",IF(TODAY()&lt;=C61+SETTINGS!$I$2,"⚠ AT RISK","SAFE")))</f>
        <v/>
      </c>
      <c r="AU61" s="28"/>
      <c r="AW61" s="24" t="n">
        <f aca="false">AW60+IF(AND(C61&lt;&gt;"",AO61&lt;&gt;"",OR('REP COMMISSION'!$B$3="",T61='REP COMMISSION'!$B$3,W61='REP COMMISSION'!$B$3,Z61='REP COMMISSION'!$B$3)),1,0)</f>
        <v>0</v>
      </c>
      <c r="AX61" s="24" t="n">
        <f aca="false">AX60+IF(AND(C61&lt;&gt;"",OR(F61="LOC - INITIAL",F61="CONSOLIDATION - UPFRONT COMM",F61="REVERSE - TOTAL FUNDING")),1,0)</f>
        <v>0</v>
      </c>
    </row>
    <row r="62" customFormat="false" ht="15" hidden="false" customHeight="false" outlineLevel="0" collapsed="false">
      <c r="A62" s="8" t="str">
        <f aca="false">IF(C62&lt;&gt;"","F"&amp;COUNT($C$4:C62),"")</f>
        <v/>
      </c>
      <c r="B62" s="9" t="str">
        <f aca="false">IF(OR(F62="LOC - INITIAL",F62="CONSOLIDATION - UPFRONT COMM",F62="REVERSE - TOTAL FUNDING"),A62,"")</f>
        <v/>
      </c>
      <c r="C62" s="10"/>
      <c r="D62" s="11"/>
      <c r="E62" s="11"/>
      <c r="F62" s="11"/>
      <c r="G62" s="12"/>
      <c r="H62" s="13"/>
      <c r="I62" s="11"/>
      <c r="J62" s="14" t="str">
        <f aca="false">IF(AND(G62&lt;&gt;"",H62&lt;&gt;""),G62*H62,"")</f>
        <v/>
      </c>
      <c r="K62" s="11"/>
      <c r="L62" s="15"/>
      <c r="M62" s="15"/>
      <c r="N62" s="14" t="n">
        <f aca="false">IF(OR(G62="",M62=""),0,IF(M62&gt;100,M62,G62*IF(M62&gt;1,M62/100,M62)))</f>
        <v>0</v>
      </c>
      <c r="O62" s="14" t="str">
        <f aca="false">IF(G62="","",G62*IF(L62="",0,IF(L62&gt;1,L62/100,L62))+N62)</f>
        <v/>
      </c>
      <c r="P62" s="11"/>
      <c r="Q62" s="16" t="str">
        <f aca="false">IF(P62="","",IFERROR(VLOOKUP(P62,PARTNERS!$A$2:$B$30,2,0),""))</f>
        <v/>
      </c>
      <c r="R62" s="17" t="str">
        <f aca="false">IF(O62="","",IF(OR(P62="",Q62=""),0,(O62-N62)*IF(Q62&gt;1,Q62/100,Q62)))</f>
        <v/>
      </c>
      <c r="S62" s="14" t="str">
        <f aca="false">IF(O62="","",O62-R62)</f>
        <v/>
      </c>
      <c r="T62" s="11"/>
      <c r="U62" s="18" t="str">
        <f aca="false">IF(T62="","",IFERROR(VLOOKUP(T62,REPS!$A$2:$D$40,2,0),""))</f>
        <v/>
      </c>
      <c r="V62" s="14" t="str">
        <f aca="false">IF(O62="","",IF(U62="",0,O62*IF(U62&gt;1,U62/100,U62)))</f>
        <v/>
      </c>
      <c r="W62" s="11"/>
      <c r="X62" s="18" t="str">
        <f aca="false">IF(W62="","",IFERROR(VLOOKUP(W62,REPS!$A$2:$D$40,3,0),""))</f>
        <v/>
      </c>
      <c r="Y62" s="14" t="str">
        <f aca="false">IF(O62="","",IF(X62="",0,O62*IF(X62&gt;1,X62/100,X62)))</f>
        <v/>
      </c>
      <c r="Z62" s="11"/>
      <c r="AA62" s="18" t="str">
        <f aca="false">IF(Z62="","",IFERROR(VLOOKUP(Z62,REPS!$A$2:$D$40,4,0),""))</f>
        <v/>
      </c>
      <c r="AB62" s="14" t="str">
        <f aca="false">IF(O62="","",IF(AA62="",0,O62*IF(AA62&gt;1,AA62/100,AA62)))</f>
        <v/>
      </c>
      <c r="AC62" s="14" t="str">
        <f aca="false">IF(O62="","",V62+Y62+AB62)</f>
        <v/>
      </c>
      <c r="AD62" s="19" t="str">
        <f aca="false">IF(O62="","",O62-R62-AC62)</f>
        <v/>
      </c>
      <c r="AE62" s="20"/>
      <c r="AF62" s="10"/>
      <c r="AG62" s="21" t="n">
        <f aca="false">IF(OR(AE62="",AE62=0),0,AE62*IF(U62="",0,IF(U62&gt;1,U62/100,U62)))</f>
        <v>0</v>
      </c>
      <c r="AH62" s="21" t="n">
        <f aca="false">IF(OR(AE62="",AE62=0),0,AE62*IF(X62="",0,IF(X62&gt;1,X62/100,X62)))</f>
        <v>0</v>
      </c>
      <c r="AI62" s="21" t="n">
        <f aca="false">IF(OR(AE62="",AE62=0),0,AE62*IF(AA62="",0,IF(AA62&gt;1,AA62/100,AA62)))</f>
        <v>0</v>
      </c>
      <c r="AJ62" s="21" t="n">
        <f aca="false">AG62+AH62+AI62</f>
        <v>0</v>
      </c>
      <c r="AK62" s="21" t="n">
        <f aca="false">IF(OR(AE62="",AE62=0),0,AE62-AJ62)</f>
        <v>0</v>
      </c>
      <c r="AL62" s="19" t="str">
        <f aca="false">IF(AD62="","",AD62-AK62)</f>
        <v/>
      </c>
      <c r="AM62" s="9" t="str">
        <f aca="false">IF(C62="","","Waiting for payment")</f>
        <v/>
      </c>
      <c r="AN62" s="10"/>
      <c r="AO62" s="10"/>
      <c r="AP62" s="22" t="str">
        <f aca="false">IF(OR(C62="",I62="",K62=""),"",IF(K62="Monthly",EDATE(C62,ROUND(I62*SETTINGS!$I$8,0)),WORKDAY(C62,ROUND(I62*SETTINGS!$I$8,0))))</f>
        <v/>
      </c>
      <c r="AQ62" s="9" t="str">
        <f aca="true">IF(C62="","",IF(AND(AP62&lt;&gt;"",TODAY()&gt;=AP62),"Refi Ready",IF(TODAY()-C62&gt;=SETTINGS!$I$11,"Prospecting","Performing")))</f>
        <v/>
      </c>
      <c r="AR62" s="22" t="str">
        <f aca="false">IF(OR(C62="",I62="",K62=""),"",IF(K62="Monthly",EDATE(C62,I62),WORKDAY(C62,I62)))</f>
        <v/>
      </c>
      <c r="AS62" s="11"/>
      <c r="AT62" s="23" t="str">
        <f aca="true">IF(C62="","",IF(AM62="Clawed Back","CLAWED",IF(TODAY()&lt;=C62+SETTINGS!$I$2,"⚠ AT RISK","SAFE")))</f>
        <v/>
      </c>
      <c r="AU62" s="11"/>
      <c r="AW62" s="24" t="n">
        <f aca="false">AW61+IF(AND(C62&lt;&gt;"",AO62&lt;&gt;"",OR('REP COMMISSION'!$B$3="",T62='REP COMMISSION'!$B$3,W62='REP COMMISSION'!$B$3,Z62='REP COMMISSION'!$B$3)),1,0)</f>
        <v>0</v>
      </c>
      <c r="AX62" s="24" t="n">
        <f aca="false">AX61+IF(AND(C62&lt;&gt;"",OR(F62="LOC - INITIAL",F62="CONSOLIDATION - UPFRONT COMM",F62="REVERSE - TOTAL FUNDING")),1,0)</f>
        <v>0</v>
      </c>
    </row>
    <row r="63" customFormat="false" ht="15" hidden="false" customHeight="false" outlineLevel="0" collapsed="false">
      <c r="A63" s="25" t="str">
        <f aca="false">IF(C63&lt;&gt;"","F"&amp;COUNT($C$4:C63),"")</f>
        <v/>
      </c>
      <c r="B63" s="26" t="str">
        <f aca="false">IF(OR(F63="LOC - INITIAL",F63="CONSOLIDATION - UPFRONT COMM",F63="REVERSE - TOTAL FUNDING"),A63,"")</f>
        <v/>
      </c>
      <c r="C63" s="27"/>
      <c r="D63" s="28"/>
      <c r="E63" s="28"/>
      <c r="F63" s="28"/>
      <c r="G63" s="29"/>
      <c r="H63" s="30"/>
      <c r="I63" s="28"/>
      <c r="J63" s="31" t="str">
        <f aca="false">IF(AND(G63&lt;&gt;"",H63&lt;&gt;""),G63*H63,"")</f>
        <v/>
      </c>
      <c r="K63" s="28"/>
      <c r="L63" s="32"/>
      <c r="M63" s="32"/>
      <c r="N63" s="31" t="n">
        <f aca="false">IF(OR(G63="",M63=""),0,IF(M63&gt;100,M63,G63*IF(M63&gt;1,M63/100,M63)))</f>
        <v>0</v>
      </c>
      <c r="O63" s="31" t="str">
        <f aca="false">IF(G63="","",G63*IF(L63="",0,IF(L63&gt;1,L63/100,L63))+N63)</f>
        <v/>
      </c>
      <c r="P63" s="28"/>
      <c r="Q63" s="33" t="str">
        <f aca="false">IF(P63="","",IFERROR(VLOOKUP(P63,PARTNERS!$A$2:$B$30,2,0),""))</f>
        <v/>
      </c>
      <c r="R63" s="17" t="str">
        <f aca="false">IF(O63="","",IF(OR(P63="",Q63=""),0,(O63-N63)*IF(Q63&gt;1,Q63/100,Q63)))</f>
        <v/>
      </c>
      <c r="S63" s="31" t="str">
        <f aca="false">IF(O63="","",O63-R63)</f>
        <v/>
      </c>
      <c r="T63" s="28"/>
      <c r="U63" s="34" t="str">
        <f aca="false">IF(T63="","",IFERROR(VLOOKUP(T63,REPS!$A$2:$D$40,2,0),""))</f>
        <v/>
      </c>
      <c r="V63" s="31" t="str">
        <f aca="false">IF(O63="","",IF(U63="",0,O63*IF(U63&gt;1,U63/100,U63)))</f>
        <v/>
      </c>
      <c r="W63" s="28"/>
      <c r="X63" s="34" t="str">
        <f aca="false">IF(W63="","",IFERROR(VLOOKUP(W63,REPS!$A$2:$D$40,3,0),""))</f>
        <v/>
      </c>
      <c r="Y63" s="31" t="str">
        <f aca="false">IF(O63="","",IF(X63="",0,O63*IF(X63&gt;1,X63/100,X63)))</f>
        <v/>
      </c>
      <c r="Z63" s="28"/>
      <c r="AA63" s="34" t="str">
        <f aca="false">IF(Z63="","",IFERROR(VLOOKUP(Z63,REPS!$A$2:$D$40,4,0),""))</f>
        <v/>
      </c>
      <c r="AB63" s="31" t="str">
        <f aca="false">IF(O63="","",IF(AA63="",0,O63*IF(AA63&gt;1,AA63/100,AA63)))</f>
        <v/>
      </c>
      <c r="AC63" s="31" t="str">
        <f aca="false">IF(O63="","",V63+Y63+AB63)</f>
        <v/>
      </c>
      <c r="AD63" s="19" t="str">
        <f aca="false">IF(O63="","",O63-R63-AC63)</f>
        <v/>
      </c>
      <c r="AE63" s="20"/>
      <c r="AF63" s="27"/>
      <c r="AG63" s="21" t="n">
        <f aca="false">IF(OR(AE63="",AE63=0),0,AE63*IF(U63="",0,IF(U63&gt;1,U63/100,U63)))</f>
        <v>0</v>
      </c>
      <c r="AH63" s="21" t="n">
        <f aca="false">IF(OR(AE63="",AE63=0),0,AE63*IF(X63="",0,IF(X63&gt;1,X63/100,X63)))</f>
        <v>0</v>
      </c>
      <c r="AI63" s="21" t="n">
        <f aca="false">IF(OR(AE63="",AE63=0),0,AE63*IF(AA63="",0,IF(AA63&gt;1,AA63/100,AA63)))</f>
        <v>0</v>
      </c>
      <c r="AJ63" s="21" t="n">
        <f aca="false">AG63+AH63+AI63</f>
        <v>0</v>
      </c>
      <c r="AK63" s="21" t="n">
        <f aca="false">IF(OR(AE63="",AE63=0),0,AE63-AJ63)</f>
        <v>0</v>
      </c>
      <c r="AL63" s="19" t="str">
        <f aca="false">IF(AD63="","",AD63-AK63)</f>
        <v/>
      </c>
      <c r="AM63" s="26" t="str">
        <f aca="false">IF(C63="","","Waiting for payment")</f>
        <v/>
      </c>
      <c r="AN63" s="27"/>
      <c r="AO63" s="27"/>
      <c r="AP63" s="35" t="str">
        <f aca="false">IF(OR(C63="",I63="",K63=""),"",IF(K63="Monthly",EDATE(C63,ROUND(I63*SETTINGS!$I$8,0)),WORKDAY(C63,ROUND(I63*SETTINGS!$I$8,0))))</f>
        <v/>
      </c>
      <c r="AQ63" s="26" t="str">
        <f aca="true">IF(C63="","",IF(AND(AP63&lt;&gt;"",TODAY()&gt;=AP63),"Refi Ready",IF(TODAY()-C63&gt;=SETTINGS!$I$11,"Prospecting","Performing")))</f>
        <v/>
      </c>
      <c r="AR63" s="35" t="str">
        <f aca="false">IF(OR(C63="",I63="",K63=""),"",IF(K63="Monthly",EDATE(C63,I63),WORKDAY(C63,I63)))</f>
        <v/>
      </c>
      <c r="AS63" s="28"/>
      <c r="AT63" s="36" t="str">
        <f aca="true">IF(C63="","",IF(AM63="Clawed Back","CLAWED",IF(TODAY()&lt;=C63+SETTINGS!$I$2,"⚠ AT RISK","SAFE")))</f>
        <v/>
      </c>
      <c r="AU63" s="28"/>
      <c r="AW63" s="24" t="n">
        <f aca="false">AW62+IF(AND(C63&lt;&gt;"",AO63&lt;&gt;"",OR('REP COMMISSION'!$B$3="",T63='REP COMMISSION'!$B$3,W63='REP COMMISSION'!$B$3,Z63='REP COMMISSION'!$B$3)),1,0)</f>
        <v>0</v>
      </c>
      <c r="AX63" s="24" t="n">
        <f aca="false">AX62+IF(AND(C63&lt;&gt;"",OR(F63="LOC - INITIAL",F63="CONSOLIDATION - UPFRONT COMM",F63="REVERSE - TOTAL FUNDING")),1,0)</f>
        <v>0</v>
      </c>
    </row>
    <row r="64" customFormat="false" ht="15" hidden="false" customHeight="false" outlineLevel="0" collapsed="false">
      <c r="A64" s="8" t="str">
        <f aca="false">IF(C64&lt;&gt;"","F"&amp;COUNT($C$4:C64),"")</f>
        <v/>
      </c>
      <c r="B64" s="9" t="str">
        <f aca="false">IF(OR(F64="LOC - INITIAL",F64="CONSOLIDATION - UPFRONT COMM",F64="REVERSE - TOTAL FUNDING"),A64,"")</f>
        <v/>
      </c>
      <c r="C64" s="10"/>
      <c r="D64" s="11"/>
      <c r="E64" s="11"/>
      <c r="F64" s="11"/>
      <c r="G64" s="12"/>
      <c r="H64" s="13"/>
      <c r="I64" s="11"/>
      <c r="J64" s="14" t="str">
        <f aca="false">IF(AND(G64&lt;&gt;"",H64&lt;&gt;""),G64*H64,"")</f>
        <v/>
      </c>
      <c r="K64" s="11"/>
      <c r="L64" s="15"/>
      <c r="M64" s="15"/>
      <c r="N64" s="14" t="n">
        <f aca="false">IF(OR(G64="",M64=""),0,IF(M64&gt;100,M64,G64*IF(M64&gt;1,M64/100,M64)))</f>
        <v>0</v>
      </c>
      <c r="O64" s="14" t="str">
        <f aca="false">IF(G64="","",G64*IF(L64="",0,IF(L64&gt;1,L64/100,L64))+N64)</f>
        <v/>
      </c>
      <c r="P64" s="11"/>
      <c r="Q64" s="16" t="str">
        <f aca="false">IF(P64="","",IFERROR(VLOOKUP(P64,PARTNERS!$A$2:$B$30,2,0),""))</f>
        <v/>
      </c>
      <c r="R64" s="17" t="str">
        <f aca="false">IF(O64="","",IF(OR(P64="",Q64=""),0,(O64-N64)*IF(Q64&gt;1,Q64/100,Q64)))</f>
        <v/>
      </c>
      <c r="S64" s="14" t="str">
        <f aca="false">IF(O64="","",O64-R64)</f>
        <v/>
      </c>
      <c r="T64" s="11"/>
      <c r="U64" s="18" t="str">
        <f aca="false">IF(T64="","",IFERROR(VLOOKUP(T64,REPS!$A$2:$D$40,2,0),""))</f>
        <v/>
      </c>
      <c r="V64" s="14" t="str">
        <f aca="false">IF(O64="","",IF(U64="",0,O64*IF(U64&gt;1,U64/100,U64)))</f>
        <v/>
      </c>
      <c r="W64" s="11"/>
      <c r="X64" s="18" t="str">
        <f aca="false">IF(W64="","",IFERROR(VLOOKUP(W64,REPS!$A$2:$D$40,3,0),""))</f>
        <v/>
      </c>
      <c r="Y64" s="14" t="str">
        <f aca="false">IF(O64="","",IF(X64="",0,O64*IF(X64&gt;1,X64/100,X64)))</f>
        <v/>
      </c>
      <c r="Z64" s="11"/>
      <c r="AA64" s="18" t="str">
        <f aca="false">IF(Z64="","",IFERROR(VLOOKUP(Z64,REPS!$A$2:$D$40,4,0),""))</f>
        <v/>
      </c>
      <c r="AB64" s="14" t="str">
        <f aca="false">IF(O64="","",IF(AA64="",0,O64*IF(AA64&gt;1,AA64/100,AA64)))</f>
        <v/>
      </c>
      <c r="AC64" s="14" t="str">
        <f aca="false">IF(O64="","",V64+Y64+AB64)</f>
        <v/>
      </c>
      <c r="AD64" s="19" t="str">
        <f aca="false">IF(O64="","",O64-R64-AC64)</f>
        <v/>
      </c>
      <c r="AE64" s="20"/>
      <c r="AF64" s="10"/>
      <c r="AG64" s="21" t="n">
        <f aca="false">IF(OR(AE64="",AE64=0),0,AE64*IF(U64="",0,IF(U64&gt;1,U64/100,U64)))</f>
        <v>0</v>
      </c>
      <c r="AH64" s="21" t="n">
        <f aca="false">IF(OR(AE64="",AE64=0),0,AE64*IF(X64="",0,IF(X64&gt;1,X64/100,X64)))</f>
        <v>0</v>
      </c>
      <c r="AI64" s="21" t="n">
        <f aca="false">IF(OR(AE64="",AE64=0),0,AE64*IF(AA64="",0,IF(AA64&gt;1,AA64/100,AA64)))</f>
        <v>0</v>
      </c>
      <c r="AJ64" s="21" t="n">
        <f aca="false">AG64+AH64+AI64</f>
        <v>0</v>
      </c>
      <c r="AK64" s="21" t="n">
        <f aca="false">IF(OR(AE64="",AE64=0),0,AE64-AJ64)</f>
        <v>0</v>
      </c>
      <c r="AL64" s="19" t="str">
        <f aca="false">IF(AD64="","",AD64-AK64)</f>
        <v/>
      </c>
      <c r="AM64" s="9" t="str">
        <f aca="false">IF(C64="","","Waiting for payment")</f>
        <v/>
      </c>
      <c r="AN64" s="10"/>
      <c r="AO64" s="10"/>
      <c r="AP64" s="22" t="str">
        <f aca="false">IF(OR(C64="",I64="",K64=""),"",IF(K64="Monthly",EDATE(C64,ROUND(I64*SETTINGS!$I$8,0)),WORKDAY(C64,ROUND(I64*SETTINGS!$I$8,0))))</f>
        <v/>
      </c>
      <c r="AQ64" s="9" t="str">
        <f aca="true">IF(C64="","",IF(AND(AP64&lt;&gt;"",TODAY()&gt;=AP64),"Refi Ready",IF(TODAY()-C64&gt;=SETTINGS!$I$11,"Prospecting","Performing")))</f>
        <v/>
      </c>
      <c r="AR64" s="22" t="str">
        <f aca="false">IF(OR(C64="",I64="",K64=""),"",IF(K64="Monthly",EDATE(C64,I64),WORKDAY(C64,I64)))</f>
        <v/>
      </c>
      <c r="AS64" s="11"/>
      <c r="AT64" s="23" t="str">
        <f aca="true">IF(C64="","",IF(AM64="Clawed Back","CLAWED",IF(TODAY()&lt;=C64+SETTINGS!$I$2,"⚠ AT RISK","SAFE")))</f>
        <v/>
      </c>
      <c r="AU64" s="11"/>
      <c r="AW64" s="24" t="n">
        <f aca="false">AW63+IF(AND(C64&lt;&gt;"",AO64&lt;&gt;"",OR('REP COMMISSION'!$B$3="",T64='REP COMMISSION'!$B$3,W64='REP COMMISSION'!$B$3,Z64='REP COMMISSION'!$B$3)),1,0)</f>
        <v>0</v>
      </c>
      <c r="AX64" s="24" t="n">
        <f aca="false">AX63+IF(AND(C64&lt;&gt;"",OR(F64="LOC - INITIAL",F64="CONSOLIDATION - UPFRONT COMM",F64="REVERSE - TOTAL FUNDING")),1,0)</f>
        <v>0</v>
      </c>
    </row>
    <row r="65" customFormat="false" ht="15" hidden="false" customHeight="false" outlineLevel="0" collapsed="false">
      <c r="A65" s="25" t="str">
        <f aca="false">IF(C65&lt;&gt;"","F"&amp;COUNT($C$4:C65),"")</f>
        <v/>
      </c>
      <c r="B65" s="26" t="str">
        <f aca="false">IF(OR(F65="LOC - INITIAL",F65="CONSOLIDATION - UPFRONT COMM",F65="REVERSE - TOTAL FUNDING"),A65,"")</f>
        <v/>
      </c>
      <c r="C65" s="27"/>
      <c r="D65" s="28"/>
      <c r="E65" s="28"/>
      <c r="F65" s="28"/>
      <c r="G65" s="29"/>
      <c r="H65" s="30"/>
      <c r="I65" s="28"/>
      <c r="J65" s="31" t="str">
        <f aca="false">IF(AND(G65&lt;&gt;"",H65&lt;&gt;""),G65*H65,"")</f>
        <v/>
      </c>
      <c r="K65" s="28"/>
      <c r="L65" s="32"/>
      <c r="M65" s="32"/>
      <c r="N65" s="31" t="n">
        <f aca="false">IF(OR(G65="",M65=""),0,IF(M65&gt;100,M65,G65*IF(M65&gt;1,M65/100,M65)))</f>
        <v>0</v>
      </c>
      <c r="O65" s="31" t="str">
        <f aca="false">IF(G65="","",G65*IF(L65="",0,IF(L65&gt;1,L65/100,L65))+N65)</f>
        <v/>
      </c>
      <c r="P65" s="28"/>
      <c r="Q65" s="33" t="str">
        <f aca="false">IF(P65="","",IFERROR(VLOOKUP(P65,PARTNERS!$A$2:$B$30,2,0),""))</f>
        <v/>
      </c>
      <c r="R65" s="17" t="str">
        <f aca="false">IF(O65="","",IF(OR(P65="",Q65=""),0,(O65-N65)*IF(Q65&gt;1,Q65/100,Q65)))</f>
        <v/>
      </c>
      <c r="S65" s="31" t="str">
        <f aca="false">IF(O65="","",O65-R65)</f>
        <v/>
      </c>
      <c r="T65" s="28"/>
      <c r="U65" s="34" t="str">
        <f aca="false">IF(T65="","",IFERROR(VLOOKUP(T65,REPS!$A$2:$D$40,2,0),""))</f>
        <v/>
      </c>
      <c r="V65" s="31" t="str">
        <f aca="false">IF(O65="","",IF(U65="",0,O65*IF(U65&gt;1,U65/100,U65)))</f>
        <v/>
      </c>
      <c r="W65" s="28"/>
      <c r="X65" s="34" t="str">
        <f aca="false">IF(W65="","",IFERROR(VLOOKUP(W65,REPS!$A$2:$D$40,3,0),""))</f>
        <v/>
      </c>
      <c r="Y65" s="31" t="str">
        <f aca="false">IF(O65="","",IF(X65="",0,O65*IF(X65&gt;1,X65/100,X65)))</f>
        <v/>
      </c>
      <c r="Z65" s="28"/>
      <c r="AA65" s="34" t="str">
        <f aca="false">IF(Z65="","",IFERROR(VLOOKUP(Z65,REPS!$A$2:$D$40,4,0),""))</f>
        <v/>
      </c>
      <c r="AB65" s="31" t="str">
        <f aca="false">IF(O65="","",IF(AA65="",0,O65*IF(AA65&gt;1,AA65/100,AA65)))</f>
        <v/>
      </c>
      <c r="AC65" s="31" t="str">
        <f aca="false">IF(O65="","",V65+Y65+AB65)</f>
        <v/>
      </c>
      <c r="AD65" s="19" t="str">
        <f aca="false">IF(O65="","",O65-R65-AC65)</f>
        <v/>
      </c>
      <c r="AE65" s="20"/>
      <c r="AF65" s="27"/>
      <c r="AG65" s="21" t="n">
        <f aca="false">IF(OR(AE65="",AE65=0),0,AE65*IF(U65="",0,IF(U65&gt;1,U65/100,U65)))</f>
        <v>0</v>
      </c>
      <c r="AH65" s="21" t="n">
        <f aca="false">IF(OR(AE65="",AE65=0),0,AE65*IF(X65="",0,IF(X65&gt;1,X65/100,X65)))</f>
        <v>0</v>
      </c>
      <c r="AI65" s="21" t="n">
        <f aca="false">IF(OR(AE65="",AE65=0),0,AE65*IF(AA65="",0,IF(AA65&gt;1,AA65/100,AA65)))</f>
        <v>0</v>
      </c>
      <c r="AJ65" s="21" t="n">
        <f aca="false">AG65+AH65+AI65</f>
        <v>0</v>
      </c>
      <c r="AK65" s="21" t="n">
        <f aca="false">IF(OR(AE65="",AE65=0),0,AE65-AJ65)</f>
        <v>0</v>
      </c>
      <c r="AL65" s="19" t="str">
        <f aca="false">IF(AD65="","",AD65-AK65)</f>
        <v/>
      </c>
      <c r="AM65" s="26" t="str">
        <f aca="false">IF(C65="","","Waiting for payment")</f>
        <v/>
      </c>
      <c r="AN65" s="27"/>
      <c r="AO65" s="27"/>
      <c r="AP65" s="35" t="str">
        <f aca="false">IF(OR(C65="",I65="",K65=""),"",IF(K65="Monthly",EDATE(C65,ROUND(I65*SETTINGS!$I$8,0)),WORKDAY(C65,ROUND(I65*SETTINGS!$I$8,0))))</f>
        <v/>
      </c>
      <c r="AQ65" s="26" t="str">
        <f aca="true">IF(C65="","",IF(AND(AP65&lt;&gt;"",TODAY()&gt;=AP65),"Refi Ready",IF(TODAY()-C65&gt;=SETTINGS!$I$11,"Prospecting","Performing")))</f>
        <v/>
      </c>
      <c r="AR65" s="35" t="str">
        <f aca="false">IF(OR(C65="",I65="",K65=""),"",IF(K65="Monthly",EDATE(C65,I65),WORKDAY(C65,I65)))</f>
        <v/>
      </c>
      <c r="AS65" s="28"/>
      <c r="AT65" s="36" t="str">
        <f aca="true">IF(C65="","",IF(AM65="Clawed Back","CLAWED",IF(TODAY()&lt;=C65+SETTINGS!$I$2,"⚠ AT RISK","SAFE")))</f>
        <v/>
      </c>
      <c r="AU65" s="28"/>
      <c r="AW65" s="24" t="n">
        <f aca="false">AW64+IF(AND(C65&lt;&gt;"",AO65&lt;&gt;"",OR('REP COMMISSION'!$B$3="",T65='REP COMMISSION'!$B$3,W65='REP COMMISSION'!$B$3,Z65='REP COMMISSION'!$B$3)),1,0)</f>
        <v>0</v>
      </c>
      <c r="AX65" s="24" t="n">
        <f aca="false">AX64+IF(AND(C65&lt;&gt;"",OR(F65="LOC - INITIAL",F65="CONSOLIDATION - UPFRONT COMM",F65="REVERSE - TOTAL FUNDING")),1,0)</f>
        <v>0</v>
      </c>
    </row>
    <row r="66" customFormat="false" ht="15" hidden="false" customHeight="false" outlineLevel="0" collapsed="false">
      <c r="A66" s="8" t="str">
        <f aca="false">IF(C66&lt;&gt;"","F"&amp;COUNT($C$4:C66),"")</f>
        <v/>
      </c>
      <c r="B66" s="9" t="str">
        <f aca="false">IF(OR(F66="LOC - INITIAL",F66="CONSOLIDATION - UPFRONT COMM",F66="REVERSE - TOTAL FUNDING"),A66,"")</f>
        <v/>
      </c>
      <c r="C66" s="10"/>
      <c r="D66" s="11"/>
      <c r="E66" s="11"/>
      <c r="F66" s="11"/>
      <c r="G66" s="12"/>
      <c r="H66" s="13"/>
      <c r="I66" s="11"/>
      <c r="J66" s="14" t="str">
        <f aca="false">IF(AND(G66&lt;&gt;"",H66&lt;&gt;""),G66*H66,"")</f>
        <v/>
      </c>
      <c r="K66" s="11"/>
      <c r="L66" s="15"/>
      <c r="M66" s="15"/>
      <c r="N66" s="14" t="n">
        <f aca="false">IF(OR(G66="",M66=""),0,IF(M66&gt;100,M66,G66*IF(M66&gt;1,M66/100,M66)))</f>
        <v>0</v>
      </c>
      <c r="O66" s="14" t="str">
        <f aca="false">IF(G66="","",G66*IF(L66="",0,IF(L66&gt;1,L66/100,L66))+N66)</f>
        <v/>
      </c>
      <c r="P66" s="11"/>
      <c r="Q66" s="16" t="str">
        <f aca="false">IF(P66="","",IFERROR(VLOOKUP(P66,PARTNERS!$A$2:$B$30,2,0),""))</f>
        <v/>
      </c>
      <c r="R66" s="17" t="str">
        <f aca="false">IF(O66="","",IF(OR(P66="",Q66=""),0,(O66-N66)*IF(Q66&gt;1,Q66/100,Q66)))</f>
        <v/>
      </c>
      <c r="S66" s="14" t="str">
        <f aca="false">IF(O66="","",O66-R66)</f>
        <v/>
      </c>
      <c r="T66" s="11"/>
      <c r="U66" s="18" t="str">
        <f aca="false">IF(T66="","",IFERROR(VLOOKUP(T66,REPS!$A$2:$D$40,2,0),""))</f>
        <v/>
      </c>
      <c r="V66" s="14" t="str">
        <f aca="false">IF(O66="","",IF(U66="",0,O66*IF(U66&gt;1,U66/100,U66)))</f>
        <v/>
      </c>
      <c r="W66" s="11"/>
      <c r="X66" s="18" t="str">
        <f aca="false">IF(W66="","",IFERROR(VLOOKUP(W66,REPS!$A$2:$D$40,3,0),""))</f>
        <v/>
      </c>
      <c r="Y66" s="14" t="str">
        <f aca="false">IF(O66="","",IF(X66="",0,O66*IF(X66&gt;1,X66/100,X66)))</f>
        <v/>
      </c>
      <c r="Z66" s="11"/>
      <c r="AA66" s="18" t="str">
        <f aca="false">IF(Z66="","",IFERROR(VLOOKUP(Z66,REPS!$A$2:$D$40,4,0),""))</f>
        <v/>
      </c>
      <c r="AB66" s="14" t="str">
        <f aca="false">IF(O66="","",IF(AA66="",0,O66*IF(AA66&gt;1,AA66/100,AA66)))</f>
        <v/>
      </c>
      <c r="AC66" s="14" t="str">
        <f aca="false">IF(O66="","",V66+Y66+AB66)</f>
        <v/>
      </c>
      <c r="AD66" s="19" t="str">
        <f aca="false">IF(O66="","",O66-R66-AC66)</f>
        <v/>
      </c>
      <c r="AE66" s="20"/>
      <c r="AF66" s="10"/>
      <c r="AG66" s="21" t="n">
        <f aca="false">IF(OR(AE66="",AE66=0),0,AE66*IF(U66="",0,IF(U66&gt;1,U66/100,U66)))</f>
        <v>0</v>
      </c>
      <c r="AH66" s="21" t="n">
        <f aca="false">IF(OR(AE66="",AE66=0),0,AE66*IF(X66="",0,IF(X66&gt;1,X66/100,X66)))</f>
        <v>0</v>
      </c>
      <c r="AI66" s="21" t="n">
        <f aca="false">IF(OR(AE66="",AE66=0),0,AE66*IF(AA66="",0,IF(AA66&gt;1,AA66/100,AA66)))</f>
        <v>0</v>
      </c>
      <c r="AJ66" s="21" t="n">
        <f aca="false">AG66+AH66+AI66</f>
        <v>0</v>
      </c>
      <c r="AK66" s="21" t="n">
        <f aca="false">IF(OR(AE66="",AE66=0),0,AE66-AJ66)</f>
        <v>0</v>
      </c>
      <c r="AL66" s="19" t="str">
        <f aca="false">IF(AD66="","",AD66-AK66)</f>
        <v/>
      </c>
      <c r="AM66" s="9" t="str">
        <f aca="false">IF(C66="","","Waiting for payment")</f>
        <v/>
      </c>
      <c r="AN66" s="10"/>
      <c r="AO66" s="10"/>
      <c r="AP66" s="22" t="str">
        <f aca="false">IF(OR(C66="",I66="",K66=""),"",IF(K66="Monthly",EDATE(C66,ROUND(I66*SETTINGS!$I$8,0)),WORKDAY(C66,ROUND(I66*SETTINGS!$I$8,0))))</f>
        <v/>
      </c>
      <c r="AQ66" s="9" t="str">
        <f aca="true">IF(C66="","",IF(AND(AP66&lt;&gt;"",TODAY()&gt;=AP66),"Refi Ready",IF(TODAY()-C66&gt;=SETTINGS!$I$11,"Prospecting","Performing")))</f>
        <v/>
      </c>
      <c r="AR66" s="22" t="str">
        <f aca="false">IF(OR(C66="",I66="",K66=""),"",IF(K66="Monthly",EDATE(C66,I66),WORKDAY(C66,I66)))</f>
        <v/>
      </c>
      <c r="AS66" s="11"/>
      <c r="AT66" s="23" t="str">
        <f aca="true">IF(C66="","",IF(AM66="Clawed Back","CLAWED",IF(TODAY()&lt;=C66+SETTINGS!$I$2,"⚠ AT RISK","SAFE")))</f>
        <v/>
      </c>
      <c r="AU66" s="11"/>
      <c r="AW66" s="24" t="n">
        <f aca="false">AW65+IF(AND(C66&lt;&gt;"",AO66&lt;&gt;"",OR('REP COMMISSION'!$B$3="",T66='REP COMMISSION'!$B$3,W66='REP COMMISSION'!$B$3,Z66='REP COMMISSION'!$B$3)),1,0)</f>
        <v>0</v>
      </c>
      <c r="AX66" s="24" t="n">
        <f aca="false">AX65+IF(AND(C66&lt;&gt;"",OR(F66="LOC - INITIAL",F66="CONSOLIDATION - UPFRONT COMM",F66="REVERSE - TOTAL FUNDING")),1,0)</f>
        <v>0</v>
      </c>
    </row>
    <row r="67" customFormat="false" ht="15" hidden="false" customHeight="false" outlineLevel="0" collapsed="false">
      <c r="A67" s="25" t="str">
        <f aca="false">IF(C67&lt;&gt;"","F"&amp;COUNT($C$4:C67),"")</f>
        <v/>
      </c>
      <c r="B67" s="26" t="str">
        <f aca="false">IF(OR(F67="LOC - INITIAL",F67="CONSOLIDATION - UPFRONT COMM",F67="REVERSE - TOTAL FUNDING"),A67,"")</f>
        <v/>
      </c>
      <c r="C67" s="27"/>
      <c r="D67" s="28"/>
      <c r="E67" s="28"/>
      <c r="F67" s="28"/>
      <c r="G67" s="29"/>
      <c r="H67" s="30"/>
      <c r="I67" s="28"/>
      <c r="J67" s="31" t="str">
        <f aca="false">IF(AND(G67&lt;&gt;"",H67&lt;&gt;""),G67*H67,"")</f>
        <v/>
      </c>
      <c r="K67" s="28"/>
      <c r="L67" s="32"/>
      <c r="M67" s="32"/>
      <c r="N67" s="31" t="n">
        <f aca="false">IF(OR(G67="",M67=""),0,IF(M67&gt;100,M67,G67*IF(M67&gt;1,M67/100,M67)))</f>
        <v>0</v>
      </c>
      <c r="O67" s="31" t="str">
        <f aca="false">IF(G67="","",G67*IF(L67="",0,IF(L67&gt;1,L67/100,L67))+N67)</f>
        <v/>
      </c>
      <c r="P67" s="28"/>
      <c r="Q67" s="33" t="str">
        <f aca="false">IF(P67="","",IFERROR(VLOOKUP(P67,PARTNERS!$A$2:$B$30,2,0),""))</f>
        <v/>
      </c>
      <c r="R67" s="17" t="str">
        <f aca="false">IF(O67="","",IF(OR(P67="",Q67=""),0,(O67-N67)*IF(Q67&gt;1,Q67/100,Q67)))</f>
        <v/>
      </c>
      <c r="S67" s="31" t="str">
        <f aca="false">IF(O67="","",O67-R67)</f>
        <v/>
      </c>
      <c r="T67" s="28"/>
      <c r="U67" s="34" t="str">
        <f aca="false">IF(T67="","",IFERROR(VLOOKUP(T67,REPS!$A$2:$D$40,2,0),""))</f>
        <v/>
      </c>
      <c r="V67" s="31" t="str">
        <f aca="false">IF(O67="","",IF(U67="",0,O67*IF(U67&gt;1,U67/100,U67)))</f>
        <v/>
      </c>
      <c r="W67" s="28"/>
      <c r="X67" s="34" t="str">
        <f aca="false">IF(W67="","",IFERROR(VLOOKUP(W67,REPS!$A$2:$D$40,3,0),""))</f>
        <v/>
      </c>
      <c r="Y67" s="31" t="str">
        <f aca="false">IF(O67="","",IF(X67="",0,O67*IF(X67&gt;1,X67/100,X67)))</f>
        <v/>
      </c>
      <c r="Z67" s="28"/>
      <c r="AA67" s="34" t="str">
        <f aca="false">IF(Z67="","",IFERROR(VLOOKUP(Z67,REPS!$A$2:$D$40,4,0),""))</f>
        <v/>
      </c>
      <c r="AB67" s="31" t="str">
        <f aca="false">IF(O67="","",IF(AA67="",0,O67*IF(AA67&gt;1,AA67/100,AA67)))</f>
        <v/>
      </c>
      <c r="AC67" s="31" t="str">
        <f aca="false">IF(O67="","",V67+Y67+AB67)</f>
        <v/>
      </c>
      <c r="AD67" s="19" t="str">
        <f aca="false">IF(O67="","",O67-R67-AC67)</f>
        <v/>
      </c>
      <c r="AE67" s="20"/>
      <c r="AF67" s="27"/>
      <c r="AG67" s="21" t="n">
        <f aca="false">IF(OR(AE67="",AE67=0),0,AE67*IF(U67="",0,IF(U67&gt;1,U67/100,U67)))</f>
        <v>0</v>
      </c>
      <c r="AH67" s="21" t="n">
        <f aca="false">IF(OR(AE67="",AE67=0),0,AE67*IF(X67="",0,IF(X67&gt;1,X67/100,X67)))</f>
        <v>0</v>
      </c>
      <c r="AI67" s="21" t="n">
        <f aca="false">IF(OR(AE67="",AE67=0),0,AE67*IF(AA67="",0,IF(AA67&gt;1,AA67/100,AA67)))</f>
        <v>0</v>
      </c>
      <c r="AJ67" s="21" t="n">
        <f aca="false">AG67+AH67+AI67</f>
        <v>0</v>
      </c>
      <c r="AK67" s="21" t="n">
        <f aca="false">IF(OR(AE67="",AE67=0),0,AE67-AJ67)</f>
        <v>0</v>
      </c>
      <c r="AL67" s="19" t="str">
        <f aca="false">IF(AD67="","",AD67-AK67)</f>
        <v/>
      </c>
      <c r="AM67" s="26" t="str">
        <f aca="false">IF(C67="","","Waiting for payment")</f>
        <v/>
      </c>
      <c r="AN67" s="27"/>
      <c r="AO67" s="27"/>
      <c r="AP67" s="35" t="str">
        <f aca="false">IF(OR(C67="",I67="",K67=""),"",IF(K67="Monthly",EDATE(C67,ROUND(I67*SETTINGS!$I$8,0)),WORKDAY(C67,ROUND(I67*SETTINGS!$I$8,0))))</f>
        <v/>
      </c>
      <c r="AQ67" s="26" t="str">
        <f aca="true">IF(C67="","",IF(AND(AP67&lt;&gt;"",TODAY()&gt;=AP67),"Refi Ready",IF(TODAY()-C67&gt;=SETTINGS!$I$11,"Prospecting","Performing")))</f>
        <v/>
      </c>
      <c r="AR67" s="35" t="str">
        <f aca="false">IF(OR(C67="",I67="",K67=""),"",IF(K67="Monthly",EDATE(C67,I67),WORKDAY(C67,I67)))</f>
        <v/>
      </c>
      <c r="AS67" s="28"/>
      <c r="AT67" s="36" t="str">
        <f aca="true">IF(C67="","",IF(AM67="Clawed Back","CLAWED",IF(TODAY()&lt;=C67+SETTINGS!$I$2,"⚠ AT RISK","SAFE")))</f>
        <v/>
      </c>
      <c r="AU67" s="28"/>
      <c r="AW67" s="24" t="n">
        <f aca="false">AW66+IF(AND(C67&lt;&gt;"",AO67&lt;&gt;"",OR('REP COMMISSION'!$B$3="",T67='REP COMMISSION'!$B$3,W67='REP COMMISSION'!$B$3,Z67='REP COMMISSION'!$B$3)),1,0)</f>
        <v>0</v>
      </c>
      <c r="AX67" s="24" t="n">
        <f aca="false">AX66+IF(AND(C67&lt;&gt;"",OR(F67="LOC - INITIAL",F67="CONSOLIDATION - UPFRONT COMM",F67="REVERSE - TOTAL FUNDING")),1,0)</f>
        <v>0</v>
      </c>
    </row>
    <row r="68" customFormat="false" ht="15" hidden="false" customHeight="false" outlineLevel="0" collapsed="false">
      <c r="A68" s="8" t="str">
        <f aca="false">IF(C68&lt;&gt;"","F"&amp;COUNT($C$4:C68),"")</f>
        <v/>
      </c>
      <c r="B68" s="9" t="str">
        <f aca="false">IF(OR(F68="LOC - INITIAL",F68="CONSOLIDATION - UPFRONT COMM",F68="REVERSE - TOTAL FUNDING"),A68,"")</f>
        <v/>
      </c>
      <c r="C68" s="10"/>
      <c r="D68" s="11"/>
      <c r="E68" s="11"/>
      <c r="F68" s="11"/>
      <c r="G68" s="12"/>
      <c r="H68" s="13"/>
      <c r="I68" s="11"/>
      <c r="J68" s="14" t="str">
        <f aca="false">IF(AND(G68&lt;&gt;"",H68&lt;&gt;""),G68*H68,"")</f>
        <v/>
      </c>
      <c r="K68" s="11"/>
      <c r="L68" s="15"/>
      <c r="M68" s="15"/>
      <c r="N68" s="14" t="n">
        <f aca="false">IF(OR(G68="",M68=""),0,IF(M68&gt;100,M68,G68*IF(M68&gt;1,M68/100,M68)))</f>
        <v>0</v>
      </c>
      <c r="O68" s="14" t="str">
        <f aca="false">IF(G68="","",G68*IF(L68="",0,IF(L68&gt;1,L68/100,L68))+N68)</f>
        <v/>
      </c>
      <c r="P68" s="11"/>
      <c r="Q68" s="16" t="str">
        <f aca="false">IF(P68="","",IFERROR(VLOOKUP(P68,PARTNERS!$A$2:$B$30,2,0),""))</f>
        <v/>
      </c>
      <c r="R68" s="17" t="str">
        <f aca="false">IF(O68="","",IF(OR(P68="",Q68=""),0,(O68-N68)*IF(Q68&gt;1,Q68/100,Q68)))</f>
        <v/>
      </c>
      <c r="S68" s="14" t="str">
        <f aca="false">IF(O68="","",O68-R68)</f>
        <v/>
      </c>
      <c r="T68" s="11"/>
      <c r="U68" s="18" t="str">
        <f aca="false">IF(T68="","",IFERROR(VLOOKUP(T68,REPS!$A$2:$D$40,2,0),""))</f>
        <v/>
      </c>
      <c r="V68" s="14" t="str">
        <f aca="false">IF(O68="","",IF(U68="",0,O68*IF(U68&gt;1,U68/100,U68)))</f>
        <v/>
      </c>
      <c r="W68" s="11"/>
      <c r="X68" s="18" t="str">
        <f aca="false">IF(W68="","",IFERROR(VLOOKUP(W68,REPS!$A$2:$D$40,3,0),""))</f>
        <v/>
      </c>
      <c r="Y68" s="14" t="str">
        <f aca="false">IF(O68="","",IF(X68="",0,O68*IF(X68&gt;1,X68/100,X68)))</f>
        <v/>
      </c>
      <c r="Z68" s="11"/>
      <c r="AA68" s="18" t="str">
        <f aca="false">IF(Z68="","",IFERROR(VLOOKUP(Z68,REPS!$A$2:$D$40,4,0),""))</f>
        <v/>
      </c>
      <c r="AB68" s="14" t="str">
        <f aca="false">IF(O68="","",IF(AA68="",0,O68*IF(AA68&gt;1,AA68/100,AA68)))</f>
        <v/>
      </c>
      <c r="AC68" s="14" t="str">
        <f aca="false">IF(O68="","",V68+Y68+AB68)</f>
        <v/>
      </c>
      <c r="AD68" s="19" t="str">
        <f aca="false">IF(O68="","",O68-R68-AC68)</f>
        <v/>
      </c>
      <c r="AE68" s="20"/>
      <c r="AF68" s="10"/>
      <c r="AG68" s="21" t="n">
        <f aca="false">IF(OR(AE68="",AE68=0),0,AE68*IF(U68="",0,IF(U68&gt;1,U68/100,U68)))</f>
        <v>0</v>
      </c>
      <c r="AH68" s="21" t="n">
        <f aca="false">IF(OR(AE68="",AE68=0),0,AE68*IF(X68="",0,IF(X68&gt;1,X68/100,X68)))</f>
        <v>0</v>
      </c>
      <c r="AI68" s="21" t="n">
        <f aca="false">IF(OR(AE68="",AE68=0),0,AE68*IF(AA68="",0,IF(AA68&gt;1,AA68/100,AA68)))</f>
        <v>0</v>
      </c>
      <c r="AJ68" s="21" t="n">
        <f aca="false">AG68+AH68+AI68</f>
        <v>0</v>
      </c>
      <c r="AK68" s="21" t="n">
        <f aca="false">IF(OR(AE68="",AE68=0),0,AE68-AJ68)</f>
        <v>0</v>
      </c>
      <c r="AL68" s="19" t="str">
        <f aca="false">IF(AD68="","",AD68-AK68)</f>
        <v/>
      </c>
      <c r="AM68" s="9" t="str">
        <f aca="false">IF(C68="","","Waiting for payment")</f>
        <v/>
      </c>
      <c r="AN68" s="10"/>
      <c r="AO68" s="10"/>
      <c r="AP68" s="22" t="str">
        <f aca="false">IF(OR(C68="",I68="",K68=""),"",IF(K68="Monthly",EDATE(C68,ROUND(I68*SETTINGS!$I$8,0)),WORKDAY(C68,ROUND(I68*SETTINGS!$I$8,0))))</f>
        <v/>
      </c>
      <c r="AQ68" s="9" t="str">
        <f aca="true">IF(C68="","",IF(AND(AP68&lt;&gt;"",TODAY()&gt;=AP68),"Refi Ready",IF(TODAY()-C68&gt;=SETTINGS!$I$11,"Prospecting","Performing")))</f>
        <v/>
      </c>
      <c r="AR68" s="22" t="str">
        <f aca="false">IF(OR(C68="",I68="",K68=""),"",IF(K68="Monthly",EDATE(C68,I68),WORKDAY(C68,I68)))</f>
        <v/>
      </c>
      <c r="AS68" s="11"/>
      <c r="AT68" s="23" t="str">
        <f aca="true">IF(C68="","",IF(AM68="Clawed Back","CLAWED",IF(TODAY()&lt;=C68+SETTINGS!$I$2,"⚠ AT RISK","SAFE")))</f>
        <v/>
      </c>
      <c r="AU68" s="11"/>
      <c r="AW68" s="24" t="n">
        <f aca="false">AW67+IF(AND(C68&lt;&gt;"",AO68&lt;&gt;"",OR('REP COMMISSION'!$B$3="",T68='REP COMMISSION'!$B$3,W68='REP COMMISSION'!$B$3,Z68='REP COMMISSION'!$B$3)),1,0)</f>
        <v>0</v>
      </c>
      <c r="AX68" s="24" t="n">
        <f aca="false">AX67+IF(AND(C68&lt;&gt;"",OR(F68="LOC - INITIAL",F68="CONSOLIDATION - UPFRONT COMM",F68="REVERSE - TOTAL FUNDING")),1,0)</f>
        <v>0</v>
      </c>
    </row>
    <row r="69" customFormat="false" ht="15" hidden="false" customHeight="false" outlineLevel="0" collapsed="false">
      <c r="A69" s="25" t="str">
        <f aca="false">IF(C69&lt;&gt;"","F"&amp;COUNT($C$4:C69),"")</f>
        <v/>
      </c>
      <c r="B69" s="26" t="str">
        <f aca="false">IF(OR(F69="LOC - INITIAL",F69="CONSOLIDATION - UPFRONT COMM",F69="REVERSE - TOTAL FUNDING"),A69,"")</f>
        <v/>
      </c>
      <c r="C69" s="27"/>
      <c r="D69" s="28"/>
      <c r="E69" s="28"/>
      <c r="F69" s="28"/>
      <c r="G69" s="29"/>
      <c r="H69" s="30"/>
      <c r="I69" s="28"/>
      <c r="J69" s="31" t="str">
        <f aca="false">IF(AND(G69&lt;&gt;"",H69&lt;&gt;""),G69*H69,"")</f>
        <v/>
      </c>
      <c r="K69" s="28"/>
      <c r="L69" s="32"/>
      <c r="M69" s="32"/>
      <c r="N69" s="31" t="n">
        <f aca="false">IF(OR(G69="",M69=""),0,IF(M69&gt;100,M69,G69*IF(M69&gt;1,M69/100,M69)))</f>
        <v>0</v>
      </c>
      <c r="O69" s="31" t="str">
        <f aca="false">IF(G69="","",G69*IF(L69="",0,IF(L69&gt;1,L69/100,L69))+N69)</f>
        <v/>
      </c>
      <c r="P69" s="28"/>
      <c r="Q69" s="33" t="str">
        <f aca="false">IF(P69="","",IFERROR(VLOOKUP(P69,PARTNERS!$A$2:$B$30,2,0),""))</f>
        <v/>
      </c>
      <c r="R69" s="17" t="str">
        <f aca="false">IF(O69="","",IF(OR(P69="",Q69=""),0,(O69-N69)*IF(Q69&gt;1,Q69/100,Q69)))</f>
        <v/>
      </c>
      <c r="S69" s="31" t="str">
        <f aca="false">IF(O69="","",O69-R69)</f>
        <v/>
      </c>
      <c r="T69" s="28"/>
      <c r="U69" s="34" t="str">
        <f aca="false">IF(T69="","",IFERROR(VLOOKUP(T69,REPS!$A$2:$D$40,2,0),""))</f>
        <v/>
      </c>
      <c r="V69" s="31" t="str">
        <f aca="false">IF(O69="","",IF(U69="",0,O69*IF(U69&gt;1,U69/100,U69)))</f>
        <v/>
      </c>
      <c r="W69" s="28"/>
      <c r="X69" s="34" t="str">
        <f aca="false">IF(W69="","",IFERROR(VLOOKUP(W69,REPS!$A$2:$D$40,3,0),""))</f>
        <v/>
      </c>
      <c r="Y69" s="31" t="str">
        <f aca="false">IF(O69="","",IF(X69="",0,O69*IF(X69&gt;1,X69/100,X69)))</f>
        <v/>
      </c>
      <c r="Z69" s="28"/>
      <c r="AA69" s="34" t="str">
        <f aca="false">IF(Z69="","",IFERROR(VLOOKUP(Z69,REPS!$A$2:$D$40,4,0),""))</f>
        <v/>
      </c>
      <c r="AB69" s="31" t="str">
        <f aca="false">IF(O69="","",IF(AA69="",0,O69*IF(AA69&gt;1,AA69/100,AA69)))</f>
        <v/>
      </c>
      <c r="AC69" s="31" t="str">
        <f aca="false">IF(O69="","",V69+Y69+AB69)</f>
        <v/>
      </c>
      <c r="AD69" s="19" t="str">
        <f aca="false">IF(O69="","",O69-R69-AC69)</f>
        <v/>
      </c>
      <c r="AE69" s="20"/>
      <c r="AF69" s="27"/>
      <c r="AG69" s="21" t="n">
        <f aca="false">IF(OR(AE69="",AE69=0),0,AE69*IF(U69="",0,IF(U69&gt;1,U69/100,U69)))</f>
        <v>0</v>
      </c>
      <c r="AH69" s="21" t="n">
        <f aca="false">IF(OR(AE69="",AE69=0),0,AE69*IF(X69="",0,IF(X69&gt;1,X69/100,X69)))</f>
        <v>0</v>
      </c>
      <c r="AI69" s="21" t="n">
        <f aca="false">IF(OR(AE69="",AE69=0),0,AE69*IF(AA69="",0,IF(AA69&gt;1,AA69/100,AA69)))</f>
        <v>0</v>
      </c>
      <c r="AJ69" s="21" t="n">
        <f aca="false">AG69+AH69+AI69</f>
        <v>0</v>
      </c>
      <c r="AK69" s="21" t="n">
        <f aca="false">IF(OR(AE69="",AE69=0),0,AE69-AJ69)</f>
        <v>0</v>
      </c>
      <c r="AL69" s="19" t="str">
        <f aca="false">IF(AD69="","",AD69-AK69)</f>
        <v/>
      </c>
      <c r="AM69" s="26" t="str">
        <f aca="false">IF(C69="","","Waiting for payment")</f>
        <v/>
      </c>
      <c r="AN69" s="27"/>
      <c r="AO69" s="27"/>
      <c r="AP69" s="35" t="str">
        <f aca="false">IF(OR(C69="",I69="",K69=""),"",IF(K69="Monthly",EDATE(C69,ROUND(I69*SETTINGS!$I$8,0)),WORKDAY(C69,ROUND(I69*SETTINGS!$I$8,0))))</f>
        <v/>
      </c>
      <c r="AQ69" s="26" t="str">
        <f aca="true">IF(C69="","",IF(AND(AP69&lt;&gt;"",TODAY()&gt;=AP69),"Refi Ready",IF(TODAY()-C69&gt;=SETTINGS!$I$11,"Prospecting","Performing")))</f>
        <v/>
      </c>
      <c r="AR69" s="35" t="str">
        <f aca="false">IF(OR(C69="",I69="",K69=""),"",IF(K69="Monthly",EDATE(C69,I69),WORKDAY(C69,I69)))</f>
        <v/>
      </c>
      <c r="AS69" s="28"/>
      <c r="AT69" s="36" t="str">
        <f aca="true">IF(C69="","",IF(AM69="Clawed Back","CLAWED",IF(TODAY()&lt;=C69+SETTINGS!$I$2,"⚠ AT RISK","SAFE")))</f>
        <v/>
      </c>
      <c r="AU69" s="28"/>
      <c r="AW69" s="24" t="n">
        <f aca="false">AW68+IF(AND(C69&lt;&gt;"",AO69&lt;&gt;"",OR('REP COMMISSION'!$B$3="",T69='REP COMMISSION'!$B$3,W69='REP COMMISSION'!$B$3,Z69='REP COMMISSION'!$B$3)),1,0)</f>
        <v>0</v>
      </c>
      <c r="AX69" s="24" t="n">
        <f aca="false">AX68+IF(AND(C69&lt;&gt;"",OR(F69="LOC - INITIAL",F69="CONSOLIDATION - UPFRONT COMM",F69="REVERSE - TOTAL FUNDING")),1,0)</f>
        <v>0</v>
      </c>
    </row>
    <row r="70" customFormat="false" ht="15" hidden="false" customHeight="false" outlineLevel="0" collapsed="false">
      <c r="A70" s="8" t="str">
        <f aca="false">IF(C70&lt;&gt;"","F"&amp;COUNT($C$4:C70),"")</f>
        <v/>
      </c>
      <c r="B70" s="9" t="str">
        <f aca="false">IF(OR(F70="LOC - INITIAL",F70="CONSOLIDATION - UPFRONT COMM",F70="REVERSE - TOTAL FUNDING"),A70,"")</f>
        <v/>
      </c>
      <c r="C70" s="10"/>
      <c r="D70" s="11"/>
      <c r="E70" s="11"/>
      <c r="F70" s="11"/>
      <c r="G70" s="12"/>
      <c r="H70" s="13"/>
      <c r="I70" s="11"/>
      <c r="J70" s="14" t="str">
        <f aca="false">IF(AND(G70&lt;&gt;"",H70&lt;&gt;""),G70*H70,"")</f>
        <v/>
      </c>
      <c r="K70" s="11"/>
      <c r="L70" s="15"/>
      <c r="M70" s="15"/>
      <c r="N70" s="14" t="n">
        <f aca="false">IF(OR(G70="",M70=""),0,IF(M70&gt;100,M70,G70*IF(M70&gt;1,M70/100,M70)))</f>
        <v>0</v>
      </c>
      <c r="O70" s="14" t="str">
        <f aca="false">IF(G70="","",G70*IF(L70="",0,IF(L70&gt;1,L70/100,L70))+N70)</f>
        <v/>
      </c>
      <c r="P70" s="11"/>
      <c r="Q70" s="16" t="str">
        <f aca="false">IF(P70="","",IFERROR(VLOOKUP(P70,PARTNERS!$A$2:$B$30,2,0),""))</f>
        <v/>
      </c>
      <c r="R70" s="17" t="str">
        <f aca="false">IF(O70="","",IF(OR(P70="",Q70=""),0,(O70-N70)*IF(Q70&gt;1,Q70/100,Q70)))</f>
        <v/>
      </c>
      <c r="S70" s="14" t="str">
        <f aca="false">IF(O70="","",O70-R70)</f>
        <v/>
      </c>
      <c r="T70" s="11"/>
      <c r="U70" s="18" t="str">
        <f aca="false">IF(T70="","",IFERROR(VLOOKUP(T70,REPS!$A$2:$D$40,2,0),""))</f>
        <v/>
      </c>
      <c r="V70" s="14" t="str">
        <f aca="false">IF(O70="","",IF(U70="",0,O70*IF(U70&gt;1,U70/100,U70)))</f>
        <v/>
      </c>
      <c r="W70" s="11"/>
      <c r="X70" s="18" t="str">
        <f aca="false">IF(W70="","",IFERROR(VLOOKUP(W70,REPS!$A$2:$D$40,3,0),""))</f>
        <v/>
      </c>
      <c r="Y70" s="14" t="str">
        <f aca="false">IF(O70="","",IF(X70="",0,O70*IF(X70&gt;1,X70/100,X70)))</f>
        <v/>
      </c>
      <c r="Z70" s="11"/>
      <c r="AA70" s="18" t="str">
        <f aca="false">IF(Z70="","",IFERROR(VLOOKUP(Z70,REPS!$A$2:$D$40,4,0),""))</f>
        <v/>
      </c>
      <c r="AB70" s="14" t="str">
        <f aca="false">IF(O70="","",IF(AA70="",0,O70*IF(AA70&gt;1,AA70/100,AA70)))</f>
        <v/>
      </c>
      <c r="AC70" s="14" t="str">
        <f aca="false">IF(O70="","",V70+Y70+AB70)</f>
        <v/>
      </c>
      <c r="AD70" s="19" t="str">
        <f aca="false">IF(O70="","",O70-R70-AC70)</f>
        <v/>
      </c>
      <c r="AE70" s="20"/>
      <c r="AF70" s="10"/>
      <c r="AG70" s="21" t="n">
        <f aca="false">IF(OR(AE70="",AE70=0),0,AE70*IF(U70="",0,IF(U70&gt;1,U70/100,U70)))</f>
        <v>0</v>
      </c>
      <c r="AH70" s="21" t="n">
        <f aca="false">IF(OR(AE70="",AE70=0),0,AE70*IF(X70="",0,IF(X70&gt;1,X70/100,X70)))</f>
        <v>0</v>
      </c>
      <c r="AI70" s="21" t="n">
        <f aca="false">IF(OR(AE70="",AE70=0),0,AE70*IF(AA70="",0,IF(AA70&gt;1,AA70/100,AA70)))</f>
        <v>0</v>
      </c>
      <c r="AJ70" s="21" t="n">
        <f aca="false">AG70+AH70+AI70</f>
        <v>0</v>
      </c>
      <c r="AK70" s="21" t="n">
        <f aca="false">IF(OR(AE70="",AE70=0),0,AE70-AJ70)</f>
        <v>0</v>
      </c>
      <c r="AL70" s="19" t="str">
        <f aca="false">IF(AD70="","",AD70-AK70)</f>
        <v/>
      </c>
      <c r="AM70" s="9" t="str">
        <f aca="false">IF(C70="","","Waiting for payment")</f>
        <v/>
      </c>
      <c r="AN70" s="10"/>
      <c r="AO70" s="10"/>
      <c r="AP70" s="22" t="str">
        <f aca="false">IF(OR(C70="",I70="",K70=""),"",IF(K70="Monthly",EDATE(C70,ROUND(I70*SETTINGS!$I$8,0)),WORKDAY(C70,ROUND(I70*SETTINGS!$I$8,0))))</f>
        <v/>
      </c>
      <c r="AQ70" s="9" t="str">
        <f aca="true">IF(C70="","",IF(AND(AP70&lt;&gt;"",TODAY()&gt;=AP70),"Refi Ready",IF(TODAY()-C70&gt;=SETTINGS!$I$11,"Prospecting","Performing")))</f>
        <v/>
      </c>
      <c r="AR70" s="22" t="str">
        <f aca="false">IF(OR(C70="",I70="",K70=""),"",IF(K70="Monthly",EDATE(C70,I70),WORKDAY(C70,I70)))</f>
        <v/>
      </c>
      <c r="AS70" s="11"/>
      <c r="AT70" s="23" t="str">
        <f aca="true">IF(C70="","",IF(AM70="Clawed Back","CLAWED",IF(TODAY()&lt;=C70+SETTINGS!$I$2,"⚠ AT RISK","SAFE")))</f>
        <v/>
      </c>
      <c r="AU70" s="11"/>
      <c r="AW70" s="24" t="n">
        <f aca="false">AW69+IF(AND(C70&lt;&gt;"",AO70&lt;&gt;"",OR('REP COMMISSION'!$B$3="",T70='REP COMMISSION'!$B$3,W70='REP COMMISSION'!$B$3,Z70='REP COMMISSION'!$B$3)),1,0)</f>
        <v>0</v>
      </c>
      <c r="AX70" s="24" t="n">
        <f aca="false">AX69+IF(AND(C70&lt;&gt;"",OR(F70="LOC - INITIAL",F70="CONSOLIDATION - UPFRONT COMM",F70="REVERSE - TOTAL FUNDING")),1,0)</f>
        <v>0</v>
      </c>
    </row>
    <row r="71" customFormat="false" ht="15" hidden="false" customHeight="false" outlineLevel="0" collapsed="false">
      <c r="A71" s="25" t="str">
        <f aca="false">IF(C71&lt;&gt;"","F"&amp;COUNT($C$4:C71),"")</f>
        <v/>
      </c>
      <c r="B71" s="26" t="str">
        <f aca="false">IF(OR(F71="LOC - INITIAL",F71="CONSOLIDATION - UPFRONT COMM",F71="REVERSE - TOTAL FUNDING"),A71,"")</f>
        <v/>
      </c>
      <c r="C71" s="27"/>
      <c r="D71" s="28"/>
      <c r="E71" s="28"/>
      <c r="F71" s="28"/>
      <c r="G71" s="29"/>
      <c r="H71" s="30"/>
      <c r="I71" s="28"/>
      <c r="J71" s="31" t="str">
        <f aca="false">IF(AND(G71&lt;&gt;"",H71&lt;&gt;""),G71*H71,"")</f>
        <v/>
      </c>
      <c r="K71" s="28"/>
      <c r="L71" s="32"/>
      <c r="M71" s="32"/>
      <c r="N71" s="31" t="n">
        <f aca="false">IF(OR(G71="",M71=""),0,IF(M71&gt;100,M71,G71*IF(M71&gt;1,M71/100,M71)))</f>
        <v>0</v>
      </c>
      <c r="O71" s="31" t="str">
        <f aca="false">IF(G71="","",G71*IF(L71="",0,IF(L71&gt;1,L71/100,L71))+N71)</f>
        <v/>
      </c>
      <c r="P71" s="28"/>
      <c r="Q71" s="33" t="str">
        <f aca="false">IF(P71="","",IFERROR(VLOOKUP(P71,PARTNERS!$A$2:$B$30,2,0),""))</f>
        <v/>
      </c>
      <c r="R71" s="17" t="str">
        <f aca="false">IF(O71="","",IF(OR(P71="",Q71=""),0,(O71-N71)*IF(Q71&gt;1,Q71/100,Q71)))</f>
        <v/>
      </c>
      <c r="S71" s="31" t="str">
        <f aca="false">IF(O71="","",O71-R71)</f>
        <v/>
      </c>
      <c r="T71" s="28"/>
      <c r="U71" s="34" t="str">
        <f aca="false">IF(T71="","",IFERROR(VLOOKUP(T71,REPS!$A$2:$D$40,2,0),""))</f>
        <v/>
      </c>
      <c r="V71" s="31" t="str">
        <f aca="false">IF(O71="","",IF(U71="",0,O71*IF(U71&gt;1,U71/100,U71)))</f>
        <v/>
      </c>
      <c r="W71" s="28"/>
      <c r="X71" s="34" t="str">
        <f aca="false">IF(W71="","",IFERROR(VLOOKUP(W71,REPS!$A$2:$D$40,3,0),""))</f>
        <v/>
      </c>
      <c r="Y71" s="31" t="str">
        <f aca="false">IF(O71="","",IF(X71="",0,O71*IF(X71&gt;1,X71/100,X71)))</f>
        <v/>
      </c>
      <c r="Z71" s="28"/>
      <c r="AA71" s="34" t="str">
        <f aca="false">IF(Z71="","",IFERROR(VLOOKUP(Z71,REPS!$A$2:$D$40,4,0),""))</f>
        <v/>
      </c>
      <c r="AB71" s="31" t="str">
        <f aca="false">IF(O71="","",IF(AA71="",0,O71*IF(AA71&gt;1,AA71/100,AA71)))</f>
        <v/>
      </c>
      <c r="AC71" s="31" t="str">
        <f aca="false">IF(O71="","",V71+Y71+AB71)</f>
        <v/>
      </c>
      <c r="AD71" s="19" t="str">
        <f aca="false">IF(O71="","",O71-R71-AC71)</f>
        <v/>
      </c>
      <c r="AE71" s="20"/>
      <c r="AF71" s="27"/>
      <c r="AG71" s="21" t="n">
        <f aca="false">IF(OR(AE71="",AE71=0),0,AE71*IF(U71="",0,IF(U71&gt;1,U71/100,U71)))</f>
        <v>0</v>
      </c>
      <c r="AH71" s="21" t="n">
        <f aca="false">IF(OR(AE71="",AE71=0),0,AE71*IF(X71="",0,IF(X71&gt;1,X71/100,X71)))</f>
        <v>0</v>
      </c>
      <c r="AI71" s="21" t="n">
        <f aca="false">IF(OR(AE71="",AE71=0),0,AE71*IF(AA71="",0,IF(AA71&gt;1,AA71/100,AA71)))</f>
        <v>0</v>
      </c>
      <c r="AJ71" s="21" t="n">
        <f aca="false">AG71+AH71+AI71</f>
        <v>0</v>
      </c>
      <c r="AK71" s="21" t="n">
        <f aca="false">IF(OR(AE71="",AE71=0),0,AE71-AJ71)</f>
        <v>0</v>
      </c>
      <c r="AL71" s="19" t="str">
        <f aca="false">IF(AD71="","",AD71-AK71)</f>
        <v/>
      </c>
      <c r="AM71" s="26" t="str">
        <f aca="false">IF(C71="","","Waiting for payment")</f>
        <v/>
      </c>
      <c r="AN71" s="27"/>
      <c r="AO71" s="27"/>
      <c r="AP71" s="35" t="str">
        <f aca="false">IF(OR(C71="",I71="",K71=""),"",IF(K71="Monthly",EDATE(C71,ROUND(I71*SETTINGS!$I$8,0)),WORKDAY(C71,ROUND(I71*SETTINGS!$I$8,0))))</f>
        <v/>
      </c>
      <c r="AQ71" s="26" t="str">
        <f aca="true">IF(C71="","",IF(AND(AP71&lt;&gt;"",TODAY()&gt;=AP71),"Refi Ready",IF(TODAY()-C71&gt;=SETTINGS!$I$11,"Prospecting","Performing")))</f>
        <v/>
      </c>
      <c r="AR71" s="35" t="str">
        <f aca="false">IF(OR(C71="",I71="",K71=""),"",IF(K71="Monthly",EDATE(C71,I71),WORKDAY(C71,I71)))</f>
        <v/>
      </c>
      <c r="AS71" s="28"/>
      <c r="AT71" s="36" t="str">
        <f aca="true">IF(C71="","",IF(AM71="Clawed Back","CLAWED",IF(TODAY()&lt;=C71+SETTINGS!$I$2,"⚠ AT RISK","SAFE")))</f>
        <v/>
      </c>
      <c r="AU71" s="28"/>
      <c r="AW71" s="24" t="n">
        <f aca="false">AW70+IF(AND(C71&lt;&gt;"",AO71&lt;&gt;"",OR('REP COMMISSION'!$B$3="",T71='REP COMMISSION'!$B$3,W71='REP COMMISSION'!$B$3,Z71='REP COMMISSION'!$B$3)),1,0)</f>
        <v>0</v>
      </c>
      <c r="AX71" s="24" t="n">
        <f aca="false">AX70+IF(AND(C71&lt;&gt;"",OR(F71="LOC - INITIAL",F71="CONSOLIDATION - UPFRONT COMM",F71="REVERSE - TOTAL FUNDING")),1,0)</f>
        <v>0</v>
      </c>
    </row>
    <row r="72" customFormat="false" ht="15" hidden="false" customHeight="false" outlineLevel="0" collapsed="false">
      <c r="A72" s="8" t="str">
        <f aca="false">IF(C72&lt;&gt;"","F"&amp;COUNT($C$4:C72),"")</f>
        <v/>
      </c>
      <c r="B72" s="9" t="str">
        <f aca="false">IF(OR(F72="LOC - INITIAL",F72="CONSOLIDATION - UPFRONT COMM",F72="REVERSE - TOTAL FUNDING"),A72,"")</f>
        <v/>
      </c>
      <c r="C72" s="10"/>
      <c r="D72" s="11"/>
      <c r="E72" s="11"/>
      <c r="F72" s="11"/>
      <c r="G72" s="12"/>
      <c r="H72" s="13"/>
      <c r="I72" s="11"/>
      <c r="J72" s="14" t="str">
        <f aca="false">IF(AND(G72&lt;&gt;"",H72&lt;&gt;""),G72*H72,"")</f>
        <v/>
      </c>
      <c r="K72" s="11"/>
      <c r="L72" s="15"/>
      <c r="M72" s="15"/>
      <c r="N72" s="14" t="n">
        <f aca="false">IF(OR(G72="",M72=""),0,IF(M72&gt;100,M72,G72*IF(M72&gt;1,M72/100,M72)))</f>
        <v>0</v>
      </c>
      <c r="O72" s="14" t="str">
        <f aca="false">IF(G72="","",G72*IF(L72="",0,IF(L72&gt;1,L72/100,L72))+N72)</f>
        <v/>
      </c>
      <c r="P72" s="11"/>
      <c r="Q72" s="16" t="str">
        <f aca="false">IF(P72="","",IFERROR(VLOOKUP(P72,PARTNERS!$A$2:$B$30,2,0),""))</f>
        <v/>
      </c>
      <c r="R72" s="17" t="str">
        <f aca="false">IF(O72="","",IF(OR(P72="",Q72=""),0,(O72-N72)*IF(Q72&gt;1,Q72/100,Q72)))</f>
        <v/>
      </c>
      <c r="S72" s="14" t="str">
        <f aca="false">IF(O72="","",O72-R72)</f>
        <v/>
      </c>
      <c r="T72" s="11"/>
      <c r="U72" s="18" t="str">
        <f aca="false">IF(T72="","",IFERROR(VLOOKUP(T72,REPS!$A$2:$D$40,2,0),""))</f>
        <v/>
      </c>
      <c r="V72" s="14" t="str">
        <f aca="false">IF(O72="","",IF(U72="",0,O72*IF(U72&gt;1,U72/100,U72)))</f>
        <v/>
      </c>
      <c r="W72" s="11"/>
      <c r="X72" s="18" t="str">
        <f aca="false">IF(W72="","",IFERROR(VLOOKUP(W72,REPS!$A$2:$D$40,3,0),""))</f>
        <v/>
      </c>
      <c r="Y72" s="14" t="str">
        <f aca="false">IF(O72="","",IF(X72="",0,O72*IF(X72&gt;1,X72/100,X72)))</f>
        <v/>
      </c>
      <c r="Z72" s="11"/>
      <c r="AA72" s="18" t="str">
        <f aca="false">IF(Z72="","",IFERROR(VLOOKUP(Z72,REPS!$A$2:$D$40,4,0),""))</f>
        <v/>
      </c>
      <c r="AB72" s="14" t="str">
        <f aca="false">IF(O72="","",IF(AA72="",0,O72*IF(AA72&gt;1,AA72/100,AA72)))</f>
        <v/>
      </c>
      <c r="AC72" s="14" t="str">
        <f aca="false">IF(O72="","",V72+Y72+AB72)</f>
        <v/>
      </c>
      <c r="AD72" s="19" t="str">
        <f aca="false">IF(O72="","",O72-R72-AC72)</f>
        <v/>
      </c>
      <c r="AE72" s="20"/>
      <c r="AF72" s="10"/>
      <c r="AG72" s="21" t="n">
        <f aca="false">IF(OR(AE72="",AE72=0),0,AE72*IF(U72="",0,IF(U72&gt;1,U72/100,U72)))</f>
        <v>0</v>
      </c>
      <c r="AH72" s="21" t="n">
        <f aca="false">IF(OR(AE72="",AE72=0),0,AE72*IF(X72="",0,IF(X72&gt;1,X72/100,X72)))</f>
        <v>0</v>
      </c>
      <c r="AI72" s="21" t="n">
        <f aca="false">IF(OR(AE72="",AE72=0),0,AE72*IF(AA72="",0,IF(AA72&gt;1,AA72/100,AA72)))</f>
        <v>0</v>
      </c>
      <c r="AJ72" s="21" t="n">
        <f aca="false">AG72+AH72+AI72</f>
        <v>0</v>
      </c>
      <c r="AK72" s="21" t="n">
        <f aca="false">IF(OR(AE72="",AE72=0),0,AE72-AJ72)</f>
        <v>0</v>
      </c>
      <c r="AL72" s="19" t="str">
        <f aca="false">IF(AD72="","",AD72-AK72)</f>
        <v/>
      </c>
      <c r="AM72" s="9" t="str">
        <f aca="false">IF(C72="","","Waiting for payment")</f>
        <v/>
      </c>
      <c r="AN72" s="10"/>
      <c r="AO72" s="10"/>
      <c r="AP72" s="22" t="str">
        <f aca="false">IF(OR(C72="",I72="",K72=""),"",IF(K72="Monthly",EDATE(C72,ROUND(I72*SETTINGS!$I$8,0)),WORKDAY(C72,ROUND(I72*SETTINGS!$I$8,0))))</f>
        <v/>
      </c>
      <c r="AQ72" s="9" t="str">
        <f aca="true">IF(C72="","",IF(AND(AP72&lt;&gt;"",TODAY()&gt;=AP72),"Refi Ready",IF(TODAY()-C72&gt;=SETTINGS!$I$11,"Prospecting","Performing")))</f>
        <v/>
      </c>
      <c r="AR72" s="22" t="str">
        <f aca="false">IF(OR(C72="",I72="",K72=""),"",IF(K72="Monthly",EDATE(C72,I72),WORKDAY(C72,I72)))</f>
        <v/>
      </c>
      <c r="AS72" s="11"/>
      <c r="AT72" s="23" t="str">
        <f aca="true">IF(C72="","",IF(AM72="Clawed Back","CLAWED",IF(TODAY()&lt;=C72+SETTINGS!$I$2,"⚠ AT RISK","SAFE")))</f>
        <v/>
      </c>
      <c r="AU72" s="11"/>
      <c r="AW72" s="24" t="n">
        <f aca="false">AW71+IF(AND(C72&lt;&gt;"",AO72&lt;&gt;"",OR('REP COMMISSION'!$B$3="",T72='REP COMMISSION'!$B$3,W72='REP COMMISSION'!$B$3,Z72='REP COMMISSION'!$B$3)),1,0)</f>
        <v>0</v>
      </c>
      <c r="AX72" s="24" t="n">
        <f aca="false">AX71+IF(AND(C72&lt;&gt;"",OR(F72="LOC - INITIAL",F72="CONSOLIDATION - UPFRONT COMM",F72="REVERSE - TOTAL FUNDING")),1,0)</f>
        <v>0</v>
      </c>
    </row>
    <row r="73" customFormat="false" ht="15" hidden="false" customHeight="false" outlineLevel="0" collapsed="false">
      <c r="A73" s="25" t="str">
        <f aca="false">IF(C73&lt;&gt;"","F"&amp;COUNT($C$4:C73),"")</f>
        <v/>
      </c>
      <c r="B73" s="26" t="str">
        <f aca="false">IF(OR(F73="LOC - INITIAL",F73="CONSOLIDATION - UPFRONT COMM",F73="REVERSE - TOTAL FUNDING"),A73,"")</f>
        <v/>
      </c>
      <c r="C73" s="27"/>
      <c r="D73" s="28"/>
      <c r="E73" s="28"/>
      <c r="F73" s="28"/>
      <c r="G73" s="29"/>
      <c r="H73" s="30"/>
      <c r="I73" s="28"/>
      <c r="J73" s="31" t="str">
        <f aca="false">IF(AND(G73&lt;&gt;"",H73&lt;&gt;""),G73*H73,"")</f>
        <v/>
      </c>
      <c r="K73" s="28"/>
      <c r="L73" s="32"/>
      <c r="M73" s="32"/>
      <c r="N73" s="31" t="n">
        <f aca="false">IF(OR(G73="",M73=""),0,IF(M73&gt;100,M73,G73*IF(M73&gt;1,M73/100,M73)))</f>
        <v>0</v>
      </c>
      <c r="O73" s="31" t="str">
        <f aca="false">IF(G73="","",G73*IF(L73="",0,IF(L73&gt;1,L73/100,L73))+N73)</f>
        <v/>
      </c>
      <c r="P73" s="28"/>
      <c r="Q73" s="33" t="str">
        <f aca="false">IF(P73="","",IFERROR(VLOOKUP(P73,PARTNERS!$A$2:$B$30,2,0),""))</f>
        <v/>
      </c>
      <c r="R73" s="17" t="str">
        <f aca="false">IF(O73="","",IF(OR(P73="",Q73=""),0,(O73-N73)*IF(Q73&gt;1,Q73/100,Q73)))</f>
        <v/>
      </c>
      <c r="S73" s="31" t="str">
        <f aca="false">IF(O73="","",O73-R73)</f>
        <v/>
      </c>
      <c r="T73" s="28"/>
      <c r="U73" s="34" t="str">
        <f aca="false">IF(T73="","",IFERROR(VLOOKUP(T73,REPS!$A$2:$D$40,2,0),""))</f>
        <v/>
      </c>
      <c r="V73" s="31" t="str">
        <f aca="false">IF(O73="","",IF(U73="",0,O73*IF(U73&gt;1,U73/100,U73)))</f>
        <v/>
      </c>
      <c r="W73" s="28"/>
      <c r="X73" s="34" t="str">
        <f aca="false">IF(W73="","",IFERROR(VLOOKUP(W73,REPS!$A$2:$D$40,3,0),""))</f>
        <v/>
      </c>
      <c r="Y73" s="31" t="str">
        <f aca="false">IF(O73="","",IF(X73="",0,O73*IF(X73&gt;1,X73/100,X73)))</f>
        <v/>
      </c>
      <c r="Z73" s="28"/>
      <c r="AA73" s="34" t="str">
        <f aca="false">IF(Z73="","",IFERROR(VLOOKUP(Z73,REPS!$A$2:$D$40,4,0),""))</f>
        <v/>
      </c>
      <c r="AB73" s="31" t="str">
        <f aca="false">IF(O73="","",IF(AA73="",0,O73*IF(AA73&gt;1,AA73/100,AA73)))</f>
        <v/>
      </c>
      <c r="AC73" s="31" t="str">
        <f aca="false">IF(O73="","",V73+Y73+AB73)</f>
        <v/>
      </c>
      <c r="AD73" s="19" t="str">
        <f aca="false">IF(O73="","",O73-R73-AC73)</f>
        <v/>
      </c>
      <c r="AE73" s="20"/>
      <c r="AF73" s="27"/>
      <c r="AG73" s="21" t="n">
        <f aca="false">IF(OR(AE73="",AE73=0),0,AE73*IF(U73="",0,IF(U73&gt;1,U73/100,U73)))</f>
        <v>0</v>
      </c>
      <c r="AH73" s="21" t="n">
        <f aca="false">IF(OR(AE73="",AE73=0),0,AE73*IF(X73="",0,IF(X73&gt;1,X73/100,X73)))</f>
        <v>0</v>
      </c>
      <c r="AI73" s="21" t="n">
        <f aca="false">IF(OR(AE73="",AE73=0),0,AE73*IF(AA73="",0,IF(AA73&gt;1,AA73/100,AA73)))</f>
        <v>0</v>
      </c>
      <c r="AJ73" s="21" t="n">
        <f aca="false">AG73+AH73+AI73</f>
        <v>0</v>
      </c>
      <c r="AK73" s="21" t="n">
        <f aca="false">IF(OR(AE73="",AE73=0),0,AE73-AJ73)</f>
        <v>0</v>
      </c>
      <c r="AL73" s="19" t="str">
        <f aca="false">IF(AD73="","",AD73-AK73)</f>
        <v/>
      </c>
      <c r="AM73" s="26" t="str">
        <f aca="false">IF(C73="","","Waiting for payment")</f>
        <v/>
      </c>
      <c r="AN73" s="27"/>
      <c r="AO73" s="27"/>
      <c r="AP73" s="35" t="str">
        <f aca="false">IF(OR(C73="",I73="",K73=""),"",IF(K73="Monthly",EDATE(C73,ROUND(I73*SETTINGS!$I$8,0)),WORKDAY(C73,ROUND(I73*SETTINGS!$I$8,0))))</f>
        <v/>
      </c>
      <c r="AQ73" s="26" t="str">
        <f aca="true">IF(C73="","",IF(AND(AP73&lt;&gt;"",TODAY()&gt;=AP73),"Refi Ready",IF(TODAY()-C73&gt;=SETTINGS!$I$11,"Prospecting","Performing")))</f>
        <v/>
      </c>
      <c r="AR73" s="35" t="str">
        <f aca="false">IF(OR(C73="",I73="",K73=""),"",IF(K73="Monthly",EDATE(C73,I73),WORKDAY(C73,I73)))</f>
        <v/>
      </c>
      <c r="AS73" s="28"/>
      <c r="AT73" s="36" t="str">
        <f aca="true">IF(C73="","",IF(AM73="Clawed Back","CLAWED",IF(TODAY()&lt;=C73+SETTINGS!$I$2,"⚠ AT RISK","SAFE")))</f>
        <v/>
      </c>
      <c r="AU73" s="28"/>
      <c r="AW73" s="24" t="n">
        <f aca="false">AW72+IF(AND(C73&lt;&gt;"",AO73&lt;&gt;"",OR('REP COMMISSION'!$B$3="",T73='REP COMMISSION'!$B$3,W73='REP COMMISSION'!$B$3,Z73='REP COMMISSION'!$B$3)),1,0)</f>
        <v>0</v>
      </c>
      <c r="AX73" s="24" t="n">
        <f aca="false">AX72+IF(AND(C73&lt;&gt;"",OR(F73="LOC - INITIAL",F73="CONSOLIDATION - UPFRONT COMM",F73="REVERSE - TOTAL FUNDING")),1,0)</f>
        <v>0</v>
      </c>
    </row>
    <row r="74" customFormat="false" ht="15" hidden="false" customHeight="false" outlineLevel="0" collapsed="false">
      <c r="A74" s="8" t="str">
        <f aca="false">IF(C74&lt;&gt;"","F"&amp;COUNT($C$4:C74),"")</f>
        <v/>
      </c>
      <c r="B74" s="9" t="str">
        <f aca="false">IF(OR(F74="LOC - INITIAL",F74="CONSOLIDATION - UPFRONT COMM",F74="REVERSE - TOTAL FUNDING"),A74,"")</f>
        <v/>
      </c>
      <c r="C74" s="10"/>
      <c r="D74" s="11"/>
      <c r="E74" s="11"/>
      <c r="F74" s="11"/>
      <c r="G74" s="12"/>
      <c r="H74" s="13"/>
      <c r="I74" s="11"/>
      <c r="J74" s="14" t="str">
        <f aca="false">IF(AND(G74&lt;&gt;"",H74&lt;&gt;""),G74*H74,"")</f>
        <v/>
      </c>
      <c r="K74" s="11"/>
      <c r="L74" s="15"/>
      <c r="M74" s="15"/>
      <c r="N74" s="14" t="n">
        <f aca="false">IF(OR(G74="",M74=""),0,IF(M74&gt;100,M74,G74*IF(M74&gt;1,M74/100,M74)))</f>
        <v>0</v>
      </c>
      <c r="O74" s="14" t="str">
        <f aca="false">IF(G74="","",G74*IF(L74="",0,IF(L74&gt;1,L74/100,L74))+N74)</f>
        <v/>
      </c>
      <c r="P74" s="11"/>
      <c r="Q74" s="16" t="str">
        <f aca="false">IF(P74="","",IFERROR(VLOOKUP(P74,PARTNERS!$A$2:$B$30,2,0),""))</f>
        <v/>
      </c>
      <c r="R74" s="17" t="str">
        <f aca="false">IF(O74="","",IF(OR(P74="",Q74=""),0,(O74-N74)*IF(Q74&gt;1,Q74/100,Q74)))</f>
        <v/>
      </c>
      <c r="S74" s="14" t="str">
        <f aca="false">IF(O74="","",O74-R74)</f>
        <v/>
      </c>
      <c r="T74" s="11"/>
      <c r="U74" s="18" t="str">
        <f aca="false">IF(T74="","",IFERROR(VLOOKUP(T74,REPS!$A$2:$D$40,2,0),""))</f>
        <v/>
      </c>
      <c r="V74" s="14" t="str">
        <f aca="false">IF(O74="","",IF(U74="",0,O74*IF(U74&gt;1,U74/100,U74)))</f>
        <v/>
      </c>
      <c r="W74" s="11"/>
      <c r="X74" s="18" t="str">
        <f aca="false">IF(W74="","",IFERROR(VLOOKUP(W74,REPS!$A$2:$D$40,3,0),""))</f>
        <v/>
      </c>
      <c r="Y74" s="14" t="str">
        <f aca="false">IF(O74="","",IF(X74="",0,O74*IF(X74&gt;1,X74/100,X74)))</f>
        <v/>
      </c>
      <c r="Z74" s="11"/>
      <c r="AA74" s="18" t="str">
        <f aca="false">IF(Z74="","",IFERROR(VLOOKUP(Z74,REPS!$A$2:$D$40,4,0),""))</f>
        <v/>
      </c>
      <c r="AB74" s="14" t="str">
        <f aca="false">IF(O74="","",IF(AA74="",0,O74*IF(AA74&gt;1,AA74/100,AA74)))</f>
        <v/>
      </c>
      <c r="AC74" s="14" t="str">
        <f aca="false">IF(O74="","",V74+Y74+AB74)</f>
        <v/>
      </c>
      <c r="AD74" s="19" t="str">
        <f aca="false">IF(O74="","",O74-R74-AC74)</f>
        <v/>
      </c>
      <c r="AE74" s="20"/>
      <c r="AF74" s="10"/>
      <c r="AG74" s="21" t="n">
        <f aca="false">IF(OR(AE74="",AE74=0),0,AE74*IF(U74="",0,IF(U74&gt;1,U74/100,U74)))</f>
        <v>0</v>
      </c>
      <c r="AH74" s="21" t="n">
        <f aca="false">IF(OR(AE74="",AE74=0),0,AE74*IF(X74="",0,IF(X74&gt;1,X74/100,X74)))</f>
        <v>0</v>
      </c>
      <c r="AI74" s="21" t="n">
        <f aca="false">IF(OR(AE74="",AE74=0),0,AE74*IF(AA74="",0,IF(AA74&gt;1,AA74/100,AA74)))</f>
        <v>0</v>
      </c>
      <c r="AJ74" s="21" t="n">
        <f aca="false">AG74+AH74+AI74</f>
        <v>0</v>
      </c>
      <c r="AK74" s="21" t="n">
        <f aca="false">IF(OR(AE74="",AE74=0),0,AE74-AJ74)</f>
        <v>0</v>
      </c>
      <c r="AL74" s="19" t="str">
        <f aca="false">IF(AD74="","",AD74-AK74)</f>
        <v/>
      </c>
      <c r="AM74" s="9" t="str">
        <f aca="false">IF(C74="","","Waiting for payment")</f>
        <v/>
      </c>
      <c r="AN74" s="10"/>
      <c r="AO74" s="10"/>
      <c r="AP74" s="22" t="str">
        <f aca="false">IF(OR(C74="",I74="",K74=""),"",IF(K74="Monthly",EDATE(C74,ROUND(I74*SETTINGS!$I$8,0)),WORKDAY(C74,ROUND(I74*SETTINGS!$I$8,0))))</f>
        <v/>
      </c>
      <c r="AQ74" s="9" t="str">
        <f aca="true">IF(C74="","",IF(AND(AP74&lt;&gt;"",TODAY()&gt;=AP74),"Refi Ready",IF(TODAY()-C74&gt;=SETTINGS!$I$11,"Prospecting","Performing")))</f>
        <v/>
      </c>
      <c r="AR74" s="22" t="str">
        <f aca="false">IF(OR(C74="",I74="",K74=""),"",IF(K74="Monthly",EDATE(C74,I74),WORKDAY(C74,I74)))</f>
        <v/>
      </c>
      <c r="AS74" s="11"/>
      <c r="AT74" s="23" t="str">
        <f aca="true">IF(C74="","",IF(AM74="Clawed Back","CLAWED",IF(TODAY()&lt;=C74+SETTINGS!$I$2,"⚠ AT RISK","SAFE")))</f>
        <v/>
      </c>
      <c r="AU74" s="11"/>
      <c r="AW74" s="24" t="n">
        <f aca="false">AW73+IF(AND(C74&lt;&gt;"",AO74&lt;&gt;"",OR('REP COMMISSION'!$B$3="",T74='REP COMMISSION'!$B$3,W74='REP COMMISSION'!$B$3,Z74='REP COMMISSION'!$B$3)),1,0)</f>
        <v>0</v>
      </c>
      <c r="AX74" s="24" t="n">
        <f aca="false">AX73+IF(AND(C74&lt;&gt;"",OR(F74="LOC - INITIAL",F74="CONSOLIDATION - UPFRONT COMM",F74="REVERSE - TOTAL FUNDING")),1,0)</f>
        <v>0</v>
      </c>
    </row>
    <row r="75" customFormat="false" ht="15" hidden="false" customHeight="false" outlineLevel="0" collapsed="false">
      <c r="A75" s="25" t="str">
        <f aca="false">IF(C75&lt;&gt;"","F"&amp;COUNT($C$4:C75),"")</f>
        <v/>
      </c>
      <c r="B75" s="26" t="str">
        <f aca="false">IF(OR(F75="LOC - INITIAL",F75="CONSOLIDATION - UPFRONT COMM",F75="REVERSE - TOTAL FUNDING"),A75,"")</f>
        <v/>
      </c>
      <c r="C75" s="27"/>
      <c r="D75" s="28"/>
      <c r="E75" s="28"/>
      <c r="F75" s="28"/>
      <c r="G75" s="29"/>
      <c r="H75" s="30"/>
      <c r="I75" s="28"/>
      <c r="J75" s="31" t="str">
        <f aca="false">IF(AND(G75&lt;&gt;"",H75&lt;&gt;""),G75*H75,"")</f>
        <v/>
      </c>
      <c r="K75" s="28"/>
      <c r="L75" s="32"/>
      <c r="M75" s="32"/>
      <c r="N75" s="31" t="n">
        <f aca="false">IF(OR(G75="",M75=""),0,IF(M75&gt;100,M75,G75*IF(M75&gt;1,M75/100,M75)))</f>
        <v>0</v>
      </c>
      <c r="O75" s="31" t="str">
        <f aca="false">IF(G75="","",G75*IF(L75="",0,IF(L75&gt;1,L75/100,L75))+N75)</f>
        <v/>
      </c>
      <c r="P75" s="28"/>
      <c r="Q75" s="33" t="str">
        <f aca="false">IF(P75="","",IFERROR(VLOOKUP(P75,PARTNERS!$A$2:$B$30,2,0),""))</f>
        <v/>
      </c>
      <c r="R75" s="17" t="str">
        <f aca="false">IF(O75="","",IF(OR(P75="",Q75=""),0,(O75-N75)*IF(Q75&gt;1,Q75/100,Q75)))</f>
        <v/>
      </c>
      <c r="S75" s="31" t="str">
        <f aca="false">IF(O75="","",O75-R75)</f>
        <v/>
      </c>
      <c r="T75" s="28"/>
      <c r="U75" s="34" t="str">
        <f aca="false">IF(T75="","",IFERROR(VLOOKUP(T75,REPS!$A$2:$D$40,2,0),""))</f>
        <v/>
      </c>
      <c r="V75" s="31" t="str">
        <f aca="false">IF(O75="","",IF(U75="",0,O75*IF(U75&gt;1,U75/100,U75)))</f>
        <v/>
      </c>
      <c r="W75" s="28"/>
      <c r="X75" s="34" t="str">
        <f aca="false">IF(W75="","",IFERROR(VLOOKUP(W75,REPS!$A$2:$D$40,3,0),""))</f>
        <v/>
      </c>
      <c r="Y75" s="31" t="str">
        <f aca="false">IF(O75="","",IF(X75="",0,O75*IF(X75&gt;1,X75/100,X75)))</f>
        <v/>
      </c>
      <c r="Z75" s="28"/>
      <c r="AA75" s="34" t="str">
        <f aca="false">IF(Z75="","",IFERROR(VLOOKUP(Z75,REPS!$A$2:$D$40,4,0),""))</f>
        <v/>
      </c>
      <c r="AB75" s="31" t="str">
        <f aca="false">IF(O75="","",IF(AA75="",0,O75*IF(AA75&gt;1,AA75/100,AA75)))</f>
        <v/>
      </c>
      <c r="AC75" s="31" t="str">
        <f aca="false">IF(O75="","",V75+Y75+AB75)</f>
        <v/>
      </c>
      <c r="AD75" s="19" t="str">
        <f aca="false">IF(O75="","",O75-R75-AC75)</f>
        <v/>
      </c>
      <c r="AE75" s="20"/>
      <c r="AF75" s="27"/>
      <c r="AG75" s="21" t="n">
        <f aca="false">IF(OR(AE75="",AE75=0),0,AE75*IF(U75="",0,IF(U75&gt;1,U75/100,U75)))</f>
        <v>0</v>
      </c>
      <c r="AH75" s="21" t="n">
        <f aca="false">IF(OR(AE75="",AE75=0),0,AE75*IF(X75="",0,IF(X75&gt;1,X75/100,X75)))</f>
        <v>0</v>
      </c>
      <c r="AI75" s="21" t="n">
        <f aca="false">IF(OR(AE75="",AE75=0),0,AE75*IF(AA75="",0,IF(AA75&gt;1,AA75/100,AA75)))</f>
        <v>0</v>
      </c>
      <c r="AJ75" s="21" t="n">
        <f aca="false">AG75+AH75+AI75</f>
        <v>0</v>
      </c>
      <c r="AK75" s="21" t="n">
        <f aca="false">IF(OR(AE75="",AE75=0),0,AE75-AJ75)</f>
        <v>0</v>
      </c>
      <c r="AL75" s="19" t="str">
        <f aca="false">IF(AD75="","",AD75-AK75)</f>
        <v/>
      </c>
      <c r="AM75" s="26" t="str">
        <f aca="false">IF(C75="","","Waiting for payment")</f>
        <v/>
      </c>
      <c r="AN75" s="27"/>
      <c r="AO75" s="27"/>
      <c r="AP75" s="35" t="str">
        <f aca="false">IF(OR(C75="",I75="",K75=""),"",IF(K75="Monthly",EDATE(C75,ROUND(I75*SETTINGS!$I$8,0)),WORKDAY(C75,ROUND(I75*SETTINGS!$I$8,0))))</f>
        <v/>
      </c>
      <c r="AQ75" s="26" t="str">
        <f aca="true">IF(C75="","",IF(AND(AP75&lt;&gt;"",TODAY()&gt;=AP75),"Refi Ready",IF(TODAY()-C75&gt;=SETTINGS!$I$11,"Prospecting","Performing")))</f>
        <v/>
      </c>
      <c r="AR75" s="35" t="str">
        <f aca="false">IF(OR(C75="",I75="",K75=""),"",IF(K75="Monthly",EDATE(C75,I75),WORKDAY(C75,I75)))</f>
        <v/>
      </c>
      <c r="AS75" s="28"/>
      <c r="AT75" s="36" t="str">
        <f aca="true">IF(C75="","",IF(AM75="Clawed Back","CLAWED",IF(TODAY()&lt;=C75+SETTINGS!$I$2,"⚠ AT RISK","SAFE")))</f>
        <v/>
      </c>
      <c r="AU75" s="28"/>
      <c r="AW75" s="24" t="n">
        <f aca="false">AW74+IF(AND(C75&lt;&gt;"",AO75&lt;&gt;"",OR('REP COMMISSION'!$B$3="",T75='REP COMMISSION'!$B$3,W75='REP COMMISSION'!$B$3,Z75='REP COMMISSION'!$B$3)),1,0)</f>
        <v>0</v>
      </c>
      <c r="AX75" s="24" t="n">
        <f aca="false">AX74+IF(AND(C75&lt;&gt;"",OR(F75="LOC - INITIAL",F75="CONSOLIDATION - UPFRONT COMM",F75="REVERSE - TOTAL FUNDING")),1,0)</f>
        <v>0</v>
      </c>
    </row>
    <row r="76" customFormat="false" ht="15" hidden="false" customHeight="false" outlineLevel="0" collapsed="false">
      <c r="A76" s="8" t="str">
        <f aca="false">IF(C76&lt;&gt;"","F"&amp;COUNT($C$4:C76),"")</f>
        <v/>
      </c>
      <c r="B76" s="9" t="str">
        <f aca="false">IF(OR(F76="LOC - INITIAL",F76="CONSOLIDATION - UPFRONT COMM",F76="REVERSE - TOTAL FUNDING"),A76,"")</f>
        <v/>
      </c>
      <c r="C76" s="10"/>
      <c r="D76" s="11"/>
      <c r="E76" s="11"/>
      <c r="F76" s="11"/>
      <c r="G76" s="12"/>
      <c r="H76" s="13"/>
      <c r="I76" s="11"/>
      <c r="J76" s="14" t="str">
        <f aca="false">IF(AND(G76&lt;&gt;"",H76&lt;&gt;""),G76*H76,"")</f>
        <v/>
      </c>
      <c r="K76" s="11"/>
      <c r="L76" s="15"/>
      <c r="M76" s="15"/>
      <c r="N76" s="14" t="n">
        <f aca="false">IF(OR(G76="",M76=""),0,IF(M76&gt;100,M76,G76*IF(M76&gt;1,M76/100,M76)))</f>
        <v>0</v>
      </c>
      <c r="O76" s="14" t="str">
        <f aca="false">IF(G76="","",G76*IF(L76="",0,IF(L76&gt;1,L76/100,L76))+N76)</f>
        <v/>
      </c>
      <c r="P76" s="11"/>
      <c r="Q76" s="16" t="str">
        <f aca="false">IF(P76="","",IFERROR(VLOOKUP(P76,PARTNERS!$A$2:$B$30,2,0),""))</f>
        <v/>
      </c>
      <c r="R76" s="17" t="str">
        <f aca="false">IF(O76="","",IF(OR(P76="",Q76=""),0,(O76-N76)*IF(Q76&gt;1,Q76/100,Q76)))</f>
        <v/>
      </c>
      <c r="S76" s="14" t="str">
        <f aca="false">IF(O76="","",O76-R76)</f>
        <v/>
      </c>
      <c r="T76" s="11"/>
      <c r="U76" s="18" t="str">
        <f aca="false">IF(T76="","",IFERROR(VLOOKUP(T76,REPS!$A$2:$D$40,2,0),""))</f>
        <v/>
      </c>
      <c r="V76" s="14" t="str">
        <f aca="false">IF(O76="","",IF(U76="",0,O76*IF(U76&gt;1,U76/100,U76)))</f>
        <v/>
      </c>
      <c r="W76" s="11"/>
      <c r="X76" s="18" t="str">
        <f aca="false">IF(W76="","",IFERROR(VLOOKUP(W76,REPS!$A$2:$D$40,3,0),""))</f>
        <v/>
      </c>
      <c r="Y76" s="14" t="str">
        <f aca="false">IF(O76="","",IF(X76="",0,O76*IF(X76&gt;1,X76/100,X76)))</f>
        <v/>
      </c>
      <c r="Z76" s="11"/>
      <c r="AA76" s="18" t="str">
        <f aca="false">IF(Z76="","",IFERROR(VLOOKUP(Z76,REPS!$A$2:$D$40,4,0),""))</f>
        <v/>
      </c>
      <c r="AB76" s="14" t="str">
        <f aca="false">IF(O76="","",IF(AA76="",0,O76*IF(AA76&gt;1,AA76/100,AA76)))</f>
        <v/>
      </c>
      <c r="AC76" s="14" t="str">
        <f aca="false">IF(O76="","",V76+Y76+AB76)</f>
        <v/>
      </c>
      <c r="AD76" s="19" t="str">
        <f aca="false">IF(O76="","",O76-R76-AC76)</f>
        <v/>
      </c>
      <c r="AE76" s="20"/>
      <c r="AF76" s="10"/>
      <c r="AG76" s="21" t="n">
        <f aca="false">IF(OR(AE76="",AE76=0),0,AE76*IF(U76="",0,IF(U76&gt;1,U76/100,U76)))</f>
        <v>0</v>
      </c>
      <c r="AH76" s="21" t="n">
        <f aca="false">IF(OR(AE76="",AE76=0),0,AE76*IF(X76="",0,IF(X76&gt;1,X76/100,X76)))</f>
        <v>0</v>
      </c>
      <c r="AI76" s="21" t="n">
        <f aca="false">IF(OR(AE76="",AE76=0),0,AE76*IF(AA76="",0,IF(AA76&gt;1,AA76/100,AA76)))</f>
        <v>0</v>
      </c>
      <c r="AJ76" s="21" t="n">
        <f aca="false">AG76+AH76+AI76</f>
        <v>0</v>
      </c>
      <c r="AK76" s="21" t="n">
        <f aca="false">IF(OR(AE76="",AE76=0),0,AE76-AJ76)</f>
        <v>0</v>
      </c>
      <c r="AL76" s="19" t="str">
        <f aca="false">IF(AD76="","",AD76-AK76)</f>
        <v/>
      </c>
      <c r="AM76" s="9" t="str">
        <f aca="false">IF(C76="","","Waiting for payment")</f>
        <v/>
      </c>
      <c r="AN76" s="10"/>
      <c r="AO76" s="10"/>
      <c r="AP76" s="22" t="str">
        <f aca="false">IF(OR(C76="",I76="",K76=""),"",IF(K76="Monthly",EDATE(C76,ROUND(I76*SETTINGS!$I$8,0)),WORKDAY(C76,ROUND(I76*SETTINGS!$I$8,0))))</f>
        <v/>
      </c>
      <c r="AQ76" s="9" t="str">
        <f aca="true">IF(C76="","",IF(AND(AP76&lt;&gt;"",TODAY()&gt;=AP76),"Refi Ready",IF(TODAY()-C76&gt;=SETTINGS!$I$11,"Prospecting","Performing")))</f>
        <v/>
      </c>
      <c r="AR76" s="22" t="str">
        <f aca="false">IF(OR(C76="",I76="",K76=""),"",IF(K76="Monthly",EDATE(C76,I76),WORKDAY(C76,I76)))</f>
        <v/>
      </c>
      <c r="AS76" s="11"/>
      <c r="AT76" s="23" t="str">
        <f aca="true">IF(C76="","",IF(AM76="Clawed Back","CLAWED",IF(TODAY()&lt;=C76+SETTINGS!$I$2,"⚠ AT RISK","SAFE")))</f>
        <v/>
      </c>
      <c r="AU76" s="11"/>
      <c r="AW76" s="24" t="n">
        <f aca="false">AW75+IF(AND(C76&lt;&gt;"",AO76&lt;&gt;"",OR('REP COMMISSION'!$B$3="",T76='REP COMMISSION'!$B$3,W76='REP COMMISSION'!$B$3,Z76='REP COMMISSION'!$B$3)),1,0)</f>
        <v>0</v>
      </c>
      <c r="AX76" s="24" t="n">
        <f aca="false">AX75+IF(AND(C76&lt;&gt;"",OR(F76="LOC - INITIAL",F76="CONSOLIDATION - UPFRONT COMM",F76="REVERSE - TOTAL FUNDING")),1,0)</f>
        <v>0</v>
      </c>
    </row>
    <row r="77" customFormat="false" ht="15" hidden="false" customHeight="false" outlineLevel="0" collapsed="false">
      <c r="A77" s="25" t="str">
        <f aca="false">IF(C77&lt;&gt;"","F"&amp;COUNT($C$4:C77),"")</f>
        <v/>
      </c>
      <c r="B77" s="26" t="str">
        <f aca="false">IF(OR(F77="LOC - INITIAL",F77="CONSOLIDATION - UPFRONT COMM",F77="REVERSE - TOTAL FUNDING"),A77,"")</f>
        <v/>
      </c>
      <c r="C77" s="27"/>
      <c r="D77" s="28"/>
      <c r="E77" s="28"/>
      <c r="F77" s="28"/>
      <c r="G77" s="29"/>
      <c r="H77" s="30"/>
      <c r="I77" s="28"/>
      <c r="J77" s="31" t="str">
        <f aca="false">IF(AND(G77&lt;&gt;"",H77&lt;&gt;""),G77*H77,"")</f>
        <v/>
      </c>
      <c r="K77" s="28"/>
      <c r="L77" s="32"/>
      <c r="M77" s="32"/>
      <c r="N77" s="31" t="n">
        <f aca="false">IF(OR(G77="",M77=""),0,IF(M77&gt;100,M77,G77*IF(M77&gt;1,M77/100,M77)))</f>
        <v>0</v>
      </c>
      <c r="O77" s="31" t="str">
        <f aca="false">IF(G77="","",G77*IF(L77="",0,IF(L77&gt;1,L77/100,L77))+N77)</f>
        <v/>
      </c>
      <c r="P77" s="28"/>
      <c r="Q77" s="33" t="str">
        <f aca="false">IF(P77="","",IFERROR(VLOOKUP(P77,PARTNERS!$A$2:$B$30,2,0),""))</f>
        <v/>
      </c>
      <c r="R77" s="17" t="str">
        <f aca="false">IF(O77="","",IF(OR(P77="",Q77=""),0,(O77-N77)*IF(Q77&gt;1,Q77/100,Q77)))</f>
        <v/>
      </c>
      <c r="S77" s="31" t="str">
        <f aca="false">IF(O77="","",O77-R77)</f>
        <v/>
      </c>
      <c r="T77" s="28"/>
      <c r="U77" s="34" t="str">
        <f aca="false">IF(T77="","",IFERROR(VLOOKUP(T77,REPS!$A$2:$D$40,2,0),""))</f>
        <v/>
      </c>
      <c r="V77" s="31" t="str">
        <f aca="false">IF(O77="","",IF(U77="",0,O77*IF(U77&gt;1,U77/100,U77)))</f>
        <v/>
      </c>
      <c r="W77" s="28"/>
      <c r="X77" s="34" t="str">
        <f aca="false">IF(W77="","",IFERROR(VLOOKUP(W77,REPS!$A$2:$D$40,3,0),""))</f>
        <v/>
      </c>
      <c r="Y77" s="31" t="str">
        <f aca="false">IF(O77="","",IF(X77="",0,O77*IF(X77&gt;1,X77/100,X77)))</f>
        <v/>
      </c>
      <c r="Z77" s="28"/>
      <c r="AA77" s="34" t="str">
        <f aca="false">IF(Z77="","",IFERROR(VLOOKUP(Z77,REPS!$A$2:$D$40,4,0),""))</f>
        <v/>
      </c>
      <c r="AB77" s="31" t="str">
        <f aca="false">IF(O77="","",IF(AA77="",0,O77*IF(AA77&gt;1,AA77/100,AA77)))</f>
        <v/>
      </c>
      <c r="AC77" s="31" t="str">
        <f aca="false">IF(O77="","",V77+Y77+AB77)</f>
        <v/>
      </c>
      <c r="AD77" s="19" t="str">
        <f aca="false">IF(O77="","",O77-R77-AC77)</f>
        <v/>
      </c>
      <c r="AE77" s="20"/>
      <c r="AF77" s="27"/>
      <c r="AG77" s="21" t="n">
        <f aca="false">IF(OR(AE77="",AE77=0),0,AE77*IF(U77="",0,IF(U77&gt;1,U77/100,U77)))</f>
        <v>0</v>
      </c>
      <c r="AH77" s="21" t="n">
        <f aca="false">IF(OR(AE77="",AE77=0),0,AE77*IF(X77="",0,IF(X77&gt;1,X77/100,X77)))</f>
        <v>0</v>
      </c>
      <c r="AI77" s="21" t="n">
        <f aca="false">IF(OR(AE77="",AE77=0),0,AE77*IF(AA77="",0,IF(AA77&gt;1,AA77/100,AA77)))</f>
        <v>0</v>
      </c>
      <c r="AJ77" s="21" t="n">
        <f aca="false">AG77+AH77+AI77</f>
        <v>0</v>
      </c>
      <c r="AK77" s="21" t="n">
        <f aca="false">IF(OR(AE77="",AE77=0),0,AE77-AJ77)</f>
        <v>0</v>
      </c>
      <c r="AL77" s="19" t="str">
        <f aca="false">IF(AD77="","",AD77-AK77)</f>
        <v/>
      </c>
      <c r="AM77" s="26" t="str">
        <f aca="false">IF(C77="","","Waiting for payment")</f>
        <v/>
      </c>
      <c r="AN77" s="27"/>
      <c r="AO77" s="27"/>
      <c r="AP77" s="35" t="str">
        <f aca="false">IF(OR(C77="",I77="",K77=""),"",IF(K77="Monthly",EDATE(C77,ROUND(I77*SETTINGS!$I$8,0)),WORKDAY(C77,ROUND(I77*SETTINGS!$I$8,0))))</f>
        <v/>
      </c>
      <c r="AQ77" s="26" t="str">
        <f aca="true">IF(C77="","",IF(AND(AP77&lt;&gt;"",TODAY()&gt;=AP77),"Refi Ready",IF(TODAY()-C77&gt;=SETTINGS!$I$11,"Prospecting","Performing")))</f>
        <v/>
      </c>
      <c r="AR77" s="35" t="str">
        <f aca="false">IF(OR(C77="",I77="",K77=""),"",IF(K77="Monthly",EDATE(C77,I77),WORKDAY(C77,I77)))</f>
        <v/>
      </c>
      <c r="AS77" s="28"/>
      <c r="AT77" s="36" t="str">
        <f aca="true">IF(C77="","",IF(AM77="Clawed Back","CLAWED",IF(TODAY()&lt;=C77+SETTINGS!$I$2,"⚠ AT RISK","SAFE")))</f>
        <v/>
      </c>
      <c r="AU77" s="28"/>
      <c r="AW77" s="24" t="n">
        <f aca="false">AW76+IF(AND(C77&lt;&gt;"",AO77&lt;&gt;"",OR('REP COMMISSION'!$B$3="",T77='REP COMMISSION'!$B$3,W77='REP COMMISSION'!$B$3,Z77='REP COMMISSION'!$B$3)),1,0)</f>
        <v>0</v>
      </c>
      <c r="AX77" s="24" t="n">
        <f aca="false">AX76+IF(AND(C77&lt;&gt;"",OR(F77="LOC - INITIAL",F77="CONSOLIDATION - UPFRONT COMM",F77="REVERSE - TOTAL FUNDING")),1,0)</f>
        <v>0</v>
      </c>
    </row>
    <row r="78" customFormat="false" ht="15" hidden="false" customHeight="false" outlineLevel="0" collapsed="false">
      <c r="A78" s="8" t="str">
        <f aca="false">IF(C78&lt;&gt;"","F"&amp;COUNT($C$4:C78),"")</f>
        <v/>
      </c>
      <c r="B78" s="9" t="str">
        <f aca="false">IF(OR(F78="LOC - INITIAL",F78="CONSOLIDATION - UPFRONT COMM",F78="REVERSE - TOTAL FUNDING"),A78,"")</f>
        <v/>
      </c>
      <c r="C78" s="10"/>
      <c r="D78" s="11"/>
      <c r="E78" s="11"/>
      <c r="F78" s="11"/>
      <c r="G78" s="12"/>
      <c r="H78" s="13"/>
      <c r="I78" s="11"/>
      <c r="J78" s="14" t="str">
        <f aca="false">IF(AND(G78&lt;&gt;"",H78&lt;&gt;""),G78*H78,"")</f>
        <v/>
      </c>
      <c r="K78" s="11"/>
      <c r="L78" s="15"/>
      <c r="M78" s="15"/>
      <c r="N78" s="14" t="n">
        <f aca="false">IF(OR(G78="",M78=""),0,IF(M78&gt;100,M78,G78*IF(M78&gt;1,M78/100,M78)))</f>
        <v>0</v>
      </c>
      <c r="O78" s="14" t="str">
        <f aca="false">IF(G78="","",G78*IF(L78="",0,IF(L78&gt;1,L78/100,L78))+N78)</f>
        <v/>
      </c>
      <c r="P78" s="11"/>
      <c r="Q78" s="16" t="str">
        <f aca="false">IF(P78="","",IFERROR(VLOOKUP(P78,PARTNERS!$A$2:$B$30,2,0),""))</f>
        <v/>
      </c>
      <c r="R78" s="17" t="str">
        <f aca="false">IF(O78="","",IF(OR(P78="",Q78=""),0,(O78-N78)*IF(Q78&gt;1,Q78/100,Q78)))</f>
        <v/>
      </c>
      <c r="S78" s="14" t="str">
        <f aca="false">IF(O78="","",O78-R78)</f>
        <v/>
      </c>
      <c r="T78" s="11"/>
      <c r="U78" s="18" t="str">
        <f aca="false">IF(T78="","",IFERROR(VLOOKUP(T78,REPS!$A$2:$D$40,2,0),""))</f>
        <v/>
      </c>
      <c r="V78" s="14" t="str">
        <f aca="false">IF(O78="","",IF(U78="",0,O78*IF(U78&gt;1,U78/100,U78)))</f>
        <v/>
      </c>
      <c r="W78" s="11"/>
      <c r="X78" s="18" t="str">
        <f aca="false">IF(W78="","",IFERROR(VLOOKUP(W78,REPS!$A$2:$D$40,3,0),""))</f>
        <v/>
      </c>
      <c r="Y78" s="14" t="str">
        <f aca="false">IF(O78="","",IF(X78="",0,O78*IF(X78&gt;1,X78/100,X78)))</f>
        <v/>
      </c>
      <c r="Z78" s="11"/>
      <c r="AA78" s="18" t="str">
        <f aca="false">IF(Z78="","",IFERROR(VLOOKUP(Z78,REPS!$A$2:$D$40,4,0),""))</f>
        <v/>
      </c>
      <c r="AB78" s="14" t="str">
        <f aca="false">IF(O78="","",IF(AA78="",0,O78*IF(AA78&gt;1,AA78/100,AA78)))</f>
        <v/>
      </c>
      <c r="AC78" s="14" t="str">
        <f aca="false">IF(O78="","",V78+Y78+AB78)</f>
        <v/>
      </c>
      <c r="AD78" s="19" t="str">
        <f aca="false">IF(O78="","",O78-R78-AC78)</f>
        <v/>
      </c>
      <c r="AE78" s="20"/>
      <c r="AF78" s="10"/>
      <c r="AG78" s="21" t="n">
        <f aca="false">IF(OR(AE78="",AE78=0),0,AE78*IF(U78="",0,IF(U78&gt;1,U78/100,U78)))</f>
        <v>0</v>
      </c>
      <c r="AH78" s="21" t="n">
        <f aca="false">IF(OR(AE78="",AE78=0),0,AE78*IF(X78="",0,IF(X78&gt;1,X78/100,X78)))</f>
        <v>0</v>
      </c>
      <c r="AI78" s="21" t="n">
        <f aca="false">IF(OR(AE78="",AE78=0),0,AE78*IF(AA78="",0,IF(AA78&gt;1,AA78/100,AA78)))</f>
        <v>0</v>
      </c>
      <c r="AJ78" s="21" t="n">
        <f aca="false">AG78+AH78+AI78</f>
        <v>0</v>
      </c>
      <c r="AK78" s="21" t="n">
        <f aca="false">IF(OR(AE78="",AE78=0),0,AE78-AJ78)</f>
        <v>0</v>
      </c>
      <c r="AL78" s="19" t="str">
        <f aca="false">IF(AD78="","",AD78-AK78)</f>
        <v/>
      </c>
      <c r="AM78" s="9" t="str">
        <f aca="false">IF(C78="","","Waiting for payment")</f>
        <v/>
      </c>
      <c r="AN78" s="10"/>
      <c r="AO78" s="10"/>
      <c r="AP78" s="22" t="str">
        <f aca="false">IF(OR(C78="",I78="",K78=""),"",IF(K78="Monthly",EDATE(C78,ROUND(I78*SETTINGS!$I$8,0)),WORKDAY(C78,ROUND(I78*SETTINGS!$I$8,0))))</f>
        <v/>
      </c>
      <c r="AQ78" s="9" t="str">
        <f aca="true">IF(C78="","",IF(AND(AP78&lt;&gt;"",TODAY()&gt;=AP78),"Refi Ready",IF(TODAY()-C78&gt;=SETTINGS!$I$11,"Prospecting","Performing")))</f>
        <v/>
      </c>
      <c r="AR78" s="22" t="str">
        <f aca="false">IF(OR(C78="",I78="",K78=""),"",IF(K78="Monthly",EDATE(C78,I78),WORKDAY(C78,I78)))</f>
        <v/>
      </c>
      <c r="AS78" s="11"/>
      <c r="AT78" s="23" t="str">
        <f aca="true">IF(C78="","",IF(AM78="Clawed Back","CLAWED",IF(TODAY()&lt;=C78+SETTINGS!$I$2,"⚠ AT RISK","SAFE")))</f>
        <v/>
      </c>
      <c r="AU78" s="11"/>
      <c r="AW78" s="24" t="n">
        <f aca="false">AW77+IF(AND(C78&lt;&gt;"",AO78&lt;&gt;"",OR('REP COMMISSION'!$B$3="",T78='REP COMMISSION'!$B$3,W78='REP COMMISSION'!$B$3,Z78='REP COMMISSION'!$B$3)),1,0)</f>
        <v>0</v>
      </c>
      <c r="AX78" s="24" t="n">
        <f aca="false">AX77+IF(AND(C78&lt;&gt;"",OR(F78="LOC - INITIAL",F78="CONSOLIDATION - UPFRONT COMM",F78="REVERSE - TOTAL FUNDING")),1,0)</f>
        <v>0</v>
      </c>
    </row>
    <row r="79" customFormat="false" ht="15" hidden="false" customHeight="false" outlineLevel="0" collapsed="false">
      <c r="A79" s="25" t="str">
        <f aca="false">IF(C79&lt;&gt;"","F"&amp;COUNT($C$4:C79),"")</f>
        <v/>
      </c>
      <c r="B79" s="26" t="str">
        <f aca="false">IF(OR(F79="LOC - INITIAL",F79="CONSOLIDATION - UPFRONT COMM",F79="REVERSE - TOTAL FUNDING"),A79,"")</f>
        <v/>
      </c>
      <c r="C79" s="27"/>
      <c r="D79" s="28"/>
      <c r="E79" s="28"/>
      <c r="F79" s="28"/>
      <c r="G79" s="29"/>
      <c r="H79" s="30"/>
      <c r="I79" s="28"/>
      <c r="J79" s="31" t="str">
        <f aca="false">IF(AND(G79&lt;&gt;"",H79&lt;&gt;""),G79*H79,"")</f>
        <v/>
      </c>
      <c r="K79" s="28"/>
      <c r="L79" s="32"/>
      <c r="M79" s="32"/>
      <c r="N79" s="31" t="n">
        <f aca="false">IF(OR(G79="",M79=""),0,IF(M79&gt;100,M79,G79*IF(M79&gt;1,M79/100,M79)))</f>
        <v>0</v>
      </c>
      <c r="O79" s="31" t="str">
        <f aca="false">IF(G79="","",G79*IF(L79="",0,IF(L79&gt;1,L79/100,L79))+N79)</f>
        <v/>
      </c>
      <c r="P79" s="28"/>
      <c r="Q79" s="33" t="str">
        <f aca="false">IF(P79="","",IFERROR(VLOOKUP(P79,PARTNERS!$A$2:$B$30,2,0),""))</f>
        <v/>
      </c>
      <c r="R79" s="17" t="str">
        <f aca="false">IF(O79="","",IF(OR(P79="",Q79=""),0,(O79-N79)*IF(Q79&gt;1,Q79/100,Q79)))</f>
        <v/>
      </c>
      <c r="S79" s="31" t="str">
        <f aca="false">IF(O79="","",O79-R79)</f>
        <v/>
      </c>
      <c r="T79" s="28"/>
      <c r="U79" s="34" t="str">
        <f aca="false">IF(T79="","",IFERROR(VLOOKUP(T79,REPS!$A$2:$D$40,2,0),""))</f>
        <v/>
      </c>
      <c r="V79" s="31" t="str">
        <f aca="false">IF(O79="","",IF(U79="",0,O79*IF(U79&gt;1,U79/100,U79)))</f>
        <v/>
      </c>
      <c r="W79" s="28"/>
      <c r="X79" s="34" t="str">
        <f aca="false">IF(W79="","",IFERROR(VLOOKUP(W79,REPS!$A$2:$D$40,3,0),""))</f>
        <v/>
      </c>
      <c r="Y79" s="31" t="str">
        <f aca="false">IF(O79="","",IF(X79="",0,O79*IF(X79&gt;1,X79/100,X79)))</f>
        <v/>
      </c>
      <c r="Z79" s="28"/>
      <c r="AA79" s="34" t="str">
        <f aca="false">IF(Z79="","",IFERROR(VLOOKUP(Z79,REPS!$A$2:$D$40,4,0),""))</f>
        <v/>
      </c>
      <c r="AB79" s="31" t="str">
        <f aca="false">IF(O79="","",IF(AA79="",0,O79*IF(AA79&gt;1,AA79/100,AA79)))</f>
        <v/>
      </c>
      <c r="AC79" s="31" t="str">
        <f aca="false">IF(O79="","",V79+Y79+AB79)</f>
        <v/>
      </c>
      <c r="AD79" s="19" t="str">
        <f aca="false">IF(O79="","",O79-R79-AC79)</f>
        <v/>
      </c>
      <c r="AE79" s="20"/>
      <c r="AF79" s="27"/>
      <c r="AG79" s="21" t="n">
        <f aca="false">IF(OR(AE79="",AE79=0),0,AE79*IF(U79="",0,IF(U79&gt;1,U79/100,U79)))</f>
        <v>0</v>
      </c>
      <c r="AH79" s="21" t="n">
        <f aca="false">IF(OR(AE79="",AE79=0),0,AE79*IF(X79="",0,IF(X79&gt;1,X79/100,X79)))</f>
        <v>0</v>
      </c>
      <c r="AI79" s="21" t="n">
        <f aca="false">IF(OR(AE79="",AE79=0),0,AE79*IF(AA79="",0,IF(AA79&gt;1,AA79/100,AA79)))</f>
        <v>0</v>
      </c>
      <c r="AJ79" s="21" t="n">
        <f aca="false">AG79+AH79+AI79</f>
        <v>0</v>
      </c>
      <c r="AK79" s="21" t="n">
        <f aca="false">IF(OR(AE79="",AE79=0),0,AE79-AJ79)</f>
        <v>0</v>
      </c>
      <c r="AL79" s="19" t="str">
        <f aca="false">IF(AD79="","",AD79-AK79)</f>
        <v/>
      </c>
      <c r="AM79" s="26" t="str">
        <f aca="false">IF(C79="","","Waiting for payment")</f>
        <v/>
      </c>
      <c r="AN79" s="27"/>
      <c r="AO79" s="27"/>
      <c r="AP79" s="35" t="str">
        <f aca="false">IF(OR(C79="",I79="",K79=""),"",IF(K79="Monthly",EDATE(C79,ROUND(I79*SETTINGS!$I$8,0)),WORKDAY(C79,ROUND(I79*SETTINGS!$I$8,0))))</f>
        <v/>
      </c>
      <c r="AQ79" s="26" t="str">
        <f aca="true">IF(C79="","",IF(AND(AP79&lt;&gt;"",TODAY()&gt;=AP79),"Refi Ready",IF(TODAY()-C79&gt;=SETTINGS!$I$11,"Prospecting","Performing")))</f>
        <v/>
      </c>
      <c r="AR79" s="35" t="str">
        <f aca="false">IF(OR(C79="",I79="",K79=""),"",IF(K79="Monthly",EDATE(C79,I79),WORKDAY(C79,I79)))</f>
        <v/>
      </c>
      <c r="AS79" s="28"/>
      <c r="AT79" s="36" t="str">
        <f aca="true">IF(C79="","",IF(AM79="Clawed Back","CLAWED",IF(TODAY()&lt;=C79+SETTINGS!$I$2,"⚠ AT RISK","SAFE")))</f>
        <v/>
      </c>
      <c r="AU79" s="28"/>
      <c r="AW79" s="24" t="n">
        <f aca="false">AW78+IF(AND(C79&lt;&gt;"",AO79&lt;&gt;"",OR('REP COMMISSION'!$B$3="",T79='REP COMMISSION'!$B$3,W79='REP COMMISSION'!$B$3,Z79='REP COMMISSION'!$B$3)),1,0)</f>
        <v>0</v>
      </c>
      <c r="AX79" s="24" t="n">
        <f aca="false">AX78+IF(AND(C79&lt;&gt;"",OR(F79="LOC - INITIAL",F79="CONSOLIDATION - UPFRONT COMM",F79="REVERSE - TOTAL FUNDING")),1,0)</f>
        <v>0</v>
      </c>
    </row>
    <row r="80" customFormat="false" ht="15" hidden="false" customHeight="false" outlineLevel="0" collapsed="false">
      <c r="A80" s="8" t="str">
        <f aca="false">IF(C80&lt;&gt;"","F"&amp;COUNT($C$4:C80),"")</f>
        <v/>
      </c>
      <c r="B80" s="9" t="str">
        <f aca="false">IF(OR(F80="LOC - INITIAL",F80="CONSOLIDATION - UPFRONT COMM",F80="REVERSE - TOTAL FUNDING"),A80,"")</f>
        <v/>
      </c>
      <c r="C80" s="10"/>
      <c r="D80" s="11"/>
      <c r="E80" s="11"/>
      <c r="F80" s="11"/>
      <c r="G80" s="12"/>
      <c r="H80" s="13"/>
      <c r="I80" s="11"/>
      <c r="J80" s="14" t="str">
        <f aca="false">IF(AND(G80&lt;&gt;"",H80&lt;&gt;""),G80*H80,"")</f>
        <v/>
      </c>
      <c r="K80" s="11"/>
      <c r="L80" s="15"/>
      <c r="M80" s="15"/>
      <c r="N80" s="14" t="n">
        <f aca="false">IF(OR(G80="",M80=""),0,IF(M80&gt;100,M80,G80*IF(M80&gt;1,M80/100,M80)))</f>
        <v>0</v>
      </c>
      <c r="O80" s="14" t="str">
        <f aca="false">IF(G80="","",G80*IF(L80="",0,IF(L80&gt;1,L80/100,L80))+N80)</f>
        <v/>
      </c>
      <c r="P80" s="11"/>
      <c r="Q80" s="16" t="str">
        <f aca="false">IF(P80="","",IFERROR(VLOOKUP(P80,PARTNERS!$A$2:$B$30,2,0),""))</f>
        <v/>
      </c>
      <c r="R80" s="17" t="str">
        <f aca="false">IF(O80="","",IF(OR(P80="",Q80=""),0,(O80-N80)*IF(Q80&gt;1,Q80/100,Q80)))</f>
        <v/>
      </c>
      <c r="S80" s="14" t="str">
        <f aca="false">IF(O80="","",O80-R80)</f>
        <v/>
      </c>
      <c r="T80" s="11"/>
      <c r="U80" s="18" t="str">
        <f aca="false">IF(T80="","",IFERROR(VLOOKUP(T80,REPS!$A$2:$D$40,2,0),""))</f>
        <v/>
      </c>
      <c r="V80" s="14" t="str">
        <f aca="false">IF(O80="","",IF(U80="",0,O80*IF(U80&gt;1,U80/100,U80)))</f>
        <v/>
      </c>
      <c r="W80" s="11"/>
      <c r="X80" s="18" t="str">
        <f aca="false">IF(W80="","",IFERROR(VLOOKUP(W80,REPS!$A$2:$D$40,3,0),""))</f>
        <v/>
      </c>
      <c r="Y80" s="14" t="str">
        <f aca="false">IF(O80="","",IF(X80="",0,O80*IF(X80&gt;1,X80/100,X80)))</f>
        <v/>
      </c>
      <c r="Z80" s="11"/>
      <c r="AA80" s="18" t="str">
        <f aca="false">IF(Z80="","",IFERROR(VLOOKUP(Z80,REPS!$A$2:$D$40,4,0),""))</f>
        <v/>
      </c>
      <c r="AB80" s="14" t="str">
        <f aca="false">IF(O80="","",IF(AA80="",0,O80*IF(AA80&gt;1,AA80/100,AA80)))</f>
        <v/>
      </c>
      <c r="AC80" s="14" t="str">
        <f aca="false">IF(O80="","",V80+Y80+AB80)</f>
        <v/>
      </c>
      <c r="AD80" s="19" t="str">
        <f aca="false">IF(O80="","",O80-R80-AC80)</f>
        <v/>
      </c>
      <c r="AE80" s="20"/>
      <c r="AF80" s="10"/>
      <c r="AG80" s="21" t="n">
        <f aca="false">IF(OR(AE80="",AE80=0),0,AE80*IF(U80="",0,IF(U80&gt;1,U80/100,U80)))</f>
        <v>0</v>
      </c>
      <c r="AH80" s="21" t="n">
        <f aca="false">IF(OR(AE80="",AE80=0),0,AE80*IF(X80="",0,IF(X80&gt;1,X80/100,X80)))</f>
        <v>0</v>
      </c>
      <c r="AI80" s="21" t="n">
        <f aca="false">IF(OR(AE80="",AE80=0),0,AE80*IF(AA80="",0,IF(AA80&gt;1,AA80/100,AA80)))</f>
        <v>0</v>
      </c>
      <c r="AJ80" s="21" t="n">
        <f aca="false">AG80+AH80+AI80</f>
        <v>0</v>
      </c>
      <c r="AK80" s="21" t="n">
        <f aca="false">IF(OR(AE80="",AE80=0),0,AE80-AJ80)</f>
        <v>0</v>
      </c>
      <c r="AL80" s="19" t="str">
        <f aca="false">IF(AD80="","",AD80-AK80)</f>
        <v/>
      </c>
      <c r="AM80" s="9" t="str">
        <f aca="false">IF(C80="","","Waiting for payment")</f>
        <v/>
      </c>
      <c r="AN80" s="10"/>
      <c r="AO80" s="10"/>
      <c r="AP80" s="22" t="str">
        <f aca="false">IF(OR(C80="",I80="",K80=""),"",IF(K80="Monthly",EDATE(C80,ROUND(I80*SETTINGS!$I$8,0)),WORKDAY(C80,ROUND(I80*SETTINGS!$I$8,0))))</f>
        <v/>
      </c>
      <c r="AQ80" s="9" t="str">
        <f aca="true">IF(C80="","",IF(AND(AP80&lt;&gt;"",TODAY()&gt;=AP80),"Refi Ready",IF(TODAY()-C80&gt;=SETTINGS!$I$11,"Prospecting","Performing")))</f>
        <v/>
      </c>
      <c r="AR80" s="22" t="str">
        <f aca="false">IF(OR(C80="",I80="",K80=""),"",IF(K80="Monthly",EDATE(C80,I80),WORKDAY(C80,I80)))</f>
        <v/>
      </c>
      <c r="AS80" s="11"/>
      <c r="AT80" s="23" t="str">
        <f aca="true">IF(C80="","",IF(AM80="Clawed Back","CLAWED",IF(TODAY()&lt;=C80+SETTINGS!$I$2,"⚠ AT RISK","SAFE")))</f>
        <v/>
      </c>
      <c r="AU80" s="11"/>
      <c r="AW80" s="24" t="n">
        <f aca="false">AW79+IF(AND(C80&lt;&gt;"",AO80&lt;&gt;"",OR('REP COMMISSION'!$B$3="",T80='REP COMMISSION'!$B$3,W80='REP COMMISSION'!$B$3,Z80='REP COMMISSION'!$B$3)),1,0)</f>
        <v>0</v>
      </c>
      <c r="AX80" s="24" t="n">
        <f aca="false">AX79+IF(AND(C80&lt;&gt;"",OR(F80="LOC - INITIAL",F80="CONSOLIDATION - UPFRONT COMM",F80="REVERSE - TOTAL FUNDING")),1,0)</f>
        <v>0</v>
      </c>
    </row>
    <row r="81" customFormat="false" ht="15" hidden="false" customHeight="false" outlineLevel="0" collapsed="false">
      <c r="A81" s="25" t="str">
        <f aca="false">IF(C81&lt;&gt;"","F"&amp;COUNT($C$4:C81),"")</f>
        <v/>
      </c>
      <c r="B81" s="26" t="str">
        <f aca="false">IF(OR(F81="LOC - INITIAL",F81="CONSOLIDATION - UPFRONT COMM",F81="REVERSE - TOTAL FUNDING"),A81,"")</f>
        <v/>
      </c>
      <c r="C81" s="27"/>
      <c r="D81" s="28"/>
      <c r="E81" s="28"/>
      <c r="F81" s="28"/>
      <c r="G81" s="29"/>
      <c r="H81" s="30"/>
      <c r="I81" s="28"/>
      <c r="J81" s="31" t="str">
        <f aca="false">IF(AND(G81&lt;&gt;"",H81&lt;&gt;""),G81*H81,"")</f>
        <v/>
      </c>
      <c r="K81" s="28"/>
      <c r="L81" s="32"/>
      <c r="M81" s="32"/>
      <c r="N81" s="31" t="n">
        <f aca="false">IF(OR(G81="",M81=""),0,IF(M81&gt;100,M81,G81*IF(M81&gt;1,M81/100,M81)))</f>
        <v>0</v>
      </c>
      <c r="O81" s="31" t="str">
        <f aca="false">IF(G81="","",G81*IF(L81="",0,IF(L81&gt;1,L81/100,L81))+N81)</f>
        <v/>
      </c>
      <c r="P81" s="28"/>
      <c r="Q81" s="33" t="str">
        <f aca="false">IF(P81="","",IFERROR(VLOOKUP(P81,PARTNERS!$A$2:$B$30,2,0),""))</f>
        <v/>
      </c>
      <c r="R81" s="17" t="str">
        <f aca="false">IF(O81="","",IF(OR(P81="",Q81=""),0,(O81-N81)*IF(Q81&gt;1,Q81/100,Q81)))</f>
        <v/>
      </c>
      <c r="S81" s="31" t="str">
        <f aca="false">IF(O81="","",O81-R81)</f>
        <v/>
      </c>
      <c r="T81" s="28"/>
      <c r="U81" s="34" t="str">
        <f aca="false">IF(T81="","",IFERROR(VLOOKUP(T81,REPS!$A$2:$D$40,2,0),""))</f>
        <v/>
      </c>
      <c r="V81" s="31" t="str">
        <f aca="false">IF(O81="","",IF(U81="",0,O81*IF(U81&gt;1,U81/100,U81)))</f>
        <v/>
      </c>
      <c r="W81" s="28"/>
      <c r="X81" s="34" t="str">
        <f aca="false">IF(W81="","",IFERROR(VLOOKUP(W81,REPS!$A$2:$D$40,3,0),""))</f>
        <v/>
      </c>
      <c r="Y81" s="31" t="str">
        <f aca="false">IF(O81="","",IF(X81="",0,O81*IF(X81&gt;1,X81/100,X81)))</f>
        <v/>
      </c>
      <c r="Z81" s="28"/>
      <c r="AA81" s="34" t="str">
        <f aca="false">IF(Z81="","",IFERROR(VLOOKUP(Z81,REPS!$A$2:$D$40,4,0),""))</f>
        <v/>
      </c>
      <c r="AB81" s="31" t="str">
        <f aca="false">IF(O81="","",IF(AA81="",0,O81*IF(AA81&gt;1,AA81/100,AA81)))</f>
        <v/>
      </c>
      <c r="AC81" s="31" t="str">
        <f aca="false">IF(O81="","",V81+Y81+AB81)</f>
        <v/>
      </c>
      <c r="AD81" s="19" t="str">
        <f aca="false">IF(O81="","",O81-R81-AC81)</f>
        <v/>
      </c>
      <c r="AE81" s="20"/>
      <c r="AF81" s="27"/>
      <c r="AG81" s="21" t="n">
        <f aca="false">IF(OR(AE81="",AE81=0),0,AE81*IF(U81="",0,IF(U81&gt;1,U81/100,U81)))</f>
        <v>0</v>
      </c>
      <c r="AH81" s="21" t="n">
        <f aca="false">IF(OR(AE81="",AE81=0),0,AE81*IF(X81="",0,IF(X81&gt;1,X81/100,X81)))</f>
        <v>0</v>
      </c>
      <c r="AI81" s="21" t="n">
        <f aca="false">IF(OR(AE81="",AE81=0),0,AE81*IF(AA81="",0,IF(AA81&gt;1,AA81/100,AA81)))</f>
        <v>0</v>
      </c>
      <c r="AJ81" s="21" t="n">
        <f aca="false">AG81+AH81+AI81</f>
        <v>0</v>
      </c>
      <c r="AK81" s="21" t="n">
        <f aca="false">IF(OR(AE81="",AE81=0),0,AE81-AJ81)</f>
        <v>0</v>
      </c>
      <c r="AL81" s="19" t="str">
        <f aca="false">IF(AD81="","",AD81-AK81)</f>
        <v/>
      </c>
      <c r="AM81" s="26" t="str">
        <f aca="false">IF(C81="","","Waiting for payment")</f>
        <v/>
      </c>
      <c r="AN81" s="27"/>
      <c r="AO81" s="27"/>
      <c r="AP81" s="35" t="str">
        <f aca="false">IF(OR(C81="",I81="",K81=""),"",IF(K81="Monthly",EDATE(C81,ROUND(I81*SETTINGS!$I$8,0)),WORKDAY(C81,ROUND(I81*SETTINGS!$I$8,0))))</f>
        <v/>
      </c>
      <c r="AQ81" s="26" t="str">
        <f aca="true">IF(C81="","",IF(AND(AP81&lt;&gt;"",TODAY()&gt;=AP81),"Refi Ready",IF(TODAY()-C81&gt;=SETTINGS!$I$11,"Prospecting","Performing")))</f>
        <v/>
      </c>
      <c r="AR81" s="35" t="str">
        <f aca="false">IF(OR(C81="",I81="",K81=""),"",IF(K81="Monthly",EDATE(C81,I81),WORKDAY(C81,I81)))</f>
        <v/>
      </c>
      <c r="AS81" s="28"/>
      <c r="AT81" s="36" t="str">
        <f aca="true">IF(C81="","",IF(AM81="Clawed Back","CLAWED",IF(TODAY()&lt;=C81+SETTINGS!$I$2,"⚠ AT RISK","SAFE")))</f>
        <v/>
      </c>
      <c r="AU81" s="28"/>
      <c r="AW81" s="24" t="n">
        <f aca="false">AW80+IF(AND(C81&lt;&gt;"",AO81&lt;&gt;"",OR('REP COMMISSION'!$B$3="",T81='REP COMMISSION'!$B$3,W81='REP COMMISSION'!$B$3,Z81='REP COMMISSION'!$B$3)),1,0)</f>
        <v>0</v>
      </c>
      <c r="AX81" s="24" t="n">
        <f aca="false">AX80+IF(AND(C81&lt;&gt;"",OR(F81="LOC - INITIAL",F81="CONSOLIDATION - UPFRONT COMM",F81="REVERSE - TOTAL FUNDING")),1,0)</f>
        <v>0</v>
      </c>
    </row>
    <row r="82" customFormat="false" ht="15" hidden="false" customHeight="false" outlineLevel="0" collapsed="false">
      <c r="A82" s="8" t="str">
        <f aca="false">IF(C82&lt;&gt;"","F"&amp;COUNT($C$4:C82),"")</f>
        <v/>
      </c>
      <c r="B82" s="9" t="str">
        <f aca="false">IF(OR(F82="LOC - INITIAL",F82="CONSOLIDATION - UPFRONT COMM",F82="REVERSE - TOTAL FUNDING"),A82,"")</f>
        <v/>
      </c>
      <c r="C82" s="10"/>
      <c r="D82" s="11"/>
      <c r="E82" s="11"/>
      <c r="F82" s="11"/>
      <c r="G82" s="12"/>
      <c r="H82" s="13"/>
      <c r="I82" s="11"/>
      <c r="J82" s="14" t="str">
        <f aca="false">IF(AND(G82&lt;&gt;"",H82&lt;&gt;""),G82*H82,"")</f>
        <v/>
      </c>
      <c r="K82" s="11"/>
      <c r="L82" s="15"/>
      <c r="M82" s="15"/>
      <c r="N82" s="14" t="n">
        <f aca="false">IF(OR(G82="",M82=""),0,IF(M82&gt;100,M82,G82*IF(M82&gt;1,M82/100,M82)))</f>
        <v>0</v>
      </c>
      <c r="O82" s="14" t="str">
        <f aca="false">IF(G82="","",G82*IF(L82="",0,IF(L82&gt;1,L82/100,L82))+N82)</f>
        <v/>
      </c>
      <c r="P82" s="11"/>
      <c r="Q82" s="16" t="str">
        <f aca="false">IF(P82="","",IFERROR(VLOOKUP(P82,PARTNERS!$A$2:$B$30,2,0),""))</f>
        <v/>
      </c>
      <c r="R82" s="17" t="str">
        <f aca="false">IF(O82="","",IF(OR(P82="",Q82=""),0,(O82-N82)*IF(Q82&gt;1,Q82/100,Q82)))</f>
        <v/>
      </c>
      <c r="S82" s="14" t="str">
        <f aca="false">IF(O82="","",O82-R82)</f>
        <v/>
      </c>
      <c r="T82" s="11"/>
      <c r="U82" s="18" t="str">
        <f aca="false">IF(T82="","",IFERROR(VLOOKUP(T82,REPS!$A$2:$D$40,2,0),""))</f>
        <v/>
      </c>
      <c r="V82" s="14" t="str">
        <f aca="false">IF(O82="","",IF(U82="",0,O82*IF(U82&gt;1,U82/100,U82)))</f>
        <v/>
      </c>
      <c r="W82" s="11"/>
      <c r="X82" s="18" t="str">
        <f aca="false">IF(W82="","",IFERROR(VLOOKUP(W82,REPS!$A$2:$D$40,3,0),""))</f>
        <v/>
      </c>
      <c r="Y82" s="14" t="str">
        <f aca="false">IF(O82="","",IF(X82="",0,O82*IF(X82&gt;1,X82/100,X82)))</f>
        <v/>
      </c>
      <c r="Z82" s="11"/>
      <c r="AA82" s="18" t="str">
        <f aca="false">IF(Z82="","",IFERROR(VLOOKUP(Z82,REPS!$A$2:$D$40,4,0),""))</f>
        <v/>
      </c>
      <c r="AB82" s="14" t="str">
        <f aca="false">IF(O82="","",IF(AA82="",0,O82*IF(AA82&gt;1,AA82/100,AA82)))</f>
        <v/>
      </c>
      <c r="AC82" s="14" t="str">
        <f aca="false">IF(O82="","",V82+Y82+AB82)</f>
        <v/>
      </c>
      <c r="AD82" s="19" t="str">
        <f aca="false">IF(O82="","",O82-R82-AC82)</f>
        <v/>
      </c>
      <c r="AE82" s="20"/>
      <c r="AF82" s="10"/>
      <c r="AG82" s="21" t="n">
        <f aca="false">IF(OR(AE82="",AE82=0),0,AE82*IF(U82="",0,IF(U82&gt;1,U82/100,U82)))</f>
        <v>0</v>
      </c>
      <c r="AH82" s="21" t="n">
        <f aca="false">IF(OR(AE82="",AE82=0),0,AE82*IF(X82="",0,IF(X82&gt;1,X82/100,X82)))</f>
        <v>0</v>
      </c>
      <c r="AI82" s="21" t="n">
        <f aca="false">IF(OR(AE82="",AE82=0),0,AE82*IF(AA82="",0,IF(AA82&gt;1,AA82/100,AA82)))</f>
        <v>0</v>
      </c>
      <c r="AJ82" s="21" t="n">
        <f aca="false">AG82+AH82+AI82</f>
        <v>0</v>
      </c>
      <c r="AK82" s="21" t="n">
        <f aca="false">IF(OR(AE82="",AE82=0),0,AE82-AJ82)</f>
        <v>0</v>
      </c>
      <c r="AL82" s="19" t="str">
        <f aca="false">IF(AD82="","",AD82-AK82)</f>
        <v/>
      </c>
      <c r="AM82" s="9" t="str">
        <f aca="false">IF(C82="","","Waiting for payment")</f>
        <v/>
      </c>
      <c r="AN82" s="10"/>
      <c r="AO82" s="10"/>
      <c r="AP82" s="22" t="str">
        <f aca="false">IF(OR(C82="",I82="",K82=""),"",IF(K82="Monthly",EDATE(C82,ROUND(I82*SETTINGS!$I$8,0)),WORKDAY(C82,ROUND(I82*SETTINGS!$I$8,0))))</f>
        <v/>
      </c>
      <c r="AQ82" s="9" t="str">
        <f aca="true">IF(C82="","",IF(AND(AP82&lt;&gt;"",TODAY()&gt;=AP82),"Refi Ready",IF(TODAY()-C82&gt;=SETTINGS!$I$11,"Prospecting","Performing")))</f>
        <v/>
      </c>
      <c r="AR82" s="22" t="str">
        <f aca="false">IF(OR(C82="",I82="",K82=""),"",IF(K82="Monthly",EDATE(C82,I82),WORKDAY(C82,I82)))</f>
        <v/>
      </c>
      <c r="AS82" s="11"/>
      <c r="AT82" s="23" t="str">
        <f aca="true">IF(C82="","",IF(AM82="Clawed Back","CLAWED",IF(TODAY()&lt;=C82+SETTINGS!$I$2,"⚠ AT RISK","SAFE")))</f>
        <v/>
      </c>
      <c r="AU82" s="11"/>
      <c r="AW82" s="24" t="n">
        <f aca="false">AW81+IF(AND(C82&lt;&gt;"",AO82&lt;&gt;"",OR('REP COMMISSION'!$B$3="",T82='REP COMMISSION'!$B$3,W82='REP COMMISSION'!$B$3,Z82='REP COMMISSION'!$B$3)),1,0)</f>
        <v>0</v>
      </c>
      <c r="AX82" s="24" t="n">
        <f aca="false">AX81+IF(AND(C82&lt;&gt;"",OR(F82="LOC - INITIAL",F82="CONSOLIDATION - UPFRONT COMM",F82="REVERSE - TOTAL FUNDING")),1,0)</f>
        <v>0</v>
      </c>
    </row>
    <row r="83" customFormat="false" ht="15" hidden="false" customHeight="false" outlineLevel="0" collapsed="false">
      <c r="A83" s="25" t="str">
        <f aca="false">IF(C83&lt;&gt;"","F"&amp;COUNT($C$4:C83),"")</f>
        <v/>
      </c>
      <c r="B83" s="26" t="str">
        <f aca="false">IF(OR(F83="LOC - INITIAL",F83="CONSOLIDATION - UPFRONT COMM",F83="REVERSE - TOTAL FUNDING"),A83,"")</f>
        <v/>
      </c>
      <c r="C83" s="27"/>
      <c r="D83" s="28"/>
      <c r="E83" s="28"/>
      <c r="F83" s="28"/>
      <c r="G83" s="29"/>
      <c r="H83" s="30"/>
      <c r="I83" s="28"/>
      <c r="J83" s="31" t="str">
        <f aca="false">IF(AND(G83&lt;&gt;"",H83&lt;&gt;""),G83*H83,"")</f>
        <v/>
      </c>
      <c r="K83" s="28"/>
      <c r="L83" s="32"/>
      <c r="M83" s="32"/>
      <c r="N83" s="31" t="n">
        <f aca="false">IF(OR(G83="",M83=""),0,IF(M83&gt;100,M83,G83*IF(M83&gt;1,M83/100,M83)))</f>
        <v>0</v>
      </c>
      <c r="O83" s="31" t="str">
        <f aca="false">IF(G83="","",G83*IF(L83="",0,IF(L83&gt;1,L83/100,L83))+N83)</f>
        <v/>
      </c>
      <c r="P83" s="28"/>
      <c r="Q83" s="33" t="str">
        <f aca="false">IF(P83="","",IFERROR(VLOOKUP(P83,PARTNERS!$A$2:$B$30,2,0),""))</f>
        <v/>
      </c>
      <c r="R83" s="17" t="str">
        <f aca="false">IF(O83="","",IF(OR(P83="",Q83=""),0,(O83-N83)*IF(Q83&gt;1,Q83/100,Q83)))</f>
        <v/>
      </c>
      <c r="S83" s="31" t="str">
        <f aca="false">IF(O83="","",O83-R83)</f>
        <v/>
      </c>
      <c r="T83" s="28"/>
      <c r="U83" s="34" t="str">
        <f aca="false">IF(T83="","",IFERROR(VLOOKUP(T83,REPS!$A$2:$D$40,2,0),""))</f>
        <v/>
      </c>
      <c r="V83" s="31" t="str">
        <f aca="false">IF(O83="","",IF(U83="",0,O83*IF(U83&gt;1,U83/100,U83)))</f>
        <v/>
      </c>
      <c r="W83" s="28"/>
      <c r="X83" s="34" t="str">
        <f aca="false">IF(W83="","",IFERROR(VLOOKUP(W83,REPS!$A$2:$D$40,3,0),""))</f>
        <v/>
      </c>
      <c r="Y83" s="31" t="str">
        <f aca="false">IF(O83="","",IF(X83="",0,O83*IF(X83&gt;1,X83/100,X83)))</f>
        <v/>
      </c>
      <c r="Z83" s="28"/>
      <c r="AA83" s="34" t="str">
        <f aca="false">IF(Z83="","",IFERROR(VLOOKUP(Z83,REPS!$A$2:$D$40,4,0),""))</f>
        <v/>
      </c>
      <c r="AB83" s="31" t="str">
        <f aca="false">IF(O83="","",IF(AA83="",0,O83*IF(AA83&gt;1,AA83/100,AA83)))</f>
        <v/>
      </c>
      <c r="AC83" s="31" t="str">
        <f aca="false">IF(O83="","",V83+Y83+AB83)</f>
        <v/>
      </c>
      <c r="AD83" s="19" t="str">
        <f aca="false">IF(O83="","",O83-R83-AC83)</f>
        <v/>
      </c>
      <c r="AE83" s="20"/>
      <c r="AF83" s="27"/>
      <c r="AG83" s="21" t="n">
        <f aca="false">IF(OR(AE83="",AE83=0),0,AE83*IF(U83="",0,IF(U83&gt;1,U83/100,U83)))</f>
        <v>0</v>
      </c>
      <c r="AH83" s="21" t="n">
        <f aca="false">IF(OR(AE83="",AE83=0),0,AE83*IF(X83="",0,IF(X83&gt;1,X83/100,X83)))</f>
        <v>0</v>
      </c>
      <c r="AI83" s="21" t="n">
        <f aca="false">IF(OR(AE83="",AE83=0),0,AE83*IF(AA83="",0,IF(AA83&gt;1,AA83/100,AA83)))</f>
        <v>0</v>
      </c>
      <c r="AJ83" s="21" t="n">
        <f aca="false">AG83+AH83+AI83</f>
        <v>0</v>
      </c>
      <c r="AK83" s="21" t="n">
        <f aca="false">IF(OR(AE83="",AE83=0),0,AE83-AJ83)</f>
        <v>0</v>
      </c>
      <c r="AL83" s="19" t="str">
        <f aca="false">IF(AD83="","",AD83-AK83)</f>
        <v/>
      </c>
      <c r="AM83" s="26" t="str">
        <f aca="false">IF(C83="","","Waiting for payment")</f>
        <v/>
      </c>
      <c r="AN83" s="27"/>
      <c r="AO83" s="27"/>
      <c r="AP83" s="35" t="str">
        <f aca="false">IF(OR(C83="",I83="",K83=""),"",IF(K83="Monthly",EDATE(C83,ROUND(I83*SETTINGS!$I$8,0)),WORKDAY(C83,ROUND(I83*SETTINGS!$I$8,0))))</f>
        <v/>
      </c>
      <c r="AQ83" s="26" t="str">
        <f aca="true">IF(C83="","",IF(AND(AP83&lt;&gt;"",TODAY()&gt;=AP83),"Refi Ready",IF(TODAY()-C83&gt;=SETTINGS!$I$11,"Prospecting","Performing")))</f>
        <v/>
      </c>
      <c r="AR83" s="35" t="str">
        <f aca="false">IF(OR(C83="",I83="",K83=""),"",IF(K83="Monthly",EDATE(C83,I83),WORKDAY(C83,I83)))</f>
        <v/>
      </c>
      <c r="AS83" s="28"/>
      <c r="AT83" s="36" t="str">
        <f aca="true">IF(C83="","",IF(AM83="Clawed Back","CLAWED",IF(TODAY()&lt;=C83+SETTINGS!$I$2,"⚠ AT RISK","SAFE")))</f>
        <v/>
      </c>
      <c r="AU83" s="28"/>
      <c r="AW83" s="24" t="n">
        <f aca="false">AW82+IF(AND(C83&lt;&gt;"",AO83&lt;&gt;"",OR('REP COMMISSION'!$B$3="",T83='REP COMMISSION'!$B$3,W83='REP COMMISSION'!$B$3,Z83='REP COMMISSION'!$B$3)),1,0)</f>
        <v>0</v>
      </c>
      <c r="AX83" s="24" t="n">
        <f aca="false">AX82+IF(AND(C83&lt;&gt;"",OR(F83="LOC - INITIAL",F83="CONSOLIDATION - UPFRONT COMM",F83="REVERSE - TOTAL FUNDING")),1,0)</f>
        <v>0</v>
      </c>
    </row>
    <row r="84" customFormat="false" ht="15" hidden="false" customHeight="false" outlineLevel="0" collapsed="false">
      <c r="A84" s="8" t="str">
        <f aca="false">IF(C84&lt;&gt;"","F"&amp;COUNT($C$4:C84),"")</f>
        <v/>
      </c>
      <c r="B84" s="9" t="str">
        <f aca="false">IF(OR(F84="LOC - INITIAL",F84="CONSOLIDATION - UPFRONT COMM",F84="REVERSE - TOTAL FUNDING"),A84,"")</f>
        <v/>
      </c>
      <c r="C84" s="10"/>
      <c r="D84" s="11"/>
      <c r="E84" s="11"/>
      <c r="F84" s="11"/>
      <c r="G84" s="12"/>
      <c r="H84" s="13"/>
      <c r="I84" s="11"/>
      <c r="J84" s="14" t="str">
        <f aca="false">IF(AND(G84&lt;&gt;"",H84&lt;&gt;""),G84*H84,"")</f>
        <v/>
      </c>
      <c r="K84" s="11"/>
      <c r="L84" s="15"/>
      <c r="M84" s="15"/>
      <c r="N84" s="14" t="n">
        <f aca="false">IF(OR(G84="",M84=""),0,IF(M84&gt;100,M84,G84*IF(M84&gt;1,M84/100,M84)))</f>
        <v>0</v>
      </c>
      <c r="O84" s="14" t="str">
        <f aca="false">IF(G84="","",G84*IF(L84="",0,IF(L84&gt;1,L84/100,L84))+N84)</f>
        <v/>
      </c>
      <c r="P84" s="11"/>
      <c r="Q84" s="16" t="str">
        <f aca="false">IF(P84="","",IFERROR(VLOOKUP(P84,PARTNERS!$A$2:$B$30,2,0),""))</f>
        <v/>
      </c>
      <c r="R84" s="17" t="str">
        <f aca="false">IF(O84="","",IF(OR(P84="",Q84=""),0,(O84-N84)*IF(Q84&gt;1,Q84/100,Q84)))</f>
        <v/>
      </c>
      <c r="S84" s="14" t="str">
        <f aca="false">IF(O84="","",O84-R84)</f>
        <v/>
      </c>
      <c r="T84" s="11"/>
      <c r="U84" s="18" t="str">
        <f aca="false">IF(T84="","",IFERROR(VLOOKUP(T84,REPS!$A$2:$D$40,2,0),""))</f>
        <v/>
      </c>
      <c r="V84" s="14" t="str">
        <f aca="false">IF(O84="","",IF(U84="",0,O84*IF(U84&gt;1,U84/100,U84)))</f>
        <v/>
      </c>
      <c r="W84" s="11"/>
      <c r="X84" s="18" t="str">
        <f aca="false">IF(W84="","",IFERROR(VLOOKUP(W84,REPS!$A$2:$D$40,3,0),""))</f>
        <v/>
      </c>
      <c r="Y84" s="14" t="str">
        <f aca="false">IF(O84="","",IF(X84="",0,O84*IF(X84&gt;1,X84/100,X84)))</f>
        <v/>
      </c>
      <c r="Z84" s="11"/>
      <c r="AA84" s="18" t="str">
        <f aca="false">IF(Z84="","",IFERROR(VLOOKUP(Z84,REPS!$A$2:$D$40,4,0),""))</f>
        <v/>
      </c>
      <c r="AB84" s="14" t="str">
        <f aca="false">IF(O84="","",IF(AA84="",0,O84*IF(AA84&gt;1,AA84/100,AA84)))</f>
        <v/>
      </c>
      <c r="AC84" s="14" t="str">
        <f aca="false">IF(O84="","",V84+Y84+AB84)</f>
        <v/>
      </c>
      <c r="AD84" s="19" t="str">
        <f aca="false">IF(O84="","",O84-R84-AC84)</f>
        <v/>
      </c>
      <c r="AE84" s="20"/>
      <c r="AF84" s="10"/>
      <c r="AG84" s="21" t="n">
        <f aca="false">IF(OR(AE84="",AE84=0),0,AE84*IF(U84="",0,IF(U84&gt;1,U84/100,U84)))</f>
        <v>0</v>
      </c>
      <c r="AH84" s="21" t="n">
        <f aca="false">IF(OR(AE84="",AE84=0),0,AE84*IF(X84="",0,IF(X84&gt;1,X84/100,X84)))</f>
        <v>0</v>
      </c>
      <c r="AI84" s="21" t="n">
        <f aca="false">IF(OR(AE84="",AE84=0),0,AE84*IF(AA84="",0,IF(AA84&gt;1,AA84/100,AA84)))</f>
        <v>0</v>
      </c>
      <c r="AJ84" s="21" t="n">
        <f aca="false">AG84+AH84+AI84</f>
        <v>0</v>
      </c>
      <c r="AK84" s="21" t="n">
        <f aca="false">IF(OR(AE84="",AE84=0),0,AE84-AJ84)</f>
        <v>0</v>
      </c>
      <c r="AL84" s="19" t="str">
        <f aca="false">IF(AD84="","",AD84-AK84)</f>
        <v/>
      </c>
      <c r="AM84" s="9" t="str">
        <f aca="false">IF(C84="","","Waiting for payment")</f>
        <v/>
      </c>
      <c r="AN84" s="10"/>
      <c r="AO84" s="10"/>
      <c r="AP84" s="22" t="str">
        <f aca="false">IF(OR(C84="",I84="",K84=""),"",IF(K84="Monthly",EDATE(C84,ROUND(I84*SETTINGS!$I$8,0)),WORKDAY(C84,ROUND(I84*SETTINGS!$I$8,0))))</f>
        <v/>
      </c>
      <c r="AQ84" s="9" t="str">
        <f aca="true">IF(C84="","",IF(AND(AP84&lt;&gt;"",TODAY()&gt;=AP84),"Refi Ready",IF(TODAY()-C84&gt;=SETTINGS!$I$11,"Prospecting","Performing")))</f>
        <v/>
      </c>
      <c r="AR84" s="22" t="str">
        <f aca="false">IF(OR(C84="",I84="",K84=""),"",IF(K84="Monthly",EDATE(C84,I84),WORKDAY(C84,I84)))</f>
        <v/>
      </c>
      <c r="AS84" s="11"/>
      <c r="AT84" s="23" t="str">
        <f aca="true">IF(C84="","",IF(AM84="Clawed Back","CLAWED",IF(TODAY()&lt;=C84+SETTINGS!$I$2,"⚠ AT RISK","SAFE")))</f>
        <v/>
      </c>
      <c r="AU84" s="11"/>
      <c r="AW84" s="24" t="n">
        <f aca="false">AW83+IF(AND(C84&lt;&gt;"",AO84&lt;&gt;"",OR('REP COMMISSION'!$B$3="",T84='REP COMMISSION'!$B$3,W84='REP COMMISSION'!$B$3,Z84='REP COMMISSION'!$B$3)),1,0)</f>
        <v>0</v>
      </c>
      <c r="AX84" s="24" t="n">
        <f aca="false">AX83+IF(AND(C84&lt;&gt;"",OR(F84="LOC - INITIAL",F84="CONSOLIDATION - UPFRONT COMM",F84="REVERSE - TOTAL FUNDING")),1,0)</f>
        <v>0</v>
      </c>
    </row>
    <row r="85" customFormat="false" ht="15" hidden="false" customHeight="false" outlineLevel="0" collapsed="false">
      <c r="A85" s="25" t="str">
        <f aca="false">IF(C85&lt;&gt;"","F"&amp;COUNT($C$4:C85),"")</f>
        <v/>
      </c>
      <c r="B85" s="26" t="str">
        <f aca="false">IF(OR(F85="LOC - INITIAL",F85="CONSOLIDATION - UPFRONT COMM",F85="REVERSE - TOTAL FUNDING"),A85,"")</f>
        <v/>
      </c>
      <c r="C85" s="27"/>
      <c r="D85" s="28"/>
      <c r="E85" s="28"/>
      <c r="F85" s="28"/>
      <c r="G85" s="29"/>
      <c r="H85" s="30"/>
      <c r="I85" s="28"/>
      <c r="J85" s="31" t="str">
        <f aca="false">IF(AND(G85&lt;&gt;"",H85&lt;&gt;""),G85*H85,"")</f>
        <v/>
      </c>
      <c r="K85" s="28"/>
      <c r="L85" s="32"/>
      <c r="M85" s="32"/>
      <c r="N85" s="31" t="n">
        <f aca="false">IF(OR(G85="",M85=""),0,IF(M85&gt;100,M85,G85*IF(M85&gt;1,M85/100,M85)))</f>
        <v>0</v>
      </c>
      <c r="O85" s="31" t="str">
        <f aca="false">IF(G85="","",G85*IF(L85="",0,IF(L85&gt;1,L85/100,L85))+N85)</f>
        <v/>
      </c>
      <c r="P85" s="28"/>
      <c r="Q85" s="33" t="str">
        <f aca="false">IF(P85="","",IFERROR(VLOOKUP(P85,PARTNERS!$A$2:$B$30,2,0),""))</f>
        <v/>
      </c>
      <c r="R85" s="17" t="str">
        <f aca="false">IF(O85="","",IF(OR(P85="",Q85=""),0,(O85-N85)*IF(Q85&gt;1,Q85/100,Q85)))</f>
        <v/>
      </c>
      <c r="S85" s="31" t="str">
        <f aca="false">IF(O85="","",O85-R85)</f>
        <v/>
      </c>
      <c r="T85" s="28"/>
      <c r="U85" s="34" t="str">
        <f aca="false">IF(T85="","",IFERROR(VLOOKUP(T85,REPS!$A$2:$D$40,2,0),""))</f>
        <v/>
      </c>
      <c r="V85" s="31" t="str">
        <f aca="false">IF(O85="","",IF(U85="",0,O85*IF(U85&gt;1,U85/100,U85)))</f>
        <v/>
      </c>
      <c r="W85" s="28"/>
      <c r="X85" s="34" t="str">
        <f aca="false">IF(W85="","",IFERROR(VLOOKUP(W85,REPS!$A$2:$D$40,3,0),""))</f>
        <v/>
      </c>
      <c r="Y85" s="31" t="str">
        <f aca="false">IF(O85="","",IF(X85="",0,O85*IF(X85&gt;1,X85/100,X85)))</f>
        <v/>
      </c>
      <c r="Z85" s="28"/>
      <c r="AA85" s="34" t="str">
        <f aca="false">IF(Z85="","",IFERROR(VLOOKUP(Z85,REPS!$A$2:$D$40,4,0),""))</f>
        <v/>
      </c>
      <c r="AB85" s="31" t="str">
        <f aca="false">IF(O85="","",IF(AA85="",0,O85*IF(AA85&gt;1,AA85/100,AA85)))</f>
        <v/>
      </c>
      <c r="AC85" s="31" t="str">
        <f aca="false">IF(O85="","",V85+Y85+AB85)</f>
        <v/>
      </c>
      <c r="AD85" s="19" t="str">
        <f aca="false">IF(O85="","",O85-R85-AC85)</f>
        <v/>
      </c>
      <c r="AE85" s="20"/>
      <c r="AF85" s="27"/>
      <c r="AG85" s="21" t="n">
        <f aca="false">IF(OR(AE85="",AE85=0),0,AE85*IF(U85="",0,IF(U85&gt;1,U85/100,U85)))</f>
        <v>0</v>
      </c>
      <c r="AH85" s="21" t="n">
        <f aca="false">IF(OR(AE85="",AE85=0),0,AE85*IF(X85="",0,IF(X85&gt;1,X85/100,X85)))</f>
        <v>0</v>
      </c>
      <c r="AI85" s="21" t="n">
        <f aca="false">IF(OR(AE85="",AE85=0),0,AE85*IF(AA85="",0,IF(AA85&gt;1,AA85/100,AA85)))</f>
        <v>0</v>
      </c>
      <c r="AJ85" s="21" t="n">
        <f aca="false">AG85+AH85+AI85</f>
        <v>0</v>
      </c>
      <c r="AK85" s="21" t="n">
        <f aca="false">IF(OR(AE85="",AE85=0),0,AE85-AJ85)</f>
        <v>0</v>
      </c>
      <c r="AL85" s="19" t="str">
        <f aca="false">IF(AD85="","",AD85-AK85)</f>
        <v/>
      </c>
      <c r="AM85" s="26" t="str">
        <f aca="false">IF(C85="","","Waiting for payment")</f>
        <v/>
      </c>
      <c r="AN85" s="27"/>
      <c r="AO85" s="27"/>
      <c r="AP85" s="35" t="str">
        <f aca="false">IF(OR(C85="",I85="",K85=""),"",IF(K85="Monthly",EDATE(C85,ROUND(I85*SETTINGS!$I$8,0)),WORKDAY(C85,ROUND(I85*SETTINGS!$I$8,0))))</f>
        <v/>
      </c>
      <c r="AQ85" s="26" t="str">
        <f aca="true">IF(C85="","",IF(AND(AP85&lt;&gt;"",TODAY()&gt;=AP85),"Refi Ready",IF(TODAY()-C85&gt;=SETTINGS!$I$11,"Prospecting","Performing")))</f>
        <v/>
      </c>
      <c r="AR85" s="35" t="str">
        <f aca="false">IF(OR(C85="",I85="",K85=""),"",IF(K85="Monthly",EDATE(C85,I85),WORKDAY(C85,I85)))</f>
        <v/>
      </c>
      <c r="AS85" s="28"/>
      <c r="AT85" s="36" t="str">
        <f aca="true">IF(C85="","",IF(AM85="Clawed Back","CLAWED",IF(TODAY()&lt;=C85+SETTINGS!$I$2,"⚠ AT RISK","SAFE")))</f>
        <v/>
      </c>
      <c r="AU85" s="28"/>
      <c r="AW85" s="24" t="n">
        <f aca="false">AW84+IF(AND(C85&lt;&gt;"",AO85&lt;&gt;"",OR('REP COMMISSION'!$B$3="",T85='REP COMMISSION'!$B$3,W85='REP COMMISSION'!$B$3,Z85='REP COMMISSION'!$B$3)),1,0)</f>
        <v>0</v>
      </c>
      <c r="AX85" s="24" t="n">
        <f aca="false">AX84+IF(AND(C85&lt;&gt;"",OR(F85="LOC - INITIAL",F85="CONSOLIDATION - UPFRONT COMM",F85="REVERSE - TOTAL FUNDING")),1,0)</f>
        <v>0</v>
      </c>
    </row>
    <row r="86" customFormat="false" ht="15" hidden="false" customHeight="false" outlineLevel="0" collapsed="false">
      <c r="A86" s="8" t="str">
        <f aca="false">IF(C86&lt;&gt;"","F"&amp;COUNT($C$4:C86),"")</f>
        <v/>
      </c>
      <c r="B86" s="9" t="str">
        <f aca="false">IF(OR(F86="LOC - INITIAL",F86="CONSOLIDATION - UPFRONT COMM",F86="REVERSE - TOTAL FUNDING"),A86,"")</f>
        <v/>
      </c>
      <c r="C86" s="10"/>
      <c r="D86" s="11"/>
      <c r="E86" s="11"/>
      <c r="F86" s="11"/>
      <c r="G86" s="12"/>
      <c r="H86" s="13"/>
      <c r="I86" s="11"/>
      <c r="J86" s="14" t="str">
        <f aca="false">IF(AND(G86&lt;&gt;"",H86&lt;&gt;""),G86*H86,"")</f>
        <v/>
      </c>
      <c r="K86" s="11"/>
      <c r="L86" s="15"/>
      <c r="M86" s="15"/>
      <c r="N86" s="14" t="n">
        <f aca="false">IF(OR(G86="",M86=""),0,IF(M86&gt;100,M86,G86*IF(M86&gt;1,M86/100,M86)))</f>
        <v>0</v>
      </c>
      <c r="O86" s="14" t="str">
        <f aca="false">IF(G86="","",G86*IF(L86="",0,IF(L86&gt;1,L86/100,L86))+N86)</f>
        <v/>
      </c>
      <c r="P86" s="11"/>
      <c r="Q86" s="16" t="str">
        <f aca="false">IF(P86="","",IFERROR(VLOOKUP(P86,PARTNERS!$A$2:$B$30,2,0),""))</f>
        <v/>
      </c>
      <c r="R86" s="17" t="str">
        <f aca="false">IF(O86="","",IF(OR(P86="",Q86=""),0,(O86-N86)*IF(Q86&gt;1,Q86/100,Q86)))</f>
        <v/>
      </c>
      <c r="S86" s="14" t="str">
        <f aca="false">IF(O86="","",O86-R86)</f>
        <v/>
      </c>
      <c r="T86" s="11"/>
      <c r="U86" s="18" t="str">
        <f aca="false">IF(T86="","",IFERROR(VLOOKUP(T86,REPS!$A$2:$D$40,2,0),""))</f>
        <v/>
      </c>
      <c r="V86" s="14" t="str">
        <f aca="false">IF(O86="","",IF(U86="",0,O86*IF(U86&gt;1,U86/100,U86)))</f>
        <v/>
      </c>
      <c r="W86" s="11"/>
      <c r="X86" s="18" t="str">
        <f aca="false">IF(W86="","",IFERROR(VLOOKUP(W86,REPS!$A$2:$D$40,3,0),""))</f>
        <v/>
      </c>
      <c r="Y86" s="14" t="str">
        <f aca="false">IF(O86="","",IF(X86="",0,O86*IF(X86&gt;1,X86/100,X86)))</f>
        <v/>
      </c>
      <c r="Z86" s="11"/>
      <c r="AA86" s="18" t="str">
        <f aca="false">IF(Z86="","",IFERROR(VLOOKUP(Z86,REPS!$A$2:$D$40,4,0),""))</f>
        <v/>
      </c>
      <c r="AB86" s="14" t="str">
        <f aca="false">IF(O86="","",IF(AA86="",0,O86*IF(AA86&gt;1,AA86/100,AA86)))</f>
        <v/>
      </c>
      <c r="AC86" s="14" t="str">
        <f aca="false">IF(O86="","",V86+Y86+AB86)</f>
        <v/>
      </c>
      <c r="AD86" s="19" t="str">
        <f aca="false">IF(O86="","",O86-R86-AC86)</f>
        <v/>
      </c>
      <c r="AE86" s="20"/>
      <c r="AF86" s="10"/>
      <c r="AG86" s="21" t="n">
        <f aca="false">IF(OR(AE86="",AE86=0),0,AE86*IF(U86="",0,IF(U86&gt;1,U86/100,U86)))</f>
        <v>0</v>
      </c>
      <c r="AH86" s="21" t="n">
        <f aca="false">IF(OR(AE86="",AE86=0),0,AE86*IF(X86="",0,IF(X86&gt;1,X86/100,X86)))</f>
        <v>0</v>
      </c>
      <c r="AI86" s="21" t="n">
        <f aca="false">IF(OR(AE86="",AE86=0),0,AE86*IF(AA86="",0,IF(AA86&gt;1,AA86/100,AA86)))</f>
        <v>0</v>
      </c>
      <c r="AJ86" s="21" t="n">
        <f aca="false">AG86+AH86+AI86</f>
        <v>0</v>
      </c>
      <c r="AK86" s="21" t="n">
        <f aca="false">IF(OR(AE86="",AE86=0),0,AE86-AJ86)</f>
        <v>0</v>
      </c>
      <c r="AL86" s="19" t="str">
        <f aca="false">IF(AD86="","",AD86-AK86)</f>
        <v/>
      </c>
      <c r="AM86" s="9" t="str">
        <f aca="false">IF(C86="","","Waiting for payment")</f>
        <v/>
      </c>
      <c r="AN86" s="10"/>
      <c r="AO86" s="10"/>
      <c r="AP86" s="22" t="str">
        <f aca="false">IF(OR(C86="",I86="",K86=""),"",IF(K86="Monthly",EDATE(C86,ROUND(I86*SETTINGS!$I$8,0)),WORKDAY(C86,ROUND(I86*SETTINGS!$I$8,0))))</f>
        <v/>
      </c>
      <c r="AQ86" s="9" t="str">
        <f aca="true">IF(C86="","",IF(AND(AP86&lt;&gt;"",TODAY()&gt;=AP86),"Refi Ready",IF(TODAY()-C86&gt;=SETTINGS!$I$11,"Prospecting","Performing")))</f>
        <v/>
      </c>
      <c r="AR86" s="22" t="str">
        <f aca="false">IF(OR(C86="",I86="",K86=""),"",IF(K86="Monthly",EDATE(C86,I86),WORKDAY(C86,I86)))</f>
        <v/>
      </c>
      <c r="AS86" s="11"/>
      <c r="AT86" s="23" t="str">
        <f aca="true">IF(C86="","",IF(AM86="Clawed Back","CLAWED",IF(TODAY()&lt;=C86+SETTINGS!$I$2,"⚠ AT RISK","SAFE")))</f>
        <v/>
      </c>
      <c r="AU86" s="11"/>
      <c r="AW86" s="24" t="n">
        <f aca="false">AW85+IF(AND(C86&lt;&gt;"",AO86&lt;&gt;"",OR('REP COMMISSION'!$B$3="",T86='REP COMMISSION'!$B$3,W86='REP COMMISSION'!$B$3,Z86='REP COMMISSION'!$B$3)),1,0)</f>
        <v>0</v>
      </c>
      <c r="AX86" s="24" t="n">
        <f aca="false">AX85+IF(AND(C86&lt;&gt;"",OR(F86="LOC - INITIAL",F86="CONSOLIDATION - UPFRONT COMM",F86="REVERSE - TOTAL FUNDING")),1,0)</f>
        <v>0</v>
      </c>
    </row>
    <row r="87" customFormat="false" ht="15" hidden="false" customHeight="false" outlineLevel="0" collapsed="false">
      <c r="A87" s="25" t="str">
        <f aca="false">IF(C87&lt;&gt;"","F"&amp;COUNT($C$4:C87),"")</f>
        <v/>
      </c>
      <c r="B87" s="26" t="str">
        <f aca="false">IF(OR(F87="LOC - INITIAL",F87="CONSOLIDATION - UPFRONT COMM",F87="REVERSE - TOTAL FUNDING"),A87,"")</f>
        <v/>
      </c>
      <c r="C87" s="27"/>
      <c r="D87" s="28"/>
      <c r="E87" s="28"/>
      <c r="F87" s="28"/>
      <c r="G87" s="29"/>
      <c r="H87" s="30"/>
      <c r="I87" s="28"/>
      <c r="J87" s="31" t="str">
        <f aca="false">IF(AND(G87&lt;&gt;"",H87&lt;&gt;""),G87*H87,"")</f>
        <v/>
      </c>
      <c r="K87" s="28"/>
      <c r="L87" s="32"/>
      <c r="M87" s="32"/>
      <c r="N87" s="31" t="n">
        <f aca="false">IF(OR(G87="",M87=""),0,IF(M87&gt;100,M87,G87*IF(M87&gt;1,M87/100,M87)))</f>
        <v>0</v>
      </c>
      <c r="O87" s="31" t="str">
        <f aca="false">IF(G87="","",G87*IF(L87="",0,IF(L87&gt;1,L87/100,L87))+N87)</f>
        <v/>
      </c>
      <c r="P87" s="28"/>
      <c r="Q87" s="33" t="str">
        <f aca="false">IF(P87="","",IFERROR(VLOOKUP(P87,PARTNERS!$A$2:$B$30,2,0),""))</f>
        <v/>
      </c>
      <c r="R87" s="17" t="str">
        <f aca="false">IF(O87="","",IF(OR(P87="",Q87=""),0,(O87-N87)*IF(Q87&gt;1,Q87/100,Q87)))</f>
        <v/>
      </c>
      <c r="S87" s="31" t="str">
        <f aca="false">IF(O87="","",O87-R87)</f>
        <v/>
      </c>
      <c r="T87" s="28"/>
      <c r="U87" s="34" t="str">
        <f aca="false">IF(T87="","",IFERROR(VLOOKUP(T87,REPS!$A$2:$D$40,2,0),""))</f>
        <v/>
      </c>
      <c r="V87" s="31" t="str">
        <f aca="false">IF(O87="","",IF(U87="",0,O87*IF(U87&gt;1,U87/100,U87)))</f>
        <v/>
      </c>
      <c r="W87" s="28"/>
      <c r="X87" s="34" t="str">
        <f aca="false">IF(W87="","",IFERROR(VLOOKUP(W87,REPS!$A$2:$D$40,3,0),""))</f>
        <v/>
      </c>
      <c r="Y87" s="31" t="str">
        <f aca="false">IF(O87="","",IF(X87="",0,O87*IF(X87&gt;1,X87/100,X87)))</f>
        <v/>
      </c>
      <c r="Z87" s="28"/>
      <c r="AA87" s="34" t="str">
        <f aca="false">IF(Z87="","",IFERROR(VLOOKUP(Z87,REPS!$A$2:$D$40,4,0),""))</f>
        <v/>
      </c>
      <c r="AB87" s="31" t="str">
        <f aca="false">IF(O87="","",IF(AA87="",0,O87*IF(AA87&gt;1,AA87/100,AA87)))</f>
        <v/>
      </c>
      <c r="AC87" s="31" t="str">
        <f aca="false">IF(O87="","",V87+Y87+AB87)</f>
        <v/>
      </c>
      <c r="AD87" s="19" t="str">
        <f aca="false">IF(O87="","",O87-R87-AC87)</f>
        <v/>
      </c>
      <c r="AE87" s="20"/>
      <c r="AF87" s="27"/>
      <c r="AG87" s="21" t="n">
        <f aca="false">IF(OR(AE87="",AE87=0),0,AE87*IF(U87="",0,IF(U87&gt;1,U87/100,U87)))</f>
        <v>0</v>
      </c>
      <c r="AH87" s="21" t="n">
        <f aca="false">IF(OR(AE87="",AE87=0),0,AE87*IF(X87="",0,IF(X87&gt;1,X87/100,X87)))</f>
        <v>0</v>
      </c>
      <c r="AI87" s="21" t="n">
        <f aca="false">IF(OR(AE87="",AE87=0),0,AE87*IF(AA87="",0,IF(AA87&gt;1,AA87/100,AA87)))</f>
        <v>0</v>
      </c>
      <c r="AJ87" s="21" t="n">
        <f aca="false">AG87+AH87+AI87</f>
        <v>0</v>
      </c>
      <c r="AK87" s="21" t="n">
        <f aca="false">IF(OR(AE87="",AE87=0),0,AE87-AJ87)</f>
        <v>0</v>
      </c>
      <c r="AL87" s="19" t="str">
        <f aca="false">IF(AD87="","",AD87-AK87)</f>
        <v/>
      </c>
      <c r="AM87" s="26" t="str">
        <f aca="false">IF(C87="","","Waiting for payment")</f>
        <v/>
      </c>
      <c r="AN87" s="27"/>
      <c r="AO87" s="27"/>
      <c r="AP87" s="35" t="str">
        <f aca="false">IF(OR(C87="",I87="",K87=""),"",IF(K87="Monthly",EDATE(C87,ROUND(I87*SETTINGS!$I$8,0)),WORKDAY(C87,ROUND(I87*SETTINGS!$I$8,0))))</f>
        <v/>
      </c>
      <c r="AQ87" s="26" t="str">
        <f aca="true">IF(C87="","",IF(AND(AP87&lt;&gt;"",TODAY()&gt;=AP87),"Refi Ready",IF(TODAY()-C87&gt;=SETTINGS!$I$11,"Prospecting","Performing")))</f>
        <v/>
      </c>
      <c r="AR87" s="35" t="str">
        <f aca="false">IF(OR(C87="",I87="",K87=""),"",IF(K87="Monthly",EDATE(C87,I87),WORKDAY(C87,I87)))</f>
        <v/>
      </c>
      <c r="AS87" s="28"/>
      <c r="AT87" s="36" t="str">
        <f aca="true">IF(C87="","",IF(AM87="Clawed Back","CLAWED",IF(TODAY()&lt;=C87+SETTINGS!$I$2,"⚠ AT RISK","SAFE")))</f>
        <v/>
      </c>
      <c r="AU87" s="28"/>
      <c r="AW87" s="24" t="n">
        <f aca="false">AW86+IF(AND(C87&lt;&gt;"",AO87&lt;&gt;"",OR('REP COMMISSION'!$B$3="",T87='REP COMMISSION'!$B$3,W87='REP COMMISSION'!$B$3,Z87='REP COMMISSION'!$B$3)),1,0)</f>
        <v>0</v>
      </c>
      <c r="AX87" s="24" t="n">
        <f aca="false">AX86+IF(AND(C87&lt;&gt;"",OR(F87="LOC - INITIAL",F87="CONSOLIDATION - UPFRONT COMM",F87="REVERSE - TOTAL FUNDING")),1,0)</f>
        <v>0</v>
      </c>
    </row>
    <row r="88" customFormat="false" ht="15" hidden="false" customHeight="false" outlineLevel="0" collapsed="false">
      <c r="A88" s="8" t="str">
        <f aca="false">IF(C88&lt;&gt;"","F"&amp;COUNT($C$4:C88),"")</f>
        <v/>
      </c>
      <c r="B88" s="9" t="str">
        <f aca="false">IF(OR(F88="LOC - INITIAL",F88="CONSOLIDATION - UPFRONT COMM",F88="REVERSE - TOTAL FUNDING"),A88,"")</f>
        <v/>
      </c>
      <c r="C88" s="10"/>
      <c r="D88" s="11"/>
      <c r="E88" s="11"/>
      <c r="F88" s="11"/>
      <c r="G88" s="12"/>
      <c r="H88" s="13"/>
      <c r="I88" s="11"/>
      <c r="J88" s="14" t="str">
        <f aca="false">IF(AND(G88&lt;&gt;"",H88&lt;&gt;""),G88*H88,"")</f>
        <v/>
      </c>
      <c r="K88" s="11"/>
      <c r="L88" s="15"/>
      <c r="M88" s="15"/>
      <c r="N88" s="14" t="n">
        <f aca="false">IF(OR(G88="",M88=""),0,IF(M88&gt;100,M88,G88*IF(M88&gt;1,M88/100,M88)))</f>
        <v>0</v>
      </c>
      <c r="O88" s="14" t="str">
        <f aca="false">IF(G88="","",G88*IF(L88="",0,IF(L88&gt;1,L88/100,L88))+N88)</f>
        <v/>
      </c>
      <c r="P88" s="11"/>
      <c r="Q88" s="16" t="str">
        <f aca="false">IF(P88="","",IFERROR(VLOOKUP(P88,PARTNERS!$A$2:$B$30,2,0),""))</f>
        <v/>
      </c>
      <c r="R88" s="17" t="str">
        <f aca="false">IF(O88="","",IF(OR(P88="",Q88=""),0,(O88-N88)*IF(Q88&gt;1,Q88/100,Q88)))</f>
        <v/>
      </c>
      <c r="S88" s="14" t="str">
        <f aca="false">IF(O88="","",O88-R88)</f>
        <v/>
      </c>
      <c r="T88" s="11"/>
      <c r="U88" s="18" t="str">
        <f aca="false">IF(T88="","",IFERROR(VLOOKUP(T88,REPS!$A$2:$D$40,2,0),""))</f>
        <v/>
      </c>
      <c r="V88" s="14" t="str">
        <f aca="false">IF(O88="","",IF(U88="",0,O88*IF(U88&gt;1,U88/100,U88)))</f>
        <v/>
      </c>
      <c r="W88" s="11"/>
      <c r="X88" s="18" t="str">
        <f aca="false">IF(W88="","",IFERROR(VLOOKUP(W88,REPS!$A$2:$D$40,3,0),""))</f>
        <v/>
      </c>
      <c r="Y88" s="14" t="str">
        <f aca="false">IF(O88="","",IF(X88="",0,O88*IF(X88&gt;1,X88/100,X88)))</f>
        <v/>
      </c>
      <c r="Z88" s="11"/>
      <c r="AA88" s="18" t="str">
        <f aca="false">IF(Z88="","",IFERROR(VLOOKUP(Z88,REPS!$A$2:$D$40,4,0),""))</f>
        <v/>
      </c>
      <c r="AB88" s="14" t="str">
        <f aca="false">IF(O88="","",IF(AA88="",0,O88*IF(AA88&gt;1,AA88/100,AA88)))</f>
        <v/>
      </c>
      <c r="AC88" s="14" t="str">
        <f aca="false">IF(O88="","",V88+Y88+AB88)</f>
        <v/>
      </c>
      <c r="AD88" s="19" t="str">
        <f aca="false">IF(O88="","",O88-R88-AC88)</f>
        <v/>
      </c>
      <c r="AE88" s="20"/>
      <c r="AF88" s="10"/>
      <c r="AG88" s="21" t="n">
        <f aca="false">IF(OR(AE88="",AE88=0),0,AE88*IF(U88="",0,IF(U88&gt;1,U88/100,U88)))</f>
        <v>0</v>
      </c>
      <c r="AH88" s="21" t="n">
        <f aca="false">IF(OR(AE88="",AE88=0),0,AE88*IF(X88="",0,IF(X88&gt;1,X88/100,X88)))</f>
        <v>0</v>
      </c>
      <c r="AI88" s="21" t="n">
        <f aca="false">IF(OR(AE88="",AE88=0),0,AE88*IF(AA88="",0,IF(AA88&gt;1,AA88/100,AA88)))</f>
        <v>0</v>
      </c>
      <c r="AJ88" s="21" t="n">
        <f aca="false">AG88+AH88+AI88</f>
        <v>0</v>
      </c>
      <c r="AK88" s="21" t="n">
        <f aca="false">IF(OR(AE88="",AE88=0),0,AE88-AJ88)</f>
        <v>0</v>
      </c>
      <c r="AL88" s="19" t="str">
        <f aca="false">IF(AD88="","",AD88-AK88)</f>
        <v/>
      </c>
      <c r="AM88" s="9" t="str">
        <f aca="false">IF(C88="","","Waiting for payment")</f>
        <v/>
      </c>
      <c r="AN88" s="10"/>
      <c r="AO88" s="10"/>
      <c r="AP88" s="22" t="str">
        <f aca="false">IF(OR(C88="",I88="",K88=""),"",IF(K88="Monthly",EDATE(C88,ROUND(I88*SETTINGS!$I$8,0)),WORKDAY(C88,ROUND(I88*SETTINGS!$I$8,0))))</f>
        <v/>
      </c>
      <c r="AQ88" s="9" t="str">
        <f aca="true">IF(C88="","",IF(AND(AP88&lt;&gt;"",TODAY()&gt;=AP88),"Refi Ready",IF(TODAY()-C88&gt;=SETTINGS!$I$11,"Prospecting","Performing")))</f>
        <v/>
      </c>
      <c r="AR88" s="22" t="str">
        <f aca="false">IF(OR(C88="",I88="",K88=""),"",IF(K88="Monthly",EDATE(C88,I88),WORKDAY(C88,I88)))</f>
        <v/>
      </c>
      <c r="AS88" s="11"/>
      <c r="AT88" s="23" t="str">
        <f aca="true">IF(C88="","",IF(AM88="Clawed Back","CLAWED",IF(TODAY()&lt;=C88+SETTINGS!$I$2,"⚠ AT RISK","SAFE")))</f>
        <v/>
      </c>
      <c r="AU88" s="11"/>
      <c r="AW88" s="24" t="n">
        <f aca="false">AW87+IF(AND(C88&lt;&gt;"",AO88&lt;&gt;"",OR('REP COMMISSION'!$B$3="",T88='REP COMMISSION'!$B$3,W88='REP COMMISSION'!$B$3,Z88='REP COMMISSION'!$B$3)),1,0)</f>
        <v>0</v>
      </c>
      <c r="AX88" s="24" t="n">
        <f aca="false">AX87+IF(AND(C88&lt;&gt;"",OR(F88="LOC - INITIAL",F88="CONSOLIDATION - UPFRONT COMM",F88="REVERSE - TOTAL FUNDING")),1,0)</f>
        <v>0</v>
      </c>
    </row>
    <row r="89" customFormat="false" ht="15" hidden="false" customHeight="false" outlineLevel="0" collapsed="false">
      <c r="A89" s="25" t="str">
        <f aca="false">IF(C89&lt;&gt;"","F"&amp;COUNT($C$4:C89),"")</f>
        <v/>
      </c>
      <c r="B89" s="26" t="str">
        <f aca="false">IF(OR(F89="LOC - INITIAL",F89="CONSOLIDATION - UPFRONT COMM",F89="REVERSE - TOTAL FUNDING"),A89,"")</f>
        <v/>
      </c>
      <c r="C89" s="27"/>
      <c r="D89" s="28"/>
      <c r="E89" s="28"/>
      <c r="F89" s="28"/>
      <c r="G89" s="29"/>
      <c r="H89" s="30"/>
      <c r="I89" s="28"/>
      <c r="J89" s="31" t="str">
        <f aca="false">IF(AND(G89&lt;&gt;"",H89&lt;&gt;""),G89*H89,"")</f>
        <v/>
      </c>
      <c r="K89" s="28"/>
      <c r="L89" s="32"/>
      <c r="M89" s="32"/>
      <c r="N89" s="31" t="n">
        <f aca="false">IF(OR(G89="",M89=""),0,IF(M89&gt;100,M89,G89*IF(M89&gt;1,M89/100,M89)))</f>
        <v>0</v>
      </c>
      <c r="O89" s="31" t="str">
        <f aca="false">IF(G89="","",G89*IF(L89="",0,IF(L89&gt;1,L89/100,L89))+N89)</f>
        <v/>
      </c>
      <c r="P89" s="28"/>
      <c r="Q89" s="33" t="str">
        <f aca="false">IF(P89="","",IFERROR(VLOOKUP(P89,PARTNERS!$A$2:$B$30,2,0),""))</f>
        <v/>
      </c>
      <c r="R89" s="17" t="str">
        <f aca="false">IF(O89="","",IF(OR(P89="",Q89=""),0,(O89-N89)*IF(Q89&gt;1,Q89/100,Q89)))</f>
        <v/>
      </c>
      <c r="S89" s="31" t="str">
        <f aca="false">IF(O89="","",O89-R89)</f>
        <v/>
      </c>
      <c r="T89" s="28"/>
      <c r="U89" s="34" t="str">
        <f aca="false">IF(T89="","",IFERROR(VLOOKUP(T89,REPS!$A$2:$D$40,2,0),""))</f>
        <v/>
      </c>
      <c r="V89" s="31" t="str">
        <f aca="false">IF(O89="","",IF(U89="",0,O89*IF(U89&gt;1,U89/100,U89)))</f>
        <v/>
      </c>
      <c r="W89" s="28"/>
      <c r="X89" s="34" t="str">
        <f aca="false">IF(W89="","",IFERROR(VLOOKUP(W89,REPS!$A$2:$D$40,3,0),""))</f>
        <v/>
      </c>
      <c r="Y89" s="31" t="str">
        <f aca="false">IF(O89="","",IF(X89="",0,O89*IF(X89&gt;1,X89/100,X89)))</f>
        <v/>
      </c>
      <c r="Z89" s="28"/>
      <c r="AA89" s="34" t="str">
        <f aca="false">IF(Z89="","",IFERROR(VLOOKUP(Z89,REPS!$A$2:$D$40,4,0),""))</f>
        <v/>
      </c>
      <c r="AB89" s="31" t="str">
        <f aca="false">IF(O89="","",IF(AA89="",0,O89*IF(AA89&gt;1,AA89/100,AA89)))</f>
        <v/>
      </c>
      <c r="AC89" s="31" t="str">
        <f aca="false">IF(O89="","",V89+Y89+AB89)</f>
        <v/>
      </c>
      <c r="AD89" s="19" t="str">
        <f aca="false">IF(O89="","",O89-R89-AC89)</f>
        <v/>
      </c>
      <c r="AE89" s="20"/>
      <c r="AF89" s="27"/>
      <c r="AG89" s="21" t="n">
        <f aca="false">IF(OR(AE89="",AE89=0),0,AE89*IF(U89="",0,IF(U89&gt;1,U89/100,U89)))</f>
        <v>0</v>
      </c>
      <c r="AH89" s="21" t="n">
        <f aca="false">IF(OR(AE89="",AE89=0),0,AE89*IF(X89="",0,IF(X89&gt;1,X89/100,X89)))</f>
        <v>0</v>
      </c>
      <c r="AI89" s="21" t="n">
        <f aca="false">IF(OR(AE89="",AE89=0),0,AE89*IF(AA89="",0,IF(AA89&gt;1,AA89/100,AA89)))</f>
        <v>0</v>
      </c>
      <c r="AJ89" s="21" t="n">
        <f aca="false">AG89+AH89+AI89</f>
        <v>0</v>
      </c>
      <c r="AK89" s="21" t="n">
        <f aca="false">IF(OR(AE89="",AE89=0),0,AE89-AJ89)</f>
        <v>0</v>
      </c>
      <c r="AL89" s="19" t="str">
        <f aca="false">IF(AD89="","",AD89-AK89)</f>
        <v/>
      </c>
      <c r="AM89" s="26" t="str">
        <f aca="false">IF(C89="","","Waiting for payment")</f>
        <v/>
      </c>
      <c r="AN89" s="27"/>
      <c r="AO89" s="27"/>
      <c r="AP89" s="35" t="str">
        <f aca="false">IF(OR(C89="",I89="",K89=""),"",IF(K89="Monthly",EDATE(C89,ROUND(I89*SETTINGS!$I$8,0)),WORKDAY(C89,ROUND(I89*SETTINGS!$I$8,0))))</f>
        <v/>
      </c>
      <c r="AQ89" s="26" t="str">
        <f aca="true">IF(C89="","",IF(AND(AP89&lt;&gt;"",TODAY()&gt;=AP89),"Refi Ready",IF(TODAY()-C89&gt;=SETTINGS!$I$11,"Prospecting","Performing")))</f>
        <v/>
      </c>
      <c r="AR89" s="35" t="str">
        <f aca="false">IF(OR(C89="",I89="",K89=""),"",IF(K89="Monthly",EDATE(C89,I89),WORKDAY(C89,I89)))</f>
        <v/>
      </c>
      <c r="AS89" s="28"/>
      <c r="AT89" s="36" t="str">
        <f aca="true">IF(C89="","",IF(AM89="Clawed Back","CLAWED",IF(TODAY()&lt;=C89+SETTINGS!$I$2,"⚠ AT RISK","SAFE")))</f>
        <v/>
      </c>
      <c r="AU89" s="28"/>
      <c r="AW89" s="24" t="n">
        <f aca="false">AW88+IF(AND(C89&lt;&gt;"",AO89&lt;&gt;"",OR('REP COMMISSION'!$B$3="",T89='REP COMMISSION'!$B$3,W89='REP COMMISSION'!$B$3,Z89='REP COMMISSION'!$B$3)),1,0)</f>
        <v>0</v>
      </c>
      <c r="AX89" s="24" t="n">
        <f aca="false">AX88+IF(AND(C89&lt;&gt;"",OR(F89="LOC - INITIAL",F89="CONSOLIDATION - UPFRONT COMM",F89="REVERSE - TOTAL FUNDING")),1,0)</f>
        <v>0</v>
      </c>
    </row>
    <row r="90" customFormat="false" ht="15" hidden="false" customHeight="false" outlineLevel="0" collapsed="false">
      <c r="A90" s="8" t="str">
        <f aca="false">IF(C90&lt;&gt;"","F"&amp;COUNT($C$4:C90),"")</f>
        <v/>
      </c>
      <c r="B90" s="9" t="str">
        <f aca="false">IF(OR(F90="LOC - INITIAL",F90="CONSOLIDATION - UPFRONT COMM",F90="REVERSE - TOTAL FUNDING"),A90,"")</f>
        <v/>
      </c>
      <c r="C90" s="10"/>
      <c r="D90" s="11"/>
      <c r="E90" s="11"/>
      <c r="F90" s="11"/>
      <c r="G90" s="12"/>
      <c r="H90" s="13"/>
      <c r="I90" s="11"/>
      <c r="J90" s="14" t="str">
        <f aca="false">IF(AND(G90&lt;&gt;"",H90&lt;&gt;""),G90*H90,"")</f>
        <v/>
      </c>
      <c r="K90" s="11"/>
      <c r="L90" s="15"/>
      <c r="M90" s="15"/>
      <c r="N90" s="14" t="n">
        <f aca="false">IF(OR(G90="",M90=""),0,IF(M90&gt;100,M90,G90*IF(M90&gt;1,M90/100,M90)))</f>
        <v>0</v>
      </c>
      <c r="O90" s="14" t="str">
        <f aca="false">IF(G90="","",G90*IF(L90="",0,IF(L90&gt;1,L90/100,L90))+N90)</f>
        <v/>
      </c>
      <c r="P90" s="11"/>
      <c r="Q90" s="16" t="str">
        <f aca="false">IF(P90="","",IFERROR(VLOOKUP(P90,PARTNERS!$A$2:$B$30,2,0),""))</f>
        <v/>
      </c>
      <c r="R90" s="17" t="str">
        <f aca="false">IF(O90="","",IF(OR(P90="",Q90=""),0,(O90-N90)*IF(Q90&gt;1,Q90/100,Q90)))</f>
        <v/>
      </c>
      <c r="S90" s="14" t="str">
        <f aca="false">IF(O90="","",O90-R90)</f>
        <v/>
      </c>
      <c r="T90" s="11"/>
      <c r="U90" s="18" t="str">
        <f aca="false">IF(T90="","",IFERROR(VLOOKUP(T90,REPS!$A$2:$D$40,2,0),""))</f>
        <v/>
      </c>
      <c r="V90" s="14" t="str">
        <f aca="false">IF(O90="","",IF(U90="",0,O90*IF(U90&gt;1,U90/100,U90)))</f>
        <v/>
      </c>
      <c r="W90" s="11"/>
      <c r="X90" s="18" t="str">
        <f aca="false">IF(W90="","",IFERROR(VLOOKUP(W90,REPS!$A$2:$D$40,3,0),""))</f>
        <v/>
      </c>
      <c r="Y90" s="14" t="str">
        <f aca="false">IF(O90="","",IF(X90="",0,O90*IF(X90&gt;1,X90/100,X90)))</f>
        <v/>
      </c>
      <c r="Z90" s="11"/>
      <c r="AA90" s="18" t="str">
        <f aca="false">IF(Z90="","",IFERROR(VLOOKUP(Z90,REPS!$A$2:$D$40,4,0),""))</f>
        <v/>
      </c>
      <c r="AB90" s="14" t="str">
        <f aca="false">IF(O90="","",IF(AA90="",0,O90*IF(AA90&gt;1,AA90/100,AA90)))</f>
        <v/>
      </c>
      <c r="AC90" s="14" t="str">
        <f aca="false">IF(O90="","",V90+Y90+AB90)</f>
        <v/>
      </c>
      <c r="AD90" s="19" t="str">
        <f aca="false">IF(O90="","",O90-R90-AC90)</f>
        <v/>
      </c>
      <c r="AE90" s="20"/>
      <c r="AF90" s="10"/>
      <c r="AG90" s="21" t="n">
        <f aca="false">IF(OR(AE90="",AE90=0),0,AE90*IF(U90="",0,IF(U90&gt;1,U90/100,U90)))</f>
        <v>0</v>
      </c>
      <c r="AH90" s="21" t="n">
        <f aca="false">IF(OR(AE90="",AE90=0),0,AE90*IF(X90="",0,IF(X90&gt;1,X90/100,X90)))</f>
        <v>0</v>
      </c>
      <c r="AI90" s="21" t="n">
        <f aca="false">IF(OR(AE90="",AE90=0),0,AE90*IF(AA90="",0,IF(AA90&gt;1,AA90/100,AA90)))</f>
        <v>0</v>
      </c>
      <c r="AJ90" s="21" t="n">
        <f aca="false">AG90+AH90+AI90</f>
        <v>0</v>
      </c>
      <c r="AK90" s="21" t="n">
        <f aca="false">IF(OR(AE90="",AE90=0),0,AE90-AJ90)</f>
        <v>0</v>
      </c>
      <c r="AL90" s="19" t="str">
        <f aca="false">IF(AD90="","",AD90-AK90)</f>
        <v/>
      </c>
      <c r="AM90" s="9" t="str">
        <f aca="false">IF(C90="","","Waiting for payment")</f>
        <v/>
      </c>
      <c r="AN90" s="10"/>
      <c r="AO90" s="10"/>
      <c r="AP90" s="22" t="str">
        <f aca="false">IF(OR(C90="",I90="",K90=""),"",IF(K90="Monthly",EDATE(C90,ROUND(I90*SETTINGS!$I$8,0)),WORKDAY(C90,ROUND(I90*SETTINGS!$I$8,0))))</f>
        <v/>
      </c>
      <c r="AQ90" s="9" t="str">
        <f aca="true">IF(C90="","",IF(AND(AP90&lt;&gt;"",TODAY()&gt;=AP90),"Refi Ready",IF(TODAY()-C90&gt;=SETTINGS!$I$11,"Prospecting","Performing")))</f>
        <v/>
      </c>
      <c r="AR90" s="22" t="str">
        <f aca="false">IF(OR(C90="",I90="",K90=""),"",IF(K90="Monthly",EDATE(C90,I90),WORKDAY(C90,I90)))</f>
        <v/>
      </c>
      <c r="AS90" s="11"/>
      <c r="AT90" s="23" t="str">
        <f aca="true">IF(C90="","",IF(AM90="Clawed Back","CLAWED",IF(TODAY()&lt;=C90+SETTINGS!$I$2,"⚠ AT RISK","SAFE")))</f>
        <v/>
      </c>
      <c r="AU90" s="11"/>
      <c r="AW90" s="24" t="n">
        <f aca="false">AW89+IF(AND(C90&lt;&gt;"",AO90&lt;&gt;"",OR('REP COMMISSION'!$B$3="",T90='REP COMMISSION'!$B$3,W90='REP COMMISSION'!$B$3,Z90='REP COMMISSION'!$B$3)),1,0)</f>
        <v>0</v>
      </c>
      <c r="AX90" s="24" t="n">
        <f aca="false">AX89+IF(AND(C90&lt;&gt;"",OR(F90="LOC - INITIAL",F90="CONSOLIDATION - UPFRONT COMM",F90="REVERSE - TOTAL FUNDING")),1,0)</f>
        <v>0</v>
      </c>
    </row>
    <row r="91" customFormat="false" ht="15" hidden="false" customHeight="false" outlineLevel="0" collapsed="false">
      <c r="A91" s="25" t="str">
        <f aca="false">IF(C91&lt;&gt;"","F"&amp;COUNT($C$4:C91),"")</f>
        <v/>
      </c>
      <c r="B91" s="26" t="str">
        <f aca="false">IF(OR(F91="LOC - INITIAL",F91="CONSOLIDATION - UPFRONT COMM",F91="REVERSE - TOTAL FUNDING"),A91,"")</f>
        <v/>
      </c>
      <c r="C91" s="27"/>
      <c r="D91" s="28"/>
      <c r="E91" s="28"/>
      <c r="F91" s="28"/>
      <c r="G91" s="29"/>
      <c r="H91" s="30"/>
      <c r="I91" s="28"/>
      <c r="J91" s="31" t="str">
        <f aca="false">IF(AND(G91&lt;&gt;"",H91&lt;&gt;""),G91*H91,"")</f>
        <v/>
      </c>
      <c r="K91" s="28"/>
      <c r="L91" s="32"/>
      <c r="M91" s="32"/>
      <c r="N91" s="31" t="n">
        <f aca="false">IF(OR(G91="",M91=""),0,IF(M91&gt;100,M91,G91*IF(M91&gt;1,M91/100,M91)))</f>
        <v>0</v>
      </c>
      <c r="O91" s="31" t="str">
        <f aca="false">IF(G91="","",G91*IF(L91="",0,IF(L91&gt;1,L91/100,L91))+N91)</f>
        <v/>
      </c>
      <c r="P91" s="28"/>
      <c r="Q91" s="33" t="str">
        <f aca="false">IF(P91="","",IFERROR(VLOOKUP(P91,PARTNERS!$A$2:$B$30,2,0),""))</f>
        <v/>
      </c>
      <c r="R91" s="17" t="str">
        <f aca="false">IF(O91="","",IF(OR(P91="",Q91=""),0,(O91-N91)*IF(Q91&gt;1,Q91/100,Q91)))</f>
        <v/>
      </c>
      <c r="S91" s="31" t="str">
        <f aca="false">IF(O91="","",O91-R91)</f>
        <v/>
      </c>
      <c r="T91" s="28"/>
      <c r="U91" s="34" t="str">
        <f aca="false">IF(T91="","",IFERROR(VLOOKUP(T91,REPS!$A$2:$D$40,2,0),""))</f>
        <v/>
      </c>
      <c r="V91" s="31" t="str">
        <f aca="false">IF(O91="","",IF(U91="",0,O91*IF(U91&gt;1,U91/100,U91)))</f>
        <v/>
      </c>
      <c r="W91" s="28"/>
      <c r="X91" s="34" t="str">
        <f aca="false">IF(W91="","",IFERROR(VLOOKUP(W91,REPS!$A$2:$D$40,3,0),""))</f>
        <v/>
      </c>
      <c r="Y91" s="31" t="str">
        <f aca="false">IF(O91="","",IF(X91="",0,O91*IF(X91&gt;1,X91/100,X91)))</f>
        <v/>
      </c>
      <c r="Z91" s="28"/>
      <c r="AA91" s="34" t="str">
        <f aca="false">IF(Z91="","",IFERROR(VLOOKUP(Z91,REPS!$A$2:$D$40,4,0),""))</f>
        <v/>
      </c>
      <c r="AB91" s="31" t="str">
        <f aca="false">IF(O91="","",IF(AA91="",0,O91*IF(AA91&gt;1,AA91/100,AA91)))</f>
        <v/>
      </c>
      <c r="AC91" s="31" t="str">
        <f aca="false">IF(O91="","",V91+Y91+AB91)</f>
        <v/>
      </c>
      <c r="AD91" s="19" t="str">
        <f aca="false">IF(O91="","",O91-R91-AC91)</f>
        <v/>
      </c>
      <c r="AE91" s="20"/>
      <c r="AF91" s="27"/>
      <c r="AG91" s="21" t="n">
        <f aca="false">IF(OR(AE91="",AE91=0),0,AE91*IF(U91="",0,IF(U91&gt;1,U91/100,U91)))</f>
        <v>0</v>
      </c>
      <c r="AH91" s="21" t="n">
        <f aca="false">IF(OR(AE91="",AE91=0),0,AE91*IF(X91="",0,IF(X91&gt;1,X91/100,X91)))</f>
        <v>0</v>
      </c>
      <c r="AI91" s="21" t="n">
        <f aca="false">IF(OR(AE91="",AE91=0),0,AE91*IF(AA91="",0,IF(AA91&gt;1,AA91/100,AA91)))</f>
        <v>0</v>
      </c>
      <c r="AJ91" s="21" t="n">
        <f aca="false">AG91+AH91+AI91</f>
        <v>0</v>
      </c>
      <c r="AK91" s="21" t="n">
        <f aca="false">IF(OR(AE91="",AE91=0),0,AE91-AJ91)</f>
        <v>0</v>
      </c>
      <c r="AL91" s="19" t="str">
        <f aca="false">IF(AD91="","",AD91-AK91)</f>
        <v/>
      </c>
      <c r="AM91" s="26" t="str">
        <f aca="false">IF(C91="","","Waiting for payment")</f>
        <v/>
      </c>
      <c r="AN91" s="27"/>
      <c r="AO91" s="27"/>
      <c r="AP91" s="35" t="str">
        <f aca="false">IF(OR(C91="",I91="",K91=""),"",IF(K91="Monthly",EDATE(C91,ROUND(I91*SETTINGS!$I$8,0)),WORKDAY(C91,ROUND(I91*SETTINGS!$I$8,0))))</f>
        <v/>
      </c>
      <c r="AQ91" s="26" t="str">
        <f aca="true">IF(C91="","",IF(AND(AP91&lt;&gt;"",TODAY()&gt;=AP91),"Refi Ready",IF(TODAY()-C91&gt;=SETTINGS!$I$11,"Prospecting","Performing")))</f>
        <v/>
      </c>
      <c r="AR91" s="35" t="str">
        <f aca="false">IF(OR(C91="",I91="",K91=""),"",IF(K91="Monthly",EDATE(C91,I91),WORKDAY(C91,I91)))</f>
        <v/>
      </c>
      <c r="AS91" s="28"/>
      <c r="AT91" s="36" t="str">
        <f aca="true">IF(C91="","",IF(AM91="Clawed Back","CLAWED",IF(TODAY()&lt;=C91+SETTINGS!$I$2,"⚠ AT RISK","SAFE")))</f>
        <v/>
      </c>
      <c r="AU91" s="28"/>
      <c r="AW91" s="24" t="n">
        <f aca="false">AW90+IF(AND(C91&lt;&gt;"",AO91&lt;&gt;"",OR('REP COMMISSION'!$B$3="",T91='REP COMMISSION'!$B$3,W91='REP COMMISSION'!$B$3,Z91='REP COMMISSION'!$B$3)),1,0)</f>
        <v>0</v>
      </c>
      <c r="AX91" s="24" t="n">
        <f aca="false">AX90+IF(AND(C91&lt;&gt;"",OR(F91="LOC - INITIAL",F91="CONSOLIDATION - UPFRONT COMM",F91="REVERSE - TOTAL FUNDING")),1,0)</f>
        <v>0</v>
      </c>
    </row>
    <row r="92" customFormat="false" ht="15" hidden="false" customHeight="false" outlineLevel="0" collapsed="false">
      <c r="A92" s="8" t="str">
        <f aca="false">IF(C92&lt;&gt;"","F"&amp;COUNT($C$4:C92),"")</f>
        <v/>
      </c>
      <c r="B92" s="9" t="str">
        <f aca="false">IF(OR(F92="LOC - INITIAL",F92="CONSOLIDATION - UPFRONT COMM",F92="REVERSE - TOTAL FUNDING"),A92,"")</f>
        <v/>
      </c>
      <c r="C92" s="10"/>
      <c r="D92" s="11"/>
      <c r="E92" s="11"/>
      <c r="F92" s="11"/>
      <c r="G92" s="12"/>
      <c r="H92" s="13"/>
      <c r="I92" s="11"/>
      <c r="J92" s="14" t="str">
        <f aca="false">IF(AND(G92&lt;&gt;"",H92&lt;&gt;""),G92*H92,"")</f>
        <v/>
      </c>
      <c r="K92" s="11"/>
      <c r="L92" s="15"/>
      <c r="M92" s="15"/>
      <c r="N92" s="14" t="n">
        <f aca="false">IF(OR(G92="",M92=""),0,IF(M92&gt;100,M92,G92*IF(M92&gt;1,M92/100,M92)))</f>
        <v>0</v>
      </c>
      <c r="O92" s="14" t="str">
        <f aca="false">IF(G92="","",G92*IF(L92="",0,IF(L92&gt;1,L92/100,L92))+N92)</f>
        <v/>
      </c>
      <c r="P92" s="11"/>
      <c r="Q92" s="16" t="str">
        <f aca="false">IF(P92="","",IFERROR(VLOOKUP(P92,PARTNERS!$A$2:$B$30,2,0),""))</f>
        <v/>
      </c>
      <c r="R92" s="17" t="str">
        <f aca="false">IF(O92="","",IF(OR(P92="",Q92=""),0,(O92-N92)*IF(Q92&gt;1,Q92/100,Q92)))</f>
        <v/>
      </c>
      <c r="S92" s="14" t="str">
        <f aca="false">IF(O92="","",O92-R92)</f>
        <v/>
      </c>
      <c r="T92" s="11"/>
      <c r="U92" s="18" t="str">
        <f aca="false">IF(T92="","",IFERROR(VLOOKUP(T92,REPS!$A$2:$D$40,2,0),""))</f>
        <v/>
      </c>
      <c r="V92" s="14" t="str">
        <f aca="false">IF(O92="","",IF(U92="",0,O92*IF(U92&gt;1,U92/100,U92)))</f>
        <v/>
      </c>
      <c r="W92" s="11"/>
      <c r="X92" s="18" t="str">
        <f aca="false">IF(W92="","",IFERROR(VLOOKUP(W92,REPS!$A$2:$D$40,3,0),""))</f>
        <v/>
      </c>
      <c r="Y92" s="14" t="str">
        <f aca="false">IF(O92="","",IF(X92="",0,O92*IF(X92&gt;1,X92/100,X92)))</f>
        <v/>
      </c>
      <c r="Z92" s="11"/>
      <c r="AA92" s="18" t="str">
        <f aca="false">IF(Z92="","",IFERROR(VLOOKUP(Z92,REPS!$A$2:$D$40,4,0),""))</f>
        <v/>
      </c>
      <c r="AB92" s="14" t="str">
        <f aca="false">IF(O92="","",IF(AA92="",0,O92*IF(AA92&gt;1,AA92/100,AA92)))</f>
        <v/>
      </c>
      <c r="AC92" s="14" t="str">
        <f aca="false">IF(O92="","",V92+Y92+AB92)</f>
        <v/>
      </c>
      <c r="AD92" s="19" t="str">
        <f aca="false">IF(O92="","",O92-R92-AC92)</f>
        <v/>
      </c>
      <c r="AE92" s="20"/>
      <c r="AF92" s="10"/>
      <c r="AG92" s="21" t="n">
        <f aca="false">IF(OR(AE92="",AE92=0),0,AE92*IF(U92="",0,IF(U92&gt;1,U92/100,U92)))</f>
        <v>0</v>
      </c>
      <c r="AH92" s="21" t="n">
        <f aca="false">IF(OR(AE92="",AE92=0),0,AE92*IF(X92="",0,IF(X92&gt;1,X92/100,X92)))</f>
        <v>0</v>
      </c>
      <c r="AI92" s="21" t="n">
        <f aca="false">IF(OR(AE92="",AE92=0),0,AE92*IF(AA92="",0,IF(AA92&gt;1,AA92/100,AA92)))</f>
        <v>0</v>
      </c>
      <c r="AJ92" s="21" t="n">
        <f aca="false">AG92+AH92+AI92</f>
        <v>0</v>
      </c>
      <c r="AK92" s="21" t="n">
        <f aca="false">IF(OR(AE92="",AE92=0),0,AE92-AJ92)</f>
        <v>0</v>
      </c>
      <c r="AL92" s="19" t="str">
        <f aca="false">IF(AD92="","",AD92-AK92)</f>
        <v/>
      </c>
      <c r="AM92" s="9" t="str">
        <f aca="false">IF(C92="","","Waiting for payment")</f>
        <v/>
      </c>
      <c r="AN92" s="10"/>
      <c r="AO92" s="10"/>
      <c r="AP92" s="22" t="str">
        <f aca="false">IF(OR(C92="",I92="",K92=""),"",IF(K92="Monthly",EDATE(C92,ROUND(I92*SETTINGS!$I$8,0)),WORKDAY(C92,ROUND(I92*SETTINGS!$I$8,0))))</f>
        <v/>
      </c>
      <c r="AQ92" s="9" t="str">
        <f aca="true">IF(C92="","",IF(AND(AP92&lt;&gt;"",TODAY()&gt;=AP92),"Refi Ready",IF(TODAY()-C92&gt;=SETTINGS!$I$11,"Prospecting","Performing")))</f>
        <v/>
      </c>
      <c r="AR92" s="22" t="str">
        <f aca="false">IF(OR(C92="",I92="",K92=""),"",IF(K92="Monthly",EDATE(C92,I92),WORKDAY(C92,I92)))</f>
        <v/>
      </c>
      <c r="AS92" s="11"/>
      <c r="AT92" s="23" t="str">
        <f aca="true">IF(C92="","",IF(AM92="Clawed Back","CLAWED",IF(TODAY()&lt;=C92+SETTINGS!$I$2,"⚠ AT RISK","SAFE")))</f>
        <v/>
      </c>
      <c r="AU92" s="11"/>
      <c r="AW92" s="24" t="n">
        <f aca="false">AW91+IF(AND(C92&lt;&gt;"",AO92&lt;&gt;"",OR('REP COMMISSION'!$B$3="",T92='REP COMMISSION'!$B$3,W92='REP COMMISSION'!$B$3,Z92='REP COMMISSION'!$B$3)),1,0)</f>
        <v>0</v>
      </c>
      <c r="AX92" s="24" t="n">
        <f aca="false">AX91+IF(AND(C92&lt;&gt;"",OR(F92="LOC - INITIAL",F92="CONSOLIDATION - UPFRONT COMM",F92="REVERSE - TOTAL FUNDING")),1,0)</f>
        <v>0</v>
      </c>
    </row>
    <row r="93" customFormat="false" ht="15" hidden="false" customHeight="false" outlineLevel="0" collapsed="false">
      <c r="A93" s="25" t="str">
        <f aca="false">IF(C93&lt;&gt;"","F"&amp;COUNT($C$4:C93),"")</f>
        <v/>
      </c>
      <c r="B93" s="26" t="str">
        <f aca="false">IF(OR(F93="LOC - INITIAL",F93="CONSOLIDATION - UPFRONT COMM",F93="REVERSE - TOTAL FUNDING"),A93,"")</f>
        <v/>
      </c>
      <c r="C93" s="27"/>
      <c r="D93" s="28"/>
      <c r="E93" s="28"/>
      <c r="F93" s="28"/>
      <c r="G93" s="29"/>
      <c r="H93" s="30"/>
      <c r="I93" s="28"/>
      <c r="J93" s="31" t="str">
        <f aca="false">IF(AND(G93&lt;&gt;"",H93&lt;&gt;""),G93*H93,"")</f>
        <v/>
      </c>
      <c r="K93" s="28"/>
      <c r="L93" s="32"/>
      <c r="M93" s="32"/>
      <c r="N93" s="31" t="n">
        <f aca="false">IF(OR(G93="",M93=""),0,IF(M93&gt;100,M93,G93*IF(M93&gt;1,M93/100,M93)))</f>
        <v>0</v>
      </c>
      <c r="O93" s="31" t="str">
        <f aca="false">IF(G93="","",G93*IF(L93="",0,IF(L93&gt;1,L93/100,L93))+N93)</f>
        <v/>
      </c>
      <c r="P93" s="28"/>
      <c r="Q93" s="33" t="str">
        <f aca="false">IF(P93="","",IFERROR(VLOOKUP(P93,PARTNERS!$A$2:$B$30,2,0),""))</f>
        <v/>
      </c>
      <c r="R93" s="17" t="str">
        <f aca="false">IF(O93="","",IF(OR(P93="",Q93=""),0,(O93-N93)*IF(Q93&gt;1,Q93/100,Q93)))</f>
        <v/>
      </c>
      <c r="S93" s="31" t="str">
        <f aca="false">IF(O93="","",O93-R93)</f>
        <v/>
      </c>
      <c r="T93" s="28"/>
      <c r="U93" s="34" t="str">
        <f aca="false">IF(T93="","",IFERROR(VLOOKUP(T93,REPS!$A$2:$D$40,2,0),""))</f>
        <v/>
      </c>
      <c r="V93" s="31" t="str">
        <f aca="false">IF(O93="","",IF(U93="",0,O93*IF(U93&gt;1,U93/100,U93)))</f>
        <v/>
      </c>
      <c r="W93" s="28"/>
      <c r="X93" s="34" t="str">
        <f aca="false">IF(W93="","",IFERROR(VLOOKUP(W93,REPS!$A$2:$D$40,3,0),""))</f>
        <v/>
      </c>
      <c r="Y93" s="31" t="str">
        <f aca="false">IF(O93="","",IF(X93="",0,O93*IF(X93&gt;1,X93/100,X93)))</f>
        <v/>
      </c>
      <c r="Z93" s="28"/>
      <c r="AA93" s="34" t="str">
        <f aca="false">IF(Z93="","",IFERROR(VLOOKUP(Z93,REPS!$A$2:$D$40,4,0),""))</f>
        <v/>
      </c>
      <c r="AB93" s="31" t="str">
        <f aca="false">IF(O93="","",IF(AA93="",0,O93*IF(AA93&gt;1,AA93/100,AA93)))</f>
        <v/>
      </c>
      <c r="AC93" s="31" t="str">
        <f aca="false">IF(O93="","",V93+Y93+AB93)</f>
        <v/>
      </c>
      <c r="AD93" s="19" t="str">
        <f aca="false">IF(O93="","",O93-R93-AC93)</f>
        <v/>
      </c>
      <c r="AE93" s="20"/>
      <c r="AF93" s="27"/>
      <c r="AG93" s="21" t="n">
        <f aca="false">IF(OR(AE93="",AE93=0),0,AE93*IF(U93="",0,IF(U93&gt;1,U93/100,U93)))</f>
        <v>0</v>
      </c>
      <c r="AH93" s="21" t="n">
        <f aca="false">IF(OR(AE93="",AE93=0),0,AE93*IF(X93="",0,IF(X93&gt;1,X93/100,X93)))</f>
        <v>0</v>
      </c>
      <c r="AI93" s="21" t="n">
        <f aca="false">IF(OR(AE93="",AE93=0),0,AE93*IF(AA93="",0,IF(AA93&gt;1,AA93/100,AA93)))</f>
        <v>0</v>
      </c>
      <c r="AJ93" s="21" t="n">
        <f aca="false">AG93+AH93+AI93</f>
        <v>0</v>
      </c>
      <c r="AK93" s="21" t="n">
        <f aca="false">IF(OR(AE93="",AE93=0),0,AE93-AJ93)</f>
        <v>0</v>
      </c>
      <c r="AL93" s="19" t="str">
        <f aca="false">IF(AD93="","",AD93-AK93)</f>
        <v/>
      </c>
      <c r="AM93" s="26" t="str">
        <f aca="false">IF(C93="","","Waiting for payment")</f>
        <v/>
      </c>
      <c r="AN93" s="27"/>
      <c r="AO93" s="27"/>
      <c r="AP93" s="35" t="str">
        <f aca="false">IF(OR(C93="",I93="",K93=""),"",IF(K93="Monthly",EDATE(C93,ROUND(I93*SETTINGS!$I$8,0)),WORKDAY(C93,ROUND(I93*SETTINGS!$I$8,0))))</f>
        <v/>
      </c>
      <c r="AQ93" s="26" t="str">
        <f aca="true">IF(C93="","",IF(AND(AP93&lt;&gt;"",TODAY()&gt;=AP93),"Refi Ready",IF(TODAY()-C93&gt;=SETTINGS!$I$11,"Prospecting","Performing")))</f>
        <v/>
      </c>
      <c r="AR93" s="35" t="str">
        <f aca="false">IF(OR(C93="",I93="",K93=""),"",IF(K93="Monthly",EDATE(C93,I93),WORKDAY(C93,I93)))</f>
        <v/>
      </c>
      <c r="AS93" s="28"/>
      <c r="AT93" s="36" t="str">
        <f aca="true">IF(C93="","",IF(AM93="Clawed Back","CLAWED",IF(TODAY()&lt;=C93+SETTINGS!$I$2,"⚠ AT RISK","SAFE")))</f>
        <v/>
      </c>
      <c r="AU93" s="28"/>
      <c r="AW93" s="24" t="n">
        <f aca="false">AW92+IF(AND(C93&lt;&gt;"",AO93&lt;&gt;"",OR('REP COMMISSION'!$B$3="",T93='REP COMMISSION'!$B$3,W93='REP COMMISSION'!$B$3,Z93='REP COMMISSION'!$B$3)),1,0)</f>
        <v>0</v>
      </c>
      <c r="AX93" s="24" t="n">
        <f aca="false">AX92+IF(AND(C93&lt;&gt;"",OR(F93="LOC - INITIAL",F93="CONSOLIDATION - UPFRONT COMM",F93="REVERSE - TOTAL FUNDING")),1,0)</f>
        <v>0</v>
      </c>
    </row>
    <row r="94" customFormat="false" ht="15" hidden="false" customHeight="false" outlineLevel="0" collapsed="false">
      <c r="A94" s="8" t="str">
        <f aca="false">IF(C94&lt;&gt;"","F"&amp;COUNT($C$4:C94),"")</f>
        <v/>
      </c>
      <c r="B94" s="9" t="str">
        <f aca="false">IF(OR(F94="LOC - INITIAL",F94="CONSOLIDATION - UPFRONT COMM",F94="REVERSE - TOTAL FUNDING"),A94,"")</f>
        <v/>
      </c>
      <c r="C94" s="10"/>
      <c r="D94" s="11"/>
      <c r="E94" s="11"/>
      <c r="F94" s="11"/>
      <c r="G94" s="12"/>
      <c r="H94" s="13"/>
      <c r="I94" s="11"/>
      <c r="J94" s="14" t="str">
        <f aca="false">IF(AND(G94&lt;&gt;"",H94&lt;&gt;""),G94*H94,"")</f>
        <v/>
      </c>
      <c r="K94" s="11"/>
      <c r="L94" s="15"/>
      <c r="M94" s="15"/>
      <c r="N94" s="14" t="n">
        <f aca="false">IF(OR(G94="",M94=""),0,IF(M94&gt;100,M94,G94*IF(M94&gt;1,M94/100,M94)))</f>
        <v>0</v>
      </c>
      <c r="O94" s="14" t="str">
        <f aca="false">IF(G94="","",G94*IF(L94="",0,IF(L94&gt;1,L94/100,L94))+N94)</f>
        <v/>
      </c>
      <c r="P94" s="11"/>
      <c r="Q94" s="16" t="str">
        <f aca="false">IF(P94="","",IFERROR(VLOOKUP(P94,PARTNERS!$A$2:$B$30,2,0),""))</f>
        <v/>
      </c>
      <c r="R94" s="17" t="str">
        <f aca="false">IF(O94="","",IF(OR(P94="",Q94=""),0,(O94-N94)*IF(Q94&gt;1,Q94/100,Q94)))</f>
        <v/>
      </c>
      <c r="S94" s="14" t="str">
        <f aca="false">IF(O94="","",O94-R94)</f>
        <v/>
      </c>
      <c r="T94" s="11"/>
      <c r="U94" s="18" t="str">
        <f aca="false">IF(T94="","",IFERROR(VLOOKUP(T94,REPS!$A$2:$D$40,2,0),""))</f>
        <v/>
      </c>
      <c r="V94" s="14" t="str">
        <f aca="false">IF(O94="","",IF(U94="",0,O94*IF(U94&gt;1,U94/100,U94)))</f>
        <v/>
      </c>
      <c r="W94" s="11"/>
      <c r="X94" s="18" t="str">
        <f aca="false">IF(W94="","",IFERROR(VLOOKUP(W94,REPS!$A$2:$D$40,3,0),""))</f>
        <v/>
      </c>
      <c r="Y94" s="14" t="str">
        <f aca="false">IF(O94="","",IF(X94="",0,O94*IF(X94&gt;1,X94/100,X94)))</f>
        <v/>
      </c>
      <c r="Z94" s="11"/>
      <c r="AA94" s="18" t="str">
        <f aca="false">IF(Z94="","",IFERROR(VLOOKUP(Z94,REPS!$A$2:$D$40,4,0),""))</f>
        <v/>
      </c>
      <c r="AB94" s="14" t="str">
        <f aca="false">IF(O94="","",IF(AA94="",0,O94*IF(AA94&gt;1,AA94/100,AA94)))</f>
        <v/>
      </c>
      <c r="AC94" s="14" t="str">
        <f aca="false">IF(O94="","",V94+Y94+AB94)</f>
        <v/>
      </c>
      <c r="AD94" s="19" t="str">
        <f aca="false">IF(O94="","",O94-R94-AC94)</f>
        <v/>
      </c>
      <c r="AE94" s="20"/>
      <c r="AF94" s="10"/>
      <c r="AG94" s="21" t="n">
        <f aca="false">IF(OR(AE94="",AE94=0),0,AE94*IF(U94="",0,IF(U94&gt;1,U94/100,U94)))</f>
        <v>0</v>
      </c>
      <c r="AH94" s="21" t="n">
        <f aca="false">IF(OR(AE94="",AE94=0),0,AE94*IF(X94="",0,IF(X94&gt;1,X94/100,X94)))</f>
        <v>0</v>
      </c>
      <c r="AI94" s="21" t="n">
        <f aca="false">IF(OR(AE94="",AE94=0),0,AE94*IF(AA94="",0,IF(AA94&gt;1,AA94/100,AA94)))</f>
        <v>0</v>
      </c>
      <c r="AJ94" s="21" t="n">
        <f aca="false">AG94+AH94+AI94</f>
        <v>0</v>
      </c>
      <c r="AK94" s="21" t="n">
        <f aca="false">IF(OR(AE94="",AE94=0),0,AE94-AJ94)</f>
        <v>0</v>
      </c>
      <c r="AL94" s="19" t="str">
        <f aca="false">IF(AD94="","",AD94-AK94)</f>
        <v/>
      </c>
      <c r="AM94" s="9" t="str">
        <f aca="false">IF(C94="","","Waiting for payment")</f>
        <v/>
      </c>
      <c r="AN94" s="10"/>
      <c r="AO94" s="10"/>
      <c r="AP94" s="22" t="str">
        <f aca="false">IF(OR(C94="",I94="",K94=""),"",IF(K94="Monthly",EDATE(C94,ROUND(I94*SETTINGS!$I$8,0)),WORKDAY(C94,ROUND(I94*SETTINGS!$I$8,0))))</f>
        <v/>
      </c>
      <c r="AQ94" s="9" t="str">
        <f aca="true">IF(C94="","",IF(AND(AP94&lt;&gt;"",TODAY()&gt;=AP94),"Refi Ready",IF(TODAY()-C94&gt;=SETTINGS!$I$11,"Prospecting","Performing")))</f>
        <v/>
      </c>
      <c r="AR94" s="22" t="str">
        <f aca="false">IF(OR(C94="",I94="",K94=""),"",IF(K94="Monthly",EDATE(C94,I94),WORKDAY(C94,I94)))</f>
        <v/>
      </c>
      <c r="AS94" s="11"/>
      <c r="AT94" s="23" t="str">
        <f aca="true">IF(C94="","",IF(AM94="Clawed Back","CLAWED",IF(TODAY()&lt;=C94+SETTINGS!$I$2,"⚠ AT RISK","SAFE")))</f>
        <v/>
      </c>
      <c r="AU94" s="11"/>
      <c r="AW94" s="24" t="n">
        <f aca="false">AW93+IF(AND(C94&lt;&gt;"",AO94&lt;&gt;"",OR('REP COMMISSION'!$B$3="",T94='REP COMMISSION'!$B$3,W94='REP COMMISSION'!$B$3,Z94='REP COMMISSION'!$B$3)),1,0)</f>
        <v>0</v>
      </c>
      <c r="AX94" s="24" t="n">
        <f aca="false">AX93+IF(AND(C94&lt;&gt;"",OR(F94="LOC - INITIAL",F94="CONSOLIDATION - UPFRONT COMM",F94="REVERSE - TOTAL FUNDING")),1,0)</f>
        <v>0</v>
      </c>
    </row>
    <row r="95" customFormat="false" ht="15" hidden="false" customHeight="false" outlineLevel="0" collapsed="false">
      <c r="A95" s="25" t="str">
        <f aca="false">IF(C95&lt;&gt;"","F"&amp;COUNT($C$4:C95),"")</f>
        <v/>
      </c>
      <c r="B95" s="26" t="str">
        <f aca="false">IF(OR(F95="LOC - INITIAL",F95="CONSOLIDATION - UPFRONT COMM",F95="REVERSE - TOTAL FUNDING"),A95,"")</f>
        <v/>
      </c>
      <c r="C95" s="27"/>
      <c r="D95" s="28"/>
      <c r="E95" s="28"/>
      <c r="F95" s="28"/>
      <c r="G95" s="29"/>
      <c r="H95" s="30"/>
      <c r="I95" s="28"/>
      <c r="J95" s="31" t="str">
        <f aca="false">IF(AND(G95&lt;&gt;"",H95&lt;&gt;""),G95*H95,"")</f>
        <v/>
      </c>
      <c r="K95" s="28"/>
      <c r="L95" s="32"/>
      <c r="M95" s="32"/>
      <c r="N95" s="31" t="n">
        <f aca="false">IF(OR(G95="",M95=""),0,IF(M95&gt;100,M95,G95*IF(M95&gt;1,M95/100,M95)))</f>
        <v>0</v>
      </c>
      <c r="O95" s="31" t="str">
        <f aca="false">IF(G95="","",G95*IF(L95="",0,IF(L95&gt;1,L95/100,L95))+N95)</f>
        <v/>
      </c>
      <c r="P95" s="28"/>
      <c r="Q95" s="33" t="str">
        <f aca="false">IF(P95="","",IFERROR(VLOOKUP(P95,PARTNERS!$A$2:$B$30,2,0),""))</f>
        <v/>
      </c>
      <c r="R95" s="17" t="str">
        <f aca="false">IF(O95="","",IF(OR(P95="",Q95=""),0,(O95-N95)*IF(Q95&gt;1,Q95/100,Q95)))</f>
        <v/>
      </c>
      <c r="S95" s="31" t="str">
        <f aca="false">IF(O95="","",O95-R95)</f>
        <v/>
      </c>
      <c r="T95" s="28"/>
      <c r="U95" s="34" t="str">
        <f aca="false">IF(T95="","",IFERROR(VLOOKUP(T95,REPS!$A$2:$D$40,2,0),""))</f>
        <v/>
      </c>
      <c r="V95" s="31" t="str">
        <f aca="false">IF(O95="","",IF(U95="",0,O95*IF(U95&gt;1,U95/100,U95)))</f>
        <v/>
      </c>
      <c r="W95" s="28"/>
      <c r="X95" s="34" t="str">
        <f aca="false">IF(W95="","",IFERROR(VLOOKUP(W95,REPS!$A$2:$D$40,3,0),""))</f>
        <v/>
      </c>
      <c r="Y95" s="31" t="str">
        <f aca="false">IF(O95="","",IF(X95="",0,O95*IF(X95&gt;1,X95/100,X95)))</f>
        <v/>
      </c>
      <c r="Z95" s="28"/>
      <c r="AA95" s="34" t="str">
        <f aca="false">IF(Z95="","",IFERROR(VLOOKUP(Z95,REPS!$A$2:$D$40,4,0),""))</f>
        <v/>
      </c>
      <c r="AB95" s="31" t="str">
        <f aca="false">IF(O95="","",IF(AA95="",0,O95*IF(AA95&gt;1,AA95/100,AA95)))</f>
        <v/>
      </c>
      <c r="AC95" s="31" t="str">
        <f aca="false">IF(O95="","",V95+Y95+AB95)</f>
        <v/>
      </c>
      <c r="AD95" s="19" t="str">
        <f aca="false">IF(O95="","",O95-R95-AC95)</f>
        <v/>
      </c>
      <c r="AE95" s="20"/>
      <c r="AF95" s="27"/>
      <c r="AG95" s="21" t="n">
        <f aca="false">IF(OR(AE95="",AE95=0),0,AE95*IF(U95="",0,IF(U95&gt;1,U95/100,U95)))</f>
        <v>0</v>
      </c>
      <c r="AH95" s="21" t="n">
        <f aca="false">IF(OR(AE95="",AE95=0),0,AE95*IF(X95="",0,IF(X95&gt;1,X95/100,X95)))</f>
        <v>0</v>
      </c>
      <c r="AI95" s="21" t="n">
        <f aca="false">IF(OR(AE95="",AE95=0),0,AE95*IF(AA95="",0,IF(AA95&gt;1,AA95/100,AA95)))</f>
        <v>0</v>
      </c>
      <c r="AJ95" s="21" t="n">
        <f aca="false">AG95+AH95+AI95</f>
        <v>0</v>
      </c>
      <c r="AK95" s="21" t="n">
        <f aca="false">IF(OR(AE95="",AE95=0),0,AE95-AJ95)</f>
        <v>0</v>
      </c>
      <c r="AL95" s="19" t="str">
        <f aca="false">IF(AD95="","",AD95-AK95)</f>
        <v/>
      </c>
      <c r="AM95" s="26" t="str">
        <f aca="false">IF(C95="","","Waiting for payment")</f>
        <v/>
      </c>
      <c r="AN95" s="27"/>
      <c r="AO95" s="27"/>
      <c r="AP95" s="35" t="str">
        <f aca="false">IF(OR(C95="",I95="",K95=""),"",IF(K95="Monthly",EDATE(C95,ROUND(I95*SETTINGS!$I$8,0)),WORKDAY(C95,ROUND(I95*SETTINGS!$I$8,0))))</f>
        <v/>
      </c>
      <c r="AQ95" s="26" t="str">
        <f aca="true">IF(C95="","",IF(AND(AP95&lt;&gt;"",TODAY()&gt;=AP95),"Refi Ready",IF(TODAY()-C95&gt;=SETTINGS!$I$11,"Prospecting","Performing")))</f>
        <v/>
      </c>
      <c r="AR95" s="35" t="str">
        <f aca="false">IF(OR(C95="",I95="",K95=""),"",IF(K95="Monthly",EDATE(C95,I95),WORKDAY(C95,I95)))</f>
        <v/>
      </c>
      <c r="AS95" s="28"/>
      <c r="AT95" s="36" t="str">
        <f aca="true">IF(C95="","",IF(AM95="Clawed Back","CLAWED",IF(TODAY()&lt;=C95+SETTINGS!$I$2,"⚠ AT RISK","SAFE")))</f>
        <v/>
      </c>
      <c r="AU95" s="28"/>
      <c r="AW95" s="24" t="n">
        <f aca="false">AW94+IF(AND(C95&lt;&gt;"",AO95&lt;&gt;"",OR('REP COMMISSION'!$B$3="",T95='REP COMMISSION'!$B$3,W95='REP COMMISSION'!$B$3,Z95='REP COMMISSION'!$B$3)),1,0)</f>
        <v>0</v>
      </c>
      <c r="AX95" s="24" t="n">
        <f aca="false">AX94+IF(AND(C95&lt;&gt;"",OR(F95="LOC - INITIAL",F95="CONSOLIDATION - UPFRONT COMM",F95="REVERSE - TOTAL FUNDING")),1,0)</f>
        <v>0</v>
      </c>
    </row>
    <row r="96" customFormat="false" ht="15" hidden="false" customHeight="false" outlineLevel="0" collapsed="false">
      <c r="A96" s="8" t="str">
        <f aca="false">IF(C96&lt;&gt;"","F"&amp;COUNT($C$4:C96),"")</f>
        <v/>
      </c>
      <c r="B96" s="9" t="str">
        <f aca="false">IF(OR(F96="LOC - INITIAL",F96="CONSOLIDATION - UPFRONT COMM",F96="REVERSE - TOTAL FUNDING"),A96,"")</f>
        <v/>
      </c>
      <c r="C96" s="10"/>
      <c r="D96" s="11"/>
      <c r="E96" s="11"/>
      <c r="F96" s="11"/>
      <c r="G96" s="12"/>
      <c r="H96" s="13"/>
      <c r="I96" s="11"/>
      <c r="J96" s="14" t="str">
        <f aca="false">IF(AND(G96&lt;&gt;"",H96&lt;&gt;""),G96*H96,"")</f>
        <v/>
      </c>
      <c r="K96" s="11"/>
      <c r="L96" s="15"/>
      <c r="M96" s="15"/>
      <c r="N96" s="14" t="n">
        <f aca="false">IF(OR(G96="",M96=""),0,IF(M96&gt;100,M96,G96*IF(M96&gt;1,M96/100,M96)))</f>
        <v>0</v>
      </c>
      <c r="O96" s="14" t="str">
        <f aca="false">IF(G96="","",G96*IF(L96="",0,IF(L96&gt;1,L96/100,L96))+N96)</f>
        <v/>
      </c>
      <c r="P96" s="11"/>
      <c r="Q96" s="16" t="str">
        <f aca="false">IF(P96="","",IFERROR(VLOOKUP(P96,PARTNERS!$A$2:$B$30,2,0),""))</f>
        <v/>
      </c>
      <c r="R96" s="17" t="str">
        <f aca="false">IF(O96="","",IF(OR(P96="",Q96=""),0,(O96-N96)*IF(Q96&gt;1,Q96/100,Q96)))</f>
        <v/>
      </c>
      <c r="S96" s="14" t="str">
        <f aca="false">IF(O96="","",O96-R96)</f>
        <v/>
      </c>
      <c r="T96" s="11"/>
      <c r="U96" s="18" t="str">
        <f aca="false">IF(T96="","",IFERROR(VLOOKUP(T96,REPS!$A$2:$D$40,2,0),""))</f>
        <v/>
      </c>
      <c r="V96" s="14" t="str">
        <f aca="false">IF(O96="","",IF(U96="",0,O96*IF(U96&gt;1,U96/100,U96)))</f>
        <v/>
      </c>
      <c r="W96" s="11"/>
      <c r="X96" s="18" t="str">
        <f aca="false">IF(W96="","",IFERROR(VLOOKUP(W96,REPS!$A$2:$D$40,3,0),""))</f>
        <v/>
      </c>
      <c r="Y96" s="14" t="str">
        <f aca="false">IF(O96="","",IF(X96="",0,O96*IF(X96&gt;1,X96/100,X96)))</f>
        <v/>
      </c>
      <c r="Z96" s="11"/>
      <c r="AA96" s="18" t="str">
        <f aca="false">IF(Z96="","",IFERROR(VLOOKUP(Z96,REPS!$A$2:$D$40,4,0),""))</f>
        <v/>
      </c>
      <c r="AB96" s="14" t="str">
        <f aca="false">IF(O96="","",IF(AA96="",0,O96*IF(AA96&gt;1,AA96/100,AA96)))</f>
        <v/>
      </c>
      <c r="AC96" s="14" t="str">
        <f aca="false">IF(O96="","",V96+Y96+AB96)</f>
        <v/>
      </c>
      <c r="AD96" s="19" t="str">
        <f aca="false">IF(O96="","",O96-R96-AC96)</f>
        <v/>
      </c>
      <c r="AE96" s="20"/>
      <c r="AF96" s="10"/>
      <c r="AG96" s="21" t="n">
        <f aca="false">IF(OR(AE96="",AE96=0),0,AE96*IF(U96="",0,IF(U96&gt;1,U96/100,U96)))</f>
        <v>0</v>
      </c>
      <c r="AH96" s="21" t="n">
        <f aca="false">IF(OR(AE96="",AE96=0),0,AE96*IF(X96="",0,IF(X96&gt;1,X96/100,X96)))</f>
        <v>0</v>
      </c>
      <c r="AI96" s="21" t="n">
        <f aca="false">IF(OR(AE96="",AE96=0),0,AE96*IF(AA96="",0,IF(AA96&gt;1,AA96/100,AA96)))</f>
        <v>0</v>
      </c>
      <c r="AJ96" s="21" t="n">
        <f aca="false">AG96+AH96+AI96</f>
        <v>0</v>
      </c>
      <c r="AK96" s="21" t="n">
        <f aca="false">IF(OR(AE96="",AE96=0),0,AE96-AJ96)</f>
        <v>0</v>
      </c>
      <c r="AL96" s="19" t="str">
        <f aca="false">IF(AD96="","",AD96-AK96)</f>
        <v/>
      </c>
      <c r="AM96" s="9" t="str">
        <f aca="false">IF(C96="","","Waiting for payment")</f>
        <v/>
      </c>
      <c r="AN96" s="10"/>
      <c r="AO96" s="10"/>
      <c r="AP96" s="22" t="str">
        <f aca="false">IF(OR(C96="",I96="",K96=""),"",IF(K96="Monthly",EDATE(C96,ROUND(I96*SETTINGS!$I$8,0)),WORKDAY(C96,ROUND(I96*SETTINGS!$I$8,0))))</f>
        <v/>
      </c>
      <c r="AQ96" s="9" t="str">
        <f aca="true">IF(C96="","",IF(AND(AP96&lt;&gt;"",TODAY()&gt;=AP96),"Refi Ready",IF(TODAY()-C96&gt;=SETTINGS!$I$11,"Prospecting","Performing")))</f>
        <v/>
      </c>
      <c r="AR96" s="22" t="str">
        <f aca="false">IF(OR(C96="",I96="",K96=""),"",IF(K96="Monthly",EDATE(C96,I96),WORKDAY(C96,I96)))</f>
        <v/>
      </c>
      <c r="AS96" s="11"/>
      <c r="AT96" s="23" t="str">
        <f aca="true">IF(C96="","",IF(AM96="Clawed Back","CLAWED",IF(TODAY()&lt;=C96+SETTINGS!$I$2,"⚠ AT RISK","SAFE")))</f>
        <v/>
      </c>
      <c r="AU96" s="11"/>
      <c r="AW96" s="24" t="n">
        <f aca="false">AW95+IF(AND(C96&lt;&gt;"",AO96&lt;&gt;"",OR('REP COMMISSION'!$B$3="",T96='REP COMMISSION'!$B$3,W96='REP COMMISSION'!$B$3,Z96='REP COMMISSION'!$B$3)),1,0)</f>
        <v>0</v>
      </c>
      <c r="AX96" s="24" t="n">
        <f aca="false">AX95+IF(AND(C96&lt;&gt;"",OR(F96="LOC - INITIAL",F96="CONSOLIDATION - UPFRONT COMM",F96="REVERSE - TOTAL FUNDING")),1,0)</f>
        <v>0</v>
      </c>
    </row>
    <row r="97" customFormat="false" ht="15" hidden="false" customHeight="false" outlineLevel="0" collapsed="false">
      <c r="A97" s="25" t="str">
        <f aca="false">IF(C97&lt;&gt;"","F"&amp;COUNT($C$4:C97),"")</f>
        <v/>
      </c>
      <c r="B97" s="26" t="str">
        <f aca="false">IF(OR(F97="LOC - INITIAL",F97="CONSOLIDATION - UPFRONT COMM",F97="REVERSE - TOTAL FUNDING"),A97,"")</f>
        <v/>
      </c>
      <c r="C97" s="27"/>
      <c r="D97" s="28"/>
      <c r="E97" s="28"/>
      <c r="F97" s="28"/>
      <c r="G97" s="29"/>
      <c r="H97" s="30"/>
      <c r="I97" s="28"/>
      <c r="J97" s="31" t="str">
        <f aca="false">IF(AND(G97&lt;&gt;"",H97&lt;&gt;""),G97*H97,"")</f>
        <v/>
      </c>
      <c r="K97" s="28"/>
      <c r="L97" s="32"/>
      <c r="M97" s="32"/>
      <c r="N97" s="31" t="n">
        <f aca="false">IF(OR(G97="",M97=""),0,IF(M97&gt;100,M97,G97*IF(M97&gt;1,M97/100,M97)))</f>
        <v>0</v>
      </c>
      <c r="O97" s="31" t="str">
        <f aca="false">IF(G97="","",G97*IF(L97="",0,IF(L97&gt;1,L97/100,L97))+N97)</f>
        <v/>
      </c>
      <c r="P97" s="28"/>
      <c r="Q97" s="33" t="str">
        <f aca="false">IF(P97="","",IFERROR(VLOOKUP(P97,PARTNERS!$A$2:$B$30,2,0),""))</f>
        <v/>
      </c>
      <c r="R97" s="17" t="str">
        <f aca="false">IF(O97="","",IF(OR(P97="",Q97=""),0,(O97-N97)*IF(Q97&gt;1,Q97/100,Q97)))</f>
        <v/>
      </c>
      <c r="S97" s="31" t="str">
        <f aca="false">IF(O97="","",O97-R97)</f>
        <v/>
      </c>
      <c r="T97" s="28"/>
      <c r="U97" s="34" t="str">
        <f aca="false">IF(T97="","",IFERROR(VLOOKUP(T97,REPS!$A$2:$D$40,2,0),""))</f>
        <v/>
      </c>
      <c r="V97" s="31" t="str">
        <f aca="false">IF(O97="","",IF(U97="",0,O97*IF(U97&gt;1,U97/100,U97)))</f>
        <v/>
      </c>
      <c r="W97" s="28"/>
      <c r="X97" s="34" t="str">
        <f aca="false">IF(W97="","",IFERROR(VLOOKUP(W97,REPS!$A$2:$D$40,3,0),""))</f>
        <v/>
      </c>
      <c r="Y97" s="31" t="str">
        <f aca="false">IF(O97="","",IF(X97="",0,O97*IF(X97&gt;1,X97/100,X97)))</f>
        <v/>
      </c>
      <c r="Z97" s="28"/>
      <c r="AA97" s="34" t="str">
        <f aca="false">IF(Z97="","",IFERROR(VLOOKUP(Z97,REPS!$A$2:$D$40,4,0),""))</f>
        <v/>
      </c>
      <c r="AB97" s="31" t="str">
        <f aca="false">IF(O97="","",IF(AA97="",0,O97*IF(AA97&gt;1,AA97/100,AA97)))</f>
        <v/>
      </c>
      <c r="AC97" s="31" t="str">
        <f aca="false">IF(O97="","",V97+Y97+AB97)</f>
        <v/>
      </c>
      <c r="AD97" s="19" t="str">
        <f aca="false">IF(O97="","",O97-R97-AC97)</f>
        <v/>
      </c>
      <c r="AE97" s="20"/>
      <c r="AF97" s="27"/>
      <c r="AG97" s="21" t="n">
        <f aca="false">IF(OR(AE97="",AE97=0),0,AE97*IF(U97="",0,IF(U97&gt;1,U97/100,U97)))</f>
        <v>0</v>
      </c>
      <c r="AH97" s="21" t="n">
        <f aca="false">IF(OR(AE97="",AE97=0),0,AE97*IF(X97="",0,IF(X97&gt;1,X97/100,X97)))</f>
        <v>0</v>
      </c>
      <c r="AI97" s="21" t="n">
        <f aca="false">IF(OR(AE97="",AE97=0),0,AE97*IF(AA97="",0,IF(AA97&gt;1,AA97/100,AA97)))</f>
        <v>0</v>
      </c>
      <c r="AJ97" s="21" t="n">
        <f aca="false">AG97+AH97+AI97</f>
        <v>0</v>
      </c>
      <c r="AK97" s="21" t="n">
        <f aca="false">IF(OR(AE97="",AE97=0),0,AE97-AJ97)</f>
        <v>0</v>
      </c>
      <c r="AL97" s="19" t="str">
        <f aca="false">IF(AD97="","",AD97-AK97)</f>
        <v/>
      </c>
      <c r="AM97" s="26" t="str">
        <f aca="false">IF(C97="","","Waiting for payment")</f>
        <v/>
      </c>
      <c r="AN97" s="27"/>
      <c r="AO97" s="27"/>
      <c r="AP97" s="35" t="str">
        <f aca="false">IF(OR(C97="",I97="",K97=""),"",IF(K97="Monthly",EDATE(C97,ROUND(I97*SETTINGS!$I$8,0)),WORKDAY(C97,ROUND(I97*SETTINGS!$I$8,0))))</f>
        <v/>
      </c>
      <c r="AQ97" s="26" t="str">
        <f aca="true">IF(C97="","",IF(AND(AP97&lt;&gt;"",TODAY()&gt;=AP97),"Refi Ready",IF(TODAY()-C97&gt;=SETTINGS!$I$11,"Prospecting","Performing")))</f>
        <v/>
      </c>
      <c r="AR97" s="35" t="str">
        <f aca="false">IF(OR(C97="",I97="",K97=""),"",IF(K97="Monthly",EDATE(C97,I97),WORKDAY(C97,I97)))</f>
        <v/>
      </c>
      <c r="AS97" s="28"/>
      <c r="AT97" s="36" t="str">
        <f aca="true">IF(C97="","",IF(AM97="Clawed Back","CLAWED",IF(TODAY()&lt;=C97+SETTINGS!$I$2,"⚠ AT RISK","SAFE")))</f>
        <v/>
      </c>
      <c r="AU97" s="28"/>
      <c r="AW97" s="24" t="n">
        <f aca="false">AW96+IF(AND(C97&lt;&gt;"",AO97&lt;&gt;"",OR('REP COMMISSION'!$B$3="",T97='REP COMMISSION'!$B$3,W97='REP COMMISSION'!$B$3,Z97='REP COMMISSION'!$B$3)),1,0)</f>
        <v>0</v>
      </c>
      <c r="AX97" s="24" t="n">
        <f aca="false">AX96+IF(AND(C97&lt;&gt;"",OR(F97="LOC - INITIAL",F97="CONSOLIDATION - UPFRONT COMM",F97="REVERSE - TOTAL FUNDING")),1,0)</f>
        <v>0</v>
      </c>
    </row>
    <row r="98" customFormat="false" ht="15" hidden="false" customHeight="false" outlineLevel="0" collapsed="false">
      <c r="A98" s="8" t="str">
        <f aca="false">IF(C98&lt;&gt;"","F"&amp;COUNT($C$4:C98),"")</f>
        <v/>
      </c>
      <c r="B98" s="9" t="str">
        <f aca="false">IF(OR(F98="LOC - INITIAL",F98="CONSOLIDATION - UPFRONT COMM",F98="REVERSE - TOTAL FUNDING"),A98,"")</f>
        <v/>
      </c>
      <c r="C98" s="10"/>
      <c r="D98" s="11"/>
      <c r="E98" s="11"/>
      <c r="F98" s="11"/>
      <c r="G98" s="12"/>
      <c r="H98" s="13"/>
      <c r="I98" s="11"/>
      <c r="J98" s="14" t="str">
        <f aca="false">IF(AND(G98&lt;&gt;"",H98&lt;&gt;""),G98*H98,"")</f>
        <v/>
      </c>
      <c r="K98" s="11"/>
      <c r="L98" s="15"/>
      <c r="M98" s="15"/>
      <c r="N98" s="14" t="n">
        <f aca="false">IF(OR(G98="",M98=""),0,IF(M98&gt;100,M98,G98*IF(M98&gt;1,M98/100,M98)))</f>
        <v>0</v>
      </c>
      <c r="O98" s="14" t="str">
        <f aca="false">IF(G98="","",G98*IF(L98="",0,IF(L98&gt;1,L98/100,L98))+N98)</f>
        <v/>
      </c>
      <c r="P98" s="11"/>
      <c r="Q98" s="16" t="str">
        <f aca="false">IF(P98="","",IFERROR(VLOOKUP(P98,PARTNERS!$A$2:$B$30,2,0),""))</f>
        <v/>
      </c>
      <c r="R98" s="17" t="str">
        <f aca="false">IF(O98="","",IF(OR(P98="",Q98=""),0,(O98-N98)*IF(Q98&gt;1,Q98/100,Q98)))</f>
        <v/>
      </c>
      <c r="S98" s="14" t="str">
        <f aca="false">IF(O98="","",O98-R98)</f>
        <v/>
      </c>
      <c r="T98" s="11"/>
      <c r="U98" s="18" t="str">
        <f aca="false">IF(T98="","",IFERROR(VLOOKUP(T98,REPS!$A$2:$D$40,2,0),""))</f>
        <v/>
      </c>
      <c r="V98" s="14" t="str">
        <f aca="false">IF(O98="","",IF(U98="",0,O98*IF(U98&gt;1,U98/100,U98)))</f>
        <v/>
      </c>
      <c r="W98" s="11"/>
      <c r="X98" s="18" t="str">
        <f aca="false">IF(W98="","",IFERROR(VLOOKUP(W98,REPS!$A$2:$D$40,3,0),""))</f>
        <v/>
      </c>
      <c r="Y98" s="14" t="str">
        <f aca="false">IF(O98="","",IF(X98="",0,O98*IF(X98&gt;1,X98/100,X98)))</f>
        <v/>
      </c>
      <c r="Z98" s="11"/>
      <c r="AA98" s="18" t="str">
        <f aca="false">IF(Z98="","",IFERROR(VLOOKUP(Z98,REPS!$A$2:$D$40,4,0),""))</f>
        <v/>
      </c>
      <c r="AB98" s="14" t="str">
        <f aca="false">IF(O98="","",IF(AA98="",0,O98*IF(AA98&gt;1,AA98/100,AA98)))</f>
        <v/>
      </c>
      <c r="AC98" s="14" t="str">
        <f aca="false">IF(O98="","",V98+Y98+AB98)</f>
        <v/>
      </c>
      <c r="AD98" s="19" t="str">
        <f aca="false">IF(O98="","",O98-R98-AC98)</f>
        <v/>
      </c>
      <c r="AE98" s="20"/>
      <c r="AF98" s="10"/>
      <c r="AG98" s="21" t="n">
        <f aca="false">IF(OR(AE98="",AE98=0),0,AE98*IF(U98="",0,IF(U98&gt;1,U98/100,U98)))</f>
        <v>0</v>
      </c>
      <c r="AH98" s="21" t="n">
        <f aca="false">IF(OR(AE98="",AE98=0),0,AE98*IF(X98="",0,IF(X98&gt;1,X98/100,X98)))</f>
        <v>0</v>
      </c>
      <c r="AI98" s="21" t="n">
        <f aca="false">IF(OR(AE98="",AE98=0),0,AE98*IF(AA98="",0,IF(AA98&gt;1,AA98/100,AA98)))</f>
        <v>0</v>
      </c>
      <c r="AJ98" s="21" t="n">
        <f aca="false">AG98+AH98+AI98</f>
        <v>0</v>
      </c>
      <c r="AK98" s="21" t="n">
        <f aca="false">IF(OR(AE98="",AE98=0),0,AE98-AJ98)</f>
        <v>0</v>
      </c>
      <c r="AL98" s="19" t="str">
        <f aca="false">IF(AD98="","",AD98-AK98)</f>
        <v/>
      </c>
      <c r="AM98" s="9" t="str">
        <f aca="false">IF(C98="","","Waiting for payment")</f>
        <v/>
      </c>
      <c r="AN98" s="10"/>
      <c r="AO98" s="10"/>
      <c r="AP98" s="22" t="str">
        <f aca="false">IF(OR(C98="",I98="",K98=""),"",IF(K98="Monthly",EDATE(C98,ROUND(I98*SETTINGS!$I$8,0)),WORKDAY(C98,ROUND(I98*SETTINGS!$I$8,0))))</f>
        <v/>
      </c>
      <c r="AQ98" s="9" t="str">
        <f aca="true">IF(C98="","",IF(AND(AP98&lt;&gt;"",TODAY()&gt;=AP98),"Refi Ready",IF(TODAY()-C98&gt;=SETTINGS!$I$11,"Prospecting","Performing")))</f>
        <v/>
      </c>
      <c r="AR98" s="22" t="str">
        <f aca="false">IF(OR(C98="",I98="",K98=""),"",IF(K98="Monthly",EDATE(C98,I98),WORKDAY(C98,I98)))</f>
        <v/>
      </c>
      <c r="AS98" s="11"/>
      <c r="AT98" s="23" t="str">
        <f aca="true">IF(C98="","",IF(AM98="Clawed Back","CLAWED",IF(TODAY()&lt;=C98+SETTINGS!$I$2,"⚠ AT RISK","SAFE")))</f>
        <v/>
      </c>
      <c r="AU98" s="11"/>
      <c r="AW98" s="24" t="n">
        <f aca="false">AW97+IF(AND(C98&lt;&gt;"",AO98&lt;&gt;"",OR('REP COMMISSION'!$B$3="",T98='REP COMMISSION'!$B$3,W98='REP COMMISSION'!$B$3,Z98='REP COMMISSION'!$B$3)),1,0)</f>
        <v>0</v>
      </c>
      <c r="AX98" s="24" t="n">
        <f aca="false">AX97+IF(AND(C98&lt;&gt;"",OR(F98="LOC - INITIAL",F98="CONSOLIDATION - UPFRONT COMM",F98="REVERSE - TOTAL FUNDING")),1,0)</f>
        <v>0</v>
      </c>
    </row>
    <row r="99" customFormat="false" ht="15" hidden="false" customHeight="false" outlineLevel="0" collapsed="false">
      <c r="A99" s="25" t="str">
        <f aca="false">IF(C99&lt;&gt;"","F"&amp;COUNT($C$4:C99),"")</f>
        <v/>
      </c>
      <c r="B99" s="26" t="str">
        <f aca="false">IF(OR(F99="LOC - INITIAL",F99="CONSOLIDATION - UPFRONT COMM",F99="REVERSE - TOTAL FUNDING"),A99,"")</f>
        <v/>
      </c>
      <c r="C99" s="27"/>
      <c r="D99" s="28"/>
      <c r="E99" s="28"/>
      <c r="F99" s="28"/>
      <c r="G99" s="29"/>
      <c r="H99" s="30"/>
      <c r="I99" s="28"/>
      <c r="J99" s="31" t="str">
        <f aca="false">IF(AND(G99&lt;&gt;"",H99&lt;&gt;""),G99*H99,"")</f>
        <v/>
      </c>
      <c r="K99" s="28"/>
      <c r="L99" s="32"/>
      <c r="M99" s="32"/>
      <c r="N99" s="31" t="n">
        <f aca="false">IF(OR(G99="",M99=""),0,IF(M99&gt;100,M99,G99*IF(M99&gt;1,M99/100,M99)))</f>
        <v>0</v>
      </c>
      <c r="O99" s="31" t="str">
        <f aca="false">IF(G99="","",G99*IF(L99="",0,IF(L99&gt;1,L99/100,L99))+N99)</f>
        <v/>
      </c>
      <c r="P99" s="28"/>
      <c r="Q99" s="33" t="str">
        <f aca="false">IF(P99="","",IFERROR(VLOOKUP(P99,PARTNERS!$A$2:$B$30,2,0),""))</f>
        <v/>
      </c>
      <c r="R99" s="17" t="str">
        <f aca="false">IF(O99="","",IF(OR(P99="",Q99=""),0,(O99-N99)*IF(Q99&gt;1,Q99/100,Q99)))</f>
        <v/>
      </c>
      <c r="S99" s="31" t="str">
        <f aca="false">IF(O99="","",O99-R99)</f>
        <v/>
      </c>
      <c r="T99" s="28"/>
      <c r="U99" s="34" t="str">
        <f aca="false">IF(T99="","",IFERROR(VLOOKUP(T99,REPS!$A$2:$D$40,2,0),""))</f>
        <v/>
      </c>
      <c r="V99" s="31" t="str">
        <f aca="false">IF(O99="","",IF(U99="",0,O99*IF(U99&gt;1,U99/100,U99)))</f>
        <v/>
      </c>
      <c r="W99" s="28"/>
      <c r="X99" s="34" t="str">
        <f aca="false">IF(W99="","",IFERROR(VLOOKUP(W99,REPS!$A$2:$D$40,3,0),""))</f>
        <v/>
      </c>
      <c r="Y99" s="31" t="str">
        <f aca="false">IF(O99="","",IF(X99="",0,O99*IF(X99&gt;1,X99/100,X99)))</f>
        <v/>
      </c>
      <c r="Z99" s="28"/>
      <c r="AA99" s="34" t="str">
        <f aca="false">IF(Z99="","",IFERROR(VLOOKUP(Z99,REPS!$A$2:$D$40,4,0),""))</f>
        <v/>
      </c>
      <c r="AB99" s="31" t="str">
        <f aca="false">IF(O99="","",IF(AA99="",0,O99*IF(AA99&gt;1,AA99/100,AA99)))</f>
        <v/>
      </c>
      <c r="AC99" s="31" t="str">
        <f aca="false">IF(O99="","",V99+Y99+AB99)</f>
        <v/>
      </c>
      <c r="AD99" s="19" t="str">
        <f aca="false">IF(O99="","",O99-R99-AC99)</f>
        <v/>
      </c>
      <c r="AE99" s="20"/>
      <c r="AF99" s="27"/>
      <c r="AG99" s="21" t="n">
        <f aca="false">IF(OR(AE99="",AE99=0),0,AE99*IF(U99="",0,IF(U99&gt;1,U99/100,U99)))</f>
        <v>0</v>
      </c>
      <c r="AH99" s="21" t="n">
        <f aca="false">IF(OR(AE99="",AE99=0),0,AE99*IF(X99="",0,IF(X99&gt;1,X99/100,X99)))</f>
        <v>0</v>
      </c>
      <c r="AI99" s="21" t="n">
        <f aca="false">IF(OR(AE99="",AE99=0),0,AE99*IF(AA99="",0,IF(AA99&gt;1,AA99/100,AA99)))</f>
        <v>0</v>
      </c>
      <c r="AJ99" s="21" t="n">
        <f aca="false">AG99+AH99+AI99</f>
        <v>0</v>
      </c>
      <c r="AK99" s="21" t="n">
        <f aca="false">IF(OR(AE99="",AE99=0),0,AE99-AJ99)</f>
        <v>0</v>
      </c>
      <c r="AL99" s="19" t="str">
        <f aca="false">IF(AD99="","",AD99-AK99)</f>
        <v/>
      </c>
      <c r="AM99" s="26" t="str">
        <f aca="false">IF(C99="","","Waiting for payment")</f>
        <v/>
      </c>
      <c r="AN99" s="27"/>
      <c r="AO99" s="27"/>
      <c r="AP99" s="35" t="str">
        <f aca="false">IF(OR(C99="",I99="",K99=""),"",IF(K99="Monthly",EDATE(C99,ROUND(I99*SETTINGS!$I$8,0)),WORKDAY(C99,ROUND(I99*SETTINGS!$I$8,0))))</f>
        <v/>
      </c>
      <c r="AQ99" s="26" t="str">
        <f aca="true">IF(C99="","",IF(AND(AP99&lt;&gt;"",TODAY()&gt;=AP99),"Refi Ready",IF(TODAY()-C99&gt;=SETTINGS!$I$11,"Prospecting","Performing")))</f>
        <v/>
      </c>
      <c r="AR99" s="35" t="str">
        <f aca="false">IF(OR(C99="",I99="",K99=""),"",IF(K99="Monthly",EDATE(C99,I99),WORKDAY(C99,I99)))</f>
        <v/>
      </c>
      <c r="AS99" s="28"/>
      <c r="AT99" s="36" t="str">
        <f aca="true">IF(C99="","",IF(AM99="Clawed Back","CLAWED",IF(TODAY()&lt;=C99+SETTINGS!$I$2,"⚠ AT RISK","SAFE")))</f>
        <v/>
      </c>
      <c r="AU99" s="28"/>
      <c r="AW99" s="24" t="n">
        <f aca="false">AW98+IF(AND(C99&lt;&gt;"",AO99&lt;&gt;"",OR('REP COMMISSION'!$B$3="",T99='REP COMMISSION'!$B$3,W99='REP COMMISSION'!$B$3,Z99='REP COMMISSION'!$B$3)),1,0)</f>
        <v>0</v>
      </c>
      <c r="AX99" s="24" t="n">
        <f aca="false">AX98+IF(AND(C99&lt;&gt;"",OR(F99="LOC - INITIAL",F99="CONSOLIDATION - UPFRONT COMM",F99="REVERSE - TOTAL FUNDING")),1,0)</f>
        <v>0</v>
      </c>
    </row>
    <row r="100" customFormat="false" ht="15" hidden="false" customHeight="false" outlineLevel="0" collapsed="false">
      <c r="A100" s="8" t="str">
        <f aca="false">IF(C100&lt;&gt;"","F"&amp;COUNT($C$4:C100),"")</f>
        <v/>
      </c>
      <c r="B100" s="9" t="str">
        <f aca="false">IF(OR(F100="LOC - INITIAL",F100="CONSOLIDATION - UPFRONT COMM",F100="REVERSE - TOTAL FUNDING"),A100,"")</f>
        <v/>
      </c>
      <c r="C100" s="10"/>
      <c r="D100" s="11"/>
      <c r="E100" s="11"/>
      <c r="F100" s="11"/>
      <c r="G100" s="12"/>
      <c r="H100" s="13"/>
      <c r="I100" s="11"/>
      <c r="J100" s="14" t="str">
        <f aca="false">IF(AND(G100&lt;&gt;"",H100&lt;&gt;""),G100*H100,"")</f>
        <v/>
      </c>
      <c r="K100" s="11"/>
      <c r="L100" s="15"/>
      <c r="M100" s="15"/>
      <c r="N100" s="14" t="n">
        <f aca="false">IF(OR(G100="",M100=""),0,IF(M100&gt;100,M100,G100*IF(M100&gt;1,M100/100,M100)))</f>
        <v>0</v>
      </c>
      <c r="O100" s="14" t="str">
        <f aca="false">IF(G100="","",G100*IF(L100="",0,IF(L100&gt;1,L100/100,L100))+N100)</f>
        <v/>
      </c>
      <c r="P100" s="11"/>
      <c r="Q100" s="16" t="str">
        <f aca="false">IF(P100="","",IFERROR(VLOOKUP(P100,PARTNERS!$A$2:$B$30,2,0),""))</f>
        <v/>
      </c>
      <c r="R100" s="17" t="str">
        <f aca="false">IF(O100="","",IF(OR(P100="",Q100=""),0,(O100-N100)*IF(Q100&gt;1,Q100/100,Q100)))</f>
        <v/>
      </c>
      <c r="S100" s="14" t="str">
        <f aca="false">IF(O100="","",O100-R100)</f>
        <v/>
      </c>
      <c r="T100" s="11"/>
      <c r="U100" s="18" t="str">
        <f aca="false">IF(T100="","",IFERROR(VLOOKUP(T100,REPS!$A$2:$D$40,2,0),""))</f>
        <v/>
      </c>
      <c r="V100" s="14" t="str">
        <f aca="false">IF(O100="","",IF(U100="",0,O100*IF(U100&gt;1,U100/100,U100)))</f>
        <v/>
      </c>
      <c r="W100" s="11"/>
      <c r="X100" s="18" t="str">
        <f aca="false">IF(W100="","",IFERROR(VLOOKUP(W100,REPS!$A$2:$D$40,3,0),""))</f>
        <v/>
      </c>
      <c r="Y100" s="14" t="str">
        <f aca="false">IF(O100="","",IF(X100="",0,O100*IF(X100&gt;1,X100/100,X100)))</f>
        <v/>
      </c>
      <c r="Z100" s="11"/>
      <c r="AA100" s="18" t="str">
        <f aca="false">IF(Z100="","",IFERROR(VLOOKUP(Z100,REPS!$A$2:$D$40,4,0),""))</f>
        <v/>
      </c>
      <c r="AB100" s="14" t="str">
        <f aca="false">IF(O100="","",IF(AA100="",0,O100*IF(AA100&gt;1,AA100/100,AA100)))</f>
        <v/>
      </c>
      <c r="AC100" s="14" t="str">
        <f aca="false">IF(O100="","",V100+Y100+AB100)</f>
        <v/>
      </c>
      <c r="AD100" s="19" t="str">
        <f aca="false">IF(O100="","",O100-R100-AC100)</f>
        <v/>
      </c>
      <c r="AE100" s="20"/>
      <c r="AF100" s="10"/>
      <c r="AG100" s="21" t="n">
        <f aca="false">IF(OR(AE100="",AE100=0),0,AE100*IF(U100="",0,IF(U100&gt;1,U100/100,U100)))</f>
        <v>0</v>
      </c>
      <c r="AH100" s="21" t="n">
        <f aca="false">IF(OR(AE100="",AE100=0),0,AE100*IF(X100="",0,IF(X100&gt;1,X100/100,X100)))</f>
        <v>0</v>
      </c>
      <c r="AI100" s="21" t="n">
        <f aca="false">IF(OR(AE100="",AE100=0),0,AE100*IF(AA100="",0,IF(AA100&gt;1,AA100/100,AA100)))</f>
        <v>0</v>
      </c>
      <c r="AJ100" s="21" t="n">
        <f aca="false">AG100+AH100+AI100</f>
        <v>0</v>
      </c>
      <c r="AK100" s="21" t="n">
        <f aca="false">IF(OR(AE100="",AE100=0),0,AE100-AJ100)</f>
        <v>0</v>
      </c>
      <c r="AL100" s="19" t="str">
        <f aca="false">IF(AD100="","",AD100-AK100)</f>
        <v/>
      </c>
      <c r="AM100" s="9" t="str">
        <f aca="false">IF(C100="","","Waiting for payment")</f>
        <v/>
      </c>
      <c r="AN100" s="10"/>
      <c r="AO100" s="10"/>
      <c r="AP100" s="22" t="str">
        <f aca="false">IF(OR(C100="",I100="",K100=""),"",IF(K100="Monthly",EDATE(C100,ROUND(I100*SETTINGS!$I$8,0)),WORKDAY(C100,ROUND(I100*SETTINGS!$I$8,0))))</f>
        <v/>
      </c>
      <c r="AQ100" s="9" t="str">
        <f aca="true">IF(C100="","",IF(AND(AP100&lt;&gt;"",TODAY()&gt;=AP100),"Refi Ready",IF(TODAY()-C100&gt;=SETTINGS!$I$11,"Prospecting","Performing")))</f>
        <v/>
      </c>
      <c r="AR100" s="22" t="str">
        <f aca="false">IF(OR(C100="",I100="",K100=""),"",IF(K100="Monthly",EDATE(C100,I100),WORKDAY(C100,I100)))</f>
        <v/>
      </c>
      <c r="AS100" s="11"/>
      <c r="AT100" s="23" t="str">
        <f aca="true">IF(C100="","",IF(AM100="Clawed Back","CLAWED",IF(TODAY()&lt;=C100+SETTINGS!$I$2,"⚠ AT RISK","SAFE")))</f>
        <v/>
      </c>
      <c r="AU100" s="11"/>
      <c r="AW100" s="24" t="n">
        <f aca="false">AW99+IF(AND(C100&lt;&gt;"",AO100&lt;&gt;"",OR('REP COMMISSION'!$B$3="",T100='REP COMMISSION'!$B$3,W100='REP COMMISSION'!$B$3,Z100='REP COMMISSION'!$B$3)),1,0)</f>
        <v>0</v>
      </c>
      <c r="AX100" s="24" t="n">
        <f aca="false">AX99+IF(AND(C100&lt;&gt;"",OR(F100="LOC - INITIAL",F100="CONSOLIDATION - UPFRONT COMM",F100="REVERSE - TOTAL FUNDING")),1,0)</f>
        <v>0</v>
      </c>
    </row>
    <row r="101" customFormat="false" ht="15" hidden="false" customHeight="false" outlineLevel="0" collapsed="false">
      <c r="A101" s="25" t="str">
        <f aca="false">IF(C101&lt;&gt;"","F"&amp;COUNT($C$4:C101),"")</f>
        <v/>
      </c>
      <c r="B101" s="26" t="str">
        <f aca="false">IF(OR(F101="LOC - INITIAL",F101="CONSOLIDATION - UPFRONT COMM",F101="REVERSE - TOTAL FUNDING"),A101,"")</f>
        <v/>
      </c>
      <c r="C101" s="27"/>
      <c r="D101" s="28"/>
      <c r="E101" s="28"/>
      <c r="F101" s="28"/>
      <c r="G101" s="29"/>
      <c r="H101" s="30"/>
      <c r="I101" s="28"/>
      <c r="J101" s="31" t="str">
        <f aca="false">IF(AND(G101&lt;&gt;"",H101&lt;&gt;""),G101*H101,"")</f>
        <v/>
      </c>
      <c r="K101" s="28"/>
      <c r="L101" s="32"/>
      <c r="M101" s="32"/>
      <c r="N101" s="31" t="n">
        <f aca="false">IF(OR(G101="",M101=""),0,IF(M101&gt;100,M101,G101*IF(M101&gt;1,M101/100,M101)))</f>
        <v>0</v>
      </c>
      <c r="O101" s="31" t="str">
        <f aca="false">IF(G101="","",G101*IF(L101="",0,IF(L101&gt;1,L101/100,L101))+N101)</f>
        <v/>
      </c>
      <c r="P101" s="28"/>
      <c r="Q101" s="33" t="str">
        <f aca="false">IF(P101="","",IFERROR(VLOOKUP(P101,PARTNERS!$A$2:$B$30,2,0),""))</f>
        <v/>
      </c>
      <c r="R101" s="17" t="str">
        <f aca="false">IF(O101="","",IF(OR(P101="",Q101=""),0,(O101-N101)*IF(Q101&gt;1,Q101/100,Q101)))</f>
        <v/>
      </c>
      <c r="S101" s="31" t="str">
        <f aca="false">IF(O101="","",O101-R101)</f>
        <v/>
      </c>
      <c r="T101" s="28"/>
      <c r="U101" s="34" t="str">
        <f aca="false">IF(T101="","",IFERROR(VLOOKUP(T101,REPS!$A$2:$D$40,2,0),""))</f>
        <v/>
      </c>
      <c r="V101" s="31" t="str">
        <f aca="false">IF(O101="","",IF(U101="",0,O101*IF(U101&gt;1,U101/100,U101)))</f>
        <v/>
      </c>
      <c r="W101" s="28"/>
      <c r="X101" s="34" t="str">
        <f aca="false">IF(W101="","",IFERROR(VLOOKUP(W101,REPS!$A$2:$D$40,3,0),""))</f>
        <v/>
      </c>
      <c r="Y101" s="31" t="str">
        <f aca="false">IF(O101="","",IF(X101="",0,O101*IF(X101&gt;1,X101/100,X101)))</f>
        <v/>
      </c>
      <c r="Z101" s="28"/>
      <c r="AA101" s="34" t="str">
        <f aca="false">IF(Z101="","",IFERROR(VLOOKUP(Z101,REPS!$A$2:$D$40,4,0),""))</f>
        <v/>
      </c>
      <c r="AB101" s="31" t="str">
        <f aca="false">IF(O101="","",IF(AA101="",0,O101*IF(AA101&gt;1,AA101/100,AA101)))</f>
        <v/>
      </c>
      <c r="AC101" s="31" t="str">
        <f aca="false">IF(O101="","",V101+Y101+AB101)</f>
        <v/>
      </c>
      <c r="AD101" s="19" t="str">
        <f aca="false">IF(O101="","",O101-R101-AC101)</f>
        <v/>
      </c>
      <c r="AE101" s="20"/>
      <c r="AF101" s="27"/>
      <c r="AG101" s="21" t="n">
        <f aca="false">IF(OR(AE101="",AE101=0),0,AE101*IF(U101="",0,IF(U101&gt;1,U101/100,U101)))</f>
        <v>0</v>
      </c>
      <c r="AH101" s="21" t="n">
        <f aca="false">IF(OR(AE101="",AE101=0),0,AE101*IF(X101="",0,IF(X101&gt;1,X101/100,X101)))</f>
        <v>0</v>
      </c>
      <c r="AI101" s="21" t="n">
        <f aca="false">IF(OR(AE101="",AE101=0),0,AE101*IF(AA101="",0,IF(AA101&gt;1,AA101/100,AA101)))</f>
        <v>0</v>
      </c>
      <c r="AJ101" s="21" t="n">
        <f aca="false">AG101+AH101+AI101</f>
        <v>0</v>
      </c>
      <c r="AK101" s="21" t="n">
        <f aca="false">IF(OR(AE101="",AE101=0),0,AE101-AJ101)</f>
        <v>0</v>
      </c>
      <c r="AL101" s="19" t="str">
        <f aca="false">IF(AD101="","",AD101-AK101)</f>
        <v/>
      </c>
      <c r="AM101" s="26" t="str">
        <f aca="false">IF(C101="","","Waiting for payment")</f>
        <v/>
      </c>
      <c r="AN101" s="27"/>
      <c r="AO101" s="27"/>
      <c r="AP101" s="35" t="str">
        <f aca="false">IF(OR(C101="",I101="",K101=""),"",IF(K101="Monthly",EDATE(C101,ROUND(I101*SETTINGS!$I$8,0)),WORKDAY(C101,ROUND(I101*SETTINGS!$I$8,0))))</f>
        <v/>
      </c>
      <c r="AQ101" s="26" t="str">
        <f aca="true">IF(C101="","",IF(AND(AP101&lt;&gt;"",TODAY()&gt;=AP101),"Refi Ready",IF(TODAY()-C101&gt;=SETTINGS!$I$11,"Prospecting","Performing")))</f>
        <v/>
      </c>
      <c r="AR101" s="35" t="str">
        <f aca="false">IF(OR(C101="",I101="",K101=""),"",IF(K101="Monthly",EDATE(C101,I101),WORKDAY(C101,I101)))</f>
        <v/>
      </c>
      <c r="AS101" s="28"/>
      <c r="AT101" s="36" t="str">
        <f aca="true">IF(C101="","",IF(AM101="Clawed Back","CLAWED",IF(TODAY()&lt;=C101+SETTINGS!$I$2,"⚠ AT RISK","SAFE")))</f>
        <v/>
      </c>
      <c r="AU101" s="28"/>
      <c r="AW101" s="24" t="n">
        <f aca="false">AW100+IF(AND(C101&lt;&gt;"",AO101&lt;&gt;"",OR('REP COMMISSION'!$B$3="",T101='REP COMMISSION'!$B$3,W101='REP COMMISSION'!$B$3,Z101='REP COMMISSION'!$B$3)),1,0)</f>
        <v>0</v>
      </c>
      <c r="AX101" s="24" t="n">
        <f aca="false">AX100+IF(AND(C101&lt;&gt;"",OR(F101="LOC - INITIAL",F101="CONSOLIDATION - UPFRONT COMM",F101="REVERSE - TOTAL FUNDING")),1,0)</f>
        <v>0</v>
      </c>
    </row>
    <row r="102" customFormat="false" ht="15" hidden="false" customHeight="false" outlineLevel="0" collapsed="false">
      <c r="A102" s="8" t="str">
        <f aca="false">IF(C102&lt;&gt;"","F"&amp;COUNT($C$4:C102),"")</f>
        <v/>
      </c>
      <c r="B102" s="9" t="str">
        <f aca="false">IF(OR(F102="LOC - INITIAL",F102="CONSOLIDATION - UPFRONT COMM",F102="REVERSE - TOTAL FUNDING"),A102,"")</f>
        <v/>
      </c>
      <c r="C102" s="10"/>
      <c r="D102" s="11"/>
      <c r="E102" s="11"/>
      <c r="F102" s="11"/>
      <c r="G102" s="12"/>
      <c r="H102" s="13"/>
      <c r="I102" s="11"/>
      <c r="J102" s="14" t="str">
        <f aca="false">IF(AND(G102&lt;&gt;"",H102&lt;&gt;""),G102*H102,"")</f>
        <v/>
      </c>
      <c r="K102" s="11"/>
      <c r="L102" s="15"/>
      <c r="M102" s="15"/>
      <c r="N102" s="14" t="n">
        <f aca="false">IF(OR(G102="",M102=""),0,IF(M102&gt;100,M102,G102*IF(M102&gt;1,M102/100,M102)))</f>
        <v>0</v>
      </c>
      <c r="O102" s="14" t="str">
        <f aca="false">IF(G102="","",G102*IF(L102="",0,IF(L102&gt;1,L102/100,L102))+N102)</f>
        <v/>
      </c>
      <c r="P102" s="11"/>
      <c r="Q102" s="16" t="str">
        <f aca="false">IF(P102="","",IFERROR(VLOOKUP(P102,PARTNERS!$A$2:$B$30,2,0),""))</f>
        <v/>
      </c>
      <c r="R102" s="17" t="str">
        <f aca="false">IF(O102="","",IF(OR(P102="",Q102=""),0,(O102-N102)*IF(Q102&gt;1,Q102/100,Q102)))</f>
        <v/>
      </c>
      <c r="S102" s="14" t="str">
        <f aca="false">IF(O102="","",O102-R102)</f>
        <v/>
      </c>
      <c r="T102" s="11"/>
      <c r="U102" s="18" t="str">
        <f aca="false">IF(T102="","",IFERROR(VLOOKUP(T102,REPS!$A$2:$D$40,2,0),""))</f>
        <v/>
      </c>
      <c r="V102" s="14" t="str">
        <f aca="false">IF(O102="","",IF(U102="",0,O102*IF(U102&gt;1,U102/100,U102)))</f>
        <v/>
      </c>
      <c r="W102" s="11"/>
      <c r="X102" s="18" t="str">
        <f aca="false">IF(W102="","",IFERROR(VLOOKUP(W102,REPS!$A$2:$D$40,3,0),""))</f>
        <v/>
      </c>
      <c r="Y102" s="14" t="str">
        <f aca="false">IF(O102="","",IF(X102="",0,O102*IF(X102&gt;1,X102/100,X102)))</f>
        <v/>
      </c>
      <c r="Z102" s="11"/>
      <c r="AA102" s="18" t="str">
        <f aca="false">IF(Z102="","",IFERROR(VLOOKUP(Z102,REPS!$A$2:$D$40,4,0),""))</f>
        <v/>
      </c>
      <c r="AB102" s="14" t="str">
        <f aca="false">IF(O102="","",IF(AA102="",0,O102*IF(AA102&gt;1,AA102/100,AA102)))</f>
        <v/>
      </c>
      <c r="AC102" s="14" t="str">
        <f aca="false">IF(O102="","",V102+Y102+AB102)</f>
        <v/>
      </c>
      <c r="AD102" s="19" t="str">
        <f aca="false">IF(O102="","",O102-R102-AC102)</f>
        <v/>
      </c>
      <c r="AE102" s="20"/>
      <c r="AF102" s="10"/>
      <c r="AG102" s="21" t="n">
        <f aca="false">IF(OR(AE102="",AE102=0),0,AE102*IF(U102="",0,IF(U102&gt;1,U102/100,U102)))</f>
        <v>0</v>
      </c>
      <c r="AH102" s="21" t="n">
        <f aca="false">IF(OR(AE102="",AE102=0),0,AE102*IF(X102="",0,IF(X102&gt;1,X102/100,X102)))</f>
        <v>0</v>
      </c>
      <c r="AI102" s="21" t="n">
        <f aca="false">IF(OR(AE102="",AE102=0),0,AE102*IF(AA102="",0,IF(AA102&gt;1,AA102/100,AA102)))</f>
        <v>0</v>
      </c>
      <c r="AJ102" s="21" t="n">
        <f aca="false">AG102+AH102+AI102</f>
        <v>0</v>
      </c>
      <c r="AK102" s="21" t="n">
        <f aca="false">IF(OR(AE102="",AE102=0),0,AE102-AJ102)</f>
        <v>0</v>
      </c>
      <c r="AL102" s="19" t="str">
        <f aca="false">IF(AD102="","",AD102-AK102)</f>
        <v/>
      </c>
      <c r="AM102" s="9" t="str">
        <f aca="false">IF(C102="","","Waiting for payment")</f>
        <v/>
      </c>
      <c r="AN102" s="10"/>
      <c r="AO102" s="10"/>
      <c r="AP102" s="22" t="str">
        <f aca="false">IF(OR(C102="",I102="",K102=""),"",IF(K102="Monthly",EDATE(C102,ROUND(I102*SETTINGS!$I$8,0)),WORKDAY(C102,ROUND(I102*SETTINGS!$I$8,0))))</f>
        <v/>
      </c>
      <c r="AQ102" s="9" t="str">
        <f aca="true">IF(C102="","",IF(AND(AP102&lt;&gt;"",TODAY()&gt;=AP102),"Refi Ready",IF(TODAY()-C102&gt;=SETTINGS!$I$11,"Prospecting","Performing")))</f>
        <v/>
      </c>
      <c r="AR102" s="22" t="str">
        <f aca="false">IF(OR(C102="",I102="",K102=""),"",IF(K102="Monthly",EDATE(C102,I102),WORKDAY(C102,I102)))</f>
        <v/>
      </c>
      <c r="AS102" s="11"/>
      <c r="AT102" s="23" t="str">
        <f aca="true">IF(C102="","",IF(AM102="Clawed Back","CLAWED",IF(TODAY()&lt;=C102+SETTINGS!$I$2,"⚠ AT RISK","SAFE")))</f>
        <v/>
      </c>
      <c r="AU102" s="11"/>
      <c r="AW102" s="24" t="n">
        <f aca="false">AW101+IF(AND(C102&lt;&gt;"",AO102&lt;&gt;"",OR('REP COMMISSION'!$B$3="",T102='REP COMMISSION'!$B$3,W102='REP COMMISSION'!$B$3,Z102='REP COMMISSION'!$B$3)),1,0)</f>
        <v>0</v>
      </c>
      <c r="AX102" s="24" t="n">
        <f aca="false">AX101+IF(AND(C102&lt;&gt;"",OR(F102="LOC - INITIAL",F102="CONSOLIDATION - UPFRONT COMM",F102="REVERSE - TOTAL FUNDING")),1,0)</f>
        <v>0</v>
      </c>
    </row>
    <row r="103" customFormat="false" ht="15" hidden="false" customHeight="false" outlineLevel="0" collapsed="false">
      <c r="A103" s="25" t="str">
        <f aca="false">IF(C103&lt;&gt;"","F"&amp;COUNT($C$4:C103),"")</f>
        <v/>
      </c>
      <c r="B103" s="26" t="str">
        <f aca="false">IF(OR(F103="LOC - INITIAL",F103="CONSOLIDATION - UPFRONT COMM",F103="REVERSE - TOTAL FUNDING"),A103,"")</f>
        <v/>
      </c>
      <c r="C103" s="27"/>
      <c r="D103" s="28"/>
      <c r="E103" s="28"/>
      <c r="F103" s="28"/>
      <c r="G103" s="29"/>
      <c r="H103" s="30"/>
      <c r="I103" s="28"/>
      <c r="J103" s="31" t="str">
        <f aca="false">IF(AND(G103&lt;&gt;"",H103&lt;&gt;""),G103*H103,"")</f>
        <v/>
      </c>
      <c r="K103" s="28"/>
      <c r="L103" s="32"/>
      <c r="M103" s="32"/>
      <c r="N103" s="31" t="n">
        <f aca="false">IF(OR(G103="",M103=""),0,IF(M103&gt;100,M103,G103*IF(M103&gt;1,M103/100,M103)))</f>
        <v>0</v>
      </c>
      <c r="O103" s="31" t="str">
        <f aca="false">IF(G103="","",G103*IF(L103="",0,IF(L103&gt;1,L103/100,L103))+N103)</f>
        <v/>
      </c>
      <c r="P103" s="28"/>
      <c r="Q103" s="33" t="str">
        <f aca="false">IF(P103="","",IFERROR(VLOOKUP(P103,PARTNERS!$A$2:$B$30,2,0),""))</f>
        <v/>
      </c>
      <c r="R103" s="17" t="str">
        <f aca="false">IF(O103="","",IF(OR(P103="",Q103=""),0,(O103-N103)*IF(Q103&gt;1,Q103/100,Q103)))</f>
        <v/>
      </c>
      <c r="S103" s="31" t="str">
        <f aca="false">IF(O103="","",O103-R103)</f>
        <v/>
      </c>
      <c r="T103" s="28"/>
      <c r="U103" s="34" t="str">
        <f aca="false">IF(T103="","",IFERROR(VLOOKUP(T103,REPS!$A$2:$D$40,2,0),""))</f>
        <v/>
      </c>
      <c r="V103" s="31" t="str">
        <f aca="false">IF(O103="","",IF(U103="",0,O103*IF(U103&gt;1,U103/100,U103)))</f>
        <v/>
      </c>
      <c r="W103" s="28"/>
      <c r="X103" s="34" t="str">
        <f aca="false">IF(W103="","",IFERROR(VLOOKUP(W103,REPS!$A$2:$D$40,3,0),""))</f>
        <v/>
      </c>
      <c r="Y103" s="31" t="str">
        <f aca="false">IF(O103="","",IF(X103="",0,O103*IF(X103&gt;1,X103/100,X103)))</f>
        <v/>
      </c>
      <c r="Z103" s="28"/>
      <c r="AA103" s="34" t="str">
        <f aca="false">IF(Z103="","",IFERROR(VLOOKUP(Z103,REPS!$A$2:$D$40,4,0),""))</f>
        <v/>
      </c>
      <c r="AB103" s="31" t="str">
        <f aca="false">IF(O103="","",IF(AA103="",0,O103*IF(AA103&gt;1,AA103/100,AA103)))</f>
        <v/>
      </c>
      <c r="AC103" s="31" t="str">
        <f aca="false">IF(O103="","",V103+Y103+AB103)</f>
        <v/>
      </c>
      <c r="AD103" s="19" t="str">
        <f aca="false">IF(O103="","",O103-R103-AC103)</f>
        <v/>
      </c>
      <c r="AE103" s="20"/>
      <c r="AF103" s="27"/>
      <c r="AG103" s="21" t="n">
        <f aca="false">IF(OR(AE103="",AE103=0),0,AE103*IF(U103="",0,IF(U103&gt;1,U103/100,U103)))</f>
        <v>0</v>
      </c>
      <c r="AH103" s="21" t="n">
        <f aca="false">IF(OR(AE103="",AE103=0),0,AE103*IF(X103="",0,IF(X103&gt;1,X103/100,X103)))</f>
        <v>0</v>
      </c>
      <c r="AI103" s="21" t="n">
        <f aca="false">IF(OR(AE103="",AE103=0),0,AE103*IF(AA103="",0,IF(AA103&gt;1,AA103/100,AA103)))</f>
        <v>0</v>
      </c>
      <c r="AJ103" s="21" t="n">
        <f aca="false">AG103+AH103+AI103</f>
        <v>0</v>
      </c>
      <c r="AK103" s="21" t="n">
        <f aca="false">IF(OR(AE103="",AE103=0),0,AE103-AJ103)</f>
        <v>0</v>
      </c>
      <c r="AL103" s="19" t="str">
        <f aca="false">IF(AD103="","",AD103-AK103)</f>
        <v/>
      </c>
      <c r="AM103" s="26" t="str">
        <f aca="false">IF(C103="","","Waiting for payment")</f>
        <v/>
      </c>
      <c r="AN103" s="27"/>
      <c r="AO103" s="27"/>
      <c r="AP103" s="35" t="str">
        <f aca="false">IF(OR(C103="",I103="",K103=""),"",IF(K103="Monthly",EDATE(C103,ROUND(I103*SETTINGS!$I$8,0)),WORKDAY(C103,ROUND(I103*SETTINGS!$I$8,0))))</f>
        <v/>
      </c>
      <c r="AQ103" s="26" t="str">
        <f aca="true">IF(C103="","",IF(AND(AP103&lt;&gt;"",TODAY()&gt;=AP103),"Refi Ready",IF(TODAY()-C103&gt;=SETTINGS!$I$11,"Prospecting","Performing")))</f>
        <v/>
      </c>
      <c r="AR103" s="35" t="str">
        <f aca="false">IF(OR(C103="",I103="",K103=""),"",IF(K103="Monthly",EDATE(C103,I103),WORKDAY(C103,I103)))</f>
        <v/>
      </c>
      <c r="AS103" s="28"/>
      <c r="AT103" s="36" t="str">
        <f aca="true">IF(C103="","",IF(AM103="Clawed Back","CLAWED",IF(TODAY()&lt;=C103+SETTINGS!$I$2,"⚠ AT RISK","SAFE")))</f>
        <v/>
      </c>
      <c r="AU103" s="28"/>
      <c r="AW103" s="24" t="n">
        <f aca="false">AW102+IF(AND(C103&lt;&gt;"",AO103&lt;&gt;"",OR('REP COMMISSION'!$B$3="",T103='REP COMMISSION'!$B$3,W103='REP COMMISSION'!$B$3,Z103='REP COMMISSION'!$B$3)),1,0)</f>
        <v>0</v>
      </c>
      <c r="AX103" s="24" t="n">
        <f aca="false">AX102+IF(AND(C103&lt;&gt;"",OR(F103="LOC - INITIAL",F103="CONSOLIDATION - UPFRONT COMM",F103="REVERSE - TOTAL FUNDING")),1,0)</f>
        <v>0</v>
      </c>
    </row>
    <row r="104" customFormat="false" ht="18" hidden="false" customHeight="true" outlineLevel="0" collapsed="false">
      <c r="A104" s="37" t="s">
        <v>49</v>
      </c>
      <c r="B104" s="38"/>
      <c r="C104" s="38"/>
      <c r="D104" s="37" t="str">
        <f aca="false">COUNT(C4:C103)&amp;" units"</f>
        <v>0 units</v>
      </c>
      <c r="E104" s="38"/>
      <c r="F104" s="38"/>
      <c r="G104" s="39" t="n">
        <f aca="false">SUM(G4:G103)</f>
        <v>0</v>
      </c>
      <c r="H104" s="38"/>
      <c r="I104" s="38"/>
      <c r="J104" s="38"/>
      <c r="K104" s="38"/>
      <c r="L104" s="38"/>
      <c r="M104" s="38"/>
      <c r="N104" s="39" t="n">
        <f aca="false">SUM(N4:N103)</f>
        <v>0</v>
      </c>
      <c r="O104" s="39" t="n">
        <f aca="false">SUM(O4:O103)</f>
        <v>0</v>
      </c>
      <c r="P104" s="38"/>
      <c r="Q104" s="38"/>
      <c r="R104" s="39" t="n">
        <f aca="false">SUM(R4:R103)</f>
        <v>0</v>
      </c>
      <c r="S104" s="39" t="n">
        <f aca="false">SUM(S4:S103)</f>
        <v>0</v>
      </c>
      <c r="T104" s="38"/>
      <c r="U104" s="38"/>
      <c r="V104" s="38"/>
      <c r="W104" s="38"/>
      <c r="X104" s="38"/>
      <c r="Y104" s="38"/>
      <c r="Z104" s="38"/>
      <c r="AA104" s="38"/>
      <c r="AB104" s="38"/>
      <c r="AC104" s="39" t="n">
        <f aca="false">SUM(AC4:AC103)</f>
        <v>0</v>
      </c>
      <c r="AD104" s="39" t="n">
        <f aca="false">SUM(AD4:AD103)</f>
        <v>0</v>
      </c>
      <c r="AE104" s="39" t="n">
        <f aca="false">SUM(AE4:AE103)</f>
        <v>0</v>
      </c>
      <c r="AF104" s="38"/>
      <c r="AG104" s="38"/>
      <c r="AH104" s="38"/>
      <c r="AI104" s="38"/>
      <c r="AJ104" s="39" t="n">
        <f aca="false">SUM(AJ4:AJ103)</f>
        <v>0</v>
      </c>
      <c r="AK104" s="39" t="n">
        <f aca="false">SUM(AK4:AK103)</f>
        <v>0</v>
      </c>
      <c r="AL104" s="39" t="n">
        <f aca="false">SUM(AL4:AL103)</f>
        <v>0</v>
      </c>
      <c r="AM104" s="38"/>
      <c r="AN104" s="38"/>
      <c r="AO104" s="38"/>
      <c r="AP104" s="38"/>
      <c r="AQ104" s="38"/>
      <c r="AR104" s="38"/>
      <c r="AS104" s="38"/>
      <c r="AT104" s="38"/>
      <c r="AU104" s="38"/>
      <c r="AW104" s="24" t="n">
        <f aca="false">AW103</f>
        <v>0</v>
      </c>
      <c r="AX104" s="24" t="n">
        <f aca="false">AX103</f>
        <v>0</v>
      </c>
    </row>
    <row r="105" customFormat="false" ht="19.5" hidden="false" customHeight="true" outlineLevel="0" collapsed="false">
      <c r="A105" s="6" t="s">
        <v>50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W105" s="24" t="n">
        <f aca="false">AW104</f>
        <v>0</v>
      </c>
      <c r="AX105" s="24" t="n">
        <f aca="false">AX104</f>
        <v>0</v>
      </c>
    </row>
    <row r="106" customFormat="false" ht="15" hidden="false" customHeight="false" outlineLevel="0" collapsed="false">
      <c r="A106" s="8" t="str">
        <f aca="false">IF(C106&lt;&gt;"","F"&amp;COUNT($C$4:C106),"")</f>
        <v/>
      </c>
      <c r="B106" s="9" t="str">
        <f aca="false">IF(OR(F106="LOC - INITIAL",F106="CONSOLIDATION - UPFRONT COMM",F106="REVERSE - TOTAL FUNDING"),A106,"")</f>
        <v/>
      </c>
      <c r="C106" s="10"/>
      <c r="D106" s="11"/>
      <c r="E106" s="11"/>
      <c r="F106" s="11"/>
      <c r="G106" s="12"/>
      <c r="H106" s="13"/>
      <c r="I106" s="11"/>
      <c r="J106" s="14" t="str">
        <f aca="false">IF(AND(G106&lt;&gt;"",H106&lt;&gt;""),G106*H106,"")</f>
        <v/>
      </c>
      <c r="K106" s="11"/>
      <c r="L106" s="15"/>
      <c r="M106" s="15"/>
      <c r="N106" s="14" t="n">
        <f aca="false">IF(OR(G106="",M106=""),0,IF(M106&gt;100,M106,G106*IF(M106&gt;1,M106/100,M106)))</f>
        <v>0</v>
      </c>
      <c r="O106" s="14" t="str">
        <f aca="false">IF(G106="","",G106*IF(L106="",0,IF(L106&gt;1,L106/100,L106))+N106)</f>
        <v/>
      </c>
      <c r="P106" s="11"/>
      <c r="Q106" s="16" t="str">
        <f aca="false">IF(P106="","",IFERROR(VLOOKUP(P106,PARTNERS!$A$2:$B$30,2,0),""))</f>
        <v/>
      </c>
      <c r="R106" s="17" t="str">
        <f aca="false">IF(O106="","",IF(OR(P106="",Q106=""),0,(O106-N106)*IF(Q106&gt;1,Q106/100,Q106)))</f>
        <v/>
      </c>
      <c r="S106" s="14" t="str">
        <f aca="false">IF(O106="","",O106-R106)</f>
        <v/>
      </c>
      <c r="T106" s="11"/>
      <c r="U106" s="18" t="str">
        <f aca="false">IF(T106="","",IFERROR(VLOOKUP(T106,REPS!$A$2:$D$40,2,0),""))</f>
        <v/>
      </c>
      <c r="V106" s="14" t="str">
        <f aca="false">IF(O106="","",IF(U106="",0,O106*IF(U106&gt;1,U106/100,U106)))</f>
        <v/>
      </c>
      <c r="W106" s="11"/>
      <c r="X106" s="18" t="str">
        <f aca="false">IF(W106="","",IFERROR(VLOOKUP(W106,REPS!$A$2:$D$40,3,0),""))</f>
        <v/>
      </c>
      <c r="Y106" s="14" t="str">
        <f aca="false">IF(O106="","",IF(X106="",0,O106*IF(X106&gt;1,X106/100,X106)))</f>
        <v/>
      </c>
      <c r="Z106" s="11"/>
      <c r="AA106" s="18" t="str">
        <f aca="false">IF(Z106="","",IFERROR(VLOOKUP(Z106,REPS!$A$2:$D$40,4,0),""))</f>
        <v/>
      </c>
      <c r="AB106" s="14" t="str">
        <f aca="false">IF(O106="","",IF(AA106="",0,O106*IF(AA106&gt;1,AA106/100,AA106)))</f>
        <v/>
      </c>
      <c r="AC106" s="14" t="str">
        <f aca="false">IF(O106="","",V106+Y106+AB106)</f>
        <v/>
      </c>
      <c r="AD106" s="19" t="str">
        <f aca="false">IF(O106="","",O106-R106-AC106)</f>
        <v/>
      </c>
      <c r="AE106" s="20"/>
      <c r="AF106" s="10"/>
      <c r="AG106" s="21" t="n">
        <f aca="false">IF(OR(AE106="",AE106=0),0,AE106*IF(U106="",0,IF(U106&gt;1,U106/100,U106)))</f>
        <v>0</v>
      </c>
      <c r="AH106" s="21" t="n">
        <f aca="false">IF(OR(AE106="",AE106=0),0,AE106*IF(X106="",0,IF(X106&gt;1,X106/100,X106)))</f>
        <v>0</v>
      </c>
      <c r="AI106" s="21" t="n">
        <f aca="false">IF(OR(AE106="",AE106=0),0,AE106*IF(AA106="",0,IF(AA106&gt;1,AA106/100,AA106)))</f>
        <v>0</v>
      </c>
      <c r="AJ106" s="21" t="n">
        <f aca="false">AG106+AH106+AI106</f>
        <v>0</v>
      </c>
      <c r="AK106" s="21" t="n">
        <f aca="false">IF(OR(AE106="",AE106=0),0,AE106-AJ106)</f>
        <v>0</v>
      </c>
      <c r="AL106" s="19" t="str">
        <f aca="false">IF(AD106="","",AD106-AK106)</f>
        <v/>
      </c>
      <c r="AM106" s="9" t="str">
        <f aca="false">IF(C106="","","Waiting for payment")</f>
        <v/>
      </c>
      <c r="AN106" s="10"/>
      <c r="AO106" s="10"/>
      <c r="AP106" s="22" t="str">
        <f aca="false">IF(OR(C106="",I106="",K106=""),"",IF(K106="Monthly",EDATE(C106,ROUND(I106*SETTINGS!$I$8,0)),WORKDAY(C106,ROUND(I106*SETTINGS!$I$8,0))))</f>
        <v/>
      </c>
      <c r="AQ106" s="9" t="str">
        <f aca="true">IF(C106="","",IF(AND(AP106&lt;&gt;"",TODAY()&gt;=AP106),"Refi Ready",IF(TODAY()-C106&gt;=SETTINGS!$I$11,"Prospecting","Performing")))</f>
        <v/>
      </c>
      <c r="AR106" s="22" t="str">
        <f aca="false">IF(OR(C106="",I106="",K106=""),"",IF(K106="Monthly",EDATE(C106,I106),WORKDAY(C106,I106)))</f>
        <v/>
      </c>
      <c r="AS106" s="11"/>
      <c r="AT106" s="23" t="str">
        <f aca="true">IF(C106="","",IF(AM106="Clawed Back","CLAWED",IF(TODAY()&lt;=C106+SETTINGS!$I$2,"⚠ AT RISK","SAFE")))</f>
        <v/>
      </c>
      <c r="AU106" s="11"/>
      <c r="AW106" s="24" t="n">
        <f aca="false">AW105+IF(AND(C106&lt;&gt;"",AO106&lt;&gt;"",OR('REP COMMISSION'!$B$3="",T106='REP COMMISSION'!$B$3,W106='REP COMMISSION'!$B$3,Z106='REP COMMISSION'!$B$3)),1,0)</f>
        <v>0</v>
      </c>
      <c r="AX106" s="24" t="n">
        <f aca="false">AX105+IF(AND(C106&lt;&gt;"",OR(F106="LOC - INITIAL",F106="CONSOLIDATION - UPFRONT COMM",F106="REVERSE - TOTAL FUNDING")),1,0)</f>
        <v>0</v>
      </c>
    </row>
    <row r="107" customFormat="false" ht="15" hidden="false" customHeight="false" outlineLevel="0" collapsed="false">
      <c r="A107" s="25" t="str">
        <f aca="false">IF(C107&lt;&gt;"","F"&amp;COUNT($C$4:C107),"")</f>
        <v/>
      </c>
      <c r="B107" s="26" t="str">
        <f aca="false">IF(OR(F107="LOC - INITIAL",F107="CONSOLIDATION - UPFRONT COMM",F107="REVERSE - TOTAL FUNDING"),A107,"")</f>
        <v/>
      </c>
      <c r="C107" s="27"/>
      <c r="D107" s="28"/>
      <c r="E107" s="28"/>
      <c r="F107" s="28"/>
      <c r="G107" s="29"/>
      <c r="H107" s="30"/>
      <c r="I107" s="28"/>
      <c r="J107" s="31" t="str">
        <f aca="false">IF(AND(G107&lt;&gt;"",H107&lt;&gt;""),G107*H107,"")</f>
        <v/>
      </c>
      <c r="K107" s="28"/>
      <c r="L107" s="32"/>
      <c r="M107" s="32"/>
      <c r="N107" s="31" t="n">
        <f aca="false">IF(OR(G107="",M107=""),0,IF(M107&gt;100,M107,G107*IF(M107&gt;1,M107/100,M107)))</f>
        <v>0</v>
      </c>
      <c r="O107" s="31" t="str">
        <f aca="false">IF(G107="","",G107*IF(L107="",0,IF(L107&gt;1,L107/100,L107))+N107)</f>
        <v/>
      </c>
      <c r="P107" s="28"/>
      <c r="Q107" s="33" t="str">
        <f aca="false">IF(P107="","",IFERROR(VLOOKUP(P107,PARTNERS!$A$2:$B$30,2,0),""))</f>
        <v/>
      </c>
      <c r="R107" s="17" t="str">
        <f aca="false">IF(O107="","",IF(OR(P107="",Q107=""),0,(O107-N107)*IF(Q107&gt;1,Q107/100,Q107)))</f>
        <v/>
      </c>
      <c r="S107" s="31" t="str">
        <f aca="false">IF(O107="","",O107-R107)</f>
        <v/>
      </c>
      <c r="T107" s="28"/>
      <c r="U107" s="34" t="str">
        <f aca="false">IF(T107="","",IFERROR(VLOOKUP(T107,REPS!$A$2:$D$40,2,0),""))</f>
        <v/>
      </c>
      <c r="V107" s="31" t="str">
        <f aca="false">IF(O107="","",IF(U107="",0,O107*IF(U107&gt;1,U107/100,U107)))</f>
        <v/>
      </c>
      <c r="W107" s="28"/>
      <c r="X107" s="34" t="str">
        <f aca="false">IF(W107="","",IFERROR(VLOOKUP(W107,REPS!$A$2:$D$40,3,0),""))</f>
        <v/>
      </c>
      <c r="Y107" s="31" t="str">
        <f aca="false">IF(O107="","",IF(X107="",0,O107*IF(X107&gt;1,X107/100,X107)))</f>
        <v/>
      </c>
      <c r="Z107" s="28"/>
      <c r="AA107" s="34" t="str">
        <f aca="false">IF(Z107="","",IFERROR(VLOOKUP(Z107,REPS!$A$2:$D$40,4,0),""))</f>
        <v/>
      </c>
      <c r="AB107" s="31" t="str">
        <f aca="false">IF(O107="","",IF(AA107="",0,O107*IF(AA107&gt;1,AA107/100,AA107)))</f>
        <v/>
      </c>
      <c r="AC107" s="31" t="str">
        <f aca="false">IF(O107="","",V107+Y107+AB107)</f>
        <v/>
      </c>
      <c r="AD107" s="19" t="str">
        <f aca="false">IF(O107="","",O107-R107-AC107)</f>
        <v/>
      </c>
      <c r="AE107" s="20"/>
      <c r="AF107" s="27"/>
      <c r="AG107" s="21" t="n">
        <f aca="false">IF(OR(AE107="",AE107=0),0,AE107*IF(U107="",0,IF(U107&gt;1,U107/100,U107)))</f>
        <v>0</v>
      </c>
      <c r="AH107" s="21" t="n">
        <f aca="false">IF(OR(AE107="",AE107=0),0,AE107*IF(X107="",0,IF(X107&gt;1,X107/100,X107)))</f>
        <v>0</v>
      </c>
      <c r="AI107" s="21" t="n">
        <f aca="false">IF(OR(AE107="",AE107=0),0,AE107*IF(AA107="",0,IF(AA107&gt;1,AA107/100,AA107)))</f>
        <v>0</v>
      </c>
      <c r="AJ107" s="21" t="n">
        <f aca="false">AG107+AH107+AI107</f>
        <v>0</v>
      </c>
      <c r="AK107" s="21" t="n">
        <f aca="false">IF(OR(AE107="",AE107=0),0,AE107-AJ107)</f>
        <v>0</v>
      </c>
      <c r="AL107" s="19" t="str">
        <f aca="false">IF(AD107="","",AD107-AK107)</f>
        <v/>
      </c>
      <c r="AM107" s="26" t="str">
        <f aca="false">IF(C107="","","Waiting for payment")</f>
        <v/>
      </c>
      <c r="AN107" s="27"/>
      <c r="AO107" s="27"/>
      <c r="AP107" s="35" t="str">
        <f aca="false">IF(OR(C107="",I107="",K107=""),"",IF(K107="Monthly",EDATE(C107,ROUND(I107*SETTINGS!$I$8,0)),WORKDAY(C107,ROUND(I107*SETTINGS!$I$8,0))))</f>
        <v/>
      </c>
      <c r="AQ107" s="26" t="str">
        <f aca="true">IF(C107="","",IF(AND(AP107&lt;&gt;"",TODAY()&gt;=AP107),"Refi Ready",IF(TODAY()-C107&gt;=SETTINGS!$I$11,"Prospecting","Performing")))</f>
        <v/>
      </c>
      <c r="AR107" s="35" t="str">
        <f aca="false">IF(OR(C107="",I107="",K107=""),"",IF(K107="Monthly",EDATE(C107,I107),WORKDAY(C107,I107)))</f>
        <v/>
      </c>
      <c r="AS107" s="28"/>
      <c r="AT107" s="36" t="str">
        <f aca="true">IF(C107="","",IF(AM107="Clawed Back","CLAWED",IF(TODAY()&lt;=C107+SETTINGS!$I$2,"⚠ AT RISK","SAFE")))</f>
        <v/>
      </c>
      <c r="AU107" s="28"/>
      <c r="AW107" s="24" t="n">
        <f aca="false">AW106+IF(AND(C107&lt;&gt;"",AO107&lt;&gt;"",OR('REP COMMISSION'!$B$3="",T107='REP COMMISSION'!$B$3,W107='REP COMMISSION'!$B$3,Z107='REP COMMISSION'!$B$3)),1,0)</f>
        <v>0</v>
      </c>
      <c r="AX107" s="24" t="n">
        <f aca="false">AX106+IF(AND(C107&lt;&gt;"",OR(F107="LOC - INITIAL",F107="CONSOLIDATION - UPFRONT COMM",F107="REVERSE - TOTAL FUNDING")),1,0)</f>
        <v>0</v>
      </c>
    </row>
    <row r="108" customFormat="false" ht="15" hidden="false" customHeight="false" outlineLevel="0" collapsed="false">
      <c r="A108" s="8" t="str">
        <f aca="false">IF(C108&lt;&gt;"","F"&amp;COUNT($C$4:C108),"")</f>
        <v/>
      </c>
      <c r="B108" s="9" t="str">
        <f aca="false">IF(OR(F108="LOC - INITIAL",F108="CONSOLIDATION - UPFRONT COMM",F108="REVERSE - TOTAL FUNDING"),A108,"")</f>
        <v/>
      </c>
      <c r="C108" s="10"/>
      <c r="D108" s="11"/>
      <c r="E108" s="11"/>
      <c r="F108" s="11"/>
      <c r="G108" s="12"/>
      <c r="H108" s="13"/>
      <c r="I108" s="11"/>
      <c r="J108" s="14" t="str">
        <f aca="false">IF(AND(G108&lt;&gt;"",H108&lt;&gt;""),G108*H108,"")</f>
        <v/>
      </c>
      <c r="K108" s="11"/>
      <c r="L108" s="15"/>
      <c r="M108" s="15"/>
      <c r="N108" s="14" t="n">
        <f aca="false">IF(OR(G108="",M108=""),0,IF(M108&gt;100,M108,G108*IF(M108&gt;1,M108/100,M108)))</f>
        <v>0</v>
      </c>
      <c r="O108" s="14" t="str">
        <f aca="false">IF(G108="","",G108*IF(L108="",0,IF(L108&gt;1,L108/100,L108))+N108)</f>
        <v/>
      </c>
      <c r="P108" s="11"/>
      <c r="Q108" s="16" t="str">
        <f aca="false">IF(P108="","",IFERROR(VLOOKUP(P108,PARTNERS!$A$2:$B$30,2,0),""))</f>
        <v/>
      </c>
      <c r="R108" s="17" t="str">
        <f aca="false">IF(O108="","",IF(OR(P108="",Q108=""),0,(O108-N108)*IF(Q108&gt;1,Q108/100,Q108)))</f>
        <v/>
      </c>
      <c r="S108" s="14" t="str">
        <f aca="false">IF(O108="","",O108-R108)</f>
        <v/>
      </c>
      <c r="T108" s="11"/>
      <c r="U108" s="18" t="str">
        <f aca="false">IF(T108="","",IFERROR(VLOOKUP(T108,REPS!$A$2:$D$40,2,0),""))</f>
        <v/>
      </c>
      <c r="V108" s="14" t="str">
        <f aca="false">IF(O108="","",IF(U108="",0,O108*IF(U108&gt;1,U108/100,U108)))</f>
        <v/>
      </c>
      <c r="W108" s="11"/>
      <c r="X108" s="18" t="str">
        <f aca="false">IF(W108="","",IFERROR(VLOOKUP(W108,REPS!$A$2:$D$40,3,0),""))</f>
        <v/>
      </c>
      <c r="Y108" s="14" t="str">
        <f aca="false">IF(O108="","",IF(X108="",0,O108*IF(X108&gt;1,X108/100,X108)))</f>
        <v/>
      </c>
      <c r="Z108" s="11"/>
      <c r="AA108" s="18" t="str">
        <f aca="false">IF(Z108="","",IFERROR(VLOOKUP(Z108,REPS!$A$2:$D$40,4,0),""))</f>
        <v/>
      </c>
      <c r="AB108" s="14" t="str">
        <f aca="false">IF(O108="","",IF(AA108="",0,O108*IF(AA108&gt;1,AA108/100,AA108)))</f>
        <v/>
      </c>
      <c r="AC108" s="14" t="str">
        <f aca="false">IF(O108="","",V108+Y108+AB108)</f>
        <v/>
      </c>
      <c r="AD108" s="19" t="str">
        <f aca="false">IF(O108="","",O108-R108-AC108)</f>
        <v/>
      </c>
      <c r="AE108" s="20"/>
      <c r="AF108" s="10"/>
      <c r="AG108" s="21" t="n">
        <f aca="false">IF(OR(AE108="",AE108=0),0,AE108*IF(U108="",0,IF(U108&gt;1,U108/100,U108)))</f>
        <v>0</v>
      </c>
      <c r="AH108" s="21" t="n">
        <f aca="false">IF(OR(AE108="",AE108=0),0,AE108*IF(X108="",0,IF(X108&gt;1,X108/100,X108)))</f>
        <v>0</v>
      </c>
      <c r="AI108" s="21" t="n">
        <f aca="false">IF(OR(AE108="",AE108=0),0,AE108*IF(AA108="",0,IF(AA108&gt;1,AA108/100,AA108)))</f>
        <v>0</v>
      </c>
      <c r="AJ108" s="21" t="n">
        <f aca="false">AG108+AH108+AI108</f>
        <v>0</v>
      </c>
      <c r="AK108" s="21" t="n">
        <f aca="false">IF(OR(AE108="",AE108=0),0,AE108-AJ108)</f>
        <v>0</v>
      </c>
      <c r="AL108" s="19" t="str">
        <f aca="false">IF(AD108="","",AD108-AK108)</f>
        <v/>
      </c>
      <c r="AM108" s="9" t="str">
        <f aca="false">IF(C108="","","Waiting for payment")</f>
        <v/>
      </c>
      <c r="AN108" s="10"/>
      <c r="AO108" s="10"/>
      <c r="AP108" s="22" t="str">
        <f aca="false">IF(OR(C108="",I108="",K108=""),"",IF(K108="Monthly",EDATE(C108,ROUND(I108*SETTINGS!$I$8,0)),WORKDAY(C108,ROUND(I108*SETTINGS!$I$8,0))))</f>
        <v/>
      </c>
      <c r="AQ108" s="9" t="str">
        <f aca="true">IF(C108="","",IF(AND(AP108&lt;&gt;"",TODAY()&gt;=AP108),"Refi Ready",IF(TODAY()-C108&gt;=SETTINGS!$I$11,"Prospecting","Performing")))</f>
        <v/>
      </c>
      <c r="AR108" s="22" t="str">
        <f aca="false">IF(OR(C108="",I108="",K108=""),"",IF(K108="Monthly",EDATE(C108,I108),WORKDAY(C108,I108)))</f>
        <v/>
      </c>
      <c r="AS108" s="11"/>
      <c r="AT108" s="23" t="str">
        <f aca="true">IF(C108="","",IF(AM108="Clawed Back","CLAWED",IF(TODAY()&lt;=C108+SETTINGS!$I$2,"⚠ AT RISK","SAFE")))</f>
        <v/>
      </c>
      <c r="AU108" s="11"/>
      <c r="AW108" s="24" t="n">
        <f aca="false">AW107+IF(AND(C108&lt;&gt;"",AO108&lt;&gt;"",OR('REP COMMISSION'!$B$3="",T108='REP COMMISSION'!$B$3,W108='REP COMMISSION'!$B$3,Z108='REP COMMISSION'!$B$3)),1,0)</f>
        <v>0</v>
      </c>
      <c r="AX108" s="24" t="n">
        <f aca="false">AX107+IF(AND(C108&lt;&gt;"",OR(F108="LOC - INITIAL",F108="CONSOLIDATION - UPFRONT COMM",F108="REVERSE - TOTAL FUNDING")),1,0)</f>
        <v>0</v>
      </c>
    </row>
    <row r="109" customFormat="false" ht="15" hidden="false" customHeight="false" outlineLevel="0" collapsed="false">
      <c r="A109" s="25" t="str">
        <f aca="false">IF(C109&lt;&gt;"","F"&amp;COUNT($C$4:C109),"")</f>
        <v/>
      </c>
      <c r="B109" s="26" t="str">
        <f aca="false">IF(OR(F109="LOC - INITIAL",F109="CONSOLIDATION - UPFRONT COMM",F109="REVERSE - TOTAL FUNDING"),A109,"")</f>
        <v/>
      </c>
      <c r="C109" s="27"/>
      <c r="D109" s="28"/>
      <c r="E109" s="28"/>
      <c r="F109" s="28"/>
      <c r="G109" s="29"/>
      <c r="H109" s="30"/>
      <c r="I109" s="28"/>
      <c r="J109" s="31" t="str">
        <f aca="false">IF(AND(G109&lt;&gt;"",H109&lt;&gt;""),G109*H109,"")</f>
        <v/>
      </c>
      <c r="K109" s="28"/>
      <c r="L109" s="32"/>
      <c r="M109" s="32"/>
      <c r="N109" s="31" t="n">
        <f aca="false">IF(OR(G109="",M109=""),0,IF(M109&gt;100,M109,G109*IF(M109&gt;1,M109/100,M109)))</f>
        <v>0</v>
      </c>
      <c r="O109" s="31" t="str">
        <f aca="false">IF(G109="","",G109*IF(L109="",0,IF(L109&gt;1,L109/100,L109))+N109)</f>
        <v/>
      </c>
      <c r="P109" s="28"/>
      <c r="Q109" s="33" t="str">
        <f aca="false">IF(P109="","",IFERROR(VLOOKUP(P109,PARTNERS!$A$2:$B$30,2,0),""))</f>
        <v/>
      </c>
      <c r="R109" s="17" t="str">
        <f aca="false">IF(O109="","",IF(OR(P109="",Q109=""),0,(O109-N109)*IF(Q109&gt;1,Q109/100,Q109)))</f>
        <v/>
      </c>
      <c r="S109" s="31" t="str">
        <f aca="false">IF(O109="","",O109-R109)</f>
        <v/>
      </c>
      <c r="T109" s="28"/>
      <c r="U109" s="34" t="str">
        <f aca="false">IF(T109="","",IFERROR(VLOOKUP(T109,REPS!$A$2:$D$40,2,0),""))</f>
        <v/>
      </c>
      <c r="V109" s="31" t="str">
        <f aca="false">IF(O109="","",IF(U109="",0,O109*IF(U109&gt;1,U109/100,U109)))</f>
        <v/>
      </c>
      <c r="W109" s="28"/>
      <c r="X109" s="34" t="str">
        <f aca="false">IF(W109="","",IFERROR(VLOOKUP(W109,REPS!$A$2:$D$40,3,0),""))</f>
        <v/>
      </c>
      <c r="Y109" s="31" t="str">
        <f aca="false">IF(O109="","",IF(X109="",0,O109*IF(X109&gt;1,X109/100,X109)))</f>
        <v/>
      </c>
      <c r="Z109" s="28"/>
      <c r="AA109" s="34" t="str">
        <f aca="false">IF(Z109="","",IFERROR(VLOOKUP(Z109,REPS!$A$2:$D$40,4,0),""))</f>
        <v/>
      </c>
      <c r="AB109" s="31" t="str">
        <f aca="false">IF(O109="","",IF(AA109="",0,O109*IF(AA109&gt;1,AA109/100,AA109)))</f>
        <v/>
      </c>
      <c r="AC109" s="31" t="str">
        <f aca="false">IF(O109="","",V109+Y109+AB109)</f>
        <v/>
      </c>
      <c r="AD109" s="19" t="str">
        <f aca="false">IF(O109="","",O109-R109-AC109)</f>
        <v/>
      </c>
      <c r="AE109" s="20"/>
      <c r="AF109" s="27"/>
      <c r="AG109" s="21" t="n">
        <f aca="false">IF(OR(AE109="",AE109=0),0,AE109*IF(U109="",0,IF(U109&gt;1,U109/100,U109)))</f>
        <v>0</v>
      </c>
      <c r="AH109" s="21" t="n">
        <f aca="false">IF(OR(AE109="",AE109=0),0,AE109*IF(X109="",0,IF(X109&gt;1,X109/100,X109)))</f>
        <v>0</v>
      </c>
      <c r="AI109" s="21" t="n">
        <f aca="false">IF(OR(AE109="",AE109=0),0,AE109*IF(AA109="",0,IF(AA109&gt;1,AA109/100,AA109)))</f>
        <v>0</v>
      </c>
      <c r="AJ109" s="21" t="n">
        <f aca="false">AG109+AH109+AI109</f>
        <v>0</v>
      </c>
      <c r="AK109" s="21" t="n">
        <f aca="false">IF(OR(AE109="",AE109=0),0,AE109-AJ109)</f>
        <v>0</v>
      </c>
      <c r="AL109" s="19" t="str">
        <f aca="false">IF(AD109="","",AD109-AK109)</f>
        <v/>
      </c>
      <c r="AM109" s="26" t="str">
        <f aca="false">IF(C109="","","Waiting for payment")</f>
        <v/>
      </c>
      <c r="AN109" s="27"/>
      <c r="AO109" s="27"/>
      <c r="AP109" s="35" t="str">
        <f aca="false">IF(OR(C109="",I109="",K109=""),"",IF(K109="Monthly",EDATE(C109,ROUND(I109*SETTINGS!$I$8,0)),WORKDAY(C109,ROUND(I109*SETTINGS!$I$8,0))))</f>
        <v/>
      </c>
      <c r="AQ109" s="26" t="str">
        <f aca="true">IF(C109="","",IF(AND(AP109&lt;&gt;"",TODAY()&gt;=AP109),"Refi Ready",IF(TODAY()-C109&gt;=SETTINGS!$I$11,"Prospecting","Performing")))</f>
        <v/>
      </c>
      <c r="AR109" s="35" t="str">
        <f aca="false">IF(OR(C109="",I109="",K109=""),"",IF(K109="Monthly",EDATE(C109,I109),WORKDAY(C109,I109)))</f>
        <v/>
      </c>
      <c r="AS109" s="28"/>
      <c r="AT109" s="36" t="str">
        <f aca="true">IF(C109="","",IF(AM109="Clawed Back","CLAWED",IF(TODAY()&lt;=C109+SETTINGS!$I$2,"⚠ AT RISK","SAFE")))</f>
        <v/>
      </c>
      <c r="AU109" s="28"/>
      <c r="AW109" s="24" t="n">
        <f aca="false">AW108+IF(AND(C109&lt;&gt;"",AO109&lt;&gt;"",OR('REP COMMISSION'!$B$3="",T109='REP COMMISSION'!$B$3,W109='REP COMMISSION'!$B$3,Z109='REP COMMISSION'!$B$3)),1,0)</f>
        <v>0</v>
      </c>
      <c r="AX109" s="24" t="n">
        <f aca="false">AX108+IF(AND(C109&lt;&gt;"",OR(F109="LOC - INITIAL",F109="CONSOLIDATION - UPFRONT COMM",F109="REVERSE - TOTAL FUNDING")),1,0)</f>
        <v>0</v>
      </c>
    </row>
    <row r="110" customFormat="false" ht="15" hidden="false" customHeight="false" outlineLevel="0" collapsed="false">
      <c r="A110" s="8" t="str">
        <f aca="false">IF(C110&lt;&gt;"","F"&amp;COUNT($C$4:C110),"")</f>
        <v/>
      </c>
      <c r="B110" s="9" t="str">
        <f aca="false">IF(OR(F110="LOC - INITIAL",F110="CONSOLIDATION - UPFRONT COMM",F110="REVERSE - TOTAL FUNDING"),A110,"")</f>
        <v/>
      </c>
      <c r="C110" s="10"/>
      <c r="D110" s="11"/>
      <c r="E110" s="11"/>
      <c r="F110" s="11"/>
      <c r="G110" s="12"/>
      <c r="H110" s="13"/>
      <c r="I110" s="11"/>
      <c r="J110" s="14" t="str">
        <f aca="false">IF(AND(G110&lt;&gt;"",H110&lt;&gt;""),G110*H110,"")</f>
        <v/>
      </c>
      <c r="K110" s="11"/>
      <c r="L110" s="15"/>
      <c r="M110" s="15"/>
      <c r="N110" s="14" t="n">
        <f aca="false">IF(OR(G110="",M110=""),0,IF(M110&gt;100,M110,G110*IF(M110&gt;1,M110/100,M110)))</f>
        <v>0</v>
      </c>
      <c r="O110" s="14" t="str">
        <f aca="false">IF(G110="","",G110*IF(L110="",0,IF(L110&gt;1,L110/100,L110))+N110)</f>
        <v/>
      </c>
      <c r="P110" s="11"/>
      <c r="Q110" s="16" t="str">
        <f aca="false">IF(P110="","",IFERROR(VLOOKUP(P110,PARTNERS!$A$2:$B$30,2,0),""))</f>
        <v/>
      </c>
      <c r="R110" s="17" t="str">
        <f aca="false">IF(O110="","",IF(OR(P110="",Q110=""),0,(O110-N110)*IF(Q110&gt;1,Q110/100,Q110)))</f>
        <v/>
      </c>
      <c r="S110" s="14" t="str">
        <f aca="false">IF(O110="","",O110-R110)</f>
        <v/>
      </c>
      <c r="T110" s="11"/>
      <c r="U110" s="18" t="str">
        <f aca="false">IF(T110="","",IFERROR(VLOOKUP(T110,REPS!$A$2:$D$40,2,0),""))</f>
        <v/>
      </c>
      <c r="V110" s="14" t="str">
        <f aca="false">IF(O110="","",IF(U110="",0,O110*IF(U110&gt;1,U110/100,U110)))</f>
        <v/>
      </c>
      <c r="W110" s="11"/>
      <c r="X110" s="18" t="str">
        <f aca="false">IF(W110="","",IFERROR(VLOOKUP(W110,REPS!$A$2:$D$40,3,0),""))</f>
        <v/>
      </c>
      <c r="Y110" s="14" t="str">
        <f aca="false">IF(O110="","",IF(X110="",0,O110*IF(X110&gt;1,X110/100,X110)))</f>
        <v/>
      </c>
      <c r="Z110" s="11"/>
      <c r="AA110" s="18" t="str">
        <f aca="false">IF(Z110="","",IFERROR(VLOOKUP(Z110,REPS!$A$2:$D$40,4,0),""))</f>
        <v/>
      </c>
      <c r="AB110" s="14" t="str">
        <f aca="false">IF(O110="","",IF(AA110="",0,O110*IF(AA110&gt;1,AA110/100,AA110)))</f>
        <v/>
      </c>
      <c r="AC110" s="14" t="str">
        <f aca="false">IF(O110="","",V110+Y110+AB110)</f>
        <v/>
      </c>
      <c r="AD110" s="19" t="str">
        <f aca="false">IF(O110="","",O110-R110-AC110)</f>
        <v/>
      </c>
      <c r="AE110" s="20"/>
      <c r="AF110" s="10"/>
      <c r="AG110" s="21" t="n">
        <f aca="false">IF(OR(AE110="",AE110=0),0,AE110*IF(U110="",0,IF(U110&gt;1,U110/100,U110)))</f>
        <v>0</v>
      </c>
      <c r="AH110" s="21" t="n">
        <f aca="false">IF(OR(AE110="",AE110=0),0,AE110*IF(X110="",0,IF(X110&gt;1,X110/100,X110)))</f>
        <v>0</v>
      </c>
      <c r="AI110" s="21" t="n">
        <f aca="false">IF(OR(AE110="",AE110=0),0,AE110*IF(AA110="",0,IF(AA110&gt;1,AA110/100,AA110)))</f>
        <v>0</v>
      </c>
      <c r="AJ110" s="21" t="n">
        <f aca="false">AG110+AH110+AI110</f>
        <v>0</v>
      </c>
      <c r="AK110" s="21" t="n">
        <f aca="false">IF(OR(AE110="",AE110=0),0,AE110-AJ110)</f>
        <v>0</v>
      </c>
      <c r="AL110" s="19" t="str">
        <f aca="false">IF(AD110="","",AD110-AK110)</f>
        <v/>
      </c>
      <c r="AM110" s="9" t="str">
        <f aca="false">IF(C110="","","Waiting for payment")</f>
        <v/>
      </c>
      <c r="AN110" s="10"/>
      <c r="AO110" s="10"/>
      <c r="AP110" s="22" t="str">
        <f aca="false">IF(OR(C110="",I110="",K110=""),"",IF(K110="Monthly",EDATE(C110,ROUND(I110*SETTINGS!$I$8,0)),WORKDAY(C110,ROUND(I110*SETTINGS!$I$8,0))))</f>
        <v/>
      </c>
      <c r="AQ110" s="9" t="str">
        <f aca="true">IF(C110="","",IF(AND(AP110&lt;&gt;"",TODAY()&gt;=AP110),"Refi Ready",IF(TODAY()-C110&gt;=SETTINGS!$I$11,"Prospecting","Performing")))</f>
        <v/>
      </c>
      <c r="AR110" s="22" t="str">
        <f aca="false">IF(OR(C110="",I110="",K110=""),"",IF(K110="Monthly",EDATE(C110,I110),WORKDAY(C110,I110)))</f>
        <v/>
      </c>
      <c r="AS110" s="11"/>
      <c r="AT110" s="23" t="str">
        <f aca="true">IF(C110="","",IF(AM110="Clawed Back","CLAWED",IF(TODAY()&lt;=C110+SETTINGS!$I$2,"⚠ AT RISK","SAFE")))</f>
        <v/>
      </c>
      <c r="AU110" s="11"/>
      <c r="AW110" s="24" t="n">
        <f aca="false">AW109+IF(AND(C110&lt;&gt;"",AO110&lt;&gt;"",OR('REP COMMISSION'!$B$3="",T110='REP COMMISSION'!$B$3,W110='REP COMMISSION'!$B$3,Z110='REP COMMISSION'!$B$3)),1,0)</f>
        <v>0</v>
      </c>
      <c r="AX110" s="24" t="n">
        <f aca="false">AX109+IF(AND(C110&lt;&gt;"",OR(F110="LOC - INITIAL",F110="CONSOLIDATION - UPFRONT COMM",F110="REVERSE - TOTAL FUNDING")),1,0)</f>
        <v>0</v>
      </c>
    </row>
    <row r="111" customFormat="false" ht="15" hidden="false" customHeight="false" outlineLevel="0" collapsed="false">
      <c r="A111" s="25" t="str">
        <f aca="false">IF(C111&lt;&gt;"","F"&amp;COUNT($C$4:C111),"")</f>
        <v/>
      </c>
      <c r="B111" s="26" t="str">
        <f aca="false">IF(OR(F111="LOC - INITIAL",F111="CONSOLIDATION - UPFRONT COMM",F111="REVERSE - TOTAL FUNDING"),A111,"")</f>
        <v/>
      </c>
      <c r="C111" s="27"/>
      <c r="D111" s="28"/>
      <c r="E111" s="28"/>
      <c r="F111" s="28"/>
      <c r="G111" s="29"/>
      <c r="H111" s="30"/>
      <c r="I111" s="28"/>
      <c r="J111" s="31" t="str">
        <f aca="false">IF(AND(G111&lt;&gt;"",H111&lt;&gt;""),G111*H111,"")</f>
        <v/>
      </c>
      <c r="K111" s="28"/>
      <c r="L111" s="32"/>
      <c r="M111" s="32"/>
      <c r="N111" s="31" t="n">
        <f aca="false">IF(OR(G111="",M111=""),0,IF(M111&gt;100,M111,G111*IF(M111&gt;1,M111/100,M111)))</f>
        <v>0</v>
      </c>
      <c r="O111" s="31" t="str">
        <f aca="false">IF(G111="","",G111*IF(L111="",0,IF(L111&gt;1,L111/100,L111))+N111)</f>
        <v/>
      </c>
      <c r="P111" s="28"/>
      <c r="Q111" s="33" t="str">
        <f aca="false">IF(P111="","",IFERROR(VLOOKUP(P111,PARTNERS!$A$2:$B$30,2,0),""))</f>
        <v/>
      </c>
      <c r="R111" s="17" t="str">
        <f aca="false">IF(O111="","",IF(OR(P111="",Q111=""),0,(O111-N111)*IF(Q111&gt;1,Q111/100,Q111)))</f>
        <v/>
      </c>
      <c r="S111" s="31" t="str">
        <f aca="false">IF(O111="","",O111-R111)</f>
        <v/>
      </c>
      <c r="T111" s="28"/>
      <c r="U111" s="34" t="str">
        <f aca="false">IF(T111="","",IFERROR(VLOOKUP(T111,REPS!$A$2:$D$40,2,0),""))</f>
        <v/>
      </c>
      <c r="V111" s="31" t="str">
        <f aca="false">IF(O111="","",IF(U111="",0,O111*IF(U111&gt;1,U111/100,U111)))</f>
        <v/>
      </c>
      <c r="W111" s="28"/>
      <c r="X111" s="34" t="str">
        <f aca="false">IF(W111="","",IFERROR(VLOOKUP(W111,REPS!$A$2:$D$40,3,0),""))</f>
        <v/>
      </c>
      <c r="Y111" s="31" t="str">
        <f aca="false">IF(O111="","",IF(X111="",0,O111*IF(X111&gt;1,X111/100,X111)))</f>
        <v/>
      </c>
      <c r="Z111" s="28"/>
      <c r="AA111" s="34" t="str">
        <f aca="false">IF(Z111="","",IFERROR(VLOOKUP(Z111,REPS!$A$2:$D$40,4,0),""))</f>
        <v/>
      </c>
      <c r="AB111" s="31" t="str">
        <f aca="false">IF(O111="","",IF(AA111="",0,O111*IF(AA111&gt;1,AA111/100,AA111)))</f>
        <v/>
      </c>
      <c r="AC111" s="31" t="str">
        <f aca="false">IF(O111="","",V111+Y111+AB111)</f>
        <v/>
      </c>
      <c r="AD111" s="19" t="str">
        <f aca="false">IF(O111="","",O111-R111-AC111)</f>
        <v/>
      </c>
      <c r="AE111" s="20"/>
      <c r="AF111" s="27"/>
      <c r="AG111" s="21" t="n">
        <f aca="false">IF(OR(AE111="",AE111=0),0,AE111*IF(U111="",0,IF(U111&gt;1,U111/100,U111)))</f>
        <v>0</v>
      </c>
      <c r="AH111" s="21" t="n">
        <f aca="false">IF(OR(AE111="",AE111=0),0,AE111*IF(X111="",0,IF(X111&gt;1,X111/100,X111)))</f>
        <v>0</v>
      </c>
      <c r="AI111" s="21" t="n">
        <f aca="false">IF(OR(AE111="",AE111=0),0,AE111*IF(AA111="",0,IF(AA111&gt;1,AA111/100,AA111)))</f>
        <v>0</v>
      </c>
      <c r="AJ111" s="21" t="n">
        <f aca="false">AG111+AH111+AI111</f>
        <v>0</v>
      </c>
      <c r="AK111" s="21" t="n">
        <f aca="false">IF(OR(AE111="",AE111=0),0,AE111-AJ111)</f>
        <v>0</v>
      </c>
      <c r="AL111" s="19" t="str">
        <f aca="false">IF(AD111="","",AD111-AK111)</f>
        <v/>
      </c>
      <c r="AM111" s="26" t="str">
        <f aca="false">IF(C111="","","Waiting for payment")</f>
        <v/>
      </c>
      <c r="AN111" s="27"/>
      <c r="AO111" s="27"/>
      <c r="AP111" s="35" t="str">
        <f aca="false">IF(OR(C111="",I111="",K111=""),"",IF(K111="Monthly",EDATE(C111,ROUND(I111*SETTINGS!$I$8,0)),WORKDAY(C111,ROUND(I111*SETTINGS!$I$8,0))))</f>
        <v/>
      </c>
      <c r="AQ111" s="26" t="str">
        <f aca="true">IF(C111="","",IF(AND(AP111&lt;&gt;"",TODAY()&gt;=AP111),"Refi Ready",IF(TODAY()-C111&gt;=SETTINGS!$I$11,"Prospecting","Performing")))</f>
        <v/>
      </c>
      <c r="AR111" s="35" t="str">
        <f aca="false">IF(OR(C111="",I111="",K111=""),"",IF(K111="Monthly",EDATE(C111,I111),WORKDAY(C111,I111)))</f>
        <v/>
      </c>
      <c r="AS111" s="28"/>
      <c r="AT111" s="36" t="str">
        <f aca="true">IF(C111="","",IF(AM111="Clawed Back","CLAWED",IF(TODAY()&lt;=C111+SETTINGS!$I$2,"⚠ AT RISK","SAFE")))</f>
        <v/>
      </c>
      <c r="AU111" s="28"/>
      <c r="AW111" s="24" t="n">
        <f aca="false">AW110+IF(AND(C111&lt;&gt;"",AO111&lt;&gt;"",OR('REP COMMISSION'!$B$3="",T111='REP COMMISSION'!$B$3,W111='REP COMMISSION'!$B$3,Z111='REP COMMISSION'!$B$3)),1,0)</f>
        <v>0</v>
      </c>
      <c r="AX111" s="24" t="n">
        <f aca="false">AX110+IF(AND(C111&lt;&gt;"",OR(F111="LOC - INITIAL",F111="CONSOLIDATION - UPFRONT COMM",F111="REVERSE - TOTAL FUNDING")),1,0)</f>
        <v>0</v>
      </c>
    </row>
    <row r="112" customFormat="false" ht="15" hidden="false" customHeight="false" outlineLevel="0" collapsed="false">
      <c r="A112" s="8" t="str">
        <f aca="false">IF(C112&lt;&gt;"","F"&amp;COUNT($C$4:C112),"")</f>
        <v/>
      </c>
      <c r="B112" s="9" t="str">
        <f aca="false">IF(OR(F112="LOC - INITIAL",F112="CONSOLIDATION - UPFRONT COMM",F112="REVERSE - TOTAL FUNDING"),A112,"")</f>
        <v/>
      </c>
      <c r="C112" s="10"/>
      <c r="D112" s="11"/>
      <c r="E112" s="11"/>
      <c r="F112" s="11"/>
      <c r="G112" s="12"/>
      <c r="H112" s="13"/>
      <c r="I112" s="11"/>
      <c r="J112" s="14" t="str">
        <f aca="false">IF(AND(G112&lt;&gt;"",H112&lt;&gt;""),G112*H112,"")</f>
        <v/>
      </c>
      <c r="K112" s="11"/>
      <c r="L112" s="15"/>
      <c r="M112" s="15"/>
      <c r="N112" s="14" t="n">
        <f aca="false">IF(OR(G112="",M112=""),0,IF(M112&gt;100,M112,G112*IF(M112&gt;1,M112/100,M112)))</f>
        <v>0</v>
      </c>
      <c r="O112" s="14" t="str">
        <f aca="false">IF(G112="","",G112*IF(L112="",0,IF(L112&gt;1,L112/100,L112))+N112)</f>
        <v/>
      </c>
      <c r="P112" s="11"/>
      <c r="Q112" s="16" t="str">
        <f aca="false">IF(P112="","",IFERROR(VLOOKUP(P112,PARTNERS!$A$2:$B$30,2,0),""))</f>
        <v/>
      </c>
      <c r="R112" s="17" t="str">
        <f aca="false">IF(O112="","",IF(OR(P112="",Q112=""),0,(O112-N112)*IF(Q112&gt;1,Q112/100,Q112)))</f>
        <v/>
      </c>
      <c r="S112" s="14" t="str">
        <f aca="false">IF(O112="","",O112-R112)</f>
        <v/>
      </c>
      <c r="T112" s="11"/>
      <c r="U112" s="18" t="str">
        <f aca="false">IF(T112="","",IFERROR(VLOOKUP(T112,REPS!$A$2:$D$40,2,0),""))</f>
        <v/>
      </c>
      <c r="V112" s="14" t="str">
        <f aca="false">IF(O112="","",IF(U112="",0,O112*IF(U112&gt;1,U112/100,U112)))</f>
        <v/>
      </c>
      <c r="W112" s="11"/>
      <c r="X112" s="18" t="str">
        <f aca="false">IF(W112="","",IFERROR(VLOOKUP(W112,REPS!$A$2:$D$40,3,0),""))</f>
        <v/>
      </c>
      <c r="Y112" s="14" t="str">
        <f aca="false">IF(O112="","",IF(X112="",0,O112*IF(X112&gt;1,X112/100,X112)))</f>
        <v/>
      </c>
      <c r="Z112" s="11"/>
      <c r="AA112" s="18" t="str">
        <f aca="false">IF(Z112="","",IFERROR(VLOOKUP(Z112,REPS!$A$2:$D$40,4,0),""))</f>
        <v/>
      </c>
      <c r="AB112" s="14" t="str">
        <f aca="false">IF(O112="","",IF(AA112="",0,O112*IF(AA112&gt;1,AA112/100,AA112)))</f>
        <v/>
      </c>
      <c r="AC112" s="14" t="str">
        <f aca="false">IF(O112="","",V112+Y112+AB112)</f>
        <v/>
      </c>
      <c r="AD112" s="19" t="str">
        <f aca="false">IF(O112="","",O112-R112-AC112)</f>
        <v/>
      </c>
      <c r="AE112" s="20"/>
      <c r="AF112" s="10"/>
      <c r="AG112" s="21" t="n">
        <f aca="false">IF(OR(AE112="",AE112=0),0,AE112*IF(U112="",0,IF(U112&gt;1,U112/100,U112)))</f>
        <v>0</v>
      </c>
      <c r="AH112" s="21" t="n">
        <f aca="false">IF(OR(AE112="",AE112=0),0,AE112*IF(X112="",0,IF(X112&gt;1,X112/100,X112)))</f>
        <v>0</v>
      </c>
      <c r="AI112" s="21" t="n">
        <f aca="false">IF(OR(AE112="",AE112=0),0,AE112*IF(AA112="",0,IF(AA112&gt;1,AA112/100,AA112)))</f>
        <v>0</v>
      </c>
      <c r="AJ112" s="21" t="n">
        <f aca="false">AG112+AH112+AI112</f>
        <v>0</v>
      </c>
      <c r="AK112" s="21" t="n">
        <f aca="false">IF(OR(AE112="",AE112=0),0,AE112-AJ112)</f>
        <v>0</v>
      </c>
      <c r="AL112" s="19" t="str">
        <f aca="false">IF(AD112="","",AD112-AK112)</f>
        <v/>
      </c>
      <c r="AM112" s="9" t="str">
        <f aca="false">IF(C112="","","Waiting for payment")</f>
        <v/>
      </c>
      <c r="AN112" s="10"/>
      <c r="AO112" s="10"/>
      <c r="AP112" s="22" t="str">
        <f aca="false">IF(OR(C112="",I112="",K112=""),"",IF(K112="Monthly",EDATE(C112,ROUND(I112*SETTINGS!$I$8,0)),WORKDAY(C112,ROUND(I112*SETTINGS!$I$8,0))))</f>
        <v/>
      </c>
      <c r="AQ112" s="9" t="str">
        <f aca="true">IF(C112="","",IF(AND(AP112&lt;&gt;"",TODAY()&gt;=AP112),"Refi Ready",IF(TODAY()-C112&gt;=SETTINGS!$I$11,"Prospecting","Performing")))</f>
        <v/>
      </c>
      <c r="AR112" s="22" t="str">
        <f aca="false">IF(OR(C112="",I112="",K112=""),"",IF(K112="Monthly",EDATE(C112,I112),WORKDAY(C112,I112)))</f>
        <v/>
      </c>
      <c r="AS112" s="11"/>
      <c r="AT112" s="23" t="str">
        <f aca="true">IF(C112="","",IF(AM112="Clawed Back","CLAWED",IF(TODAY()&lt;=C112+SETTINGS!$I$2,"⚠ AT RISK","SAFE")))</f>
        <v/>
      </c>
      <c r="AU112" s="11"/>
      <c r="AW112" s="24" t="n">
        <f aca="false">AW111+IF(AND(C112&lt;&gt;"",AO112&lt;&gt;"",OR('REP COMMISSION'!$B$3="",T112='REP COMMISSION'!$B$3,W112='REP COMMISSION'!$B$3,Z112='REP COMMISSION'!$B$3)),1,0)</f>
        <v>0</v>
      </c>
      <c r="AX112" s="24" t="n">
        <f aca="false">AX111+IF(AND(C112&lt;&gt;"",OR(F112="LOC - INITIAL",F112="CONSOLIDATION - UPFRONT COMM",F112="REVERSE - TOTAL FUNDING")),1,0)</f>
        <v>0</v>
      </c>
    </row>
    <row r="113" customFormat="false" ht="15" hidden="false" customHeight="false" outlineLevel="0" collapsed="false">
      <c r="A113" s="25" t="str">
        <f aca="false">IF(C113&lt;&gt;"","F"&amp;COUNT($C$4:C113),"")</f>
        <v/>
      </c>
      <c r="B113" s="26" t="str">
        <f aca="false">IF(OR(F113="LOC - INITIAL",F113="CONSOLIDATION - UPFRONT COMM",F113="REVERSE - TOTAL FUNDING"),A113,"")</f>
        <v/>
      </c>
      <c r="C113" s="27"/>
      <c r="D113" s="28"/>
      <c r="E113" s="28"/>
      <c r="F113" s="28"/>
      <c r="G113" s="29"/>
      <c r="H113" s="30"/>
      <c r="I113" s="28"/>
      <c r="J113" s="31" t="str">
        <f aca="false">IF(AND(G113&lt;&gt;"",H113&lt;&gt;""),G113*H113,"")</f>
        <v/>
      </c>
      <c r="K113" s="28"/>
      <c r="L113" s="32"/>
      <c r="M113" s="32"/>
      <c r="N113" s="31" t="n">
        <f aca="false">IF(OR(G113="",M113=""),0,IF(M113&gt;100,M113,G113*IF(M113&gt;1,M113/100,M113)))</f>
        <v>0</v>
      </c>
      <c r="O113" s="31" t="str">
        <f aca="false">IF(G113="","",G113*IF(L113="",0,IF(L113&gt;1,L113/100,L113))+N113)</f>
        <v/>
      </c>
      <c r="P113" s="28"/>
      <c r="Q113" s="33" t="str">
        <f aca="false">IF(P113="","",IFERROR(VLOOKUP(P113,PARTNERS!$A$2:$B$30,2,0),""))</f>
        <v/>
      </c>
      <c r="R113" s="17" t="str">
        <f aca="false">IF(O113="","",IF(OR(P113="",Q113=""),0,(O113-N113)*IF(Q113&gt;1,Q113/100,Q113)))</f>
        <v/>
      </c>
      <c r="S113" s="31" t="str">
        <f aca="false">IF(O113="","",O113-R113)</f>
        <v/>
      </c>
      <c r="T113" s="28"/>
      <c r="U113" s="34" t="str">
        <f aca="false">IF(T113="","",IFERROR(VLOOKUP(T113,REPS!$A$2:$D$40,2,0),""))</f>
        <v/>
      </c>
      <c r="V113" s="31" t="str">
        <f aca="false">IF(O113="","",IF(U113="",0,O113*IF(U113&gt;1,U113/100,U113)))</f>
        <v/>
      </c>
      <c r="W113" s="28"/>
      <c r="X113" s="34" t="str">
        <f aca="false">IF(W113="","",IFERROR(VLOOKUP(W113,REPS!$A$2:$D$40,3,0),""))</f>
        <v/>
      </c>
      <c r="Y113" s="31" t="str">
        <f aca="false">IF(O113="","",IF(X113="",0,O113*IF(X113&gt;1,X113/100,X113)))</f>
        <v/>
      </c>
      <c r="Z113" s="28"/>
      <c r="AA113" s="34" t="str">
        <f aca="false">IF(Z113="","",IFERROR(VLOOKUP(Z113,REPS!$A$2:$D$40,4,0),""))</f>
        <v/>
      </c>
      <c r="AB113" s="31" t="str">
        <f aca="false">IF(O113="","",IF(AA113="",0,O113*IF(AA113&gt;1,AA113/100,AA113)))</f>
        <v/>
      </c>
      <c r="AC113" s="31" t="str">
        <f aca="false">IF(O113="","",V113+Y113+AB113)</f>
        <v/>
      </c>
      <c r="AD113" s="19" t="str">
        <f aca="false">IF(O113="","",O113-R113-AC113)</f>
        <v/>
      </c>
      <c r="AE113" s="20"/>
      <c r="AF113" s="27"/>
      <c r="AG113" s="21" t="n">
        <f aca="false">IF(OR(AE113="",AE113=0),0,AE113*IF(U113="",0,IF(U113&gt;1,U113/100,U113)))</f>
        <v>0</v>
      </c>
      <c r="AH113" s="21" t="n">
        <f aca="false">IF(OR(AE113="",AE113=0),0,AE113*IF(X113="",0,IF(X113&gt;1,X113/100,X113)))</f>
        <v>0</v>
      </c>
      <c r="AI113" s="21" t="n">
        <f aca="false">IF(OR(AE113="",AE113=0),0,AE113*IF(AA113="",0,IF(AA113&gt;1,AA113/100,AA113)))</f>
        <v>0</v>
      </c>
      <c r="AJ113" s="21" t="n">
        <f aca="false">AG113+AH113+AI113</f>
        <v>0</v>
      </c>
      <c r="AK113" s="21" t="n">
        <f aca="false">IF(OR(AE113="",AE113=0),0,AE113-AJ113)</f>
        <v>0</v>
      </c>
      <c r="AL113" s="19" t="str">
        <f aca="false">IF(AD113="","",AD113-AK113)</f>
        <v/>
      </c>
      <c r="AM113" s="26" t="str">
        <f aca="false">IF(C113="","","Waiting for payment")</f>
        <v/>
      </c>
      <c r="AN113" s="27"/>
      <c r="AO113" s="27"/>
      <c r="AP113" s="35" t="str">
        <f aca="false">IF(OR(C113="",I113="",K113=""),"",IF(K113="Monthly",EDATE(C113,ROUND(I113*SETTINGS!$I$8,0)),WORKDAY(C113,ROUND(I113*SETTINGS!$I$8,0))))</f>
        <v/>
      </c>
      <c r="AQ113" s="26" t="str">
        <f aca="true">IF(C113="","",IF(AND(AP113&lt;&gt;"",TODAY()&gt;=AP113),"Refi Ready",IF(TODAY()-C113&gt;=SETTINGS!$I$11,"Prospecting","Performing")))</f>
        <v/>
      </c>
      <c r="AR113" s="35" t="str">
        <f aca="false">IF(OR(C113="",I113="",K113=""),"",IF(K113="Monthly",EDATE(C113,I113),WORKDAY(C113,I113)))</f>
        <v/>
      </c>
      <c r="AS113" s="28"/>
      <c r="AT113" s="36" t="str">
        <f aca="true">IF(C113="","",IF(AM113="Clawed Back","CLAWED",IF(TODAY()&lt;=C113+SETTINGS!$I$2,"⚠ AT RISK","SAFE")))</f>
        <v/>
      </c>
      <c r="AU113" s="28"/>
      <c r="AW113" s="24" t="n">
        <f aca="false">AW112+IF(AND(C113&lt;&gt;"",AO113&lt;&gt;"",OR('REP COMMISSION'!$B$3="",T113='REP COMMISSION'!$B$3,W113='REP COMMISSION'!$B$3,Z113='REP COMMISSION'!$B$3)),1,0)</f>
        <v>0</v>
      </c>
      <c r="AX113" s="24" t="n">
        <f aca="false">AX112+IF(AND(C113&lt;&gt;"",OR(F113="LOC - INITIAL",F113="CONSOLIDATION - UPFRONT COMM",F113="REVERSE - TOTAL FUNDING")),1,0)</f>
        <v>0</v>
      </c>
    </row>
    <row r="114" customFormat="false" ht="15" hidden="false" customHeight="false" outlineLevel="0" collapsed="false">
      <c r="A114" s="8" t="str">
        <f aca="false">IF(C114&lt;&gt;"","F"&amp;COUNT($C$4:C114),"")</f>
        <v/>
      </c>
      <c r="B114" s="9" t="str">
        <f aca="false">IF(OR(F114="LOC - INITIAL",F114="CONSOLIDATION - UPFRONT COMM",F114="REVERSE - TOTAL FUNDING"),A114,"")</f>
        <v/>
      </c>
      <c r="C114" s="10"/>
      <c r="D114" s="11"/>
      <c r="E114" s="11"/>
      <c r="F114" s="11"/>
      <c r="G114" s="12"/>
      <c r="H114" s="13"/>
      <c r="I114" s="11"/>
      <c r="J114" s="14" t="str">
        <f aca="false">IF(AND(G114&lt;&gt;"",H114&lt;&gt;""),G114*H114,"")</f>
        <v/>
      </c>
      <c r="K114" s="11"/>
      <c r="L114" s="15"/>
      <c r="M114" s="15"/>
      <c r="N114" s="14" t="n">
        <f aca="false">IF(OR(G114="",M114=""),0,IF(M114&gt;100,M114,G114*IF(M114&gt;1,M114/100,M114)))</f>
        <v>0</v>
      </c>
      <c r="O114" s="14" t="str">
        <f aca="false">IF(G114="","",G114*IF(L114="",0,IF(L114&gt;1,L114/100,L114))+N114)</f>
        <v/>
      </c>
      <c r="P114" s="11"/>
      <c r="Q114" s="16" t="str">
        <f aca="false">IF(P114="","",IFERROR(VLOOKUP(P114,PARTNERS!$A$2:$B$30,2,0),""))</f>
        <v/>
      </c>
      <c r="R114" s="17" t="str">
        <f aca="false">IF(O114="","",IF(OR(P114="",Q114=""),0,(O114-N114)*IF(Q114&gt;1,Q114/100,Q114)))</f>
        <v/>
      </c>
      <c r="S114" s="14" t="str">
        <f aca="false">IF(O114="","",O114-R114)</f>
        <v/>
      </c>
      <c r="T114" s="11"/>
      <c r="U114" s="18" t="str">
        <f aca="false">IF(T114="","",IFERROR(VLOOKUP(T114,REPS!$A$2:$D$40,2,0),""))</f>
        <v/>
      </c>
      <c r="V114" s="14" t="str">
        <f aca="false">IF(O114="","",IF(U114="",0,O114*IF(U114&gt;1,U114/100,U114)))</f>
        <v/>
      </c>
      <c r="W114" s="11"/>
      <c r="X114" s="18" t="str">
        <f aca="false">IF(W114="","",IFERROR(VLOOKUP(W114,REPS!$A$2:$D$40,3,0),""))</f>
        <v/>
      </c>
      <c r="Y114" s="14" t="str">
        <f aca="false">IF(O114="","",IF(X114="",0,O114*IF(X114&gt;1,X114/100,X114)))</f>
        <v/>
      </c>
      <c r="Z114" s="11"/>
      <c r="AA114" s="18" t="str">
        <f aca="false">IF(Z114="","",IFERROR(VLOOKUP(Z114,REPS!$A$2:$D$40,4,0),""))</f>
        <v/>
      </c>
      <c r="AB114" s="14" t="str">
        <f aca="false">IF(O114="","",IF(AA114="",0,O114*IF(AA114&gt;1,AA114/100,AA114)))</f>
        <v/>
      </c>
      <c r="AC114" s="14" t="str">
        <f aca="false">IF(O114="","",V114+Y114+AB114)</f>
        <v/>
      </c>
      <c r="AD114" s="19" t="str">
        <f aca="false">IF(O114="","",O114-R114-AC114)</f>
        <v/>
      </c>
      <c r="AE114" s="20"/>
      <c r="AF114" s="10"/>
      <c r="AG114" s="21" t="n">
        <f aca="false">IF(OR(AE114="",AE114=0),0,AE114*IF(U114="",0,IF(U114&gt;1,U114/100,U114)))</f>
        <v>0</v>
      </c>
      <c r="AH114" s="21" t="n">
        <f aca="false">IF(OR(AE114="",AE114=0),0,AE114*IF(X114="",0,IF(X114&gt;1,X114/100,X114)))</f>
        <v>0</v>
      </c>
      <c r="AI114" s="21" t="n">
        <f aca="false">IF(OR(AE114="",AE114=0),0,AE114*IF(AA114="",0,IF(AA114&gt;1,AA114/100,AA114)))</f>
        <v>0</v>
      </c>
      <c r="AJ114" s="21" t="n">
        <f aca="false">AG114+AH114+AI114</f>
        <v>0</v>
      </c>
      <c r="AK114" s="21" t="n">
        <f aca="false">IF(OR(AE114="",AE114=0),0,AE114-AJ114)</f>
        <v>0</v>
      </c>
      <c r="AL114" s="19" t="str">
        <f aca="false">IF(AD114="","",AD114-AK114)</f>
        <v/>
      </c>
      <c r="AM114" s="9" t="str">
        <f aca="false">IF(C114="","","Waiting for payment")</f>
        <v/>
      </c>
      <c r="AN114" s="10"/>
      <c r="AO114" s="10"/>
      <c r="AP114" s="22" t="str">
        <f aca="false">IF(OR(C114="",I114="",K114=""),"",IF(K114="Monthly",EDATE(C114,ROUND(I114*SETTINGS!$I$8,0)),WORKDAY(C114,ROUND(I114*SETTINGS!$I$8,0))))</f>
        <v/>
      </c>
      <c r="AQ114" s="9" t="str">
        <f aca="true">IF(C114="","",IF(AND(AP114&lt;&gt;"",TODAY()&gt;=AP114),"Refi Ready",IF(TODAY()-C114&gt;=SETTINGS!$I$11,"Prospecting","Performing")))</f>
        <v/>
      </c>
      <c r="AR114" s="22" t="str">
        <f aca="false">IF(OR(C114="",I114="",K114=""),"",IF(K114="Monthly",EDATE(C114,I114),WORKDAY(C114,I114)))</f>
        <v/>
      </c>
      <c r="AS114" s="11"/>
      <c r="AT114" s="23" t="str">
        <f aca="true">IF(C114="","",IF(AM114="Clawed Back","CLAWED",IF(TODAY()&lt;=C114+SETTINGS!$I$2,"⚠ AT RISK","SAFE")))</f>
        <v/>
      </c>
      <c r="AU114" s="11"/>
      <c r="AW114" s="24" t="n">
        <f aca="false">AW113+IF(AND(C114&lt;&gt;"",AO114&lt;&gt;"",OR('REP COMMISSION'!$B$3="",T114='REP COMMISSION'!$B$3,W114='REP COMMISSION'!$B$3,Z114='REP COMMISSION'!$B$3)),1,0)</f>
        <v>0</v>
      </c>
      <c r="AX114" s="24" t="n">
        <f aca="false">AX113+IF(AND(C114&lt;&gt;"",OR(F114="LOC - INITIAL",F114="CONSOLIDATION - UPFRONT COMM",F114="REVERSE - TOTAL FUNDING")),1,0)</f>
        <v>0</v>
      </c>
    </row>
    <row r="115" customFormat="false" ht="15" hidden="false" customHeight="false" outlineLevel="0" collapsed="false">
      <c r="A115" s="25" t="str">
        <f aca="false">IF(C115&lt;&gt;"","F"&amp;COUNT($C$4:C115),"")</f>
        <v/>
      </c>
      <c r="B115" s="26" t="str">
        <f aca="false">IF(OR(F115="LOC - INITIAL",F115="CONSOLIDATION - UPFRONT COMM",F115="REVERSE - TOTAL FUNDING"),A115,"")</f>
        <v/>
      </c>
      <c r="C115" s="27"/>
      <c r="D115" s="28"/>
      <c r="E115" s="28"/>
      <c r="F115" s="28"/>
      <c r="G115" s="29"/>
      <c r="H115" s="30"/>
      <c r="I115" s="28"/>
      <c r="J115" s="31" t="str">
        <f aca="false">IF(AND(G115&lt;&gt;"",H115&lt;&gt;""),G115*H115,"")</f>
        <v/>
      </c>
      <c r="K115" s="28"/>
      <c r="L115" s="32"/>
      <c r="M115" s="32"/>
      <c r="N115" s="31" t="n">
        <f aca="false">IF(OR(G115="",M115=""),0,IF(M115&gt;100,M115,G115*IF(M115&gt;1,M115/100,M115)))</f>
        <v>0</v>
      </c>
      <c r="O115" s="31" t="str">
        <f aca="false">IF(G115="","",G115*IF(L115="",0,IF(L115&gt;1,L115/100,L115))+N115)</f>
        <v/>
      </c>
      <c r="P115" s="28"/>
      <c r="Q115" s="33" t="str">
        <f aca="false">IF(P115="","",IFERROR(VLOOKUP(P115,PARTNERS!$A$2:$B$30,2,0),""))</f>
        <v/>
      </c>
      <c r="R115" s="17" t="str">
        <f aca="false">IF(O115="","",IF(OR(P115="",Q115=""),0,(O115-N115)*IF(Q115&gt;1,Q115/100,Q115)))</f>
        <v/>
      </c>
      <c r="S115" s="31" t="str">
        <f aca="false">IF(O115="","",O115-R115)</f>
        <v/>
      </c>
      <c r="T115" s="28"/>
      <c r="U115" s="34" t="str">
        <f aca="false">IF(T115="","",IFERROR(VLOOKUP(T115,REPS!$A$2:$D$40,2,0),""))</f>
        <v/>
      </c>
      <c r="V115" s="31" t="str">
        <f aca="false">IF(O115="","",IF(U115="",0,O115*IF(U115&gt;1,U115/100,U115)))</f>
        <v/>
      </c>
      <c r="W115" s="28"/>
      <c r="X115" s="34" t="str">
        <f aca="false">IF(W115="","",IFERROR(VLOOKUP(W115,REPS!$A$2:$D$40,3,0),""))</f>
        <v/>
      </c>
      <c r="Y115" s="31" t="str">
        <f aca="false">IF(O115="","",IF(X115="",0,O115*IF(X115&gt;1,X115/100,X115)))</f>
        <v/>
      </c>
      <c r="Z115" s="28"/>
      <c r="AA115" s="34" t="str">
        <f aca="false">IF(Z115="","",IFERROR(VLOOKUP(Z115,REPS!$A$2:$D$40,4,0),""))</f>
        <v/>
      </c>
      <c r="AB115" s="31" t="str">
        <f aca="false">IF(O115="","",IF(AA115="",0,O115*IF(AA115&gt;1,AA115/100,AA115)))</f>
        <v/>
      </c>
      <c r="AC115" s="31" t="str">
        <f aca="false">IF(O115="","",V115+Y115+AB115)</f>
        <v/>
      </c>
      <c r="AD115" s="19" t="str">
        <f aca="false">IF(O115="","",O115-R115-AC115)</f>
        <v/>
      </c>
      <c r="AE115" s="20"/>
      <c r="AF115" s="27"/>
      <c r="AG115" s="21" t="n">
        <f aca="false">IF(OR(AE115="",AE115=0),0,AE115*IF(U115="",0,IF(U115&gt;1,U115/100,U115)))</f>
        <v>0</v>
      </c>
      <c r="AH115" s="21" t="n">
        <f aca="false">IF(OR(AE115="",AE115=0),0,AE115*IF(X115="",0,IF(X115&gt;1,X115/100,X115)))</f>
        <v>0</v>
      </c>
      <c r="AI115" s="21" t="n">
        <f aca="false">IF(OR(AE115="",AE115=0),0,AE115*IF(AA115="",0,IF(AA115&gt;1,AA115/100,AA115)))</f>
        <v>0</v>
      </c>
      <c r="AJ115" s="21" t="n">
        <f aca="false">AG115+AH115+AI115</f>
        <v>0</v>
      </c>
      <c r="AK115" s="21" t="n">
        <f aca="false">IF(OR(AE115="",AE115=0),0,AE115-AJ115)</f>
        <v>0</v>
      </c>
      <c r="AL115" s="19" t="str">
        <f aca="false">IF(AD115="","",AD115-AK115)</f>
        <v/>
      </c>
      <c r="AM115" s="26" t="str">
        <f aca="false">IF(C115="","","Waiting for payment")</f>
        <v/>
      </c>
      <c r="AN115" s="27"/>
      <c r="AO115" s="27"/>
      <c r="AP115" s="35" t="str">
        <f aca="false">IF(OR(C115="",I115="",K115=""),"",IF(K115="Monthly",EDATE(C115,ROUND(I115*SETTINGS!$I$8,0)),WORKDAY(C115,ROUND(I115*SETTINGS!$I$8,0))))</f>
        <v/>
      </c>
      <c r="AQ115" s="26" t="str">
        <f aca="true">IF(C115="","",IF(AND(AP115&lt;&gt;"",TODAY()&gt;=AP115),"Refi Ready",IF(TODAY()-C115&gt;=SETTINGS!$I$11,"Prospecting","Performing")))</f>
        <v/>
      </c>
      <c r="AR115" s="35" t="str">
        <f aca="false">IF(OR(C115="",I115="",K115=""),"",IF(K115="Monthly",EDATE(C115,I115),WORKDAY(C115,I115)))</f>
        <v/>
      </c>
      <c r="AS115" s="28"/>
      <c r="AT115" s="36" t="str">
        <f aca="true">IF(C115="","",IF(AM115="Clawed Back","CLAWED",IF(TODAY()&lt;=C115+SETTINGS!$I$2,"⚠ AT RISK","SAFE")))</f>
        <v/>
      </c>
      <c r="AU115" s="28"/>
      <c r="AW115" s="24" t="n">
        <f aca="false">AW114+IF(AND(C115&lt;&gt;"",AO115&lt;&gt;"",OR('REP COMMISSION'!$B$3="",T115='REP COMMISSION'!$B$3,W115='REP COMMISSION'!$B$3,Z115='REP COMMISSION'!$B$3)),1,0)</f>
        <v>0</v>
      </c>
      <c r="AX115" s="24" t="n">
        <f aca="false">AX114+IF(AND(C115&lt;&gt;"",OR(F115="LOC - INITIAL",F115="CONSOLIDATION - UPFRONT COMM",F115="REVERSE - TOTAL FUNDING")),1,0)</f>
        <v>0</v>
      </c>
    </row>
    <row r="116" customFormat="false" ht="15" hidden="false" customHeight="false" outlineLevel="0" collapsed="false">
      <c r="A116" s="8" t="str">
        <f aca="false">IF(C116&lt;&gt;"","F"&amp;COUNT($C$4:C116),"")</f>
        <v/>
      </c>
      <c r="B116" s="9" t="str">
        <f aca="false">IF(OR(F116="LOC - INITIAL",F116="CONSOLIDATION - UPFRONT COMM",F116="REVERSE - TOTAL FUNDING"),A116,"")</f>
        <v/>
      </c>
      <c r="C116" s="10"/>
      <c r="D116" s="11"/>
      <c r="E116" s="11"/>
      <c r="F116" s="11"/>
      <c r="G116" s="12"/>
      <c r="H116" s="13"/>
      <c r="I116" s="11"/>
      <c r="J116" s="14" t="str">
        <f aca="false">IF(AND(G116&lt;&gt;"",H116&lt;&gt;""),G116*H116,"")</f>
        <v/>
      </c>
      <c r="K116" s="11"/>
      <c r="L116" s="15"/>
      <c r="M116" s="15"/>
      <c r="N116" s="14" t="n">
        <f aca="false">IF(OR(G116="",M116=""),0,IF(M116&gt;100,M116,G116*IF(M116&gt;1,M116/100,M116)))</f>
        <v>0</v>
      </c>
      <c r="O116" s="14" t="str">
        <f aca="false">IF(G116="","",G116*IF(L116="",0,IF(L116&gt;1,L116/100,L116))+N116)</f>
        <v/>
      </c>
      <c r="P116" s="11"/>
      <c r="Q116" s="16" t="str">
        <f aca="false">IF(P116="","",IFERROR(VLOOKUP(P116,PARTNERS!$A$2:$B$30,2,0),""))</f>
        <v/>
      </c>
      <c r="R116" s="17" t="str">
        <f aca="false">IF(O116="","",IF(OR(P116="",Q116=""),0,(O116-N116)*IF(Q116&gt;1,Q116/100,Q116)))</f>
        <v/>
      </c>
      <c r="S116" s="14" t="str">
        <f aca="false">IF(O116="","",O116-R116)</f>
        <v/>
      </c>
      <c r="T116" s="11"/>
      <c r="U116" s="18" t="str">
        <f aca="false">IF(T116="","",IFERROR(VLOOKUP(T116,REPS!$A$2:$D$40,2,0),""))</f>
        <v/>
      </c>
      <c r="V116" s="14" t="str">
        <f aca="false">IF(O116="","",IF(U116="",0,O116*IF(U116&gt;1,U116/100,U116)))</f>
        <v/>
      </c>
      <c r="W116" s="11"/>
      <c r="X116" s="18" t="str">
        <f aca="false">IF(W116="","",IFERROR(VLOOKUP(W116,REPS!$A$2:$D$40,3,0),""))</f>
        <v/>
      </c>
      <c r="Y116" s="14" t="str">
        <f aca="false">IF(O116="","",IF(X116="",0,O116*IF(X116&gt;1,X116/100,X116)))</f>
        <v/>
      </c>
      <c r="Z116" s="11"/>
      <c r="AA116" s="18" t="str">
        <f aca="false">IF(Z116="","",IFERROR(VLOOKUP(Z116,REPS!$A$2:$D$40,4,0),""))</f>
        <v/>
      </c>
      <c r="AB116" s="14" t="str">
        <f aca="false">IF(O116="","",IF(AA116="",0,O116*IF(AA116&gt;1,AA116/100,AA116)))</f>
        <v/>
      </c>
      <c r="AC116" s="14" t="str">
        <f aca="false">IF(O116="","",V116+Y116+AB116)</f>
        <v/>
      </c>
      <c r="AD116" s="19" t="str">
        <f aca="false">IF(O116="","",O116-R116-AC116)</f>
        <v/>
      </c>
      <c r="AE116" s="20"/>
      <c r="AF116" s="10"/>
      <c r="AG116" s="21" t="n">
        <f aca="false">IF(OR(AE116="",AE116=0),0,AE116*IF(U116="",0,IF(U116&gt;1,U116/100,U116)))</f>
        <v>0</v>
      </c>
      <c r="AH116" s="21" t="n">
        <f aca="false">IF(OR(AE116="",AE116=0),0,AE116*IF(X116="",0,IF(X116&gt;1,X116/100,X116)))</f>
        <v>0</v>
      </c>
      <c r="AI116" s="21" t="n">
        <f aca="false">IF(OR(AE116="",AE116=0),0,AE116*IF(AA116="",0,IF(AA116&gt;1,AA116/100,AA116)))</f>
        <v>0</v>
      </c>
      <c r="AJ116" s="21" t="n">
        <f aca="false">AG116+AH116+AI116</f>
        <v>0</v>
      </c>
      <c r="AK116" s="21" t="n">
        <f aca="false">IF(OR(AE116="",AE116=0),0,AE116-AJ116)</f>
        <v>0</v>
      </c>
      <c r="AL116" s="19" t="str">
        <f aca="false">IF(AD116="","",AD116-AK116)</f>
        <v/>
      </c>
      <c r="AM116" s="9" t="str">
        <f aca="false">IF(C116="","","Waiting for payment")</f>
        <v/>
      </c>
      <c r="AN116" s="10"/>
      <c r="AO116" s="10"/>
      <c r="AP116" s="22" t="str">
        <f aca="false">IF(OR(C116="",I116="",K116=""),"",IF(K116="Monthly",EDATE(C116,ROUND(I116*SETTINGS!$I$8,0)),WORKDAY(C116,ROUND(I116*SETTINGS!$I$8,0))))</f>
        <v/>
      </c>
      <c r="AQ116" s="9" t="str">
        <f aca="true">IF(C116="","",IF(AND(AP116&lt;&gt;"",TODAY()&gt;=AP116),"Refi Ready",IF(TODAY()-C116&gt;=SETTINGS!$I$11,"Prospecting","Performing")))</f>
        <v/>
      </c>
      <c r="AR116" s="22" t="str">
        <f aca="false">IF(OR(C116="",I116="",K116=""),"",IF(K116="Monthly",EDATE(C116,I116),WORKDAY(C116,I116)))</f>
        <v/>
      </c>
      <c r="AS116" s="11"/>
      <c r="AT116" s="23" t="str">
        <f aca="true">IF(C116="","",IF(AM116="Clawed Back","CLAWED",IF(TODAY()&lt;=C116+SETTINGS!$I$2,"⚠ AT RISK","SAFE")))</f>
        <v/>
      </c>
      <c r="AU116" s="11"/>
      <c r="AW116" s="24" t="n">
        <f aca="false">AW115+IF(AND(C116&lt;&gt;"",AO116&lt;&gt;"",OR('REP COMMISSION'!$B$3="",T116='REP COMMISSION'!$B$3,W116='REP COMMISSION'!$B$3,Z116='REP COMMISSION'!$B$3)),1,0)</f>
        <v>0</v>
      </c>
      <c r="AX116" s="24" t="n">
        <f aca="false">AX115+IF(AND(C116&lt;&gt;"",OR(F116="LOC - INITIAL",F116="CONSOLIDATION - UPFRONT COMM",F116="REVERSE - TOTAL FUNDING")),1,0)</f>
        <v>0</v>
      </c>
    </row>
    <row r="117" customFormat="false" ht="15" hidden="false" customHeight="false" outlineLevel="0" collapsed="false">
      <c r="A117" s="25" t="str">
        <f aca="false">IF(C117&lt;&gt;"","F"&amp;COUNT($C$4:C117),"")</f>
        <v/>
      </c>
      <c r="B117" s="26" t="str">
        <f aca="false">IF(OR(F117="LOC - INITIAL",F117="CONSOLIDATION - UPFRONT COMM",F117="REVERSE - TOTAL FUNDING"),A117,"")</f>
        <v/>
      </c>
      <c r="C117" s="27"/>
      <c r="D117" s="28"/>
      <c r="E117" s="28"/>
      <c r="F117" s="28"/>
      <c r="G117" s="29"/>
      <c r="H117" s="30"/>
      <c r="I117" s="28"/>
      <c r="J117" s="31" t="str">
        <f aca="false">IF(AND(G117&lt;&gt;"",H117&lt;&gt;""),G117*H117,"")</f>
        <v/>
      </c>
      <c r="K117" s="28"/>
      <c r="L117" s="32"/>
      <c r="M117" s="32"/>
      <c r="N117" s="31" t="n">
        <f aca="false">IF(OR(G117="",M117=""),0,IF(M117&gt;100,M117,G117*IF(M117&gt;1,M117/100,M117)))</f>
        <v>0</v>
      </c>
      <c r="O117" s="31" t="str">
        <f aca="false">IF(G117="","",G117*IF(L117="",0,IF(L117&gt;1,L117/100,L117))+N117)</f>
        <v/>
      </c>
      <c r="P117" s="28"/>
      <c r="Q117" s="33" t="str">
        <f aca="false">IF(P117="","",IFERROR(VLOOKUP(P117,PARTNERS!$A$2:$B$30,2,0),""))</f>
        <v/>
      </c>
      <c r="R117" s="17" t="str">
        <f aca="false">IF(O117="","",IF(OR(P117="",Q117=""),0,(O117-N117)*IF(Q117&gt;1,Q117/100,Q117)))</f>
        <v/>
      </c>
      <c r="S117" s="31" t="str">
        <f aca="false">IF(O117="","",O117-R117)</f>
        <v/>
      </c>
      <c r="T117" s="28"/>
      <c r="U117" s="34" t="str">
        <f aca="false">IF(T117="","",IFERROR(VLOOKUP(T117,REPS!$A$2:$D$40,2,0),""))</f>
        <v/>
      </c>
      <c r="V117" s="31" t="str">
        <f aca="false">IF(O117="","",IF(U117="",0,O117*IF(U117&gt;1,U117/100,U117)))</f>
        <v/>
      </c>
      <c r="W117" s="28"/>
      <c r="X117" s="34" t="str">
        <f aca="false">IF(W117="","",IFERROR(VLOOKUP(W117,REPS!$A$2:$D$40,3,0),""))</f>
        <v/>
      </c>
      <c r="Y117" s="31" t="str">
        <f aca="false">IF(O117="","",IF(X117="",0,O117*IF(X117&gt;1,X117/100,X117)))</f>
        <v/>
      </c>
      <c r="Z117" s="28"/>
      <c r="AA117" s="34" t="str">
        <f aca="false">IF(Z117="","",IFERROR(VLOOKUP(Z117,REPS!$A$2:$D$40,4,0),""))</f>
        <v/>
      </c>
      <c r="AB117" s="31" t="str">
        <f aca="false">IF(O117="","",IF(AA117="",0,O117*IF(AA117&gt;1,AA117/100,AA117)))</f>
        <v/>
      </c>
      <c r="AC117" s="31" t="str">
        <f aca="false">IF(O117="","",V117+Y117+AB117)</f>
        <v/>
      </c>
      <c r="AD117" s="19" t="str">
        <f aca="false">IF(O117="","",O117-R117-AC117)</f>
        <v/>
      </c>
      <c r="AE117" s="20"/>
      <c r="AF117" s="27"/>
      <c r="AG117" s="21" t="n">
        <f aca="false">IF(OR(AE117="",AE117=0),0,AE117*IF(U117="",0,IF(U117&gt;1,U117/100,U117)))</f>
        <v>0</v>
      </c>
      <c r="AH117" s="21" t="n">
        <f aca="false">IF(OR(AE117="",AE117=0),0,AE117*IF(X117="",0,IF(X117&gt;1,X117/100,X117)))</f>
        <v>0</v>
      </c>
      <c r="AI117" s="21" t="n">
        <f aca="false">IF(OR(AE117="",AE117=0),0,AE117*IF(AA117="",0,IF(AA117&gt;1,AA117/100,AA117)))</f>
        <v>0</v>
      </c>
      <c r="AJ117" s="21" t="n">
        <f aca="false">AG117+AH117+AI117</f>
        <v>0</v>
      </c>
      <c r="AK117" s="21" t="n">
        <f aca="false">IF(OR(AE117="",AE117=0),0,AE117-AJ117)</f>
        <v>0</v>
      </c>
      <c r="AL117" s="19" t="str">
        <f aca="false">IF(AD117="","",AD117-AK117)</f>
        <v/>
      </c>
      <c r="AM117" s="26" t="str">
        <f aca="false">IF(C117="","","Waiting for payment")</f>
        <v/>
      </c>
      <c r="AN117" s="27"/>
      <c r="AO117" s="27"/>
      <c r="AP117" s="35" t="str">
        <f aca="false">IF(OR(C117="",I117="",K117=""),"",IF(K117="Monthly",EDATE(C117,ROUND(I117*SETTINGS!$I$8,0)),WORKDAY(C117,ROUND(I117*SETTINGS!$I$8,0))))</f>
        <v/>
      </c>
      <c r="AQ117" s="26" t="str">
        <f aca="true">IF(C117="","",IF(AND(AP117&lt;&gt;"",TODAY()&gt;=AP117),"Refi Ready",IF(TODAY()-C117&gt;=SETTINGS!$I$11,"Prospecting","Performing")))</f>
        <v/>
      </c>
      <c r="AR117" s="35" t="str">
        <f aca="false">IF(OR(C117="",I117="",K117=""),"",IF(K117="Monthly",EDATE(C117,I117),WORKDAY(C117,I117)))</f>
        <v/>
      </c>
      <c r="AS117" s="28"/>
      <c r="AT117" s="36" t="str">
        <f aca="true">IF(C117="","",IF(AM117="Clawed Back","CLAWED",IF(TODAY()&lt;=C117+SETTINGS!$I$2,"⚠ AT RISK","SAFE")))</f>
        <v/>
      </c>
      <c r="AU117" s="28"/>
      <c r="AW117" s="24" t="n">
        <f aca="false">AW116+IF(AND(C117&lt;&gt;"",AO117&lt;&gt;"",OR('REP COMMISSION'!$B$3="",T117='REP COMMISSION'!$B$3,W117='REP COMMISSION'!$B$3,Z117='REP COMMISSION'!$B$3)),1,0)</f>
        <v>0</v>
      </c>
      <c r="AX117" s="24" t="n">
        <f aca="false">AX116+IF(AND(C117&lt;&gt;"",OR(F117="LOC - INITIAL",F117="CONSOLIDATION - UPFRONT COMM",F117="REVERSE - TOTAL FUNDING")),1,0)</f>
        <v>0</v>
      </c>
    </row>
    <row r="118" customFormat="false" ht="15" hidden="false" customHeight="false" outlineLevel="0" collapsed="false">
      <c r="A118" s="8" t="str">
        <f aca="false">IF(C118&lt;&gt;"","F"&amp;COUNT($C$4:C118),"")</f>
        <v/>
      </c>
      <c r="B118" s="9" t="str">
        <f aca="false">IF(OR(F118="LOC - INITIAL",F118="CONSOLIDATION - UPFRONT COMM",F118="REVERSE - TOTAL FUNDING"),A118,"")</f>
        <v/>
      </c>
      <c r="C118" s="10"/>
      <c r="D118" s="11"/>
      <c r="E118" s="11"/>
      <c r="F118" s="11"/>
      <c r="G118" s="12"/>
      <c r="H118" s="13"/>
      <c r="I118" s="11"/>
      <c r="J118" s="14" t="str">
        <f aca="false">IF(AND(G118&lt;&gt;"",H118&lt;&gt;""),G118*H118,"")</f>
        <v/>
      </c>
      <c r="K118" s="11"/>
      <c r="L118" s="15"/>
      <c r="M118" s="15"/>
      <c r="N118" s="14" t="n">
        <f aca="false">IF(OR(G118="",M118=""),0,IF(M118&gt;100,M118,G118*IF(M118&gt;1,M118/100,M118)))</f>
        <v>0</v>
      </c>
      <c r="O118" s="14" t="str">
        <f aca="false">IF(G118="","",G118*IF(L118="",0,IF(L118&gt;1,L118/100,L118))+N118)</f>
        <v/>
      </c>
      <c r="P118" s="11"/>
      <c r="Q118" s="16" t="str">
        <f aca="false">IF(P118="","",IFERROR(VLOOKUP(P118,PARTNERS!$A$2:$B$30,2,0),""))</f>
        <v/>
      </c>
      <c r="R118" s="17" t="str">
        <f aca="false">IF(O118="","",IF(OR(P118="",Q118=""),0,(O118-N118)*IF(Q118&gt;1,Q118/100,Q118)))</f>
        <v/>
      </c>
      <c r="S118" s="14" t="str">
        <f aca="false">IF(O118="","",O118-R118)</f>
        <v/>
      </c>
      <c r="T118" s="11"/>
      <c r="U118" s="18" t="str">
        <f aca="false">IF(T118="","",IFERROR(VLOOKUP(T118,REPS!$A$2:$D$40,2,0),""))</f>
        <v/>
      </c>
      <c r="V118" s="14" t="str">
        <f aca="false">IF(O118="","",IF(U118="",0,O118*IF(U118&gt;1,U118/100,U118)))</f>
        <v/>
      </c>
      <c r="W118" s="11"/>
      <c r="X118" s="18" t="str">
        <f aca="false">IF(W118="","",IFERROR(VLOOKUP(W118,REPS!$A$2:$D$40,3,0),""))</f>
        <v/>
      </c>
      <c r="Y118" s="14" t="str">
        <f aca="false">IF(O118="","",IF(X118="",0,O118*IF(X118&gt;1,X118/100,X118)))</f>
        <v/>
      </c>
      <c r="Z118" s="11"/>
      <c r="AA118" s="18" t="str">
        <f aca="false">IF(Z118="","",IFERROR(VLOOKUP(Z118,REPS!$A$2:$D$40,4,0),""))</f>
        <v/>
      </c>
      <c r="AB118" s="14" t="str">
        <f aca="false">IF(O118="","",IF(AA118="",0,O118*IF(AA118&gt;1,AA118/100,AA118)))</f>
        <v/>
      </c>
      <c r="AC118" s="14" t="str">
        <f aca="false">IF(O118="","",V118+Y118+AB118)</f>
        <v/>
      </c>
      <c r="AD118" s="19" t="str">
        <f aca="false">IF(O118="","",O118-R118-AC118)</f>
        <v/>
      </c>
      <c r="AE118" s="20"/>
      <c r="AF118" s="10"/>
      <c r="AG118" s="21" t="n">
        <f aca="false">IF(OR(AE118="",AE118=0),0,AE118*IF(U118="",0,IF(U118&gt;1,U118/100,U118)))</f>
        <v>0</v>
      </c>
      <c r="AH118" s="21" t="n">
        <f aca="false">IF(OR(AE118="",AE118=0),0,AE118*IF(X118="",0,IF(X118&gt;1,X118/100,X118)))</f>
        <v>0</v>
      </c>
      <c r="AI118" s="21" t="n">
        <f aca="false">IF(OR(AE118="",AE118=0),0,AE118*IF(AA118="",0,IF(AA118&gt;1,AA118/100,AA118)))</f>
        <v>0</v>
      </c>
      <c r="AJ118" s="21" t="n">
        <f aca="false">AG118+AH118+AI118</f>
        <v>0</v>
      </c>
      <c r="AK118" s="21" t="n">
        <f aca="false">IF(OR(AE118="",AE118=0),0,AE118-AJ118)</f>
        <v>0</v>
      </c>
      <c r="AL118" s="19" t="str">
        <f aca="false">IF(AD118="","",AD118-AK118)</f>
        <v/>
      </c>
      <c r="AM118" s="9" t="str">
        <f aca="false">IF(C118="","","Waiting for payment")</f>
        <v/>
      </c>
      <c r="AN118" s="10"/>
      <c r="AO118" s="10"/>
      <c r="AP118" s="22" t="str">
        <f aca="false">IF(OR(C118="",I118="",K118=""),"",IF(K118="Monthly",EDATE(C118,ROUND(I118*SETTINGS!$I$8,0)),WORKDAY(C118,ROUND(I118*SETTINGS!$I$8,0))))</f>
        <v/>
      </c>
      <c r="AQ118" s="9" t="str">
        <f aca="true">IF(C118="","",IF(AND(AP118&lt;&gt;"",TODAY()&gt;=AP118),"Refi Ready",IF(TODAY()-C118&gt;=SETTINGS!$I$11,"Prospecting","Performing")))</f>
        <v/>
      </c>
      <c r="AR118" s="22" t="str">
        <f aca="false">IF(OR(C118="",I118="",K118=""),"",IF(K118="Monthly",EDATE(C118,I118),WORKDAY(C118,I118)))</f>
        <v/>
      </c>
      <c r="AS118" s="11"/>
      <c r="AT118" s="23" t="str">
        <f aca="true">IF(C118="","",IF(AM118="Clawed Back","CLAWED",IF(TODAY()&lt;=C118+SETTINGS!$I$2,"⚠ AT RISK","SAFE")))</f>
        <v/>
      </c>
      <c r="AU118" s="11"/>
      <c r="AW118" s="24" t="n">
        <f aca="false">AW117+IF(AND(C118&lt;&gt;"",AO118&lt;&gt;"",OR('REP COMMISSION'!$B$3="",T118='REP COMMISSION'!$B$3,W118='REP COMMISSION'!$B$3,Z118='REP COMMISSION'!$B$3)),1,0)</f>
        <v>0</v>
      </c>
      <c r="AX118" s="24" t="n">
        <f aca="false">AX117+IF(AND(C118&lt;&gt;"",OR(F118="LOC - INITIAL",F118="CONSOLIDATION - UPFRONT COMM",F118="REVERSE - TOTAL FUNDING")),1,0)</f>
        <v>0</v>
      </c>
    </row>
    <row r="119" customFormat="false" ht="15" hidden="false" customHeight="false" outlineLevel="0" collapsed="false">
      <c r="A119" s="25" t="str">
        <f aca="false">IF(C119&lt;&gt;"","F"&amp;COUNT($C$4:C119),"")</f>
        <v/>
      </c>
      <c r="B119" s="26" t="str">
        <f aca="false">IF(OR(F119="LOC - INITIAL",F119="CONSOLIDATION - UPFRONT COMM",F119="REVERSE - TOTAL FUNDING"),A119,"")</f>
        <v/>
      </c>
      <c r="C119" s="27"/>
      <c r="D119" s="28"/>
      <c r="E119" s="28"/>
      <c r="F119" s="28"/>
      <c r="G119" s="29"/>
      <c r="H119" s="30"/>
      <c r="I119" s="28"/>
      <c r="J119" s="31" t="str">
        <f aca="false">IF(AND(G119&lt;&gt;"",H119&lt;&gt;""),G119*H119,"")</f>
        <v/>
      </c>
      <c r="K119" s="28"/>
      <c r="L119" s="32"/>
      <c r="M119" s="32"/>
      <c r="N119" s="31" t="n">
        <f aca="false">IF(OR(G119="",M119=""),0,IF(M119&gt;100,M119,G119*IF(M119&gt;1,M119/100,M119)))</f>
        <v>0</v>
      </c>
      <c r="O119" s="31" t="str">
        <f aca="false">IF(G119="","",G119*IF(L119="",0,IF(L119&gt;1,L119/100,L119))+N119)</f>
        <v/>
      </c>
      <c r="P119" s="28"/>
      <c r="Q119" s="33" t="str">
        <f aca="false">IF(P119="","",IFERROR(VLOOKUP(P119,PARTNERS!$A$2:$B$30,2,0),""))</f>
        <v/>
      </c>
      <c r="R119" s="17" t="str">
        <f aca="false">IF(O119="","",IF(OR(P119="",Q119=""),0,(O119-N119)*IF(Q119&gt;1,Q119/100,Q119)))</f>
        <v/>
      </c>
      <c r="S119" s="31" t="str">
        <f aca="false">IF(O119="","",O119-R119)</f>
        <v/>
      </c>
      <c r="T119" s="28"/>
      <c r="U119" s="34" t="str">
        <f aca="false">IF(T119="","",IFERROR(VLOOKUP(T119,REPS!$A$2:$D$40,2,0),""))</f>
        <v/>
      </c>
      <c r="V119" s="31" t="str">
        <f aca="false">IF(O119="","",IF(U119="",0,O119*IF(U119&gt;1,U119/100,U119)))</f>
        <v/>
      </c>
      <c r="W119" s="28"/>
      <c r="X119" s="34" t="str">
        <f aca="false">IF(W119="","",IFERROR(VLOOKUP(W119,REPS!$A$2:$D$40,3,0),""))</f>
        <v/>
      </c>
      <c r="Y119" s="31" t="str">
        <f aca="false">IF(O119="","",IF(X119="",0,O119*IF(X119&gt;1,X119/100,X119)))</f>
        <v/>
      </c>
      <c r="Z119" s="28"/>
      <c r="AA119" s="34" t="str">
        <f aca="false">IF(Z119="","",IFERROR(VLOOKUP(Z119,REPS!$A$2:$D$40,4,0),""))</f>
        <v/>
      </c>
      <c r="AB119" s="31" t="str">
        <f aca="false">IF(O119="","",IF(AA119="",0,O119*IF(AA119&gt;1,AA119/100,AA119)))</f>
        <v/>
      </c>
      <c r="AC119" s="31" t="str">
        <f aca="false">IF(O119="","",V119+Y119+AB119)</f>
        <v/>
      </c>
      <c r="AD119" s="19" t="str">
        <f aca="false">IF(O119="","",O119-R119-AC119)</f>
        <v/>
      </c>
      <c r="AE119" s="20"/>
      <c r="AF119" s="27"/>
      <c r="AG119" s="21" t="n">
        <f aca="false">IF(OR(AE119="",AE119=0),0,AE119*IF(U119="",0,IF(U119&gt;1,U119/100,U119)))</f>
        <v>0</v>
      </c>
      <c r="AH119" s="21" t="n">
        <f aca="false">IF(OR(AE119="",AE119=0),0,AE119*IF(X119="",0,IF(X119&gt;1,X119/100,X119)))</f>
        <v>0</v>
      </c>
      <c r="AI119" s="21" t="n">
        <f aca="false">IF(OR(AE119="",AE119=0),0,AE119*IF(AA119="",0,IF(AA119&gt;1,AA119/100,AA119)))</f>
        <v>0</v>
      </c>
      <c r="AJ119" s="21" t="n">
        <f aca="false">AG119+AH119+AI119</f>
        <v>0</v>
      </c>
      <c r="AK119" s="21" t="n">
        <f aca="false">IF(OR(AE119="",AE119=0),0,AE119-AJ119)</f>
        <v>0</v>
      </c>
      <c r="AL119" s="19" t="str">
        <f aca="false">IF(AD119="","",AD119-AK119)</f>
        <v/>
      </c>
      <c r="AM119" s="26" t="str">
        <f aca="false">IF(C119="","","Waiting for payment")</f>
        <v/>
      </c>
      <c r="AN119" s="27"/>
      <c r="AO119" s="27"/>
      <c r="AP119" s="35" t="str">
        <f aca="false">IF(OR(C119="",I119="",K119=""),"",IF(K119="Monthly",EDATE(C119,ROUND(I119*SETTINGS!$I$8,0)),WORKDAY(C119,ROUND(I119*SETTINGS!$I$8,0))))</f>
        <v/>
      </c>
      <c r="AQ119" s="26" t="str">
        <f aca="true">IF(C119="","",IF(AND(AP119&lt;&gt;"",TODAY()&gt;=AP119),"Refi Ready",IF(TODAY()-C119&gt;=SETTINGS!$I$11,"Prospecting","Performing")))</f>
        <v/>
      </c>
      <c r="AR119" s="35" t="str">
        <f aca="false">IF(OR(C119="",I119="",K119=""),"",IF(K119="Monthly",EDATE(C119,I119),WORKDAY(C119,I119)))</f>
        <v/>
      </c>
      <c r="AS119" s="28"/>
      <c r="AT119" s="36" t="str">
        <f aca="true">IF(C119="","",IF(AM119="Clawed Back","CLAWED",IF(TODAY()&lt;=C119+SETTINGS!$I$2,"⚠ AT RISK","SAFE")))</f>
        <v/>
      </c>
      <c r="AU119" s="28"/>
      <c r="AW119" s="24" t="n">
        <f aca="false">AW118+IF(AND(C119&lt;&gt;"",AO119&lt;&gt;"",OR('REP COMMISSION'!$B$3="",T119='REP COMMISSION'!$B$3,W119='REP COMMISSION'!$B$3,Z119='REP COMMISSION'!$B$3)),1,0)</f>
        <v>0</v>
      </c>
      <c r="AX119" s="24" t="n">
        <f aca="false">AX118+IF(AND(C119&lt;&gt;"",OR(F119="LOC - INITIAL",F119="CONSOLIDATION - UPFRONT COMM",F119="REVERSE - TOTAL FUNDING")),1,0)</f>
        <v>0</v>
      </c>
    </row>
    <row r="120" customFormat="false" ht="15" hidden="false" customHeight="false" outlineLevel="0" collapsed="false">
      <c r="A120" s="8" t="str">
        <f aca="false">IF(C120&lt;&gt;"","F"&amp;COUNT($C$4:C120),"")</f>
        <v/>
      </c>
      <c r="B120" s="9" t="str">
        <f aca="false">IF(OR(F120="LOC - INITIAL",F120="CONSOLIDATION - UPFRONT COMM",F120="REVERSE - TOTAL FUNDING"),A120,"")</f>
        <v/>
      </c>
      <c r="C120" s="10"/>
      <c r="D120" s="11"/>
      <c r="E120" s="11"/>
      <c r="F120" s="11"/>
      <c r="G120" s="12"/>
      <c r="H120" s="13"/>
      <c r="I120" s="11"/>
      <c r="J120" s="14" t="str">
        <f aca="false">IF(AND(G120&lt;&gt;"",H120&lt;&gt;""),G120*H120,"")</f>
        <v/>
      </c>
      <c r="K120" s="11"/>
      <c r="L120" s="15"/>
      <c r="M120" s="15"/>
      <c r="N120" s="14" t="n">
        <f aca="false">IF(OR(G120="",M120=""),0,IF(M120&gt;100,M120,G120*IF(M120&gt;1,M120/100,M120)))</f>
        <v>0</v>
      </c>
      <c r="O120" s="14" t="str">
        <f aca="false">IF(G120="","",G120*IF(L120="",0,IF(L120&gt;1,L120/100,L120))+N120)</f>
        <v/>
      </c>
      <c r="P120" s="11"/>
      <c r="Q120" s="16" t="str">
        <f aca="false">IF(P120="","",IFERROR(VLOOKUP(P120,PARTNERS!$A$2:$B$30,2,0),""))</f>
        <v/>
      </c>
      <c r="R120" s="17" t="str">
        <f aca="false">IF(O120="","",IF(OR(P120="",Q120=""),0,(O120-N120)*IF(Q120&gt;1,Q120/100,Q120)))</f>
        <v/>
      </c>
      <c r="S120" s="14" t="str">
        <f aca="false">IF(O120="","",O120-R120)</f>
        <v/>
      </c>
      <c r="T120" s="11"/>
      <c r="U120" s="18" t="str">
        <f aca="false">IF(T120="","",IFERROR(VLOOKUP(T120,REPS!$A$2:$D$40,2,0),""))</f>
        <v/>
      </c>
      <c r="V120" s="14" t="str">
        <f aca="false">IF(O120="","",IF(U120="",0,O120*IF(U120&gt;1,U120/100,U120)))</f>
        <v/>
      </c>
      <c r="W120" s="11"/>
      <c r="X120" s="18" t="str">
        <f aca="false">IF(W120="","",IFERROR(VLOOKUP(W120,REPS!$A$2:$D$40,3,0),""))</f>
        <v/>
      </c>
      <c r="Y120" s="14" t="str">
        <f aca="false">IF(O120="","",IF(X120="",0,O120*IF(X120&gt;1,X120/100,X120)))</f>
        <v/>
      </c>
      <c r="Z120" s="11"/>
      <c r="AA120" s="18" t="str">
        <f aca="false">IF(Z120="","",IFERROR(VLOOKUP(Z120,REPS!$A$2:$D$40,4,0),""))</f>
        <v/>
      </c>
      <c r="AB120" s="14" t="str">
        <f aca="false">IF(O120="","",IF(AA120="",0,O120*IF(AA120&gt;1,AA120/100,AA120)))</f>
        <v/>
      </c>
      <c r="AC120" s="14" t="str">
        <f aca="false">IF(O120="","",V120+Y120+AB120)</f>
        <v/>
      </c>
      <c r="AD120" s="19" t="str">
        <f aca="false">IF(O120="","",O120-R120-AC120)</f>
        <v/>
      </c>
      <c r="AE120" s="20"/>
      <c r="AF120" s="10"/>
      <c r="AG120" s="21" t="n">
        <f aca="false">IF(OR(AE120="",AE120=0),0,AE120*IF(U120="",0,IF(U120&gt;1,U120/100,U120)))</f>
        <v>0</v>
      </c>
      <c r="AH120" s="21" t="n">
        <f aca="false">IF(OR(AE120="",AE120=0),0,AE120*IF(X120="",0,IF(X120&gt;1,X120/100,X120)))</f>
        <v>0</v>
      </c>
      <c r="AI120" s="21" t="n">
        <f aca="false">IF(OR(AE120="",AE120=0),0,AE120*IF(AA120="",0,IF(AA120&gt;1,AA120/100,AA120)))</f>
        <v>0</v>
      </c>
      <c r="AJ120" s="21" t="n">
        <f aca="false">AG120+AH120+AI120</f>
        <v>0</v>
      </c>
      <c r="AK120" s="21" t="n">
        <f aca="false">IF(OR(AE120="",AE120=0),0,AE120-AJ120)</f>
        <v>0</v>
      </c>
      <c r="AL120" s="19" t="str">
        <f aca="false">IF(AD120="","",AD120-AK120)</f>
        <v/>
      </c>
      <c r="AM120" s="9" t="str">
        <f aca="false">IF(C120="","","Waiting for payment")</f>
        <v/>
      </c>
      <c r="AN120" s="10"/>
      <c r="AO120" s="10"/>
      <c r="AP120" s="22" t="str">
        <f aca="false">IF(OR(C120="",I120="",K120=""),"",IF(K120="Monthly",EDATE(C120,ROUND(I120*SETTINGS!$I$8,0)),WORKDAY(C120,ROUND(I120*SETTINGS!$I$8,0))))</f>
        <v/>
      </c>
      <c r="AQ120" s="9" t="str">
        <f aca="true">IF(C120="","",IF(AND(AP120&lt;&gt;"",TODAY()&gt;=AP120),"Refi Ready",IF(TODAY()-C120&gt;=SETTINGS!$I$11,"Prospecting","Performing")))</f>
        <v/>
      </c>
      <c r="AR120" s="22" t="str">
        <f aca="false">IF(OR(C120="",I120="",K120=""),"",IF(K120="Monthly",EDATE(C120,I120),WORKDAY(C120,I120)))</f>
        <v/>
      </c>
      <c r="AS120" s="11"/>
      <c r="AT120" s="23" t="str">
        <f aca="true">IF(C120="","",IF(AM120="Clawed Back","CLAWED",IF(TODAY()&lt;=C120+SETTINGS!$I$2,"⚠ AT RISK","SAFE")))</f>
        <v/>
      </c>
      <c r="AU120" s="11"/>
      <c r="AW120" s="24" t="n">
        <f aca="false">AW119+IF(AND(C120&lt;&gt;"",AO120&lt;&gt;"",OR('REP COMMISSION'!$B$3="",T120='REP COMMISSION'!$B$3,W120='REP COMMISSION'!$B$3,Z120='REP COMMISSION'!$B$3)),1,0)</f>
        <v>0</v>
      </c>
      <c r="AX120" s="24" t="n">
        <f aca="false">AX119+IF(AND(C120&lt;&gt;"",OR(F120="LOC - INITIAL",F120="CONSOLIDATION - UPFRONT COMM",F120="REVERSE - TOTAL FUNDING")),1,0)</f>
        <v>0</v>
      </c>
    </row>
    <row r="121" customFormat="false" ht="15" hidden="false" customHeight="false" outlineLevel="0" collapsed="false">
      <c r="A121" s="25" t="str">
        <f aca="false">IF(C121&lt;&gt;"","F"&amp;COUNT($C$4:C121),"")</f>
        <v/>
      </c>
      <c r="B121" s="26" t="str">
        <f aca="false">IF(OR(F121="LOC - INITIAL",F121="CONSOLIDATION - UPFRONT COMM",F121="REVERSE - TOTAL FUNDING"),A121,"")</f>
        <v/>
      </c>
      <c r="C121" s="27"/>
      <c r="D121" s="28"/>
      <c r="E121" s="28"/>
      <c r="F121" s="28"/>
      <c r="G121" s="29"/>
      <c r="H121" s="30"/>
      <c r="I121" s="28"/>
      <c r="J121" s="31" t="str">
        <f aca="false">IF(AND(G121&lt;&gt;"",H121&lt;&gt;""),G121*H121,"")</f>
        <v/>
      </c>
      <c r="K121" s="28"/>
      <c r="L121" s="32"/>
      <c r="M121" s="32"/>
      <c r="N121" s="31" t="n">
        <f aca="false">IF(OR(G121="",M121=""),0,IF(M121&gt;100,M121,G121*IF(M121&gt;1,M121/100,M121)))</f>
        <v>0</v>
      </c>
      <c r="O121" s="31" t="str">
        <f aca="false">IF(G121="","",G121*IF(L121="",0,IF(L121&gt;1,L121/100,L121))+N121)</f>
        <v/>
      </c>
      <c r="P121" s="28"/>
      <c r="Q121" s="33" t="str">
        <f aca="false">IF(P121="","",IFERROR(VLOOKUP(P121,PARTNERS!$A$2:$B$30,2,0),""))</f>
        <v/>
      </c>
      <c r="R121" s="17" t="str">
        <f aca="false">IF(O121="","",IF(OR(P121="",Q121=""),0,(O121-N121)*IF(Q121&gt;1,Q121/100,Q121)))</f>
        <v/>
      </c>
      <c r="S121" s="31" t="str">
        <f aca="false">IF(O121="","",O121-R121)</f>
        <v/>
      </c>
      <c r="T121" s="28"/>
      <c r="U121" s="34" t="str">
        <f aca="false">IF(T121="","",IFERROR(VLOOKUP(T121,REPS!$A$2:$D$40,2,0),""))</f>
        <v/>
      </c>
      <c r="V121" s="31" t="str">
        <f aca="false">IF(O121="","",IF(U121="",0,O121*IF(U121&gt;1,U121/100,U121)))</f>
        <v/>
      </c>
      <c r="W121" s="28"/>
      <c r="X121" s="34" t="str">
        <f aca="false">IF(W121="","",IFERROR(VLOOKUP(W121,REPS!$A$2:$D$40,3,0),""))</f>
        <v/>
      </c>
      <c r="Y121" s="31" t="str">
        <f aca="false">IF(O121="","",IF(X121="",0,O121*IF(X121&gt;1,X121/100,X121)))</f>
        <v/>
      </c>
      <c r="Z121" s="28"/>
      <c r="AA121" s="34" t="str">
        <f aca="false">IF(Z121="","",IFERROR(VLOOKUP(Z121,REPS!$A$2:$D$40,4,0),""))</f>
        <v/>
      </c>
      <c r="AB121" s="31" t="str">
        <f aca="false">IF(O121="","",IF(AA121="",0,O121*IF(AA121&gt;1,AA121/100,AA121)))</f>
        <v/>
      </c>
      <c r="AC121" s="31" t="str">
        <f aca="false">IF(O121="","",V121+Y121+AB121)</f>
        <v/>
      </c>
      <c r="AD121" s="19" t="str">
        <f aca="false">IF(O121="","",O121-R121-AC121)</f>
        <v/>
      </c>
      <c r="AE121" s="20"/>
      <c r="AF121" s="27"/>
      <c r="AG121" s="21" t="n">
        <f aca="false">IF(OR(AE121="",AE121=0),0,AE121*IF(U121="",0,IF(U121&gt;1,U121/100,U121)))</f>
        <v>0</v>
      </c>
      <c r="AH121" s="21" t="n">
        <f aca="false">IF(OR(AE121="",AE121=0),0,AE121*IF(X121="",0,IF(X121&gt;1,X121/100,X121)))</f>
        <v>0</v>
      </c>
      <c r="AI121" s="21" t="n">
        <f aca="false">IF(OR(AE121="",AE121=0),0,AE121*IF(AA121="",0,IF(AA121&gt;1,AA121/100,AA121)))</f>
        <v>0</v>
      </c>
      <c r="AJ121" s="21" t="n">
        <f aca="false">AG121+AH121+AI121</f>
        <v>0</v>
      </c>
      <c r="AK121" s="21" t="n">
        <f aca="false">IF(OR(AE121="",AE121=0),0,AE121-AJ121)</f>
        <v>0</v>
      </c>
      <c r="AL121" s="19" t="str">
        <f aca="false">IF(AD121="","",AD121-AK121)</f>
        <v/>
      </c>
      <c r="AM121" s="26" t="str">
        <f aca="false">IF(C121="","","Waiting for payment")</f>
        <v/>
      </c>
      <c r="AN121" s="27"/>
      <c r="AO121" s="27"/>
      <c r="AP121" s="35" t="str">
        <f aca="false">IF(OR(C121="",I121="",K121=""),"",IF(K121="Monthly",EDATE(C121,ROUND(I121*SETTINGS!$I$8,0)),WORKDAY(C121,ROUND(I121*SETTINGS!$I$8,0))))</f>
        <v/>
      </c>
      <c r="AQ121" s="26" t="str">
        <f aca="true">IF(C121="","",IF(AND(AP121&lt;&gt;"",TODAY()&gt;=AP121),"Refi Ready",IF(TODAY()-C121&gt;=SETTINGS!$I$11,"Prospecting","Performing")))</f>
        <v/>
      </c>
      <c r="AR121" s="35" t="str">
        <f aca="false">IF(OR(C121="",I121="",K121=""),"",IF(K121="Monthly",EDATE(C121,I121),WORKDAY(C121,I121)))</f>
        <v/>
      </c>
      <c r="AS121" s="28"/>
      <c r="AT121" s="36" t="str">
        <f aca="true">IF(C121="","",IF(AM121="Clawed Back","CLAWED",IF(TODAY()&lt;=C121+SETTINGS!$I$2,"⚠ AT RISK","SAFE")))</f>
        <v/>
      </c>
      <c r="AU121" s="28"/>
      <c r="AW121" s="24" t="n">
        <f aca="false">AW120+IF(AND(C121&lt;&gt;"",AO121&lt;&gt;"",OR('REP COMMISSION'!$B$3="",T121='REP COMMISSION'!$B$3,W121='REP COMMISSION'!$B$3,Z121='REP COMMISSION'!$B$3)),1,0)</f>
        <v>0</v>
      </c>
      <c r="AX121" s="24" t="n">
        <f aca="false">AX120+IF(AND(C121&lt;&gt;"",OR(F121="LOC - INITIAL",F121="CONSOLIDATION - UPFRONT COMM",F121="REVERSE - TOTAL FUNDING")),1,0)</f>
        <v>0</v>
      </c>
    </row>
    <row r="122" customFormat="false" ht="15" hidden="false" customHeight="false" outlineLevel="0" collapsed="false">
      <c r="A122" s="8" t="str">
        <f aca="false">IF(C122&lt;&gt;"","F"&amp;COUNT($C$4:C122),"")</f>
        <v/>
      </c>
      <c r="B122" s="9" t="str">
        <f aca="false">IF(OR(F122="LOC - INITIAL",F122="CONSOLIDATION - UPFRONT COMM",F122="REVERSE - TOTAL FUNDING"),A122,"")</f>
        <v/>
      </c>
      <c r="C122" s="10"/>
      <c r="D122" s="11"/>
      <c r="E122" s="11"/>
      <c r="F122" s="11"/>
      <c r="G122" s="12"/>
      <c r="H122" s="13"/>
      <c r="I122" s="11"/>
      <c r="J122" s="14" t="str">
        <f aca="false">IF(AND(G122&lt;&gt;"",H122&lt;&gt;""),G122*H122,"")</f>
        <v/>
      </c>
      <c r="K122" s="11"/>
      <c r="L122" s="15"/>
      <c r="M122" s="15"/>
      <c r="N122" s="14" t="n">
        <f aca="false">IF(OR(G122="",M122=""),0,IF(M122&gt;100,M122,G122*IF(M122&gt;1,M122/100,M122)))</f>
        <v>0</v>
      </c>
      <c r="O122" s="14" t="str">
        <f aca="false">IF(G122="","",G122*IF(L122="",0,IF(L122&gt;1,L122/100,L122))+N122)</f>
        <v/>
      </c>
      <c r="P122" s="11"/>
      <c r="Q122" s="16" t="str">
        <f aca="false">IF(P122="","",IFERROR(VLOOKUP(P122,PARTNERS!$A$2:$B$30,2,0),""))</f>
        <v/>
      </c>
      <c r="R122" s="17" t="str">
        <f aca="false">IF(O122="","",IF(OR(P122="",Q122=""),0,(O122-N122)*IF(Q122&gt;1,Q122/100,Q122)))</f>
        <v/>
      </c>
      <c r="S122" s="14" t="str">
        <f aca="false">IF(O122="","",O122-R122)</f>
        <v/>
      </c>
      <c r="T122" s="11"/>
      <c r="U122" s="18" t="str">
        <f aca="false">IF(T122="","",IFERROR(VLOOKUP(T122,REPS!$A$2:$D$40,2,0),""))</f>
        <v/>
      </c>
      <c r="V122" s="14" t="str">
        <f aca="false">IF(O122="","",IF(U122="",0,O122*IF(U122&gt;1,U122/100,U122)))</f>
        <v/>
      </c>
      <c r="W122" s="11"/>
      <c r="X122" s="18" t="str">
        <f aca="false">IF(W122="","",IFERROR(VLOOKUP(W122,REPS!$A$2:$D$40,3,0),""))</f>
        <v/>
      </c>
      <c r="Y122" s="14" t="str">
        <f aca="false">IF(O122="","",IF(X122="",0,O122*IF(X122&gt;1,X122/100,X122)))</f>
        <v/>
      </c>
      <c r="Z122" s="11"/>
      <c r="AA122" s="18" t="str">
        <f aca="false">IF(Z122="","",IFERROR(VLOOKUP(Z122,REPS!$A$2:$D$40,4,0),""))</f>
        <v/>
      </c>
      <c r="AB122" s="14" t="str">
        <f aca="false">IF(O122="","",IF(AA122="",0,O122*IF(AA122&gt;1,AA122/100,AA122)))</f>
        <v/>
      </c>
      <c r="AC122" s="14" t="str">
        <f aca="false">IF(O122="","",V122+Y122+AB122)</f>
        <v/>
      </c>
      <c r="AD122" s="19" t="str">
        <f aca="false">IF(O122="","",O122-R122-AC122)</f>
        <v/>
      </c>
      <c r="AE122" s="20"/>
      <c r="AF122" s="10"/>
      <c r="AG122" s="21" t="n">
        <f aca="false">IF(OR(AE122="",AE122=0),0,AE122*IF(U122="",0,IF(U122&gt;1,U122/100,U122)))</f>
        <v>0</v>
      </c>
      <c r="AH122" s="21" t="n">
        <f aca="false">IF(OR(AE122="",AE122=0),0,AE122*IF(X122="",0,IF(X122&gt;1,X122/100,X122)))</f>
        <v>0</v>
      </c>
      <c r="AI122" s="21" t="n">
        <f aca="false">IF(OR(AE122="",AE122=0),0,AE122*IF(AA122="",0,IF(AA122&gt;1,AA122/100,AA122)))</f>
        <v>0</v>
      </c>
      <c r="AJ122" s="21" t="n">
        <f aca="false">AG122+AH122+AI122</f>
        <v>0</v>
      </c>
      <c r="AK122" s="21" t="n">
        <f aca="false">IF(OR(AE122="",AE122=0),0,AE122-AJ122)</f>
        <v>0</v>
      </c>
      <c r="AL122" s="19" t="str">
        <f aca="false">IF(AD122="","",AD122-AK122)</f>
        <v/>
      </c>
      <c r="AM122" s="9" t="str">
        <f aca="false">IF(C122="","","Waiting for payment")</f>
        <v/>
      </c>
      <c r="AN122" s="10"/>
      <c r="AO122" s="10"/>
      <c r="AP122" s="22" t="str">
        <f aca="false">IF(OR(C122="",I122="",K122=""),"",IF(K122="Monthly",EDATE(C122,ROUND(I122*SETTINGS!$I$8,0)),WORKDAY(C122,ROUND(I122*SETTINGS!$I$8,0))))</f>
        <v/>
      </c>
      <c r="AQ122" s="9" t="str">
        <f aca="true">IF(C122="","",IF(AND(AP122&lt;&gt;"",TODAY()&gt;=AP122),"Refi Ready",IF(TODAY()-C122&gt;=SETTINGS!$I$11,"Prospecting","Performing")))</f>
        <v/>
      </c>
      <c r="AR122" s="22" t="str">
        <f aca="false">IF(OR(C122="",I122="",K122=""),"",IF(K122="Monthly",EDATE(C122,I122),WORKDAY(C122,I122)))</f>
        <v/>
      </c>
      <c r="AS122" s="11"/>
      <c r="AT122" s="23" t="str">
        <f aca="true">IF(C122="","",IF(AM122="Clawed Back","CLAWED",IF(TODAY()&lt;=C122+SETTINGS!$I$2,"⚠ AT RISK","SAFE")))</f>
        <v/>
      </c>
      <c r="AU122" s="11"/>
      <c r="AW122" s="24" t="n">
        <f aca="false">AW121+IF(AND(C122&lt;&gt;"",AO122&lt;&gt;"",OR('REP COMMISSION'!$B$3="",T122='REP COMMISSION'!$B$3,W122='REP COMMISSION'!$B$3,Z122='REP COMMISSION'!$B$3)),1,0)</f>
        <v>0</v>
      </c>
      <c r="AX122" s="24" t="n">
        <f aca="false">AX121+IF(AND(C122&lt;&gt;"",OR(F122="LOC - INITIAL",F122="CONSOLIDATION - UPFRONT COMM",F122="REVERSE - TOTAL FUNDING")),1,0)</f>
        <v>0</v>
      </c>
    </row>
    <row r="123" customFormat="false" ht="15" hidden="false" customHeight="false" outlineLevel="0" collapsed="false">
      <c r="A123" s="25" t="str">
        <f aca="false">IF(C123&lt;&gt;"","F"&amp;COUNT($C$4:C123),"")</f>
        <v/>
      </c>
      <c r="B123" s="26" t="str">
        <f aca="false">IF(OR(F123="LOC - INITIAL",F123="CONSOLIDATION - UPFRONT COMM",F123="REVERSE - TOTAL FUNDING"),A123,"")</f>
        <v/>
      </c>
      <c r="C123" s="27"/>
      <c r="D123" s="28"/>
      <c r="E123" s="28"/>
      <c r="F123" s="28"/>
      <c r="G123" s="29"/>
      <c r="H123" s="30"/>
      <c r="I123" s="28"/>
      <c r="J123" s="31" t="str">
        <f aca="false">IF(AND(G123&lt;&gt;"",H123&lt;&gt;""),G123*H123,"")</f>
        <v/>
      </c>
      <c r="K123" s="28"/>
      <c r="L123" s="32"/>
      <c r="M123" s="32"/>
      <c r="N123" s="31" t="n">
        <f aca="false">IF(OR(G123="",M123=""),0,IF(M123&gt;100,M123,G123*IF(M123&gt;1,M123/100,M123)))</f>
        <v>0</v>
      </c>
      <c r="O123" s="31" t="str">
        <f aca="false">IF(G123="","",G123*IF(L123="",0,IF(L123&gt;1,L123/100,L123))+N123)</f>
        <v/>
      </c>
      <c r="P123" s="28"/>
      <c r="Q123" s="33" t="str">
        <f aca="false">IF(P123="","",IFERROR(VLOOKUP(P123,PARTNERS!$A$2:$B$30,2,0),""))</f>
        <v/>
      </c>
      <c r="R123" s="17" t="str">
        <f aca="false">IF(O123="","",IF(OR(P123="",Q123=""),0,(O123-N123)*IF(Q123&gt;1,Q123/100,Q123)))</f>
        <v/>
      </c>
      <c r="S123" s="31" t="str">
        <f aca="false">IF(O123="","",O123-R123)</f>
        <v/>
      </c>
      <c r="T123" s="28"/>
      <c r="U123" s="34" t="str">
        <f aca="false">IF(T123="","",IFERROR(VLOOKUP(T123,REPS!$A$2:$D$40,2,0),""))</f>
        <v/>
      </c>
      <c r="V123" s="31" t="str">
        <f aca="false">IF(O123="","",IF(U123="",0,O123*IF(U123&gt;1,U123/100,U123)))</f>
        <v/>
      </c>
      <c r="W123" s="28"/>
      <c r="X123" s="34" t="str">
        <f aca="false">IF(W123="","",IFERROR(VLOOKUP(W123,REPS!$A$2:$D$40,3,0),""))</f>
        <v/>
      </c>
      <c r="Y123" s="31" t="str">
        <f aca="false">IF(O123="","",IF(X123="",0,O123*IF(X123&gt;1,X123/100,X123)))</f>
        <v/>
      </c>
      <c r="Z123" s="28"/>
      <c r="AA123" s="34" t="str">
        <f aca="false">IF(Z123="","",IFERROR(VLOOKUP(Z123,REPS!$A$2:$D$40,4,0),""))</f>
        <v/>
      </c>
      <c r="AB123" s="31" t="str">
        <f aca="false">IF(O123="","",IF(AA123="",0,O123*IF(AA123&gt;1,AA123/100,AA123)))</f>
        <v/>
      </c>
      <c r="AC123" s="31" t="str">
        <f aca="false">IF(O123="","",V123+Y123+AB123)</f>
        <v/>
      </c>
      <c r="AD123" s="19" t="str">
        <f aca="false">IF(O123="","",O123-R123-AC123)</f>
        <v/>
      </c>
      <c r="AE123" s="20"/>
      <c r="AF123" s="27"/>
      <c r="AG123" s="21" t="n">
        <f aca="false">IF(OR(AE123="",AE123=0),0,AE123*IF(U123="",0,IF(U123&gt;1,U123/100,U123)))</f>
        <v>0</v>
      </c>
      <c r="AH123" s="21" t="n">
        <f aca="false">IF(OR(AE123="",AE123=0),0,AE123*IF(X123="",0,IF(X123&gt;1,X123/100,X123)))</f>
        <v>0</v>
      </c>
      <c r="AI123" s="21" t="n">
        <f aca="false">IF(OR(AE123="",AE123=0),0,AE123*IF(AA123="",0,IF(AA123&gt;1,AA123/100,AA123)))</f>
        <v>0</v>
      </c>
      <c r="AJ123" s="21" t="n">
        <f aca="false">AG123+AH123+AI123</f>
        <v>0</v>
      </c>
      <c r="AK123" s="21" t="n">
        <f aca="false">IF(OR(AE123="",AE123=0),0,AE123-AJ123)</f>
        <v>0</v>
      </c>
      <c r="AL123" s="19" t="str">
        <f aca="false">IF(AD123="","",AD123-AK123)</f>
        <v/>
      </c>
      <c r="AM123" s="26" t="str">
        <f aca="false">IF(C123="","","Waiting for payment")</f>
        <v/>
      </c>
      <c r="AN123" s="27"/>
      <c r="AO123" s="27"/>
      <c r="AP123" s="35" t="str">
        <f aca="false">IF(OR(C123="",I123="",K123=""),"",IF(K123="Monthly",EDATE(C123,ROUND(I123*SETTINGS!$I$8,0)),WORKDAY(C123,ROUND(I123*SETTINGS!$I$8,0))))</f>
        <v/>
      </c>
      <c r="AQ123" s="26" t="str">
        <f aca="true">IF(C123="","",IF(AND(AP123&lt;&gt;"",TODAY()&gt;=AP123),"Refi Ready",IF(TODAY()-C123&gt;=SETTINGS!$I$11,"Prospecting","Performing")))</f>
        <v/>
      </c>
      <c r="AR123" s="35" t="str">
        <f aca="false">IF(OR(C123="",I123="",K123=""),"",IF(K123="Monthly",EDATE(C123,I123),WORKDAY(C123,I123)))</f>
        <v/>
      </c>
      <c r="AS123" s="28"/>
      <c r="AT123" s="36" t="str">
        <f aca="true">IF(C123="","",IF(AM123="Clawed Back","CLAWED",IF(TODAY()&lt;=C123+SETTINGS!$I$2,"⚠ AT RISK","SAFE")))</f>
        <v/>
      </c>
      <c r="AU123" s="28"/>
      <c r="AW123" s="24" t="n">
        <f aca="false">AW122+IF(AND(C123&lt;&gt;"",AO123&lt;&gt;"",OR('REP COMMISSION'!$B$3="",T123='REP COMMISSION'!$B$3,W123='REP COMMISSION'!$B$3,Z123='REP COMMISSION'!$B$3)),1,0)</f>
        <v>0</v>
      </c>
      <c r="AX123" s="24" t="n">
        <f aca="false">AX122+IF(AND(C123&lt;&gt;"",OR(F123="LOC - INITIAL",F123="CONSOLIDATION - UPFRONT COMM",F123="REVERSE - TOTAL FUNDING")),1,0)</f>
        <v>0</v>
      </c>
    </row>
    <row r="124" customFormat="false" ht="15" hidden="false" customHeight="false" outlineLevel="0" collapsed="false">
      <c r="A124" s="8" t="str">
        <f aca="false">IF(C124&lt;&gt;"","F"&amp;COUNT($C$4:C124),"")</f>
        <v/>
      </c>
      <c r="B124" s="9" t="str">
        <f aca="false">IF(OR(F124="LOC - INITIAL",F124="CONSOLIDATION - UPFRONT COMM",F124="REVERSE - TOTAL FUNDING"),A124,"")</f>
        <v/>
      </c>
      <c r="C124" s="10"/>
      <c r="D124" s="11"/>
      <c r="E124" s="11"/>
      <c r="F124" s="11"/>
      <c r="G124" s="12"/>
      <c r="H124" s="13"/>
      <c r="I124" s="11"/>
      <c r="J124" s="14" t="str">
        <f aca="false">IF(AND(G124&lt;&gt;"",H124&lt;&gt;""),G124*H124,"")</f>
        <v/>
      </c>
      <c r="K124" s="11"/>
      <c r="L124" s="15"/>
      <c r="M124" s="15"/>
      <c r="N124" s="14" t="n">
        <f aca="false">IF(OR(G124="",M124=""),0,IF(M124&gt;100,M124,G124*IF(M124&gt;1,M124/100,M124)))</f>
        <v>0</v>
      </c>
      <c r="O124" s="14" t="str">
        <f aca="false">IF(G124="","",G124*IF(L124="",0,IF(L124&gt;1,L124/100,L124))+N124)</f>
        <v/>
      </c>
      <c r="P124" s="11"/>
      <c r="Q124" s="16" t="str">
        <f aca="false">IF(P124="","",IFERROR(VLOOKUP(P124,PARTNERS!$A$2:$B$30,2,0),""))</f>
        <v/>
      </c>
      <c r="R124" s="17" t="str">
        <f aca="false">IF(O124="","",IF(OR(P124="",Q124=""),0,(O124-N124)*IF(Q124&gt;1,Q124/100,Q124)))</f>
        <v/>
      </c>
      <c r="S124" s="14" t="str">
        <f aca="false">IF(O124="","",O124-R124)</f>
        <v/>
      </c>
      <c r="T124" s="11"/>
      <c r="U124" s="18" t="str">
        <f aca="false">IF(T124="","",IFERROR(VLOOKUP(T124,REPS!$A$2:$D$40,2,0),""))</f>
        <v/>
      </c>
      <c r="V124" s="14" t="str">
        <f aca="false">IF(O124="","",IF(U124="",0,O124*IF(U124&gt;1,U124/100,U124)))</f>
        <v/>
      </c>
      <c r="W124" s="11"/>
      <c r="X124" s="18" t="str">
        <f aca="false">IF(W124="","",IFERROR(VLOOKUP(W124,REPS!$A$2:$D$40,3,0),""))</f>
        <v/>
      </c>
      <c r="Y124" s="14" t="str">
        <f aca="false">IF(O124="","",IF(X124="",0,O124*IF(X124&gt;1,X124/100,X124)))</f>
        <v/>
      </c>
      <c r="Z124" s="11"/>
      <c r="AA124" s="18" t="str">
        <f aca="false">IF(Z124="","",IFERROR(VLOOKUP(Z124,REPS!$A$2:$D$40,4,0),""))</f>
        <v/>
      </c>
      <c r="AB124" s="14" t="str">
        <f aca="false">IF(O124="","",IF(AA124="",0,O124*IF(AA124&gt;1,AA124/100,AA124)))</f>
        <v/>
      </c>
      <c r="AC124" s="14" t="str">
        <f aca="false">IF(O124="","",V124+Y124+AB124)</f>
        <v/>
      </c>
      <c r="AD124" s="19" t="str">
        <f aca="false">IF(O124="","",O124-R124-AC124)</f>
        <v/>
      </c>
      <c r="AE124" s="20"/>
      <c r="AF124" s="10"/>
      <c r="AG124" s="21" t="n">
        <f aca="false">IF(OR(AE124="",AE124=0),0,AE124*IF(U124="",0,IF(U124&gt;1,U124/100,U124)))</f>
        <v>0</v>
      </c>
      <c r="AH124" s="21" t="n">
        <f aca="false">IF(OR(AE124="",AE124=0),0,AE124*IF(X124="",0,IF(X124&gt;1,X124/100,X124)))</f>
        <v>0</v>
      </c>
      <c r="AI124" s="21" t="n">
        <f aca="false">IF(OR(AE124="",AE124=0),0,AE124*IF(AA124="",0,IF(AA124&gt;1,AA124/100,AA124)))</f>
        <v>0</v>
      </c>
      <c r="AJ124" s="21" t="n">
        <f aca="false">AG124+AH124+AI124</f>
        <v>0</v>
      </c>
      <c r="AK124" s="21" t="n">
        <f aca="false">IF(OR(AE124="",AE124=0),0,AE124-AJ124)</f>
        <v>0</v>
      </c>
      <c r="AL124" s="19" t="str">
        <f aca="false">IF(AD124="","",AD124-AK124)</f>
        <v/>
      </c>
      <c r="AM124" s="9" t="str">
        <f aca="false">IF(C124="","","Waiting for payment")</f>
        <v/>
      </c>
      <c r="AN124" s="10"/>
      <c r="AO124" s="10"/>
      <c r="AP124" s="22" t="str">
        <f aca="false">IF(OR(C124="",I124="",K124=""),"",IF(K124="Monthly",EDATE(C124,ROUND(I124*SETTINGS!$I$8,0)),WORKDAY(C124,ROUND(I124*SETTINGS!$I$8,0))))</f>
        <v/>
      </c>
      <c r="AQ124" s="9" t="str">
        <f aca="true">IF(C124="","",IF(AND(AP124&lt;&gt;"",TODAY()&gt;=AP124),"Refi Ready",IF(TODAY()-C124&gt;=SETTINGS!$I$11,"Prospecting","Performing")))</f>
        <v/>
      </c>
      <c r="AR124" s="22" t="str">
        <f aca="false">IF(OR(C124="",I124="",K124=""),"",IF(K124="Monthly",EDATE(C124,I124),WORKDAY(C124,I124)))</f>
        <v/>
      </c>
      <c r="AS124" s="11"/>
      <c r="AT124" s="23" t="str">
        <f aca="true">IF(C124="","",IF(AM124="Clawed Back","CLAWED",IF(TODAY()&lt;=C124+SETTINGS!$I$2,"⚠ AT RISK","SAFE")))</f>
        <v/>
      </c>
      <c r="AU124" s="11"/>
      <c r="AW124" s="24" t="n">
        <f aca="false">AW123+IF(AND(C124&lt;&gt;"",AO124&lt;&gt;"",OR('REP COMMISSION'!$B$3="",T124='REP COMMISSION'!$B$3,W124='REP COMMISSION'!$B$3,Z124='REP COMMISSION'!$B$3)),1,0)</f>
        <v>0</v>
      </c>
      <c r="AX124" s="24" t="n">
        <f aca="false">AX123+IF(AND(C124&lt;&gt;"",OR(F124="LOC - INITIAL",F124="CONSOLIDATION - UPFRONT COMM",F124="REVERSE - TOTAL FUNDING")),1,0)</f>
        <v>0</v>
      </c>
    </row>
    <row r="125" customFormat="false" ht="15" hidden="false" customHeight="false" outlineLevel="0" collapsed="false">
      <c r="A125" s="25" t="str">
        <f aca="false">IF(C125&lt;&gt;"","F"&amp;COUNT($C$4:C125),"")</f>
        <v/>
      </c>
      <c r="B125" s="26" t="str">
        <f aca="false">IF(OR(F125="LOC - INITIAL",F125="CONSOLIDATION - UPFRONT COMM",F125="REVERSE - TOTAL FUNDING"),A125,"")</f>
        <v/>
      </c>
      <c r="C125" s="27"/>
      <c r="D125" s="28"/>
      <c r="E125" s="28"/>
      <c r="F125" s="28"/>
      <c r="G125" s="29"/>
      <c r="H125" s="30"/>
      <c r="I125" s="28"/>
      <c r="J125" s="31" t="str">
        <f aca="false">IF(AND(G125&lt;&gt;"",H125&lt;&gt;""),G125*H125,"")</f>
        <v/>
      </c>
      <c r="K125" s="28"/>
      <c r="L125" s="32"/>
      <c r="M125" s="32"/>
      <c r="N125" s="31" t="n">
        <f aca="false">IF(OR(G125="",M125=""),0,IF(M125&gt;100,M125,G125*IF(M125&gt;1,M125/100,M125)))</f>
        <v>0</v>
      </c>
      <c r="O125" s="31" t="str">
        <f aca="false">IF(G125="","",G125*IF(L125="",0,IF(L125&gt;1,L125/100,L125))+N125)</f>
        <v/>
      </c>
      <c r="P125" s="28"/>
      <c r="Q125" s="33" t="str">
        <f aca="false">IF(P125="","",IFERROR(VLOOKUP(P125,PARTNERS!$A$2:$B$30,2,0),""))</f>
        <v/>
      </c>
      <c r="R125" s="17" t="str">
        <f aca="false">IF(O125="","",IF(OR(P125="",Q125=""),0,(O125-N125)*IF(Q125&gt;1,Q125/100,Q125)))</f>
        <v/>
      </c>
      <c r="S125" s="31" t="str">
        <f aca="false">IF(O125="","",O125-R125)</f>
        <v/>
      </c>
      <c r="T125" s="28"/>
      <c r="U125" s="34" t="str">
        <f aca="false">IF(T125="","",IFERROR(VLOOKUP(T125,REPS!$A$2:$D$40,2,0),""))</f>
        <v/>
      </c>
      <c r="V125" s="31" t="str">
        <f aca="false">IF(O125="","",IF(U125="",0,O125*IF(U125&gt;1,U125/100,U125)))</f>
        <v/>
      </c>
      <c r="W125" s="28"/>
      <c r="X125" s="34" t="str">
        <f aca="false">IF(W125="","",IFERROR(VLOOKUP(W125,REPS!$A$2:$D$40,3,0),""))</f>
        <v/>
      </c>
      <c r="Y125" s="31" t="str">
        <f aca="false">IF(O125="","",IF(X125="",0,O125*IF(X125&gt;1,X125/100,X125)))</f>
        <v/>
      </c>
      <c r="Z125" s="28"/>
      <c r="AA125" s="34" t="str">
        <f aca="false">IF(Z125="","",IFERROR(VLOOKUP(Z125,REPS!$A$2:$D$40,4,0),""))</f>
        <v/>
      </c>
      <c r="AB125" s="31" t="str">
        <f aca="false">IF(O125="","",IF(AA125="",0,O125*IF(AA125&gt;1,AA125/100,AA125)))</f>
        <v/>
      </c>
      <c r="AC125" s="31" t="str">
        <f aca="false">IF(O125="","",V125+Y125+AB125)</f>
        <v/>
      </c>
      <c r="AD125" s="19" t="str">
        <f aca="false">IF(O125="","",O125-R125-AC125)</f>
        <v/>
      </c>
      <c r="AE125" s="20"/>
      <c r="AF125" s="27"/>
      <c r="AG125" s="21" t="n">
        <f aca="false">IF(OR(AE125="",AE125=0),0,AE125*IF(U125="",0,IF(U125&gt;1,U125/100,U125)))</f>
        <v>0</v>
      </c>
      <c r="AH125" s="21" t="n">
        <f aca="false">IF(OR(AE125="",AE125=0),0,AE125*IF(X125="",0,IF(X125&gt;1,X125/100,X125)))</f>
        <v>0</v>
      </c>
      <c r="AI125" s="21" t="n">
        <f aca="false">IF(OR(AE125="",AE125=0),0,AE125*IF(AA125="",0,IF(AA125&gt;1,AA125/100,AA125)))</f>
        <v>0</v>
      </c>
      <c r="AJ125" s="21" t="n">
        <f aca="false">AG125+AH125+AI125</f>
        <v>0</v>
      </c>
      <c r="AK125" s="21" t="n">
        <f aca="false">IF(OR(AE125="",AE125=0),0,AE125-AJ125)</f>
        <v>0</v>
      </c>
      <c r="AL125" s="19" t="str">
        <f aca="false">IF(AD125="","",AD125-AK125)</f>
        <v/>
      </c>
      <c r="AM125" s="26" t="str">
        <f aca="false">IF(C125="","","Waiting for payment")</f>
        <v/>
      </c>
      <c r="AN125" s="27"/>
      <c r="AO125" s="27"/>
      <c r="AP125" s="35" t="str">
        <f aca="false">IF(OR(C125="",I125="",K125=""),"",IF(K125="Monthly",EDATE(C125,ROUND(I125*SETTINGS!$I$8,0)),WORKDAY(C125,ROUND(I125*SETTINGS!$I$8,0))))</f>
        <v/>
      </c>
      <c r="AQ125" s="26" t="str">
        <f aca="true">IF(C125="","",IF(AND(AP125&lt;&gt;"",TODAY()&gt;=AP125),"Refi Ready",IF(TODAY()-C125&gt;=SETTINGS!$I$11,"Prospecting","Performing")))</f>
        <v/>
      </c>
      <c r="AR125" s="35" t="str">
        <f aca="false">IF(OR(C125="",I125="",K125=""),"",IF(K125="Monthly",EDATE(C125,I125),WORKDAY(C125,I125)))</f>
        <v/>
      </c>
      <c r="AS125" s="28"/>
      <c r="AT125" s="36" t="str">
        <f aca="true">IF(C125="","",IF(AM125="Clawed Back","CLAWED",IF(TODAY()&lt;=C125+SETTINGS!$I$2,"⚠ AT RISK","SAFE")))</f>
        <v/>
      </c>
      <c r="AU125" s="28"/>
      <c r="AW125" s="24" t="n">
        <f aca="false">AW124+IF(AND(C125&lt;&gt;"",AO125&lt;&gt;"",OR('REP COMMISSION'!$B$3="",T125='REP COMMISSION'!$B$3,W125='REP COMMISSION'!$B$3,Z125='REP COMMISSION'!$B$3)),1,0)</f>
        <v>0</v>
      </c>
      <c r="AX125" s="24" t="n">
        <f aca="false">AX124+IF(AND(C125&lt;&gt;"",OR(F125="LOC - INITIAL",F125="CONSOLIDATION - UPFRONT COMM",F125="REVERSE - TOTAL FUNDING")),1,0)</f>
        <v>0</v>
      </c>
    </row>
    <row r="126" customFormat="false" ht="15" hidden="false" customHeight="false" outlineLevel="0" collapsed="false">
      <c r="A126" s="8" t="str">
        <f aca="false">IF(C126&lt;&gt;"","F"&amp;COUNT($C$4:C126),"")</f>
        <v/>
      </c>
      <c r="B126" s="9" t="str">
        <f aca="false">IF(OR(F126="LOC - INITIAL",F126="CONSOLIDATION - UPFRONT COMM",F126="REVERSE - TOTAL FUNDING"),A126,"")</f>
        <v/>
      </c>
      <c r="C126" s="10"/>
      <c r="D126" s="11"/>
      <c r="E126" s="11"/>
      <c r="F126" s="11"/>
      <c r="G126" s="12"/>
      <c r="H126" s="13"/>
      <c r="I126" s="11"/>
      <c r="J126" s="14" t="str">
        <f aca="false">IF(AND(G126&lt;&gt;"",H126&lt;&gt;""),G126*H126,"")</f>
        <v/>
      </c>
      <c r="K126" s="11"/>
      <c r="L126" s="15"/>
      <c r="M126" s="15"/>
      <c r="N126" s="14" t="n">
        <f aca="false">IF(OR(G126="",M126=""),0,IF(M126&gt;100,M126,G126*IF(M126&gt;1,M126/100,M126)))</f>
        <v>0</v>
      </c>
      <c r="O126" s="14" t="str">
        <f aca="false">IF(G126="","",G126*IF(L126="",0,IF(L126&gt;1,L126/100,L126))+N126)</f>
        <v/>
      </c>
      <c r="P126" s="11"/>
      <c r="Q126" s="16" t="str">
        <f aca="false">IF(P126="","",IFERROR(VLOOKUP(P126,PARTNERS!$A$2:$B$30,2,0),""))</f>
        <v/>
      </c>
      <c r="R126" s="17" t="str">
        <f aca="false">IF(O126="","",IF(OR(P126="",Q126=""),0,(O126-N126)*IF(Q126&gt;1,Q126/100,Q126)))</f>
        <v/>
      </c>
      <c r="S126" s="14" t="str">
        <f aca="false">IF(O126="","",O126-R126)</f>
        <v/>
      </c>
      <c r="T126" s="11"/>
      <c r="U126" s="18" t="str">
        <f aca="false">IF(T126="","",IFERROR(VLOOKUP(T126,REPS!$A$2:$D$40,2,0),""))</f>
        <v/>
      </c>
      <c r="V126" s="14" t="str">
        <f aca="false">IF(O126="","",IF(U126="",0,O126*IF(U126&gt;1,U126/100,U126)))</f>
        <v/>
      </c>
      <c r="W126" s="11"/>
      <c r="X126" s="18" t="str">
        <f aca="false">IF(W126="","",IFERROR(VLOOKUP(W126,REPS!$A$2:$D$40,3,0),""))</f>
        <v/>
      </c>
      <c r="Y126" s="14" t="str">
        <f aca="false">IF(O126="","",IF(X126="",0,O126*IF(X126&gt;1,X126/100,X126)))</f>
        <v/>
      </c>
      <c r="Z126" s="11"/>
      <c r="AA126" s="18" t="str">
        <f aca="false">IF(Z126="","",IFERROR(VLOOKUP(Z126,REPS!$A$2:$D$40,4,0),""))</f>
        <v/>
      </c>
      <c r="AB126" s="14" t="str">
        <f aca="false">IF(O126="","",IF(AA126="",0,O126*IF(AA126&gt;1,AA126/100,AA126)))</f>
        <v/>
      </c>
      <c r="AC126" s="14" t="str">
        <f aca="false">IF(O126="","",V126+Y126+AB126)</f>
        <v/>
      </c>
      <c r="AD126" s="19" t="str">
        <f aca="false">IF(O126="","",O126-R126-AC126)</f>
        <v/>
      </c>
      <c r="AE126" s="20"/>
      <c r="AF126" s="10"/>
      <c r="AG126" s="21" t="n">
        <f aca="false">IF(OR(AE126="",AE126=0),0,AE126*IF(U126="",0,IF(U126&gt;1,U126/100,U126)))</f>
        <v>0</v>
      </c>
      <c r="AH126" s="21" t="n">
        <f aca="false">IF(OR(AE126="",AE126=0),0,AE126*IF(X126="",0,IF(X126&gt;1,X126/100,X126)))</f>
        <v>0</v>
      </c>
      <c r="AI126" s="21" t="n">
        <f aca="false">IF(OR(AE126="",AE126=0),0,AE126*IF(AA126="",0,IF(AA126&gt;1,AA126/100,AA126)))</f>
        <v>0</v>
      </c>
      <c r="AJ126" s="21" t="n">
        <f aca="false">AG126+AH126+AI126</f>
        <v>0</v>
      </c>
      <c r="AK126" s="21" t="n">
        <f aca="false">IF(OR(AE126="",AE126=0),0,AE126-AJ126)</f>
        <v>0</v>
      </c>
      <c r="AL126" s="19" t="str">
        <f aca="false">IF(AD126="","",AD126-AK126)</f>
        <v/>
      </c>
      <c r="AM126" s="9" t="str">
        <f aca="false">IF(C126="","","Waiting for payment")</f>
        <v/>
      </c>
      <c r="AN126" s="10"/>
      <c r="AO126" s="10"/>
      <c r="AP126" s="22" t="str">
        <f aca="false">IF(OR(C126="",I126="",K126=""),"",IF(K126="Monthly",EDATE(C126,ROUND(I126*SETTINGS!$I$8,0)),WORKDAY(C126,ROUND(I126*SETTINGS!$I$8,0))))</f>
        <v/>
      </c>
      <c r="AQ126" s="9" t="str">
        <f aca="true">IF(C126="","",IF(AND(AP126&lt;&gt;"",TODAY()&gt;=AP126),"Refi Ready",IF(TODAY()-C126&gt;=SETTINGS!$I$11,"Prospecting","Performing")))</f>
        <v/>
      </c>
      <c r="AR126" s="22" t="str">
        <f aca="false">IF(OR(C126="",I126="",K126=""),"",IF(K126="Monthly",EDATE(C126,I126),WORKDAY(C126,I126)))</f>
        <v/>
      </c>
      <c r="AS126" s="11"/>
      <c r="AT126" s="23" t="str">
        <f aca="true">IF(C126="","",IF(AM126="Clawed Back","CLAWED",IF(TODAY()&lt;=C126+SETTINGS!$I$2,"⚠ AT RISK","SAFE")))</f>
        <v/>
      </c>
      <c r="AU126" s="11"/>
      <c r="AW126" s="24" t="n">
        <f aca="false">AW125+IF(AND(C126&lt;&gt;"",AO126&lt;&gt;"",OR('REP COMMISSION'!$B$3="",T126='REP COMMISSION'!$B$3,W126='REP COMMISSION'!$B$3,Z126='REP COMMISSION'!$B$3)),1,0)</f>
        <v>0</v>
      </c>
      <c r="AX126" s="24" t="n">
        <f aca="false">AX125+IF(AND(C126&lt;&gt;"",OR(F126="LOC - INITIAL",F126="CONSOLIDATION - UPFRONT COMM",F126="REVERSE - TOTAL FUNDING")),1,0)</f>
        <v>0</v>
      </c>
    </row>
    <row r="127" customFormat="false" ht="15" hidden="false" customHeight="false" outlineLevel="0" collapsed="false">
      <c r="A127" s="25" t="str">
        <f aca="false">IF(C127&lt;&gt;"","F"&amp;COUNT($C$4:C127),"")</f>
        <v/>
      </c>
      <c r="B127" s="26" t="str">
        <f aca="false">IF(OR(F127="LOC - INITIAL",F127="CONSOLIDATION - UPFRONT COMM",F127="REVERSE - TOTAL FUNDING"),A127,"")</f>
        <v/>
      </c>
      <c r="C127" s="27"/>
      <c r="D127" s="28"/>
      <c r="E127" s="28"/>
      <c r="F127" s="28"/>
      <c r="G127" s="29"/>
      <c r="H127" s="30"/>
      <c r="I127" s="28"/>
      <c r="J127" s="31" t="str">
        <f aca="false">IF(AND(G127&lt;&gt;"",H127&lt;&gt;""),G127*H127,"")</f>
        <v/>
      </c>
      <c r="K127" s="28"/>
      <c r="L127" s="32"/>
      <c r="M127" s="32"/>
      <c r="N127" s="31" t="n">
        <f aca="false">IF(OR(G127="",M127=""),0,IF(M127&gt;100,M127,G127*IF(M127&gt;1,M127/100,M127)))</f>
        <v>0</v>
      </c>
      <c r="O127" s="31" t="str">
        <f aca="false">IF(G127="","",G127*IF(L127="",0,IF(L127&gt;1,L127/100,L127))+N127)</f>
        <v/>
      </c>
      <c r="P127" s="28"/>
      <c r="Q127" s="33" t="str">
        <f aca="false">IF(P127="","",IFERROR(VLOOKUP(P127,PARTNERS!$A$2:$B$30,2,0),""))</f>
        <v/>
      </c>
      <c r="R127" s="17" t="str">
        <f aca="false">IF(O127="","",IF(OR(P127="",Q127=""),0,(O127-N127)*IF(Q127&gt;1,Q127/100,Q127)))</f>
        <v/>
      </c>
      <c r="S127" s="31" t="str">
        <f aca="false">IF(O127="","",O127-R127)</f>
        <v/>
      </c>
      <c r="T127" s="28"/>
      <c r="U127" s="34" t="str">
        <f aca="false">IF(T127="","",IFERROR(VLOOKUP(T127,REPS!$A$2:$D$40,2,0),""))</f>
        <v/>
      </c>
      <c r="V127" s="31" t="str">
        <f aca="false">IF(O127="","",IF(U127="",0,O127*IF(U127&gt;1,U127/100,U127)))</f>
        <v/>
      </c>
      <c r="W127" s="28"/>
      <c r="X127" s="34" t="str">
        <f aca="false">IF(W127="","",IFERROR(VLOOKUP(W127,REPS!$A$2:$D$40,3,0),""))</f>
        <v/>
      </c>
      <c r="Y127" s="31" t="str">
        <f aca="false">IF(O127="","",IF(X127="",0,O127*IF(X127&gt;1,X127/100,X127)))</f>
        <v/>
      </c>
      <c r="Z127" s="28"/>
      <c r="AA127" s="34" t="str">
        <f aca="false">IF(Z127="","",IFERROR(VLOOKUP(Z127,REPS!$A$2:$D$40,4,0),""))</f>
        <v/>
      </c>
      <c r="AB127" s="31" t="str">
        <f aca="false">IF(O127="","",IF(AA127="",0,O127*IF(AA127&gt;1,AA127/100,AA127)))</f>
        <v/>
      </c>
      <c r="AC127" s="31" t="str">
        <f aca="false">IF(O127="","",V127+Y127+AB127)</f>
        <v/>
      </c>
      <c r="AD127" s="19" t="str">
        <f aca="false">IF(O127="","",O127-R127-AC127)</f>
        <v/>
      </c>
      <c r="AE127" s="20"/>
      <c r="AF127" s="27"/>
      <c r="AG127" s="21" t="n">
        <f aca="false">IF(OR(AE127="",AE127=0),0,AE127*IF(U127="",0,IF(U127&gt;1,U127/100,U127)))</f>
        <v>0</v>
      </c>
      <c r="AH127" s="21" t="n">
        <f aca="false">IF(OR(AE127="",AE127=0),0,AE127*IF(X127="",0,IF(X127&gt;1,X127/100,X127)))</f>
        <v>0</v>
      </c>
      <c r="AI127" s="21" t="n">
        <f aca="false">IF(OR(AE127="",AE127=0),0,AE127*IF(AA127="",0,IF(AA127&gt;1,AA127/100,AA127)))</f>
        <v>0</v>
      </c>
      <c r="AJ127" s="21" t="n">
        <f aca="false">AG127+AH127+AI127</f>
        <v>0</v>
      </c>
      <c r="AK127" s="21" t="n">
        <f aca="false">IF(OR(AE127="",AE127=0),0,AE127-AJ127)</f>
        <v>0</v>
      </c>
      <c r="AL127" s="19" t="str">
        <f aca="false">IF(AD127="","",AD127-AK127)</f>
        <v/>
      </c>
      <c r="AM127" s="26" t="str">
        <f aca="false">IF(C127="","","Waiting for payment")</f>
        <v/>
      </c>
      <c r="AN127" s="27"/>
      <c r="AO127" s="27"/>
      <c r="AP127" s="35" t="str">
        <f aca="false">IF(OR(C127="",I127="",K127=""),"",IF(K127="Monthly",EDATE(C127,ROUND(I127*SETTINGS!$I$8,0)),WORKDAY(C127,ROUND(I127*SETTINGS!$I$8,0))))</f>
        <v/>
      </c>
      <c r="AQ127" s="26" t="str">
        <f aca="true">IF(C127="","",IF(AND(AP127&lt;&gt;"",TODAY()&gt;=AP127),"Refi Ready",IF(TODAY()-C127&gt;=SETTINGS!$I$11,"Prospecting","Performing")))</f>
        <v/>
      </c>
      <c r="AR127" s="35" t="str">
        <f aca="false">IF(OR(C127="",I127="",K127=""),"",IF(K127="Monthly",EDATE(C127,I127),WORKDAY(C127,I127)))</f>
        <v/>
      </c>
      <c r="AS127" s="28"/>
      <c r="AT127" s="36" t="str">
        <f aca="true">IF(C127="","",IF(AM127="Clawed Back","CLAWED",IF(TODAY()&lt;=C127+SETTINGS!$I$2,"⚠ AT RISK","SAFE")))</f>
        <v/>
      </c>
      <c r="AU127" s="28"/>
      <c r="AW127" s="24" t="n">
        <f aca="false">AW126+IF(AND(C127&lt;&gt;"",AO127&lt;&gt;"",OR('REP COMMISSION'!$B$3="",T127='REP COMMISSION'!$B$3,W127='REP COMMISSION'!$B$3,Z127='REP COMMISSION'!$B$3)),1,0)</f>
        <v>0</v>
      </c>
      <c r="AX127" s="24" t="n">
        <f aca="false">AX126+IF(AND(C127&lt;&gt;"",OR(F127="LOC - INITIAL",F127="CONSOLIDATION - UPFRONT COMM",F127="REVERSE - TOTAL FUNDING")),1,0)</f>
        <v>0</v>
      </c>
    </row>
    <row r="128" customFormat="false" ht="15" hidden="false" customHeight="false" outlineLevel="0" collapsed="false">
      <c r="A128" s="8" t="str">
        <f aca="false">IF(C128&lt;&gt;"","F"&amp;COUNT($C$4:C128),"")</f>
        <v/>
      </c>
      <c r="B128" s="9" t="str">
        <f aca="false">IF(OR(F128="LOC - INITIAL",F128="CONSOLIDATION - UPFRONT COMM",F128="REVERSE - TOTAL FUNDING"),A128,"")</f>
        <v/>
      </c>
      <c r="C128" s="10"/>
      <c r="D128" s="11"/>
      <c r="E128" s="11"/>
      <c r="F128" s="11"/>
      <c r="G128" s="12"/>
      <c r="H128" s="13"/>
      <c r="I128" s="11"/>
      <c r="J128" s="14" t="str">
        <f aca="false">IF(AND(G128&lt;&gt;"",H128&lt;&gt;""),G128*H128,"")</f>
        <v/>
      </c>
      <c r="K128" s="11"/>
      <c r="L128" s="15"/>
      <c r="M128" s="15"/>
      <c r="N128" s="14" t="n">
        <f aca="false">IF(OR(G128="",M128=""),0,IF(M128&gt;100,M128,G128*IF(M128&gt;1,M128/100,M128)))</f>
        <v>0</v>
      </c>
      <c r="O128" s="14" t="str">
        <f aca="false">IF(G128="","",G128*IF(L128="",0,IF(L128&gt;1,L128/100,L128))+N128)</f>
        <v/>
      </c>
      <c r="P128" s="11"/>
      <c r="Q128" s="16" t="str">
        <f aca="false">IF(P128="","",IFERROR(VLOOKUP(P128,PARTNERS!$A$2:$B$30,2,0),""))</f>
        <v/>
      </c>
      <c r="R128" s="17" t="str">
        <f aca="false">IF(O128="","",IF(OR(P128="",Q128=""),0,(O128-N128)*IF(Q128&gt;1,Q128/100,Q128)))</f>
        <v/>
      </c>
      <c r="S128" s="14" t="str">
        <f aca="false">IF(O128="","",O128-R128)</f>
        <v/>
      </c>
      <c r="T128" s="11"/>
      <c r="U128" s="18" t="str">
        <f aca="false">IF(T128="","",IFERROR(VLOOKUP(T128,REPS!$A$2:$D$40,2,0),""))</f>
        <v/>
      </c>
      <c r="V128" s="14" t="str">
        <f aca="false">IF(O128="","",IF(U128="",0,O128*IF(U128&gt;1,U128/100,U128)))</f>
        <v/>
      </c>
      <c r="W128" s="11"/>
      <c r="X128" s="18" t="str">
        <f aca="false">IF(W128="","",IFERROR(VLOOKUP(W128,REPS!$A$2:$D$40,3,0),""))</f>
        <v/>
      </c>
      <c r="Y128" s="14" t="str">
        <f aca="false">IF(O128="","",IF(X128="",0,O128*IF(X128&gt;1,X128/100,X128)))</f>
        <v/>
      </c>
      <c r="Z128" s="11"/>
      <c r="AA128" s="18" t="str">
        <f aca="false">IF(Z128="","",IFERROR(VLOOKUP(Z128,REPS!$A$2:$D$40,4,0),""))</f>
        <v/>
      </c>
      <c r="AB128" s="14" t="str">
        <f aca="false">IF(O128="","",IF(AA128="",0,O128*IF(AA128&gt;1,AA128/100,AA128)))</f>
        <v/>
      </c>
      <c r="AC128" s="14" t="str">
        <f aca="false">IF(O128="","",V128+Y128+AB128)</f>
        <v/>
      </c>
      <c r="AD128" s="19" t="str">
        <f aca="false">IF(O128="","",O128-R128-AC128)</f>
        <v/>
      </c>
      <c r="AE128" s="20"/>
      <c r="AF128" s="10"/>
      <c r="AG128" s="21" t="n">
        <f aca="false">IF(OR(AE128="",AE128=0),0,AE128*IF(U128="",0,IF(U128&gt;1,U128/100,U128)))</f>
        <v>0</v>
      </c>
      <c r="AH128" s="21" t="n">
        <f aca="false">IF(OR(AE128="",AE128=0),0,AE128*IF(X128="",0,IF(X128&gt;1,X128/100,X128)))</f>
        <v>0</v>
      </c>
      <c r="AI128" s="21" t="n">
        <f aca="false">IF(OR(AE128="",AE128=0),0,AE128*IF(AA128="",0,IF(AA128&gt;1,AA128/100,AA128)))</f>
        <v>0</v>
      </c>
      <c r="AJ128" s="21" t="n">
        <f aca="false">AG128+AH128+AI128</f>
        <v>0</v>
      </c>
      <c r="AK128" s="21" t="n">
        <f aca="false">IF(OR(AE128="",AE128=0),0,AE128-AJ128)</f>
        <v>0</v>
      </c>
      <c r="AL128" s="19" t="str">
        <f aca="false">IF(AD128="","",AD128-AK128)</f>
        <v/>
      </c>
      <c r="AM128" s="9" t="str">
        <f aca="false">IF(C128="","","Waiting for payment")</f>
        <v/>
      </c>
      <c r="AN128" s="10"/>
      <c r="AO128" s="10"/>
      <c r="AP128" s="22" t="str">
        <f aca="false">IF(OR(C128="",I128="",K128=""),"",IF(K128="Monthly",EDATE(C128,ROUND(I128*SETTINGS!$I$8,0)),WORKDAY(C128,ROUND(I128*SETTINGS!$I$8,0))))</f>
        <v/>
      </c>
      <c r="AQ128" s="9" t="str">
        <f aca="true">IF(C128="","",IF(AND(AP128&lt;&gt;"",TODAY()&gt;=AP128),"Refi Ready",IF(TODAY()-C128&gt;=SETTINGS!$I$11,"Prospecting","Performing")))</f>
        <v/>
      </c>
      <c r="AR128" s="22" t="str">
        <f aca="false">IF(OR(C128="",I128="",K128=""),"",IF(K128="Monthly",EDATE(C128,I128),WORKDAY(C128,I128)))</f>
        <v/>
      </c>
      <c r="AS128" s="11"/>
      <c r="AT128" s="23" t="str">
        <f aca="true">IF(C128="","",IF(AM128="Clawed Back","CLAWED",IF(TODAY()&lt;=C128+SETTINGS!$I$2,"⚠ AT RISK","SAFE")))</f>
        <v/>
      </c>
      <c r="AU128" s="11"/>
      <c r="AW128" s="24" t="n">
        <f aca="false">AW127+IF(AND(C128&lt;&gt;"",AO128&lt;&gt;"",OR('REP COMMISSION'!$B$3="",T128='REP COMMISSION'!$B$3,W128='REP COMMISSION'!$B$3,Z128='REP COMMISSION'!$B$3)),1,0)</f>
        <v>0</v>
      </c>
      <c r="AX128" s="24" t="n">
        <f aca="false">AX127+IF(AND(C128&lt;&gt;"",OR(F128="LOC - INITIAL",F128="CONSOLIDATION - UPFRONT COMM",F128="REVERSE - TOTAL FUNDING")),1,0)</f>
        <v>0</v>
      </c>
    </row>
    <row r="129" customFormat="false" ht="15" hidden="false" customHeight="false" outlineLevel="0" collapsed="false">
      <c r="A129" s="25" t="str">
        <f aca="false">IF(C129&lt;&gt;"","F"&amp;COUNT($C$4:C129),"")</f>
        <v/>
      </c>
      <c r="B129" s="26" t="str">
        <f aca="false">IF(OR(F129="LOC - INITIAL",F129="CONSOLIDATION - UPFRONT COMM",F129="REVERSE - TOTAL FUNDING"),A129,"")</f>
        <v/>
      </c>
      <c r="C129" s="27"/>
      <c r="D129" s="28"/>
      <c r="E129" s="28"/>
      <c r="F129" s="28"/>
      <c r="G129" s="29"/>
      <c r="H129" s="30"/>
      <c r="I129" s="28"/>
      <c r="J129" s="31" t="str">
        <f aca="false">IF(AND(G129&lt;&gt;"",H129&lt;&gt;""),G129*H129,"")</f>
        <v/>
      </c>
      <c r="K129" s="28"/>
      <c r="L129" s="32"/>
      <c r="M129" s="32"/>
      <c r="N129" s="31" t="n">
        <f aca="false">IF(OR(G129="",M129=""),0,IF(M129&gt;100,M129,G129*IF(M129&gt;1,M129/100,M129)))</f>
        <v>0</v>
      </c>
      <c r="O129" s="31" t="str">
        <f aca="false">IF(G129="","",G129*IF(L129="",0,IF(L129&gt;1,L129/100,L129))+N129)</f>
        <v/>
      </c>
      <c r="P129" s="28"/>
      <c r="Q129" s="33" t="str">
        <f aca="false">IF(P129="","",IFERROR(VLOOKUP(P129,PARTNERS!$A$2:$B$30,2,0),""))</f>
        <v/>
      </c>
      <c r="R129" s="17" t="str">
        <f aca="false">IF(O129="","",IF(OR(P129="",Q129=""),0,(O129-N129)*IF(Q129&gt;1,Q129/100,Q129)))</f>
        <v/>
      </c>
      <c r="S129" s="31" t="str">
        <f aca="false">IF(O129="","",O129-R129)</f>
        <v/>
      </c>
      <c r="T129" s="28"/>
      <c r="U129" s="34" t="str">
        <f aca="false">IF(T129="","",IFERROR(VLOOKUP(T129,REPS!$A$2:$D$40,2,0),""))</f>
        <v/>
      </c>
      <c r="V129" s="31" t="str">
        <f aca="false">IF(O129="","",IF(U129="",0,O129*IF(U129&gt;1,U129/100,U129)))</f>
        <v/>
      </c>
      <c r="W129" s="28"/>
      <c r="X129" s="34" t="str">
        <f aca="false">IF(W129="","",IFERROR(VLOOKUP(W129,REPS!$A$2:$D$40,3,0),""))</f>
        <v/>
      </c>
      <c r="Y129" s="31" t="str">
        <f aca="false">IF(O129="","",IF(X129="",0,O129*IF(X129&gt;1,X129/100,X129)))</f>
        <v/>
      </c>
      <c r="Z129" s="28"/>
      <c r="AA129" s="34" t="str">
        <f aca="false">IF(Z129="","",IFERROR(VLOOKUP(Z129,REPS!$A$2:$D$40,4,0),""))</f>
        <v/>
      </c>
      <c r="AB129" s="31" t="str">
        <f aca="false">IF(O129="","",IF(AA129="",0,O129*IF(AA129&gt;1,AA129/100,AA129)))</f>
        <v/>
      </c>
      <c r="AC129" s="31" t="str">
        <f aca="false">IF(O129="","",V129+Y129+AB129)</f>
        <v/>
      </c>
      <c r="AD129" s="19" t="str">
        <f aca="false">IF(O129="","",O129-R129-AC129)</f>
        <v/>
      </c>
      <c r="AE129" s="20"/>
      <c r="AF129" s="27"/>
      <c r="AG129" s="21" t="n">
        <f aca="false">IF(OR(AE129="",AE129=0),0,AE129*IF(U129="",0,IF(U129&gt;1,U129/100,U129)))</f>
        <v>0</v>
      </c>
      <c r="AH129" s="21" t="n">
        <f aca="false">IF(OR(AE129="",AE129=0),0,AE129*IF(X129="",0,IF(X129&gt;1,X129/100,X129)))</f>
        <v>0</v>
      </c>
      <c r="AI129" s="21" t="n">
        <f aca="false">IF(OR(AE129="",AE129=0),0,AE129*IF(AA129="",0,IF(AA129&gt;1,AA129/100,AA129)))</f>
        <v>0</v>
      </c>
      <c r="AJ129" s="21" t="n">
        <f aca="false">AG129+AH129+AI129</f>
        <v>0</v>
      </c>
      <c r="AK129" s="21" t="n">
        <f aca="false">IF(OR(AE129="",AE129=0),0,AE129-AJ129)</f>
        <v>0</v>
      </c>
      <c r="AL129" s="19" t="str">
        <f aca="false">IF(AD129="","",AD129-AK129)</f>
        <v/>
      </c>
      <c r="AM129" s="26" t="str">
        <f aca="false">IF(C129="","","Waiting for payment")</f>
        <v/>
      </c>
      <c r="AN129" s="27"/>
      <c r="AO129" s="27"/>
      <c r="AP129" s="35" t="str">
        <f aca="false">IF(OR(C129="",I129="",K129=""),"",IF(K129="Monthly",EDATE(C129,ROUND(I129*SETTINGS!$I$8,0)),WORKDAY(C129,ROUND(I129*SETTINGS!$I$8,0))))</f>
        <v/>
      </c>
      <c r="AQ129" s="26" t="str">
        <f aca="true">IF(C129="","",IF(AND(AP129&lt;&gt;"",TODAY()&gt;=AP129),"Refi Ready",IF(TODAY()-C129&gt;=SETTINGS!$I$11,"Prospecting","Performing")))</f>
        <v/>
      </c>
      <c r="AR129" s="35" t="str">
        <f aca="false">IF(OR(C129="",I129="",K129=""),"",IF(K129="Monthly",EDATE(C129,I129),WORKDAY(C129,I129)))</f>
        <v/>
      </c>
      <c r="AS129" s="28"/>
      <c r="AT129" s="36" t="str">
        <f aca="true">IF(C129="","",IF(AM129="Clawed Back","CLAWED",IF(TODAY()&lt;=C129+SETTINGS!$I$2,"⚠ AT RISK","SAFE")))</f>
        <v/>
      </c>
      <c r="AU129" s="28"/>
      <c r="AW129" s="24" t="n">
        <f aca="false">AW128+IF(AND(C129&lt;&gt;"",AO129&lt;&gt;"",OR('REP COMMISSION'!$B$3="",T129='REP COMMISSION'!$B$3,W129='REP COMMISSION'!$B$3,Z129='REP COMMISSION'!$B$3)),1,0)</f>
        <v>0</v>
      </c>
      <c r="AX129" s="24" t="n">
        <f aca="false">AX128+IF(AND(C129&lt;&gt;"",OR(F129="LOC - INITIAL",F129="CONSOLIDATION - UPFRONT COMM",F129="REVERSE - TOTAL FUNDING")),1,0)</f>
        <v>0</v>
      </c>
    </row>
    <row r="130" customFormat="false" ht="15" hidden="false" customHeight="false" outlineLevel="0" collapsed="false">
      <c r="A130" s="8" t="str">
        <f aca="false">IF(C130&lt;&gt;"","F"&amp;COUNT($C$4:C130),"")</f>
        <v/>
      </c>
      <c r="B130" s="9" t="str">
        <f aca="false">IF(OR(F130="LOC - INITIAL",F130="CONSOLIDATION - UPFRONT COMM",F130="REVERSE - TOTAL FUNDING"),A130,"")</f>
        <v/>
      </c>
      <c r="C130" s="10"/>
      <c r="D130" s="11"/>
      <c r="E130" s="11"/>
      <c r="F130" s="11"/>
      <c r="G130" s="12"/>
      <c r="H130" s="13"/>
      <c r="I130" s="11"/>
      <c r="J130" s="14" t="str">
        <f aca="false">IF(AND(G130&lt;&gt;"",H130&lt;&gt;""),G130*H130,"")</f>
        <v/>
      </c>
      <c r="K130" s="11"/>
      <c r="L130" s="15"/>
      <c r="M130" s="15"/>
      <c r="N130" s="14" t="n">
        <f aca="false">IF(OR(G130="",M130=""),0,IF(M130&gt;100,M130,G130*IF(M130&gt;1,M130/100,M130)))</f>
        <v>0</v>
      </c>
      <c r="O130" s="14" t="str">
        <f aca="false">IF(G130="","",G130*IF(L130="",0,IF(L130&gt;1,L130/100,L130))+N130)</f>
        <v/>
      </c>
      <c r="P130" s="11"/>
      <c r="Q130" s="16" t="str">
        <f aca="false">IF(P130="","",IFERROR(VLOOKUP(P130,PARTNERS!$A$2:$B$30,2,0),""))</f>
        <v/>
      </c>
      <c r="R130" s="17" t="str">
        <f aca="false">IF(O130="","",IF(OR(P130="",Q130=""),0,(O130-N130)*IF(Q130&gt;1,Q130/100,Q130)))</f>
        <v/>
      </c>
      <c r="S130" s="14" t="str">
        <f aca="false">IF(O130="","",O130-R130)</f>
        <v/>
      </c>
      <c r="T130" s="11"/>
      <c r="U130" s="18" t="str">
        <f aca="false">IF(T130="","",IFERROR(VLOOKUP(T130,REPS!$A$2:$D$40,2,0),""))</f>
        <v/>
      </c>
      <c r="V130" s="14" t="str">
        <f aca="false">IF(O130="","",IF(U130="",0,O130*IF(U130&gt;1,U130/100,U130)))</f>
        <v/>
      </c>
      <c r="W130" s="11"/>
      <c r="X130" s="18" t="str">
        <f aca="false">IF(W130="","",IFERROR(VLOOKUP(W130,REPS!$A$2:$D$40,3,0),""))</f>
        <v/>
      </c>
      <c r="Y130" s="14" t="str">
        <f aca="false">IF(O130="","",IF(X130="",0,O130*IF(X130&gt;1,X130/100,X130)))</f>
        <v/>
      </c>
      <c r="Z130" s="11"/>
      <c r="AA130" s="18" t="str">
        <f aca="false">IF(Z130="","",IFERROR(VLOOKUP(Z130,REPS!$A$2:$D$40,4,0),""))</f>
        <v/>
      </c>
      <c r="AB130" s="14" t="str">
        <f aca="false">IF(O130="","",IF(AA130="",0,O130*IF(AA130&gt;1,AA130/100,AA130)))</f>
        <v/>
      </c>
      <c r="AC130" s="14" t="str">
        <f aca="false">IF(O130="","",V130+Y130+AB130)</f>
        <v/>
      </c>
      <c r="AD130" s="19" t="str">
        <f aca="false">IF(O130="","",O130-R130-AC130)</f>
        <v/>
      </c>
      <c r="AE130" s="20"/>
      <c r="AF130" s="10"/>
      <c r="AG130" s="21" t="n">
        <f aca="false">IF(OR(AE130="",AE130=0),0,AE130*IF(U130="",0,IF(U130&gt;1,U130/100,U130)))</f>
        <v>0</v>
      </c>
      <c r="AH130" s="21" t="n">
        <f aca="false">IF(OR(AE130="",AE130=0),0,AE130*IF(X130="",0,IF(X130&gt;1,X130/100,X130)))</f>
        <v>0</v>
      </c>
      <c r="AI130" s="21" t="n">
        <f aca="false">IF(OR(AE130="",AE130=0),0,AE130*IF(AA130="",0,IF(AA130&gt;1,AA130/100,AA130)))</f>
        <v>0</v>
      </c>
      <c r="AJ130" s="21" t="n">
        <f aca="false">AG130+AH130+AI130</f>
        <v>0</v>
      </c>
      <c r="AK130" s="21" t="n">
        <f aca="false">IF(OR(AE130="",AE130=0),0,AE130-AJ130)</f>
        <v>0</v>
      </c>
      <c r="AL130" s="19" t="str">
        <f aca="false">IF(AD130="","",AD130-AK130)</f>
        <v/>
      </c>
      <c r="AM130" s="9" t="str">
        <f aca="false">IF(C130="","","Waiting for payment")</f>
        <v/>
      </c>
      <c r="AN130" s="10"/>
      <c r="AO130" s="10"/>
      <c r="AP130" s="22" t="str">
        <f aca="false">IF(OR(C130="",I130="",K130=""),"",IF(K130="Monthly",EDATE(C130,ROUND(I130*SETTINGS!$I$8,0)),WORKDAY(C130,ROUND(I130*SETTINGS!$I$8,0))))</f>
        <v/>
      </c>
      <c r="AQ130" s="9" t="str">
        <f aca="true">IF(C130="","",IF(AND(AP130&lt;&gt;"",TODAY()&gt;=AP130),"Refi Ready",IF(TODAY()-C130&gt;=SETTINGS!$I$11,"Prospecting","Performing")))</f>
        <v/>
      </c>
      <c r="AR130" s="22" t="str">
        <f aca="false">IF(OR(C130="",I130="",K130=""),"",IF(K130="Monthly",EDATE(C130,I130),WORKDAY(C130,I130)))</f>
        <v/>
      </c>
      <c r="AS130" s="11"/>
      <c r="AT130" s="23" t="str">
        <f aca="true">IF(C130="","",IF(AM130="Clawed Back","CLAWED",IF(TODAY()&lt;=C130+SETTINGS!$I$2,"⚠ AT RISK","SAFE")))</f>
        <v/>
      </c>
      <c r="AU130" s="11"/>
      <c r="AW130" s="24" t="n">
        <f aca="false">AW129+IF(AND(C130&lt;&gt;"",AO130&lt;&gt;"",OR('REP COMMISSION'!$B$3="",T130='REP COMMISSION'!$B$3,W130='REP COMMISSION'!$B$3,Z130='REP COMMISSION'!$B$3)),1,0)</f>
        <v>0</v>
      </c>
      <c r="AX130" s="24" t="n">
        <f aca="false">AX129+IF(AND(C130&lt;&gt;"",OR(F130="LOC - INITIAL",F130="CONSOLIDATION - UPFRONT COMM",F130="REVERSE - TOTAL FUNDING")),1,0)</f>
        <v>0</v>
      </c>
    </row>
    <row r="131" customFormat="false" ht="15" hidden="false" customHeight="false" outlineLevel="0" collapsed="false">
      <c r="A131" s="25" t="str">
        <f aca="false">IF(C131&lt;&gt;"","F"&amp;COUNT($C$4:C131),"")</f>
        <v/>
      </c>
      <c r="B131" s="26" t="str">
        <f aca="false">IF(OR(F131="LOC - INITIAL",F131="CONSOLIDATION - UPFRONT COMM",F131="REVERSE - TOTAL FUNDING"),A131,"")</f>
        <v/>
      </c>
      <c r="C131" s="27"/>
      <c r="D131" s="28"/>
      <c r="E131" s="28"/>
      <c r="F131" s="28"/>
      <c r="G131" s="29"/>
      <c r="H131" s="30"/>
      <c r="I131" s="28"/>
      <c r="J131" s="31" t="str">
        <f aca="false">IF(AND(G131&lt;&gt;"",H131&lt;&gt;""),G131*H131,"")</f>
        <v/>
      </c>
      <c r="K131" s="28"/>
      <c r="L131" s="32"/>
      <c r="M131" s="32"/>
      <c r="N131" s="31" t="n">
        <f aca="false">IF(OR(G131="",M131=""),0,IF(M131&gt;100,M131,G131*IF(M131&gt;1,M131/100,M131)))</f>
        <v>0</v>
      </c>
      <c r="O131" s="31" t="str">
        <f aca="false">IF(G131="","",G131*IF(L131="",0,IF(L131&gt;1,L131/100,L131))+N131)</f>
        <v/>
      </c>
      <c r="P131" s="28"/>
      <c r="Q131" s="33" t="str">
        <f aca="false">IF(P131="","",IFERROR(VLOOKUP(P131,PARTNERS!$A$2:$B$30,2,0),""))</f>
        <v/>
      </c>
      <c r="R131" s="17" t="str">
        <f aca="false">IF(O131="","",IF(OR(P131="",Q131=""),0,(O131-N131)*IF(Q131&gt;1,Q131/100,Q131)))</f>
        <v/>
      </c>
      <c r="S131" s="31" t="str">
        <f aca="false">IF(O131="","",O131-R131)</f>
        <v/>
      </c>
      <c r="T131" s="28"/>
      <c r="U131" s="34" t="str">
        <f aca="false">IF(T131="","",IFERROR(VLOOKUP(T131,REPS!$A$2:$D$40,2,0),""))</f>
        <v/>
      </c>
      <c r="V131" s="31" t="str">
        <f aca="false">IF(O131="","",IF(U131="",0,O131*IF(U131&gt;1,U131/100,U131)))</f>
        <v/>
      </c>
      <c r="W131" s="28"/>
      <c r="X131" s="34" t="str">
        <f aca="false">IF(W131="","",IFERROR(VLOOKUP(W131,REPS!$A$2:$D$40,3,0),""))</f>
        <v/>
      </c>
      <c r="Y131" s="31" t="str">
        <f aca="false">IF(O131="","",IF(X131="",0,O131*IF(X131&gt;1,X131/100,X131)))</f>
        <v/>
      </c>
      <c r="Z131" s="28"/>
      <c r="AA131" s="34" t="str">
        <f aca="false">IF(Z131="","",IFERROR(VLOOKUP(Z131,REPS!$A$2:$D$40,4,0),""))</f>
        <v/>
      </c>
      <c r="AB131" s="31" t="str">
        <f aca="false">IF(O131="","",IF(AA131="",0,O131*IF(AA131&gt;1,AA131/100,AA131)))</f>
        <v/>
      </c>
      <c r="AC131" s="31" t="str">
        <f aca="false">IF(O131="","",V131+Y131+AB131)</f>
        <v/>
      </c>
      <c r="AD131" s="19" t="str">
        <f aca="false">IF(O131="","",O131-R131-AC131)</f>
        <v/>
      </c>
      <c r="AE131" s="20"/>
      <c r="AF131" s="27"/>
      <c r="AG131" s="21" t="n">
        <f aca="false">IF(OR(AE131="",AE131=0),0,AE131*IF(U131="",0,IF(U131&gt;1,U131/100,U131)))</f>
        <v>0</v>
      </c>
      <c r="AH131" s="21" t="n">
        <f aca="false">IF(OR(AE131="",AE131=0),0,AE131*IF(X131="",0,IF(X131&gt;1,X131/100,X131)))</f>
        <v>0</v>
      </c>
      <c r="AI131" s="21" t="n">
        <f aca="false">IF(OR(AE131="",AE131=0),0,AE131*IF(AA131="",0,IF(AA131&gt;1,AA131/100,AA131)))</f>
        <v>0</v>
      </c>
      <c r="AJ131" s="21" t="n">
        <f aca="false">AG131+AH131+AI131</f>
        <v>0</v>
      </c>
      <c r="AK131" s="21" t="n">
        <f aca="false">IF(OR(AE131="",AE131=0),0,AE131-AJ131)</f>
        <v>0</v>
      </c>
      <c r="AL131" s="19" t="str">
        <f aca="false">IF(AD131="","",AD131-AK131)</f>
        <v/>
      </c>
      <c r="AM131" s="26" t="str">
        <f aca="false">IF(C131="","","Waiting for payment")</f>
        <v/>
      </c>
      <c r="AN131" s="27"/>
      <c r="AO131" s="27"/>
      <c r="AP131" s="35" t="str">
        <f aca="false">IF(OR(C131="",I131="",K131=""),"",IF(K131="Monthly",EDATE(C131,ROUND(I131*SETTINGS!$I$8,0)),WORKDAY(C131,ROUND(I131*SETTINGS!$I$8,0))))</f>
        <v/>
      </c>
      <c r="AQ131" s="26" t="str">
        <f aca="true">IF(C131="","",IF(AND(AP131&lt;&gt;"",TODAY()&gt;=AP131),"Refi Ready",IF(TODAY()-C131&gt;=SETTINGS!$I$11,"Prospecting","Performing")))</f>
        <v/>
      </c>
      <c r="AR131" s="35" t="str">
        <f aca="false">IF(OR(C131="",I131="",K131=""),"",IF(K131="Monthly",EDATE(C131,I131),WORKDAY(C131,I131)))</f>
        <v/>
      </c>
      <c r="AS131" s="28"/>
      <c r="AT131" s="36" t="str">
        <f aca="true">IF(C131="","",IF(AM131="Clawed Back","CLAWED",IF(TODAY()&lt;=C131+SETTINGS!$I$2,"⚠ AT RISK","SAFE")))</f>
        <v/>
      </c>
      <c r="AU131" s="28"/>
      <c r="AW131" s="24" t="n">
        <f aca="false">AW130+IF(AND(C131&lt;&gt;"",AO131&lt;&gt;"",OR('REP COMMISSION'!$B$3="",T131='REP COMMISSION'!$B$3,W131='REP COMMISSION'!$B$3,Z131='REP COMMISSION'!$B$3)),1,0)</f>
        <v>0</v>
      </c>
      <c r="AX131" s="24" t="n">
        <f aca="false">AX130+IF(AND(C131&lt;&gt;"",OR(F131="LOC - INITIAL",F131="CONSOLIDATION - UPFRONT COMM",F131="REVERSE - TOTAL FUNDING")),1,0)</f>
        <v>0</v>
      </c>
    </row>
    <row r="132" customFormat="false" ht="15" hidden="false" customHeight="false" outlineLevel="0" collapsed="false">
      <c r="A132" s="8" t="str">
        <f aca="false">IF(C132&lt;&gt;"","F"&amp;COUNT($C$4:C132),"")</f>
        <v/>
      </c>
      <c r="B132" s="9" t="str">
        <f aca="false">IF(OR(F132="LOC - INITIAL",F132="CONSOLIDATION - UPFRONT COMM",F132="REVERSE - TOTAL FUNDING"),A132,"")</f>
        <v/>
      </c>
      <c r="C132" s="10"/>
      <c r="D132" s="11"/>
      <c r="E132" s="11"/>
      <c r="F132" s="11"/>
      <c r="G132" s="12"/>
      <c r="H132" s="13"/>
      <c r="I132" s="11"/>
      <c r="J132" s="14" t="str">
        <f aca="false">IF(AND(G132&lt;&gt;"",H132&lt;&gt;""),G132*H132,"")</f>
        <v/>
      </c>
      <c r="K132" s="11"/>
      <c r="L132" s="15"/>
      <c r="M132" s="15"/>
      <c r="N132" s="14" t="n">
        <f aca="false">IF(OR(G132="",M132=""),0,IF(M132&gt;100,M132,G132*IF(M132&gt;1,M132/100,M132)))</f>
        <v>0</v>
      </c>
      <c r="O132" s="14" t="str">
        <f aca="false">IF(G132="","",G132*IF(L132="",0,IF(L132&gt;1,L132/100,L132))+N132)</f>
        <v/>
      </c>
      <c r="P132" s="11"/>
      <c r="Q132" s="16" t="str">
        <f aca="false">IF(P132="","",IFERROR(VLOOKUP(P132,PARTNERS!$A$2:$B$30,2,0),""))</f>
        <v/>
      </c>
      <c r="R132" s="17" t="str">
        <f aca="false">IF(O132="","",IF(OR(P132="",Q132=""),0,(O132-N132)*IF(Q132&gt;1,Q132/100,Q132)))</f>
        <v/>
      </c>
      <c r="S132" s="14" t="str">
        <f aca="false">IF(O132="","",O132-R132)</f>
        <v/>
      </c>
      <c r="T132" s="11"/>
      <c r="U132" s="18" t="str">
        <f aca="false">IF(T132="","",IFERROR(VLOOKUP(T132,REPS!$A$2:$D$40,2,0),""))</f>
        <v/>
      </c>
      <c r="V132" s="14" t="str">
        <f aca="false">IF(O132="","",IF(U132="",0,O132*IF(U132&gt;1,U132/100,U132)))</f>
        <v/>
      </c>
      <c r="W132" s="11"/>
      <c r="X132" s="18" t="str">
        <f aca="false">IF(W132="","",IFERROR(VLOOKUP(W132,REPS!$A$2:$D$40,3,0),""))</f>
        <v/>
      </c>
      <c r="Y132" s="14" t="str">
        <f aca="false">IF(O132="","",IF(X132="",0,O132*IF(X132&gt;1,X132/100,X132)))</f>
        <v/>
      </c>
      <c r="Z132" s="11"/>
      <c r="AA132" s="18" t="str">
        <f aca="false">IF(Z132="","",IFERROR(VLOOKUP(Z132,REPS!$A$2:$D$40,4,0),""))</f>
        <v/>
      </c>
      <c r="AB132" s="14" t="str">
        <f aca="false">IF(O132="","",IF(AA132="",0,O132*IF(AA132&gt;1,AA132/100,AA132)))</f>
        <v/>
      </c>
      <c r="AC132" s="14" t="str">
        <f aca="false">IF(O132="","",V132+Y132+AB132)</f>
        <v/>
      </c>
      <c r="AD132" s="19" t="str">
        <f aca="false">IF(O132="","",O132-R132-AC132)</f>
        <v/>
      </c>
      <c r="AE132" s="20"/>
      <c r="AF132" s="10"/>
      <c r="AG132" s="21" t="n">
        <f aca="false">IF(OR(AE132="",AE132=0),0,AE132*IF(U132="",0,IF(U132&gt;1,U132/100,U132)))</f>
        <v>0</v>
      </c>
      <c r="AH132" s="21" t="n">
        <f aca="false">IF(OR(AE132="",AE132=0),0,AE132*IF(X132="",0,IF(X132&gt;1,X132/100,X132)))</f>
        <v>0</v>
      </c>
      <c r="AI132" s="21" t="n">
        <f aca="false">IF(OR(AE132="",AE132=0),0,AE132*IF(AA132="",0,IF(AA132&gt;1,AA132/100,AA132)))</f>
        <v>0</v>
      </c>
      <c r="AJ132" s="21" t="n">
        <f aca="false">AG132+AH132+AI132</f>
        <v>0</v>
      </c>
      <c r="AK132" s="21" t="n">
        <f aca="false">IF(OR(AE132="",AE132=0),0,AE132-AJ132)</f>
        <v>0</v>
      </c>
      <c r="AL132" s="19" t="str">
        <f aca="false">IF(AD132="","",AD132-AK132)</f>
        <v/>
      </c>
      <c r="AM132" s="9" t="str">
        <f aca="false">IF(C132="","","Waiting for payment")</f>
        <v/>
      </c>
      <c r="AN132" s="10"/>
      <c r="AO132" s="10"/>
      <c r="AP132" s="22" t="str">
        <f aca="false">IF(OR(C132="",I132="",K132=""),"",IF(K132="Monthly",EDATE(C132,ROUND(I132*SETTINGS!$I$8,0)),WORKDAY(C132,ROUND(I132*SETTINGS!$I$8,0))))</f>
        <v/>
      </c>
      <c r="AQ132" s="9" t="str">
        <f aca="true">IF(C132="","",IF(AND(AP132&lt;&gt;"",TODAY()&gt;=AP132),"Refi Ready",IF(TODAY()-C132&gt;=SETTINGS!$I$11,"Prospecting","Performing")))</f>
        <v/>
      </c>
      <c r="AR132" s="22" t="str">
        <f aca="false">IF(OR(C132="",I132="",K132=""),"",IF(K132="Monthly",EDATE(C132,I132),WORKDAY(C132,I132)))</f>
        <v/>
      </c>
      <c r="AS132" s="11"/>
      <c r="AT132" s="23" t="str">
        <f aca="true">IF(C132="","",IF(AM132="Clawed Back","CLAWED",IF(TODAY()&lt;=C132+SETTINGS!$I$2,"⚠ AT RISK","SAFE")))</f>
        <v/>
      </c>
      <c r="AU132" s="11"/>
      <c r="AW132" s="24" t="n">
        <f aca="false">AW131+IF(AND(C132&lt;&gt;"",AO132&lt;&gt;"",OR('REP COMMISSION'!$B$3="",T132='REP COMMISSION'!$B$3,W132='REP COMMISSION'!$B$3,Z132='REP COMMISSION'!$B$3)),1,0)</f>
        <v>0</v>
      </c>
      <c r="AX132" s="24" t="n">
        <f aca="false">AX131+IF(AND(C132&lt;&gt;"",OR(F132="LOC - INITIAL",F132="CONSOLIDATION - UPFRONT COMM",F132="REVERSE - TOTAL FUNDING")),1,0)</f>
        <v>0</v>
      </c>
    </row>
    <row r="133" customFormat="false" ht="15" hidden="false" customHeight="false" outlineLevel="0" collapsed="false">
      <c r="A133" s="25" t="str">
        <f aca="false">IF(C133&lt;&gt;"","F"&amp;COUNT($C$4:C133),"")</f>
        <v/>
      </c>
      <c r="B133" s="26" t="str">
        <f aca="false">IF(OR(F133="LOC - INITIAL",F133="CONSOLIDATION - UPFRONT COMM",F133="REVERSE - TOTAL FUNDING"),A133,"")</f>
        <v/>
      </c>
      <c r="C133" s="27"/>
      <c r="D133" s="28"/>
      <c r="E133" s="28"/>
      <c r="F133" s="28"/>
      <c r="G133" s="29"/>
      <c r="H133" s="30"/>
      <c r="I133" s="28"/>
      <c r="J133" s="31" t="str">
        <f aca="false">IF(AND(G133&lt;&gt;"",H133&lt;&gt;""),G133*H133,"")</f>
        <v/>
      </c>
      <c r="K133" s="28"/>
      <c r="L133" s="32"/>
      <c r="M133" s="32"/>
      <c r="N133" s="31" t="n">
        <f aca="false">IF(OR(G133="",M133=""),0,IF(M133&gt;100,M133,G133*IF(M133&gt;1,M133/100,M133)))</f>
        <v>0</v>
      </c>
      <c r="O133" s="31" t="str">
        <f aca="false">IF(G133="","",G133*IF(L133="",0,IF(L133&gt;1,L133/100,L133))+N133)</f>
        <v/>
      </c>
      <c r="P133" s="28"/>
      <c r="Q133" s="33" t="str">
        <f aca="false">IF(P133="","",IFERROR(VLOOKUP(P133,PARTNERS!$A$2:$B$30,2,0),""))</f>
        <v/>
      </c>
      <c r="R133" s="17" t="str">
        <f aca="false">IF(O133="","",IF(OR(P133="",Q133=""),0,(O133-N133)*IF(Q133&gt;1,Q133/100,Q133)))</f>
        <v/>
      </c>
      <c r="S133" s="31" t="str">
        <f aca="false">IF(O133="","",O133-R133)</f>
        <v/>
      </c>
      <c r="T133" s="28"/>
      <c r="U133" s="34" t="str">
        <f aca="false">IF(T133="","",IFERROR(VLOOKUP(T133,REPS!$A$2:$D$40,2,0),""))</f>
        <v/>
      </c>
      <c r="V133" s="31" t="str">
        <f aca="false">IF(O133="","",IF(U133="",0,O133*IF(U133&gt;1,U133/100,U133)))</f>
        <v/>
      </c>
      <c r="W133" s="28"/>
      <c r="X133" s="34" t="str">
        <f aca="false">IF(W133="","",IFERROR(VLOOKUP(W133,REPS!$A$2:$D$40,3,0),""))</f>
        <v/>
      </c>
      <c r="Y133" s="31" t="str">
        <f aca="false">IF(O133="","",IF(X133="",0,O133*IF(X133&gt;1,X133/100,X133)))</f>
        <v/>
      </c>
      <c r="Z133" s="28"/>
      <c r="AA133" s="34" t="str">
        <f aca="false">IF(Z133="","",IFERROR(VLOOKUP(Z133,REPS!$A$2:$D$40,4,0),""))</f>
        <v/>
      </c>
      <c r="AB133" s="31" t="str">
        <f aca="false">IF(O133="","",IF(AA133="",0,O133*IF(AA133&gt;1,AA133/100,AA133)))</f>
        <v/>
      </c>
      <c r="AC133" s="31" t="str">
        <f aca="false">IF(O133="","",V133+Y133+AB133)</f>
        <v/>
      </c>
      <c r="AD133" s="19" t="str">
        <f aca="false">IF(O133="","",O133-R133-AC133)</f>
        <v/>
      </c>
      <c r="AE133" s="20"/>
      <c r="AF133" s="27"/>
      <c r="AG133" s="21" t="n">
        <f aca="false">IF(OR(AE133="",AE133=0),0,AE133*IF(U133="",0,IF(U133&gt;1,U133/100,U133)))</f>
        <v>0</v>
      </c>
      <c r="AH133" s="21" t="n">
        <f aca="false">IF(OR(AE133="",AE133=0),0,AE133*IF(X133="",0,IF(X133&gt;1,X133/100,X133)))</f>
        <v>0</v>
      </c>
      <c r="AI133" s="21" t="n">
        <f aca="false">IF(OR(AE133="",AE133=0),0,AE133*IF(AA133="",0,IF(AA133&gt;1,AA133/100,AA133)))</f>
        <v>0</v>
      </c>
      <c r="AJ133" s="21" t="n">
        <f aca="false">AG133+AH133+AI133</f>
        <v>0</v>
      </c>
      <c r="AK133" s="21" t="n">
        <f aca="false">IF(OR(AE133="",AE133=0),0,AE133-AJ133)</f>
        <v>0</v>
      </c>
      <c r="AL133" s="19" t="str">
        <f aca="false">IF(AD133="","",AD133-AK133)</f>
        <v/>
      </c>
      <c r="AM133" s="26" t="str">
        <f aca="false">IF(C133="","","Waiting for payment")</f>
        <v/>
      </c>
      <c r="AN133" s="27"/>
      <c r="AO133" s="27"/>
      <c r="AP133" s="35" t="str">
        <f aca="false">IF(OR(C133="",I133="",K133=""),"",IF(K133="Monthly",EDATE(C133,ROUND(I133*SETTINGS!$I$8,0)),WORKDAY(C133,ROUND(I133*SETTINGS!$I$8,0))))</f>
        <v/>
      </c>
      <c r="AQ133" s="26" t="str">
        <f aca="true">IF(C133="","",IF(AND(AP133&lt;&gt;"",TODAY()&gt;=AP133),"Refi Ready",IF(TODAY()-C133&gt;=SETTINGS!$I$11,"Prospecting","Performing")))</f>
        <v/>
      </c>
      <c r="AR133" s="35" t="str">
        <f aca="false">IF(OR(C133="",I133="",K133=""),"",IF(K133="Monthly",EDATE(C133,I133),WORKDAY(C133,I133)))</f>
        <v/>
      </c>
      <c r="AS133" s="28"/>
      <c r="AT133" s="36" t="str">
        <f aca="true">IF(C133="","",IF(AM133="Clawed Back","CLAWED",IF(TODAY()&lt;=C133+SETTINGS!$I$2,"⚠ AT RISK","SAFE")))</f>
        <v/>
      </c>
      <c r="AU133" s="28"/>
      <c r="AW133" s="24" t="n">
        <f aca="false">AW132+IF(AND(C133&lt;&gt;"",AO133&lt;&gt;"",OR('REP COMMISSION'!$B$3="",T133='REP COMMISSION'!$B$3,W133='REP COMMISSION'!$B$3,Z133='REP COMMISSION'!$B$3)),1,0)</f>
        <v>0</v>
      </c>
      <c r="AX133" s="24" t="n">
        <f aca="false">AX132+IF(AND(C133&lt;&gt;"",OR(F133="LOC - INITIAL",F133="CONSOLIDATION - UPFRONT COMM",F133="REVERSE - TOTAL FUNDING")),1,0)</f>
        <v>0</v>
      </c>
    </row>
    <row r="134" customFormat="false" ht="15" hidden="false" customHeight="false" outlineLevel="0" collapsed="false">
      <c r="A134" s="8" t="str">
        <f aca="false">IF(C134&lt;&gt;"","F"&amp;COUNT($C$4:C134),"")</f>
        <v/>
      </c>
      <c r="B134" s="9" t="str">
        <f aca="false">IF(OR(F134="LOC - INITIAL",F134="CONSOLIDATION - UPFRONT COMM",F134="REVERSE - TOTAL FUNDING"),A134,"")</f>
        <v/>
      </c>
      <c r="C134" s="10"/>
      <c r="D134" s="11"/>
      <c r="E134" s="11"/>
      <c r="F134" s="11"/>
      <c r="G134" s="12"/>
      <c r="H134" s="13"/>
      <c r="I134" s="11"/>
      <c r="J134" s="14" t="str">
        <f aca="false">IF(AND(G134&lt;&gt;"",H134&lt;&gt;""),G134*H134,"")</f>
        <v/>
      </c>
      <c r="K134" s="11"/>
      <c r="L134" s="15"/>
      <c r="M134" s="15"/>
      <c r="N134" s="14" t="n">
        <f aca="false">IF(OR(G134="",M134=""),0,IF(M134&gt;100,M134,G134*IF(M134&gt;1,M134/100,M134)))</f>
        <v>0</v>
      </c>
      <c r="O134" s="14" t="str">
        <f aca="false">IF(G134="","",G134*IF(L134="",0,IF(L134&gt;1,L134/100,L134))+N134)</f>
        <v/>
      </c>
      <c r="P134" s="11"/>
      <c r="Q134" s="16" t="str">
        <f aca="false">IF(P134="","",IFERROR(VLOOKUP(P134,PARTNERS!$A$2:$B$30,2,0),""))</f>
        <v/>
      </c>
      <c r="R134" s="17" t="str">
        <f aca="false">IF(O134="","",IF(OR(P134="",Q134=""),0,(O134-N134)*IF(Q134&gt;1,Q134/100,Q134)))</f>
        <v/>
      </c>
      <c r="S134" s="14" t="str">
        <f aca="false">IF(O134="","",O134-R134)</f>
        <v/>
      </c>
      <c r="T134" s="11"/>
      <c r="U134" s="18" t="str">
        <f aca="false">IF(T134="","",IFERROR(VLOOKUP(T134,REPS!$A$2:$D$40,2,0),""))</f>
        <v/>
      </c>
      <c r="V134" s="14" t="str">
        <f aca="false">IF(O134="","",IF(U134="",0,O134*IF(U134&gt;1,U134/100,U134)))</f>
        <v/>
      </c>
      <c r="W134" s="11"/>
      <c r="X134" s="18" t="str">
        <f aca="false">IF(W134="","",IFERROR(VLOOKUP(W134,REPS!$A$2:$D$40,3,0),""))</f>
        <v/>
      </c>
      <c r="Y134" s="14" t="str">
        <f aca="false">IF(O134="","",IF(X134="",0,O134*IF(X134&gt;1,X134/100,X134)))</f>
        <v/>
      </c>
      <c r="Z134" s="11"/>
      <c r="AA134" s="18" t="str">
        <f aca="false">IF(Z134="","",IFERROR(VLOOKUP(Z134,REPS!$A$2:$D$40,4,0),""))</f>
        <v/>
      </c>
      <c r="AB134" s="14" t="str">
        <f aca="false">IF(O134="","",IF(AA134="",0,O134*IF(AA134&gt;1,AA134/100,AA134)))</f>
        <v/>
      </c>
      <c r="AC134" s="14" t="str">
        <f aca="false">IF(O134="","",V134+Y134+AB134)</f>
        <v/>
      </c>
      <c r="AD134" s="19" t="str">
        <f aca="false">IF(O134="","",O134-R134-AC134)</f>
        <v/>
      </c>
      <c r="AE134" s="20"/>
      <c r="AF134" s="10"/>
      <c r="AG134" s="21" t="n">
        <f aca="false">IF(OR(AE134="",AE134=0),0,AE134*IF(U134="",0,IF(U134&gt;1,U134/100,U134)))</f>
        <v>0</v>
      </c>
      <c r="AH134" s="21" t="n">
        <f aca="false">IF(OR(AE134="",AE134=0),0,AE134*IF(X134="",0,IF(X134&gt;1,X134/100,X134)))</f>
        <v>0</v>
      </c>
      <c r="AI134" s="21" t="n">
        <f aca="false">IF(OR(AE134="",AE134=0),0,AE134*IF(AA134="",0,IF(AA134&gt;1,AA134/100,AA134)))</f>
        <v>0</v>
      </c>
      <c r="AJ134" s="21" t="n">
        <f aca="false">AG134+AH134+AI134</f>
        <v>0</v>
      </c>
      <c r="AK134" s="21" t="n">
        <f aca="false">IF(OR(AE134="",AE134=0),0,AE134-AJ134)</f>
        <v>0</v>
      </c>
      <c r="AL134" s="19" t="str">
        <f aca="false">IF(AD134="","",AD134-AK134)</f>
        <v/>
      </c>
      <c r="AM134" s="9" t="str">
        <f aca="false">IF(C134="","","Waiting for payment")</f>
        <v/>
      </c>
      <c r="AN134" s="10"/>
      <c r="AO134" s="10"/>
      <c r="AP134" s="22" t="str">
        <f aca="false">IF(OR(C134="",I134="",K134=""),"",IF(K134="Monthly",EDATE(C134,ROUND(I134*SETTINGS!$I$8,0)),WORKDAY(C134,ROUND(I134*SETTINGS!$I$8,0))))</f>
        <v/>
      </c>
      <c r="AQ134" s="9" t="str">
        <f aca="true">IF(C134="","",IF(AND(AP134&lt;&gt;"",TODAY()&gt;=AP134),"Refi Ready",IF(TODAY()-C134&gt;=SETTINGS!$I$11,"Prospecting","Performing")))</f>
        <v/>
      </c>
      <c r="AR134" s="22" t="str">
        <f aca="false">IF(OR(C134="",I134="",K134=""),"",IF(K134="Monthly",EDATE(C134,I134),WORKDAY(C134,I134)))</f>
        <v/>
      </c>
      <c r="AS134" s="11"/>
      <c r="AT134" s="23" t="str">
        <f aca="true">IF(C134="","",IF(AM134="Clawed Back","CLAWED",IF(TODAY()&lt;=C134+SETTINGS!$I$2,"⚠ AT RISK","SAFE")))</f>
        <v/>
      </c>
      <c r="AU134" s="11"/>
      <c r="AW134" s="24" t="n">
        <f aca="false">AW133+IF(AND(C134&lt;&gt;"",AO134&lt;&gt;"",OR('REP COMMISSION'!$B$3="",T134='REP COMMISSION'!$B$3,W134='REP COMMISSION'!$B$3,Z134='REP COMMISSION'!$B$3)),1,0)</f>
        <v>0</v>
      </c>
      <c r="AX134" s="24" t="n">
        <f aca="false">AX133+IF(AND(C134&lt;&gt;"",OR(F134="LOC - INITIAL",F134="CONSOLIDATION - UPFRONT COMM",F134="REVERSE - TOTAL FUNDING")),1,0)</f>
        <v>0</v>
      </c>
    </row>
    <row r="135" customFormat="false" ht="15" hidden="false" customHeight="false" outlineLevel="0" collapsed="false">
      <c r="A135" s="25" t="str">
        <f aca="false">IF(C135&lt;&gt;"","F"&amp;COUNT($C$4:C135),"")</f>
        <v/>
      </c>
      <c r="B135" s="26" t="str">
        <f aca="false">IF(OR(F135="LOC - INITIAL",F135="CONSOLIDATION - UPFRONT COMM",F135="REVERSE - TOTAL FUNDING"),A135,"")</f>
        <v/>
      </c>
      <c r="C135" s="27"/>
      <c r="D135" s="28"/>
      <c r="E135" s="28"/>
      <c r="F135" s="28"/>
      <c r="G135" s="29"/>
      <c r="H135" s="30"/>
      <c r="I135" s="28"/>
      <c r="J135" s="31" t="str">
        <f aca="false">IF(AND(G135&lt;&gt;"",H135&lt;&gt;""),G135*H135,"")</f>
        <v/>
      </c>
      <c r="K135" s="28"/>
      <c r="L135" s="32"/>
      <c r="M135" s="32"/>
      <c r="N135" s="31" t="n">
        <f aca="false">IF(OR(G135="",M135=""),0,IF(M135&gt;100,M135,G135*IF(M135&gt;1,M135/100,M135)))</f>
        <v>0</v>
      </c>
      <c r="O135" s="31" t="str">
        <f aca="false">IF(G135="","",G135*IF(L135="",0,IF(L135&gt;1,L135/100,L135))+N135)</f>
        <v/>
      </c>
      <c r="P135" s="28"/>
      <c r="Q135" s="33" t="str">
        <f aca="false">IF(P135="","",IFERROR(VLOOKUP(P135,PARTNERS!$A$2:$B$30,2,0),""))</f>
        <v/>
      </c>
      <c r="R135" s="17" t="str">
        <f aca="false">IF(O135="","",IF(OR(P135="",Q135=""),0,(O135-N135)*IF(Q135&gt;1,Q135/100,Q135)))</f>
        <v/>
      </c>
      <c r="S135" s="31" t="str">
        <f aca="false">IF(O135="","",O135-R135)</f>
        <v/>
      </c>
      <c r="T135" s="28"/>
      <c r="U135" s="34" t="str">
        <f aca="false">IF(T135="","",IFERROR(VLOOKUP(T135,REPS!$A$2:$D$40,2,0),""))</f>
        <v/>
      </c>
      <c r="V135" s="31" t="str">
        <f aca="false">IF(O135="","",IF(U135="",0,O135*IF(U135&gt;1,U135/100,U135)))</f>
        <v/>
      </c>
      <c r="W135" s="28"/>
      <c r="X135" s="34" t="str">
        <f aca="false">IF(W135="","",IFERROR(VLOOKUP(W135,REPS!$A$2:$D$40,3,0),""))</f>
        <v/>
      </c>
      <c r="Y135" s="31" t="str">
        <f aca="false">IF(O135="","",IF(X135="",0,O135*IF(X135&gt;1,X135/100,X135)))</f>
        <v/>
      </c>
      <c r="Z135" s="28"/>
      <c r="AA135" s="34" t="str">
        <f aca="false">IF(Z135="","",IFERROR(VLOOKUP(Z135,REPS!$A$2:$D$40,4,0),""))</f>
        <v/>
      </c>
      <c r="AB135" s="31" t="str">
        <f aca="false">IF(O135="","",IF(AA135="",0,O135*IF(AA135&gt;1,AA135/100,AA135)))</f>
        <v/>
      </c>
      <c r="AC135" s="31" t="str">
        <f aca="false">IF(O135="","",V135+Y135+AB135)</f>
        <v/>
      </c>
      <c r="AD135" s="19" t="str">
        <f aca="false">IF(O135="","",O135-R135-AC135)</f>
        <v/>
      </c>
      <c r="AE135" s="20"/>
      <c r="AF135" s="27"/>
      <c r="AG135" s="21" t="n">
        <f aca="false">IF(OR(AE135="",AE135=0),0,AE135*IF(U135="",0,IF(U135&gt;1,U135/100,U135)))</f>
        <v>0</v>
      </c>
      <c r="AH135" s="21" t="n">
        <f aca="false">IF(OR(AE135="",AE135=0),0,AE135*IF(X135="",0,IF(X135&gt;1,X135/100,X135)))</f>
        <v>0</v>
      </c>
      <c r="AI135" s="21" t="n">
        <f aca="false">IF(OR(AE135="",AE135=0),0,AE135*IF(AA135="",0,IF(AA135&gt;1,AA135/100,AA135)))</f>
        <v>0</v>
      </c>
      <c r="AJ135" s="21" t="n">
        <f aca="false">AG135+AH135+AI135</f>
        <v>0</v>
      </c>
      <c r="AK135" s="21" t="n">
        <f aca="false">IF(OR(AE135="",AE135=0),0,AE135-AJ135)</f>
        <v>0</v>
      </c>
      <c r="AL135" s="19" t="str">
        <f aca="false">IF(AD135="","",AD135-AK135)</f>
        <v/>
      </c>
      <c r="AM135" s="26" t="str">
        <f aca="false">IF(C135="","","Waiting for payment")</f>
        <v/>
      </c>
      <c r="AN135" s="27"/>
      <c r="AO135" s="27"/>
      <c r="AP135" s="35" t="str">
        <f aca="false">IF(OR(C135="",I135="",K135=""),"",IF(K135="Monthly",EDATE(C135,ROUND(I135*SETTINGS!$I$8,0)),WORKDAY(C135,ROUND(I135*SETTINGS!$I$8,0))))</f>
        <v/>
      </c>
      <c r="AQ135" s="26" t="str">
        <f aca="true">IF(C135="","",IF(AND(AP135&lt;&gt;"",TODAY()&gt;=AP135),"Refi Ready",IF(TODAY()-C135&gt;=SETTINGS!$I$11,"Prospecting","Performing")))</f>
        <v/>
      </c>
      <c r="AR135" s="35" t="str">
        <f aca="false">IF(OR(C135="",I135="",K135=""),"",IF(K135="Monthly",EDATE(C135,I135),WORKDAY(C135,I135)))</f>
        <v/>
      </c>
      <c r="AS135" s="28"/>
      <c r="AT135" s="36" t="str">
        <f aca="true">IF(C135="","",IF(AM135="Clawed Back","CLAWED",IF(TODAY()&lt;=C135+SETTINGS!$I$2,"⚠ AT RISK","SAFE")))</f>
        <v/>
      </c>
      <c r="AU135" s="28"/>
      <c r="AW135" s="24" t="n">
        <f aca="false">AW134+IF(AND(C135&lt;&gt;"",AO135&lt;&gt;"",OR('REP COMMISSION'!$B$3="",T135='REP COMMISSION'!$B$3,W135='REP COMMISSION'!$B$3,Z135='REP COMMISSION'!$B$3)),1,0)</f>
        <v>0</v>
      </c>
      <c r="AX135" s="24" t="n">
        <f aca="false">AX134+IF(AND(C135&lt;&gt;"",OR(F135="LOC - INITIAL",F135="CONSOLIDATION - UPFRONT COMM",F135="REVERSE - TOTAL FUNDING")),1,0)</f>
        <v>0</v>
      </c>
    </row>
    <row r="136" customFormat="false" ht="15" hidden="false" customHeight="false" outlineLevel="0" collapsed="false">
      <c r="A136" s="8" t="str">
        <f aca="false">IF(C136&lt;&gt;"","F"&amp;COUNT($C$4:C136),"")</f>
        <v/>
      </c>
      <c r="B136" s="9" t="str">
        <f aca="false">IF(OR(F136="LOC - INITIAL",F136="CONSOLIDATION - UPFRONT COMM",F136="REVERSE - TOTAL FUNDING"),A136,"")</f>
        <v/>
      </c>
      <c r="C136" s="10"/>
      <c r="D136" s="11"/>
      <c r="E136" s="11"/>
      <c r="F136" s="11"/>
      <c r="G136" s="12"/>
      <c r="H136" s="13"/>
      <c r="I136" s="11"/>
      <c r="J136" s="14" t="str">
        <f aca="false">IF(AND(G136&lt;&gt;"",H136&lt;&gt;""),G136*H136,"")</f>
        <v/>
      </c>
      <c r="K136" s="11"/>
      <c r="L136" s="15"/>
      <c r="M136" s="15"/>
      <c r="N136" s="14" t="n">
        <f aca="false">IF(OR(G136="",M136=""),0,IF(M136&gt;100,M136,G136*IF(M136&gt;1,M136/100,M136)))</f>
        <v>0</v>
      </c>
      <c r="O136" s="14" t="str">
        <f aca="false">IF(G136="","",G136*IF(L136="",0,IF(L136&gt;1,L136/100,L136))+N136)</f>
        <v/>
      </c>
      <c r="P136" s="11"/>
      <c r="Q136" s="16" t="str">
        <f aca="false">IF(P136="","",IFERROR(VLOOKUP(P136,PARTNERS!$A$2:$B$30,2,0),""))</f>
        <v/>
      </c>
      <c r="R136" s="17" t="str">
        <f aca="false">IF(O136="","",IF(OR(P136="",Q136=""),0,(O136-N136)*IF(Q136&gt;1,Q136/100,Q136)))</f>
        <v/>
      </c>
      <c r="S136" s="14" t="str">
        <f aca="false">IF(O136="","",O136-R136)</f>
        <v/>
      </c>
      <c r="T136" s="11"/>
      <c r="U136" s="18" t="str">
        <f aca="false">IF(T136="","",IFERROR(VLOOKUP(T136,REPS!$A$2:$D$40,2,0),""))</f>
        <v/>
      </c>
      <c r="V136" s="14" t="str">
        <f aca="false">IF(O136="","",IF(U136="",0,O136*IF(U136&gt;1,U136/100,U136)))</f>
        <v/>
      </c>
      <c r="W136" s="11"/>
      <c r="X136" s="18" t="str">
        <f aca="false">IF(W136="","",IFERROR(VLOOKUP(W136,REPS!$A$2:$D$40,3,0),""))</f>
        <v/>
      </c>
      <c r="Y136" s="14" t="str">
        <f aca="false">IF(O136="","",IF(X136="",0,O136*IF(X136&gt;1,X136/100,X136)))</f>
        <v/>
      </c>
      <c r="Z136" s="11"/>
      <c r="AA136" s="18" t="str">
        <f aca="false">IF(Z136="","",IFERROR(VLOOKUP(Z136,REPS!$A$2:$D$40,4,0),""))</f>
        <v/>
      </c>
      <c r="AB136" s="14" t="str">
        <f aca="false">IF(O136="","",IF(AA136="",0,O136*IF(AA136&gt;1,AA136/100,AA136)))</f>
        <v/>
      </c>
      <c r="AC136" s="14" t="str">
        <f aca="false">IF(O136="","",V136+Y136+AB136)</f>
        <v/>
      </c>
      <c r="AD136" s="19" t="str">
        <f aca="false">IF(O136="","",O136-R136-AC136)</f>
        <v/>
      </c>
      <c r="AE136" s="20"/>
      <c r="AF136" s="10"/>
      <c r="AG136" s="21" t="n">
        <f aca="false">IF(OR(AE136="",AE136=0),0,AE136*IF(U136="",0,IF(U136&gt;1,U136/100,U136)))</f>
        <v>0</v>
      </c>
      <c r="AH136" s="21" t="n">
        <f aca="false">IF(OR(AE136="",AE136=0),0,AE136*IF(X136="",0,IF(X136&gt;1,X136/100,X136)))</f>
        <v>0</v>
      </c>
      <c r="AI136" s="21" t="n">
        <f aca="false">IF(OR(AE136="",AE136=0),0,AE136*IF(AA136="",0,IF(AA136&gt;1,AA136/100,AA136)))</f>
        <v>0</v>
      </c>
      <c r="AJ136" s="21" t="n">
        <f aca="false">AG136+AH136+AI136</f>
        <v>0</v>
      </c>
      <c r="AK136" s="21" t="n">
        <f aca="false">IF(OR(AE136="",AE136=0),0,AE136-AJ136)</f>
        <v>0</v>
      </c>
      <c r="AL136" s="19" t="str">
        <f aca="false">IF(AD136="","",AD136-AK136)</f>
        <v/>
      </c>
      <c r="AM136" s="9" t="str">
        <f aca="false">IF(C136="","","Waiting for payment")</f>
        <v/>
      </c>
      <c r="AN136" s="10"/>
      <c r="AO136" s="10"/>
      <c r="AP136" s="22" t="str">
        <f aca="false">IF(OR(C136="",I136="",K136=""),"",IF(K136="Monthly",EDATE(C136,ROUND(I136*SETTINGS!$I$8,0)),WORKDAY(C136,ROUND(I136*SETTINGS!$I$8,0))))</f>
        <v/>
      </c>
      <c r="AQ136" s="9" t="str">
        <f aca="true">IF(C136="","",IF(AND(AP136&lt;&gt;"",TODAY()&gt;=AP136),"Refi Ready",IF(TODAY()-C136&gt;=SETTINGS!$I$11,"Prospecting","Performing")))</f>
        <v/>
      </c>
      <c r="AR136" s="22" t="str">
        <f aca="false">IF(OR(C136="",I136="",K136=""),"",IF(K136="Monthly",EDATE(C136,I136),WORKDAY(C136,I136)))</f>
        <v/>
      </c>
      <c r="AS136" s="11"/>
      <c r="AT136" s="23" t="str">
        <f aca="true">IF(C136="","",IF(AM136="Clawed Back","CLAWED",IF(TODAY()&lt;=C136+SETTINGS!$I$2,"⚠ AT RISK","SAFE")))</f>
        <v/>
      </c>
      <c r="AU136" s="11"/>
      <c r="AW136" s="24" t="n">
        <f aca="false">AW135+IF(AND(C136&lt;&gt;"",AO136&lt;&gt;"",OR('REP COMMISSION'!$B$3="",T136='REP COMMISSION'!$B$3,W136='REP COMMISSION'!$B$3,Z136='REP COMMISSION'!$B$3)),1,0)</f>
        <v>0</v>
      </c>
      <c r="AX136" s="24" t="n">
        <f aca="false">AX135+IF(AND(C136&lt;&gt;"",OR(F136="LOC - INITIAL",F136="CONSOLIDATION - UPFRONT COMM",F136="REVERSE - TOTAL FUNDING")),1,0)</f>
        <v>0</v>
      </c>
    </row>
    <row r="137" customFormat="false" ht="15" hidden="false" customHeight="false" outlineLevel="0" collapsed="false">
      <c r="A137" s="25" t="str">
        <f aca="false">IF(C137&lt;&gt;"","F"&amp;COUNT($C$4:C137),"")</f>
        <v/>
      </c>
      <c r="B137" s="26" t="str">
        <f aca="false">IF(OR(F137="LOC - INITIAL",F137="CONSOLIDATION - UPFRONT COMM",F137="REVERSE - TOTAL FUNDING"),A137,"")</f>
        <v/>
      </c>
      <c r="C137" s="27"/>
      <c r="D137" s="28"/>
      <c r="E137" s="28"/>
      <c r="F137" s="28"/>
      <c r="G137" s="29"/>
      <c r="H137" s="30"/>
      <c r="I137" s="28"/>
      <c r="J137" s="31" t="str">
        <f aca="false">IF(AND(G137&lt;&gt;"",H137&lt;&gt;""),G137*H137,"")</f>
        <v/>
      </c>
      <c r="K137" s="28"/>
      <c r="L137" s="32"/>
      <c r="M137" s="32"/>
      <c r="N137" s="31" t="n">
        <f aca="false">IF(OR(G137="",M137=""),0,IF(M137&gt;100,M137,G137*IF(M137&gt;1,M137/100,M137)))</f>
        <v>0</v>
      </c>
      <c r="O137" s="31" t="str">
        <f aca="false">IF(G137="","",G137*IF(L137="",0,IF(L137&gt;1,L137/100,L137))+N137)</f>
        <v/>
      </c>
      <c r="P137" s="28"/>
      <c r="Q137" s="33" t="str">
        <f aca="false">IF(P137="","",IFERROR(VLOOKUP(P137,PARTNERS!$A$2:$B$30,2,0),""))</f>
        <v/>
      </c>
      <c r="R137" s="17" t="str">
        <f aca="false">IF(O137="","",IF(OR(P137="",Q137=""),0,(O137-N137)*IF(Q137&gt;1,Q137/100,Q137)))</f>
        <v/>
      </c>
      <c r="S137" s="31" t="str">
        <f aca="false">IF(O137="","",O137-R137)</f>
        <v/>
      </c>
      <c r="T137" s="28"/>
      <c r="U137" s="34" t="str">
        <f aca="false">IF(T137="","",IFERROR(VLOOKUP(T137,REPS!$A$2:$D$40,2,0),""))</f>
        <v/>
      </c>
      <c r="V137" s="31" t="str">
        <f aca="false">IF(O137="","",IF(U137="",0,O137*IF(U137&gt;1,U137/100,U137)))</f>
        <v/>
      </c>
      <c r="W137" s="28"/>
      <c r="X137" s="34" t="str">
        <f aca="false">IF(W137="","",IFERROR(VLOOKUP(W137,REPS!$A$2:$D$40,3,0),""))</f>
        <v/>
      </c>
      <c r="Y137" s="31" t="str">
        <f aca="false">IF(O137="","",IF(X137="",0,O137*IF(X137&gt;1,X137/100,X137)))</f>
        <v/>
      </c>
      <c r="Z137" s="28"/>
      <c r="AA137" s="34" t="str">
        <f aca="false">IF(Z137="","",IFERROR(VLOOKUP(Z137,REPS!$A$2:$D$40,4,0),""))</f>
        <v/>
      </c>
      <c r="AB137" s="31" t="str">
        <f aca="false">IF(O137="","",IF(AA137="",0,O137*IF(AA137&gt;1,AA137/100,AA137)))</f>
        <v/>
      </c>
      <c r="AC137" s="31" t="str">
        <f aca="false">IF(O137="","",V137+Y137+AB137)</f>
        <v/>
      </c>
      <c r="AD137" s="19" t="str">
        <f aca="false">IF(O137="","",O137-R137-AC137)</f>
        <v/>
      </c>
      <c r="AE137" s="20"/>
      <c r="AF137" s="27"/>
      <c r="AG137" s="21" t="n">
        <f aca="false">IF(OR(AE137="",AE137=0),0,AE137*IF(U137="",0,IF(U137&gt;1,U137/100,U137)))</f>
        <v>0</v>
      </c>
      <c r="AH137" s="21" t="n">
        <f aca="false">IF(OR(AE137="",AE137=0),0,AE137*IF(X137="",0,IF(X137&gt;1,X137/100,X137)))</f>
        <v>0</v>
      </c>
      <c r="AI137" s="21" t="n">
        <f aca="false">IF(OR(AE137="",AE137=0),0,AE137*IF(AA137="",0,IF(AA137&gt;1,AA137/100,AA137)))</f>
        <v>0</v>
      </c>
      <c r="AJ137" s="21" t="n">
        <f aca="false">AG137+AH137+AI137</f>
        <v>0</v>
      </c>
      <c r="AK137" s="21" t="n">
        <f aca="false">IF(OR(AE137="",AE137=0),0,AE137-AJ137)</f>
        <v>0</v>
      </c>
      <c r="AL137" s="19" t="str">
        <f aca="false">IF(AD137="","",AD137-AK137)</f>
        <v/>
      </c>
      <c r="AM137" s="26" t="str">
        <f aca="false">IF(C137="","","Waiting for payment")</f>
        <v/>
      </c>
      <c r="AN137" s="27"/>
      <c r="AO137" s="27"/>
      <c r="AP137" s="35" t="str">
        <f aca="false">IF(OR(C137="",I137="",K137=""),"",IF(K137="Monthly",EDATE(C137,ROUND(I137*SETTINGS!$I$8,0)),WORKDAY(C137,ROUND(I137*SETTINGS!$I$8,0))))</f>
        <v/>
      </c>
      <c r="AQ137" s="26" t="str">
        <f aca="true">IF(C137="","",IF(AND(AP137&lt;&gt;"",TODAY()&gt;=AP137),"Refi Ready",IF(TODAY()-C137&gt;=SETTINGS!$I$11,"Prospecting","Performing")))</f>
        <v/>
      </c>
      <c r="AR137" s="35" t="str">
        <f aca="false">IF(OR(C137="",I137="",K137=""),"",IF(K137="Monthly",EDATE(C137,I137),WORKDAY(C137,I137)))</f>
        <v/>
      </c>
      <c r="AS137" s="28"/>
      <c r="AT137" s="36" t="str">
        <f aca="true">IF(C137="","",IF(AM137="Clawed Back","CLAWED",IF(TODAY()&lt;=C137+SETTINGS!$I$2,"⚠ AT RISK","SAFE")))</f>
        <v/>
      </c>
      <c r="AU137" s="28"/>
      <c r="AW137" s="24" t="n">
        <f aca="false">AW136+IF(AND(C137&lt;&gt;"",AO137&lt;&gt;"",OR('REP COMMISSION'!$B$3="",T137='REP COMMISSION'!$B$3,W137='REP COMMISSION'!$B$3,Z137='REP COMMISSION'!$B$3)),1,0)</f>
        <v>0</v>
      </c>
      <c r="AX137" s="24" t="n">
        <f aca="false">AX136+IF(AND(C137&lt;&gt;"",OR(F137="LOC - INITIAL",F137="CONSOLIDATION - UPFRONT COMM",F137="REVERSE - TOTAL FUNDING")),1,0)</f>
        <v>0</v>
      </c>
    </row>
    <row r="138" customFormat="false" ht="15" hidden="false" customHeight="false" outlineLevel="0" collapsed="false">
      <c r="A138" s="8" t="str">
        <f aca="false">IF(C138&lt;&gt;"","F"&amp;COUNT($C$4:C138),"")</f>
        <v/>
      </c>
      <c r="B138" s="9" t="str">
        <f aca="false">IF(OR(F138="LOC - INITIAL",F138="CONSOLIDATION - UPFRONT COMM",F138="REVERSE - TOTAL FUNDING"),A138,"")</f>
        <v/>
      </c>
      <c r="C138" s="10"/>
      <c r="D138" s="11"/>
      <c r="E138" s="11"/>
      <c r="F138" s="11"/>
      <c r="G138" s="12"/>
      <c r="H138" s="13"/>
      <c r="I138" s="11"/>
      <c r="J138" s="14" t="str">
        <f aca="false">IF(AND(G138&lt;&gt;"",H138&lt;&gt;""),G138*H138,"")</f>
        <v/>
      </c>
      <c r="K138" s="11"/>
      <c r="L138" s="15"/>
      <c r="M138" s="15"/>
      <c r="N138" s="14" t="n">
        <f aca="false">IF(OR(G138="",M138=""),0,IF(M138&gt;100,M138,G138*IF(M138&gt;1,M138/100,M138)))</f>
        <v>0</v>
      </c>
      <c r="O138" s="14" t="str">
        <f aca="false">IF(G138="","",G138*IF(L138="",0,IF(L138&gt;1,L138/100,L138))+N138)</f>
        <v/>
      </c>
      <c r="P138" s="11"/>
      <c r="Q138" s="16" t="str">
        <f aca="false">IF(P138="","",IFERROR(VLOOKUP(P138,PARTNERS!$A$2:$B$30,2,0),""))</f>
        <v/>
      </c>
      <c r="R138" s="17" t="str">
        <f aca="false">IF(O138="","",IF(OR(P138="",Q138=""),0,(O138-N138)*IF(Q138&gt;1,Q138/100,Q138)))</f>
        <v/>
      </c>
      <c r="S138" s="14" t="str">
        <f aca="false">IF(O138="","",O138-R138)</f>
        <v/>
      </c>
      <c r="T138" s="11"/>
      <c r="U138" s="18" t="str">
        <f aca="false">IF(T138="","",IFERROR(VLOOKUP(T138,REPS!$A$2:$D$40,2,0),""))</f>
        <v/>
      </c>
      <c r="V138" s="14" t="str">
        <f aca="false">IF(O138="","",IF(U138="",0,O138*IF(U138&gt;1,U138/100,U138)))</f>
        <v/>
      </c>
      <c r="W138" s="11"/>
      <c r="X138" s="18" t="str">
        <f aca="false">IF(W138="","",IFERROR(VLOOKUP(W138,REPS!$A$2:$D$40,3,0),""))</f>
        <v/>
      </c>
      <c r="Y138" s="14" t="str">
        <f aca="false">IF(O138="","",IF(X138="",0,O138*IF(X138&gt;1,X138/100,X138)))</f>
        <v/>
      </c>
      <c r="Z138" s="11"/>
      <c r="AA138" s="18" t="str">
        <f aca="false">IF(Z138="","",IFERROR(VLOOKUP(Z138,REPS!$A$2:$D$40,4,0),""))</f>
        <v/>
      </c>
      <c r="AB138" s="14" t="str">
        <f aca="false">IF(O138="","",IF(AA138="",0,O138*IF(AA138&gt;1,AA138/100,AA138)))</f>
        <v/>
      </c>
      <c r="AC138" s="14" t="str">
        <f aca="false">IF(O138="","",V138+Y138+AB138)</f>
        <v/>
      </c>
      <c r="AD138" s="19" t="str">
        <f aca="false">IF(O138="","",O138-R138-AC138)</f>
        <v/>
      </c>
      <c r="AE138" s="20"/>
      <c r="AF138" s="10"/>
      <c r="AG138" s="21" t="n">
        <f aca="false">IF(OR(AE138="",AE138=0),0,AE138*IF(U138="",0,IF(U138&gt;1,U138/100,U138)))</f>
        <v>0</v>
      </c>
      <c r="AH138" s="21" t="n">
        <f aca="false">IF(OR(AE138="",AE138=0),0,AE138*IF(X138="",0,IF(X138&gt;1,X138/100,X138)))</f>
        <v>0</v>
      </c>
      <c r="AI138" s="21" t="n">
        <f aca="false">IF(OR(AE138="",AE138=0),0,AE138*IF(AA138="",0,IF(AA138&gt;1,AA138/100,AA138)))</f>
        <v>0</v>
      </c>
      <c r="AJ138" s="21" t="n">
        <f aca="false">AG138+AH138+AI138</f>
        <v>0</v>
      </c>
      <c r="AK138" s="21" t="n">
        <f aca="false">IF(OR(AE138="",AE138=0),0,AE138-AJ138)</f>
        <v>0</v>
      </c>
      <c r="AL138" s="19" t="str">
        <f aca="false">IF(AD138="","",AD138-AK138)</f>
        <v/>
      </c>
      <c r="AM138" s="9" t="str">
        <f aca="false">IF(C138="","","Waiting for payment")</f>
        <v/>
      </c>
      <c r="AN138" s="10"/>
      <c r="AO138" s="10"/>
      <c r="AP138" s="22" t="str">
        <f aca="false">IF(OR(C138="",I138="",K138=""),"",IF(K138="Monthly",EDATE(C138,ROUND(I138*SETTINGS!$I$8,0)),WORKDAY(C138,ROUND(I138*SETTINGS!$I$8,0))))</f>
        <v/>
      </c>
      <c r="AQ138" s="9" t="str">
        <f aca="true">IF(C138="","",IF(AND(AP138&lt;&gt;"",TODAY()&gt;=AP138),"Refi Ready",IF(TODAY()-C138&gt;=SETTINGS!$I$11,"Prospecting","Performing")))</f>
        <v/>
      </c>
      <c r="AR138" s="22" t="str">
        <f aca="false">IF(OR(C138="",I138="",K138=""),"",IF(K138="Monthly",EDATE(C138,I138),WORKDAY(C138,I138)))</f>
        <v/>
      </c>
      <c r="AS138" s="11"/>
      <c r="AT138" s="23" t="str">
        <f aca="true">IF(C138="","",IF(AM138="Clawed Back","CLAWED",IF(TODAY()&lt;=C138+SETTINGS!$I$2,"⚠ AT RISK","SAFE")))</f>
        <v/>
      </c>
      <c r="AU138" s="11"/>
      <c r="AW138" s="24" t="n">
        <f aca="false">AW137+IF(AND(C138&lt;&gt;"",AO138&lt;&gt;"",OR('REP COMMISSION'!$B$3="",T138='REP COMMISSION'!$B$3,W138='REP COMMISSION'!$B$3,Z138='REP COMMISSION'!$B$3)),1,0)</f>
        <v>0</v>
      </c>
      <c r="AX138" s="24" t="n">
        <f aca="false">AX137+IF(AND(C138&lt;&gt;"",OR(F138="LOC - INITIAL",F138="CONSOLIDATION - UPFRONT COMM",F138="REVERSE - TOTAL FUNDING")),1,0)</f>
        <v>0</v>
      </c>
    </row>
    <row r="139" customFormat="false" ht="15" hidden="false" customHeight="false" outlineLevel="0" collapsed="false">
      <c r="A139" s="25" t="str">
        <f aca="false">IF(C139&lt;&gt;"","F"&amp;COUNT($C$4:C139),"")</f>
        <v/>
      </c>
      <c r="B139" s="26" t="str">
        <f aca="false">IF(OR(F139="LOC - INITIAL",F139="CONSOLIDATION - UPFRONT COMM",F139="REVERSE - TOTAL FUNDING"),A139,"")</f>
        <v/>
      </c>
      <c r="C139" s="27"/>
      <c r="D139" s="28"/>
      <c r="E139" s="28"/>
      <c r="F139" s="28"/>
      <c r="G139" s="29"/>
      <c r="H139" s="30"/>
      <c r="I139" s="28"/>
      <c r="J139" s="31" t="str">
        <f aca="false">IF(AND(G139&lt;&gt;"",H139&lt;&gt;""),G139*H139,"")</f>
        <v/>
      </c>
      <c r="K139" s="28"/>
      <c r="L139" s="32"/>
      <c r="M139" s="32"/>
      <c r="N139" s="31" t="n">
        <f aca="false">IF(OR(G139="",M139=""),0,IF(M139&gt;100,M139,G139*IF(M139&gt;1,M139/100,M139)))</f>
        <v>0</v>
      </c>
      <c r="O139" s="31" t="str">
        <f aca="false">IF(G139="","",G139*IF(L139="",0,IF(L139&gt;1,L139/100,L139))+N139)</f>
        <v/>
      </c>
      <c r="P139" s="28"/>
      <c r="Q139" s="33" t="str">
        <f aca="false">IF(P139="","",IFERROR(VLOOKUP(P139,PARTNERS!$A$2:$B$30,2,0),""))</f>
        <v/>
      </c>
      <c r="R139" s="17" t="str">
        <f aca="false">IF(O139="","",IF(OR(P139="",Q139=""),0,(O139-N139)*IF(Q139&gt;1,Q139/100,Q139)))</f>
        <v/>
      </c>
      <c r="S139" s="31" t="str">
        <f aca="false">IF(O139="","",O139-R139)</f>
        <v/>
      </c>
      <c r="T139" s="28"/>
      <c r="U139" s="34" t="str">
        <f aca="false">IF(T139="","",IFERROR(VLOOKUP(T139,REPS!$A$2:$D$40,2,0),""))</f>
        <v/>
      </c>
      <c r="V139" s="31" t="str">
        <f aca="false">IF(O139="","",IF(U139="",0,O139*IF(U139&gt;1,U139/100,U139)))</f>
        <v/>
      </c>
      <c r="W139" s="28"/>
      <c r="X139" s="34" t="str">
        <f aca="false">IF(W139="","",IFERROR(VLOOKUP(W139,REPS!$A$2:$D$40,3,0),""))</f>
        <v/>
      </c>
      <c r="Y139" s="31" t="str">
        <f aca="false">IF(O139="","",IF(X139="",0,O139*IF(X139&gt;1,X139/100,X139)))</f>
        <v/>
      </c>
      <c r="Z139" s="28"/>
      <c r="AA139" s="34" t="str">
        <f aca="false">IF(Z139="","",IFERROR(VLOOKUP(Z139,REPS!$A$2:$D$40,4,0),""))</f>
        <v/>
      </c>
      <c r="AB139" s="31" t="str">
        <f aca="false">IF(O139="","",IF(AA139="",0,O139*IF(AA139&gt;1,AA139/100,AA139)))</f>
        <v/>
      </c>
      <c r="AC139" s="31" t="str">
        <f aca="false">IF(O139="","",V139+Y139+AB139)</f>
        <v/>
      </c>
      <c r="AD139" s="19" t="str">
        <f aca="false">IF(O139="","",O139-R139-AC139)</f>
        <v/>
      </c>
      <c r="AE139" s="20"/>
      <c r="AF139" s="27"/>
      <c r="AG139" s="21" t="n">
        <f aca="false">IF(OR(AE139="",AE139=0),0,AE139*IF(U139="",0,IF(U139&gt;1,U139/100,U139)))</f>
        <v>0</v>
      </c>
      <c r="AH139" s="21" t="n">
        <f aca="false">IF(OR(AE139="",AE139=0),0,AE139*IF(X139="",0,IF(X139&gt;1,X139/100,X139)))</f>
        <v>0</v>
      </c>
      <c r="AI139" s="21" t="n">
        <f aca="false">IF(OR(AE139="",AE139=0),0,AE139*IF(AA139="",0,IF(AA139&gt;1,AA139/100,AA139)))</f>
        <v>0</v>
      </c>
      <c r="AJ139" s="21" t="n">
        <f aca="false">AG139+AH139+AI139</f>
        <v>0</v>
      </c>
      <c r="AK139" s="21" t="n">
        <f aca="false">IF(OR(AE139="",AE139=0),0,AE139-AJ139)</f>
        <v>0</v>
      </c>
      <c r="AL139" s="19" t="str">
        <f aca="false">IF(AD139="","",AD139-AK139)</f>
        <v/>
      </c>
      <c r="AM139" s="26" t="str">
        <f aca="false">IF(C139="","","Waiting for payment")</f>
        <v/>
      </c>
      <c r="AN139" s="27"/>
      <c r="AO139" s="27"/>
      <c r="AP139" s="35" t="str">
        <f aca="false">IF(OR(C139="",I139="",K139=""),"",IF(K139="Monthly",EDATE(C139,ROUND(I139*SETTINGS!$I$8,0)),WORKDAY(C139,ROUND(I139*SETTINGS!$I$8,0))))</f>
        <v/>
      </c>
      <c r="AQ139" s="26" t="str">
        <f aca="true">IF(C139="","",IF(AND(AP139&lt;&gt;"",TODAY()&gt;=AP139),"Refi Ready",IF(TODAY()-C139&gt;=SETTINGS!$I$11,"Prospecting","Performing")))</f>
        <v/>
      </c>
      <c r="AR139" s="35" t="str">
        <f aca="false">IF(OR(C139="",I139="",K139=""),"",IF(K139="Monthly",EDATE(C139,I139),WORKDAY(C139,I139)))</f>
        <v/>
      </c>
      <c r="AS139" s="28"/>
      <c r="AT139" s="36" t="str">
        <f aca="true">IF(C139="","",IF(AM139="Clawed Back","CLAWED",IF(TODAY()&lt;=C139+SETTINGS!$I$2,"⚠ AT RISK","SAFE")))</f>
        <v/>
      </c>
      <c r="AU139" s="28"/>
      <c r="AW139" s="24" t="n">
        <f aca="false">AW138+IF(AND(C139&lt;&gt;"",AO139&lt;&gt;"",OR('REP COMMISSION'!$B$3="",T139='REP COMMISSION'!$B$3,W139='REP COMMISSION'!$B$3,Z139='REP COMMISSION'!$B$3)),1,0)</f>
        <v>0</v>
      </c>
      <c r="AX139" s="24" t="n">
        <f aca="false">AX138+IF(AND(C139&lt;&gt;"",OR(F139="LOC - INITIAL",F139="CONSOLIDATION - UPFRONT COMM",F139="REVERSE - TOTAL FUNDING")),1,0)</f>
        <v>0</v>
      </c>
    </row>
    <row r="140" customFormat="false" ht="15" hidden="false" customHeight="false" outlineLevel="0" collapsed="false">
      <c r="A140" s="8" t="str">
        <f aca="false">IF(C140&lt;&gt;"","F"&amp;COUNT($C$4:C140),"")</f>
        <v/>
      </c>
      <c r="B140" s="9" t="str">
        <f aca="false">IF(OR(F140="LOC - INITIAL",F140="CONSOLIDATION - UPFRONT COMM",F140="REVERSE - TOTAL FUNDING"),A140,"")</f>
        <v/>
      </c>
      <c r="C140" s="10"/>
      <c r="D140" s="11"/>
      <c r="E140" s="11"/>
      <c r="F140" s="11"/>
      <c r="G140" s="12"/>
      <c r="H140" s="13"/>
      <c r="I140" s="11"/>
      <c r="J140" s="14" t="str">
        <f aca="false">IF(AND(G140&lt;&gt;"",H140&lt;&gt;""),G140*H140,"")</f>
        <v/>
      </c>
      <c r="K140" s="11"/>
      <c r="L140" s="15"/>
      <c r="M140" s="15"/>
      <c r="N140" s="14" t="n">
        <f aca="false">IF(OR(G140="",M140=""),0,IF(M140&gt;100,M140,G140*IF(M140&gt;1,M140/100,M140)))</f>
        <v>0</v>
      </c>
      <c r="O140" s="14" t="str">
        <f aca="false">IF(G140="","",G140*IF(L140="",0,IF(L140&gt;1,L140/100,L140))+N140)</f>
        <v/>
      </c>
      <c r="P140" s="11"/>
      <c r="Q140" s="16" t="str">
        <f aca="false">IF(P140="","",IFERROR(VLOOKUP(P140,PARTNERS!$A$2:$B$30,2,0),""))</f>
        <v/>
      </c>
      <c r="R140" s="17" t="str">
        <f aca="false">IF(O140="","",IF(OR(P140="",Q140=""),0,(O140-N140)*IF(Q140&gt;1,Q140/100,Q140)))</f>
        <v/>
      </c>
      <c r="S140" s="14" t="str">
        <f aca="false">IF(O140="","",O140-R140)</f>
        <v/>
      </c>
      <c r="T140" s="11"/>
      <c r="U140" s="18" t="str">
        <f aca="false">IF(T140="","",IFERROR(VLOOKUP(T140,REPS!$A$2:$D$40,2,0),""))</f>
        <v/>
      </c>
      <c r="V140" s="14" t="str">
        <f aca="false">IF(O140="","",IF(U140="",0,O140*IF(U140&gt;1,U140/100,U140)))</f>
        <v/>
      </c>
      <c r="W140" s="11"/>
      <c r="X140" s="18" t="str">
        <f aca="false">IF(W140="","",IFERROR(VLOOKUP(W140,REPS!$A$2:$D$40,3,0),""))</f>
        <v/>
      </c>
      <c r="Y140" s="14" t="str">
        <f aca="false">IF(O140="","",IF(X140="",0,O140*IF(X140&gt;1,X140/100,X140)))</f>
        <v/>
      </c>
      <c r="Z140" s="11"/>
      <c r="AA140" s="18" t="str">
        <f aca="false">IF(Z140="","",IFERROR(VLOOKUP(Z140,REPS!$A$2:$D$40,4,0),""))</f>
        <v/>
      </c>
      <c r="AB140" s="14" t="str">
        <f aca="false">IF(O140="","",IF(AA140="",0,O140*IF(AA140&gt;1,AA140/100,AA140)))</f>
        <v/>
      </c>
      <c r="AC140" s="14" t="str">
        <f aca="false">IF(O140="","",V140+Y140+AB140)</f>
        <v/>
      </c>
      <c r="AD140" s="19" t="str">
        <f aca="false">IF(O140="","",O140-R140-AC140)</f>
        <v/>
      </c>
      <c r="AE140" s="20"/>
      <c r="AF140" s="10"/>
      <c r="AG140" s="21" t="n">
        <f aca="false">IF(OR(AE140="",AE140=0),0,AE140*IF(U140="",0,IF(U140&gt;1,U140/100,U140)))</f>
        <v>0</v>
      </c>
      <c r="AH140" s="21" t="n">
        <f aca="false">IF(OR(AE140="",AE140=0),0,AE140*IF(X140="",0,IF(X140&gt;1,X140/100,X140)))</f>
        <v>0</v>
      </c>
      <c r="AI140" s="21" t="n">
        <f aca="false">IF(OR(AE140="",AE140=0),0,AE140*IF(AA140="",0,IF(AA140&gt;1,AA140/100,AA140)))</f>
        <v>0</v>
      </c>
      <c r="AJ140" s="21" t="n">
        <f aca="false">AG140+AH140+AI140</f>
        <v>0</v>
      </c>
      <c r="AK140" s="21" t="n">
        <f aca="false">IF(OR(AE140="",AE140=0),0,AE140-AJ140)</f>
        <v>0</v>
      </c>
      <c r="AL140" s="19" t="str">
        <f aca="false">IF(AD140="","",AD140-AK140)</f>
        <v/>
      </c>
      <c r="AM140" s="9" t="str">
        <f aca="false">IF(C140="","","Waiting for payment")</f>
        <v/>
      </c>
      <c r="AN140" s="10"/>
      <c r="AO140" s="10"/>
      <c r="AP140" s="22" t="str">
        <f aca="false">IF(OR(C140="",I140="",K140=""),"",IF(K140="Monthly",EDATE(C140,ROUND(I140*SETTINGS!$I$8,0)),WORKDAY(C140,ROUND(I140*SETTINGS!$I$8,0))))</f>
        <v/>
      </c>
      <c r="AQ140" s="9" t="str">
        <f aca="true">IF(C140="","",IF(AND(AP140&lt;&gt;"",TODAY()&gt;=AP140),"Refi Ready",IF(TODAY()-C140&gt;=SETTINGS!$I$11,"Prospecting","Performing")))</f>
        <v/>
      </c>
      <c r="AR140" s="22" t="str">
        <f aca="false">IF(OR(C140="",I140="",K140=""),"",IF(K140="Monthly",EDATE(C140,I140),WORKDAY(C140,I140)))</f>
        <v/>
      </c>
      <c r="AS140" s="11"/>
      <c r="AT140" s="23" t="str">
        <f aca="true">IF(C140="","",IF(AM140="Clawed Back","CLAWED",IF(TODAY()&lt;=C140+SETTINGS!$I$2,"⚠ AT RISK","SAFE")))</f>
        <v/>
      </c>
      <c r="AU140" s="11"/>
      <c r="AW140" s="24" t="n">
        <f aca="false">AW139+IF(AND(C140&lt;&gt;"",AO140&lt;&gt;"",OR('REP COMMISSION'!$B$3="",T140='REP COMMISSION'!$B$3,W140='REP COMMISSION'!$B$3,Z140='REP COMMISSION'!$B$3)),1,0)</f>
        <v>0</v>
      </c>
      <c r="AX140" s="24" t="n">
        <f aca="false">AX139+IF(AND(C140&lt;&gt;"",OR(F140="LOC - INITIAL",F140="CONSOLIDATION - UPFRONT COMM",F140="REVERSE - TOTAL FUNDING")),1,0)</f>
        <v>0</v>
      </c>
    </row>
    <row r="141" customFormat="false" ht="15" hidden="false" customHeight="false" outlineLevel="0" collapsed="false">
      <c r="A141" s="25" t="str">
        <f aca="false">IF(C141&lt;&gt;"","F"&amp;COUNT($C$4:C141),"")</f>
        <v/>
      </c>
      <c r="B141" s="26" t="str">
        <f aca="false">IF(OR(F141="LOC - INITIAL",F141="CONSOLIDATION - UPFRONT COMM",F141="REVERSE - TOTAL FUNDING"),A141,"")</f>
        <v/>
      </c>
      <c r="C141" s="27"/>
      <c r="D141" s="28"/>
      <c r="E141" s="28"/>
      <c r="F141" s="28"/>
      <c r="G141" s="29"/>
      <c r="H141" s="30"/>
      <c r="I141" s="28"/>
      <c r="J141" s="31" t="str">
        <f aca="false">IF(AND(G141&lt;&gt;"",H141&lt;&gt;""),G141*H141,"")</f>
        <v/>
      </c>
      <c r="K141" s="28"/>
      <c r="L141" s="32"/>
      <c r="M141" s="32"/>
      <c r="N141" s="31" t="n">
        <f aca="false">IF(OR(G141="",M141=""),0,IF(M141&gt;100,M141,G141*IF(M141&gt;1,M141/100,M141)))</f>
        <v>0</v>
      </c>
      <c r="O141" s="31" t="str">
        <f aca="false">IF(G141="","",G141*IF(L141="",0,IF(L141&gt;1,L141/100,L141))+N141)</f>
        <v/>
      </c>
      <c r="P141" s="28"/>
      <c r="Q141" s="33" t="str">
        <f aca="false">IF(P141="","",IFERROR(VLOOKUP(P141,PARTNERS!$A$2:$B$30,2,0),""))</f>
        <v/>
      </c>
      <c r="R141" s="17" t="str">
        <f aca="false">IF(O141="","",IF(OR(P141="",Q141=""),0,(O141-N141)*IF(Q141&gt;1,Q141/100,Q141)))</f>
        <v/>
      </c>
      <c r="S141" s="31" t="str">
        <f aca="false">IF(O141="","",O141-R141)</f>
        <v/>
      </c>
      <c r="T141" s="28"/>
      <c r="U141" s="34" t="str">
        <f aca="false">IF(T141="","",IFERROR(VLOOKUP(T141,REPS!$A$2:$D$40,2,0),""))</f>
        <v/>
      </c>
      <c r="V141" s="31" t="str">
        <f aca="false">IF(O141="","",IF(U141="",0,O141*IF(U141&gt;1,U141/100,U141)))</f>
        <v/>
      </c>
      <c r="W141" s="28"/>
      <c r="X141" s="34" t="str">
        <f aca="false">IF(W141="","",IFERROR(VLOOKUP(W141,REPS!$A$2:$D$40,3,0),""))</f>
        <v/>
      </c>
      <c r="Y141" s="31" t="str">
        <f aca="false">IF(O141="","",IF(X141="",0,O141*IF(X141&gt;1,X141/100,X141)))</f>
        <v/>
      </c>
      <c r="Z141" s="28"/>
      <c r="AA141" s="34" t="str">
        <f aca="false">IF(Z141="","",IFERROR(VLOOKUP(Z141,REPS!$A$2:$D$40,4,0),""))</f>
        <v/>
      </c>
      <c r="AB141" s="31" t="str">
        <f aca="false">IF(O141="","",IF(AA141="",0,O141*IF(AA141&gt;1,AA141/100,AA141)))</f>
        <v/>
      </c>
      <c r="AC141" s="31" t="str">
        <f aca="false">IF(O141="","",V141+Y141+AB141)</f>
        <v/>
      </c>
      <c r="AD141" s="19" t="str">
        <f aca="false">IF(O141="","",O141-R141-AC141)</f>
        <v/>
      </c>
      <c r="AE141" s="20"/>
      <c r="AF141" s="27"/>
      <c r="AG141" s="21" t="n">
        <f aca="false">IF(OR(AE141="",AE141=0),0,AE141*IF(U141="",0,IF(U141&gt;1,U141/100,U141)))</f>
        <v>0</v>
      </c>
      <c r="AH141" s="21" t="n">
        <f aca="false">IF(OR(AE141="",AE141=0),0,AE141*IF(X141="",0,IF(X141&gt;1,X141/100,X141)))</f>
        <v>0</v>
      </c>
      <c r="AI141" s="21" t="n">
        <f aca="false">IF(OR(AE141="",AE141=0),0,AE141*IF(AA141="",0,IF(AA141&gt;1,AA141/100,AA141)))</f>
        <v>0</v>
      </c>
      <c r="AJ141" s="21" t="n">
        <f aca="false">AG141+AH141+AI141</f>
        <v>0</v>
      </c>
      <c r="AK141" s="21" t="n">
        <f aca="false">IF(OR(AE141="",AE141=0),0,AE141-AJ141)</f>
        <v>0</v>
      </c>
      <c r="AL141" s="19" t="str">
        <f aca="false">IF(AD141="","",AD141-AK141)</f>
        <v/>
      </c>
      <c r="AM141" s="26" t="str">
        <f aca="false">IF(C141="","","Waiting for payment")</f>
        <v/>
      </c>
      <c r="AN141" s="27"/>
      <c r="AO141" s="27"/>
      <c r="AP141" s="35" t="str">
        <f aca="false">IF(OR(C141="",I141="",K141=""),"",IF(K141="Monthly",EDATE(C141,ROUND(I141*SETTINGS!$I$8,0)),WORKDAY(C141,ROUND(I141*SETTINGS!$I$8,0))))</f>
        <v/>
      </c>
      <c r="AQ141" s="26" t="str">
        <f aca="true">IF(C141="","",IF(AND(AP141&lt;&gt;"",TODAY()&gt;=AP141),"Refi Ready",IF(TODAY()-C141&gt;=SETTINGS!$I$11,"Prospecting","Performing")))</f>
        <v/>
      </c>
      <c r="AR141" s="35" t="str">
        <f aca="false">IF(OR(C141="",I141="",K141=""),"",IF(K141="Monthly",EDATE(C141,I141),WORKDAY(C141,I141)))</f>
        <v/>
      </c>
      <c r="AS141" s="28"/>
      <c r="AT141" s="36" t="str">
        <f aca="true">IF(C141="","",IF(AM141="Clawed Back","CLAWED",IF(TODAY()&lt;=C141+SETTINGS!$I$2,"⚠ AT RISK","SAFE")))</f>
        <v/>
      </c>
      <c r="AU141" s="28"/>
      <c r="AW141" s="24" t="n">
        <f aca="false">AW140+IF(AND(C141&lt;&gt;"",AO141&lt;&gt;"",OR('REP COMMISSION'!$B$3="",T141='REP COMMISSION'!$B$3,W141='REP COMMISSION'!$B$3,Z141='REP COMMISSION'!$B$3)),1,0)</f>
        <v>0</v>
      </c>
      <c r="AX141" s="24" t="n">
        <f aca="false">AX140+IF(AND(C141&lt;&gt;"",OR(F141="LOC - INITIAL",F141="CONSOLIDATION - UPFRONT COMM",F141="REVERSE - TOTAL FUNDING")),1,0)</f>
        <v>0</v>
      </c>
    </row>
    <row r="142" customFormat="false" ht="15" hidden="false" customHeight="false" outlineLevel="0" collapsed="false">
      <c r="A142" s="8" t="str">
        <f aca="false">IF(C142&lt;&gt;"","F"&amp;COUNT($C$4:C142),"")</f>
        <v/>
      </c>
      <c r="B142" s="9" t="str">
        <f aca="false">IF(OR(F142="LOC - INITIAL",F142="CONSOLIDATION - UPFRONT COMM",F142="REVERSE - TOTAL FUNDING"),A142,"")</f>
        <v/>
      </c>
      <c r="C142" s="10"/>
      <c r="D142" s="11"/>
      <c r="E142" s="11"/>
      <c r="F142" s="11"/>
      <c r="G142" s="12"/>
      <c r="H142" s="13"/>
      <c r="I142" s="11"/>
      <c r="J142" s="14" t="str">
        <f aca="false">IF(AND(G142&lt;&gt;"",H142&lt;&gt;""),G142*H142,"")</f>
        <v/>
      </c>
      <c r="K142" s="11"/>
      <c r="L142" s="15"/>
      <c r="M142" s="15"/>
      <c r="N142" s="14" t="n">
        <f aca="false">IF(OR(G142="",M142=""),0,IF(M142&gt;100,M142,G142*IF(M142&gt;1,M142/100,M142)))</f>
        <v>0</v>
      </c>
      <c r="O142" s="14" t="str">
        <f aca="false">IF(G142="","",G142*IF(L142="",0,IF(L142&gt;1,L142/100,L142))+N142)</f>
        <v/>
      </c>
      <c r="P142" s="11"/>
      <c r="Q142" s="16" t="str">
        <f aca="false">IF(P142="","",IFERROR(VLOOKUP(P142,PARTNERS!$A$2:$B$30,2,0),""))</f>
        <v/>
      </c>
      <c r="R142" s="17" t="str">
        <f aca="false">IF(O142="","",IF(OR(P142="",Q142=""),0,(O142-N142)*IF(Q142&gt;1,Q142/100,Q142)))</f>
        <v/>
      </c>
      <c r="S142" s="14" t="str">
        <f aca="false">IF(O142="","",O142-R142)</f>
        <v/>
      </c>
      <c r="T142" s="11"/>
      <c r="U142" s="18" t="str">
        <f aca="false">IF(T142="","",IFERROR(VLOOKUP(T142,REPS!$A$2:$D$40,2,0),""))</f>
        <v/>
      </c>
      <c r="V142" s="14" t="str">
        <f aca="false">IF(O142="","",IF(U142="",0,O142*IF(U142&gt;1,U142/100,U142)))</f>
        <v/>
      </c>
      <c r="W142" s="11"/>
      <c r="X142" s="18" t="str">
        <f aca="false">IF(W142="","",IFERROR(VLOOKUP(W142,REPS!$A$2:$D$40,3,0),""))</f>
        <v/>
      </c>
      <c r="Y142" s="14" t="str">
        <f aca="false">IF(O142="","",IF(X142="",0,O142*IF(X142&gt;1,X142/100,X142)))</f>
        <v/>
      </c>
      <c r="Z142" s="11"/>
      <c r="AA142" s="18" t="str">
        <f aca="false">IF(Z142="","",IFERROR(VLOOKUP(Z142,REPS!$A$2:$D$40,4,0),""))</f>
        <v/>
      </c>
      <c r="AB142" s="14" t="str">
        <f aca="false">IF(O142="","",IF(AA142="",0,O142*IF(AA142&gt;1,AA142/100,AA142)))</f>
        <v/>
      </c>
      <c r="AC142" s="14" t="str">
        <f aca="false">IF(O142="","",V142+Y142+AB142)</f>
        <v/>
      </c>
      <c r="AD142" s="19" t="str">
        <f aca="false">IF(O142="","",O142-R142-AC142)</f>
        <v/>
      </c>
      <c r="AE142" s="20"/>
      <c r="AF142" s="10"/>
      <c r="AG142" s="21" t="n">
        <f aca="false">IF(OR(AE142="",AE142=0),0,AE142*IF(U142="",0,IF(U142&gt;1,U142/100,U142)))</f>
        <v>0</v>
      </c>
      <c r="AH142" s="21" t="n">
        <f aca="false">IF(OR(AE142="",AE142=0),0,AE142*IF(X142="",0,IF(X142&gt;1,X142/100,X142)))</f>
        <v>0</v>
      </c>
      <c r="AI142" s="21" t="n">
        <f aca="false">IF(OR(AE142="",AE142=0),0,AE142*IF(AA142="",0,IF(AA142&gt;1,AA142/100,AA142)))</f>
        <v>0</v>
      </c>
      <c r="AJ142" s="21" t="n">
        <f aca="false">AG142+AH142+AI142</f>
        <v>0</v>
      </c>
      <c r="AK142" s="21" t="n">
        <f aca="false">IF(OR(AE142="",AE142=0),0,AE142-AJ142)</f>
        <v>0</v>
      </c>
      <c r="AL142" s="19" t="str">
        <f aca="false">IF(AD142="","",AD142-AK142)</f>
        <v/>
      </c>
      <c r="AM142" s="9" t="str">
        <f aca="false">IF(C142="","","Waiting for payment")</f>
        <v/>
      </c>
      <c r="AN142" s="10"/>
      <c r="AO142" s="10"/>
      <c r="AP142" s="22" t="str">
        <f aca="false">IF(OR(C142="",I142="",K142=""),"",IF(K142="Monthly",EDATE(C142,ROUND(I142*SETTINGS!$I$8,0)),WORKDAY(C142,ROUND(I142*SETTINGS!$I$8,0))))</f>
        <v/>
      </c>
      <c r="AQ142" s="9" t="str">
        <f aca="true">IF(C142="","",IF(AND(AP142&lt;&gt;"",TODAY()&gt;=AP142),"Refi Ready",IF(TODAY()-C142&gt;=SETTINGS!$I$11,"Prospecting","Performing")))</f>
        <v/>
      </c>
      <c r="AR142" s="22" t="str">
        <f aca="false">IF(OR(C142="",I142="",K142=""),"",IF(K142="Monthly",EDATE(C142,I142),WORKDAY(C142,I142)))</f>
        <v/>
      </c>
      <c r="AS142" s="11"/>
      <c r="AT142" s="23" t="str">
        <f aca="true">IF(C142="","",IF(AM142="Clawed Back","CLAWED",IF(TODAY()&lt;=C142+SETTINGS!$I$2,"⚠ AT RISK","SAFE")))</f>
        <v/>
      </c>
      <c r="AU142" s="11"/>
      <c r="AW142" s="24" t="n">
        <f aca="false">AW141+IF(AND(C142&lt;&gt;"",AO142&lt;&gt;"",OR('REP COMMISSION'!$B$3="",T142='REP COMMISSION'!$B$3,W142='REP COMMISSION'!$B$3,Z142='REP COMMISSION'!$B$3)),1,0)</f>
        <v>0</v>
      </c>
      <c r="AX142" s="24" t="n">
        <f aca="false">AX141+IF(AND(C142&lt;&gt;"",OR(F142="LOC - INITIAL",F142="CONSOLIDATION - UPFRONT COMM",F142="REVERSE - TOTAL FUNDING")),1,0)</f>
        <v>0</v>
      </c>
    </row>
    <row r="143" customFormat="false" ht="15" hidden="false" customHeight="false" outlineLevel="0" collapsed="false">
      <c r="A143" s="25" t="str">
        <f aca="false">IF(C143&lt;&gt;"","F"&amp;COUNT($C$4:C143),"")</f>
        <v/>
      </c>
      <c r="B143" s="26" t="str">
        <f aca="false">IF(OR(F143="LOC - INITIAL",F143="CONSOLIDATION - UPFRONT COMM",F143="REVERSE - TOTAL FUNDING"),A143,"")</f>
        <v/>
      </c>
      <c r="C143" s="27"/>
      <c r="D143" s="28"/>
      <c r="E143" s="28"/>
      <c r="F143" s="28"/>
      <c r="G143" s="29"/>
      <c r="H143" s="30"/>
      <c r="I143" s="28"/>
      <c r="J143" s="31" t="str">
        <f aca="false">IF(AND(G143&lt;&gt;"",H143&lt;&gt;""),G143*H143,"")</f>
        <v/>
      </c>
      <c r="K143" s="28"/>
      <c r="L143" s="32"/>
      <c r="M143" s="32"/>
      <c r="N143" s="31" t="n">
        <f aca="false">IF(OR(G143="",M143=""),0,IF(M143&gt;100,M143,G143*IF(M143&gt;1,M143/100,M143)))</f>
        <v>0</v>
      </c>
      <c r="O143" s="31" t="str">
        <f aca="false">IF(G143="","",G143*IF(L143="",0,IF(L143&gt;1,L143/100,L143))+N143)</f>
        <v/>
      </c>
      <c r="P143" s="28"/>
      <c r="Q143" s="33" t="str">
        <f aca="false">IF(P143="","",IFERROR(VLOOKUP(P143,PARTNERS!$A$2:$B$30,2,0),""))</f>
        <v/>
      </c>
      <c r="R143" s="17" t="str">
        <f aca="false">IF(O143="","",IF(OR(P143="",Q143=""),0,(O143-N143)*IF(Q143&gt;1,Q143/100,Q143)))</f>
        <v/>
      </c>
      <c r="S143" s="31" t="str">
        <f aca="false">IF(O143="","",O143-R143)</f>
        <v/>
      </c>
      <c r="T143" s="28"/>
      <c r="U143" s="34" t="str">
        <f aca="false">IF(T143="","",IFERROR(VLOOKUP(T143,REPS!$A$2:$D$40,2,0),""))</f>
        <v/>
      </c>
      <c r="V143" s="31" t="str">
        <f aca="false">IF(O143="","",IF(U143="",0,O143*IF(U143&gt;1,U143/100,U143)))</f>
        <v/>
      </c>
      <c r="W143" s="28"/>
      <c r="X143" s="34" t="str">
        <f aca="false">IF(W143="","",IFERROR(VLOOKUP(W143,REPS!$A$2:$D$40,3,0),""))</f>
        <v/>
      </c>
      <c r="Y143" s="31" t="str">
        <f aca="false">IF(O143="","",IF(X143="",0,O143*IF(X143&gt;1,X143/100,X143)))</f>
        <v/>
      </c>
      <c r="Z143" s="28"/>
      <c r="AA143" s="34" t="str">
        <f aca="false">IF(Z143="","",IFERROR(VLOOKUP(Z143,REPS!$A$2:$D$40,4,0),""))</f>
        <v/>
      </c>
      <c r="AB143" s="31" t="str">
        <f aca="false">IF(O143="","",IF(AA143="",0,O143*IF(AA143&gt;1,AA143/100,AA143)))</f>
        <v/>
      </c>
      <c r="AC143" s="31" t="str">
        <f aca="false">IF(O143="","",V143+Y143+AB143)</f>
        <v/>
      </c>
      <c r="AD143" s="19" t="str">
        <f aca="false">IF(O143="","",O143-R143-AC143)</f>
        <v/>
      </c>
      <c r="AE143" s="20"/>
      <c r="AF143" s="27"/>
      <c r="AG143" s="21" t="n">
        <f aca="false">IF(OR(AE143="",AE143=0),0,AE143*IF(U143="",0,IF(U143&gt;1,U143/100,U143)))</f>
        <v>0</v>
      </c>
      <c r="AH143" s="21" t="n">
        <f aca="false">IF(OR(AE143="",AE143=0),0,AE143*IF(X143="",0,IF(X143&gt;1,X143/100,X143)))</f>
        <v>0</v>
      </c>
      <c r="AI143" s="21" t="n">
        <f aca="false">IF(OR(AE143="",AE143=0),0,AE143*IF(AA143="",0,IF(AA143&gt;1,AA143/100,AA143)))</f>
        <v>0</v>
      </c>
      <c r="AJ143" s="21" t="n">
        <f aca="false">AG143+AH143+AI143</f>
        <v>0</v>
      </c>
      <c r="AK143" s="21" t="n">
        <f aca="false">IF(OR(AE143="",AE143=0),0,AE143-AJ143)</f>
        <v>0</v>
      </c>
      <c r="AL143" s="19" t="str">
        <f aca="false">IF(AD143="","",AD143-AK143)</f>
        <v/>
      </c>
      <c r="AM143" s="26" t="str">
        <f aca="false">IF(C143="","","Waiting for payment")</f>
        <v/>
      </c>
      <c r="AN143" s="27"/>
      <c r="AO143" s="27"/>
      <c r="AP143" s="35" t="str">
        <f aca="false">IF(OR(C143="",I143="",K143=""),"",IF(K143="Monthly",EDATE(C143,ROUND(I143*SETTINGS!$I$8,0)),WORKDAY(C143,ROUND(I143*SETTINGS!$I$8,0))))</f>
        <v/>
      </c>
      <c r="AQ143" s="26" t="str">
        <f aca="true">IF(C143="","",IF(AND(AP143&lt;&gt;"",TODAY()&gt;=AP143),"Refi Ready",IF(TODAY()-C143&gt;=SETTINGS!$I$11,"Prospecting","Performing")))</f>
        <v/>
      </c>
      <c r="AR143" s="35" t="str">
        <f aca="false">IF(OR(C143="",I143="",K143=""),"",IF(K143="Monthly",EDATE(C143,I143),WORKDAY(C143,I143)))</f>
        <v/>
      </c>
      <c r="AS143" s="28"/>
      <c r="AT143" s="36" t="str">
        <f aca="true">IF(C143="","",IF(AM143="Clawed Back","CLAWED",IF(TODAY()&lt;=C143+SETTINGS!$I$2,"⚠ AT RISK","SAFE")))</f>
        <v/>
      </c>
      <c r="AU143" s="28"/>
      <c r="AW143" s="24" t="n">
        <f aca="false">AW142+IF(AND(C143&lt;&gt;"",AO143&lt;&gt;"",OR('REP COMMISSION'!$B$3="",T143='REP COMMISSION'!$B$3,W143='REP COMMISSION'!$B$3,Z143='REP COMMISSION'!$B$3)),1,0)</f>
        <v>0</v>
      </c>
      <c r="AX143" s="24" t="n">
        <f aca="false">AX142+IF(AND(C143&lt;&gt;"",OR(F143="LOC - INITIAL",F143="CONSOLIDATION - UPFRONT COMM",F143="REVERSE - TOTAL FUNDING")),1,0)</f>
        <v>0</v>
      </c>
    </row>
    <row r="144" customFormat="false" ht="15" hidden="false" customHeight="false" outlineLevel="0" collapsed="false">
      <c r="A144" s="8" t="str">
        <f aca="false">IF(C144&lt;&gt;"","F"&amp;COUNT($C$4:C144),"")</f>
        <v/>
      </c>
      <c r="B144" s="9" t="str">
        <f aca="false">IF(OR(F144="LOC - INITIAL",F144="CONSOLIDATION - UPFRONT COMM",F144="REVERSE - TOTAL FUNDING"),A144,"")</f>
        <v/>
      </c>
      <c r="C144" s="10"/>
      <c r="D144" s="11"/>
      <c r="E144" s="11"/>
      <c r="F144" s="11"/>
      <c r="G144" s="12"/>
      <c r="H144" s="13"/>
      <c r="I144" s="11"/>
      <c r="J144" s="14" t="str">
        <f aca="false">IF(AND(G144&lt;&gt;"",H144&lt;&gt;""),G144*H144,"")</f>
        <v/>
      </c>
      <c r="K144" s="11"/>
      <c r="L144" s="15"/>
      <c r="M144" s="15"/>
      <c r="N144" s="14" t="n">
        <f aca="false">IF(OR(G144="",M144=""),0,IF(M144&gt;100,M144,G144*IF(M144&gt;1,M144/100,M144)))</f>
        <v>0</v>
      </c>
      <c r="O144" s="14" t="str">
        <f aca="false">IF(G144="","",G144*IF(L144="",0,IF(L144&gt;1,L144/100,L144))+N144)</f>
        <v/>
      </c>
      <c r="P144" s="11"/>
      <c r="Q144" s="16" t="str">
        <f aca="false">IF(P144="","",IFERROR(VLOOKUP(P144,PARTNERS!$A$2:$B$30,2,0),""))</f>
        <v/>
      </c>
      <c r="R144" s="17" t="str">
        <f aca="false">IF(O144="","",IF(OR(P144="",Q144=""),0,(O144-N144)*IF(Q144&gt;1,Q144/100,Q144)))</f>
        <v/>
      </c>
      <c r="S144" s="14" t="str">
        <f aca="false">IF(O144="","",O144-R144)</f>
        <v/>
      </c>
      <c r="T144" s="11"/>
      <c r="U144" s="18" t="str">
        <f aca="false">IF(T144="","",IFERROR(VLOOKUP(T144,REPS!$A$2:$D$40,2,0),""))</f>
        <v/>
      </c>
      <c r="V144" s="14" t="str">
        <f aca="false">IF(O144="","",IF(U144="",0,O144*IF(U144&gt;1,U144/100,U144)))</f>
        <v/>
      </c>
      <c r="W144" s="11"/>
      <c r="X144" s="18" t="str">
        <f aca="false">IF(W144="","",IFERROR(VLOOKUP(W144,REPS!$A$2:$D$40,3,0),""))</f>
        <v/>
      </c>
      <c r="Y144" s="14" t="str">
        <f aca="false">IF(O144="","",IF(X144="",0,O144*IF(X144&gt;1,X144/100,X144)))</f>
        <v/>
      </c>
      <c r="Z144" s="11"/>
      <c r="AA144" s="18" t="str">
        <f aca="false">IF(Z144="","",IFERROR(VLOOKUP(Z144,REPS!$A$2:$D$40,4,0),""))</f>
        <v/>
      </c>
      <c r="AB144" s="14" t="str">
        <f aca="false">IF(O144="","",IF(AA144="",0,O144*IF(AA144&gt;1,AA144/100,AA144)))</f>
        <v/>
      </c>
      <c r="AC144" s="14" t="str">
        <f aca="false">IF(O144="","",V144+Y144+AB144)</f>
        <v/>
      </c>
      <c r="AD144" s="19" t="str">
        <f aca="false">IF(O144="","",O144-R144-AC144)</f>
        <v/>
      </c>
      <c r="AE144" s="20"/>
      <c r="AF144" s="10"/>
      <c r="AG144" s="21" t="n">
        <f aca="false">IF(OR(AE144="",AE144=0),0,AE144*IF(U144="",0,IF(U144&gt;1,U144/100,U144)))</f>
        <v>0</v>
      </c>
      <c r="AH144" s="21" t="n">
        <f aca="false">IF(OR(AE144="",AE144=0),0,AE144*IF(X144="",0,IF(X144&gt;1,X144/100,X144)))</f>
        <v>0</v>
      </c>
      <c r="AI144" s="21" t="n">
        <f aca="false">IF(OR(AE144="",AE144=0),0,AE144*IF(AA144="",0,IF(AA144&gt;1,AA144/100,AA144)))</f>
        <v>0</v>
      </c>
      <c r="AJ144" s="21" t="n">
        <f aca="false">AG144+AH144+AI144</f>
        <v>0</v>
      </c>
      <c r="AK144" s="21" t="n">
        <f aca="false">IF(OR(AE144="",AE144=0),0,AE144-AJ144)</f>
        <v>0</v>
      </c>
      <c r="AL144" s="19" t="str">
        <f aca="false">IF(AD144="","",AD144-AK144)</f>
        <v/>
      </c>
      <c r="AM144" s="9" t="str">
        <f aca="false">IF(C144="","","Waiting for payment")</f>
        <v/>
      </c>
      <c r="AN144" s="10"/>
      <c r="AO144" s="10"/>
      <c r="AP144" s="22" t="str">
        <f aca="false">IF(OR(C144="",I144="",K144=""),"",IF(K144="Monthly",EDATE(C144,ROUND(I144*SETTINGS!$I$8,0)),WORKDAY(C144,ROUND(I144*SETTINGS!$I$8,0))))</f>
        <v/>
      </c>
      <c r="AQ144" s="9" t="str">
        <f aca="true">IF(C144="","",IF(AND(AP144&lt;&gt;"",TODAY()&gt;=AP144),"Refi Ready",IF(TODAY()-C144&gt;=SETTINGS!$I$11,"Prospecting","Performing")))</f>
        <v/>
      </c>
      <c r="AR144" s="22" t="str">
        <f aca="false">IF(OR(C144="",I144="",K144=""),"",IF(K144="Monthly",EDATE(C144,I144),WORKDAY(C144,I144)))</f>
        <v/>
      </c>
      <c r="AS144" s="11"/>
      <c r="AT144" s="23" t="str">
        <f aca="true">IF(C144="","",IF(AM144="Clawed Back","CLAWED",IF(TODAY()&lt;=C144+SETTINGS!$I$2,"⚠ AT RISK","SAFE")))</f>
        <v/>
      </c>
      <c r="AU144" s="11"/>
      <c r="AW144" s="24" t="n">
        <f aca="false">AW143+IF(AND(C144&lt;&gt;"",AO144&lt;&gt;"",OR('REP COMMISSION'!$B$3="",T144='REP COMMISSION'!$B$3,W144='REP COMMISSION'!$B$3,Z144='REP COMMISSION'!$B$3)),1,0)</f>
        <v>0</v>
      </c>
      <c r="AX144" s="24" t="n">
        <f aca="false">AX143+IF(AND(C144&lt;&gt;"",OR(F144="LOC - INITIAL",F144="CONSOLIDATION - UPFRONT COMM",F144="REVERSE - TOTAL FUNDING")),1,0)</f>
        <v>0</v>
      </c>
    </row>
    <row r="145" customFormat="false" ht="15" hidden="false" customHeight="false" outlineLevel="0" collapsed="false">
      <c r="A145" s="25" t="str">
        <f aca="false">IF(C145&lt;&gt;"","F"&amp;COUNT($C$4:C145),"")</f>
        <v/>
      </c>
      <c r="B145" s="26" t="str">
        <f aca="false">IF(OR(F145="LOC - INITIAL",F145="CONSOLIDATION - UPFRONT COMM",F145="REVERSE - TOTAL FUNDING"),A145,"")</f>
        <v/>
      </c>
      <c r="C145" s="27"/>
      <c r="D145" s="28"/>
      <c r="E145" s="28"/>
      <c r="F145" s="28"/>
      <c r="G145" s="29"/>
      <c r="H145" s="30"/>
      <c r="I145" s="28"/>
      <c r="J145" s="31" t="str">
        <f aca="false">IF(AND(G145&lt;&gt;"",H145&lt;&gt;""),G145*H145,"")</f>
        <v/>
      </c>
      <c r="K145" s="28"/>
      <c r="L145" s="32"/>
      <c r="M145" s="32"/>
      <c r="N145" s="31" t="n">
        <f aca="false">IF(OR(G145="",M145=""),0,IF(M145&gt;100,M145,G145*IF(M145&gt;1,M145/100,M145)))</f>
        <v>0</v>
      </c>
      <c r="O145" s="31" t="str">
        <f aca="false">IF(G145="","",G145*IF(L145="",0,IF(L145&gt;1,L145/100,L145))+N145)</f>
        <v/>
      </c>
      <c r="P145" s="28"/>
      <c r="Q145" s="33" t="str">
        <f aca="false">IF(P145="","",IFERROR(VLOOKUP(P145,PARTNERS!$A$2:$B$30,2,0),""))</f>
        <v/>
      </c>
      <c r="R145" s="17" t="str">
        <f aca="false">IF(O145="","",IF(OR(P145="",Q145=""),0,(O145-N145)*IF(Q145&gt;1,Q145/100,Q145)))</f>
        <v/>
      </c>
      <c r="S145" s="31" t="str">
        <f aca="false">IF(O145="","",O145-R145)</f>
        <v/>
      </c>
      <c r="T145" s="28"/>
      <c r="U145" s="34" t="str">
        <f aca="false">IF(T145="","",IFERROR(VLOOKUP(T145,REPS!$A$2:$D$40,2,0),""))</f>
        <v/>
      </c>
      <c r="V145" s="31" t="str">
        <f aca="false">IF(O145="","",IF(U145="",0,O145*IF(U145&gt;1,U145/100,U145)))</f>
        <v/>
      </c>
      <c r="W145" s="28"/>
      <c r="X145" s="34" t="str">
        <f aca="false">IF(W145="","",IFERROR(VLOOKUP(W145,REPS!$A$2:$D$40,3,0),""))</f>
        <v/>
      </c>
      <c r="Y145" s="31" t="str">
        <f aca="false">IF(O145="","",IF(X145="",0,O145*IF(X145&gt;1,X145/100,X145)))</f>
        <v/>
      </c>
      <c r="Z145" s="28"/>
      <c r="AA145" s="34" t="str">
        <f aca="false">IF(Z145="","",IFERROR(VLOOKUP(Z145,REPS!$A$2:$D$40,4,0),""))</f>
        <v/>
      </c>
      <c r="AB145" s="31" t="str">
        <f aca="false">IF(O145="","",IF(AA145="",0,O145*IF(AA145&gt;1,AA145/100,AA145)))</f>
        <v/>
      </c>
      <c r="AC145" s="31" t="str">
        <f aca="false">IF(O145="","",V145+Y145+AB145)</f>
        <v/>
      </c>
      <c r="AD145" s="19" t="str">
        <f aca="false">IF(O145="","",O145-R145-AC145)</f>
        <v/>
      </c>
      <c r="AE145" s="20"/>
      <c r="AF145" s="27"/>
      <c r="AG145" s="21" t="n">
        <f aca="false">IF(OR(AE145="",AE145=0),0,AE145*IF(U145="",0,IF(U145&gt;1,U145/100,U145)))</f>
        <v>0</v>
      </c>
      <c r="AH145" s="21" t="n">
        <f aca="false">IF(OR(AE145="",AE145=0),0,AE145*IF(X145="",0,IF(X145&gt;1,X145/100,X145)))</f>
        <v>0</v>
      </c>
      <c r="AI145" s="21" t="n">
        <f aca="false">IF(OR(AE145="",AE145=0),0,AE145*IF(AA145="",0,IF(AA145&gt;1,AA145/100,AA145)))</f>
        <v>0</v>
      </c>
      <c r="AJ145" s="21" t="n">
        <f aca="false">AG145+AH145+AI145</f>
        <v>0</v>
      </c>
      <c r="AK145" s="21" t="n">
        <f aca="false">IF(OR(AE145="",AE145=0),0,AE145-AJ145)</f>
        <v>0</v>
      </c>
      <c r="AL145" s="19" t="str">
        <f aca="false">IF(AD145="","",AD145-AK145)</f>
        <v/>
      </c>
      <c r="AM145" s="26" t="str">
        <f aca="false">IF(C145="","","Waiting for payment")</f>
        <v/>
      </c>
      <c r="AN145" s="27"/>
      <c r="AO145" s="27"/>
      <c r="AP145" s="35" t="str">
        <f aca="false">IF(OR(C145="",I145="",K145=""),"",IF(K145="Monthly",EDATE(C145,ROUND(I145*SETTINGS!$I$8,0)),WORKDAY(C145,ROUND(I145*SETTINGS!$I$8,0))))</f>
        <v/>
      </c>
      <c r="AQ145" s="26" t="str">
        <f aca="true">IF(C145="","",IF(AND(AP145&lt;&gt;"",TODAY()&gt;=AP145),"Refi Ready",IF(TODAY()-C145&gt;=SETTINGS!$I$11,"Prospecting","Performing")))</f>
        <v/>
      </c>
      <c r="AR145" s="35" t="str">
        <f aca="false">IF(OR(C145="",I145="",K145=""),"",IF(K145="Monthly",EDATE(C145,I145),WORKDAY(C145,I145)))</f>
        <v/>
      </c>
      <c r="AS145" s="28"/>
      <c r="AT145" s="36" t="str">
        <f aca="true">IF(C145="","",IF(AM145="Clawed Back","CLAWED",IF(TODAY()&lt;=C145+SETTINGS!$I$2,"⚠ AT RISK","SAFE")))</f>
        <v/>
      </c>
      <c r="AU145" s="28"/>
      <c r="AW145" s="24" t="n">
        <f aca="false">AW144+IF(AND(C145&lt;&gt;"",AO145&lt;&gt;"",OR('REP COMMISSION'!$B$3="",T145='REP COMMISSION'!$B$3,W145='REP COMMISSION'!$B$3,Z145='REP COMMISSION'!$B$3)),1,0)</f>
        <v>0</v>
      </c>
      <c r="AX145" s="24" t="n">
        <f aca="false">AX144+IF(AND(C145&lt;&gt;"",OR(F145="LOC - INITIAL",F145="CONSOLIDATION - UPFRONT COMM",F145="REVERSE - TOTAL FUNDING")),1,0)</f>
        <v>0</v>
      </c>
    </row>
    <row r="146" customFormat="false" ht="15" hidden="false" customHeight="false" outlineLevel="0" collapsed="false">
      <c r="A146" s="8" t="str">
        <f aca="false">IF(C146&lt;&gt;"","F"&amp;COUNT($C$4:C146),"")</f>
        <v/>
      </c>
      <c r="B146" s="9" t="str">
        <f aca="false">IF(OR(F146="LOC - INITIAL",F146="CONSOLIDATION - UPFRONT COMM",F146="REVERSE - TOTAL FUNDING"),A146,"")</f>
        <v/>
      </c>
      <c r="C146" s="10"/>
      <c r="D146" s="11"/>
      <c r="E146" s="11"/>
      <c r="F146" s="11"/>
      <c r="G146" s="12"/>
      <c r="H146" s="13"/>
      <c r="I146" s="11"/>
      <c r="J146" s="14" t="str">
        <f aca="false">IF(AND(G146&lt;&gt;"",H146&lt;&gt;""),G146*H146,"")</f>
        <v/>
      </c>
      <c r="K146" s="11"/>
      <c r="L146" s="15"/>
      <c r="M146" s="15"/>
      <c r="N146" s="14" t="n">
        <f aca="false">IF(OR(G146="",M146=""),0,IF(M146&gt;100,M146,G146*IF(M146&gt;1,M146/100,M146)))</f>
        <v>0</v>
      </c>
      <c r="O146" s="14" t="str">
        <f aca="false">IF(G146="","",G146*IF(L146="",0,IF(L146&gt;1,L146/100,L146))+N146)</f>
        <v/>
      </c>
      <c r="P146" s="11"/>
      <c r="Q146" s="16" t="str">
        <f aca="false">IF(P146="","",IFERROR(VLOOKUP(P146,PARTNERS!$A$2:$B$30,2,0),""))</f>
        <v/>
      </c>
      <c r="R146" s="17" t="str">
        <f aca="false">IF(O146="","",IF(OR(P146="",Q146=""),0,(O146-N146)*IF(Q146&gt;1,Q146/100,Q146)))</f>
        <v/>
      </c>
      <c r="S146" s="14" t="str">
        <f aca="false">IF(O146="","",O146-R146)</f>
        <v/>
      </c>
      <c r="T146" s="11"/>
      <c r="U146" s="18" t="str">
        <f aca="false">IF(T146="","",IFERROR(VLOOKUP(T146,REPS!$A$2:$D$40,2,0),""))</f>
        <v/>
      </c>
      <c r="V146" s="14" t="str">
        <f aca="false">IF(O146="","",IF(U146="",0,O146*IF(U146&gt;1,U146/100,U146)))</f>
        <v/>
      </c>
      <c r="W146" s="11"/>
      <c r="X146" s="18" t="str">
        <f aca="false">IF(W146="","",IFERROR(VLOOKUP(W146,REPS!$A$2:$D$40,3,0),""))</f>
        <v/>
      </c>
      <c r="Y146" s="14" t="str">
        <f aca="false">IF(O146="","",IF(X146="",0,O146*IF(X146&gt;1,X146/100,X146)))</f>
        <v/>
      </c>
      <c r="Z146" s="11"/>
      <c r="AA146" s="18" t="str">
        <f aca="false">IF(Z146="","",IFERROR(VLOOKUP(Z146,REPS!$A$2:$D$40,4,0),""))</f>
        <v/>
      </c>
      <c r="AB146" s="14" t="str">
        <f aca="false">IF(O146="","",IF(AA146="",0,O146*IF(AA146&gt;1,AA146/100,AA146)))</f>
        <v/>
      </c>
      <c r="AC146" s="14" t="str">
        <f aca="false">IF(O146="","",V146+Y146+AB146)</f>
        <v/>
      </c>
      <c r="AD146" s="19" t="str">
        <f aca="false">IF(O146="","",O146-R146-AC146)</f>
        <v/>
      </c>
      <c r="AE146" s="20"/>
      <c r="AF146" s="10"/>
      <c r="AG146" s="21" t="n">
        <f aca="false">IF(OR(AE146="",AE146=0),0,AE146*IF(U146="",0,IF(U146&gt;1,U146/100,U146)))</f>
        <v>0</v>
      </c>
      <c r="AH146" s="21" t="n">
        <f aca="false">IF(OR(AE146="",AE146=0),0,AE146*IF(X146="",0,IF(X146&gt;1,X146/100,X146)))</f>
        <v>0</v>
      </c>
      <c r="AI146" s="21" t="n">
        <f aca="false">IF(OR(AE146="",AE146=0),0,AE146*IF(AA146="",0,IF(AA146&gt;1,AA146/100,AA146)))</f>
        <v>0</v>
      </c>
      <c r="AJ146" s="21" t="n">
        <f aca="false">AG146+AH146+AI146</f>
        <v>0</v>
      </c>
      <c r="AK146" s="21" t="n">
        <f aca="false">IF(OR(AE146="",AE146=0),0,AE146-AJ146)</f>
        <v>0</v>
      </c>
      <c r="AL146" s="19" t="str">
        <f aca="false">IF(AD146="","",AD146-AK146)</f>
        <v/>
      </c>
      <c r="AM146" s="9" t="str">
        <f aca="false">IF(C146="","","Waiting for payment")</f>
        <v/>
      </c>
      <c r="AN146" s="10"/>
      <c r="AO146" s="10"/>
      <c r="AP146" s="22" t="str">
        <f aca="false">IF(OR(C146="",I146="",K146=""),"",IF(K146="Monthly",EDATE(C146,ROUND(I146*SETTINGS!$I$8,0)),WORKDAY(C146,ROUND(I146*SETTINGS!$I$8,0))))</f>
        <v/>
      </c>
      <c r="AQ146" s="9" t="str">
        <f aca="true">IF(C146="","",IF(AND(AP146&lt;&gt;"",TODAY()&gt;=AP146),"Refi Ready",IF(TODAY()-C146&gt;=SETTINGS!$I$11,"Prospecting","Performing")))</f>
        <v/>
      </c>
      <c r="AR146" s="22" t="str">
        <f aca="false">IF(OR(C146="",I146="",K146=""),"",IF(K146="Monthly",EDATE(C146,I146),WORKDAY(C146,I146)))</f>
        <v/>
      </c>
      <c r="AS146" s="11"/>
      <c r="AT146" s="23" t="str">
        <f aca="true">IF(C146="","",IF(AM146="Clawed Back","CLAWED",IF(TODAY()&lt;=C146+SETTINGS!$I$2,"⚠ AT RISK","SAFE")))</f>
        <v/>
      </c>
      <c r="AU146" s="11"/>
      <c r="AW146" s="24" t="n">
        <f aca="false">AW145+IF(AND(C146&lt;&gt;"",AO146&lt;&gt;"",OR('REP COMMISSION'!$B$3="",T146='REP COMMISSION'!$B$3,W146='REP COMMISSION'!$B$3,Z146='REP COMMISSION'!$B$3)),1,0)</f>
        <v>0</v>
      </c>
      <c r="AX146" s="24" t="n">
        <f aca="false">AX145+IF(AND(C146&lt;&gt;"",OR(F146="LOC - INITIAL",F146="CONSOLIDATION - UPFRONT COMM",F146="REVERSE - TOTAL FUNDING")),1,0)</f>
        <v>0</v>
      </c>
    </row>
    <row r="147" customFormat="false" ht="15" hidden="false" customHeight="false" outlineLevel="0" collapsed="false">
      <c r="A147" s="25" t="str">
        <f aca="false">IF(C147&lt;&gt;"","F"&amp;COUNT($C$4:C147),"")</f>
        <v/>
      </c>
      <c r="B147" s="26" t="str">
        <f aca="false">IF(OR(F147="LOC - INITIAL",F147="CONSOLIDATION - UPFRONT COMM",F147="REVERSE - TOTAL FUNDING"),A147,"")</f>
        <v/>
      </c>
      <c r="C147" s="27"/>
      <c r="D147" s="28"/>
      <c r="E147" s="28"/>
      <c r="F147" s="28"/>
      <c r="G147" s="29"/>
      <c r="H147" s="30"/>
      <c r="I147" s="28"/>
      <c r="J147" s="31" t="str">
        <f aca="false">IF(AND(G147&lt;&gt;"",H147&lt;&gt;""),G147*H147,"")</f>
        <v/>
      </c>
      <c r="K147" s="28"/>
      <c r="L147" s="32"/>
      <c r="M147" s="32"/>
      <c r="N147" s="31" t="n">
        <f aca="false">IF(OR(G147="",M147=""),0,IF(M147&gt;100,M147,G147*IF(M147&gt;1,M147/100,M147)))</f>
        <v>0</v>
      </c>
      <c r="O147" s="31" t="str">
        <f aca="false">IF(G147="","",G147*IF(L147="",0,IF(L147&gt;1,L147/100,L147))+N147)</f>
        <v/>
      </c>
      <c r="P147" s="28"/>
      <c r="Q147" s="33" t="str">
        <f aca="false">IF(P147="","",IFERROR(VLOOKUP(P147,PARTNERS!$A$2:$B$30,2,0),""))</f>
        <v/>
      </c>
      <c r="R147" s="17" t="str">
        <f aca="false">IF(O147="","",IF(OR(P147="",Q147=""),0,(O147-N147)*IF(Q147&gt;1,Q147/100,Q147)))</f>
        <v/>
      </c>
      <c r="S147" s="31" t="str">
        <f aca="false">IF(O147="","",O147-R147)</f>
        <v/>
      </c>
      <c r="T147" s="28"/>
      <c r="U147" s="34" t="str">
        <f aca="false">IF(T147="","",IFERROR(VLOOKUP(T147,REPS!$A$2:$D$40,2,0),""))</f>
        <v/>
      </c>
      <c r="V147" s="31" t="str">
        <f aca="false">IF(O147="","",IF(U147="",0,O147*IF(U147&gt;1,U147/100,U147)))</f>
        <v/>
      </c>
      <c r="W147" s="28"/>
      <c r="X147" s="34" t="str">
        <f aca="false">IF(W147="","",IFERROR(VLOOKUP(W147,REPS!$A$2:$D$40,3,0),""))</f>
        <v/>
      </c>
      <c r="Y147" s="31" t="str">
        <f aca="false">IF(O147="","",IF(X147="",0,O147*IF(X147&gt;1,X147/100,X147)))</f>
        <v/>
      </c>
      <c r="Z147" s="28"/>
      <c r="AA147" s="34" t="str">
        <f aca="false">IF(Z147="","",IFERROR(VLOOKUP(Z147,REPS!$A$2:$D$40,4,0),""))</f>
        <v/>
      </c>
      <c r="AB147" s="31" t="str">
        <f aca="false">IF(O147="","",IF(AA147="",0,O147*IF(AA147&gt;1,AA147/100,AA147)))</f>
        <v/>
      </c>
      <c r="AC147" s="31" t="str">
        <f aca="false">IF(O147="","",V147+Y147+AB147)</f>
        <v/>
      </c>
      <c r="AD147" s="19" t="str">
        <f aca="false">IF(O147="","",O147-R147-AC147)</f>
        <v/>
      </c>
      <c r="AE147" s="20"/>
      <c r="AF147" s="27"/>
      <c r="AG147" s="21" t="n">
        <f aca="false">IF(OR(AE147="",AE147=0),0,AE147*IF(U147="",0,IF(U147&gt;1,U147/100,U147)))</f>
        <v>0</v>
      </c>
      <c r="AH147" s="21" t="n">
        <f aca="false">IF(OR(AE147="",AE147=0),0,AE147*IF(X147="",0,IF(X147&gt;1,X147/100,X147)))</f>
        <v>0</v>
      </c>
      <c r="AI147" s="21" t="n">
        <f aca="false">IF(OR(AE147="",AE147=0),0,AE147*IF(AA147="",0,IF(AA147&gt;1,AA147/100,AA147)))</f>
        <v>0</v>
      </c>
      <c r="AJ147" s="21" t="n">
        <f aca="false">AG147+AH147+AI147</f>
        <v>0</v>
      </c>
      <c r="AK147" s="21" t="n">
        <f aca="false">IF(OR(AE147="",AE147=0),0,AE147-AJ147)</f>
        <v>0</v>
      </c>
      <c r="AL147" s="19" t="str">
        <f aca="false">IF(AD147="","",AD147-AK147)</f>
        <v/>
      </c>
      <c r="AM147" s="26" t="str">
        <f aca="false">IF(C147="","","Waiting for payment")</f>
        <v/>
      </c>
      <c r="AN147" s="27"/>
      <c r="AO147" s="27"/>
      <c r="AP147" s="35" t="str">
        <f aca="false">IF(OR(C147="",I147="",K147=""),"",IF(K147="Monthly",EDATE(C147,ROUND(I147*SETTINGS!$I$8,0)),WORKDAY(C147,ROUND(I147*SETTINGS!$I$8,0))))</f>
        <v/>
      </c>
      <c r="AQ147" s="26" t="str">
        <f aca="true">IF(C147="","",IF(AND(AP147&lt;&gt;"",TODAY()&gt;=AP147),"Refi Ready",IF(TODAY()-C147&gt;=SETTINGS!$I$11,"Prospecting","Performing")))</f>
        <v/>
      </c>
      <c r="AR147" s="35" t="str">
        <f aca="false">IF(OR(C147="",I147="",K147=""),"",IF(K147="Monthly",EDATE(C147,I147),WORKDAY(C147,I147)))</f>
        <v/>
      </c>
      <c r="AS147" s="28"/>
      <c r="AT147" s="36" t="str">
        <f aca="true">IF(C147="","",IF(AM147="Clawed Back","CLAWED",IF(TODAY()&lt;=C147+SETTINGS!$I$2,"⚠ AT RISK","SAFE")))</f>
        <v/>
      </c>
      <c r="AU147" s="28"/>
      <c r="AW147" s="24" t="n">
        <f aca="false">AW146+IF(AND(C147&lt;&gt;"",AO147&lt;&gt;"",OR('REP COMMISSION'!$B$3="",T147='REP COMMISSION'!$B$3,W147='REP COMMISSION'!$B$3,Z147='REP COMMISSION'!$B$3)),1,0)</f>
        <v>0</v>
      </c>
      <c r="AX147" s="24" t="n">
        <f aca="false">AX146+IF(AND(C147&lt;&gt;"",OR(F147="LOC - INITIAL",F147="CONSOLIDATION - UPFRONT COMM",F147="REVERSE - TOTAL FUNDING")),1,0)</f>
        <v>0</v>
      </c>
    </row>
    <row r="148" customFormat="false" ht="15" hidden="false" customHeight="false" outlineLevel="0" collapsed="false">
      <c r="A148" s="8" t="str">
        <f aca="false">IF(C148&lt;&gt;"","F"&amp;COUNT($C$4:C148),"")</f>
        <v/>
      </c>
      <c r="B148" s="9" t="str">
        <f aca="false">IF(OR(F148="LOC - INITIAL",F148="CONSOLIDATION - UPFRONT COMM",F148="REVERSE - TOTAL FUNDING"),A148,"")</f>
        <v/>
      </c>
      <c r="C148" s="10"/>
      <c r="D148" s="11"/>
      <c r="E148" s="11"/>
      <c r="F148" s="11"/>
      <c r="G148" s="12"/>
      <c r="H148" s="13"/>
      <c r="I148" s="11"/>
      <c r="J148" s="14" t="str">
        <f aca="false">IF(AND(G148&lt;&gt;"",H148&lt;&gt;""),G148*H148,"")</f>
        <v/>
      </c>
      <c r="K148" s="11"/>
      <c r="L148" s="15"/>
      <c r="M148" s="15"/>
      <c r="N148" s="14" t="n">
        <f aca="false">IF(OR(G148="",M148=""),0,IF(M148&gt;100,M148,G148*IF(M148&gt;1,M148/100,M148)))</f>
        <v>0</v>
      </c>
      <c r="O148" s="14" t="str">
        <f aca="false">IF(G148="","",G148*IF(L148="",0,IF(L148&gt;1,L148/100,L148))+N148)</f>
        <v/>
      </c>
      <c r="P148" s="11"/>
      <c r="Q148" s="16" t="str">
        <f aca="false">IF(P148="","",IFERROR(VLOOKUP(P148,PARTNERS!$A$2:$B$30,2,0),""))</f>
        <v/>
      </c>
      <c r="R148" s="17" t="str">
        <f aca="false">IF(O148="","",IF(OR(P148="",Q148=""),0,(O148-N148)*IF(Q148&gt;1,Q148/100,Q148)))</f>
        <v/>
      </c>
      <c r="S148" s="14" t="str">
        <f aca="false">IF(O148="","",O148-R148)</f>
        <v/>
      </c>
      <c r="T148" s="11"/>
      <c r="U148" s="18" t="str">
        <f aca="false">IF(T148="","",IFERROR(VLOOKUP(T148,REPS!$A$2:$D$40,2,0),""))</f>
        <v/>
      </c>
      <c r="V148" s="14" t="str">
        <f aca="false">IF(O148="","",IF(U148="",0,O148*IF(U148&gt;1,U148/100,U148)))</f>
        <v/>
      </c>
      <c r="W148" s="11"/>
      <c r="X148" s="18" t="str">
        <f aca="false">IF(W148="","",IFERROR(VLOOKUP(W148,REPS!$A$2:$D$40,3,0),""))</f>
        <v/>
      </c>
      <c r="Y148" s="14" t="str">
        <f aca="false">IF(O148="","",IF(X148="",0,O148*IF(X148&gt;1,X148/100,X148)))</f>
        <v/>
      </c>
      <c r="Z148" s="11"/>
      <c r="AA148" s="18" t="str">
        <f aca="false">IF(Z148="","",IFERROR(VLOOKUP(Z148,REPS!$A$2:$D$40,4,0),""))</f>
        <v/>
      </c>
      <c r="AB148" s="14" t="str">
        <f aca="false">IF(O148="","",IF(AA148="",0,O148*IF(AA148&gt;1,AA148/100,AA148)))</f>
        <v/>
      </c>
      <c r="AC148" s="14" t="str">
        <f aca="false">IF(O148="","",V148+Y148+AB148)</f>
        <v/>
      </c>
      <c r="AD148" s="19" t="str">
        <f aca="false">IF(O148="","",O148-R148-AC148)</f>
        <v/>
      </c>
      <c r="AE148" s="20"/>
      <c r="AF148" s="10"/>
      <c r="AG148" s="21" t="n">
        <f aca="false">IF(OR(AE148="",AE148=0),0,AE148*IF(U148="",0,IF(U148&gt;1,U148/100,U148)))</f>
        <v>0</v>
      </c>
      <c r="AH148" s="21" t="n">
        <f aca="false">IF(OR(AE148="",AE148=0),0,AE148*IF(X148="",0,IF(X148&gt;1,X148/100,X148)))</f>
        <v>0</v>
      </c>
      <c r="AI148" s="21" t="n">
        <f aca="false">IF(OR(AE148="",AE148=0),0,AE148*IF(AA148="",0,IF(AA148&gt;1,AA148/100,AA148)))</f>
        <v>0</v>
      </c>
      <c r="AJ148" s="21" t="n">
        <f aca="false">AG148+AH148+AI148</f>
        <v>0</v>
      </c>
      <c r="AK148" s="21" t="n">
        <f aca="false">IF(OR(AE148="",AE148=0),0,AE148-AJ148)</f>
        <v>0</v>
      </c>
      <c r="AL148" s="19" t="str">
        <f aca="false">IF(AD148="","",AD148-AK148)</f>
        <v/>
      </c>
      <c r="AM148" s="9" t="str">
        <f aca="false">IF(C148="","","Waiting for payment")</f>
        <v/>
      </c>
      <c r="AN148" s="10"/>
      <c r="AO148" s="10"/>
      <c r="AP148" s="22" t="str">
        <f aca="false">IF(OR(C148="",I148="",K148=""),"",IF(K148="Monthly",EDATE(C148,ROUND(I148*SETTINGS!$I$8,0)),WORKDAY(C148,ROUND(I148*SETTINGS!$I$8,0))))</f>
        <v/>
      </c>
      <c r="AQ148" s="9" t="str">
        <f aca="true">IF(C148="","",IF(AND(AP148&lt;&gt;"",TODAY()&gt;=AP148),"Refi Ready",IF(TODAY()-C148&gt;=SETTINGS!$I$11,"Prospecting","Performing")))</f>
        <v/>
      </c>
      <c r="AR148" s="22" t="str">
        <f aca="false">IF(OR(C148="",I148="",K148=""),"",IF(K148="Monthly",EDATE(C148,I148),WORKDAY(C148,I148)))</f>
        <v/>
      </c>
      <c r="AS148" s="11"/>
      <c r="AT148" s="23" t="str">
        <f aca="true">IF(C148="","",IF(AM148="Clawed Back","CLAWED",IF(TODAY()&lt;=C148+SETTINGS!$I$2,"⚠ AT RISK","SAFE")))</f>
        <v/>
      </c>
      <c r="AU148" s="11"/>
      <c r="AW148" s="24" t="n">
        <f aca="false">AW147+IF(AND(C148&lt;&gt;"",AO148&lt;&gt;"",OR('REP COMMISSION'!$B$3="",T148='REP COMMISSION'!$B$3,W148='REP COMMISSION'!$B$3,Z148='REP COMMISSION'!$B$3)),1,0)</f>
        <v>0</v>
      </c>
      <c r="AX148" s="24" t="n">
        <f aca="false">AX147+IF(AND(C148&lt;&gt;"",OR(F148="LOC - INITIAL",F148="CONSOLIDATION - UPFRONT COMM",F148="REVERSE - TOTAL FUNDING")),1,0)</f>
        <v>0</v>
      </c>
    </row>
    <row r="149" customFormat="false" ht="15" hidden="false" customHeight="false" outlineLevel="0" collapsed="false">
      <c r="A149" s="25" t="str">
        <f aca="false">IF(C149&lt;&gt;"","F"&amp;COUNT($C$4:C149),"")</f>
        <v/>
      </c>
      <c r="B149" s="26" t="str">
        <f aca="false">IF(OR(F149="LOC - INITIAL",F149="CONSOLIDATION - UPFRONT COMM",F149="REVERSE - TOTAL FUNDING"),A149,"")</f>
        <v/>
      </c>
      <c r="C149" s="27"/>
      <c r="D149" s="28"/>
      <c r="E149" s="28"/>
      <c r="F149" s="28"/>
      <c r="G149" s="29"/>
      <c r="H149" s="30"/>
      <c r="I149" s="28"/>
      <c r="J149" s="31" t="str">
        <f aca="false">IF(AND(G149&lt;&gt;"",H149&lt;&gt;""),G149*H149,"")</f>
        <v/>
      </c>
      <c r="K149" s="28"/>
      <c r="L149" s="32"/>
      <c r="M149" s="32"/>
      <c r="N149" s="31" t="n">
        <f aca="false">IF(OR(G149="",M149=""),0,IF(M149&gt;100,M149,G149*IF(M149&gt;1,M149/100,M149)))</f>
        <v>0</v>
      </c>
      <c r="O149" s="31" t="str">
        <f aca="false">IF(G149="","",G149*IF(L149="",0,IF(L149&gt;1,L149/100,L149))+N149)</f>
        <v/>
      </c>
      <c r="P149" s="28"/>
      <c r="Q149" s="33" t="str">
        <f aca="false">IF(P149="","",IFERROR(VLOOKUP(P149,PARTNERS!$A$2:$B$30,2,0),""))</f>
        <v/>
      </c>
      <c r="R149" s="17" t="str">
        <f aca="false">IF(O149="","",IF(OR(P149="",Q149=""),0,(O149-N149)*IF(Q149&gt;1,Q149/100,Q149)))</f>
        <v/>
      </c>
      <c r="S149" s="31" t="str">
        <f aca="false">IF(O149="","",O149-R149)</f>
        <v/>
      </c>
      <c r="T149" s="28"/>
      <c r="U149" s="34" t="str">
        <f aca="false">IF(T149="","",IFERROR(VLOOKUP(T149,REPS!$A$2:$D$40,2,0),""))</f>
        <v/>
      </c>
      <c r="V149" s="31" t="str">
        <f aca="false">IF(O149="","",IF(U149="",0,O149*IF(U149&gt;1,U149/100,U149)))</f>
        <v/>
      </c>
      <c r="W149" s="28"/>
      <c r="X149" s="34" t="str">
        <f aca="false">IF(W149="","",IFERROR(VLOOKUP(W149,REPS!$A$2:$D$40,3,0),""))</f>
        <v/>
      </c>
      <c r="Y149" s="31" t="str">
        <f aca="false">IF(O149="","",IF(X149="",0,O149*IF(X149&gt;1,X149/100,X149)))</f>
        <v/>
      </c>
      <c r="Z149" s="28"/>
      <c r="AA149" s="34" t="str">
        <f aca="false">IF(Z149="","",IFERROR(VLOOKUP(Z149,REPS!$A$2:$D$40,4,0),""))</f>
        <v/>
      </c>
      <c r="AB149" s="31" t="str">
        <f aca="false">IF(O149="","",IF(AA149="",0,O149*IF(AA149&gt;1,AA149/100,AA149)))</f>
        <v/>
      </c>
      <c r="AC149" s="31" t="str">
        <f aca="false">IF(O149="","",V149+Y149+AB149)</f>
        <v/>
      </c>
      <c r="AD149" s="19" t="str">
        <f aca="false">IF(O149="","",O149-R149-AC149)</f>
        <v/>
      </c>
      <c r="AE149" s="20"/>
      <c r="AF149" s="27"/>
      <c r="AG149" s="21" t="n">
        <f aca="false">IF(OR(AE149="",AE149=0),0,AE149*IF(U149="",0,IF(U149&gt;1,U149/100,U149)))</f>
        <v>0</v>
      </c>
      <c r="AH149" s="21" t="n">
        <f aca="false">IF(OR(AE149="",AE149=0),0,AE149*IF(X149="",0,IF(X149&gt;1,X149/100,X149)))</f>
        <v>0</v>
      </c>
      <c r="AI149" s="21" t="n">
        <f aca="false">IF(OR(AE149="",AE149=0),0,AE149*IF(AA149="",0,IF(AA149&gt;1,AA149/100,AA149)))</f>
        <v>0</v>
      </c>
      <c r="AJ149" s="21" t="n">
        <f aca="false">AG149+AH149+AI149</f>
        <v>0</v>
      </c>
      <c r="AK149" s="21" t="n">
        <f aca="false">IF(OR(AE149="",AE149=0),0,AE149-AJ149)</f>
        <v>0</v>
      </c>
      <c r="AL149" s="19" t="str">
        <f aca="false">IF(AD149="","",AD149-AK149)</f>
        <v/>
      </c>
      <c r="AM149" s="26" t="str">
        <f aca="false">IF(C149="","","Waiting for payment")</f>
        <v/>
      </c>
      <c r="AN149" s="27"/>
      <c r="AO149" s="27"/>
      <c r="AP149" s="35" t="str">
        <f aca="false">IF(OR(C149="",I149="",K149=""),"",IF(K149="Monthly",EDATE(C149,ROUND(I149*SETTINGS!$I$8,0)),WORKDAY(C149,ROUND(I149*SETTINGS!$I$8,0))))</f>
        <v/>
      </c>
      <c r="AQ149" s="26" t="str">
        <f aca="true">IF(C149="","",IF(AND(AP149&lt;&gt;"",TODAY()&gt;=AP149),"Refi Ready",IF(TODAY()-C149&gt;=SETTINGS!$I$11,"Prospecting","Performing")))</f>
        <v/>
      </c>
      <c r="AR149" s="35" t="str">
        <f aca="false">IF(OR(C149="",I149="",K149=""),"",IF(K149="Monthly",EDATE(C149,I149),WORKDAY(C149,I149)))</f>
        <v/>
      </c>
      <c r="AS149" s="28"/>
      <c r="AT149" s="36" t="str">
        <f aca="true">IF(C149="","",IF(AM149="Clawed Back","CLAWED",IF(TODAY()&lt;=C149+SETTINGS!$I$2,"⚠ AT RISK","SAFE")))</f>
        <v/>
      </c>
      <c r="AU149" s="28"/>
      <c r="AW149" s="24" t="n">
        <f aca="false">AW148+IF(AND(C149&lt;&gt;"",AO149&lt;&gt;"",OR('REP COMMISSION'!$B$3="",T149='REP COMMISSION'!$B$3,W149='REP COMMISSION'!$B$3,Z149='REP COMMISSION'!$B$3)),1,0)</f>
        <v>0</v>
      </c>
      <c r="AX149" s="24" t="n">
        <f aca="false">AX148+IF(AND(C149&lt;&gt;"",OR(F149="LOC - INITIAL",F149="CONSOLIDATION - UPFRONT COMM",F149="REVERSE - TOTAL FUNDING")),1,0)</f>
        <v>0</v>
      </c>
    </row>
    <row r="150" customFormat="false" ht="15" hidden="false" customHeight="false" outlineLevel="0" collapsed="false">
      <c r="A150" s="8" t="str">
        <f aca="false">IF(C150&lt;&gt;"","F"&amp;COUNT($C$4:C150),"")</f>
        <v/>
      </c>
      <c r="B150" s="9" t="str">
        <f aca="false">IF(OR(F150="LOC - INITIAL",F150="CONSOLIDATION - UPFRONT COMM",F150="REVERSE - TOTAL FUNDING"),A150,"")</f>
        <v/>
      </c>
      <c r="C150" s="10"/>
      <c r="D150" s="11"/>
      <c r="E150" s="11"/>
      <c r="F150" s="11"/>
      <c r="G150" s="12"/>
      <c r="H150" s="13"/>
      <c r="I150" s="11"/>
      <c r="J150" s="14" t="str">
        <f aca="false">IF(AND(G150&lt;&gt;"",H150&lt;&gt;""),G150*H150,"")</f>
        <v/>
      </c>
      <c r="K150" s="11"/>
      <c r="L150" s="15"/>
      <c r="M150" s="15"/>
      <c r="N150" s="14" t="n">
        <f aca="false">IF(OR(G150="",M150=""),0,IF(M150&gt;100,M150,G150*IF(M150&gt;1,M150/100,M150)))</f>
        <v>0</v>
      </c>
      <c r="O150" s="14" t="str">
        <f aca="false">IF(G150="","",G150*IF(L150="",0,IF(L150&gt;1,L150/100,L150))+N150)</f>
        <v/>
      </c>
      <c r="P150" s="11"/>
      <c r="Q150" s="16" t="str">
        <f aca="false">IF(P150="","",IFERROR(VLOOKUP(P150,PARTNERS!$A$2:$B$30,2,0),""))</f>
        <v/>
      </c>
      <c r="R150" s="17" t="str">
        <f aca="false">IF(O150="","",IF(OR(P150="",Q150=""),0,(O150-N150)*IF(Q150&gt;1,Q150/100,Q150)))</f>
        <v/>
      </c>
      <c r="S150" s="14" t="str">
        <f aca="false">IF(O150="","",O150-R150)</f>
        <v/>
      </c>
      <c r="T150" s="11"/>
      <c r="U150" s="18" t="str">
        <f aca="false">IF(T150="","",IFERROR(VLOOKUP(T150,REPS!$A$2:$D$40,2,0),""))</f>
        <v/>
      </c>
      <c r="V150" s="14" t="str">
        <f aca="false">IF(O150="","",IF(U150="",0,O150*IF(U150&gt;1,U150/100,U150)))</f>
        <v/>
      </c>
      <c r="W150" s="11"/>
      <c r="X150" s="18" t="str">
        <f aca="false">IF(W150="","",IFERROR(VLOOKUP(W150,REPS!$A$2:$D$40,3,0),""))</f>
        <v/>
      </c>
      <c r="Y150" s="14" t="str">
        <f aca="false">IF(O150="","",IF(X150="",0,O150*IF(X150&gt;1,X150/100,X150)))</f>
        <v/>
      </c>
      <c r="Z150" s="11"/>
      <c r="AA150" s="18" t="str">
        <f aca="false">IF(Z150="","",IFERROR(VLOOKUP(Z150,REPS!$A$2:$D$40,4,0),""))</f>
        <v/>
      </c>
      <c r="AB150" s="14" t="str">
        <f aca="false">IF(O150="","",IF(AA150="",0,O150*IF(AA150&gt;1,AA150/100,AA150)))</f>
        <v/>
      </c>
      <c r="AC150" s="14" t="str">
        <f aca="false">IF(O150="","",V150+Y150+AB150)</f>
        <v/>
      </c>
      <c r="AD150" s="19" t="str">
        <f aca="false">IF(O150="","",O150-R150-AC150)</f>
        <v/>
      </c>
      <c r="AE150" s="20"/>
      <c r="AF150" s="10"/>
      <c r="AG150" s="21" t="n">
        <f aca="false">IF(OR(AE150="",AE150=0),0,AE150*IF(U150="",0,IF(U150&gt;1,U150/100,U150)))</f>
        <v>0</v>
      </c>
      <c r="AH150" s="21" t="n">
        <f aca="false">IF(OR(AE150="",AE150=0),0,AE150*IF(X150="",0,IF(X150&gt;1,X150/100,X150)))</f>
        <v>0</v>
      </c>
      <c r="AI150" s="21" t="n">
        <f aca="false">IF(OR(AE150="",AE150=0),0,AE150*IF(AA150="",0,IF(AA150&gt;1,AA150/100,AA150)))</f>
        <v>0</v>
      </c>
      <c r="AJ150" s="21" t="n">
        <f aca="false">AG150+AH150+AI150</f>
        <v>0</v>
      </c>
      <c r="AK150" s="21" t="n">
        <f aca="false">IF(OR(AE150="",AE150=0),0,AE150-AJ150)</f>
        <v>0</v>
      </c>
      <c r="AL150" s="19" t="str">
        <f aca="false">IF(AD150="","",AD150-AK150)</f>
        <v/>
      </c>
      <c r="AM150" s="9" t="str">
        <f aca="false">IF(C150="","","Waiting for payment")</f>
        <v/>
      </c>
      <c r="AN150" s="10"/>
      <c r="AO150" s="10"/>
      <c r="AP150" s="22" t="str">
        <f aca="false">IF(OR(C150="",I150="",K150=""),"",IF(K150="Monthly",EDATE(C150,ROUND(I150*SETTINGS!$I$8,0)),WORKDAY(C150,ROUND(I150*SETTINGS!$I$8,0))))</f>
        <v/>
      </c>
      <c r="AQ150" s="9" t="str">
        <f aca="true">IF(C150="","",IF(AND(AP150&lt;&gt;"",TODAY()&gt;=AP150),"Refi Ready",IF(TODAY()-C150&gt;=SETTINGS!$I$11,"Prospecting","Performing")))</f>
        <v/>
      </c>
      <c r="AR150" s="22" t="str">
        <f aca="false">IF(OR(C150="",I150="",K150=""),"",IF(K150="Monthly",EDATE(C150,I150),WORKDAY(C150,I150)))</f>
        <v/>
      </c>
      <c r="AS150" s="11"/>
      <c r="AT150" s="23" t="str">
        <f aca="true">IF(C150="","",IF(AM150="Clawed Back","CLAWED",IF(TODAY()&lt;=C150+SETTINGS!$I$2,"⚠ AT RISK","SAFE")))</f>
        <v/>
      </c>
      <c r="AU150" s="11"/>
      <c r="AW150" s="24" t="n">
        <f aca="false">AW149+IF(AND(C150&lt;&gt;"",AO150&lt;&gt;"",OR('REP COMMISSION'!$B$3="",T150='REP COMMISSION'!$B$3,W150='REP COMMISSION'!$B$3,Z150='REP COMMISSION'!$B$3)),1,0)</f>
        <v>0</v>
      </c>
      <c r="AX150" s="24" t="n">
        <f aca="false">AX149+IF(AND(C150&lt;&gt;"",OR(F150="LOC - INITIAL",F150="CONSOLIDATION - UPFRONT COMM",F150="REVERSE - TOTAL FUNDING")),1,0)</f>
        <v>0</v>
      </c>
    </row>
    <row r="151" customFormat="false" ht="15" hidden="false" customHeight="false" outlineLevel="0" collapsed="false">
      <c r="A151" s="25" t="str">
        <f aca="false">IF(C151&lt;&gt;"","F"&amp;COUNT($C$4:C151),"")</f>
        <v/>
      </c>
      <c r="B151" s="26" t="str">
        <f aca="false">IF(OR(F151="LOC - INITIAL",F151="CONSOLIDATION - UPFRONT COMM",F151="REVERSE - TOTAL FUNDING"),A151,"")</f>
        <v/>
      </c>
      <c r="C151" s="27"/>
      <c r="D151" s="28"/>
      <c r="E151" s="28"/>
      <c r="F151" s="28"/>
      <c r="G151" s="29"/>
      <c r="H151" s="30"/>
      <c r="I151" s="28"/>
      <c r="J151" s="31" t="str">
        <f aca="false">IF(AND(G151&lt;&gt;"",H151&lt;&gt;""),G151*H151,"")</f>
        <v/>
      </c>
      <c r="K151" s="28"/>
      <c r="L151" s="32"/>
      <c r="M151" s="32"/>
      <c r="N151" s="31" t="n">
        <f aca="false">IF(OR(G151="",M151=""),0,IF(M151&gt;100,M151,G151*IF(M151&gt;1,M151/100,M151)))</f>
        <v>0</v>
      </c>
      <c r="O151" s="31" t="str">
        <f aca="false">IF(G151="","",G151*IF(L151="",0,IF(L151&gt;1,L151/100,L151))+N151)</f>
        <v/>
      </c>
      <c r="P151" s="28"/>
      <c r="Q151" s="33" t="str">
        <f aca="false">IF(P151="","",IFERROR(VLOOKUP(P151,PARTNERS!$A$2:$B$30,2,0),""))</f>
        <v/>
      </c>
      <c r="R151" s="17" t="str">
        <f aca="false">IF(O151="","",IF(OR(P151="",Q151=""),0,(O151-N151)*IF(Q151&gt;1,Q151/100,Q151)))</f>
        <v/>
      </c>
      <c r="S151" s="31" t="str">
        <f aca="false">IF(O151="","",O151-R151)</f>
        <v/>
      </c>
      <c r="T151" s="28"/>
      <c r="U151" s="34" t="str">
        <f aca="false">IF(T151="","",IFERROR(VLOOKUP(T151,REPS!$A$2:$D$40,2,0),""))</f>
        <v/>
      </c>
      <c r="V151" s="31" t="str">
        <f aca="false">IF(O151="","",IF(U151="",0,O151*IF(U151&gt;1,U151/100,U151)))</f>
        <v/>
      </c>
      <c r="W151" s="28"/>
      <c r="X151" s="34" t="str">
        <f aca="false">IF(W151="","",IFERROR(VLOOKUP(W151,REPS!$A$2:$D$40,3,0),""))</f>
        <v/>
      </c>
      <c r="Y151" s="31" t="str">
        <f aca="false">IF(O151="","",IF(X151="",0,O151*IF(X151&gt;1,X151/100,X151)))</f>
        <v/>
      </c>
      <c r="Z151" s="28"/>
      <c r="AA151" s="34" t="str">
        <f aca="false">IF(Z151="","",IFERROR(VLOOKUP(Z151,REPS!$A$2:$D$40,4,0),""))</f>
        <v/>
      </c>
      <c r="AB151" s="31" t="str">
        <f aca="false">IF(O151="","",IF(AA151="",0,O151*IF(AA151&gt;1,AA151/100,AA151)))</f>
        <v/>
      </c>
      <c r="AC151" s="31" t="str">
        <f aca="false">IF(O151="","",V151+Y151+AB151)</f>
        <v/>
      </c>
      <c r="AD151" s="19" t="str">
        <f aca="false">IF(O151="","",O151-R151-AC151)</f>
        <v/>
      </c>
      <c r="AE151" s="20"/>
      <c r="AF151" s="27"/>
      <c r="AG151" s="21" t="n">
        <f aca="false">IF(OR(AE151="",AE151=0),0,AE151*IF(U151="",0,IF(U151&gt;1,U151/100,U151)))</f>
        <v>0</v>
      </c>
      <c r="AH151" s="21" t="n">
        <f aca="false">IF(OR(AE151="",AE151=0),0,AE151*IF(X151="",0,IF(X151&gt;1,X151/100,X151)))</f>
        <v>0</v>
      </c>
      <c r="AI151" s="21" t="n">
        <f aca="false">IF(OR(AE151="",AE151=0),0,AE151*IF(AA151="",0,IF(AA151&gt;1,AA151/100,AA151)))</f>
        <v>0</v>
      </c>
      <c r="AJ151" s="21" t="n">
        <f aca="false">AG151+AH151+AI151</f>
        <v>0</v>
      </c>
      <c r="AK151" s="21" t="n">
        <f aca="false">IF(OR(AE151="",AE151=0),0,AE151-AJ151)</f>
        <v>0</v>
      </c>
      <c r="AL151" s="19" t="str">
        <f aca="false">IF(AD151="","",AD151-AK151)</f>
        <v/>
      </c>
      <c r="AM151" s="26" t="str">
        <f aca="false">IF(C151="","","Waiting for payment")</f>
        <v/>
      </c>
      <c r="AN151" s="27"/>
      <c r="AO151" s="27"/>
      <c r="AP151" s="35" t="str">
        <f aca="false">IF(OR(C151="",I151="",K151=""),"",IF(K151="Monthly",EDATE(C151,ROUND(I151*SETTINGS!$I$8,0)),WORKDAY(C151,ROUND(I151*SETTINGS!$I$8,0))))</f>
        <v/>
      </c>
      <c r="AQ151" s="26" t="str">
        <f aca="true">IF(C151="","",IF(AND(AP151&lt;&gt;"",TODAY()&gt;=AP151),"Refi Ready",IF(TODAY()-C151&gt;=SETTINGS!$I$11,"Prospecting","Performing")))</f>
        <v/>
      </c>
      <c r="AR151" s="35" t="str">
        <f aca="false">IF(OR(C151="",I151="",K151=""),"",IF(K151="Monthly",EDATE(C151,I151),WORKDAY(C151,I151)))</f>
        <v/>
      </c>
      <c r="AS151" s="28"/>
      <c r="AT151" s="36" t="str">
        <f aca="true">IF(C151="","",IF(AM151="Clawed Back","CLAWED",IF(TODAY()&lt;=C151+SETTINGS!$I$2,"⚠ AT RISK","SAFE")))</f>
        <v/>
      </c>
      <c r="AU151" s="28"/>
      <c r="AW151" s="24" t="n">
        <f aca="false">AW150+IF(AND(C151&lt;&gt;"",AO151&lt;&gt;"",OR('REP COMMISSION'!$B$3="",T151='REP COMMISSION'!$B$3,W151='REP COMMISSION'!$B$3,Z151='REP COMMISSION'!$B$3)),1,0)</f>
        <v>0</v>
      </c>
      <c r="AX151" s="24" t="n">
        <f aca="false">AX150+IF(AND(C151&lt;&gt;"",OR(F151="LOC - INITIAL",F151="CONSOLIDATION - UPFRONT COMM",F151="REVERSE - TOTAL FUNDING")),1,0)</f>
        <v>0</v>
      </c>
    </row>
    <row r="152" customFormat="false" ht="15" hidden="false" customHeight="false" outlineLevel="0" collapsed="false">
      <c r="A152" s="8" t="str">
        <f aca="false">IF(C152&lt;&gt;"","F"&amp;COUNT($C$4:C152),"")</f>
        <v/>
      </c>
      <c r="B152" s="9" t="str">
        <f aca="false">IF(OR(F152="LOC - INITIAL",F152="CONSOLIDATION - UPFRONT COMM",F152="REVERSE - TOTAL FUNDING"),A152,"")</f>
        <v/>
      </c>
      <c r="C152" s="10"/>
      <c r="D152" s="11"/>
      <c r="E152" s="11"/>
      <c r="F152" s="11"/>
      <c r="G152" s="12"/>
      <c r="H152" s="13"/>
      <c r="I152" s="11"/>
      <c r="J152" s="14" t="str">
        <f aca="false">IF(AND(G152&lt;&gt;"",H152&lt;&gt;""),G152*H152,"")</f>
        <v/>
      </c>
      <c r="K152" s="11"/>
      <c r="L152" s="15"/>
      <c r="M152" s="15"/>
      <c r="N152" s="14" t="n">
        <f aca="false">IF(OR(G152="",M152=""),0,IF(M152&gt;100,M152,G152*IF(M152&gt;1,M152/100,M152)))</f>
        <v>0</v>
      </c>
      <c r="O152" s="14" t="str">
        <f aca="false">IF(G152="","",G152*IF(L152="",0,IF(L152&gt;1,L152/100,L152))+N152)</f>
        <v/>
      </c>
      <c r="P152" s="11"/>
      <c r="Q152" s="16" t="str">
        <f aca="false">IF(P152="","",IFERROR(VLOOKUP(P152,PARTNERS!$A$2:$B$30,2,0),""))</f>
        <v/>
      </c>
      <c r="R152" s="17" t="str">
        <f aca="false">IF(O152="","",IF(OR(P152="",Q152=""),0,(O152-N152)*IF(Q152&gt;1,Q152/100,Q152)))</f>
        <v/>
      </c>
      <c r="S152" s="14" t="str">
        <f aca="false">IF(O152="","",O152-R152)</f>
        <v/>
      </c>
      <c r="T152" s="11"/>
      <c r="U152" s="18" t="str">
        <f aca="false">IF(T152="","",IFERROR(VLOOKUP(T152,REPS!$A$2:$D$40,2,0),""))</f>
        <v/>
      </c>
      <c r="V152" s="14" t="str">
        <f aca="false">IF(O152="","",IF(U152="",0,O152*IF(U152&gt;1,U152/100,U152)))</f>
        <v/>
      </c>
      <c r="W152" s="11"/>
      <c r="X152" s="18" t="str">
        <f aca="false">IF(W152="","",IFERROR(VLOOKUP(W152,REPS!$A$2:$D$40,3,0),""))</f>
        <v/>
      </c>
      <c r="Y152" s="14" t="str">
        <f aca="false">IF(O152="","",IF(X152="",0,O152*IF(X152&gt;1,X152/100,X152)))</f>
        <v/>
      </c>
      <c r="Z152" s="11"/>
      <c r="AA152" s="18" t="str">
        <f aca="false">IF(Z152="","",IFERROR(VLOOKUP(Z152,REPS!$A$2:$D$40,4,0),""))</f>
        <v/>
      </c>
      <c r="AB152" s="14" t="str">
        <f aca="false">IF(O152="","",IF(AA152="",0,O152*IF(AA152&gt;1,AA152/100,AA152)))</f>
        <v/>
      </c>
      <c r="AC152" s="14" t="str">
        <f aca="false">IF(O152="","",V152+Y152+AB152)</f>
        <v/>
      </c>
      <c r="AD152" s="19" t="str">
        <f aca="false">IF(O152="","",O152-R152-AC152)</f>
        <v/>
      </c>
      <c r="AE152" s="20"/>
      <c r="AF152" s="10"/>
      <c r="AG152" s="21" t="n">
        <f aca="false">IF(OR(AE152="",AE152=0),0,AE152*IF(U152="",0,IF(U152&gt;1,U152/100,U152)))</f>
        <v>0</v>
      </c>
      <c r="AH152" s="21" t="n">
        <f aca="false">IF(OR(AE152="",AE152=0),0,AE152*IF(X152="",0,IF(X152&gt;1,X152/100,X152)))</f>
        <v>0</v>
      </c>
      <c r="AI152" s="21" t="n">
        <f aca="false">IF(OR(AE152="",AE152=0),0,AE152*IF(AA152="",0,IF(AA152&gt;1,AA152/100,AA152)))</f>
        <v>0</v>
      </c>
      <c r="AJ152" s="21" t="n">
        <f aca="false">AG152+AH152+AI152</f>
        <v>0</v>
      </c>
      <c r="AK152" s="21" t="n">
        <f aca="false">IF(OR(AE152="",AE152=0),0,AE152-AJ152)</f>
        <v>0</v>
      </c>
      <c r="AL152" s="19" t="str">
        <f aca="false">IF(AD152="","",AD152-AK152)</f>
        <v/>
      </c>
      <c r="AM152" s="9" t="str">
        <f aca="false">IF(C152="","","Waiting for payment")</f>
        <v/>
      </c>
      <c r="AN152" s="10"/>
      <c r="AO152" s="10"/>
      <c r="AP152" s="22" t="str">
        <f aca="false">IF(OR(C152="",I152="",K152=""),"",IF(K152="Monthly",EDATE(C152,ROUND(I152*SETTINGS!$I$8,0)),WORKDAY(C152,ROUND(I152*SETTINGS!$I$8,0))))</f>
        <v/>
      </c>
      <c r="AQ152" s="9" t="str">
        <f aca="true">IF(C152="","",IF(AND(AP152&lt;&gt;"",TODAY()&gt;=AP152),"Refi Ready",IF(TODAY()-C152&gt;=SETTINGS!$I$11,"Prospecting","Performing")))</f>
        <v/>
      </c>
      <c r="AR152" s="22" t="str">
        <f aca="false">IF(OR(C152="",I152="",K152=""),"",IF(K152="Monthly",EDATE(C152,I152),WORKDAY(C152,I152)))</f>
        <v/>
      </c>
      <c r="AS152" s="11"/>
      <c r="AT152" s="23" t="str">
        <f aca="true">IF(C152="","",IF(AM152="Clawed Back","CLAWED",IF(TODAY()&lt;=C152+SETTINGS!$I$2,"⚠ AT RISK","SAFE")))</f>
        <v/>
      </c>
      <c r="AU152" s="11"/>
      <c r="AW152" s="24" t="n">
        <f aca="false">AW151+IF(AND(C152&lt;&gt;"",AO152&lt;&gt;"",OR('REP COMMISSION'!$B$3="",T152='REP COMMISSION'!$B$3,W152='REP COMMISSION'!$B$3,Z152='REP COMMISSION'!$B$3)),1,0)</f>
        <v>0</v>
      </c>
      <c r="AX152" s="24" t="n">
        <f aca="false">AX151+IF(AND(C152&lt;&gt;"",OR(F152="LOC - INITIAL",F152="CONSOLIDATION - UPFRONT COMM",F152="REVERSE - TOTAL FUNDING")),1,0)</f>
        <v>0</v>
      </c>
    </row>
    <row r="153" customFormat="false" ht="15" hidden="false" customHeight="false" outlineLevel="0" collapsed="false">
      <c r="A153" s="25" t="str">
        <f aca="false">IF(C153&lt;&gt;"","F"&amp;COUNT($C$4:C153),"")</f>
        <v/>
      </c>
      <c r="B153" s="26" t="str">
        <f aca="false">IF(OR(F153="LOC - INITIAL",F153="CONSOLIDATION - UPFRONT COMM",F153="REVERSE - TOTAL FUNDING"),A153,"")</f>
        <v/>
      </c>
      <c r="C153" s="27"/>
      <c r="D153" s="28"/>
      <c r="E153" s="28"/>
      <c r="F153" s="28"/>
      <c r="G153" s="29"/>
      <c r="H153" s="30"/>
      <c r="I153" s="28"/>
      <c r="J153" s="31" t="str">
        <f aca="false">IF(AND(G153&lt;&gt;"",H153&lt;&gt;""),G153*H153,"")</f>
        <v/>
      </c>
      <c r="K153" s="28"/>
      <c r="L153" s="32"/>
      <c r="M153" s="32"/>
      <c r="N153" s="31" t="n">
        <f aca="false">IF(OR(G153="",M153=""),0,IF(M153&gt;100,M153,G153*IF(M153&gt;1,M153/100,M153)))</f>
        <v>0</v>
      </c>
      <c r="O153" s="31" t="str">
        <f aca="false">IF(G153="","",G153*IF(L153="",0,IF(L153&gt;1,L153/100,L153))+N153)</f>
        <v/>
      </c>
      <c r="P153" s="28"/>
      <c r="Q153" s="33" t="str">
        <f aca="false">IF(P153="","",IFERROR(VLOOKUP(P153,PARTNERS!$A$2:$B$30,2,0),""))</f>
        <v/>
      </c>
      <c r="R153" s="17" t="str">
        <f aca="false">IF(O153="","",IF(OR(P153="",Q153=""),0,(O153-N153)*IF(Q153&gt;1,Q153/100,Q153)))</f>
        <v/>
      </c>
      <c r="S153" s="31" t="str">
        <f aca="false">IF(O153="","",O153-R153)</f>
        <v/>
      </c>
      <c r="T153" s="28"/>
      <c r="U153" s="34" t="str">
        <f aca="false">IF(T153="","",IFERROR(VLOOKUP(T153,REPS!$A$2:$D$40,2,0),""))</f>
        <v/>
      </c>
      <c r="V153" s="31" t="str">
        <f aca="false">IF(O153="","",IF(U153="",0,O153*IF(U153&gt;1,U153/100,U153)))</f>
        <v/>
      </c>
      <c r="W153" s="28"/>
      <c r="X153" s="34" t="str">
        <f aca="false">IF(W153="","",IFERROR(VLOOKUP(W153,REPS!$A$2:$D$40,3,0),""))</f>
        <v/>
      </c>
      <c r="Y153" s="31" t="str">
        <f aca="false">IF(O153="","",IF(X153="",0,O153*IF(X153&gt;1,X153/100,X153)))</f>
        <v/>
      </c>
      <c r="Z153" s="28"/>
      <c r="AA153" s="34" t="str">
        <f aca="false">IF(Z153="","",IFERROR(VLOOKUP(Z153,REPS!$A$2:$D$40,4,0),""))</f>
        <v/>
      </c>
      <c r="AB153" s="31" t="str">
        <f aca="false">IF(O153="","",IF(AA153="",0,O153*IF(AA153&gt;1,AA153/100,AA153)))</f>
        <v/>
      </c>
      <c r="AC153" s="31" t="str">
        <f aca="false">IF(O153="","",V153+Y153+AB153)</f>
        <v/>
      </c>
      <c r="AD153" s="19" t="str">
        <f aca="false">IF(O153="","",O153-R153-AC153)</f>
        <v/>
      </c>
      <c r="AE153" s="20"/>
      <c r="AF153" s="27"/>
      <c r="AG153" s="21" t="n">
        <f aca="false">IF(OR(AE153="",AE153=0),0,AE153*IF(U153="",0,IF(U153&gt;1,U153/100,U153)))</f>
        <v>0</v>
      </c>
      <c r="AH153" s="21" t="n">
        <f aca="false">IF(OR(AE153="",AE153=0),0,AE153*IF(X153="",0,IF(X153&gt;1,X153/100,X153)))</f>
        <v>0</v>
      </c>
      <c r="AI153" s="21" t="n">
        <f aca="false">IF(OR(AE153="",AE153=0),0,AE153*IF(AA153="",0,IF(AA153&gt;1,AA153/100,AA153)))</f>
        <v>0</v>
      </c>
      <c r="AJ153" s="21" t="n">
        <f aca="false">AG153+AH153+AI153</f>
        <v>0</v>
      </c>
      <c r="AK153" s="21" t="n">
        <f aca="false">IF(OR(AE153="",AE153=0),0,AE153-AJ153)</f>
        <v>0</v>
      </c>
      <c r="AL153" s="19" t="str">
        <f aca="false">IF(AD153="","",AD153-AK153)</f>
        <v/>
      </c>
      <c r="AM153" s="26" t="str">
        <f aca="false">IF(C153="","","Waiting for payment")</f>
        <v/>
      </c>
      <c r="AN153" s="27"/>
      <c r="AO153" s="27"/>
      <c r="AP153" s="35" t="str">
        <f aca="false">IF(OR(C153="",I153="",K153=""),"",IF(K153="Monthly",EDATE(C153,ROUND(I153*SETTINGS!$I$8,0)),WORKDAY(C153,ROUND(I153*SETTINGS!$I$8,0))))</f>
        <v/>
      </c>
      <c r="AQ153" s="26" t="str">
        <f aca="true">IF(C153="","",IF(AND(AP153&lt;&gt;"",TODAY()&gt;=AP153),"Refi Ready",IF(TODAY()-C153&gt;=SETTINGS!$I$11,"Prospecting","Performing")))</f>
        <v/>
      </c>
      <c r="AR153" s="35" t="str">
        <f aca="false">IF(OR(C153="",I153="",K153=""),"",IF(K153="Monthly",EDATE(C153,I153),WORKDAY(C153,I153)))</f>
        <v/>
      </c>
      <c r="AS153" s="28"/>
      <c r="AT153" s="36" t="str">
        <f aca="true">IF(C153="","",IF(AM153="Clawed Back","CLAWED",IF(TODAY()&lt;=C153+SETTINGS!$I$2,"⚠ AT RISK","SAFE")))</f>
        <v/>
      </c>
      <c r="AU153" s="28"/>
      <c r="AW153" s="24" t="n">
        <f aca="false">AW152+IF(AND(C153&lt;&gt;"",AO153&lt;&gt;"",OR('REP COMMISSION'!$B$3="",T153='REP COMMISSION'!$B$3,W153='REP COMMISSION'!$B$3,Z153='REP COMMISSION'!$B$3)),1,0)</f>
        <v>0</v>
      </c>
      <c r="AX153" s="24" t="n">
        <f aca="false">AX152+IF(AND(C153&lt;&gt;"",OR(F153="LOC - INITIAL",F153="CONSOLIDATION - UPFRONT COMM",F153="REVERSE - TOTAL FUNDING")),1,0)</f>
        <v>0</v>
      </c>
    </row>
    <row r="154" customFormat="false" ht="15" hidden="false" customHeight="false" outlineLevel="0" collapsed="false">
      <c r="A154" s="8" t="str">
        <f aca="false">IF(C154&lt;&gt;"","F"&amp;COUNT($C$4:C154),"")</f>
        <v/>
      </c>
      <c r="B154" s="9" t="str">
        <f aca="false">IF(OR(F154="LOC - INITIAL",F154="CONSOLIDATION - UPFRONT COMM",F154="REVERSE - TOTAL FUNDING"),A154,"")</f>
        <v/>
      </c>
      <c r="C154" s="10"/>
      <c r="D154" s="11"/>
      <c r="E154" s="11"/>
      <c r="F154" s="11"/>
      <c r="G154" s="12"/>
      <c r="H154" s="13"/>
      <c r="I154" s="11"/>
      <c r="J154" s="14" t="str">
        <f aca="false">IF(AND(G154&lt;&gt;"",H154&lt;&gt;""),G154*H154,"")</f>
        <v/>
      </c>
      <c r="K154" s="11"/>
      <c r="L154" s="15"/>
      <c r="M154" s="15"/>
      <c r="N154" s="14" t="n">
        <f aca="false">IF(OR(G154="",M154=""),0,IF(M154&gt;100,M154,G154*IF(M154&gt;1,M154/100,M154)))</f>
        <v>0</v>
      </c>
      <c r="O154" s="14" t="str">
        <f aca="false">IF(G154="","",G154*IF(L154="",0,IF(L154&gt;1,L154/100,L154))+N154)</f>
        <v/>
      </c>
      <c r="P154" s="11"/>
      <c r="Q154" s="16" t="str">
        <f aca="false">IF(P154="","",IFERROR(VLOOKUP(P154,PARTNERS!$A$2:$B$30,2,0),""))</f>
        <v/>
      </c>
      <c r="R154" s="17" t="str">
        <f aca="false">IF(O154="","",IF(OR(P154="",Q154=""),0,(O154-N154)*IF(Q154&gt;1,Q154/100,Q154)))</f>
        <v/>
      </c>
      <c r="S154" s="14" t="str">
        <f aca="false">IF(O154="","",O154-R154)</f>
        <v/>
      </c>
      <c r="T154" s="11"/>
      <c r="U154" s="18" t="str">
        <f aca="false">IF(T154="","",IFERROR(VLOOKUP(T154,REPS!$A$2:$D$40,2,0),""))</f>
        <v/>
      </c>
      <c r="V154" s="14" t="str">
        <f aca="false">IF(O154="","",IF(U154="",0,O154*IF(U154&gt;1,U154/100,U154)))</f>
        <v/>
      </c>
      <c r="W154" s="11"/>
      <c r="X154" s="18" t="str">
        <f aca="false">IF(W154="","",IFERROR(VLOOKUP(W154,REPS!$A$2:$D$40,3,0),""))</f>
        <v/>
      </c>
      <c r="Y154" s="14" t="str">
        <f aca="false">IF(O154="","",IF(X154="",0,O154*IF(X154&gt;1,X154/100,X154)))</f>
        <v/>
      </c>
      <c r="Z154" s="11"/>
      <c r="AA154" s="18" t="str">
        <f aca="false">IF(Z154="","",IFERROR(VLOOKUP(Z154,REPS!$A$2:$D$40,4,0),""))</f>
        <v/>
      </c>
      <c r="AB154" s="14" t="str">
        <f aca="false">IF(O154="","",IF(AA154="",0,O154*IF(AA154&gt;1,AA154/100,AA154)))</f>
        <v/>
      </c>
      <c r="AC154" s="14" t="str">
        <f aca="false">IF(O154="","",V154+Y154+AB154)</f>
        <v/>
      </c>
      <c r="AD154" s="19" t="str">
        <f aca="false">IF(O154="","",O154-R154-AC154)</f>
        <v/>
      </c>
      <c r="AE154" s="20"/>
      <c r="AF154" s="10"/>
      <c r="AG154" s="21" t="n">
        <f aca="false">IF(OR(AE154="",AE154=0),0,AE154*IF(U154="",0,IF(U154&gt;1,U154/100,U154)))</f>
        <v>0</v>
      </c>
      <c r="AH154" s="21" t="n">
        <f aca="false">IF(OR(AE154="",AE154=0),0,AE154*IF(X154="",0,IF(X154&gt;1,X154/100,X154)))</f>
        <v>0</v>
      </c>
      <c r="AI154" s="21" t="n">
        <f aca="false">IF(OR(AE154="",AE154=0),0,AE154*IF(AA154="",0,IF(AA154&gt;1,AA154/100,AA154)))</f>
        <v>0</v>
      </c>
      <c r="AJ154" s="21" t="n">
        <f aca="false">AG154+AH154+AI154</f>
        <v>0</v>
      </c>
      <c r="AK154" s="21" t="n">
        <f aca="false">IF(OR(AE154="",AE154=0),0,AE154-AJ154)</f>
        <v>0</v>
      </c>
      <c r="AL154" s="19" t="str">
        <f aca="false">IF(AD154="","",AD154-AK154)</f>
        <v/>
      </c>
      <c r="AM154" s="9" t="str">
        <f aca="false">IF(C154="","","Waiting for payment")</f>
        <v/>
      </c>
      <c r="AN154" s="10"/>
      <c r="AO154" s="10"/>
      <c r="AP154" s="22" t="str">
        <f aca="false">IF(OR(C154="",I154="",K154=""),"",IF(K154="Monthly",EDATE(C154,ROUND(I154*SETTINGS!$I$8,0)),WORKDAY(C154,ROUND(I154*SETTINGS!$I$8,0))))</f>
        <v/>
      </c>
      <c r="AQ154" s="9" t="str">
        <f aca="true">IF(C154="","",IF(AND(AP154&lt;&gt;"",TODAY()&gt;=AP154),"Refi Ready",IF(TODAY()-C154&gt;=SETTINGS!$I$11,"Prospecting","Performing")))</f>
        <v/>
      </c>
      <c r="AR154" s="22" t="str">
        <f aca="false">IF(OR(C154="",I154="",K154=""),"",IF(K154="Monthly",EDATE(C154,I154),WORKDAY(C154,I154)))</f>
        <v/>
      </c>
      <c r="AS154" s="11"/>
      <c r="AT154" s="23" t="str">
        <f aca="true">IF(C154="","",IF(AM154="Clawed Back","CLAWED",IF(TODAY()&lt;=C154+SETTINGS!$I$2,"⚠ AT RISK","SAFE")))</f>
        <v/>
      </c>
      <c r="AU154" s="11"/>
      <c r="AW154" s="24" t="n">
        <f aca="false">AW153+IF(AND(C154&lt;&gt;"",AO154&lt;&gt;"",OR('REP COMMISSION'!$B$3="",T154='REP COMMISSION'!$B$3,W154='REP COMMISSION'!$B$3,Z154='REP COMMISSION'!$B$3)),1,0)</f>
        <v>0</v>
      </c>
      <c r="AX154" s="24" t="n">
        <f aca="false">AX153+IF(AND(C154&lt;&gt;"",OR(F154="LOC - INITIAL",F154="CONSOLIDATION - UPFRONT COMM",F154="REVERSE - TOTAL FUNDING")),1,0)</f>
        <v>0</v>
      </c>
    </row>
    <row r="155" customFormat="false" ht="15" hidden="false" customHeight="false" outlineLevel="0" collapsed="false">
      <c r="A155" s="25" t="str">
        <f aca="false">IF(C155&lt;&gt;"","F"&amp;COUNT($C$4:C155),"")</f>
        <v/>
      </c>
      <c r="B155" s="26" t="str">
        <f aca="false">IF(OR(F155="LOC - INITIAL",F155="CONSOLIDATION - UPFRONT COMM",F155="REVERSE - TOTAL FUNDING"),A155,"")</f>
        <v/>
      </c>
      <c r="C155" s="27"/>
      <c r="D155" s="28"/>
      <c r="E155" s="28"/>
      <c r="F155" s="28"/>
      <c r="G155" s="29"/>
      <c r="H155" s="30"/>
      <c r="I155" s="28"/>
      <c r="J155" s="31" t="str">
        <f aca="false">IF(AND(G155&lt;&gt;"",H155&lt;&gt;""),G155*H155,"")</f>
        <v/>
      </c>
      <c r="K155" s="28"/>
      <c r="L155" s="32"/>
      <c r="M155" s="32"/>
      <c r="N155" s="31" t="n">
        <f aca="false">IF(OR(G155="",M155=""),0,IF(M155&gt;100,M155,G155*IF(M155&gt;1,M155/100,M155)))</f>
        <v>0</v>
      </c>
      <c r="O155" s="31" t="str">
        <f aca="false">IF(G155="","",G155*IF(L155="",0,IF(L155&gt;1,L155/100,L155))+N155)</f>
        <v/>
      </c>
      <c r="P155" s="28"/>
      <c r="Q155" s="33" t="str">
        <f aca="false">IF(P155="","",IFERROR(VLOOKUP(P155,PARTNERS!$A$2:$B$30,2,0),""))</f>
        <v/>
      </c>
      <c r="R155" s="17" t="str">
        <f aca="false">IF(O155="","",IF(OR(P155="",Q155=""),0,(O155-N155)*IF(Q155&gt;1,Q155/100,Q155)))</f>
        <v/>
      </c>
      <c r="S155" s="31" t="str">
        <f aca="false">IF(O155="","",O155-R155)</f>
        <v/>
      </c>
      <c r="T155" s="28"/>
      <c r="U155" s="34" t="str">
        <f aca="false">IF(T155="","",IFERROR(VLOOKUP(T155,REPS!$A$2:$D$40,2,0),""))</f>
        <v/>
      </c>
      <c r="V155" s="31" t="str">
        <f aca="false">IF(O155="","",IF(U155="",0,O155*IF(U155&gt;1,U155/100,U155)))</f>
        <v/>
      </c>
      <c r="W155" s="28"/>
      <c r="X155" s="34" t="str">
        <f aca="false">IF(W155="","",IFERROR(VLOOKUP(W155,REPS!$A$2:$D$40,3,0),""))</f>
        <v/>
      </c>
      <c r="Y155" s="31" t="str">
        <f aca="false">IF(O155="","",IF(X155="",0,O155*IF(X155&gt;1,X155/100,X155)))</f>
        <v/>
      </c>
      <c r="Z155" s="28"/>
      <c r="AA155" s="34" t="str">
        <f aca="false">IF(Z155="","",IFERROR(VLOOKUP(Z155,REPS!$A$2:$D$40,4,0),""))</f>
        <v/>
      </c>
      <c r="AB155" s="31" t="str">
        <f aca="false">IF(O155="","",IF(AA155="",0,O155*IF(AA155&gt;1,AA155/100,AA155)))</f>
        <v/>
      </c>
      <c r="AC155" s="31" t="str">
        <f aca="false">IF(O155="","",V155+Y155+AB155)</f>
        <v/>
      </c>
      <c r="AD155" s="19" t="str">
        <f aca="false">IF(O155="","",O155-R155-AC155)</f>
        <v/>
      </c>
      <c r="AE155" s="20"/>
      <c r="AF155" s="27"/>
      <c r="AG155" s="21" t="n">
        <f aca="false">IF(OR(AE155="",AE155=0),0,AE155*IF(U155="",0,IF(U155&gt;1,U155/100,U155)))</f>
        <v>0</v>
      </c>
      <c r="AH155" s="21" t="n">
        <f aca="false">IF(OR(AE155="",AE155=0),0,AE155*IF(X155="",0,IF(X155&gt;1,X155/100,X155)))</f>
        <v>0</v>
      </c>
      <c r="AI155" s="21" t="n">
        <f aca="false">IF(OR(AE155="",AE155=0),0,AE155*IF(AA155="",0,IF(AA155&gt;1,AA155/100,AA155)))</f>
        <v>0</v>
      </c>
      <c r="AJ155" s="21" t="n">
        <f aca="false">AG155+AH155+AI155</f>
        <v>0</v>
      </c>
      <c r="AK155" s="21" t="n">
        <f aca="false">IF(OR(AE155="",AE155=0),0,AE155-AJ155)</f>
        <v>0</v>
      </c>
      <c r="AL155" s="19" t="str">
        <f aca="false">IF(AD155="","",AD155-AK155)</f>
        <v/>
      </c>
      <c r="AM155" s="26" t="str">
        <f aca="false">IF(C155="","","Waiting for payment")</f>
        <v/>
      </c>
      <c r="AN155" s="27"/>
      <c r="AO155" s="27"/>
      <c r="AP155" s="35" t="str">
        <f aca="false">IF(OR(C155="",I155="",K155=""),"",IF(K155="Monthly",EDATE(C155,ROUND(I155*SETTINGS!$I$8,0)),WORKDAY(C155,ROUND(I155*SETTINGS!$I$8,0))))</f>
        <v/>
      </c>
      <c r="AQ155" s="26" t="str">
        <f aca="true">IF(C155="","",IF(AND(AP155&lt;&gt;"",TODAY()&gt;=AP155),"Refi Ready",IF(TODAY()-C155&gt;=SETTINGS!$I$11,"Prospecting","Performing")))</f>
        <v/>
      </c>
      <c r="AR155" s="35" t="str">
        <f aca="false">IF(OR(C155="",I155="",K155=""),"",IF(K155="Monthly",EDATE(C155,I155),WORKDAY(C155,I155)))</f>
        <v/>
      </c>
      <c r="AS155" s="28"/>
      <c r="AT155" s="36" t="str">
        <f aca="true">IF(C155="","",IF(AM155="Clawed Back","CLAWED",IF(TODAY()&lt;=C155+SETTINGS!$I$2,"⚠ AT RISK","SAFE")))</f>
        <v/>
      </c>
      <c r="AU155" s="28"/>
      <c r="AW155" s="24" t="n">
        <f aca="false">AW154+IF(AND(C155&lt;&gt;"",AO155&lt;&gt;"",OR('REP COMMISSION'!$B$3="",T155='REP COMMISSION'!$B$3,W155='REP COMMISSION'!$B$3,Z155='REP COMMISSION'!$B$3)),1,0)</f>
        <v>0</v>
      </c>
      <c r="AX155" s="24" t="n">
        <f aca="false">AX154+IF(AND(C155&lt;&gt;"",OR(F155="LOC - INITIAL",F155="CONSOLIDATION - UPFRONT COMM",F155="REVERSE - TOTAL FUNDING")),1,0)</f>
        <v>0</v>
      </c>
    </row>
    <row r="156" customFormat="false" ht="15" hidden="false" customHeight="false" outlineLevel="0" collapsed="false">
      <c r="A156" s="8" t="str">
        <f aca="false">IF(C156&lt;&gt;"","F"&amp;COUNT($C$4:C156),"")</f>
        <v/>
      </c>
      <c r="B156" s="9" t="str">
        <f aca="false">IF(OR(F156="LOC - INITIAL",F156="CONSOLIDATION - UPFRONT COMM",F156="REVERSE - TOTAL FUNDING"),A156,"")</f>
        <v/>
      </c>
      <c r="C156" s="10"/>
      <c r="D156" s="11"/>
      <c r="E156" s="11"/>
      <c r="F156" s="11"/>
      <c r="G156" s="12"/>
      <c r="H156" s="13"/>
      <c r="I156" s="11"/>
      <c r="J156" s="14" t="str">
        <f aca="false">IF(AND(G156&lt;&gt;"",H156&lt;&gt;""),G156*H156,"")</f>
        <v/>
      </c>
      <c r="K156" s="11"/>
      <c r="L156" s="15"/>
      <c r="M156" s="15"/>
      <c r="N156" s="14" t="n">
        <f aca="false">IF(OR(G156="",M156=""),0,IF(M156&gt;100,M156,G156*IF(M156&gt;1,M156/100,M156)))</f>
        <v>0</v>
      </c>
      <c r="O156" s="14" t="str">
        <f aca="false">IF(G156="","",G156*IF(L156="",0,IF(L156&gt;1,L156/100,L156))+N156)</f>
        <v/>
      </c>
      <c r="P156" s="11"/>
      <c r="Q156" s="16" t="str">
        <f aca="false">IF(P156="","",IFERROR(VLOOKUP(P156,PARTNERS!$A$2:$B$30,2,0),""))</f>
        <v/>
      </c>
      <c r="R156" s="17" t="str">
        <f aca="false">IF(O156="","",IF(OR(P156="",Q156=""),0,(O156-N156)*IF(Q156&gt;1,Q156/100,Q156)))</f>
        <v/>
      </c>
      <c r="S156" s="14" t="str">
        <f aca="false">IF(O156="","",O156-R156)</f>
        <v/>
      </c>
      <c r="T156" s="11"/>
      <c r="U156" s="18" t="str">
        <f aca="false">IF(T156="","",IFERROR(VLOOKUP(T156,REPS!$A$2:$D$40,2,0),""))</f>
        <v/>
      </c>
      <c r="V156" s="14" t="str">
        <f aca="false">IF(O156="","",IF(U156="",0,O156*IF(U156&gt;1,U156/100,U156)))</f>
        <v/>
      </c>
      <c r="W156" s="11"/>
      <c r="X156" s="18" t="str">
        <f aca="false">IF(W156="","",IFERROR(VLOOKUP(W156,REPS!$A$2:$D$40,3,0),""))</f>
        <v/>
      </c>
      <c r="Y156" s="14" t="str">
        <f aca="false">IF(O156="","",IF(X156="",0,O156*IF(X156&gt;1,X156/100,X156)))</f>
        <v/>
      </c>
      <c r="Z156" s="11"/>
      <c r="AA156" s="18" t="str">
        <f aca="false">IF(Z156="","",IFERROR(VLOOKUP(Z156,REPS!$A$2:$D$40,4,0),""))</f>
        <v/>
      </c>
      <c r="AB156" s="14" t="str">
        <f aca="false">IF(O156="","",IF(AA156="",0,O156*IF(AA156&gt;1,AA156/100,AA156)))</f>
        <v/>
      </c>
      <c r="AC156" s="14" t="str">
        <f aca="false">IF(O156="","",V156+Y156+AB156)</f>
        <v/>
      </c>
      <c r="AD156" s="19" t="str">
        <f aca="false">IF(O156="","",O156-R156-AC156)</f>
        <v/>
      </c>
      <c r="AE156" s="20"/>
      <c r="AF156" s="10"/>
      <c r="AG156" s="21" t="n">
        <f aca="false">IF(OR(AE156="",AE156=0),0,AE156*IF(U156="",0,IF(U156&gt;1,U156/100,U156)))</f>
        <v>0</v>
      </c>
      <c r="AH156" s="21" t="n">
        <f aca="false">IF(OR(AE156="",AE156=0),0,AE156*IF(X156="",0,IF(X156&gt;1,X156/100,X156)))</f>
        <v>0</v>
      </c>
      <c r="AI156" s="21" t="n">
        <f aca="false">IF(OR(AE156="",AE156=0),0,AE156*IF(AA156="",0,IF(AA156&gt;1,AA156/100,AA156)))</f>
        <v>0</v>
      </c>
      <c r="AJ156" s="21" t="n">
        <f aca="false">AG156+AH156+AI156</f>
        <v>0</v>
      </c>
      <c r="AK156" s="21" t="n">
        <f aca="false">IF(OR(AE156="",AE156=0),0,AE156-AJ156)</f>
        <v>0</v>
      </c>
      <c r="AL156" s="19" t="str">
        <f aca="false">IF(AD156="","",AD156-AK156)</f>
        <v/>
      </c>
      <c r="AM156" s="9" t="str">
        <f aca="false">IF(C156="","","Waiting for payment")</f>
        <v/>
      </c>
      <c r="AN156" s="10"/>
      <c r="AO156" s="10"/>
      <c r="AP156" s="22" t="str">
        <f aca="false">IF(OR(C156="",I156="",K156=""),"",IF(K156="Monthly",EDATE(C156,ROUND(I156*SETTINGS!$I$8,0)),WORKDAY(C156,ROUND(I156*SETTINGS!$I$8,0))))</f>
        <v/>
      </c>
      <c r="AQ156" s="9" t="str">
        <f aca="true">IF(C156="","",IF(AND(AP156&lt;&gt;"",TODAY()&gt;=AP156),"Refi Ready",IF(TODAY()-C156&gt;=SETTINGS!$I$11,"Prospecting","Performing")))</f>
        <v/>
      </c>
      <c r="AR156" s="22" t="str">
        <f aca="false">IF(OR(C156="",I156="",K156=""),"",IF(K156="Monthly",EDATE(C156,I156),WORKDAY(C156,I156)))</f>
        <v/>
      </c>
      <c r="AS156" s="11"/>
      <c r="AT156" s="23" t="str">
        <f aca="true">IF(C156="","",IF(AM156="Clawed Back","CLAWED",IF(TODAY()&lt;=C156+SETTINGS!$I$2,"⚠ AT RISK","SAFE")))</f>
        <v/>
      </c>
      <c r="AU156" s="11"/>
      <c r="AW156" s="24" t="n">
        <f aca="false">AW155+IF(AND(C156&lt;&gt;"",AO156&lt;&gt;"",OR('REP COMMISSION'!$B$3="",T156='REP COMMISSION'!$B$3,W156='REP COMMISSION'!$B$3,Z156='REP COMMISSION'!$B$3)),1,0)</f>
        <v>0</v>
      </c>
      <c r="AX156" s="24" t="n">
        <f aca="false">AX155+IF(AND(C156&lt;&gt;"",OR(F156="LOC - INITIAL",F156="CONSOLIDATION - UPFRONT COMM",F156="REVERSE - TOTAL FUNDING")),1,0)</f>
        <v>0</v>
      </c>
    </row>
    <row r="157" customFormat="false" ht="15" hidden="false" customHeight="false" outlineLevel="0" collapsed="false">
      <c r="A157" s="25" t="str">
        <f aca="false">IF(C157&lt;&gt;"","F"&amp;COUNT($C$4:C157),"")</f>
        <v/>
      </c>
      <c r="B157" s="26" t="str">
        <f aca="false">IF(OR(F157="LOC - INITIAL",F157="CONSOLIDATION - UPFRONT COMM",F157="REVERSE - TOTAL FUNDING"),A157,"")</f>
        <v/>
      </c>
      <c r="C157" s="27"/>
      <c r="D157" s="28"/>
      <c r="E157" s="28"/>
      <c r="F157" s="28"/>
      <c r="G157" s="29"/>
      <c r="H157" s="30"/>
      <c r="I157" s="28"/>
      <c r="J157" s="31" t="str">
        <f aca="false">IF(AND(G157&lt;&gt;"",H157&lt;&gt;""),G157*H157,"")</f>
        <v/>
      </c>
      <c r="K157" s="28"/>
      <c r="L157" s="32"/>
      <c r="M157" s="32"/>
      <c r="N157" s="31" t="n">
        <f aca="false">IF(OR(G157="",M157=""),0,IF(M157&gt;100,M157,G157*IF(M157&gt;1,M157/100,M157)))</f>
        <v>0</v>
      </c>
      <c r="O157" s="31" t="str">
        <f aca="false">IF(G157="","",G157*IF(L157="",0,IF(L157&gt;1,L157/100,L157))+N157)</f>
        <v/>
      </c>
      <c r="P157" s="28"/>
      <c r="Q157" s="33" t="str">
        <f aca="false">IF(P157="","",IFERROR(VLOOKUP(P157,PARTNERS!$A$2:$B$30,2,0),""))</f>
        <v/>
      </c>
      <c r="R157" s="17" t="str">
        <f aca="false">IF(O157="","",IF(OR(P157="",Q157=""),0,(O157-N157)*IF(Q157&gt;1,Q157/100,Q157)))</f>
        <v/>
      </c>
      <c r="S157" s="31" t="str">
        <f aca="false">IF(O157="","",O157-R157)</f>
        <v/>
      </c>
      <c r="T157" s="28"/>
      <c r="U157" s="34" t="str">
        <f aca="false">IF(T157="","",IFERROR(VLOOKUP(T157,REPS!$A$2:$D$40,2,0),""))</f>
        <v/>
      </c>
      <c r="V157" s="31" t="str">
        <f aca="false">IF(O157="","",IF(U157="",0,O157*IF(U157&gt;1,U157/100,U157)))</f>
        <v/>
      </c>
      <c r="W157" s="28"/>
      <c r="X157" s="34" t="str">
        <f aca="false">IF(W157="","",IFERROR(VLOOKUP(W157,REPS!$A$2:$D$40,3,0),""))</f>
        <v/>
      </c>
      <c r="Y157" s="31" t="str">
        <f aca="false">IF(O157="","",IF(X157="",0,O157*IF(X157&gt;1,X157/100,X157)))</f>
        <v/>
      </c>
      <c r="Z157" s="28"/>
      <c r="AA157" s="34" t="str">
        <f aca="false">IF(Z157="","",IFERROR(VLOOKUP(Z157,REPS!$A$2:$D$40,4,0),""))</f>
        <v/>
      </c>
      <c r="AB157" s="31" t="str">
        <f aca="false">IF(O157="","",IF(AA157="",0,O157*IF(AA157&gt;1,AA157/100,AA157)))</f>
        <v/>
      </c>
      <c r="AC157" s="31" t="str">
        <f aca="false">IF(O157="","",V157+Y157+AB157)</f>
        <v/>
      </c>
      <c r="AD157" s="19" t="str">
        <f aca="false">IF(O157="","",O157-R157-AC157)</f>
        <v/>
      </c>
      <c r="AE157" s="20"/>
      <c r="AF157" s="27"/>
      <c r="AG157" s="21" t="n">
        <f aca="false">IF(OR(AE157="",AE157=0),0,AE157*IF(U157="",0,IF(U157&gt;1,U157/100,U157)))</f>
        <v>0</v>
      </c>
      <c r="AH157" s="21" t="n">
        <f aca="false">IF(OR(AE157="",AE157=0),0,AE157*IF(X157="",0,IF(X157&gt;1,X157/100,X157)))</f>
        <v>0</v>
      </c>
      <c r="AI157" s="21" t="n">
        <f aca="false">IF(OR(AE157="",AE157=0),0,AE157*IF(AA157="",0,IF(AA157&gt;1,AA157/100,AA157)))</f>
        <v>0</v>
      </c>
      <c r="AJ157" s="21" t="n">
        <f aca="false">AG157+AH157+AI157</f>
        <v>0</v>
      </c>
      <c r="AK157" s="21" t="n">
        <f aca="false">IF(OR(AE157="",AE157=0),0,AE157-AJ157)</f>
        <v>0</v>
      </c>
      <c r="AL157" s="19" t="str">
        <f aca="false">IF(AD157="","",AD157-AK157)</f>
        <v/>
      </c>
      <c r="AM157" s="26" t="str">
        <f aca="false">IF(C157="","","Waiting for payment")</f>
        <v/>
      </c>
      <c r="AN157" s="27"/>
      <c r="AO157" s="27"/>
      <c r="AP157" s="35" t="str">
        <f aca="false">IF(OR(C157="",I157="",K157=""),"",IF(K157="Monthly",EDATE(C157,ROUND(I157*SETTINGS!$I$8,0)),WORKDAY(C157,ROUND(I157*SETTINGS!$I$8,0))))</f>
        <v/>
      </c>
      <c r="AQ157" s="26" t="str">
        <f aca="true">IF(C157="","",IF(AND(AP157&lt;&gt;"",TODAY()&gt;=AP157),"Refi Ready",IF(TODAY()-C157&gt;=SETTINGS!$I$11,"Prospecting","Performing")))</f>
        <v/>
      </c>
      <c r="AR157" s="35" t="str">
        <f aca="false">IF(OR(C157="",I157="",K157=""),"",IF(K157="Monthly",EDATE(C157,I157),WORKDAY(C157,I157)))</f>
        <v/>
      </c>
      <c r="AS157" s="28"/>
      <c r="AT157" s="36" t="str">
        <f aca="true">IF(C157="","",IF(AM157="Clawed Back","CLAWED",IF(TODAY()&lt;=C157+SETTINGS!$I$2,"⚠ AT RISK","SAFE")))</f>
        <v/>
      </c>
      <c r="AU157" s="28"/>
      <c r="AW157" s="24" t="n">
        <f aca="false">AW156+IF(AND(C157&lt;&gt;"",AO157&lt;&gt;"",OR('REP COMMISSION'!$B$3="",T157='REP COMMISSION'!$B$3,W157='REP COMMISSION'!$B$3,Z157='REP COMMISSION'!$B$3)),1,0)</f>
        <v>0</v>
      </c>
      <c r="AX157" s="24" t="n">
        <f aca="false">AX156+IF(AND(C157&lt;&gt;"",OR(F157="LOC - INITIAL",F157="CONSOLIDATION - UPFRONT COMM",F157="REVERSE - TOTAL FUNDING")),1,0)</f>
        <v>0</v>
      </c>
    </row>
    <row r="158" customFormat="false" ht="15" hidden="false" customHeight="false" outlineLevel="0" collapsed="false">
      <c r="A158" s="8" t="str">
        <f aca="false">IF(C158&lt;&gt;"","F"&amp;COUNT($C$4:C158),"")</f>
        <v/>
      </c>
      <c r="B158" s="9" t="str">
        <f aca="false">IF(OR(F158="LOC - INITIAL",F158="CONSOLIDATION - UPFRONT COMM",F158="REVERSE - TOTAL FUNDING"),A158,"")</f>
        <v/>
      </c>
      <c r="C158" s="10"/>
      <c r="D158" s="11"/>
      <c r="E158" s="11"/>
      <c r="F158" s="11"/>
      <c r="G158" s="12"/>
      <c r="H158" s="13"/>
      <c r="I158" s="11"/>
      <c r="J158" s="14" t="str">
        <f aca="false">IF(AND(G158&lt;&gt;"",H158&lt;&gt;""),G158*H158,"")</f>
        <v/>
      </c>
      <c r="K158" s="11"/>
      <c r="L158" s="15"/>
      <c r="M158" s="15"/>
      <c r="N158" s="14" t="n">
        <f aca="false">IF(OR(G158="",M158=""),0,IF(M158&gt;100,M158,G158*IF(M158&gt;1,M158/100,M158)))</f>
        <v>0</v>
      </c>
      <c r="O158" s="14" t="str">
        <f aca="false">IF(G158="","",G158*IF(L158="",0,IF(L158&gt;1,L158/100,L158))+N158)</f>
        <v/>
      </c>
      <c r="P158" s="11"/>
      <c r="Q158" s="16" t="str">
        <f aca="false">IF(P158="","",IFERROR(VLOOKUP(P158,PARTNERS!$A$2:$B$30,2,0),""))</f>
        <v/>
      </c>
      <c r="R158" s="17" t="str">
        <f aca="false">IF(O158="","",IF(OR(P158="",Q158=""),0,(O158-N158)*IF(Q158&gt;1,Q158/100,Q158)))</f>
        <v/>
      </c>
      <c r="S158" s="14" t="str">
        <f aca="false">IF(O158="","",O158-R158)</f>
        <v/>
      </c>
      <c r="T158" s="11"/>
      <c r="U158" s="18" t="str">
        <f aca="false">IF(T158="","",IFERROR(VLOOKUP(T158,REPS!$A$2:$D$40,2,0),""))</f>
        <v/>
      </c>
      <c r="V158" s="14" t="str">
        <f aca="false">IF(O158="","",IF(U158="",0,O158*IF(U158&gt;1,U158/100,U158)))</f>
        <v/>
      </c>
      <c r="W158" s="11"/>
      <c r="X158" s="18" t="str">
        <f aca="false">IF(W158="","",IFERROR(VLOOKUP(W158,REPS!$A$2:$D$40,3,0),""))</f>
        <v/>
      </c>
      <c r="Y158" s="14" t="str">
        <f aca="false">IF(O158="","",IF(X158="",0,O158*IF(X158&gt;1,X158/100,X158)))</f>
        <v/>
      </c>
      <c r="Z158" s="11"/>
      <c r="AA158" s="18" t="str">
        <f aca="false">IF(Z158="","",IFERROR(VLOOKUP(Z158,REPS!$A$2:$D$40,4,0),""))</f>
        <v/>
      </c>
      <c r="AB158" s="14" t="str">
        <f aca="false">IF(O158="","",IF(AA158="",0,O158*IF(AA158&gt;1,AA158/100,AA158)))</f>
        <v/>
      </c>
      <c r="AC158" s="14" t="str">
        <f aca="false">IF(O158="","",V158+Y158+AB158)</f>
        <v/>
      </c>
      <c r="AD158" s="19" t="str">
        <f aca="false">IF(O158="","",O158-R158-AC158)</f>
        <v/>
      </c>
      <c r="AE158" s="20"/>
      <c r="AF158" s="10"/>
      <c r="AG158" s="21" t="n">
        <f aca="false">IF(OR(AE158="",AE158=0),0,AE158*IF(U158="",0,IF(U158&gt;1,U158/100,U158)))</f>
        <v>0</v>
      </c>
      <c r="AH158" s="21" t="n">
        <f aca="false">IF(OR(AE158="",AE158=0),0,AE158*IF(X158="",0,IF(X158&gt;1,X158/100,X158)))</f>
        <v>0</v>
      </c>
      <c r="AI158" s="21" t="n">
        <f aca="false">IF(OR(AE158="",AE158=0),0,AE158*IF(AA158="",0,IF(AA158&gt;1,AA158/100,AA158)))</f>
        <v>0</v>
      </c>
      <c r="AJ158" s="21" t="n">
        <f aca="false">AG158+AH158+AI158</f>
        <v>0</v>
      </c>
      <c r="AK158" s="21" t="n">
        <f aca="false">IF(OR(AE158="",AE158=0),0,AE158-AJ158)</f>
        <v>0</v>
      </c>
      <c r="AL158" s="19" t="str">
        <f aca="false">IF(AD158="","",AD158-AK158)</f>
        <v/>
      </c>
      <c r="AM158" s="9" t="str">
        <f aca="false">IF(C158="","","Waiting for payment")</f>
        <v/>
      </c>
      <c r="AN158" s="10"/>
      <c r="AO158" s="10"/>
      <c r="AP158" s="22" t="str">
        <f aca="false">IF(OR(C158="",I158="",K158=""),"",IF(K158="Monthly",EDATE(C158,ROUND(I158*SETTINGS!$I$8,0)),WORKDAY(C158,ROUND(I158*SETTINGS!$I$8,0))))</f>
        <v/>
      </c>
      <c r="AQ158" s="9" t="str">
        <f aca="true">IF(C158="","",IF(AND(AP158&lt;&gt;"",TODAY()&gt;=AP158),"Refi Ready",IF(TODAY()-C158&gt;=SETTINGS!$I$11,"Prospecting","Performing")))</f>
        <v/>
      </c>
      <c r="AR158" s="22" t="str">
        <f aca="false">IF(OR(C158="",I158="",K158=""),"",IF(K158="Monthly",EDATE(C158,I158),WORKDAY(C158,I158)))</f>
        <v/>
      </c>
      <c r="AS158" s="11"/>
      <c r="AT158" s="23" t="str">
        <f aca="true">IF(C158="","",IF(AM158="Clawed Back","CLAWED",IF(TODAY()&lt;=C158+SETTINGS!$I$2,"⚠ AT RISK","SAFE")))</f>
        <v/>
      </c>
      <c r="AU158" s="11"/>
      <c r="AW158" s="24" t="n">
        <f aca="false">AW157+IF(AND(C158&lt;&gt;"",AO158&lt;&gt;"",OR('REP COMMISSION'!$B$3="",T158='REP COMMISSION'!$B$3,W158='REP COMMISSION'!$B$3,Z158='REP COMMISSION'!$B$3)),1,0)</f>
        <v>0</v>
      </c>
      <c r="AX158" s="24" t="n">
        <f aca="false">AX157+IF(AND(C158&lt;&gt;"",OR(F158="LOC - INITIAL",F158="CONSOLIDATION - UPFRONT COMM",F158="REVERSE - TOTAL FUNDING")),1,0)</f>
        <v>0</v>
      </c>
    </row>
    <row r="159" customFormat="false" ht="15" hidden="false" customHeight="false" outlineLevel="0" collapsed="false">
      <c r="A159" s="25" t="str">
        <f aca="false">IF(C159&lt;&gt;"","F"&amp;COUNT($C$4:C159),"")</f>
        <v/>
      </c>
      <c r="B159" s="26" t="str">
        <f aca="false">IF(OR(F159="LOC - INITIAL",F159="CONSOLIDATION - UPFRONT COMM",F159="REVERSE - TOTAL FUNDING"),A159,"")</f>
        <v/>
      </c>
      <c r="C159" s="27"/>
      <c r="D159" s="28"/>
      <c r="E159" s="28"/>
      <c r="F159" s="28"/>
      <c r="G159" s="29"/>
      <c r="H159" s="30"/>
      <c r="I159" s="28"/>
      <c r="J159" s="31" t="str">
        <f aca="false">IF(AND(G159&lt;&gt;"",H159&lt;&gt;""),G159*H159,"")</f>
        <v/>
      </c>
      <c r="K159" s="28"/>
      <c r="L159" s="32"/>
      <c r="M159" s="32"/>
      <c r="N159" s="31" t="n">
        <f aca="false">IF(OR(G159="",M159=""),0,IF(M159&gt;100,M159,G159*IF(M159&gt;1,M159/100,M159)))</f>
        <v>0</v>
      </c>
      <c r="O159" s="31" t="str">
        <f aca="false">IF(G159="","",G159*IF(L159="",0,IF(L159&gt;1,L159/100,L159))+N159)</f>
        <v/>
      </c>
      <c r="P159" s="28"/>
      <c r="Q159" s="33" t="str">
        <f aca="false">IF(P159="","",IFERROR(VLOOKUP(P159,PARTNERS!$A$2:$B$30,2,0),""))</f>
        <v/>
      </c>
      <c r="R159" s="17" t="str">
        <f aca="false">IF(O159="","",IF(OR(P159="",Q159=""),0,(O159-N159)*IF(Q159&gt;1,Q159/100,Q159)))</f>
        <v/>
      </c>
      <c r="S159" s="31" t="str">
        <f aca="false">IF(O159="","",O159-R159)</f>
        <v/>
      </c>
      <c r="T159" s="28"/>
      <c r="U159" s="34" t="str">
        <f aca="false">IF(T159="","",IFERROR(VLOOKUP(T159,REPS!$A$2:$D$40,2,0),""))</f>
        <v/>
      </c>
      <c r="V159" s="31" t="str">
        <f aca="false">IF(O159="","",IF(U159="",0,O159*IF(U159&gt;1,U159/100,U159)))</f>
        <v/>
      </c>
      <c r="W159" s="28"/>
      <c r="X159" s="34" t="str">
        <f aca="false">IF(W159="","",IFERROR(VLOOKUP(W159,REPS!$A$2:$D$40,3,0),""))</f>
        <v/>
      </c>
      <c r="Y159" s="31" t="str">
        <f aca="false">IF(O159="","",IF(X159="",0,O159*IF(X159&gt;1,X159/100,X159)))</f>
        <v/>
      </c>
      <c r="Z159" s="28"/>
      <c r="AA159" s="34" t="str">
        <f aca="false">IF(Z159="","",IFERROR(VLOOKUP(Z159,REPS!$A$2:$D$40,4,0),""))</f>
        <v/>
      </c>
      <c r="AB159" s="31" t="str">
        <f aca="false">IF(O159="","",IF(AA159="",0,O159*IF(AA159&gt;1,AA159/100,AA159)))</f>
        <v/>
      </c>
      <c r="AC159" s="31" t="str">
        <f aca="false">IF(O159="","",V159+Y159+AB159)</f>
        <v/>
      </c>
      <c r="AD159" s="19" t="str">
        <f aca="false">IF(O159="","",O159-R159-AC159)</f>
        <v/>
      </c>
      <c r="AE159" s="20"/>
      <c r="AF159" s="27"/>
      <c r="AG159" s="21" t="n">
        <f aca="false">IF(OR(AE159="",AE159=0),0,AE159*IF(U159="",0,IF(U159&gt;1,U159/100,U159)))</f>
        <v>0</v>
      </c>
      <c r="AH159" s="21" t="n">
        <f aca="false">IF(OR(AE159="",AE159=0),0,AE159*IF(X159="",0,IF(X159&gt;1,X159/100,X159)))</f>
        <v>0</v>
      </c>
      <c r="AI159" s="21" t="n">
        <f aca="false">IF(OR(AE159="",AE159=0),0,AE159*IF(AA159="",0,IF(AA159&gt;1,AA159/100,AA159)))</f>
        <v>0</v>
      </c>
      <c r="AJ159" s="21" t="n">
        <f aca="false">AG159+AH159+AI159</f>
        <v>0</v>
      </c>
      <c r="AK159" s="21" t="n">
        <f aca="false">IF(OR(AE159="",AE159=0),0,AE159-AJ159)</f>
        <v>0</v>
      </c>
      <c r="AL159" s="19" t="str">
        <f aca="false">IF(AD159="","",AD159-AK159)</f>
        <v/>
      </c>
      <c r="AM159" s="26" t="str">
        <f aca="false">IF(C159="","","Waiting for payment")</f>
        <v/>
      </c>
      <c r="AN159" s="27"/>
      <c r="AO159" s="27"/>
      <c r="AP159" s="35" t="str">
        <f aca="false">IF(OR(C159="",I159="",K159=""),"",IF(K159="Monthly",EDATE(C159,ROUND(I159*SETTINGS!$I$8,0)),WORKDAY(C159,ROUND(I159*SETTINGS!$I$8,0))))</f>
        <v/>
      </c>
      <c r="AQ159" s="26" t="str">
        <f aca="true">IF(C159="","",IF(AND(AP159&lt;&gt;"",TODAY()&gt;=AP159),"Refi Ready",IF(TODAY()-C159&gt;=SETTINGS!$I$11,"Prospecting","Performing")))</f>
        <v/>
      </c>
      <c r="AR159" s="35" t="str">
        <f aca="false">IF(OR(C159="",I159="",K159=""),"",IF(K159="Monthly",EDATE(C159,I159),WORKDAY(C159,I159)))</f>
        <v/>
      </c>
      <c r="AS159" s="28"/>
      <c r="AT159" s="36" t="str">
        <f aca="true">IF(C159="","",IF(AM159="Clawed Back","CLAWED",IF(TODAY()&lt;=C159+SETTINGS!$I$2,"⚠ AT RISK","SAFE")))</f>
        <v/>
      </c>
      <c r="AU159" s="28"/>
      <c r="AW159" s="24" t="n">
        <f aca="false">AW158+IF(AND(C159&lt;&gt;"",AO159&lt;&gt;"",OR('REP COMMISSION'!$B$3="",T159='REP COMMISSION'!$B$3,W159='REP COMMISSION'!$B$3,Z159='REP COMMISSION'!$B$3)),1,0)</f>
        <v>0</v>
      </c>
      <c r="AX159" s="24" t="n">
        <f aca="false">AX158+IF(AND(C159&lt;&gt;"",OR(F159="LOC - INITIAL",F159="CONSOLIDATION - UPFRONT COMM",F159="REVERSE - TOTAL FUNDING")),1,0)</f>
        <v>0</v>
      </c>
    </row>
    <row r="160" customFormat="false" ht="15" hidden="false" customHeight="false" outlineLevel="0" collapsed="false">
      <c r="A160" s="8" t="str">
        <f aca="false">IF(C160&lt;&gt;"","F"&amp;COUNT($C$4:C160),"")</f>
        <v/>
      </c>
      <c r="B160" s="9" t="str">
        <f aca="false">IF(OR(F160="LOC - INITIAL",F160="CONSOLIDATION - UPFRONT COMM",F160="REVERSE - TOTAL FUNDING"),A160,"")</f>
        <v/>
      </c>
      <c r="C160" s="10"/>
      <c r="D160" s="11"/>
      <c r="E160" s="11"/>
      <c r="F160" s="11"/>
      <c r="G160" s="12"/>
      <c r="H160" s="13"/>
      <c r="I160" s="11"/>
      <c r="J160" s="14" t="str">
        <f aca="false">IF(AND(G160&lt;&gt;"",H160&lt;&gt;""),G160*H160,"")</f>
        <v/>
      </c>
      <c r="K160" s="11"/>
      <c r="L160" s="15"/>
      <c r="M160" s="15"/>
      <c r="N160" s="14" t="n">
        <f aca="false">IF(OR(G160="",M160=""),0,IF(M160&gt;100,M160,G160*IF(M160&gt;1,M160/100,M160)))</f>
        <v>0</v>
      </c>
      <c r="O160" s="14" t="str">
        <f aca="false">IF(G160="","",G160*IF(L160="",0,IF(L160&gt;1,L160/100,L160))+N160)</f>
        <v/>
      </c>
      <c r="P160" s="11"/>
      <c r="Q160" s="16" t="str">
        <f aca="false">IF(P160="","",IFERROR(VLOOKUP(P160,PARTNERS!$A$2:$B$30,2,0),""))</f>
        <v/>
      </c>
      <c r="R160" s="17" t="str">
        <f aca="false">IF(O160="","",IF(OR(P160="",Q160=""),0,(O160-N160)*IF(Q160&gt;1,Q160/100,Q160)))</f>
        <v/>
      </c>
      <c r="S160" s="14" t="str">
        <f aca="false">IF(O160="","",O160-R160)</f>
        <v/>
      </c>
      <c r="T160" s="11"/>
      <c r="U160" s="18" t="str">
        <f aca="false">IF(T160="","",IFERROR(VLOOKUP(T160,REPS!$A$2:$D$40,2,0),""))</f>
        <v/>
      </c>
      <c r="V160" s="14" t="str">
        <f aca="false">IF(O160="","",IF(U160="",0,O160*IF(U160&gt;1,U160/100,U160)))</f>
        <v/>
      </c>
      <c r="W160" s="11"/>
      <c r="X160" s="18" t="str">
        <f aca="false">IF(W160="","",IFERROR(VLOOKUP(W160,REPS!$A$2:$D$40,3,0),""))</f>
        <v/>
      </c>
      <c r="Y160" s="14" t="str">
        <f aca="false">IF(O160="","",IF(X160="",0,O160*IF(X160&gt;1,X160/100,X160)))</f>
        <v/>
      </c>
      <c r="Z160" s="11"/>
      <c r="AA160" s="18" t="str">
        <f aca="false">IF(Z160="","",IFERROR(VLOOKUP(Z160,REPS!$A$2:$D$40,4,0),""))</f>
        <v/>
      </c>
      <c r="AB160" s="14" t="str">
        <f aca="false">IF(O160="","",IF(AA160="",0,O160*IF(AA160&gt;1,AA160/100,AA160)))</f>
        <v/>
      </c>
      <c r="AC160" s="14" t="str">
        <f aca="false">IF(O160="","",V160+Y160+AB160)</f>
        <v/>
      </c>
      <c r="AD160" s="19" t="str">
        <f aca="false">IF(O160="","",O160-R160-AC160)</f>
        <v/>
      </c>
      <c r="AE160" s="20"/>
      <c r="AF160" s="10"/>
      <c r="AG160" s="21" t="n">
        <f aca="false">IF(OR(AE160="",AE160=0),0,AE160*IF(U160="",0,IF(U160&gt;1,U160/100,U160)))</f>
        <v>0</v>
      </c>
      <c r="AH160" s="21" t="n">
        <f aca="false">IF(OR(AE160="",AE160=0),0,AE160*IF(X160="",0,IF(X160&gt;1,X160/100,X160)))</f>
        <v>0</v>
      </c>
      <c r="AI160" s="21" t="n">
        <f aca="false">IF(OR(AE160="",AE160=0),0,AE160*IF(AA160="",0,IF(AA160&gt;1,AA160/100,AA160)))</f>
        <v>0</v>
      </c>
      <c r="AJ160" s="21" t="n">
        <f aca="false">AG160+AH160+AI160</f>
        <v>0</v>
      </c>
      <c r="AK160" s="21" t="n">
        <f aca="false">IF(OR(AE160="",AE160=0),0,AE160-AJ160)</f>
        <v>0</v>
      </c>
      <c r="AL160" s="19" t="str">
        <f aca="false">IF(AD160="","",AD160-AK160)</f>
        <v/>
      </c>
      <c r="AM160" s="9" t="str">
        <f aca="false">IF(C160="","","Waiting for payment")</f>
        <v/>
      </c>
      <c r="AN160" s="10"/>
      <c r="AO160" s="10"/>
      <c r="AP160" s="22" t="str">
        <f aca="false">IF(OR(C160="",I160="",K160=""),"",IF(K160="Monthly",EDATE(C160,ROUND(I160*SETTINGS!$I$8,0)),WORKDAY(C160,ROUND(I160*SETTINGS!$I$8,0))))</f>
        <v/>
      </c>
      <c r="AQ160" s="9" t="str">
        <f aca="true">IF(C160="","",IF(AND(AP160&lt;&gt;"",TODAY()&gt;=AP160),"Refi Ready",IF(TODAY()-C160&gt;=SETTINGS!$I$11,"Prospecting","Performing")))</f>
        <v/>
      </c>
      <c r="AR160" s="22" t="str">
        <f aca="false">IF(OR(C160="",I160="",K160=""),"",IF(K160="Monthly",EDATE(C160,I160),WORKDAY(C160,I160)))</f>
        <v/>
      </c>
      <c r="AS160" s="11"/>
      <c r="AT160" s="23" t="str">
        <f aca="true">IF(C160="","",IF(AM160="Clawed Back","CLAWED",IF(TODAY()&lt;=C160+SETTINGS!$I$2,"⚠ AT RISK","SAFE")))</f>
        <v/>
      </c>
      <c r="AU160" s="11"/>
      <c r="AW160" s="24" t="n">
        <f aca="false">AW159+IF(AND(C160&lt;&gt;"",AO160&lt;&gt;"",OR('REP COMMISSION'!$B$3="",T160='REP COMMISSION'!$B$3,W160='REP COMMISSION'!$B$3,Z160='REP COMMISSION'!$B$3)),1,0)</f>
        <v>0</v>
      </c>
      <c r="AX160" s="24" t="n">
        <f aca="false">AX159+IF(AND(C160&lt;&gt;"",OR(F160="LOC - INITIAL",F160="CONSOLIDATION - UPFRONT COMM",F160="REVERSE - TOTAL FUNDING")),1,0)</f>
        <v>0</v>
      </c>
    </row>
    <row r="161" customFormat="false" ht="15" hidden="false" customHeight="false" outlineLevel="0" collapsed="false">
      <c r="A161" s="25" t="str">
        <f aca="false">IF(C161&lt;&gt;"","F"&amp;COUNT($C$4:C161),"")</f>
        <v/>
      </c>
      <c r="B161" s="26" t="str">
        <f aca="false">IF(OR(F161="LOC - INITIAL",F161="CONSOLIDATION - UPFRONT COMM",F161="REVERSE - TOTAL FUNDING"),A161,"")</f>
        <v/>
      </c>
      <c r="C161" s="27"/>
      <c r="D161" s="28"/>
      <c r="E161" s="28"/>
      <c r="F161" s="28"/>
      <c r="G161" s="29"/>
      <c r="H161" s="30"/>
      <c r="I161" s="28"/>
      <c r="J161" s="31" t="str">
        <f aca="false">IF(AND(G161&lt;&gt;"",H161&lt;&gt;""),G161*H161,"")</f>
        <v/>
      </c>
      <c r="K161" s="28"/>
      <c r="L161" s="32"/>
      <c r="M161" s="32"/>
      <c r="N161" s="31" t="n">
        <f aca="false">IF(OR(G161="",M161=""),0,IF(M161&gt;100,M161,G161*IF(M161&gt;1,M161/100,M161)))</f>
        <v>0</v>
      </c>
      <c r="O161" s="31" t="str">
        <f aca="false">IF(G161="","",G161*IF(L161="",0,IF(L161&gt;1,L161/100,L161))+N161)</f>
        <v/>
      </c>
      <c r="P161" s="28"/>
      <c r="Q161" s="33" t="str">
        <f aca="false">IF(P161="","",IFERROR(VLOOKUP(P161,PARTNERS!$A$2:$B$30,2,0),""))</f>
        <v/>
      </c>
      <c r="R161" s="17" t="str">
        <f aca="false">IF(O161="","",IF(OR(P161="",Q161=""),0,(O161-N161)*IF(Q161&gt;1,Q161/100,Q161)))</f>
        <v/>
      </c>
      <c r="S161" s="31" t="str">
        <f aca="false">IF(O161="","",O161-R161)</f>
        <v/>
      </c>
      <c r="T161" s="28"/>
      <c r="U161" s="34" t="str">
        <f aca="false">IF(T161="","",IFERROR(VLOOKUP(T161,REPS!$A$2:$D$40,2,0),""))</f>
        <v/>
      </c>
      <c r="V161" s="31" t="str">
        <f aca="false">IF(O161="","",IF(U161="",0,O161*IF(U161&gt;1,U161/100,U161)))</f>
        <v/>
      </c>
      <c r="W161" s="28"/>
      <c r="X161" s="34" t="str">
        <f aca="false">IF(W161="","",IFERROR(VLOOKUP(W161,REPS!$A$2:$D$40,3,0),""))</f>
        <v/>
      </c>
      <c r="Y161" s="31" t="str">
        <f aca="false">IF(O161="","",IF(X161="",0,O161*IF(X161&gt;1,X161/100,X161)))</f>
        <v/>
      </c>
      <c r="Z161" s="28"/>
      <c r="AA161" s="34" t="str">
        <f aca="false">IF(Z161="","",IFERROR(VLOOKUP(Z161,REPS!$A$2:$D$40,4,0),""))</f>
        <v/>
      </c>
      <c r="AB161" s="31" t="str">
        <f aca="false">IF(O161="","",IF(AA161="",0,O161*IF(AA161&gt;1,AA161/100,AA161)))</f>
        <v/>
      </c>
      <c r="AC161" s="31" t="str">
        <f aca="false">IF(O161="","",V161+Y161+AB161)</f>
        <v/>
      </c>
      <c r="AD161" s="19" t="str">
        <f aca="false">IF(O161="","",O161-R161-AC161)</f>
        <v/>
      </c>
      <c r="AE161" s="20"/>
      <c r="AF161" s="27"/>
      <c r="AG161" s="21" t="n">
        <f aca="false">IF(OR(AE161="",AE161=0),0,AE161*IF(U161="",0,IF(U161&gt;1,U161/100,U161)))</f>
        <v>0</v>
      </c>
      <c r="AH161" s="21" t="n">
        <f aca="false">IF(OR(AE161="",AE161=0),0,AE161*IF(X161="",0,IF(X161&gt;1,X161/100,X161)))</f>
        <v>0</v>
      </c>
      <c r="AI161" s="21" t="n">
        <f aca="false">IF(OR(AE161="",AE161=0),0,AE161*IF(AA161="",0,IF(AA161&gt;1,AA161/100,AA161)))</f>
        <v>0</v>
      </c>
      <c r="AJ161" s="21" t="n">
        <f aca="false">AG161+AH161+AI161</f>
        <v>0</v>
      </c>
      <c r="AK161" s="21" t="n">
        <f aca="false">IF(OR(AE161="",AE161=0),0,AE161-AJ161)</f>
        <v>0</v>
      </c>
      <c r="AL161" s="19" t="str">
        <f aca="false">IF(AD161="","",AD161-AK161)</f>
        <v/>
      </c>
      <c r="AM161" s="26" t="str">
        <f aca="false">IF(C161="","","Waiting for payment")</f>
        <v/>
      </c>
      <c r="AN161" s="27"/>
      <c r="AO161" s="27"/>
      <c r="AP161" s="35" t="str">
        <f aca="false">IF(OR(C161="",I161="",K161=""),"",IF(K161="Monthly",EDATE(C161,ROUND(I161*SETTINGS!$I$8,0)),WORKDAY(C161,ROUND(I161*SETTINGS!$I$8,0))))</f>
        <v/>
      </c>
      <c r="AQ161" s="26" t="str">
        <f aca="true">IF(C161="","",IF(AND(AP161&lt;&gt;"",TODAY()&gt;=AP161),"Refi Ready",IF(TODAY()-C161&gt;=SETTINGS!$I$11,"Prospecting","Performing")))</f>
        <v/>
      </c>
      <c r="AR161" s="35" t="str">
        <f aca="false">IF(OR(C161="",I161="",K161=""),"",IF(K161="Monthly",EDATE(C161,I161),WORKDAY(C161,I161)))</f>
        <v/>
      </c>
      <c r="AS161" s="28"/>
      <c r="AT161" s="36" t="str">
        <f aca="true">IF(C161="","",IF(AM161="Clawed Back","CLAWED",IF(TODAY()&lt;=C161+SETTINGS!$I$2,"⚠ AT RISK","SAFE")))</f>
        <v/>
      </c>
      <c r="AU161" s="28"/>
      <c r="AW161" s="24" t="n">
        <f aca="false">AW160+IF(AND(C161&lt;&gt;"",AO161&lt;&gt;"",OR('REP COMMISSION'!$B$3="",T161='REP COMMISSION'!$B$3,W161='REP COMMISSION'!$B$3,Z161='REP COMMISSION'!$B$3)),1,0)</f>
        <v>0</v>
      </c>
      <c r="AX161" s="24" t="n">
        <f aca="false">AX160+IF(AND(C161&lt;&gt;"",OR(F161="LOC - INITIAL",F161="CONSOLIDATION - UPFRONT COMM",F161="REVERSE - TOTAL FUNDING")),1,0)</f>
        <v>0</v>
      </c>
    </row>
    <row r="162" customFormat="false" ht="15" hidden="false" customHeight="false" outlineLevel="0" collapsed="false">
      <c r="A162" s="8" t="str">
        <f aca="false">IF(C162&lt;&gt;"","F"&amp;COUNT($C$4:C162),"")</f>
        <v/>
      </c>
      <c r="B162" s="9" t="str">
        <f aca="false">IF(OR(F162="LOC - INITIAL",F162="CONSOLIDATION - UPFRONT COMM",F162="REVERSE - TOTAL FUNDING"),A162,"")</f>
        <v/>
      </c>
      <c r="C162" s="10"/>
      <c r="D162" s="11"/>
      <c r="E162" s="11"/>
      <c r="F162" s="11"/>
      <c r="G162" s="12"/>
      <c r="H162" s="13"/>
      <c r="I162" s="11"/>
      <c r="J162" s="14" t="str">
        <f aca="false">IF(AND(G162&lt;&gt;"",H162&lt;&gt;""),G162*H162,"")</f>
        <v/>
      </c>
      <c r="K162" s="11"/>
      <c r="L162" s="15"/>
      <c r="M162" s="15"/>
      <c r="N162" s="14" t="n">
        <f aca="false">IF(OR(G162="",M162=""),0,IF(M162&gt;100,M162,G162*IF(M162&gt;1,M162/100,M162)))</f>
        <v>0</v>
      </c>
      <c r="O162" s="14" t="str">
        <f aca="false">IF(G162="","",G162*IF(L162="",0,IF(L162&gt;1,L162/100,L162))+N162)</f>
        <v/>
      </c>
      <c r="P162" s="11"/>
      <c r="Q162" s="16" t="str">
        <f aca="false">IF(P162="","",IFERROR(VLOOKUP(P162,PARTNERS!$A$2:$B$30,2,0),""))</f>
        <v/>
      </c>
      <c r="R162" s="17" t="str">
        <f aca="false">IF(O162="","",IF(OR(P162="",Q162=""),0,(O162-N162)*IF(Q162&gt;1,Q162/100,Q162)))</f>
        <v/>
      </c>
      <c r="S162" s="14" t="str">
        <f aca="false">IF(O162="","",O162-R162)</f>
        <v/>
      </c>
      <c r="T162" s="11"/>
      <c r="U162" s="18" t="str">
        <f aca="false">IF(T162="","",IFERROR(VLOOKUP(T162,REPS!$A$2:$D$40,2,0),""))</f>
        <v/>
      </c>
      <c r="V162" s="14" t="str">
        <f aca="false">IF(O162="","",IF(U162="",0,O162*IF(U162&gt;1,U162/100,U162)))</f>
        <v/>
      </c>
      <c r="W162" s="11"/>
      <c r="X162" s="18" t="str">
        <f aca="false">IF(W162="","",IFERROR(VLOOKUP(W162,REPS!$A$2:$D$40,3,0),""))</f>
        <v/>
      </c>
      <c r="Y162" s="14" t="str">
        <f aca="false">IF(O162="","",IF(X162="",0,O162*IF(X162&gt;1,X162/100,X162)))</f>
        <v/>
      </c>
      <c r="Z162" s="11"/>
      <c r="AA162" s="18" t="str">
        <f aca="false">IF(Z162="","",IFERROR(VLOOKUP(Z162,REPS!$A$2:$D$40,4,0),""))</f>
        <v/>
      </c>
      <c r="AB162" s="14" t="str">
        <f aca="false">IF(O162="","",IF(AA162="",0,O162*IF(AA162&gt;1,AA162/100,AA162)))</f>
        <v/>
      </c>
      <c r="AC162" s="14" t="str">
        <f aca="false">IF(O162="","",V162+Y162+AB162)</f>
        <v/>
      </c>
      <c r="AD162" s="19" t="str">
        <f aca="false">IF(O162="","",O162-R162-AC162)</f>
        <v/>
      </c>
      <c r="AE162" s="20"/>
      <c r="AF162" s="10"/>
      <c r="AG162" s="21" t="n">
        <f aca="false">IF(OR(AE162="",AE162=0),0,AE162*IF(U162="",0,IF(U162&gt;1,U162/100,U162)))</f>
        <v>0</v>
      </c>
      <c r="AH162" s="21" t="n">
        <f aca="false">IF(OR(AE162="",AE162=0),0,AE162*IF(X162="",0,IF(X162&gt;1,X162/100,X162)))</f>
        <v>0</v>
      </c>
      <c r="AI162" s="21" t="n">
        <f aca="false">IF(OR(AE162="",AE162=0),0,AE162*IF(AA162="",0,IF(AA162&gt;1,AA162/100,AA162)))</f>
        <v>0</v>
      </c>
      <c r="AJ162" s="21" t="n">
        <f aca="false">AG162+AH162+AI162</f>
        <v>0</v>
      </c>
      <c r="AK162" s="21" t="n">
        <f aca="false">IF(OR(AE162="",AE162=0),0,AE162-AJ162)</f>
        <v>0</v>
      </c>
      <c r="AL162" s="19" t="str">
        <f aca="false">IF(AD162="","",AD162-AK162)</f>
        <v/>
      </c>
      <c r="AM162" s="9" t="str">
        <f aca="false">IF(C162="","","Waiting for payment")</f>
        <v/>
      </c>
      <c r="AN162" s="10"/>
      <c r="AO162" s="10"/>
      <c r="AP162" s="22" t="str">
        <f aca="false">IF(OR(C162="",I162="",K162=""),"",IF(K162="Monthly",EDATE(C162,ROUND(I162*SETTINGS!$I$8,0)),WORKDAY(C162,ROUND(I162*SETTINGS!$I$8,0))))</f>
        <v/>
      </c>
      <c r="AQ162" s="9" t="str">
        <f aca="true">IF(C162="","",IF(AND(AP162&lt;&gt;"",TODAY()&gt;=AP162),"Refi Ready",IF(TODAY()-C162&gt;=SETTINGS!$I$11,"Prospecting","Performing")))</f>
        <v/>
      </c>
      <c r="AR162" s="22" t="str">
        <f aca="false">IF(OR(C162="",I162="",K162=""),"",IF(K162="Monthly",EDATE(C162,I162),WORKDAY(C162,I162)))</f>
        <v/>
      </c>
      <c r="AS162" s="11"/>
      <c r="AT162" s="23" t="str">
        <f aca="true">IF(C162="","",IF(AM162="Clawed Back","CLAWED",IF(TODAY()&lt;=C162+SETTINGS!$I$2,"⚠ AT RISK","SAFE")))</f>
        <v/>
      </c>
      <c r="AU162" s="11"/>
      <c r="AW162" s="24" t="n">
        <f aca="false">AW161+IF(AND(C162&lt;&gt;"",AO162&lt;&gt;"",OR('REP COMMISSION'!$B$3="",T162='REP COMMISSION'!$B$3,W162='REP COMMISSION'!$B$3,Z162='REP COMMISSION'!$B$3)),1,0)</f>
        <v>0</v>
      </c>
      <c r="AX162" s="24" t="n">
        <f aca="false">AX161+IF(AND(C162&lt;&gt;"",OR(F162="LOC - INITIAL",F162="CONSOLIDATION - UPFRONT COMM",F162="REVERSE - TOTAL FUNDING")),1,0)</f>
        <v>0</v>
      </c>
    </row>
    <row r="163" customFormat="false" ht="15" hidden="false" customHeight="false" outlineLevel="0" collapsed="false">
      <c r="A163" s="25" t="str">
        <f aca="false">IF(C163&lt;&gt;"","F"&amp;COUNT($C$4:C163),"")</f>
        <v/>
      </c>
      <c r="B163" s="26" t="str">
        <f aca="false">IF(OR(F163="LOC - INITIAL",F163="CONSOLIDATION - UPFRONT COMM",F163="REVERSE - TOTAL FUNDING"),A163,"")</f>
        <v/>
      </c>
      <c r="C163" s="27"/>
      <c r="D163" s="28"/>
      <c r="E163" s="28"/>
      <c r="F163" s="28"/>
      <c r="G163" s="29"/>
      <c r="H163" s="30"/>
      <c r="I163" s="28"/>
      <c r="J163" s="31" t="str">
        <f aca="false">IF(AND(G163&lt;&gt;"",H163&lt;&gt;""),G163*H163,"")</f>
        <v/>
      </c>
      <c r="K163" s="28"/>
      <c r="L163" s="32"/>
      <c r="M163" s="32"/>
      <c r="N163" s="31" t="n">
        <f aca="false">IF(OR(G163="",M163=""),0,IF(M163&gt;100,M163,G163*IF(M163&gt;1,M163/100,M163)))</f>
        <v>0</v>
      </c>
      <c r="O163" s="31" t="str">
        <f aca="false">IF(G163="","",G163*IF(L163="",0,IF(L163&gt;1,L163/100,L163))+N163)</f>
        <v/>
      </c>
      <c r="P163" s="28"/>
      <c r="Q163" s="33" t="str">
        <f aca="false">IF(P163="","",IFERROR(VLOOKUP(P163,PARTNERS!$A$2:$B$30,2,0),""))</f>
        <v/>
      </c>
      <c r="R163" s="17" t="str">
        <f aca="false">IF(O163="","",IF(OR(P163="",Q163=""),0,(O163-N163)*IF(Q163&gt;1,Q163/100,Q163)))</f>
        <v/>
      </c>
      <c r="S163" s="31" t="str">
        <f aca="false">IF(O163="","",O163-R163)</f>
        <v/>
      </c>
      <c r="T163" s="28"/>
      <c r="U163" s="34" t="str">
        <f aca="false">IF(T163="","",IFERROR(VLOOKUP(T163,REPS!$A$2:$D$40,2,0),""))</f>
        <v/>
      </c>
      <c r="V163" s="31" t="str">
        <f aca="false">IF(O163="","",IF(U163="",0,O163*IF(U163&gt;1,U163/100,U163)))</f>
        <v/>
      </c>
      <c r="W163" s="28"/>
      <c r="X163" s="34" t="str">
        <f aca="false">IF(W163="","",IFERROR(VLOOKUP(W163,REPS!$A$2:$D$40,3,0),""))</f>
        <v/>
      </c>
      <c r="Y163" s="31" t="str">
        <f aca="false">IF(O163="","",IF(X163="",0,O163*IF(X163&gt;1,X163/100,X163)))</f>
        <v/>
      </c>
      <c r="Z163" s="28"/>
      <c r="AA163" s="34" t="str">
        <f aca="false">IF(Z163="","",IFERROR(VLOOKUP(Z163,REPS!$A$2:$D$40,4,0),""))</f>
        <v/>
      </c>
      <c r="AB163" s="31" t="str">
        <f aca="false">IF(O163="","",IF(AA163="",0,O163*IF(AA163&gt;1,AA163/100,AA163)))</f>
        <v/>
      </c>
      <c r="AC163" s="31" t="str">
        <f aca="false">IF(O163="","",V163+Y163+AB163)</f>
        <v/>
      </c>
      <c r="AD163" s="19" t="str">
        <f aca="false">IF(O163="","",O163-R163-AC163)</f>
        <v/>
      </c>
      <c r="AE163" s="20"/>
      <c r="AF163" s="27"/>
      <c r="AG163" s="21" t="n">
        <f aca="false">IF(OR(AE163="",AE163=0),0,AE163*IF(U163="",0,IF(U163&gt;1,U163/100,U163)))</f>
        <v>0</v>
      </c>
      <c r="AH163" s="21" t="n">
        <f aca="false">IF(OR(AE163="",AE163=0),0,AE163*IF(X163="",0,IF(X163&gt;1,X163/100,X163)))</f>
        <v>0</v>
      </c>
      <c r="AI163" s="21" t="n">
        <f aca="false">IF(OR(AE163="",AE163=0),0,AE163*IF(AA163="",0,IF(AA163&gt;1,AA163/100,AA163)))</f>
        <v>0</v>
      </c>
      <c r="AJ163" s="21" t="n">
        <f aca="false">AG163+AH163+AI163</f>
        <v>0</v>
      </c>
      <c r="AK163" s="21" t="n">
        <f aca="false">IF(OR(AE163="",AE163=0),0,AE163-AJ163)</f>
        <v>0</v>
      </c>
      <c r="AL163" s="19" t="str">
        <f aca="false">IF(AD163="","",AD163-AK163)</f>
        <v/>
      </c>
      <c r="AM163" s="26" t="str">
        <f aca="false">IF(C163="","","Waiting for payment")</f>
        <v/>
      </c>
      <c r="AN163" s="27"/>
      <c r="AO163" s="27"/>
      <c r="AP163" s="35" t="str">
        <f aca="false">IF(OR(C163="",I163="",K163=""),"",IF(K163="Monthly",EDATE(C163,ROUND(I163*SETTINGS!$I$8,0)),WORKDAY(C163,ROUND(I163*SETTINGS!$I$8,0))))</f>
        <v/>
      </c>
      <c r="AQ163" s="26" t="str">
        <f aca="true">IF(C163="","",IF(AND(AP163&lt;&gt;"",TODAY()&gt;=AP163),"Refi Ready",IF(TODAY()-C163&gt;=SETTINGS!$I$11,"Prospecting","Performing")))</f>
        <v/>
      </c>
      <c r="AR163" s="35" t="str">
        <f aca="false">IF(OR(C163="",I163="",K163=""),"",IF(K163="Monthly",EDATE(C163,I163),WORKDAY(C163,I163)))</f>
        <v/>
      </c>
      <c r="AS163" s="28"/>
      <c r="AT163" s="36" t="str">
        <f aca="true">IF(C163="","",IF(AM163="Clawed Back","CLAWED",IF(TODAY()&lt;=C163+SETTINGS!$I$2,"⚠ AT RISK","SAFE")))</f>
        <v/>
      </c>
      <c r="AU163" s="28"/>
      <c r="AW163" s="24" t="n">
        <f aca="false">AW162+IF(AND(C163&lt;&gt;"",AO163&lt;&gt;"",OR('REP COMMISSION'!$B$3="",T163='REP COMMISSION'!$B$3,W163='REP COMMISSION'!$B$3,Z163='REP COMMISSION'!$B$3)),1,0)</f>
        <v>0</v>
      </c>
      <c r="AX163" s="24" t="n">
        <f aca="false">AX162+IF(AND(C163&lt;&gt;"",OR(F163="LOC - INITIAL",F163="CONSOLIDATION - UPFRONT COMM",F163="REVERSE - TOTAL FUNDING")),1,0)</f>
        <v>0</v>
      </c>
    </row>
    <row r="164" customFormat="false" ht="15" hidden="false" customHeight="false" outlineLevel="0" collapsed="false">
      <c r="A164" s="8" t="str">
        <f aca="false">IF(C164&lt;&gt;"","F"&amp;COUNT($C$4:C164),"")</f>
        <v/>
      </c>
      <c r="B164" s="9" t="str">
        <f aca="false">IF(OR(F164="LOC - INITIAL",F164="CONSOLIDATION - UPFRONT COMM",F164="REVERSE - TOTAL FUNDING"),A164,"")</f>
        <v/>
      </c>
      <c r="C164" s="10"/>
      <c r="D164" s="11"/>
      <c r="E164" s="11"/>
      <c r="F164" s="11"/>
      <c r="G164" s="12"/>
      <c r="H164" s="13"/>
      <c r="I164" s="11"/>
      <c r="J164" s="14" t="str">
        <f aca="false">IF(AND(G164&lt;&gt;"",H164&lt;&gt;""),G164*H164,"")</f>
        <v/>
      </c>
      <c r="K164" s="11"/>
      <c r="L164" s="15"/>
      <c r="M164" s="15"/>
      <c r="N164" s="14" t="n">
        <f aca="false">IF(OR(G164="",M164=""),0,IF(M164&gt;100,M164,G164*IF(M164&gt;1,M164/100,M164)))</f>
        <v>0</v>
      </c>
      <c r="O164" s="14" t="str">
        <f aca="false">IF(G164="","",G164*IF(L164="",0,IF(L164&gt;1,L164/100,L164))+N164)</f>
        <v/>
      </c>
      <c r="P164" s="11"/>
      <c r="Q164" s="16" t="str">
        <f aca="false">IF(P164="","",IFERROR(VLOOKUP(P164,PARTNERS!$A$2:$B$30,2,0),""))</f>
        <v/>
      </c>
      <c r="R164" s="17" t="str">
        <f aca="false">IF(O164="","",IF(OR(P164="",Q164=""),0,(O164-N164)*IF(Q164&gt;1,Q164/100,Q164)))</f>
        <v/>
      </c>
      <c r="S164" s="14" t="str">
        <f aca="false">IF(O164="","",O164-R164)</f>
        <v/>
      </c>
      <c r="T164" s="11"/>
      <c r="U164" s="18" t="str">
        <f aca="false">IF(T164="","",IFERROR(VLOOKUP(T164,REPS!$A$2:$D$40,2,0),""))</f>
        <v/>
      </c>
      <c r="V164" s="14" t="str">
        <f aca="false">IF(O164="","",IF(U164="",0,O164*IF(U164&gt;1,U164/100,U164)))</f>
        <v/>
      </c>
      <c r="W164" s="11"/>
      <c r="X164" s="18" t="str">
        <f aca="false">IF(W164="","",IFERROR(VLOOKUP(W164,REPS!$A$2:$D$40,3,0),""))</f>
        <v/>
      </c>
      <c r="Y164" s="14" t="str">
        <f aca="false">IF(O164="","",IF(X164="",0,O164*IF(X164&gt;1,X164/100,X164)))</f>
        <v/>
      </c>
      <c r="Z164" s="11"/>
      <c r="AA164" s="18" t="str">
        <f aca="false">IF(Z164="","",IFERROR(VLOOKUP(Z164,REPS!$A$2:$D$40,4,0),""))</f>
        <v/>
      </c>
      <c r="AB164" s="14" t="str">
        <f aca="false">IF(O164="","",IF(AA164="",0,O164*IF(AA164&gt;1,AA164/100,AA164)))</f>
        <v/>
      </c>
      <c r="AC164" s="14" t="str">
        <f aca="false">IF(O164="","",V164+Y164+AB164)</f>
        <v/>
      </c>
      <c r="AD164" s="19" t="str">
        <f aca="false">IF(O164="","",O164-R164-AC164)</f>
        <v/>
      </c>
      <c r="AE164" s="20"/>
      <c r="AF164" s="10"/>
      <c r="AG164" s="21" t="n">
        <f aca="false">IF(OR(AE164="",AE164=0),0,AE164*IF(U164="",0,IF(U164&gt;1,U164/100,U164)))</f>
        <v>0</v>
      </c>
      <c r="AH164" s="21" t="n">
        <f aca="false">IF(OR(AE164="",AE164=0),0,AE164*IF(X164="",0,IF(X164&gt;1,X164/100,X164)))</f>
        <v>0</v>
      </c>
      <c r="AI164" s="21" t="n">
        <f aca="false">IF(OR(AE164="",AE164=0),0,AE164*IF(AA164="",0,IF(AA164&gt;1,AA164/100,AA164)))</f>
        <v>0</v>
      </c>
      <c r="AJ164" s="21" t="n">
        <f aca="false">AG164+AH164+AI164</f>
        <v>0</v>
      </c>
      <c r="AK164" s="21" t="n">
        <f aca="false">IF(OR(AE164="",AE164=0),0,AE164-AJ164)</f>
        <v>0</v>
      </c>
      <c r="AL164" s="19" t="str">
        <f aca="false">IF(AD164="","",AD164-AK164)</f>
        <v/>
      </c>
      <c r="AM164" s="9" t="str">
        <f aca="false">IF(C164="","","Waiting for payment")</f>
        <v/>
      </c>
      <c r="AN164" s="10"/>
      <c r="AO164" s="10"/>
      <c r="AP164" s="22" t="str">
        <f aca="false">IF(OR(C164="",I164="",K164=""),"",IF(K164="Monthly",EDATE(C164,ROUND(I164*SETTINGS!$I$8,0)),WORKDAY(C164,ROUND(I164*SETTINGS!$I$8,0))))</f>
        <v/>
      </c>
      <c r="AQ164" s="9" t="str">
        <f aca="true">IF(C164="","",IF(AND(AP164&lt;&gt;"",TODAY()&gt;=AP164),"Refi Ready",IF(TODAY()-C164&gt;=SETTINGS!$I$11,"Prospecting","Performing")))</f>
        <v/>
      </c>
      <c r="AR164" s="22" t="str">
        <f aca="false">IF(OR(C164="",I164="",K164=""),"",IF(K164="Monthly",EDATE(C164,I164),WORKDAY(C164,I164)))</f>
        <v/>
      </c>
      <c r="AS164" s="11"/>
      <c r="AT164" s="23" t="str">
        <f aca="true">IF(C164="","",IF(AM164="Clawed Back","CLAWED",IF(TODAY()&lt;=C164+SETTINGS!$I$2,"⚠ AT RISK","SAFE")))</f>
        <v/>
      </c>
      <c r="AU164" s="11"/>
      <c r="AW164" s="24" t="n">
        <f aca="false">AW163+IF(AND(C164&lt;&gt;"",AO164&lt;&gt;"",OR('REP COMMISSION'!$B$3="",T164='REP COMMISSION'!$B$3,W164='REP COMMISSION'!$B$3,Z164='REP COMMISSION'!$B$3)),1,0)</f>
        <v>0</v>
      </c>
      <c r="AX164" s="24" t="n">
        <f aca="false">AX163+IF(AND(C164&lt;&gt;"",OR(F164="LOC - INITIAL",F164="CONSOLIDATION - UPFRONT COMM",F164="REVERSE - TOTAL FUNDING")),1,0)</f>
        <v>0</v>
      </c>
    </row>
    <row r="165" customFormat="false" ht="15" hidden="false" customHeight="false" outlineLevel="0" collapsed="false">
      <c r="A165" s="25" t="str">
        <f aca="false">IF(C165&lt;&gt;"","F"&amp;COUNT($C$4:C165),"")</f>
        <v/>
      </c>
      <c r="B165" s="26" t="str">
        <f aca="false">IF(OR(F165="LOC - INITIAL",F165="CONSOLIDATION - UPFRONT COMM",F165="REVERSE - TOTAL FUNDING"),A165,"")</f>
        <v/>
      </c>
      <c r="C165" s="27"/>
      <c r="D165" s="28"/>
      <c r="E165" s="28"/>
      <c r="F165" s="28"/>
      <c r="G165" s="29"/>
      <c r="H165" s="30"/>
      <c r="I165" s="28"/>
      <c r="J165" s="31" t="str">
        <f aca="false">IF(AND(G165&lt;&gt;"",H165&lt;&gt;""),G165*H165,"")</f>
        <v/>
      </c>
      <c r="K165" s="28"/>
      <c r="L165" s="32"/>
      <c r="M165" s="32"/>
      <c r="N165" s="31" t="n">
        <f aca="false">IF(OR(G165="",M165=""),0,IF(M165&gt;100,M165,G165*IF(M165&gt;1,M165/100,M165)))</f>
        <v>0</v>
      </c>
      <c r="O165" s="31" t="str">
        <f aca="false">IF(G165="","",G165*IF(L165="",0,IF(L165&gt;1,L165/100,L165))+N165)</f>
        <v/>
      </c>
      <c r="P165" s="28"/>
      <c r="Q165" s="33" t="str">
        <f aca="false">IF(P165="","",IFERROR(VLOOKUP(P165,PARTNERS!$A$2:$B$30,2,0),""))</f>
        <v/>
      </c>
      <c r="R165" s="17" t="str">
        <f aca="false">IF(O165="","",IF(OR(P165="",Q165=""),0,(O165-N165)*IF(Q165&gt;1,Q165/100,Q165)))</f>
        <v/>
      </c>
      <c r="S165" s="31" t="str">
        <f aca="false">IF(O165="","",O165-R165)</f>
        <v/>
      </c>
      <c r="T165" s="28"/>
      <c r="U165" s="34" t="str">
        <f aca="false">IF(T165="","",IFERROR(VLOOKUP(T165,REPS!$A$2:$D$40,2,0),""))</f>
        <v/>
      </c>
      <c r="V165" s="31" t="str">
        <f aca="false">IF(O165="","",IF(U165="",0,O165*IF(U165&gt;1,U165/100,U165)))</f>
        <v/>
      </c>
      <c r="W165" s="28"/>
      <c r="X165" s="34" t="str">
        <f aca="false">IF(W165="","",IFERROR(VLOOKUP(W165,REPS!$A$2:$D$40,3,0),""))</f>
        <v/>
      </c>
      <c r="Y165" s="31" t="str">
        <f aca="false">IF(O165="","",IF(X165="",0,O165*IF(X165&gt;1,X165/100,X165)))</f>
        <v/>
      </c>
      <c r="Z165" s="28"/>
      <c r="AA165" s="34" t="str">
        <f aca="false">IF(Z165="","",IFERROR(VLOOKUP(Z165,REPS!$A$2:$D$40,4,0),""))</f>
        <v/>
      </c>
      <c r="AB165" s="31" t="str">
        <f aca="false">IF(O165="","",IF(AA165="",0,O165*IF(AA165&gt;1,AA165/100,AA165)))</f>
        <v/>
      </c>
      <c r="AC165" s="31" t="str">
        <f aca="false">IF(O165="","",V165+Y165+AB165)</f>
        <v/>
      </c>
      <c r="AD165" s="19" t="str">
        <f aca="false">IF(O165="","",O165-R165-AC165)</f>
        <v/>
      </c>
      <c r="AE165" s="20"/>
      <c r="AF165" s="27"/>
      <c r="AG165" s="21" t="n">
        <f aca="false">IF(OR(AE165="",AE165=0),0,AE165*IF(U165="",0,IF(U165&gt;1,U165/100,U165)))</f>
        <v>0</v>
      </c>
      <c r="AH165" s="21" t="n">
        <f aca="false">IF(OR(AE165="",AE165=0),0,AE165*IF(X165="",0,IF(X165&gt;1,X165/100,X165)))</f>
        <v>0</v>
      </c>
      <c r="AI165" s="21" t="n">
        <f aca="false">IF(OR(AE165="",AE165=0),0,AE165*IF(AA165="",0,IF(AA165&gt;1,AA165/100,AA165)))</f>
        <v>0</v>
      </c>
      <c r="AJ165" s="21" t="n">
        <f aca="false">AG165+AH165+AI165</f>
        <v>0</v>
      </c>
      <c r="AK165" s="21" t="n">
        <f aca="false">IF(OR(AE165="",AE165=0),0,AE165-AJ165)</f>
        <v>0</v>
      </c>
      <c r="AL165" s="19" t="str">
        <f aca="false">IF(AD165="","",AD165-AK165)</f>
        <v/>
      </c>
      <c r="AM165" s="26" t="str">
        <f aca="false">IF(C165="","","Waiting for payment")</f>
        <v/>
      </c>
      <c r="AN165" s="27"/>
      <c r="AO165" s="27"/>
      <c r="AP165" s="35" t="str">
        <f aca="false">IF(OR(C165="",I165="",K165=""),"",IF(K165="Monthly",EDATE(C165,ROUND(I165*SETTINGS!$I$8,0)),WORKDAY(C165,ROUND(I165*SETTINGS!$I$8,0))))</f>
        <v/>
      </c>
      <c r="AQ165" s="26" t="str">
        <f aca="true">IF(C165="","",IF(AND(AP165&lt;&gt;"",TODAY()&gt;=AP165),"Refi Ready",IF(TODAY()-C165&gt;=SETTINGS!$I$11,"Prospecting","Performing")))</f>
        <v/>
      </c>
      <c r="AR165" s="35" t="str">
        <f aca="false">IF(OR(C165="",I165="",K165=""),"",IF(K165="Monthly",EDATE(C165,I165),WORKDAY(C165,I165)))</f>
        <v/>
      </c>
      <c r="AS165" s="28"/>
      <c r="AT165" s="36" t="str">
        <f aca="true">IF(C165="","",IF(AM165="Clawed Back","CLAWED",IF(TODAY()&lt;=C165+SETTINGS!$I$2,"⚠ AT RISK","SAFE")))</f>
        <v/>
      </c>
      <c r="AU165" s="28"/>
      <c r="AW165" s="24" t="n">
        <f aca="false">AW164+IF(AND(C165&lt;&gt;"",AO165&lt;&gt;"",OR('REP COMMISSION'!$B$3="",T165='REP COMMISSION'!$B$3,W165='REP COMMISSION'!$B$3,Z165='REP COMMISSION'!$B$3)),1,0)</f>
        <v>0</v>
      </c>
      <c r="AX165" s="24" t="n">
        <f aca="false">AX164+IF(AND(C165&lt;&gt;"",OR(F165="LOC - INITIAL",F165="CONSOLIDATION - UPFRONT COMM",F165="REVERSE - TOTAL FUNDING")),1,0)</f>
        <v>0</v>
      </c>
    </row>
    <row r="166" customFormat="false" ht="15" hidden="false" customHeight="false" outlineLevel="0" collapsed="false">
      <c r="A166" s="8" t="str">
        <f aca="false">IF(C166&lt;&gt;"","F"&amp;COUNT($C$4:C166),"")</f>
        <v/>
      </c>
      <c r="B166" s="9" t="str">
        <f aca="false">IF(OR(F166="LOC - INITIAL",F166="CONSOLIDATION - UPFRONT COMM",F166="REVERSE - TOTAL FUNDING"),A166,"")</f>
        <v/>
      </c>
      <c r="C166" s="10"/>
      <c r="D166" s="11"/>
      <c r="E166" s="11"/>
      <c r="F166" s="11"/>
      <c r="G166" s="12"/>
      <c r="H166" s="13"/>
      <c r="I166" s="11"/>
      <c r="J166" s="14" t="str">
        <f aca="false">IF(AND(G166&lt;&gt;"",H166&lt;&gt;""),G166*H166,"")</f>
        <v/>
      </c>
      <c r="K166" s="11"/>
      <c r="L166" s="15"/>
      <c r="M166" s="15"/>
      <c r="N166" s="14" t="n">
        <f aca="false">IF(OR(G166="",M166=""),0,IF(M166&gt;100,M166,G166*IF(M166&gt;1,M166/100,M166)))</f>
        <v>0</v>
      </c>
      <c r="O166" s="14" t="str">
        <f aca="false">IF(G166="","",G166*IF(L166="",0,IF(L166&gt;1,L166/100,L166))+N166)</f>
        <v/>
      </c>
      <c r="P166" s="11"/>
      <c r="Q166" s="16" t="str">
        <f aca="false">IF(P166="","",IFERROR(VLOOKUP(P166,PARTNERS!$A$2:$B$30,2,0),""))</f>
        <v/>
      </c>
      <c r="R166" s="17" t="str">
        <f aca="false">IF(O166="","",IF(OR(P166="",Q166=""),0,(O166-N166)*IF(Q166&gt;1,Q166/100,Q166)))</f>
        <v/>
      </c>
      <c r="S166" s="14" t="str">
        <f aca="false">IF(O166="","",O166-R166)</f>
        <v/>
      </c>
      <c r="T166" s="11"/>
      <c r="U166" s="18" t="str">
        <f aca="false">IF(T166="","",IFERROR(VLOOKUP(T166,REPS!$A$2:$D$40,2,0),""))</f>
        <v/>
      </c>
      <c r="V166" s="14" t="str">
        <f aca="false">IF(O166="","",IF(U166="",0,O166*IF(U166&gt;1,U166/100,U166)))</f>
        <v/>
      </c>
      <c r="W166" s="11"/>
      <c r="X166" s="18" t="str">
        <f aca="false">IF(W166="","",IFERROR(VLOOKUP(W166,REPS!$A$2:$D$40,3,0),""))</f>
        <v/>
      </c>
      <c r="Y166" s="14" t="str">
        <f aca="false">IF(O166="","",IF(X166="",0,O166*IF(X166&gt;1,X166/100,X166)))</f>
        <v/>
      </c>
      <c r="Z166" s="11"/>
      <c r="AA166" s="18" t="str">
        <f aca="false">IF(Z166="","",IFERROR(VLOOKUP(Z166,REPS!$A$2:$D$40,4,0),""))</f>
        <v/>
      </c>
      <c r="AB166" s="14" t="str">
        <f aca="false">IF(O166="","",IF(AA166="",0,O166*IF(AA166&gt;1,AA166/100,AA166)))</f>
        <v/>
      </c>
      <c r="AC166" s="14" t="str">
        <f aca="false">IF(O166="","",V166+Y166+AB166)</f>
        <v/>
      </c>
      <c r="AD166" s="19" t="str">
        <f aca="false">IF(O166="","",O166-R166-AC166)</f>
        <v/>
      </c>
      <c r="AE166" s="20"/>
      <c r="AF166" s="10"/>
      <c r="AG166" s="21" t="n">
        <f aca="false">IF(OR(AE166="",AE166=0),0,AE166*IF(U166="",0,IF(U166&gt;1,U166/100,U166)))</f>
        <v>0</v>
      </c>
      <c r="AH166" s="21" t="n">
        <f aca="false">IF(OR(AE166="",AE166=0),0,AE166*IF(X166="",0,IF(X166&gt;1,X166/100,X166)))</f>
        <v>0</v>
      </c>
      <c r="AI166" s="21" t="n">
        <f aca="false">IF(OR(AE166="",AE166=0),0,AE166*IF(AA166="",0,IF(AA166&gt;1,AA166/100,AA166)))</f>
        <v>0</v>
      </c>
      <c r="AJ166" s="21" t="n">
        <f aca="false">AG166+AH166+AI166</f>
        <v>0</v>
      </c>
      <c r="AK166" s="21" t="n">
        <f aca="false">IF(OR(AE166="",AE166=0),0,AE166-AJ166)</f>
        <v>0</v>
      </c>
      <c r="AL166" s="19" t="str">
        <f aca="false">IF(AD166="","",AD166-AK166)</f>
        <v/>
      </c>
      <c r="AM166" s="9" t="str">
        <f aca="false">IF(C166="","","Waiting for payment")</f>
        <v/>
      </c>
      <c r="AN166" s="10"/>
      <c r="AO166" s="10"/>
      <c r="AP166" s="22" t="str">
        <f aca="false">IF(OR(C166="",I166="",K166=""),"",IF(K166="Monthly",EDATE(C166,ROUND(I166*SETTINGS!$I$8,0)),WORKDAY(C166,ROUND(I166*SETTINGS!$I$8,0))))</f>
        <v/>
      </c>
      <c r="AQ166" s="9" t="str">
        <f aca="true">IF(C166="","",IF(AND(AP166&lt;&gt;"",TODAY()&gt;=AP166),"Refi Ready",IF(TODAY()-C166&gt;=SETTINGS!$I$11,"Prospecting","Performing")))</f>
        <v/>
      </c>
      <c r="AR166" s="22" t="str">
        <f aca="false">IF(OR(C166="",I166="",K166=""),"",IF(K166="Monthly",EDATE(C166,I166),WORKDAY(C166,I166)))</f>
        <v/>
      </c>
      <c r="AS166" s="11"/>
      <c r="AT166" s="23" t="str">
        <f aca="true">IF(C166="","",IF(AM166="Clawed Back","CLAWED",IF(TODAY()&lt;=C166+SETTINGS!$I$2,"⚠ AT RISK","SAFE")))</f>
        <v/>
      </c>
      <c r="AU166" s="11"/>
      <c r="AW166" s="24" t="n">
        <f aca="false">AW165+IF(AND(C166&lt;&gt;"",AO166&lt;&gt;"",OR('REP COMMISSION'!$B$3="",T166='REP COMMISSION'!$B$3,W166='REP COMMISSION'!$B$3,Z166='REP COMMISSION'!$B$3)),1,0)</f>
        <v>0</v>
      </c>
      <c r="AX166" s="24" t="n">
        <f aca="false">AX165+IF(AND(C166&lt;&gt;"",OR(F166="LOC - INITIAL",F166="CONSOLIDATION - UPFRONT COMM",F166="REVERSE - TOTAL FUNDING")),1,0)</f>
        <v>0</v>
      </c>
    </row>
    <row r="167" customFormat="false" ht="15" hidden="false" customHeight="false" outlineLevel="0" collapsed="false">
      <c r="A167" s="25" t="str">
        <f aca="false">IF(C167&lt;&gt;"","F"&amp;COUNT($C$4:C167),"")</f>
        <v/>
      </c>
      <c r="B167" s="26" t="str">
        <f aca="false">IF(OR(F167="LOC - INITIAL",F167="CONSOLIDATION - UPFRONT COMM",F167="REVERSE - TOTAL FUNDING"),A167,"")</f>
        <v/>
      </c>
      <c r="C167" s="27"/>
      <c r="D167" s="28"/>
      <c r="E167" s="28"/>
      <c r="F167" s="28"/>
      <c r="G167" s="29"/>
      <c r="H167" s="30"/>
      <c r="I167" s="28"/>
      <c r="J167" s="31" t="str">
        <f aca="false">IF(AND(G167&lt;&gt;"",H167&lt;&gt;""),G167*H167,"")</f>
        <v/>
      </c>
      <c r="K167" s="28"/>
      <c r="L167" s="32"/>
      <c r="M167" s="32"/>
      <c r="N167" s="31" t="n">
        <f aca="false">IF(OR(G167="",M167=""),0,IF(M167&gt;100,M167,G167*IF(M167&gt;1,M167/100,M167)))</f>
        <v>0</v>
      </c>
      <c r="O167" s="31" t="str">
        <f aca="false">IF(G167="","",G167*IF(L167="",0,IF(L167&gt;1,L167/100,L167))+N167)</f>
        <v/>
      </c>
      <c r="P167" s="28"/>
      <c r="Q167" s="33" t="str">
        <f aca="false">IF(P167="","",IFERROR(VLOOKUP(P167,PARTNERS!$A$2:$B$30,2,0),""))</f>
        <v/>
      </c>
      <c r="R167" s="17" t="str">
        <f aca="false">IF(O167="","",IF(OR(P167="",Q167=""),0,(O167-N167)*IF(Q167&gt;1,Q167/100,Q167)))</f>
        <v/>
      </c>
      <c r="S167" s="31" t="str">
        <f aca="false">IF(O167="","",O167-R167)</f>
        <v/>
      </c>
      <c r="T167" s="28"/>
      <c r="U167" s="34" t="str">
        <f aca="false">IF(T167="","",IFERROR(VLOOKUP(T167,REPS!$A$2:$D$40,2,0),""))</f>
        <v/>
      </c>
      <c r="V167" s="31" t="str">
        <f aca="false">IF(O167="","",IF(U167="",0,O167*IF(U167&gt;1,U167/100,U167)))</f>
        <v/>
      </c>
      <c r="W167" s="28"/>
      <c r="X167" s="34" t="str">
        <f aca="false">IF(W167="","",IFERROR(VLOOKUP(W167,REPS!$A$2:$D$40,3,0),""))</f>
        <v/>
      </c>
      <c r="Y167" s="31" t="str">
        <f aca="false">IF(O167="","",IF(X167="",0,O167*IF(X167&gt;1,X167/100,X167)))</f>
        <v/>
      </c>
      <c r="Z167" s="28"/>
      <c r="AA167" s="34" t="str">
        <f aca="false">IF(Z167="","",IFERROR(VLOOKUP(Z167,REPS!$A$2:$D$40,4,0),""))</f>
        <v/>
      </c>
      <c r="AB167" s="31" t="str">
        <f aca="false">IF(O167="","",IF(AA167="",0,O167*IF(AA167&gt;1,AA167/100,AA167)))</f>
        <v/>
      </c>
      <c r="AC167" s="31" t="str">
        <f aca="false">IF(O167="","",V167+Y167+AB167)</f>
        <v/>
      </c>
      <c r="AD167" s="19" t="str">
        <f aca="false">IF(O167="","",O167-R167-AC167)</f>
        <v/>
      </c>
      <c r="AE167" s="20"/>
      <c r="AF167" s="27"/>
      <c r="AG167" s="21" t="n">
        <f aca="false">IF(OR(AE167="",AE167=0),0,AE167*IF(U167="",0,IF(U167&gt;1,U167/100,U167)))</f>
        <v>0</v>
      </c>
      <c r="AH167" s="21" t="n">
        <f aca="false">IF(OR(AE167="",AE167=0),0,AE167*IF(X167="",0,IF(X167&gt;1,X167/100,X167)))</f>
        <v>0</v>
      </c>
      <c r="AI167" s="21" t="n">
        <f aca="false">IF(OR(AE167="",AE167=0),0,AE167*IF(AA167="",0,IF(AA167&gt;1,AA167/100,AA167)))</f>
        <v>0</v>
      </c>
      <c r="AJ167" s="21" t="n">
        <f aca="false">AG167+AH167+AI167</f>
        <v>0</v>
      </c>
      <c r="AK167" s="21" t="n">
        <f aca="false">IF(OR(AE167="",AE167=0),0,AE167-AJ167)</f>
        <v>0</v>
      </c>
      <c r="AL167" s="19" t="str">
        <f aca="false">IF(AD167="","",AD167-AK167)</f>
        <v/>
      </c>
      <c r="AM167" s="26" t="str">
        <f aca="false">IF(C167="","","Waiting for payment")</f>
        <v/>
      </c>
      <c r="AN167" s="27"/>
      <c r="AO167" s="27"/>
      <c r="AP167" s="35" t="str">
        <f aca="false">IF(OR(C167="",I167="",K167=""),"",IF(K167="Monthly",EDATE(C167,ROUND(I167*SETTINGS!$I$8,0)),WORKDAY(C167,ROUND(I167*SETTINGS!$I$8,0))))</f>
        <v/>
      </c>
      <c r="AQ167" s="26" t="str">
        <f aca="true">IF(C167="","",IF(AND(AP167&lt;&gt;"",TODAY()&gt;=AP167),"Refi Ready",IF(TODAY()-C167&gt;=SETTINGS!$I$11,"Prospecting","Performing")))</f>
        <v/>
      </c>
      <c r="AR167" s="35" t="str">
        <f aca="false">IF(OR(C167="",I167="",K167=""),"",IF(K167="Monthly",EDATE(C167,I167),WORKDAY(C167,I167)))</f>
        <v/>
      </c>
      <c r="AS167" s="28"/>
      <c r="AT167" s="36" t="str">
        <f aca="true">IF(C167="","",IF(AM167="Clawed Back","CLAWED",IF(TODAY()&lt;=C167+SETTINGS!$I$2,"⚠ AT RISK","SAFE")))</f>
        <v/>
      </c>
      <c r="AU167" s="28"/>
      <c r="AW167" s="24" t="n">
        <f aca="false">AW166+IF(AND(C167&lt;&gt;"",AO167&lt;&gt;"",OR('REP COMMISSION'!$B$3="",T167='REP COMMISSION'!$B$3,W167='REP COMMISSION'!$B$3,Z167='REP COMMISSION'!$B$3)),1,0)</f>
        <v>0</v>
      </c>
      <c r="AX167" s="24" t="n">
        <f aca="false">AX166+IF(AND(C167&lt;&gt;"",OR(F167="LOC - INITIAL",F167="CONSOLIDATION - UPFRONT COMM",F167="REVERSE - TOTAL FUNDING")),1,0)</f>
        <v>0</v>
      </c>
    </row>
    <row r="168" customFormat="false" ht="15" hidden="false" customHeight="false" outlineLevel="0" collapsed="false">
      <c r="A168" s="8" t="str">
        <f aca="false">IF(C168&lt;&gt;"","F"&amp;COUNT($C$4:C168),"")</f>
        <v/>
      </c>
      <c r="B168" s="9" t="str">
        <f aca="false">IF(OR(F168="LOC - INITIAL",F168="CONSOLIDATION - UPFRONT COMM",F168="REVERSE - TOTAL FUNDING"),A168,"")</f>
        <v/>
      </c>
      <c r="C168" s="10"/>
      <c r="D168" s="11"/>
      <c r="E168" s="11"/>
      <c r="F168" s="11"/>
      <c r="G168" s="12"/>
      <c r="H168" s="13"/>
      <c r="I168" s="11"/>
      <c r="J168" s="14" t="str">
        <f aca="false">IF(AND(G168&lt;&gt;"",H168&lt;&gt;""),G168*H168,"")</f>
        <v/>
      </c>
      <c r="K168" s="11"/>
      <c r="L168" s="15"/>
      <c r="M168" s="15"/>
      <c r="N168" s="14" t="n">
        <f aca="false">IF(OR(G168="",M168=""),0,IF(M168&gt;100,M168,G168*IF(M168&gt;1,M168/100,M168)))</f>
        <v>0</v>
      </c>
      <c r="O168" s="14" t="str">
        <f aca="false">IF(G168="","",G168*IF(L168="",0,IF(L168&gt;1,L168/100,L168))+N168)</f>
        <v/>
      </c>
      <c r="P168" s="11"/>
      <c r="Q168" s="16" t="str">
        <f aca="false">IF(P168="","",IFERROR(VLOOKUP(P168,PARTNERS!$A$2:$B$30,2,0),""))</f>
        <v/>
      </c>
      <c r="R168" s="17" t="str">
        <f aca="false">IF(O168="","",IF(OR(P168="",Q168=""),0,(O168-N168)*IF(Q168&gt;1,Q168/100,Q168)))</f>
        <v/>
      </c>
      <c r="S168" s="14" t="str">
        <f aca="false">IF(O168="","",O168-R168)</f>
        <v/>
      </c>
      <c r="T168" s="11"/>
      <c r="U168" s="18" t="str">
        <f aca="false">IF(T168="","",IFERROR(VLOOKUP(T168,REPS!$A$2:$D$40,2,0),""))</f>
        <v/>
      </c>
      <c r="V168" s="14" t="str">
        <f aca="false">IF(O168="","",IF(U168="",0,O168*IF(U168&gt;1,U168/100,U168)))</f>
        <v/>
      </c>
      <c r="W168" s="11"/>
      <c r="X168" s="18" t="str">
        <f aca="false">IF(W168="","",IFERROR(VLOOKUP(W168,REPS!$A$2:$D$40,3,0),""))</f>
        <v/>
      </c>
      <c r="Y168" s="14" t="str">
        <f aca="false">IF(O168="","",IF(X168="",0,O168*IF(X168&gt;1,X168/100,X168)))</f>
        <v/>
      </c>
      <c r="Z168" s="11"/>
      <c r="AA168" s="18" t="str">
        <f aca="false">IF(Z168="","",IFERROR(VLOOKUP(Z168,REPS!$A$2:$D$40,4,0),""))</f>
        <v/>
      </c>
      <c r="AB168" s="14" t="str">
        <f aca="false">IF(O168="","",IF(AA168="",0,O168*IF(AA168&gt;1,AA168/100,AA168)))</f>
        <v/>
      </c>
      <c r="AC168" s="14" t="str">
        <f aca="false">IF(O168="","",V168+Y168+AB168)</f>
        <v/>
      </c>
      <c r="AD168" s="19" t="str">
        <f aca="false">IF(O168="","",O168-R168-AC168)</f>
        <v/>
      </c>
      <c r="AE168" s="20"/>
      <c r="AF168" s="10"/>
      <c r="AG168" s="21" t="n">
        <f aca="false">IF(OR(AE168="",AE168=0),0,AE168*IF(U168="",0,IF(U168&gt;1,U168/100,U168)))</f>
        <v>0</v>
      </c>
      <c r="AH168" s="21" t="n">
        <f aca="false">IF(OR(AE168="",AE168=0),0,AE168*IF(X168="",0,IF(X168&gt;1,X168/100,X168)))</f>
        <v>0</v>
      </c>
      <c r="AI168" s="21" t="n">
        <f aca="false">IF(OR(AE168="",AE168=0),0,AE168*IF(AA168="",0,IF(AA168&gt;1,AA168/100,AA168)))</f>
        <v>0</v>
      </c>
      <c r="AJ168" s="21" t="n">
        <f aca="false">AG168+AH168+AI168</f>
        <v>0</v>
      </c>
      <c r="AK168" s="21" t="n">
        <f aca="false">IF(OR(AE168="",AE168=0),0,AE168-AJ168)</f>
        <v>0</v>
      </c>
      <c r="AL168" s="19" t="str">
        <f aca="false">IF(AD168="","",AD168-AK168)</f>
        <v/>
      </c>
      <c r="AM168" s="9" t="str">
        <f aca="false">IF(C168="","","Waiting for payment")</f>
        <v/>
      </c>
      <c r="AN168" s="10"/>
      <c r="AO168" s="10"/>
      <c r="AP168" s="22" t="str">
        <f aca="false">IF(OR(C168="",I168="",K168=""),"",IF(K168="Monthly",EDATE(C168,ROUND(I168*SETTINGS!$I$8,0)),WORKDAY(C168,ROUND(I168*SETTINGS!$I$8,0))))</f>
        <v/>
      </c>
      <c r="AQ168" s="9" t="str">
        <f aca="true">IF(C168="","",IF(AND(AP168&lt;&gt;"",TODAY()&gt;=AP168),"Refi Ready",IF(TODAY()-C168&gt;=SETTINGS!$I$11,"Prospecting","Performing")))</f>
        <v/>
      </c>
      <c r="AR168" s="22" t="str">
        <f aca="false">IF(OR(C168="",I168="",K168=""),"",IF(K168="Monthly",EDATE(C168,I168),WORKDAY(C168,I168)))</f>
        <v/>
      </c>
      <c r="AS168" s="11"/>
      <c r="AT168" s="23" t="str">
        <f aca="true">IF(C168="","",IF(AM168="Clawed Back","CLAWED",IF(TODAY()&lt;=C168+SETTINGS!$I$2,"⚠ AT RISK","SAFE")))</f>
        <v/>
      </c>
      <c r="AU168" s="11"/>
      <c r="AW168" s="24" t="n">
        <f aca="false">AW167+IF(AND(C168&lt;&gt;"",AO168&lt;&gt;"",OR('REP COMMISSION'!$B$3="",T168='REP COMMISSION'!$B$3,W168='REP COMMISSION'!$B$3,Z168='REP COMMISSION'!$B$3)),1,0)</f>
        <v>0</v>
      </c>
      <c r="AX168" s="24" t="n">
        <f aca="false">AX167+IF(AND(C168&lt;&gt;"",OR(F168="LOC - INITIAL",F168="CONSOLIDATION - UPFRONT COMM",F168="REVERSE - TOTAL FUNDING")),1,0)</f>
        <v>0</v>
      </c>
    </row>
    <row r="169" customFormat="false" ht="15" hidden="false" customHeight="false" outlineLevel="0" collapsed="false">
      <c r="A169" s="25" t="str">
        <f aca="false">IF(C169&lt;&gt;"","F"&amp;COUNT($C$4:C169),"")</f>
        <v/>
      </c>
      <c r="B169" s="26" t="str">
        <f aca="false">IF(OR(F169="LOC - INITIAL",F169="CONSOLIDATION - UPFRONT COMM",F169="REVERSE - TOTAL FUNDING"),A169,"")</f>
        <v/>
      </c>
      <c r="C169" s="27"/>
      <c r="D169" s="28"/>
      <c r="E169" s="28"/>
      <c r="F169" s="28"/>
      <c r="G169" s="29"/>
      <c r="H169" s="30"/>
      <c r="I169" s="28"/>
      <c r="J169" s="31" t="str">
        <f aca="false">IF(AND(G169&lt;&gt;"",H169&lt;&gt;""),G169*H169,"")</f>
        <v/>
      </c>
      <c r="K169" s="28"/>
      <c r="L169" s="32"/>
      <c r="M169" s="32"/>
      <c r="N169" s="31" t="n">
        <f aca="false">IF(OR(G169="",M169=""),0,IF(M169&gt;100,M169,G169*IF(M169&gt;1,M169/100,M169)))</f>
        <v>0</v>
      </c>
      <c r="O169" s="31" t="str">
        <f aca="false">IF(G169="","",G169*IF(L169="",0,IF(L169&gt;1,L169/100,L169))+N169)</f>
        <v/>
      </c>
      <c r="P169" s="28"/>
      <c r="Q169" s="33" t="str">
        <f aca="false">IF(P169="","",IFERROR(VLOOKUP(P169,PARTNERS!$A$2:$B$30,2,0),""))</f>
        <v/>
      </c>
      <c r="R169" s="17" t="str">
        <f aca="false">IF(O169="","",IF(OR(P169="",Q169=""),0,(O169-N169)*IF(Q169&gt;1,Q169/100,Q169)))</f>
        <v/>
      </c>
      <c r="S169" s="31" t="str">
        <f aca="false">IF(O169="","",O169-R169)</f>
        <v/>
      </c>
      <c r="T169" s="28"/>
      <c r="U169" s="34" t="str">
        <f aca="false">IF(T169="","",IFERROR(VLOOKUP(T169,REPS!$A$2:$D$40,2,0),""))</f>
        <v/>
      </c>
      <c r="V169" s="31" t="str">
        <f aca="false">IF(O169="","",IF(U169="",0,O169*IF(U169&gt;1,U169/100,U169)))</f>
        <v/>
      </c>
      <c r="W169" s="28"/>
      <c r="X169" s="34" t="str">
        <f aca="false">IF(W169="","",IFERROR(VLOOKUP(W169,REPS!$A$2:$D$40,3,0),""))</f>
        <v/>
      </c>
      <c r="Y169" s="31" t="str">
        <f aca="false">IF(O169="","",IF(X169="",0,O169*IF(X169&gt;1,X169/100,X169)))</f>
        <v/>
      </c>
      <c r="Z169" s="28"/>
      <c r="AA169" s="34" t="str">
        <f aca="false">IF(Z169="","",IFERROR(VLOOKUP(Z169,REPS!$A$2:$D$40,4,0),""))</f>
        <v/>
      </c>
      <c r="AB169" s="31" t="str">
        <f aca="false">IF(O169="","",IF(AA169="",0,O169*IF(AA169&gt;1,AA169/100,AA169)))</f>
        <v/>
      </c>
      <c r="AC169" s="31" t="str">
        <f aca="false">IF(O169="","",V169+Y169+AB169)</f>
        <v/>
      </c>
      <c r="AD169" s="19" t="str">
        <f aca="false">IF(O169="","",O169-R169-AC169)</f>
        <v/>
      </c>
      <c r="AE169" s="20"/>
      <c r="AF169" s="27"/>
      <c r="AG169" s="21" t="n">
        <f aca="false">IF(OR(AE169="",AE169=0),0,AE169*IF(U169="",0,IF(U169&gt;1,U169/100,U169)))</f>
        <v>0</v>
      </c>
      <c r="AH169" s="21" t="n">
        <f aca="false">IF(OR(AE169="",AE169=0),0,AE169*IF(X169="",0,IF(X169&gt;1,X169/100,X169)))</f>
        <v>0</v>
      </c>
      <c r="AI169" s="21" t="n">
        <f aca="false">IF(OR(AE169="",AE169=0),0,AE169*IF(AA169="",0,IF(AA169&gt;1,AA169/100,AA169)))</f>
        <v>0</v>
      </c>
      <c r="AJ169" s="21" t="n">
        <f aca="false">AG169+AH169+AI169</f>
        <v>0</v>
      </c>
      <c r="AK169" s="21" t="n">
        <f aca="false">IF(OR(AE169="",AE169=0),0,AE169-AJ169)</f>
        <v>0</v>
      </c>
      <c r="AL169" s="19" t="str">
        <f aca="false">IF(AD169="","",AD169-AK169)</f>
        <v/>
      </c>
      <c r="AM169" s="26" t="str">
        <f aca="false">IF(C169="","","Waiting for payment")</f>
        <v/>
      </c>
      <c r="AN169" s="27"/>
      <c r="AO169" s="27"/>
      <c r="AP169" s="35" t="str">
        <f aca="false">IF(OR(C169="",I169="",K169=""),"",IF(K169="Monthly",EDATE(C169,ROUND(I169*SETTINGS!$I$8,0)),WORKDAY(C169,ROUND(I169*SETTINGS!$I$8,0))))</f>
        <v/>
      </c>
      <c r="AQ169" s="26" t="str">
        <f aca="true">IF(C169="","",IF(AND(AP169&lt;&gt;"",TODAY()&gt;=AP169),"Refi Ready",IF(TODAY()-C169&gt;=SETTINGS!$I$11,"Prospecting","Performing")))</f>
        <v/>
      </c>
      <c r="AR169" s="35" t="str">
        <f aca="false">IF(OR(C169="",I169="",K169=""),"",IF(K169="Monthly",EDATE(C169,I169),WORKDAY(C169,I169)))</f>
        <v/>
      </c>
      <c r="AS169" s="28"/>
      <c r="AT169" s="36" t="str">
        <f aca="true">IF(C169="","",IF(AM169="Clawed Back","CLAWED",IF(TODAY()&lt;=C169+SETTINGS!$I$2,"⚠ AT RISK","SAFE")))</f>
        <v/>
      </c>
      <c r="AU169" s="28"/>
      <c r="AW169" s="24" t="n">
        <f aca="false">AW168+IF(AND(C169&lt;&gt;"",AO169&lt;&gt;"",OR('REP COMMISSION'!$B$3="",T169='REP COMMISSION'!$B$3,W169='REP COMMISSION'!$B$3,Z169='REP COMMISSION'!$B$3)),1,0)</f>
        <v>0</v>
      </c>
      <c r="AX169" s="24" t="n">
        <f aca="false">AX168+IF(AND(C169&lt;&gt;"",OR(F169="LOC - INITIAL",F169="CONSOLIDATION - UPFRONT COMM",F169="REVERSE - TOTAL FUNDING")),1,0)</f>
        <v>0</v>
      </c>
    </row>
    <row r="170" customFormat="false" ht="15" hidden="false" customHeight="false" outlineLevel="0" collapsed="false">
      <c r="A170" s="8" t="str">
        <f aca="false">IF(C170&lt;&gt;"","F"&amp;COUNT($C$4:C170),"")</f>
        <v/>
      </c>
      <c r="B170" s="9" t="str">
        <f aca="false">IF(OR(F170="LOC - INITIAL",F170="CONSOLIDATION - UPFRONT COMM",F170="REVERSE - TOTAL FUNDING"),A170,"")</f>
        <v/>
      </c>
      <c r="C170" s="10"/>
      <c r="D170" s="11"/>
      <c r="E170" s="11"/>
      <c r="F170" s="11"/>
      <c r="G170" s="12"/>
      <c r="H170" s="13"/>
      <c r="I170" s="11"/>
      <c r="J170" s="14" t="str">
        <f aca="false">IF(AND(G170&lt;&gt;"",H170&lt;&gt;""),G170*H170,"")</f>
        <v/>
      </c>
      <c r="K170" s="11"/>
      <c r="L170" s="15"/>
      <c r="M170" s="15"/>
      <c r="N170" s="14" t="n">
        <f aca="false">IF(OR(G170="",M170=""),0,IF(M170&gt;100,M170,G170*IF(M170&gt;1,M170/100,M170)))</f>
        <v>0</v>
      </c>
      <c r="O170" s="14" t="str">
        <f aca="false">IF(G170="","",G170*IF(L170="",0,IF(L170&gt;1,L170/100,L170))+N170)</f>
        <v/>
      </c>
      <c r="P170" s="11"/>
      <c r="Q170" s="16" t="str">
        <f aca="false">IF(P170="","",IFERROR(VLOOKUP(P170,PARTNERS!$A$2:$B$30,2,0),""))</f>
        <v/>
      </c>
      <c r="R170" s="17" t="str">
        <f aca="false">IF(O170="","",IF(OR(P170="",Q170=""),0,(O170-N170)*IF(Q170&gt;1,Q170/100,Q170)))</f>
        <v/>
      </c>
      <c r="S170" s="14" t="str">
        <f aca="false">IF(O170="","",O170-R170)</f>
        <v/>
      </c>
      <c r="T170" s="11"/>
      <c r="U170" s="18" t="str">
        <f aca="false">IF(T170="","",IFERROR(VLOOKUP(T170,REPS!$A$2:$D$40,2,0),""))</f>
        <v/>
      </c>
      <c r="V170" s="14" t="str">
        <f aca="false">IF(O170="","",IF(U170="",0,O170*IF(U170&gt;1,U170/100,U170)))</f>
        <v/>
      </c>
      <c r="W170" s="11"/>
      <c r="X170" s="18" t="str">
        <f aca="false">IF(W170="","",IFERROR(VLOOKUP(W170,REPS!$A$2:$D$40,3,0),""))</f>
        <v/>
      </c>
      <c r="Y170" s="14" t="str">
        <f aca="false">IF(O170="","",IF(X170="",0,O170*IF(X170&gt;1,X170/100,X170)))</f>
        <v/>
      </c>
      <c r="Z170" s="11"/>
      <c r="AA170" s="18" t="str">
        <f aca="false">IF(Z170="","",IFERROR(VLOOKUP(Z170,REPS!$A$2:$D$40,4,0),""))</f>
        <v/>
      </c>
      <c r="AB170" s="14" t="str">
        <f aca="false">IF(O170="","",IF(AA170="",0,O170*IF(AA170&gt;1,AA170/100,AA170)))</f>
        <v/>
      </c>
      <c r="AC170" s="14" t="str">
        <f aca="false">IF(O170="","",V170+Y170+AB170)</f>
        <v/>
      </c>
      <c r="AD170" s="19" t="str">
        <f aca="false">IF(O170="","",O170-R170-AC170)</f>
        <v/>
      </c>
      <c r="AE170" s="20"/>
      <c r="AF170" s="10"/>
      <c r="AG170" s="21" t="n">
        <f aca="false">IF(OR(AE170="",AE170=0),0,AE170*IF(U170="",0,IF(U170&gt;1,U170/100,U170)))</f>
        <v>0</v>
      </c>
      <c r="AH170" s="21" t="n">
        <f aca="false">IF(OR(AE170="",AE170=0),0,AE170*IF(X170="",0,IF(X170&gt;1,X170/100,X170)))</f>
        <v>0</v>
      </c>
      <c r="AI170" s="21" t="n">
        <f aca="false">IF(OR(AE170="",AE170=0),0,AE170*IF(AA170="",0,IF(AA170&gt;1,AA170/100,AA170)))</f>
        <v>0</v>
      </c>
      <c r="AJ170" s="21" t="n">
        <f aca="false">AG170+AH170+AI170</f>
        <v>0</v>
      </c>
      <c r="AK170" s="21" t="n">
        <f aca="false">IF(OR(AE170="",AE170=0),0,AE170-AJ170)</f>
        <v>0</v>
      </c>
      <c r="AL170" s="19" t="str">
        <f aca="false">IF(AD170="","",AD170-AK170)</f>
        <v/>
      </c>
      <c r="AM170" s="9" t="str">
        <f aca="false">IF(C170="","","Waiting for payment")</f>
        <v/>
      </c>
      <c r="AN170" s="10"/>
      <c r="AO170" s="10"/>
      <c r="AP170" s="22" t="str">
        <f aca="false">IF(OR(C170="",I170="",K170=""),"",IF(K170="Monthly",EDATE(C170,ROUND(I170*SETTINGS!$I$8,0)),WORKDAY(C170,ROUND(I170*SETTINGS!$I$8,0))))</f>
        <v/>
      </c>
      <c r="AQ170" s="9" t="str">
        <f aca="true">IF(C170="","",IF(AND(AP170&lt;&gt;"",TODAY()&gt;=AP170),"Refi Ready",IF(TODAY()-C170&gt;=SETTINGS!$I$11,"Prospecting","Performing")))</f>
        <v/>
      </c>
      <c r="AR170" s="22" t="str">
        <f aca="false">IF(OR(C170="",I170="",K170=""),"",IF(K170="Monthly",EDATE(C170,I170),WORKDAY(C170,I170)))</f>
        <v/>
      </c>
      <c r="AS170" s="11"/>
      <c r="AT170" s="23" t="str">
        <f aca="true">IF(C170="","",IF(AM170="Clawed Back","CLAWED",IF(TODAY()&lt;=C170+SETTINGS!$I$2,"⚠ AT RISK","SAFE")))</f>
        <v/>
      </c>
      <c r="AU170" s="11"/>
      <c r="AW170" s="24" t="n">
        <f aca="false">AW169+IF(AND(C170&lt;&gt;"",AO170&lt;&gt;"",OR('REP COMMISSION'!$B$3="",T170='REP COMMISSION'!$B$3,W170='REP COMMISSION'!$B$3,Z170='REP COMMISSION'!$B$3)),1,0)</f>
        <v>0</v>
      </c>
      <c r="AX170" s="24" t="n">
        <f aca="false">AX169+IF(AND(C170&lt;&gt;"",OR(F170="LOC - INITIAL",F170="CONSOLIDATION - UPFRONT COMM",F170="REVERSE - TOTAL FUNDING")),1,0)</f>
        <v>0</v>
      </c>
    </row>
    <row r="171" customFormat="false" ht="15" hidden="false" customHeight="false" outlineLevel="0" collapsed="false">
      <c r="A171" s="25" t="str">
        <f aca="false">IF(C171&lt;&gt;"","F"&amp;COUNT($C$4:C171),"")</f>
        <v/>
      </c>
      <c r="B171" s="26" t="str">
        <f aca="false">IF(OR(F171="LOC - INITIAL",F171="CONSOLIDATION - UPFRONT COMM",F171="REVERSE - TOTAL FUNDING"),A171,"")</f>
        <v/>
      </c>
      <c r="C171" s="27"/>
      <c r="D171" s="28"/>
      <c r="E171" s="28"/>
      <c r="F171" s="28"/>
      <c r="G171" s="29"/>
      <c r="H171" s="30"/>
      <c r="I171" s="28"/>
      <c r="J171" s="31" t="str">
        <f aca="false">IF(AND(G171&lt;&gt;"",H171&lt;&gt;""),G171*H171,"")</f>
        <v/>
      </c>
      <c r="K171" s="28"/>
      <c r="L171" s="32"/>
      <c r="M171" s="32"/>
      <c r="N171" s="31" t="n">
        <f aca="false">IF(OR(G171="",M171=""),0,IF(M171&gt;100,M171,G171*IF(M171&gt;1,M171/100,M171)))</f>
        <v>0</v>
      </c>
      <c r="O171" s="31" t="str">
        <f aca="false">IF(G171="","",G171*IF(L171="",0,IF(L171&gt;1,L171/100,L171))+N171)</f>
        <v/>
      </c>
      <c r="P171" s="28"/>
      <c r="Q171" s="33" t="str">
        <f aca="false">IF(P171="","",IFERROR(VLOOKUP(P171,PARTNERS!$A$2:$B$30,2,0),""))</f>
        <v/>
      </c>
      <c r="R171" s="17" t="str">
        <f aca="false">IF(O171="","",IF(OR(P171="",Q171=""),0,(O171-N171)*IF(Q171&gt;1,Q171/100,Q171)))</f>
        <v/>
      </c>
      <c r="S171" s="31" t="str">
        <f aca="false">IF(O171="","",O171-R171)</f>
        <v/>
      </c>
      <c r="T171" s="28"/>
      <c r="U171" s="34" t="str">
        <f aca="false">IF(T171="","",IFERROR(VLOOKUP(T171,REPS!$A$2:$D$40,2,0),""))</f>
        <v/>
      </c>
      <c r="V171" s="31" t="str">
        <f aca="false">IF(O171="","",IF(U171="",0,O171*IF(U171&gt;1,U171/100,U171)))</f>
        <v/>
      </c>
      <c r="W171" s="28"/>
      <c r="X171" s="34" t="str">
        <f aca="false">IF(W171="","",IFERROR(VLOOKUP(W171,REPS!$A$2:$D$40,3,0),""))</f>
        <v/>
      </c>
      <c r="Y171" s="31" t="str">
        <f aca="false">IF(O171="","",IF(X171="",0,O171*IF(X171&gt;1,X171/100,X171)))</f>
        <v/>
      </c>
      <c r="Z171" s="28"/>
      <c r="AA171" s="34" t="str">
        <f aca="false">IF(Z171="","",IFERROR(VLOOKUP(Z171,REPS!$A$2:$D$40,4,0),""))</f>
        <v/>
      </c>
      <c r="AB171" s="31" t="str">
        <f aca="false">IF(O171="","",IF(AA171="",0,O171*IF(AA171&gt;1,AA171/100,AA171)))</f>
        <v/>
      </c>
      <c r="AC171" s="31" t="str">
        <f aca="false">IF(O171="","",V171+Y171+AB171)</f>
        <v/>
      </c>
      <c r="AD171" s="19" t="str">
        <f aca="false">IF(O171="","",O171-R171-AC171)</f>
        <v/>
      </c>
      <c r="AE171" s="20"/>
      <c r="AF171" s="27"/>
      <c r="AG171" s="21" t="n">
        <f aca="false">IF(OR(AE171="",AE171=0),0,AE171*IF(U171="",0,IF(U171&gt;1,U171/100,U171)))</f>
        <v>0</v>
      </c>
      <c r="AH171" s="21" t="n">
        <f aca="false">IF(OR(AE171="",AE171=0),0,AE171*IF(X171="",0,IF(X171&gt;1,X171/100,X171)))</f>
        <v>0</v>
      </c>
      <c r="AI171" s="21" t="n">
        <f aca="false">IF(OR(AE171="",AE171=0),0,AE171*IF(AA171="",0,IF(AA171&gt;1,AA171/100,AA171)))</f>
        <v>0</v>
      </c>
      <c r="AJ171" s="21" t="n">
        <f aca="false">AG171+AH171+AI171</f>
        <v>0</v>
      </c>
      <c r="AK171" s="21" t="n">
        <f aca="false">IF(OR(AE171="",AE171=0),0,AE171-AJ171)</f>
        <v>0</v>
      </c>
      <c r="AL171" s="19" t="str">
        <f aca="false">IF(AD171="","",AD171-AK171)</f>
        <v/>
      </c>
      <c r="AM171" s="26" t="str">
        <f aca="false">IF(C171="","","Waiting for payment")</f>
        <v/>
      </c>
      <c r="AN171" s="27"/>
      <c r="AO171" s="27"/>
      <c r="AP171" s="35" t="str">
        <f aca="false">IF(OR(C171="",I171="",K171=""),"",IF(K171="Monthly",EDATE(C171,ROUND(I171*SETTINGS!$I$8,0)),WORKDAY(C171,ROUND(I171*SETTINGS!$I$8,0))))</f>
        <v/>
      </c>
      <c r="AQ171" s="26" t="str">
        <f aca="true">IF(C171="","",IF(AND(AP171&lt;&gt;"",TODAY()&gt;=AP171),"Refi Ready",IF(TODAY()-C171&gt;=SETTINGS!$I$11,"Prospecting","Performing")))</f>
        <v/>
      </c>
      <c r="AR171" s="35" t="str">
        <f aca="false">IF(OR(C171="",I171="",K171=""),"",IF(K171="Monthly",EDATE(C171,I171),WORKDAY(C171,I171)))</f>
        <v/>
      </c>
      <c r="AS171" s="28"/>
      <c r="AT171" s="36" t="str">
        <f aca="true">IF(C171="","",IF(AM171="Clawed Back","CLAWED",IF(TODAY()&lt;=C171+SETTINGS!$I$2,"⚠ AT RISK","SAFE")))</f>
        <v/>
      </c>
      <c r="AU171" s="28"/>
      <c r="AW171" s="24" t="n">
        <f aca="false">AW170+IF(AND(C171&lt;&gt;"",AO171&lt;&gt;"",OR('REP COMMISSION'!$B$3="",T171='REP COMMISSION'!$B$3,W171='REP COMMISSION'!$B$3,Z171='REP COMMISSION'!$B$3)),1,0)</f>
        <v>0</v>
      </c>
      <c r="AX171" s="24" t="n">
        <f aca="false">AX170+IF(AND(C171&lt;&gt;"",OR(F171="LOC - INITIAL",F171="CONSOLIDATION - UPFRONT COMM",F171="REVERSE - TOTAL FUNDING")),1,0)</f>
        <v>0</v>
      </c>
    </row>
    <row r="172" customFormat="false" ht="15" hidden="false" customHeight="false" outlineLevel="0" collapsed="false">
      <c r="A172" s="8" t="str">
        <f aca="false">IF(C172&lt;&gt;"","F"&amp;COUNT($C$4:C172),"")</f>
        <v/>
      </c>
      <c r="B172" s="9" t="str">
        <f aca="false">IF(OR(F172="LOC - INITIAL",F172="CONSOLIDATION - UPFRONT COMM",F172="REVERSE - TOTAL FUNDING"),A172,"")</f>
        <v/>
      </c>
      <c r="C172" s="10"/>
      <c r="D172" s="11"/>
      <c r="E172" s="11"/>
      <c r="F172" s="11"/>
      <c r="G172" s="12"/>
      <c r="H172" s="13"/>
      <c r="I172" s="11"/>
      <c r="J172" s="14" t="str">
        <f aca="false">IF(AND(G172&lt;&gt;"",H172&lt;&gt;""),G172*H172,"")</f>
        <v/>
      </c>
      <c r="K172" s="11"/>
      <c r="L172" s="15"/>
      <c r="M172" s="15"/>
      <c r="N172" s="14" t="n">
        <f aca="false">IF(OR(G172="",M172=""),0,IF(M172&gt;100,M172,G172*IF(M172&gt;1,M172/100,M172)))</f>
        <v>0</v>
      </c>
      <c r="O172" s="14" t="str">
        <f aca="false">IF(G172="","",G172*IF(L172="",0,IF(L172&gt;1,L172/100,L172))+N172)</f>
        <v/>
      </c>
      <c r="P172" s="11"/>
      <c r="Q172" s="16" t="str">
        <f aca="false">IF(P172="","",IFERROR(VLOOKUP(P172,PARTNERS!$A$2:$B$30,2,0),""))</f>
        <v/>
      </c>
      <c r="R172" s="17" t="str">
        <f aca="false">IF(O172="","",IF(OR(P172="",Q172=""),0,(O172-N172)*IF(Q172&gt;1,Q172/100,Q172)))</f>
        <v/>
      </c>
      <c r="S172" s="14" t="str">
        <f aca="false">IF(O172="","",O172-R172)</f>
        <v/>
      </c>
      <c r="T172" s="11"/>
      <c r="U172" s="18" t="str">
        <f aca="false">IF(T172="","",IFERROR(VLOOKUP(T172,REPS!$A$2:$D$40,2,0),""))</f>
        <v/>
      </c>
      <c r="V172" s="14" t="str">
        <f aca="false">IF(O172="","",IF(U172="",0,O172*IF(U172&gt;1,U172/100,U172)))</f>
        <v/>
      </c>
      <c r="W172" s="11"/>
      <c r="X172" s="18" t="str">
        <f aca="false">IF(W172="","",IFERROR(VLOOKUP(W172,REPS!$A$2:$D$40,3,0),""))</f>
        <v/>
      </c>
      <c r="Y172" s="14" t="str">
        <f aca="false">IF(O172="","",IF(X172="",0,O172*IF(X172&gt;1,X172/100,X172)))</f>
        <v/>
      </c>
      <c r="Z172" s="11"/>
      <c r="AA172" s="18" t="str">
        <f aca="false">IF(Z172="","",IFERROR(VLOOKUP(Z172,REPS!$A$2:$D$40,4,0),""))</f>
        <v/>
      </c>
      <c r="AB172" s="14" t="str">
        <f aca="false">IF(O172="","",IF(AA172="",0,O172*IF(AA172&gt;1,AA172/100,AA172)))</f>
        <v/>
      </c>
      <c r="AC172" s="14" t="str">
        <f aca="false">IF(O172="","",V172+Y172+AB172)</f>
        <v/>
      </c>
      <c r="AD172" s="19" t="str">
        <f aca="false">IF(O172="","",O172-R172-AC172)</f>
        <v/>
      </c>
      <c r="AE172" s="20"/>
      <c r="AF172" s="10"/>
      <c r="AG172" s="21" t="n">
        <f aca="false">IF(OR(AE172="",AE172=0),0,AE172*IF(U172="",0,IF(U172&gt;1,U172/100,U172)))</f>
        <v>0</v>
      </c>
      <c r="AH172" s="21" t="n">
        <f aca="false">IF(OR(AE172="",AE172=0),0,AE172*IF(X172="",0,IF(X172&gt;1,X172/100,X172)))</f>
        <v>0</v>
      </c>
      <c r="AI172" s="21" t="n">
        <f aca="false">IF(OR(AE172="",AE172=0),0,AE172*IF(AA172="",0,IF(AA172&gt;1,AA172/100,AA172)))</f>
        <v>0</v>
      </c>
      <c r="AJ172" s="21" t="n">
        <f aca="false">AG172+AH172+AI172</f>
        <v>0</v>
      </c>
      <c r="AK172" s="21" t="n">
        <f aca="false">IF(OR(AE172="",AE172=0),0,AE172-AJ172)</f>
        <v>0</v>
      </c>
      <c r="AL172" s="19" t="str">
        <f aca="false">IF(AD172="","",AD172-AK172)</f>
        <v/>
      </c>
      <c r="AM172" s="9" t="str">
        <f aca="false">IF(C172="","","Waiting for payment")</f>
        <v/>
      </c>
      <c r="AN172" s="10"/>
      <c r="AO172" s="10"/>
      <c r="AP172" s="22" t="str">
        <f aca="false">IF(OR(C172="",I172="",K172=""),"",IF(K172="Monthly",EDATE(C172,ROUND(I172*SETTINGS!$I$8,0)),WORKDAY(C172,ROUND(I172*SETTINGS!$I$8,0))))</f>
        <v/>
      </c>
      <c r="AQ172" s="9" t="str">
        <f aca="true">IF(C172="","",IF(AND(AP172&lt;&gt;"",TODAY()&gt;=AP172),"Refi Ready",IF(TODAY()-C172&gt;=SETTINGS!$I$11,"Prospecting","Performing")))</f>
        <v/>
      </c>
      <c r="AR172" s="22" t="str">
        <f aca="false">IF(OR(C172="",I172="",K172=""),"",IF(K172="Monthly",EDATE(C172,I172),WORKDAY(C172,I172)))</f>
        <v/>
      </c>
      <c r="AS172" s="11"/>
      <c r="AT172" s="23" t="str">
        <f aca="true">IF(C172="","",IF(AM172="Clawed Back","CLAWED",IF(TODAY()&lt;=C172+SETTINGS!$I$2,"⚠ AT RISK","SAFE")))</f>
        <v/>
      </c>
      <c r="AU172" s="11"/>
      <c r="AW172" s="24" t="n">
        <f aca="false">AW171+IF(AND(C172&lt;&gt;"",AO172&lt;&gt;"",OR('REP COMMISSION'!$B$3="",T172='REP COMMISSION'!$B$3,W172='REP COMMISSION'!$B$3,Z172='REP COMMISSION'!$B$3)),1,0)</f>
        <v>0</v>
      </c>
      <c r="AX172" s="24" t="n">
        <f aca="false">AX171+IF(AND(C172&lt;&gt;"",OR(F172="LOC - INITIAL",F172="CONSOLIDATION - UPFRONT COMM",F172="REVERSE - TOTAL FUNDING")),1,0)</f>
        <v>0</v>
      </c>
    </row>
    <row r="173" customFormat="false" ht="15" hidden="false" customHeight="false" outlineLevel="0" collapsed="false">
      <c r="A173" s="25" t="str">
        <f aca="false">IF(C173&lt;&gt;"","F"&amp;COUNT($C$4:C173),"")</f>
        <v/>
      </c>
      <c r="B173" s="26" t="str">
        <f aca="false">IF(OR(F173="LOC - INITIAL",F173="CONSOLIDATION - UPFRONT COMM",F173="REVERSE - TOTAL FUNDING"),A173,"")</f>
        <v/>
      </c>
      <c r="C173" s="27"/>
      <c r="D173" s="28"/>
      <c r="E173" s="28"/>
      <c r="F173" s="28"/>
      <c r="G173" s="29"/>
      <c r="H173" s="30"/>
      <c r="I173" s="28"/>
      <c r="J173" s="31" t="str">
        <f aca="false">IF(AND(G173&lt;&gt;"",H173&lt;&gt;""),G173*H173,"")</f>
        <v/>
      </c>
      <c r="K173" s="28"/>
      <c r="L173" s="32"/>
      <c r="M173" s="32"/>
      <c r="N173" s="31" t="n">
        <f aca="false">IF(OR(G173="",M173=""),0,IF(M173&gt;100,M173,G173*IF(M173&gt;1,M173/100,M173)))</f>
        <v>0</v>
      </c>
      <c r="O173" s="31" t="str">
        <f aca="false">IF(G173="","",G173*IF(L173="",0,IF(L173&gt;1,L173/100,L173))+N173)</f>
        <v/>
      </c>
      <c r="P173" s="28"/>
      <c r="Q173" s="33" t="str">
        <f aca="false">IF(P173="","",IFERROR(VLOOKUP(P173,PARTNERS!$A$2:$B$30,2,0),""))</f>
        <v/>
      </c>
      <c r="R173" s="17" t="str">
        <f aca="false">IF(O173="","",IF(OR(P173="",Q173=""),0,(O173-N173)*IF(Q173&gt;1,Q173/100,Q173)))</f>
        <v/>
      </c>
      <c r="S173" s="31" t="str">
        <f aca="false">IF(O173="","",O173-R173)</f>
        <v/>
      </c>
      <c r="T173" s="28"/>
      <c r="U173" s="34" t="str">
        <f aca="false">IF(T173="","",IFERROR(VLOOKUP(T173,REPS!$A$2:$D$40,2,0),""))</f>
        <v/>
      </c>
      <c r="V173" s="31" t="str">
        <f aca="false">IF(O173="","",IF(U173="",0,O173*IF(U173&gt;1,U173/100,U173)))</f>
        <v/>
      </c>
      <c r="W173" s="28"/>
      <c r="X173" s="34" t="str">
        <f aca="false">IF(W173="","",IFERROR(VLOOKUP(W173,REPS!$A$2:$D$40,3,0),""))</f>
        <v/>
      </c>
      <c r="Y173" s="31" t="str">
        <f aca="false">IF(O173="","",IF(X173="",0,O173*IF(X173&gt;1,X173/100,X173)))</f>
        <v/>
      </c>
      <c r="Z173" s="28"/>
      <c r="AA173" s="34" t="str">
        <f aca="false">IF(Z173="","",IFERROR(VLOOKUP(Z173,REPS!$A$2:$D$40,4,0),""))</f>
        <v/>
      </c>
      <c r="AB173" s="31" t="str">
        <f aca="false">IF(O173="","",IF(AA173="",0,O173*IF(AA173&gt;1,AA173/100,AA173)))</f>
        <v/>
      </c>
      <c r="AC173" s="31" t="str">
        <f aca="false">IF(O173="","",V173+Y173+AB173)</f>
        <v/>
      </c>
      <c r="AD173" s="19" t="str">
        <f aca="false">IF(O173="","",O173-R173-AC173)</f>
        <v/>
      </c>
      <c r="AE173" s="20"/>
      <c r="AF173" s="27"/>
      <c r="AG173" s="21" t="n">
        <f aca="false">IF(OR(AE173="",AE173=0),0,AE173*IF(U173="",0,IF(U173&gt;1,U173/100,U173)))</f>
        <v>0</v>
      </c>
      <c r="AH173" s="21" t="n">
        <f aca="false">IF(OR(AE173="",AE173=0),0,AE173*IF(X173="",0,IF(X173&gt;1,X173/100,X173)))</f>
        <v>0</v>
      </c>
      <c r="AI173" s="21" t="n">
        <f aca="false">IF(OR(AE173="",AE173=0),0,AE173*IF(AA173="",0,IF(AA173&gt;1,AA173/100,AA173)))</f>
        <v>0</v>
      </c>
      <c r="AJ173" s="21" t="n">
        <f aca="false">AG173+AH173+AI173</f>
        <v>0</v>
      </c>
      <c r="AK173" s="21" t="n">
        <f aca="false">IF(OR(AE173="",AE173=0),0,AE173-AJ173)</f>
        <v>0</v>
      </c>
      <c r="AL173" s="19" t="str">
        <f aca="false">IF(AD173="","",AD173-AK173)</f>
        <v/>
      </c>
      <c r="AM173" s="26" t="str">
        <f aca="false">IF(C173="","","Waiting for payment")</f>
        <v/>
      </c>
      <c r="AN173" s="27"/>
      <c r="AO173" s="27"/>
      <c r="AP173" s="35" t="str">
        <f aca="false">IF(OR(C173="",I173="",K173=""),"",IF(K173="Monthly",EDATE(C173,ROUND(I173*SETTINGS!$I$8,0)),WORKDAY(C173,ROUND(I173*SETTINGS!$I$8,0))))</f>
        <v/>
      </c>
      <c r="AQ173" s="26" t="str">
        <f aca="true">IF(C173="","",IF(AND(AP173&lt;&gt;"",TODAY()&gt;=AP173),"Refi Ready",IF(TODAY()-C173&gt;=SETTINGS!$I$11,"Prospecting","Performing")))</f>
        <v/>
      </c>
      <c r="AR173" s="35" t="str">
        <f aca="false">IF(OR(C173="",I173="",K173=""),"",IF(K173="Monthly",EDATE(C173,I173),WORKDAY(C173,I173)))</f>
        <v/>
      </c>
      <c r="AS173" s="28"/>
      <c r="AT173" s="36" t="str">
        <f aca="true">IF(C173="","",IF(AM173="Clawed Back","CLAWED",IF(TODAY()&lt;=C173+SETTINGS!$I$2,"⚠ AT RISK","SAFE")))</f>
        <v/>
      </c>
      <c r="AU173" s="28"/>
      <c r="AW173" s="24" t="n">
        <f aca="false">AW172+IF(AND(C173&lt;&gt;"",AO173&lt;&gt;"",OR('REP COMMISSION'!$B$3="",T173='REP COMMISSION'!$B$3,W173='REP COMMISSION'!$B$3,Z173='REP COMMISSION'!$B$3)),1,0)</f>
        <v>0</v>
      </c>
      <c r="AX173" s="24" t="n">
        <f aca="false">AX172+IF(AND(C173&lt;&gt;"",OR(F173="LOC - INITIAL",F173="CONSOLIDATION - UPFRONT COMM",F173="REVERSE - TOTAL FUNDING")),1,0)</f>
        <v>0</v>
      </c>
    </row>
    <row r="174" customFormat="false" ht="15" hidden="false" customHeight="false" outlineLevel="0" collapsed="false">
      <c r="A174" s="8" t="str">
        <f aca="false">IF(C174&lt;&gt;"","F"&amp;COUNT($C$4:C174),"")</f>
        <v/>
      </c>
      <c r="B174" s="9" t="str">
        <f aca="false">IF(OR(F174="LOC - INITIAL",F174="CONSOLIDATION - UPFRONT COMM",F174="REVERSE - TOTAL FUNDING"),A174,"")</f>
        <v/>
      </c>
      <c r="C174" s="10"/>
      <c r="D174" s="11"/>
      <c r="E174" s="11"/>
      <c r="F174" s="11"/>
      <c r="G174" s="12"/>
      <c r="H174" s="13"/>
      <c r="I174" s="11"/>
      <c r="J174" s="14" t="str">
        <f aca="false">IF(AND(G174&lt;&gt;"",H174&lt;&gt;""),G174*H174,"")</f>
        <v/>
      </c>
      <c r="K174" s="11"/>
      <c r="L174" s="15"/>
      <c r="M174" s="15"/>
      <c r="N174" s="14" t="n">
        <f aca="false">IF(OR(G174="",M174=""),0,IF(M174&gt;100,M174,G174*IF(M174&gt;1,M174/100,M174)))</f>
        <v>0</v>
      </c>
      <c r="O174" s="14" t="str">
        <f aca="false">IF(G174="","",G174*IF(L174="",0,IF(L174&gt;1,L174/100,L174))+N174)</f>
        <v/>
      </c>
      <c r="P174" s="11"/>
      <c r="Q174" s="16" t="str">
        <f aca="false">IF(P174="","",IFERROR(VLOOKUP(P174,PARTNERS!$A$2:$B$30,2,0),""))</f>
        <v/>
      </c>
      <c r="R174" s="17" t="str">
        <f aca="false">IF(O174="","",IF(OR(P174="",Q174=""),0,(O174-N174)*IF(Q174&gt;1,Q174/100,Q174)))</f>
        <v/>
      </c>
      <c r="S174" s="14" t="str">
        <f aca="false">IF(O174="","",O174-R174)</f>
        <v/>
      </c>
      <c r="T174" s="11"/>
      <c r="U174" s="18" t="str">
        <f aca="false">IF(T174="","",IFERROR(VLOOKUP(T174,REPS!$A$2:$D$40,2,0),""))</f>
        <v/>
      </c>
      <c r="V174" s="14" t="str">
        <f aca="false">IF(O174="","",IF(U174="",0,O174*IF(U174&gt;1,U174/100,U174)))</f>
        <v/>
      </c>
      <c r="W174" s="11"/>
      <c r="X174" s="18" t="str">
        <f aca="false">IF(W174="","",IFERROR(VLOOKUP(W174,REPS!$A$2:$D$40,3,0),""))</f>
        <v/>
      </c>
      <c r="Y174" s="14" t="str">
        <f aca="false">IF(O174="","",IF(X174="",0,O174*IF(X174&gt;1,X174/100,X174)))</f>
        <v/>
      </c>
      <c r="Z174" s="11"/>
      <c r="AA174" s="18" t="str">
        <f aca="false">IF(Z174="","",IFERROR(VLOOKUP(Z174,REPS!$A$2:$D$40,4,0),""))</f>
        <v/>
      </c>
      <c r="AB174" s="14" t="str">
        <f aca="false">IF(O174="","",IF(AA174="",0,O174*IF(AA174&gt;1,AA174/100,AA174)))</f>
        <v/>
      </c>
      <c r="AC174" s="14" t="str">
        <f aca="false">IF(O174="","",V174+Y174+AB174)</f>
        <v/>
      </c>
      <c r="AD174" s="19" t="str">
        <f aca="false">IF(O174="","",O174-R174-AC174)</f>
        <v/>
      </c>
      <c r="AE174" s="20"/>
      <c r="AF174" s="10"/>
      <c r="AG174" s="21" t="n">
        <f aca="false">IF(OR(AE174="",AE174=0),0,AE174*IF(U174="",0,IF(U174&gt;1,U174/100,U174)))</f>
        <v>0</v>
      </c>
      <c r="AH174" s="21" t="n">
        <f aca="false">IF(OR(AE174="",AE174=0),0,AE174*IF(X174="",0,IF(X174&gt;1,X174/100,X174)))</f>
        <v>0</v>
      </c>
      <c r="AI174" s="21" t="n">
        <f aca="false">IF(OR(AE174="",AE174=0),0,AE174*IF(AA174="",0,IF(AA174&gt;1,AA174/100,AA174)))</f>
        <v>0</v>
      </c>
      <c r="AJ174" s="21" t="n">
        <f aca="false">AG174+AH174+AI174</f>
        <v>0</v>
      </c>
      <c r="AK174" s="21" t="n">
        <f aca="false">IF(OR(AE174="",AE174=0),0,AE174-AJ174)</f>
        <v>0</v>
      </c>
      <c r="AL174" s="19" t="str">
        <f aca="false">IF(AD174="","",AD174-AK174)</f>
        <v/>
      </c>
      <c r="AM174" s="9" t="str">
        <f aca="false">IF(C174="","","Waiting for payment")</f>
        <v/>
      </c>
      <c r="AN174" s="10"/>
      <c r="AO174" s="10"/>
      <c r="AP174" s="22" t="str">
        <f aca="false">IF(OR(C174="",I174="",K174=""),"",IF(K174="Monthly",EDATE(C174,ROUND(I174*SETTINGS!$I$8,0)),WORKDAY(C174,ROUND(I174*SETTINGS!$I$8,0))))</f>
        <v/>
      </c>
      <c r="AQ174" s="9" t="str">
        <f aca="true">IF(C174="","",IF(AND(AP174&lt;&gt;"",TODAY()&gt;=AP174),"Refi Ready",IF(TODAY()-C174&gt;=SETTINGS!$I$11,"Prospecting","Performing")))</f>
        <v/>
      </c>
      <c r="AR174" s="22" t="str">
        <f aca="false">IF(OR(C174="",I174="",K174=""),"",IF(K174="Monthly",EDATE(C174,I174),WORKDAY(C174,I174)))</f>
        <v/>
      </c>
      <c r="AS174" s="11"/>
      <c r="AT174" s="23" t="str">
        <f aca="true">IF(C174="","",IF(AM174="Clawed Back","CLAWED",IF(TODAY()&lt;=C174+SETTINGS!$I$2,"⚠ AT RISK","SAFE")))</f>
        <v/>
      </c>
      <c r="AU174" s="11"/>
      <c r="AW174" s="24" t="n">
        <f aca="false">AW173+IF(AND(C174&lt;&gt;"",AO174&lt;&gt;"",OR('REP COMMISSION'!$B$3="",T174='REP COMMISSION'!$B$3,W174='REP COMMISSION'!$B$3,Z174='REP COMMISSION'!$B$3)),1,0)</f>
        <v>0</v>
      </c>
      <c r="AX174" s="24" t="n">
        <f aca="false">AX173+IF(AND(C174&lt;&gt;"",OR(F174="LOC - INITIAL",F174="CONSOLIDATION - UPFRONT COMM",F174="REVERSE - TOTAL FUNDING")),1,0)</f>
        <v>0</v>
      </c>
    </row>
    <row r="175" customFormat="false" ht="15" hidden="false" customHeight="false" outlineLevel="0" collapsed="false">
      <c r="A175" s="25" t="str">
        <f aca="false">IF(C175&lt;&gt;"","F"&amp;COUNT($C$4:C175),"")</f>
        <v/>
      </c>
      <c r="B175" s="26" t="str">
        <f aca="false">IF(OR(F175="LOC - INITIAL",F175="CONSOLIDATION - UPFRONT COMM",F175="REVERSE - TOTAL FUNDING"),A175,"")</f>
        <v/>
      </c>
      <c r="C175" s="27"/>
      <c r="D175" s="28"/>
      <c r="E175" s="28"/>
      <c r="F175" s="28"/>
      <c r="G175" s="29"/>
      <c r="H175" s="30"/>
      <c r="I175" s="28"/>
      <c r="J175" s="31" t="str">
        <f aca="false">IF(AND(G175&lt;&gt;"",H175&lt;&gt;""),G175*H175,"")</f>
        <v/>
      </c>
      <c r="K175" s="28"/>
      <c r="L175" s="32"/>
      <c r="M175" s="32"/>
      <c r="N175" s="31" t="n">
        <f aca="false">IF(OR(G175="",M175=""),0,IF(M175&gt;100,M175,G175*IF(M175&gt;1,M175/100,M175)))</f>
        <v>0</v>
      </c>
      <c r="O175" s="31" t="str">
        <f aca="false">IF(G175="","",G175*IF(L175="",0,IF(L175&gt;1,L175/100,L175))+N175)</f>
        <v/>
      </c>
      <c r="P175" s="28"/>
      <c r="Q175" s="33" t="str">
        <f aca="false">IF(P175="","",IFERROR(VLOOKUP(P175,PARTNERS!$A$2:$B$30,2,0),""))</f>
        <v/>
      </c>
      <c r="R175" s="17" t="str">
        <f aca="false">IF(O175="","",IF(OR(P175="",Q175=""),0,(O175-N175)*IF(Q175&gt;1,Q175/100,Q175)))</f>
        <v/>
      </c>
      <c r="S175" s="31" t="str">
        <f aca="false">IF(O175="","",O175-R175)</f>
        <v/>
      </c>
      <c r="T175" s="28"/>
      <c r="U175" s="34" t="str">
        <f aca="false">IF(T175="","",IFERROR(VLOOKUP(T175,REPS!$A$2:$D$40,2,0),""))</f>
        <v/>
      </c>
      <c r="V175" s="31" t="str">
        <f aca="false">IF(O175="","",IF(U175="",0,O175*IF(U175&gt;1,U175/100,U175)))</f>
        <v/>
      </c>
      <c r="W175" s="28"/>
      <c r="X175" s="34" t="str">
        <f aca="false">IF(W175="","",IFERROR(VLOOKUP(W175,REPS!$A$2:$D$40,3,0),""))</f>
        <v/>
      </c>
      <c r="Y175" s="31" t="str">
        <f aca="false">IF(O175="","",IF(X175="",0,O175*IF(X175&gt;1,X175/100,X175)))</f>
        <v/>
      </c>
      <c r="Z175" s="28"/>
      <c r="AA175" s="34" t="str">
        <f aca="false">IF(Z175="","",IFERROR(VLOOKUP(Z175,REPS!$A$2:$D$40,4,0),""))</f>
        <v/>
      </c>
      <c r="AB175" s="31" t="str">
        <f aca="false">IF(O175="","",IF(AA175="",0,O175*IF(AA175&gt;1,AA175/100,AA175)))</f>
        <v/>
      </c>
      <c r="AC175" s="31" t="str">
        <f aca="false">IF(O175="","",V175+Y175+AB175)</f>
        <v/>
      </c>
      <c r="AD175" s="19" t="str">
        <f aca="false">IF(O175="","",O175-R175-AC175)</f>
        <v/>
      </c>
      <c r="AE175" s="20"/>
      <c r="AF175" s="27"/>
      <c r="AG175" s="21" t="n">
        <f aca="false">IF(OR(AE175="",AE175=0),0,AE175*IF(U175="",0,IF(U175&gt;1,U175/100,U175)))</f>
        <v>0</v>
      </c>
      <c r="AH175" s="21" t="n">
        <f aca="false">IF(OR(AE175="",AE175=0),0,AE175*IF(X175="",0,IF(X175&gt;1,X175/100,X175)))</f>
        <v>0</v>
      </c>
      <c r="AI175" s="21" t="n">
        <f aca="false">IF(OR(AE175="",AE175=0),0,AE175*IF(AA175="",0,IF(AA175&gt;1,AA175/100,AA175)))</f>
        <v>0</v>
      </c>
      <c r="AJ175" s="21" t="n">
        <f aca="false">AG175+AH175+AI175</f>
        <v>0</v>
      </c>
      <c r="AK175" s="21" t="n">
        <f aca="false">IF(OR(AE175="",AE175=0),0,AE175-AJ175)</f>
        <v>0</v>
      </c>
      <c r="AL175" s="19" t="str">
        <f aca="false">IF(AD175="","",AD175-AK175)</f>
        <v/>
      </c>
      <c r="AM175" s="26" t="str">
        <f aca="false">IF(C175="","","Waiting for payment")</f>
        <v/>
      </c>
      <c r="AN175" s="27"/>
      <c r="AO175" s="27"/>
      <c r="AP175" s="35" t="str">
        <f aca="false">IF(OR(C175="",I175="",K175=""),"",IF(K175="Monthly",EDATE(C175,ROUND(I175*SETTINGS!$I$8,0)),WORKDAY(C175,ROUND(I175*SETTINGS!$I$8,0))))</f>
        <v/>
      </c>
      <c r="AQ175" s="26" t="str">
        <f aca="true">IF(C175="","",IF(AND(AP175&lt;&gt;"",TODAY()&gt;=AP175),"Refi Ready",IF(TODAY()-C175&gt;=SETTINGS!$I$11,"Prospecting","Performing")))</f>
        <v/>
      </c>
      <c r="AR175" s="35" t="str">
        <f aca="false">IF(OR(C175="",I175="",K175=""),"",IF(K175="Monthly",EDATE(C175,I175),WORKDAY(C175,I175)))</f>
        <v/>
      </c>
      <c r="AS175" s="28"/>
      <c r="AT175" s="36" t="str">
        <f aca="true">IF(C175="","",IF(AM175="Clawed Back","CLAWED",IF(TODAY()&lt;=C175+SETTINGS!$I$2,"⚠ AT RISK","SAFE")))</f>
        <v/>
      </c>
      <c r="AU175" s="28"/>
      <c r="AW175" s="24" t="n">
        <f aca="false">AW174+IF(AND(C175&lt;&gt;"",AO175&lt;&gt;"",OR('REP COMMISSION'!$B$3="",T175='REP COMMISSION'!$B$3,W175='REP COMMISSION'!$B$3,Z175='REP COMMISSION'!$B$3)),1,0)</f>
        <v>0</v>
      </c>
      <c r="AX175" s="24" t="n">
        <f aca="false">AX174+IF(AND(C175&lt;&gt;"",OR(F175="LOC - INITIAL",F175="CONSOLIDATION - UPFRONT COMM",F175="REVERSE - TOTAL FUNDING")),1,0)</f>
        <v>0</v>
      </c>
    </row>
    <row r="176" customFormat="false" ht="15" hidden="false" customHeight="false" outlineLevel="0" collapsed="false">
      <c r="A176" s="8" t="str">
        <f aca="false">IF(C176&lt;&gt;"","F"&amp;COUNT($C$4:C176),"")</f>
        <v/>
      </c>
      <c r="B176" s="9" t="str">
        <f aca="false">IF(OR(F176="LOC - INITIAL",F176="CONSOLIDATION - UPFRONT COMM",F176="REVERSE - TOTAL FUNDING"),A176,"")</f>
        <v/>
      </c>
      <c r="C176" s="10"/>
      <c r="D176" s="11"/>
      <c r="E176" s="11"/>
      <c r="F176" s="11"/>
      <c r="G176" s="12"/>
      <c r="H176" s="13"/>
      <c r="I176" s="11"/>
      <c r="J176" s="14" t="str">
        <f aca="false">IF(AND(G176&lt;&gt;"",H176&lt;&gt;""),G176*H176,"")</f>
        <v/>
      </c>
      <c r="K176" s="11"/>
      <c r="L176" s="15"/>
      <c r="M176" s="15"/>
      <c r="N176" s="14" t="n">
        <f aca="false">IF(OR(G176="",M176=""),0,IF(M176&gt;100,M176,G176*IF(M176&gt;1,M176/100,M176)))</f>
        <v>0</v>
      </c>
      <c r="O176" s="14" t="str">
        <f aca="false">IF(G176="","",G176*IF(L176="",0,IF(L176&gt;1,L176/100,L176))+N176)</f>
        <v/>
      </c>
      <c r="P176" s="11"/>
      <c r="Q176" s="16" t="str">
        <f aca="false">IF(P176="","",IFERROR(VLOOKUP(P176,PARTNERS!$A$2:$B$30,2,0),""))</f>
        <v/>
      </c>
      <c r="R176" s="17" t="str">
        <f aca="false">IF(O176="","",IF(OR(P176="",Q176=""),0,(O176-N176)*IF(Q176&gt;1,Q176/100,Q176)))</f>
        <v/>
      </c>
      <c r="S176" s="14" t="str">
        <f aca="false">IF(O176="","",O176-R176)</f>
        <v/>
      </c>
      <c r="T176" s="11"/>
      <c r="U176" s="18" t="str">
        <f aca="false">IF(T176="","",IFERROR(VLOOKUP(T176,REPS!$A$2:$D$40,2,0),""))</f>
        <v/>
      </c>
      <c r="V176" s="14" t="str">
        <f aca="false">IF(O176="","",IF(U176="",0,O176*IF(U176&gt;1,U176/100,U176)))</f>
        <v/>
      </c>
      <c r="W176" s="11"/>
      <c r="X176" s="18" t="str">
        <f aca="false">IF(W176="","",IFERROR(VLOOKUP(W176,REPS!$A$2:$D$40,3,0),""))</f>
        <v/>
      </c>
      <c r="Y176" s="14" t="str">
        <f aca="false">IF(O176="","",IF(X176="",0,O176*IF(X176&gt;1,X176/100,X176)))</f>
        <v/>
      </c>
      <c r="Z176" s="11"/>
      <c r="AA176" s="18" t="str">
        <f aca="false">IF(Z176="","",IFERROR(VLOOKUP(Z176,REPS!$A$2:$D$40,4,0),""))</f>
        <v/>
      </c>
      <c r="AB176" s="14" t="str">
        <f aca="false">IF(O176="","",IF(AA176="",0,O176*IF(AA176&gt;1,AA176/100,AA176)))</f>
        <v/>
      </c>
      <c r="AC176" s="14" t="str">
        <f aca="false">IF(O176="","",V176+Y176+AB176)</f>
        <v/>
      </c>
      <c r="AD176" s="19" t="str">
        <f aca="false">IF(O176="","",O176-R176-AC176)</f>
        <v/>
      </c>
      <c r="AE176" s="20"/>
      <c r="AF176" s="10"/>
      <c r="AG176" s="21" t="n">
        <f aca="false">IF(OR(AE176="",AE176=0),0,AE176*IF(U176="",0,IF(U176&gt;1,U176/100,U176)))</f>
        <v>0</v>
      </c>
      <c r="AH176" s="21" t="n">
        <f aca="false">IF(OR(AE176="",AE176=0),0,AE176*IF(X176="",0,IF(X176&gt;1,X176/100,X176)))</f>
        <v>0</v>
      </c>
      <c r="AI176" s="21" t="n">
        <f aca="false">IF(OR(AE176="",AE176=0),0,AE176*IF(AA176="",0,IF(AA176&gt;1,AA176/100,AA176)))</f>
        <v>0</v>
      </c>
      <c r="AJ176" s="21" t="n">
        <f aca="false">AG176+AH176+AI176</f>
        <v>0</v>
      </c>
      <c r="AK176" s="21" t="n">
        <f aca="false">IF(OR(AE176="",AE176=0),0,AE176-AJ176)</f>
        <v>0</v>
      </c>
      <c r="AL176" s="19" t="str">
        <f aca="false">IF(AD176="","",AD176-AK176)</f>
        <v/>
      </c>
      <c r="AM176" s="9" t="str">
        <f aca="false">IF(C176="","","Waiting for payment")</f>
        <v/>
      </c>
      <c r="AN176" s="10"/>
      <c r="AO176" s="10"/>
      <c r="AP176" s="22" t="str">
        <f aca="false">IF(OR(C176="",I176="",K176=""),"",IF(K176="Monthly",EDATE(C176,ROUND(I176*SETTINGS!$I$8,0)),WORKDAY(C176,ROUND(I176*SETTINGS!$I$8,0))))</f>
        <v/>
      </c>
      <c r="AQ176" s="9" t="str">
        <f aca="true">IF(C176="","",IF(AND(AP176&lt;&gt;"",TODAY()&gt;=AP176),"Refi Ready",IF(TODAY()-C176&gt;=SETTINGS!$I$11,"Prospecting","Performing")))</f>
        <v/>
      </c>
      <c r="AR176" s="22" t="str">
        <f aca="false">IF(OR(C176="",I176="",K176=""),"",IF(K176="Monthly",EDATE(C176,I176),WORKDAY(C176,I176)))</f>
        <v/>
      </c>
      <c r="AS176" s="11"/>
      <c r="AT176" s="23" t="str">
        <f aca="true">IF(C176="","",IF(AM176="Clawed Back","CLAWED",IF(TODAY()&lt;=C176+SETTINGS!$I$2,"⚠ AT RISK","SAFE")))</f>
        <v/>
      </c>
      <c r="AU176" s="11"/>
      <c r="AW176" s="24" t="n">
        <f aca="false">AW175+IF(AND(C176&lt;&gt;"",AO176&lt;&gt;"",OR('REP COMMISSION'!$B$3="",T176='REP COMMISSION'!$B$3,W176='REP COMMISSION'!$B$3,Z176='REP COMMISSION'!$B$3)),1,0)</f>
        <v>0</v>
      </c>
      <c r="AX176" s="24" t="n">
        <f aca="false">AX175+IF(AND(C176&lt;&gt;"",OR(F176="LOC - INITIAL",F176="CONSOLIDATION - UPFRONT COMM",F176="REVERSE - TOTAL FUNDING")),1,0)</f>
        <v>0</v>
      </c>
    </row>
    <row r="177" customFormat="false" ht="15" hidden="false" customHeight="false" outlineLevel="0" collapsed="false">
      <c r="A177" s="25" t="str">
        <f aca="false">IF(C177&lt;&gt;"","F"&amp;COUNT($C$4:C177),"")</f>
        <v/>
      </c>
      <c r="B177" s="26" t="str">
        <f aca="false">IF(OR(F177="LOC - INITIAL",F177="CONSOLIDATION - UPFRONT COMM",F177="REVERSE - TOTAL FUNDING"),A177,"")</f>
        <v/>
      </c>
      <c r="C177" s="27"/>
      <c r="D177" s="28"/>
      <c r="E177" s="28"/>
      <c r="F177" s="28"/>
      <c r="G177" s="29"/>
      <c r="H177" s="30"/>
      <c r="I177" s="28"/>
      <c r="J177" s="31" t="str">
        <f aca="false">IF(AND(G177&lt;&gt;"",H177&lt;&gt;""),G177*H177,"")</f>
        <v/>
      </c>
      <c r="K177" s="28"/>
      <c r="L177" s="32"/>
      <c r="M177" s="32"/>
      <c r="N177" s="31" t="n">
        <f aca="false">IF(OR(G177="",M177=""),0,IF(M177&gt;100,M177,G177*IF(M177&gt;1,M177/100,M177)))</f>
        <v>0</v>
      </c>
      <c r="O177" s="31" t="str">
        <f aca="false">IF(G177="","",G177*IF(L177="",0,IF(L177&gt;1,L177/100,L177))+N177)</f>
        <v/>
      </c>
      <c r="P177" s="28"/>
      <c r="Q177" s="33" t="str">
        <f aca="false">IF(P177="","",IFERROR(VLOOKUP(P177,PARTNERS!$A$2:$B$30,2,0),""))</f>
        <v/>
      </c>
      <c r="R177" s="17" t="str">
        <f aca="false">IF(O177="","",IF(OR(P177="",Q177=""),0,(O177-N177)*IF(Q177&gt;1,Q177/100,Q177)))</f>
        <v/>
      </c>
      <c r="S177" s="31" t="str">
        <f aca="false">IF(O177="","",O177-R177)</f>
        <v/>
      </c>
      <c r="T177" s="28"/>
      <c r="U177" s="34" t="str">
        <f aca="false">IF(T177="","",IFERROR(VLOOKUP(T177,REPS!$A$2:$D$40,2,0),""))</f>
        <v/>
      </c>
      <c r="V177" s="31" t="str">
        <f aca="false">IF(O177="","",IF(U177="",0,O177*IF(U177&gt;1,U177/100,U177)))</f>
        <v/>
      </c>
      <c r="W177" s="28"/>
      <c r="X177" s="34" t="str">
        <f aca="false">IF(W177="","",IFERROR(VLOOKUP(W177,REPS!$A$2:$D$40,3,0),""))</f>
        <v/>
      </c>
      <c r="Y177" s="31" t="str">
        <f aca="false">IF(O177="","",IF(X177="",0,O177*IF(X177&gt;1,X177/100,X177)))</f>
        <v/>
      </c>
      <c r="Z177" s="28"/>
      <c r="AA177" s="34" t="str">
        <f aca="false">IF(Z177="","",IFERROR(VLOOKUP(Z177,REPS!$A$2:$D$40,4,0),""))</f>
        <v/>
      </c>
      <c r="AB177" s="31" t="str">
        <f aca="false">IF(O177="","",IF(AA177="",0,O177*IF(AA177&gt;1,AA177/100,AA177)))</f>
        <v/>
      </c>
      <c r="AC177" s="31" t="str">
        <f aca="false">IF(O177="","",V177+Y177+AB177)</f>
        <v/>
      </c>
      <c r="AD177" s="19" t="str">
        <f aca="false">IF(O177="","",O177-R177-AC177)</f>
        <v/>
      </c>
      <c r="AE177" s="20"/>
      <c r="AF177" s="27"/>
      <c r="AG177" s="21" t="n">
        <f aca="false">IF(OR(AE177="",AE177=0),0,AE177*IF(U177="",0,IF(U177&gt;1,U177/100,U177)))</f>
        <v>0</v>
      </c>
      <c r="AH177" s="21" t="n">
        <f aca="false">IF(OR(AE177="",AE177=0),0,AE177*IF(X177="",0,IF(X177&gt;1,X177/100,X177)))</f>
        <v>0</v>
      </c>
      <c r="AI177" s="21" t="n">
        <f aca="false">IF(OR(AE177="",AE177=0),0,AE177*IF(AA177="",0,IF(AA177&gt;1,AA177/100,AA177)))</f>
        <v>0</v>
      </c>
      <c r="AJ177" s="21" t="n">
        <f aca="false">AG177+AH177+AI177</f>
        <v>0</v>
      </c>
      <c r="AK177" s="21" t="n">
        <f aca="false">IF(OR(AE177="",AE177=0),0,AE177-AJ177)</f>
        <v>0</v>
      </c>
      <c r="AL177" s="19" t="str">
        <f aca="false">IF(AD177="","",AD177-AK177)</f>
        <v/>
      </c>
      <c r="AM177" s="26" t="str">
        <f aca="false">IF(C177="","","Waiting for payment")</f>
        <v/>
      </c>
      <c r="AN177" s="27"/>
      <c r="AO177" s="27"/>
      <c r="AP177" s="35" t="str">
        <f aca="false">IF(OR(C177="",I177="",K177=""),"",IF(K177="Monthly",EDATE(C177,ROUND(I177*SETTINGS!$I$8,0)),WORKDAY(C177,ROUND(I177*SETTINGS!$I$8,0))))</f>
        <v/>
      </c>
      <c r="AQ177" s="26" t="str">
        <f aca="true">IF(C177="","",IF(AND(AP177&lt;&gt;"",TODAY()&gt;=AP177),"Refi Ready",IF(TODAY()-C177&gt;=SETTINGS!$I$11,"Prospecting","Performing")))</f>
        <v/>
      </c>
      <c r="AR177" s="35" t="str">
        <f aca="false">IF(OR(C177="",I177="",K177=""),"",IF(K177="Monthly",EDATE(C177,I177),WORKDAY(C177,I177)))</f>
        <v/>
      </c>
      <c r="AS177" s="28"/>
      <c r="AT177" s="36" t="str">
        <f aca="true">IF(C177="","",IF(AM177="Clawed Back","CLAWED",IF(TODAY()&lt;=C177+SETTINGS!$I$2,"⚠ AT RISK","SAFE")))</f>
        <v/>
      </c>
      <c r="AU177" s="28"/>
      <c r="AW177" s="24" t="n">
        <f aca="false">AW176+IF(AND(C177&lt;&gt;"",AO177&lt;&gt;"",OR('REP COMMISSION'!$B$3="",T177='REP COMMISSION'!$B$3,W177='REP COMMISSION'!$B$3,Z177='REP COMMISSION'!$B$3)),1,0)</f>
        <v>0</v>
      </c>
      <c r="AX177" s="24" t="n">
        <f aca="false">AX176+IF(AND(C177&lt;&gt;"",OR(F177="LOC - INITIAL",F177="CONSOLIDATION - UPFRONT COMM",F177="REVERSE - TOTAL FUNDING")),1,0)</f>
        <v>0</v>
      </c>
    </row>
    <row r="178" customFormat="false" ht="15" hidden="false" customHeight="false" outlineLevel="0" collapsed="false">
      <c r="A178" s="8" t="str">
        <f aca="false">IF(C178&lt;&gt;"","F"&amp;COUNT($C$4:C178),"")</f>
        <v/>
      </c>
      <c r="B178" s="9" t="str">
        <f aca="false">IF(OR(F178="LOC - INITIAL",F178="CONSOLIDATION - UPFRONT COMM",F178="REVERSE - TOTAL FUNDING"),A178,"")</f>
        <v/>
      </c>
      <c r="C178" s="10"/>
      <c r="D178" s="11"/>
      <c r="E178" s="11"/>
      <c r="F178" s="11"/>
      <c r="G178" s="12"/>
      <c r="H178" s="13"/>
      <c r="I178" s="11"/>
      <c r="J178" s="14" t="str">
        <f aca="false">IF(AND(G178&lt;&gt;"",H178&lt;&gt;""),G178*H178,"")</f>
        <v/>
      </c>
      <c r="K178" s="11"/>
      <c r="L178" s="15"/>
      <c r="M178" s="15"/>
      <c r="N178" s="14" t="n">
        <f aca="false">IF(OR(G178="",M178=""),0,IF(M178&gt;100,M178,G178*IF(M178&gt;1,M178/100,M178)))</f>
        <v>0</v>
      </c>
      <c r="O178" s="14" t="str">
        <f aca="false">IF(G178="","",G178*IF(L178="",0,IF(L178&gt;1,L178/100,L178))+N178)</f>
        <v/>
      </c>
      <c r="P178" s="11"/>
      <c r="Q178" s="16" t="str">
        <f aca="false">IF(P178="","",IFERROR(VLOOKUP(P178,PARTNERS!$A$2:$B$30,2,0),""))</f>
        <v/>
      </c>
      <c r="R178" s="17" t="str">
        <f aca="false">IF(O178="","",IF(OR(P178="",Q178=""),0,(O178-N178)*IF(Q178&gt;1,Q178/100,Q178)))</f>
        <v/>
      </c>
      <c r="S178" s="14" t="str">
        <f aca="false">IF(O178="","",O178-R178)</f>
        <v/>
      </c>
      <c r="T178" s="11"/>
      <c r="U178" s="18" t="str">
        <f aca="false">IF(T178="","",IFERROR(VLOOKUP(T178,REPS!$A$2:$D$40,2,0),""))</f>
        <v/>
      </c>
      <c r="V178" s="14" t="str">
        <f aca="false">IF(O178="","",IF(U178="",0,O178*IF(U178&gt;1,U178/100,U178)))</f>
        <v/>
      </c>
      <c r="W178" s="11"/>
      <c r="X178" s="18" t="str">
        <f aca="false">IF(W178="","",IFERROR(VLOOKUP(W178,REPS!$A$2:$D$40,3,0),""))</f>
        <v/>
      </c>
      <c r="Y178" s="14" t="str">
        <f aca="false">IF(O178="","",IF(X178="",0,O178*IF(X178&gt;1,X178/100,X178)))</f>
        <v/>
      </c>
      <c r="Z178" s="11"/>
      <c r="AA178" s="18" t="str">
        <f aca="false">IF(Z178="","",IFERROR(VLOOKUP(Z178,REPS!$A$2:$D$40,4,0),""))</f>
        <v/>
      </c>
      <c r="AB178" s="14" t="str">
        <f aca="false">IF(O178="","",IF(AA178="",0,O178*IF(AA178&gt;1,AA178/100,AA178)))</f>
        <v/>
      </c>
      <c r="AC178" s="14" t="str">
        <f aca="false">IF(O178="","",V178+Y178+AB178)</f>
        <v/>
      </c>
      <c r="AD178" s="19" t="str">
        <f aca="false">IF(O178="","",O178-R178-AC178)</f>
        <v/>
      </c>
      <c r="AE178" s="20"/>
      <c r="AF178" s="10"/>
      <c r="AG178" s="21" t="n">
        <f aca="false">IF(OR(AE178="",AE178=0),0,AE178*IF(U178="",0,IF(U178&gt;1,U178/100,U178)))</f>
        <v>0</v>
      </c>
      <c r="AH178" s="21" t="n">
        <f aca="false">IF(OR(AE178="",AE178=0),0,AE178*IF(X178="",0,IF(X178&gt;1,X178/100,X178)))</f>
        <v>0</v>
      </c>
      <c r="AI178" s="21" t="n">
        <f aca="false">IF(OR(AE178="",AE178=0),0,AE178*IF(AA178="",0,IF(AA178&gt;1,AA178/100,AA178)))</f>
        <v>0</v>
      </c>
      <c r="AJ178" s="21" t="n">
        <f aca="false">AG178+AH178+AI178</f>
        <v>0</v>
      </c>
      <c r="AK178" s="21" t="n">
        <f aca="false">IF(OR(AE178="",AE178=0),0,AE178-AJ178)</f>
        <v>0</v>
      </c>
      <c r="AL178" s="19" t="str">
        <f aca="false">IF(AD178="","",AD178-AK178)</f>
        <v/>
      </c>
      <c r="AM178" s="9" t="str">
        <f aca="false">IF(C178="","","Waiting for payment")</f>
        <v/>
      </c>
      <c r="AN178" s="10"/>
      <c r="AO178" s="10"/>
      <c r="AP178" s="22" t="str">
        <f aca="false">IF(OR(C178="",I178="",K178=""),"",IF(K178="Monthly",EDATE(C178,ROUND(I178*SETTINGS!$I$8,0)),WORKDAY(C178,ROUND(I178*SETTINGS!$I$8,0))))</f>
        <v/>
      </c>
      <c r="AQ178" s="9" t="str">
        <f aca="true">IF(C178="","",IF(AND(AP178&lt;&gt;"",TODAY()&gt;=AP178),"Refi Ready",IF(TODAY()-C178&gt;=SETTINGS!$I$11,"Prospecting","Performing")))</f>
        <v/>
      </c>
      <c r="AR178" s="22" t="str">
        <f aca="false">IF(OR(C178="",I178="",K178=""),"",IF(K178="Monthly",EDATE(C178,I178),WORKDAY(C178,I178)))</f>
        <v/>
      </c>
      <c r="AS178" s="11"/>
      <c r="AT178" s="23" t="str">
        <f aca="true">IF(C178="","",IF(AM178="Clawed Back","CLAWED",IF(TODAY()&lt;=C178+SETTINGS!$I$2,"⚠ AT RISK","SAFE")))</f>
        <v/>
      </c>
      <c r="AU178" s="11"/>
      <c r="AW178" s="24" t="n">
        <f aca="false">AW177+IF(AND(C178&lt;&gt;"",AO178&lt;&gt;"",OR('REP COMMISSION'!$B$3="",T178='REP COMMISSION'!$B$3,W178='REP COMMISSION'!$B$3,Z178='REP COMMISSION'!$B$3)),1,0)</f>
        <v>0</v>
      </c>
      <c r="AX178" s="24" t="n">
        <f aca="false">AX177+IF(AND(C178&lt;&gt;"",OR(F178="LOC - INITIAL",F178="CONSOLIDATION - UPFRONT COMM",F178="REVERSE - TOTAL FUNDING")),1,0)</f>
        <v>0</v>
      </c>
    </row>
    <row r="179" customFormat="false" ht="15" hidden="false" customHeight="false" outlineLevel="0" collapsed="false">
      <c r="A179" s="25" t="str">
        <f aca="false">IF(C179&lt;&gt;"","F"&amp;COUNT($C$4:C179),"")</f>
        <v/>
      </c>
      <c r="B179" s="26" t="str">
        <f aca="false">IF(OR(F179="LOC - INITIAL",F179="CONSOLIDATION - UPFRONT COMM",F179="REVERSE - TOTAL FUNDING"),A179,"")</f>
        <v/>
      </c>
      <c r="C179" s="27"/>
      <c r="D179" s="28"/>
      <c r="E179" s="28"/>
      <c r="F179" s="28"/>
      <c r="G179" s="29"/>
      <c r="H179" s="30"/>
      <c r="I179" s="28"/>
      <c r="J179" s="31" t="str">
        <f aca="false">IF(AND(G179&lt;&gt;"",H179&lt;&gt;""),G179*H179,"")</f>
        <v/>
      </c>
      <c r="K179" s="28"/>
      <c r="L179" s="32"/>
      <c r="M179" s="32"/>
      <c r="N179" s="31" t="n">
        <f aca="false">IF(OR(G179="",M179=""),0,IF(M179&gt;100,M179,G179*IF(M179&gt;1,M179/100,M179)))</f>
        <v>0</v>
      </c>
      <c r="O179" s="31" t="str">
        <f aca="false">IF(G179="","",G179*IF(L179="",0,IF(L179&gt;1,L179/100,L179))+N179)</f>
        <v/>
      </c>
      <c r="P179" s="28"/>
      <c r="Q179" s="33" t="str">
        <f aca="false">IF(P179="","",IFERROR(VLOOKUP(P179,PARTNERS!$A$2:$B$30,2,0),""))</f>
        <v/>
      </c>
      <c r="R179" s="17" t="str">
        <f aca="false">IF(O179="","",IF(OR(P179="",Q179=""),0,(O179-N179)*IF(Q179&gt;1,Q179/100,Q179)))</f>
        <v/>
      </c>
      <c r="S179" s="31" t="str">
        <f aca="false">IF(O179="","",O179-R179)</f>
        <v/>
      </c>
      <c r="T179" s="28"/>
      <c r="U179" s="34" t="str">
        <f aca="false">IF(T179="","",IFERROR(VLOOKUP(T179,REPS!$A$2:$D$40,2,0),""))</f>
        <v/>
      </c>
      <c r="V179" s="31" t="str">
        <f aca="false">IF(O179="","",IF(U179="",0,O179*IF(U179&gt;1,U179/100,U179)))</f>
        <v/>
      </c>
      <c r="W179" s="28"/>
      <c r="X179" s="34" t="str">
        <f aca="false">IF(W179="","",IFERROR(VLOOKUP(W179,REPS!$A$2:$D$40,3,0),""))</f>
        <v/>
      </c>
      <c r="Y179" s="31" t="str">
        <f aca="false">IF(O179="","",IF(X179="",0,O179*IF(X179&gt;1,X179/100,X179)))</f>
        <v/>
      </c>
      <c r="Z179" s="28"/>
      <c r="AA179" s="34" t="str">
        <f aca="false">IF(Z179="","",IFERROR(VLOOKUP(Z179,REPS!$A$2:$D$40,4,0),""))</f>
        <v/>
      </c>
      <c r="AB179" s="31" t="str">
        <f aca="false">IF(O179="","",IF(AA179="",0,O179*IF(AA179&gt;1,AA179/100,AA179)))</f>
        <v/>
      </c>
      <c r="AC179" s="31" t="str">
        <f aca="false">IF(O179="","",V179+Y179+AB179)</f>
        <v/>
      </c>
      <c r="AD179" s="19" t="str">
        <f aca="false">IF(O179="","",O179-R179-AC179)</f>
        <v/>
      </c>
      <c r="AE179" s="20"/>
      <c r="AF179" s="27"/>
      <c r="AG179" s="21" t="n">
        <f aca="false">IF(OR(AE179="",AE179=0),0,AE179*IF(U179="",0,IF(U179&gt;1,U179/100,U179)))</f>
        <v>0</v>
      </c>
      <c r="AH179" s="21" t="n">
        <f aca="false">IF(OR(AE179="",AE179=0),0,AE179*IF(X179="",0,IF(X179&gt;1,X179/100,X179)))</f>
        <v>0</v>
      </c>
      <c r="AI179" s="21" t="n">
        <f aca="false">IF(OR(AE179="",AE179=0),0,AE179*IF(AA179="",0,IF(AA179&gt;1,AA179/100,AA179)))</f>
        <v>0</v>
      </c>
      <c r="AJ179" s="21" t="n">
        <f aca="false">AG179+AH179+AI179</f>
        <v>0</v>
      </c>
      <c r="AK179" s="21" t="n">
        <f aca="false">IF(OR(AE179="",AE179=0),0,AE179-AJ179)</f>
        <v>0</v>
      </c>
      <c r="AL179" s="19" t="str">
        <f aca="false">IF(AD179="","",AD179-AK179)</f>
        <v/>
      </c>
      <c r="AM179" s="26" t="str">
        <f aca="false">IF(C179="","","Waiting for payment")</f>
        <v/>
      </c>
      <c r="AN179" s="27"/>
      <c r="AO179" s="27"/>
      <c r="AP179" s="35" t="str">
        <f aca="false">IF(OR(C179="",I179="",K179=""),"",IF(K179="Monthly",EDATE(C179,ROUND(I179*SETTINGS!$I$8,0)),WORKDAY(C179,ROUND(I179*SETTINGS!$I$8,0))))</f>
        <v/>
      </c>
      <c r="AQ179" s="26" t="str">
        <f aca="true">IF(C179="","",IF(AND(AP179&lt;&gt;"",TODAY()&gt;=AP179),"Refi Ready",IF(TODAY()-C179&gt;=SETTINGS!$I$11,"Prospecting","Performing")))</f>
        <v/>
      </c>
      <c r="AR179" s="35" t="str">
        <f aca="false">IF(OR(C179="",I179="",K179=""),"",IF(K179="Monthly",EDATE(C179,I179),WORKDAY(C179,I179)))</f>
        <v/>
      </c>
      <c r="AS179" s="28"/>
      <c r="AT179" s="36" t="str">
        <f aca="true">IF(C179="","",IF(AM179="Clawed Back","CLAWED",IF(TODAY()&lt;=C179+SETTINGS!$I$2,"⚠ AT RISK","SAFE")))</f>
        <v/>
      </c>
      <c r="AU179" s="28"/>
      <c r="AW179" s="24" t="n">
        <f aca="false">AW178+IF(AND(C179&lt;&gt;"",AO179&lt;&gt;"",OR('REP COMMISSION'!$B$3="",T179='REP COMMISSION'!$B$3,W179='REP COMMISSION'!$B$3,Z179='REP COMMISSION'!$B$3)),1,0)</f>
        <v>0</v>
      </c>
      <c r="AX179" s="24" t="n">
        <f aca="false">AX178+IF(AND(C179&lt;&gt;"",OR(F179="LOC - INITIAL",F179="CONSOLIDATION - UPFRONT COMM",F179="REVERSE - TOTAL FUNDING")),1,0)</f>
        <v>0</v>
      </c>
    </row>
    <row r="180" customFormat="false" ht="15" hidden="false" customHeight="false" outlineLevel="0" collapsed="false">
      <c r="A180" s="8" t="str">
        <f aca="false">IF(C180&lt;&gt;"","F"&amp;COUNT($C$4:C180),"")</f>
        <v/>
      </c>
      <c r="B180" s="9" t="str">
        <f aca="false">IF(OR(F180="LOC - INITIAL",F180="CONSOLIDATION - UPFRONT COMM",F180="REVERSE - TOTAL FUNDING"),A180,"")</f>
        <v/>
      </c>
      <c r="C180" s="10"/>
      <c r="D180" s="11"/>
      <c r="E180" s="11"/>
      <c r="F180" s="11"/>
      <c r="G180" s="12"/>
      <c r="H180" s="13"/>
      <c r="I180" s="11"/>
      <c r="J180" s="14" t="str">
        <f aca="false">IF(AND(G180&lt;&gt;"",H180&lt;&gt;""),G180*H180,"")</f>
        <v/>
      </c>
      <c r="K180" s="11"/>
      <c r="L180" s="15"/>
      <c r="M180" s="15"/>
      <c r="N180" s="14" t="n">
        <f aca="false">IF(OR(G180="",M180=""),0,IF(M180&gt;100,M180,G180*IF(M180&gt;1,M180/100,M180)))</f>
        <v>0</v>
      </c>
      <c r="O180" s="14" t="str">
        <f aca="false">IF(G180="","",G180*IF(L180="",0,IF(L180&gt;1,L180/100,L180))+N180)</f>
        <v/>
      </c>
      <c r="P180" s="11"/>
      <c r="Q180" s="16" t="str">
        <f aca="false">IF(P180="","",IFERROR(VLOOKUP(P180,PARTNERS!$A$2:$B$30,2,0),""))</f>
        <v/>
      </c>
      <c r="R180" s="17" t="str">
        <f aca="false">IF(O180="","",IF(OR(P180="",Q180=""),0,(O180-N180)*IF(Q180&gt;1,Q180/100,Q180)))</f>
        <v/>
      </c>
      <c r="S180" s="14" t="str">
        <f aca="false">IF(O180="","",O180-R180)</f>
        <v/>
      </c>
      <c r="T180" s="11"/>
      <c r="U180" s="18" t="str">
        <f aca="false">IF(T180="","",IFERROR(VLOOKUP(T180,REPS!$A$2:$D$40,2,0),""))</f>
        <v/>
      </c>
      <c r="V180" s="14" t="str">
        <f aca="false">IF(O180="","",IF(U180="",0,O180*IF(U180&gt;1,U180/100,U180)))</f>
        <v/>
      </c>
      <c r="W180" s="11"/>
      <c r="X180" s="18" t="str">
        <f aca="false">IF(W180="","",IFERROR(VLOOKUP(W180,REPS!$A$2:$D$40,3,0),""))</f>
        <v/>
      </c>
      <c r="Y180" s="14" t="str">
        <f aca="false">IF(O180="","",IF(X180="",0,O180*IF(X180&gt;1,X180/100,X180)))</f>
        <v/>
      </c>
      <c r="Z180" s="11"/>
      <c r="AA180" s="18" t="str">
        <f aca="false">IF(Z180="","",IFERROR(VLOOKUP(Z180,REPS!$A$2:$D$40,4,0),""))</f>
        <v/>
      </c>
      <c r="AB180" s="14" t="str">
        <f aca="false">IF(O180="","",IF(AA180="",0,O180*IF(AA180&gt;1,AA180/100,AA180)))</f>
        <v/>
      </c>
      <c r="AC180" s="14" t="str">
        <f aca="false">IF(O180="","",V180+Y180+AB180)</f>
        <v/>
      </c>
      <c r="AD180" s="19" t="str">
        <f aca="false">IF(O180="","",O180-R180-AC180)</f>
        <v/>
      </c>
      <c r="AE180" s="20"/>
      <c r="AF180" s="10"/>
      <c r="AG180" s="21" t="n">
        <f aca="false">IF(OR(AE180="",AE180=0),0,AE180*IF(U180="",0,IF(U180&gt;1,U180/100,U180)))</f>
        <v>0</v>
      </c>
      <c r="AH180" s="21" t="n">
        <f aca="false">IF(OR(AE180="",AE180=0),0,AE180*IF(X180="",0,IF(X180&gt;1,X180/100,X180)))</f>
        <v>0</v>
      </c>
      <c r="AI180" s="21" t="n">
        <f aca="false">IF(OR(AE180="",AE180=0),0,AE180*IF(AA180="",0,IF(AA180&gt;1,AA180/100,AA180)))</f>
        <v>0</v>
      </c>
      <c r="AJ180" s="21" t="n">
        <f aca="false">AG180+AH180+AI180</f>
        <v>0</v>
      </c>
      <c r="AK180" s="21" t="n">
        <f aca="false">IF(OR(AE180="",AE180=0),0,AE180-AJ180)</f>
        <v>0</v>
      </c>
      <c r="AL180" s="19" t="str">
        <f aca="false">IF(AD180="","",AD180-AK180)</f>
        <v/>
      </c>
      <c r="AM180" s="9" t="str">
        <f aca="false">IF(C180="","","Waiting for payment")</f>
        <v/>
      </c>
      <c r="AN180" s="10"/>
      <c r="AO180" s="10"/>
      <c r="AP180" s="22" t="str">
        <f aca="false">IF(OR(C180="",I180="",K180=""),"",IF(K180="Monthly",EDATE(C180,ROUND(I180*SETTINGS!$I$8,0)),WORKDAY(C180,ROUND(I180*SETTINGS!$I$8,0))))</f>
        <v/>
      </c>
      <c r="AQ180" s="9" t="str">
        <f aca="true">IF(C180="","",IF(AND(AP180&lt;&gt;"",TODAY()&gt;=AP180),"Refi Ready",IF(TODAY()-C180&gt;=SETTINGS!$I$11,"Prospecting","Performing")))</f>
        <v/>
      </c>
      <c r="AR180" s="22" t="str">
        <f aca="false">IF(OR(C180="",I180="",K180=""),"",IF(K180="Monthly",EDATE(C180,I180),WORKDAY(C180,I180)))</f>
        <v/>
      </c>
      <c r="AS180" s="11"/>
      <c r="AT180" s="23" t="str">
        <f aca="true">IF(C180="","",IF(AM180="Clawed Back","CLAWED",IF(TODAY()&lt;=C180+SETTINGS!$I$2,"⚠ AT RISK","SAFE")))</f>
        <v/>
      </c>
      <c r="AU180" s="11"/>
      <c r="AW180" s="24" t="n">
        <f aca="false">AW179+IF(AND(C180&lt;&gt;"",AO180&lt;&gt;"",OR('REP COMMISSION'!$B$3="",T180='REP COMMISSION'!$B$3,W180='REP COMMISSION'!$B$3,Z180='REP COMMISSION'!$B$3)),1,0)</f>
        <v>0</v>
      </c>
      <c r="AX180" s="24" t="n">
        <f aca="false">AX179+IF(AND(C180&lt;&gt;"",OR(F180="LOC - INITIAL",F180="CONSOLIDATION - UPFRONT COMM",F180="REVERSE - TOTAL FUNDING")),1,0)</f>
        <v>0</v>
      </c>
    </row>
    <row r="181" customFormat="false" ht="15" hidden="false" customHeight="false" outlineLevel="0" collapsed="false">
      <c r="A181" s="25" t="str">
        <f aca="false">IF(C181&lt;&gt;"","F"&amp;COUNT($C$4:C181),"")</f>
        <v/>
      </c>
      <c r="B181" s="26" t="str">
        <f aca="false">IF(OR(F181="LOC - INITIAL",F181="CONSOLIDATION - UPFRONT COMM",F181="REVERSE - TOTAL FUNDING"),A181,"")</f>
        <v/>
      </c>
      <c r="C181" s="27"/>
      <c r="D181" s="28"/>
      <c r="E181" s="28"/>
      <c r="F181" s="28"/>
      <c r="G181" s="29"/>
      <c r="H181" s="30"/>
      <c r="I181" s="28"/>
      <c r="J181" s="31" t="str">
        <f aca="false">IF(AND(G181&lt;&gt;"",H181&lt;&gt;""),G181*H181,"")</f>
        <v/>
      </c>
      <c r="K181" s="28"/>
      <c r="L181" s="32"/>
      <c r="M181" s="32"/>
      <c r="N181" s="31" t="n">
        <f aca="false">IF(OR(G181="",M181=""),0,IF(M181&gt;100,M181,G181*IF(M181&gt;1,M181/100,M181)))</f>
        <v>0</v>
      </c>
      <c r="O181" s="31" t="str">
        <f aca="false">IF(G181="","",G181*IF(L181="",0,IF(L181&gt;1,L181/100,L181))+N181)</f>
        <v/>
      </c>
      <c r="P181" s="28"/>
      <c r="Q181" s="33" t="str">
        <f aca="false">IF(P181="","",IFERROR(VLOOKUP(P181,PARTNERS!$A$2:$B$30,2,0),""))</f>
        <v/>
      </c>
      <c r="R181" s="17" t="str">
        <f aca="false">IF(O181="","",IF(OR(P181="",Q181=""),0,(O181-N181)*IF(Q181&gt;1,Q181/100,Q181)))</f>
        <v/>
      </c>
      <c r="S181" s="31" t="str">
        <f aca="false">IF(O181="","",O181-R181)</f>
        <v/>
      </c>
      <c r="T181" s="28"/>
      <c r="U181" s="34" t="str">
        <f aca="false">IF(T181="","",IFERROR(VLOOKUP(T181,REPS!$A$2:$D$40,2,0),""))</f>
        <v/>
      </c>
      <c r="V181" s="31" t="str">
        <f aca="false">IF(O181="","",IF(U181="",0,O181*IF(U181&gt;1,U181/100,U181)))</f>
        <v/>
      </c>
      <c r="W181" s="28"/>
      <c r="X181" s="34" t="str">
        <f aca="false">IF(W181="","",IFERROR(VLOOKUP(W181,REPS!$A$2:$D$40,3,0),""))</f>
        <v/>
      </c>
      <c r="Y181" s="31" t="str">
        <f aca="false">IF(O181="","",IF(X181="",0,O181*IF(X181&gt;1,X181/100,X181)))</f>
        <v/>
      </c>
      <c r="Z181" s="28"/>
      <c r="AA181" s="34" t="str">
        <f aca="false">IF(Z181="","",IFERROR(VLOOKUP(Z181,REPS!$A$2:$D$40,4,0),""))</f>
        <v/>
      </c>
      <c r="AB181" s="31" t="str">
        <f aca="false">IF(O181="","",IF(AA181="",0,O181*IF(AA181&gt;1,AA181/100,AA181)))</f>
        <v/>
      </c>
      <c r="AC181" s="31" t="str">
        <f aca="false">IF(O181="","",V181+Y181+AB181)</f>
        <v/>
      </c>
      <c r="AD181" s="19" t="str">
        <f aca="false">IF(O181="","",O181-R181-AC181)</f>
        <v/>
      </c>
      <c r="AE181" s="20"/>
      <c r="AF181" s="27"/>
      <c r="AG181" s="21" t="n">
        <f aca="false">IF(OR(AE181="",AE181=0),0,AE181*IF(U181="",0,IF(U181&gt;1,U181/100,U181)))</f>
        <v>0</v>
      </c>
      <c r="AH181" s="21" t="n">
        <f aca="false">IF(OR(AE181="",AE181=0),0,AE181*IF(X181="",0,IF(X181&gt;1,X181/100,X181)))</f>
        <v>0</v>
      </c>
      <c r="AI181" s="21" t="n">
        <f aca="false">IF(OR(AE181="",AE181=0),0,AE181*IF(AA181="",0,IF(AA181&gt;1,AA181/100,AA181)))</f>
        <v>0</v>
      </c>
      <c r="AJ181" s="21" t="n">
        <f aca="false">AG181+AH181+AI181</f>
        <v>0</v>
      </c>
      <c r="AK181" s="21" t="n">
        <f aca="false">IF(OR(AE181="",AE181=0),0,AE181-AJ181)</f>
        <v>0</v>
      </c>
      <c r="AL181" s="19" t="str">
        <f aca="false">IF(AD181="","",AD181-AK181)</f>
        <v/>
      </c>
      <c r="AM181" s="26" t="str">
        <f aca="false">IF(C181="","","Waiting for payment")</f>
        <v/>
      </c>
      <c r="AN181" s="27"/>
      <c r="AO181" s="27"/>
      <c r="AP181" s="35" t="str">
        <f aca="false">IF(OR(C181="",I181="",K181=""),"",IF(K181="Monthly",EDATE(C181,ROUND(I181*SETTINGS!$I$8,0)),WORKDAY(C181,ROUND(I181*SETTINGS!$I$8,0))))</f>
        <v/>
      </c>
      <c r="AQ181" s="26" t="str">
        <f aca="true">IF(C181="","",IF(AND(AP181&lt;&gt;"",TODAY()&gt;=AP181),"Refi Ready",IF(TODAY()-C181&gt;=SETTINGS!$I$11,"Prospecting","Performing")))</f>
        <v/>
      </c>
      <c r="AR181" s="35" t="str">
        <f aca="false">IF(OR(C181="",I181="",K181=""),"",IF(K181="Monthly",EDATE(C181,I181),WORKDAY(C181,I181)))</f>
        <v/>
      </c>
      <c r="AS181" s="28"/>
      <c r="AT181" s="36" t="str">
        <f aca="true">IF(C181="","",IF(AM181="Clawed Back","CLAWED",IF(TODAY()&lt;=C181+SETTINGS!$I$2,"⚠ AT RISK","SAFE")))</f>
        <v/>
      </c>
      <c r="AU181" s="28"/>
      <c r="AW181" s="24" t="n">
        <f aca="false">AW180+IF(AND(C181&lt;&gt;"",AO181&lt;&gt;"",OR('REP COMMISSION'!$B$3="",T181='REP COMMISSION'!$B$3,W181='REP COMMISSION'!$B$3,Z181='REP COMMISSION'!$B$3)),1,0)</f>
        <v>0</v>
      </c>
      <c r="AX181" s="24" t="n">
        <f aca="false">AX180+IF(AND(C181&lt;&gt;"",OR(F181="LOC - INITIAL",F181="CONSOLIDATION - UPFRONT COMM",F181="REVERSE - TOTAL FUNDING")),1,0)</f>
        <v>0</v>
      </c>
    </row>
    <row r="182" customFormat="false" ht="15" hidden="false" customHeight="false" outlineLevel="0" collapsed="false">
      <c r="A182" s="8" t="str">
        <f aca="false">IF(C182&lt;&gt;"","F"&amp;COUNT($C$4:C182),"")</f>
        <v/>
      </c>
      <c r="B182" s="9" t="str">
        <f aca="false">IF(OR(F182="LOC - INITIAL",F182="CONSOLIDATION - UPFRONT COMM",F182="REVERSE - TOTAL FUNDING"),A182,"")</f>
        <v/>
      </c>
      <c r="C182" s="10"/>
      <c r="D182" s="11"/>
      <c r="E182" s="11"/>
      <c r="F182" s="11"/>
      <c r="G182" s="12"/>
      <c r="H182" s="13"/>
      <c r="I182" s="11"/>
      <c r="J182" s="14" t="str">
        <f aca="false">IF(AND(G182&lt;&gt;"",H182&lt;&gt;""),G182*H182,"")</f>
        <v/>
      </c>
      <c r="K182" s="11"/>
      <c r="L182" s="15"/>
      <c r="M182" s="15"/>
      <c r="N182" s="14" t="n">
        <f aca="false">IF(OR(G182="",M182=""),0,IF(M182&gt;100,M182,G182*IF(M182&gt;1,M182/100,M182)))</f>
        <v>0</v>
      </c>
      <c r="O182" s="14" t="str">
        <f aca="false">IF(G182="","",G182*IF(L182="",0,IF(L182&gt;1,L182/100,L182))+N182)</f>
        <v/>
      </c>
      <c r="P182" s="11"/>
      <c r="Q182" s="16" t="str">
        <f aca="false">IF(P182="","",IFERROR(VLOOKUP(P182,PARTNERS!$A$2:$B$30,2,0),""))</f>
        <v/>
      </c>
      <c r="R182" s="17" t="str">
        <f aca="false">IF(O182="","",IF(OR(P182="",Q182=""),0,(O182-N182)*IF(Q182&gt;1,Q182/100,Q182)))</f>
        <v/>
      </c>
      <c r="S182" s="14" t="str">
        <f aca="false">IF(O182="","",O182-R182)</f>
        <v/>
      </c>
      <c r="T182" s="11"/>
      <c r="U182" s="18" t="str">
        <f aca="false">IF(T182="","",IFERROR(VLOOKUP(T182,REPS!$A$2:$D$40,2,0),""))</f>
        <v/>
      </c>
      <c r="V182" s="14" t="str">
        <f aca="false">IF(O182="","",IF(U182="",0,O182*IF(U182&gt;1,U182/100,U182)))</f>
        <v/>
      </c>
      <c r="W182" s="11"/>
      <c r="X182" s="18" t="str">
        <f aca="false">IF(W182="","",IFERROR(VLOOKUP(W182,REPS!$A$2:$D$40,3,0),""))</f>
        <v/>
      </c>
      <c r="Y182" s="14" t="str">
        <f aca="false">IF(O182="","",IF(X182="",0,O182*IF(X182&gt;1,X182/100,X182)))</f>
        <v/>
      </c>
      <c r="Z182" s="11"/>
      <c r="AA182" s="18" t="str">
        <f aca="false">IF(Z182="","",IFERROR(VLOOKUP(Z182,REPS!$A$2:$D$40,4,0),""))</f>
        <v/>
      </c>
      <c r="AB182" s="14" t="str">
        <f aca="false">IF(O182="","",IF(AA182="",0,O182*IF(AA182&gt;1,AA182/100,AA182)))</f>
        <v/>
      </c>
      <c r="AC182" s="14" t="str">
        <f aca="false">IF(O182="","",V182+Y182+AB182)</f>
        <v/>
      </c>
      <c r="AD182" s="19" t="str">
        <f aca="false">IF(O182="","",O182-R182-AC182)</f>
        <v/>
      </c>
      <c r="AE182" s="20"/>
      <c r="AF182" s="10"/>
      <c r="AG182" s="21" t="n">
        <f aca="false">IF(OR(AE182="",AE182=0),0,AE182*IF(U182="",0,IF(U182&gt;1,U182/100,U182)))</f>
        <v>0</v>
      </c>
      <c r="AH182" s="21" t="n">
        <f aca="false">IF(OR(AE182="",AE182=0),0,AE182*IF(X182="",0,IF(X182&gt;1,X182/100,X182)))</f>
        <v>0</v>
      </c>
      <c r="AI182" s="21" t="n">
        <f aca="false">IF(OR(AE182="",AE182=0),0,AE182*IF(AA182="",0,IF(AA182&gt;1,AA182/100,AA182)))</f>
        <v>0</v>
      </c>
      <c r="AJ182" s="21" t="n">
        <f aca="false">AG182+AH182+AI182</f>
        <v>0</v>
      </c>
      <c r="AK182" s="21" t="n">
        <f aca="false">IF(OR(AE182="",AE182=0),0,AE182-AJ182)</f>
        <v>0</v>
      </c>
      <c r="AL182" s="19" t="str">
        <f aca="false">IF(AD182="","",AD182-AK182)</f>
        <v/>
      </c>
      <c r="AM182" s="9" t="str">
        <f aca="false">IF(C182="","","Waiting for payment")</f>
        <v/>
      </c>
      <c r="AN182" s="10"/>
      <c r="AO182" s="10"/>
      <c r="AP182" s="22" t="str">
        <f aca="false">IF(OR(C182="",I182="",K182=""),"",IF(K182="Monthly",EDATE(C182,ROUND(I182*SETTINGS!$I$8,0)),WORKDAY(C182,ROUND(I182*SETTINGS!$I$8,0))))</f>
        <v/>
      </c>
      <c r="AQ182" s="9" t="str">
        <f aca="true">IF(C182="","",IF(AND(AP182&lt;&gt;"",TODAY()&gt;=AP182),"Refi Ready",IF(TODAY()-C182&gt;=SETTINGS!$I$11,"Prospecting","Performing")))</f>
        <v/>
      </c>
      <c r="AR182" s="22" t="str">
        <f aca="false">IF(OR(C182="",I182="",K182=""),"",IF(K182="Monthly",EDATE(C182,I182),WORKDAY(C182,I182)))</f>
        <v/>
      </c>
      <c r="AS182" s="11"/>
      <c r="AT182" s="23" t="str">
        <f aca="true">IF(C182="","",IF(AM182="Clawed Back","CLAWED",IF(TODAY()&lt;=C182+SETTINGS!$I$2,"⚠ AT RISK","SAFE")))</f>
        <v/>
      </c>
      <c r="AU182" s="11"/>
      <c r="AW182" s="24" t="n">
        <f aca="false">AW181+IF(AND(C182&lt;&gt;"",AO182&lt;&gt;"",OR('REP COMMISSION'!$B$3="",T182='REP COMMISSION'!$B$3,W182='REP COMMISSION'!$B$3,Z182='REP COMMISSION'!$B$3)),1,0)</f>
        <v>0</v>
      </c>
      <c r="AX182" s="24" t="n">
        <f aca="false">AX181+IF(AND(C182&lt;&gt;"",OR(F182="LOC - INITIAL",F182="CONSOLIDATION - UPFRONT COMM",F182="REVERSE - TOTAL FUNDING")),1,0)</f>
        <v>0</v>
      </c>
    </row>
    <row r="183" customFormat="false" ht="15" hidden="false" customHeight="false" outlineLevel="0" collapsed="false">
      <c r="A183" s="25" t="str">
        <f aca="false">IF(C183&lt;&gt;"","F"&amp;COUNT($C$4:C183),"")</f>
        <v/>
      </c>
      <c r="B183" s="26" t="str">
        <f aca="false">IF(OR(F183="LOC - INITIAL",F183="CONSOLIDATION - UPFRONT COMM",F183="REVERSE - TOTAL FUNDING"),A183,"")</f>
        <v/>
      </c>
      <c r="C183" s="27"/>
      <c r="D183" s="28"/>
      <c r="E183" s="28"/>
      <c r="F183" s="28"/>
      <c r="G183" s="29"/>
      <c r="H183" s="30"/>
      <c r="I183" s="28"/>
      <c r="J183" s="31" t="str">
        <f aca="false">IF(AND(G183&lt;&gt;"",H183&lt;&gt;""),G183*H183,"")</f>
        <v/>
      </c>
      <c r="K183" s="28"/>
      <c r="L183" s="32"/>
      <c r="M183" s="32"/>
      <c r="N183" s="31" t="n">
        <f aca="false">IF(OR(G183="",M183=""),0,IF(M183&gt;100,M183,G183*IF(M183&gt;1,M183/100,M183)))</f>
        <v>0</v>
      </c>
      <c r="O183" s="31" t="str">
        <f aca="false">IF(G183="","",G183*IF(L183="",0,IF(L183&gt;1,L183/100,L183))+N183)</f>
        <v/>
      </c>
      <c r="P183" s="28"/>
      <c r="Q183" s="33" t="str">
        <f aca="false">IF(P183="","",IFERROR(VLOOKUP(P183,PARTNERS!$A$2:$B$30,2,0),""))</f>
        <v/>
      </c>
      <c r="R183" s="17" t="str">
        <f aca="false">IF(O183="","",IF(OR(P183="",Q183=""),0,(O183-N183)*IF(Q183&gt;1,Q183/100,Q183)))</f>
        <v/>
      </c>
      <c r="S183" s="31" t="str">
        <f aca="false">IF(O183="","",O183-R183)</f>
        <v/>
      </c>
      <c r="T183" s="28"/>
      <c r="U183" s="34" t="str">
        <f aca="false">IF(T183="","",IFERROR(VLOOKUP(T183,REPS!$A$2:$D$40,2,0),""))</f>
        <v/>
      </c>
      <c r="V183" s="31" t="str">
        <f aca="false">IF(O183="","",IF(U183="",0,O183*IF(U183&gt;1,U183/100,U183)))</f>
        <v/>
      </c>
      <c r="W183" s="28"/>
      <c r="X183" s="34" t="str">
        <f aca="false">IF(W183="","",IFERROR(VLOOKUP(W183,REPS!$A$2:$D$40,3,0),""))</f>
        <v/>
      </c>
      <c r="Y183" s="31" t="str">
        <f aca="false">IF(O183="","",IF(X183="",0,O183*IF(X183&gt;1,X183/100,X183)))</f>
        <v/>
      </c>
      <c r="Z183" s="28"/>
      <c r="AA183" s="34" t="str">
        <f aca="false">IF(Z183="","",IFERROR(VLOOKUP(Z183,REPS!$A$2:$D$40,4,0),""))</f>
        <v/>
      </c>
      <c r="AB183" s="31" t="str">
        <f aca="false">IF(O183="","",IF(AA183="",0,O183*IF(AA183&gt;1,AA183/100,AA183)))</f>
        <v/>
      </c>
      <c r="AC183" s="31" t="str">
        <f aca="false">IF(O183="","",V183+Y183+AB183)</f>
        <v/>
      </c>
      <c r="AD183" s="19" t="str">
        <f aca="false">IF(O183="","",O183-R183-AC183)</f>
        <v/>
      </c>
      <c r="AE183" s="20"/>
      <c r="AF183" s="27"/>
      <c r="AG183" s="21" t="n">
        <f aca="false">IF(OR(AE183="",AE183=0),0,AE183*IF(U183="",0,IF(U183&gt;1,U183/100,U183)))</f>
        <v>0</v>
      </c>
      <c r="AH183" s="21" t="n">
        <f aca="false">IF(OR(AE183="",AE183=0),0,AE183*IF(X183="",0,IF(X183&gt;1,X183/100,X183)))</f>
        <v>0</v>
      </c>
      <c r="AI183" s="21" t="n">
        <f aca="false">IF(OR(AE183="",AE183=0),0,AE183*IF(AA183="",0,IF(AA183&gt;1,AA183/100,AA183)))</f>
        <v>0</v>
      </c>
      <c r="AJ183" s="21" t="n">
        <f aca="false">AG183+AH183+AI183</f>
        <v>0</v>
      </c>
      <c r="AK183" s="21" t="n">
        <f aca="false">IF(OR(AE183="",AE183=0),0,AE183-AJ183)</f>
        <v>0</v>
      </c>
      <c r="AL183" s="19" t="str">
        <f aca="false">IF(AD183="","",AD183-AK183)</f>
        <v/>
      </c>
      <c r="AM183" s="26" t="str">
        <f aca="false">IF(C183="","","Waiting for payment")</f>
        <v/>
      </c>
      <c r="AN183" s="27"/>
      <c r="AO183" s="27"/>
      <c r="AP183" s="35" t="str">
        <f aca="false">IF(OR(C183="",I183="",K183=""),"",IF(K183="Monthly",EDATE(C183,ROUND(I183*SETTINGS!$I$8,0)),WORKDAY(C183,ROUND(I183*SETTINGS!$I$8,0))))</f>
        <v/>
      </c>
      <c r="AQ183" s="26" t="str">
        <f aca="true">IF(C183="","",IF(AND(AP183&lt;&gt;"",TODAY()&gt;=AP183),"Refi Ready",IF(TODAY()-C183&gt;=SETTINGS!$I$11,"Prospecting","Performing")))</f>
        <v/>
      </c>
      <c r="AR183" s="35" t="str">
        <f aca="false">IF(OR(C183="",I183="",K183=""),"",IF(K183="Monthly",EDATE(C183,I183),WORKDAY(C183,I183)))</f>
        <v/>
      </c>
      <c r="AS183" s="28"/>
      <c r="AT183" s="36" t="str">
        <f aca="true">IF(C183="","",IF(AM183="Clawed Back","CLAWED",IF(TODAY()&lt;=C183+SETTINGS!$I$2,"⚠ AT RISK","SAFE")))</f>
        <v/>
      </c>
      <c r="AU183" s="28"/>
      <c r="AW183" s="24" t="n">
        <f aca="false">AW182+IF(AND(C183&lt;&gt;"",AO183&lt;&gt;"",OR('REP COMMISSION'!$B$3="",T183='REP COMMISSION'!$B$3,W183='REP COMMISSION'!$B$3,Z183='REP COMMISSION'!$B$3)),1,0)</f>
        <v>0</v>
      </c>
      <c r="AX183" s="24" t="n">
        <f aca="false">AX182+IF(AND(C183&lt;&gt;"",OR(F183="LOC - INITIAL",F183="CONSOLIDATION - UPFRONT COMM",F183="REVERSE - TOTAL FUNDING")),1,0)</f>
        <v>0</v>
      </c>
    </row>
    <row r="184" customFormat="false" ht="15" hidden="false" customHeight="false" outlineLevel="0" collapsed="false">
      <c r="A184" s="8" t="str">
        <f aca="false">IF(C184&lt;&gt;"","F"&amp;COUNT($C$4:C184),"")</f>
        <v/>
      </c>
      <c r="B184" s="9" t="str">
        <f aca="false">IF(OR(F184="LOC - INITIAL",F184="CONSOLIDATION - UPFRONT COMM",F184="REVERSE - TOTAL FUNDING"),A184,"")</f>
        <v/>
      </c>
      <c r="C184" s="10"/>
      <c r="D184" s="11"/>
      <c r="E184" s="11"/>
      <c r="F184" s="11"/>
      <c r="G184" s="12"/>
      <c r="H184" s="13"/>
      <c r="I184" s="11"/>
      <c r="J184" s="14" t="str">
        <f aca="false">IF(AND(G184&lt;&gt;"",H184&lt;&gt;""),G184*H184,"")</f>
        <v/>
      </c>
      <c r="K184" s="11"/>
      <c r="L184" s="15"/>
      <c r="M184" s="15"/>
      <c r="N184" s="14" t="n">
        <f aca="false">IF(OR(G184="",M184=""),0,IF(M184&gt;100,M184,G184*IF(M184&gt;1,M184/100,M184)))</f>
        <v>0</v>
      </c>
      <c r="O184" s="14" t="str">
        <f aca="false">IF(G184="","",G184*IF(L184="",0,IF(L184&gt;1,L184/100,L184))+N184)</f>
        <v/>
      </c>
      <c r="P184" s="11"/>
      <c r="Q184" s="16" t="str">
        <f aca="false">IF(P184="","",IFERROR(VLOOKUP(P184,PARTNERS!$A$2:$B$30,2,0),""))</f>
        <v/>
      </c>
      <c r="R184" s="17" t="str">
        <f aca="false">IF(O184="","",IF(OR(P184="",Q184=""),0,(O184-N184)*IF(Q184&gt;1,Q184/100,Q184)))</f>
        <v/>
      </c>
      <c r="S184" s="14" t="str">
        <f aca="false">IF(O184="","",O184-R184)</f>
        <v/>
      </c>
      <c r="T184" s="11"/>
      <c r="U184" s="18" t="str">
        <f aca="false">IF(T184="","",IFERROR(VLOOKUP(T184,REPS!$A$2:$D$40,2,0),""))</f>
        <v/>
      </c>
      <c r="V184" s="14" t="str">
        <f aca="false">IF(O184="","",IF(U184="",0,O184*IF(U184&gt;1,U184/100,U184)))</f>
        <v/>
      </c>
      <c r="W184" s="11"/>
      <c r="X184" s="18" t="str">
        <f aca="false">IF(W184="","",IFERROR(VLOOKUP(W184,REPS!$A$2:$D$40,3,0),""))</f>
        <v/>
      </c>
      <c r="Y184" s="14" t="str">
        <f aca="false">IF(O184="","",IF(X184="",0,O184*IF(X184&gt;1,X184/100,X184)))</f>
        <v/>
      </c>
      <c r="Z184" s="11"/>
      <c r="AA184" s="18" t="str">
        <f aca="false">IF(Z184="","",IFERROR(VLOOKUP(Z184,REPS!$A$2:$D$40,4,0),""))</f>
        <v/>
      </c>
      <c r="AB184" s="14" t="str">
        <f aca="false">IF(O184="","",IF(AA184="",0,O184*IF(AA184&gt;1,AA184/100,AA184)))</f>
        <v/>
      </c>
      <c r="AC184" s="14" t="str">
        <f aca="false">IF(O184="","",V184+Y184+AB184)</f>
        <v/>
      </c>
      <c r="AD184" s="19" t="str">
        <f aca="false">IF(O184="","",O184-R184-AC184)</f>
        <v/>
      </c>
      <c r="AE184" s="20"/>
      <c r="AF184" s="10"/>
      <c r="AG184" s="21" t="n">
        <f aca="false">IF(OR(AE184="",AE184=0),0,AE184*IF(U184="",0,IF(U184&gt;1,U184/100,U184)))</f>
        <v>0</v>
      </c>
      <c r="AH184" s="21" t="n">
        <f aca="false">IF(OR(AE184="",AE184=0),0,AE184*IF(X184="",0,IF(X184&gt;1,X184/100,X184)))</f>
        <v>0</v>
      </c>
      <c r="AI184" s="21" t="n">
        <f aca="false">IF(OR(AE184="",AE184=0),0,AE184*IF(AA184="",0,IF(AA184&gt;1,AA184/100,AA184)))</f>
        <v>0</v>
      </c>
      <c r="AJ184" s="21" t="n">
        <f aca="false">AG184+AH184+AI184</f>
        <v>0</v>
      </c>
      <c r="AK184" s="21" t="n">
        <f aca="false">IF(OR(AE184="",AE184=0),0,AE184-AJ184)</f>
        <v>0</v>
      </c>
      <c r="AL184" s="19" t="str">
        <f aca="false">IF(AD184="","",AD184-AK184)</f>
        <v/>
      </c>
      <c r="AM184" s="9" t="str">
        <f aca="false">IF(C184="","","Waiting for payment")</f>
        <v/>
      </c>
      <c r="AN184" s="10"/>
      <c r="AO184" s="10"/>
      <c r="AP184" s="22" t="str">
        <f aca="false">IF(OR(C184="",I184="",K184=""),"",IF(K184="Monthly",EDATE(C184,ROUND(I184*SETTINGS!$I$8,0)),WORKDAY(C184,ROUND(I184*SETTINGS!$I$8,0))))</f>
        <v/>
      </c>
      <c r="AQ184" s="9" t="str">
        <f aca="true">IF(C184="","",IF(AND(AP184&lt;&gt;"",TODAY()&gt;=AP184),"Refi Ready",IF(TODAY()-C184&gt;=SETTINGS!$I$11,"Prospecting","Performing")))</f>
        <v/>
      </c>
      <c r="AR184" s="22" t="str">
        <f aca="false">IF(OR(C184="",I184="",K184=""),"",IF(K184="Monthly",EDATE(C184,I184),WORKDAY(C184,I184)))</f>
        <v/>
      </c>
      <c r="AS184" s="11"/>
      <c r="AT184" s="23" t="str">
        <f aca="true">IF(C184="","",IF(AM184="Clawed Back","CLAWED",IF(TODAY()&lt;=C184+SETTINGS!$I$2,"⚠ AT RISK","SAFE")))</f>
        <v/>
      </c>
      <c r="AU184" s="11"/>
      <c r="AW184" s="24" t="n">
        <f aca="false">AW183+IF(AND(C184&lt;&gt;"",AO184&lt;&gt;"",OR('REP COMMISSION'!$B$3="",T184='REP COMMISSION'!$B$3,W184='REP COMMISSION'!$B$3,Z184='REP COMMISSION'!$B$3)),1,0)</f>
        <v>0</v>
      </c>
      <c r="AX184" s="24" t="n">
        <f aca="false">AX183+IF(AND(C184&lt;&gt;"",OR(F184="LOC - INITIAL",F184="CONSOLIDATION - UPFRONT COMM",F184="REVERSE - TOTAL FUNDING")),1,0)</f>
        <v>0</v>
      </c>
    </row>
    <row r="185" customFormat="false" ht="15" hidden="false" customHeight="false" outlineLevel="0" collapsed="false">
      <c r="A185" s="25" t="str">
        <f aca="false">IF(C185&lt;&gt;"","F"&amp;COUNT($C$4:C185),"")</f>
        <v/>
      </c>
      <c r="B185" s="26" t="str">
        <f aca="false">IF(OR(F185="LOC - INITIAL",F185="CONSOLIDATION - UPFRONT COMM",F185="REVERSE - TOTAL FUNDING"),A185,"")</f>
        <v/>
      </c>
      <c r="C185" s="27"/>
      <c r="D185" s="28"/>
      <c r="E185" s="28"/>
      <c r="F185" s="28"/>
      <c r="G185" s="29"/>
      <c r="H185" s="30"/>
      <c r="I185" s="28"/>
      <c r="J185" s="31" t="str">
        <f aca="false">IF(AND(G185&lt;&gt;"",H185&lt;&gt;""),G185*H185,"")</f>
        <v/>
      </c>
      <c r="K185" s="28"/>
      <c r="L185" s="32"/>
      <c r="M185" s="32"/>
      <c r="N185" s="31" t="n">
        <f aca="false">IF(OR(G185="",M185=""),0,IF(M185&gt;100,M185,G185*IF(M185&gt;1,M185/100,M185)))</f>
        <v>0</v>
      </c>
      <c r="O185" s="31" t="str">
        <f aca="false">IF(G185="","",G185*IF(L185="",0,IF(L185&gt;1,L185/100,L185))+N185)</f>
        <v/>
      </c>
      <c r="P185" s="28"/>
      <c r="Q185" s="33" t="str">
        <f aca="false">IF(P185="","",IFERROR(VLOOKUP(P185,PARTNERS!$A$2:$B$30,2,0),""))</f>
        <v/>
      </c>
      <c r="R185" s="17" t="str">
        <f aca="false">IF(O185="","",IF(OR(P185="",Q185=""),0,(O185-N185)*IF(Q185&gt;1,Q185/100,Q185)))</f>
        <v/>
      </c>
      <c r="S185" s="31" t="str">
        <f aca="false">IF(O185="","",O185-R185)</f>
        <v/>
      </c>
      <c r="T185" s="28"/>
      <c r="U185" s="34" t="str">
        <f aca="false">IF(T185="","",IFERROR(VLOOKUP(T185,REPS!$A$2:$D$40,2,0),""))</f>
        <v/>
      </c>
      <c r="V185" s="31" t="str">
        <f aca="false">IF(O185="","",IF(U185="",0,O185*IF(U185&gt;1,U185/100,U185)))</f>
        <v/>
      </c>
      <c r="W185" s="28"/>
      <c r="X185" s="34" t="str">
        <f aca="false">IF(W185="","",IFERROR(VLOOKUP(W185,REPS!$A$2:$D$40,3,0),""))</f>
        <v/>
      </c>
      <c r="Y185" s="31" t="str">
        <f aca="false">IF(O185="","",IF(X185="",0,O185*IF(X185&gt;1,X185/100,X185)))</f>
        <v/>
      </c>
      <c r="Z185" s="28"/>
      <c r="AA185" s="34" t="str">
        <f aca="false">IF(Z185="","",IFERROR(VLOOKUP(Z185,REPS!$A$2:$D$40,4,0),""))</f>
        <v/>
      </c>
      <c r="AB185" s="31" t="str">
        <f aca="false">IF(O185="","",IF(AA185="",0,O185*IF(AA185&gt;1,AA185/100,AA185)))</f>
        <v/>
      </c>
      <c r="AC185" s="31" t="str">
        <f aca="false">IF(O185="","",V185+Y185+AB185)</f>
        <v/>
      </c>
      <c r="AD185" s="19" t="str">
        <f aca="false">IF(O185="","",O185-R185-AC185)</f>
        <v/>
      </c>
      <c r="AE185" s="20"/>
      <c r="AF185" s="27"/>
      <c r="AG185" s="21" t="n">
        <f aca="false">IF(OR(AE185="",AE185=0),0,AE185*IF(U185="",0,IF(U185&gt;1,U185/100,U185)))</f>
        <v>0</v>
      </c>
      <c r="AH185" s="21" t="n">
        <f aca="false">IF(OR(AE185="",AE185=0),0,AE185*IF(X185="",0,IF(X185&gt;1,X185/100,X185)))</f>
        <v>0</v>
      </c>
      <c r="AI185" s="21" t="n">
        <f aca="false">IF(OR(AE185="",AE185=0),0,AE185*IF(AA185="",0,IF(AA185&gt;1,AA185/100,AA185)))</f>
        <v>0</v>
      </c>
      <c r="AJ185" s="21" t="n">
        <f aca="false">AG185+AH185+AI185</f>
        <v>0</v>
      </c>
      <c r="AK185" s="21" t="n">
        <f aca="false">IF(OR(AE185="",AE185=0),0,AE185-AJ185)</f>
        <v>0</v>
      </c>
      <c r="AL185" s="19" t="str">
        <f aca="false">IF(AD185="","",AD185-AK185)</f>
        <v/>
      </c>
      <c r="AM185" s="26" t="str">
        <f aca="false">IF(C185="","","Waiting for payment")</f>
        <v/>
      </c>
      <c r="AN185" s="27"/>
      <c r="AO185" s="27"/>
      <c r="AP185" s="35" t="str">
        <f aca="false">IF(OR(C185="",I185="",K185=""),"",IF(K185="Monthly",EDATE(C185,ROUND(I185*SETTINGS!$I$8,0)),WORKDAY(C185,ROUND(I185*SETTINGS!$I$8,0))))</f>
        <v/>
      </c>
      <c r="AQ185" s="26" t="str">
        <f aca="true">IF(C185="","",IF(AND(AP185&lt;&gt;"",TODAY()&gt;=AP185),"Refi Ready",IF(TODAY()-C185&gt;=SETTINGS!$I$11,"Prospecting","Performing")))</f>
        <v/>
      </c>
      <c r="AR185" s="35" t="str">
        <f aca="false">IF(OR(C185="",I185="",K185=""),"",IF(K185="Monthly",EDATE(C185,I185),WORKDAY(C185,I185)))</f>
        <v/>
      </c>
      <c r="AS185" s="28"/>
      <c r="AT185" s="36" t="str">
        <f aca="true">IF(C185="","",IF(AM185="Clawed Back","CLAWED",IF(TODAY()&lt;=C185+SETTINGS!$I$2,"⚠ AT RISK","SAFE")))</f>
        <v/>
      </c>
      <c r="AU185" s="28"/>
      <c r="AW185" s="24" t="n">
        <f aca="false">AW184+IF(AND(C185&lt;&gt;"",AO185&lt;&gt;"",OR('REP COMMISSION'!$B$3="",T185='REP COMMISSION'!$B$3,W185='REP COMMISSION'!$B$3,Z185='REP COMMISSION'!$B$3)),1,0)</f>
        <v>0</v>
      </c>
      <c r="AX185" s="24" t="n">
        <f aca="false">AX184+IF(AND(C185&lt;&gt;"",OR(F185="LOC - INITIAL",F185="CONSOLIDATION - UPFRONT COMM",F185="REVERSE - TOTAL FUNDING")),1,0)</f>
        <v>0</v>
      </c>
    </row>
    <row r="186" customFormat="false" ht="15" hidden="false" customHeight="false" outlineLevel="0" collapsed="false">
      <c r="A186" s="8" t="str">
        <f aca="false">IF(C186&lt;&gt;"","F"&amp;COUNT($C$4:C186),"")</f>
        <v/>
      </c>
      <c r="B186" s="9" t="str">
        <f aca="false">IF(OR(F186="LOC - INITIAL",F186="CONSOLIDATION - UPFRONT COMM",F186="REVERSE - TOTAL FUNDING"),A186,"")</f>
        <v/>
      </c>
      <c r="C186" s="10"/>
      <c r="D186" s="11"/>
      <c r="E186" s="11"/>
      <c r="F186" s="11"/>
      <c r="G186" s="12"/>
      <c r="H186" s="13"/>
      <c r="I186" s="11"/>
      <c r="J186" s="14" t="str">
        <f aca="false">IF(AND(G186&lt;&gt;"",H186&lt;&gt;""),G186*H186,"")</f>
        <v/>
      </c>
      <c r="K186" s="11"/>
      <c r="L186" s="15"/>
      <c r="M186" s="15"/>
      <c r="N186" s="14" t="n">
        <f aca="false">IF(OR(G186="",M186=""),0,IF(M186&gt;100,M186,G186*IF(M186&gt;1,M186/100,M186)))</f>
        <v>0</v>
      </c>
      <c r="O186" s="14" t="str">
        <f aca="false">IF(G186="","",G186*IF(L186="",0,IF(L186&gt;1,L186/100,L186))+N186)</f>
        <v/>
      </c>
      <c r="P186" s="11"/>
      <c r="Q186" s="16" t="str">
        <f aca="false">IF(P186="","",IFERROR(VLOOKUP(P186,PARTNERS!$A$2:$B$30,2,0),""))</f>
        <v/>
      </c>
      <c r="R186" s="17" t="str">
        <f aca="false">IF(O186="","",IF(OR(P186="",Q186=""),0,(O186-N186)*IF(Q186&gt;1,Q186/100,Q186)))</f>
        <v/>
      </c>
      <c r="S186" s="14" t="str">
        <f aca="false">IF(O186="","",O186-R186)</f>
        <v/>
      </c>
      <c r="T186" s="11"/>
      <c r="U186" s="18" t="str">
        <f aca="false">IF(T186="","",IFERROR(VLOOKUP(T186,REPS!$A$2:$D$40,2,0),""))</f>
        <v/>
      </c>
      <c r="V186" s="14" t="str">
        <f aca="false">IF(O186="","",IF(U186="",0,O186*IF(U186&gt;1,U186/100,U186)))</f>
        <v/>
      </c>
      <c r="W186" s="11"/>
      <c r="X186" s="18" t="str">
        <f aca="false">IF(W186="","",IFERROR(VLOOKUP(W186,REPS!$A$2:$D$40,3,0),""))</f>
        <v/>
      </c>
      <c r="Y186" s="14" t="str">
        <f aca="false">IF(O186="","",IF(X186="",0,O186*IF(X186&gt;1,X186/100,X186)))</f>
        <v/>
      </c>
      <c r="Z186" s="11"/>
      <c r="AA186" s="18" t="str">
        <f aca="false">IF(Z186="","",IFERROR(VLOOKUP(Z186,REPS!$A$2:$D$40,4,0),""))</f>
        <v/>
      </c>
      <c r="AB186" s="14" t="str">
        <f aca="false">IF(O186="","",IF(AA186="",0,O186*IF(AA186&gt;1,AA186/100,AA186)))</f>
        <v/>
      </c>
      <c r="AC186" s="14" t="str">
        <f aca="false">IF(O186="","",V186+Y186+AB186)</f>
        <v/>
      </c>
      <c r="AD186" s="19" t="str">
        <f aca="false">IF(O186="","",O186-R186-AC186)</f>
        <v/>
      </c>
      <c r="AE186" s="20"/>
      <c r="AF186" s="10"/>
      <c r="AG186" s="21" t="n">
        <f aca="false">IF(OR(AE186="",AE186=0),0,AE186*IF(U186="",0,IF(U186&gt;1,U186/100,U186)))</f>
        <v>0</v>
      </c>
      <c r="AH186" s="21" t="n">
        <f aca="false">IF(OR(AE186="",AE186=0),0,AE186*IF(X186="",0,IF(X186&gt;1,X186/100,X186)))</f>
        <v>0</v>
      </c>
      <c r="AI186" s="21" t="n">
        <f aca="false">IF(OR(AE186="",AE186=0),0,AE186*IF(AA186="",0,IF(AA186&gt;1,AA186/100,AA186)))</f>
        <v>0</v>
      </c>
      <c r="AJ186" s="21" t="n">
        <f aca="false">AG186+AH186+AI186</f>
        <v>0</v>
      </c>
      <c r="AK186" s="21" t="n">
        <f aca="false">IF(OR(AE186="",AE186=0),0,AE186-AJ186)</f>
        <v>0</v>
      </c>
      <c r="AL186" s="19" t="str">
        <f aca="false">IF(AD186="","",AD186-AK186)</f>
        <v/>
      </c>
      <c r="AM186" s="9" t="str">
        <f aca="false">IF(C186="","","Waiting for payment")</f>
        <v/>
      </c>
      <c r="AN186" s="10"/>
      <c r="AO186" s="10"/>
      <c r="AP186" s="22" t="str">
        <f aca="false">IF(OR(C186="",I186="",K186=""),"",IF(K186="Monthly",EDATE(C186,ROUND(I186*SETTINGS!$I$8,0)),WORKDAY(C186,ROUND(I186*SETTINGS!$I$8,0))))</f>
        <v/>
      </c>
      <c r="AQ186" s="9" t="str">
        <f aca="true">IF(C186="","",IF(AND(AP186&lt;&gt;"",TODAY()&gt;=AP186),"Refi Ready",IF(TODAY()-C186&gt;=SETTINGS!$I$11,"Prospecting","Performing")))</f>
        <v/>
      </c>
      <c r="AR186" s="22" t="str">
        <f aca="false">IF(OR(C186="",I186="",K186=""),"",IF(K186="Monthly",EDATE(C186,I186),WORKDAY(C186,I186)))</f>
        <v/>
      </c>
      <c r="AS186" s="11"/>
      <c r="AT186" s="23" t="str">
        <f aca="true">IF(C186="","",IF(AM186="Clawed Back","CLAWED",IF(TODAY()&lt;=C186+SETTINGS!$I$2,"⚠ AT RISK","SAFE")))</f>
        <v/>
      </c>
      <c r="AU186" s="11"/>
      <c r="AW186" s="24" t="n">
        <f aca="false">AW185+IF(AND(C186&lt;&gt;"",AO186&lt;&gt;"",OR('REP COMMISSION'!$B$3="",T186='REP COMMISSION'!$B$3,W186='REP COMMISSION'!$B$3,Z186='REP COMMISSION'!$B$3)),1,0)</f>
        <v>0</v>
      </c>
      <c r="AX186" s="24" t="n">
        <f aca="false">AX185+IF(AND(C186&lt;&gt;"",OR(F186="LOC - INITIAL",F186="CONSOLIDATION - UPFRONT COMM",F186="REVERSE - TOTAL FUNDING")),1,0)</f>
        <v>0</v>
      </c>
    </row>
    <row r="187" customFormat="false" ht="15" hidden="false" customHeight="false" outlineLevel="0" collapsed="false">
      <c r="A187" s="25" t="str">
        <f aca="false">IF(C187&lt;&gt;"","F"&amp;COUNT($C$4:C187),"")</f>
        <v/>
      </c>
      <c r="B187" s="26" t="str">
        <f aca="false">IF(OR(F187="LOC - INITIAL",F187="CONSOLIDATION - UPFRONT COMM",F187="REVERSE - TOTAL FUNDING"),A187,"")</f>
        <v/>
      </c>
      <c r="C187" s="27"/>
      <c r="D187" s="28"/>
      <c r="E187" s="28"/>
      <c r="F187" s="28"/>
      <c r="G187" s="29"/>
      <c r="H187" s="30"/>
      <c r="I187" s="28"/>
      <c r="J187" s="31" t="str">
        <f aca="false">IF(AND(G187&lt;&gt;"",H187&lt;&gt;""),G187*H187,"")</f>
        <v/>
      </c>
      <c r="K187" s="28"/>
      <c r="L187" s="32"/>
      <c r="M187" s="32"/>
      <c r="N187" s="31" t="n">
        <f aca="false">IF(OR(G187="",M187=""),0,IF(M187&gt;100,M187,G187*IF(M187&gt;1,M187/100,M187)))</f>
        <v>0</v>
      </c>
      <c r="O187" s="31" t="str">
        <f aca="false">IF(G187="","",G187*IF(L187="",0,IF(L187&gt;1,L187/100,L187))+N187)</f>
        <v/>
      </c>
      <c r="P187" s="28"/>
      <c r="Q187" s="33" t="str">
        <f aca="false">IF(P187="","",IFERROR(VLOOKUP(P187,PARTNERS!$A$2:$B$30,2,0),""))</f>
        <v/>
      </c>
      <c r="R187" s="17" t="str">
        <f aca="false">IF(O187="","",IF(OR(P187="",Q187=""),0,(O187-N187)*IF(Q187&gt;1,Q187/100,Q187)))</f>
        <v/>
      </c>
      <c r="S187" s="31" t="str">
        <f aca="false">IF(O187="","",O187-R187)</f>
        <v/>
      </c>
      <c r="T187" s="28"/>
      <c r="U187" s="34" t="str">
        <f aca="false">IF(T187="","",IFERROR(VLOOKUP(T187,REPS!$A$2:$D$40,2,0),""))</f>
        <v/>
      </c>
      <c r="V187" s="31" t="str">
        <f aca="false">IF(O187="","",IF(U187="",0,O187*IF(U187&gt;1,U187/100,U187)))</f>
        <v/>
      </c>
      <c r="W187" s="28"/>
      <c r="X187" s="34" t="str">
        <f aca="false">IF(W187="","",IFERROR(VLOOKUP(W187,REPS!$A$2:$D$40,3,0),""))</f>
        <v/>
      </c>
      <c r="Y187" s="31" t="str">
        <f aca="false">IF(O187="","",IF(X187="",0,O187*IF(X187&gt;1,X187/100,X187)))</f>
        <v/>
      </c>
      <c r="Z187" s="28"/>
      <c r="AA187" s="34" t="str">
        <f aca="false">IF(Z187="","",IFERROR(VLOOKUP(Z187,REPS!$A$2:$D$40,4,0),""))</f>
        <v/>
      </c>
      <c r="AB187" s="31" t="str">
        <f aca="false">IF(O187="","",IF(AA187="",0,O187*IF(AA187&gt;1,AA187/100,AA187)))</f>
        <v/>
      </c>
      <c r="AC187" s="31" t="str">
        <f aca="false">IF(O187="","",V187+Y187+AB187)</f>
        <v/>
      </c>
      <c r="AD187" s="19" t="str">
        <f aca="false">IF(O187="","",O187-R187-AC187)</f>
        <v/>
      </c>
      <c r="AE187" s="20"/>
      <c r="AF187" s="27"/>
      <c r="AG187" s="21" t="n">
        <f aca="false">IF(OR(AE187="",AE187=0),0,AE187*IF(U187="",0,IF(U187&gt;1,U187/100,U187)))</f>
        <v>0</v>
      </c>
      <c r="AH187" s="21" t="n">
        <f aca="false">IF(OR(AE187="",AE187=0),0,AE187*IF(X187="",0,IF(X187&gt;1,X187/100,X187)))</f>
        <v>0</v>
      </c>
      <c r="AI187" s="21" t="n">
        <f aca="false">IF(OR(AE187="",AE187=0),0,AE187*IF(AA187="",0,IF(AA187&gt;1,AA187/100,AA187)))</f>
        <v>0</v>
      </c>
      <c r="AJ187" s="21" t="n">
        <f aca="false">AG187+AH187+AI187</f>
        <v>0</v>
      </c>
      <c r="AK187" s="21" t="n">
        <f aca="false">IF(OR(AE187="",AE187=0),0,AE187-AJ187)</f>
        <v>0</v>
      </c>
      <c r="AL187" s="19" t="str">
        <f aca="false">IF(AD187="","",AD187-AK187)</f>
        <v/>
      </c>
      <c r="AM187" s="26" t="str">
        <f aca="false">IF(C187="","","Waiting for payment")</f>
        <v/>
      </c>
      <c r="AN187" s="27"/>
      <c r="AO187" s="27"/>
      <c r="AP187" s="35" t="str">
        <f aca="false">IF(OR(C187="",I187="",K187=""),"",IF(K187="Monthly",EDATE(C187,ROUND(I187*SETTINGS!$I$8,0)),WORKDAY(C187,ROUND(I187*SETTINGS!$I$8,0))))</f>
        <v/>
      </c>
      <c r="AQ187" s="26" t="str">
        <f aca="true">IF(C187="","",IF(AND(AP187&lt;&gt;"",TODAY()&gt;=AP187),"Refi Ready",IF(TODAY()-C187&gt;=SETTINGS!$I$11,"Prospecting","Performing")))</f>
        <v/>
      </c>
      <c r="AR187" s="35" t="str">
        <f aca="false">IF(OR(C187="",I187="",K187=""),"",IF(K187="Monthly",EDATE(C187,I187),WORKDAY(C187,I187)))</f>
        <v/>
      </c>
      <c r="AS187" s="28"/>
      <c r="AT187" s="36" t="str">
        <f aca="true">IF(C187="","",IF(AM187="Clawed Back","CLAWED",IF(TODAY()&lt;=C187+SETTINGS!$I$2,"⚠ AT RISK","SAFE")))</f>
        <v/>
      </c>
      <c r="AU187" s="28"/>
      <c r="AW187" s="24" t="n">
        <f aca="false">AW186+IF(AND(C187&lt;&gt;"",AO187&lt;&gt;"",OR('REP COMMISSION'!$B$3="",T187='REP COMMISSION'!$B$3,W187='REP COMMISSION'!$B$3,Z187='REP COMMISSION'!$B$3)),1,0)</f>
        <v>0</v>
      </c>
      <c r="AX187" s="24" t="n">
        <f aca="false">AX186+IF(AND(C187&lt;&gt;"",OR(F187="LOC - INITIAL",F187="CONSOLIDATION - UPFRONT COMM",F187="REVERSE - TOTAL FUNDING")),1,0)</f>
        <v>0</v>
      </c>
    </row>
    <row r="188" customFormat="false" ht="15" hidden="false" customHeight="false" outlineLevel="0" collapsed="false">
      <c r="A188" s="8" t="str">
        <f aca="false">IF(C188&lt;&gt;"","F"&amp;COUNT($C$4:C188),"")</f>
        <v/>
      </c>
      <c r="B188" s="9" t="str">
        <f aca="false">IF(OR(F188="LOC - INITIAL",F188="CONSOLIDATION - UPFRONT COMM",F188="REVERSE - TOTAL FUNDING"),A188,"")</f>
        <v/>
      </c>
      <c r="C188" s="10"/>
      <c r="D188" s="11"/>
      <c r="E188" s="11"/>
      <c r="F188" s="11"/>
      <c r="G188" s="12"/>
      <c r="H188" s="13"/>
      <c r="I188" s="11"/>
      <c r="J188" s="14" t="str">
        <f aca="false">IF(AND(G188&lt;&gt;"",H188&lt;&gt;""),G188*H188,"")</f>
        <v/>
      </c>
      <c r="K188" s="11"/>
      <c r="L188" s="15"/>
      <c r="M188" s="15"/>
      <c r="N188" s="14" t="n">
        <f aca="false">IF(OR(G188="",M188=""),0,IF(M188&gt;100,M188,G188*IF(M188&gt;1,M188/100,M188)))</f>
        <v>0</v>
      </c>
      <c r="O188" s="14" t="str">
        <f aca="false">IF(G188="","",G188*IF(L188="",0,IF(L188&gt;1,L188/100,L188))+N188)</f>
        <v/>
      </c>
      <c r="P188" s="11"/>
      <c r="Q188" s="16" t="str">
        <f aca="false">IF(P188="","",IFERROR(VLOOKUP(P188,PARTNERS!$A$2:$B$30,2,0),""))</f>
        <v/>
      </c>
      <c r="R188" s="17" t="str">
        <f aca="false">IF(O188="","",IF(OR(P188="",Q188=""),0,(O188-N188)*IF(Q188&gt;1,Q188/100,Q188)))</f>
        <v/>
      </c>
      <c r="S188" s="14" t="str">
        <f aca="false">IF(O188="","",O188-R188)</f>
        <v/>
      </c>
      <c r="T188" s="11"/>
      <c r="U188" s="18" t="str">
        <f aca="false">IF(T188="","",IFERROR(VLOOKUP(T188,REPS!$A$2:$D$40,2,0),""))</f>
        <v/>
      </c>
      <c r="V188" s="14" t="str">
        <f aca="false">IF(O188="","",IF(U188="",0,O188*IF(U188&gt;1,U188/100,U188)))</f>
        <v/>
      </c>
      <c r="W188" s="11"/>
      <c r="X188" s="18" t="str">
        <f aca="false">IF(W188="","",IFERROR(VLOOKUP(W188,REPS!$A$2:$D$40,3,0),""))</f>
        <v/>
      </c>
      <c r="Y188" s="14" t="str">
        <f aca="false">IF(O188="","",IF(X188="",0,O188*IF(X188&gt;1,X188/100,X188)))</f>
        <v/>
      </c>
      <c r="Z188" s="11"/>
      <c r="AA188" s="18" t="str">
        <f aca="false">IF(Z188="","",IFERROR(VLOOKUP(Z188,REPS!$A$2:$D$40,4,0),""))</f>
        <v/>
      </c>
      <c r="AB188" s="14" t="str">
        <f aca="false">IF(O188="","",IF(AA188="",0,O188*IF(AA188&gt;1,AA188/100,AA188)))</f>
        <v/>
      </c>
      <c r="AC188" s="14" t="str">
        <f aca="false">IF(O188="","",V188+Y188+AB188)</f>
        <v/>
      </c>
      <c r="AD188" s="19" t="str">
        <f aca="false">IF(O188="","",O188-R188-AC188)</f>
        <v/>
      </c>
      <c r="AE188" s="20"/>
      <c r="AF188" s="10"/>
      <c r="AG188" s="21" t="n">
        <f aca="false">IF(OR(AE188="",AE188=0),0,AE188*IF(U188="",0,IF(U188&gt;1,U188/100,U188)))</f>
        <v>0</v>
      </c>
      <c r="AH188" s="21" t="n">
        <f aca="false">IF(OR(AE188="",AE188=0),0,AE188*IF(X188="",0,IF(X188&gt;1,X188/100,X188)))</f>
        <v>0</v>
      </c>
      <c r="AI188" s="21" t="n">
        <f aca="false">IF(OR(AE188="",AE188=0),0,AE188*IF(AA188="",0,IF(AA188&gt;1,AA188/100,AA188)))</f>
        <v>0</v>
      </c>
      <c r="AJ188" s="21" t="n">
        <f aca="false">AG188+AH188+AI188</f>
        <v>0</v>
      </c>
      <c r="AK188" s="21" t="n">
        <f aca="false">IF(OR(AE188="",AE188=0),0,AE188-AJ188)</f>
        <v>0</v>
      </c>
      <c r="AL188" s="19" t="str">
        <f aca="false">IF(AD188="","",AD188-AK188)</f>
        <v/>
      </c>
      <c r="AM188" s="9" t="str">
        <f aca="false">IF(C188="","","Waiting for payment")</f>
        <v/>
      </c>
      <c r="AN188" s="10"/>
      <c r="AO188" s="10"/>
      <c r="AP188" s="22" t="str">
        <f aca="false">IF(OR(C188="",I188="",K188=""),"",IF(K188="Monthly",EDATE(C188,ROUND(I188*SETTINGS!$I$8,0)),WORKDAY(C188,ROUND(I188*SETTINGS!$I$8,0))))</f>
        <v/>
      </c>
      <c r="AQ188" s="9" t="str">
        <f aca="true">IF(C188="","",IF(AND(AP188&lt;&gt;"",TODAY()&gt;=AP188),"Refi Ready",IF(TODAY()-C188&gt;=SETTINGS!$I$11,"Prospecting","Performing")))</f>
        <v/>
      </c>
      <c r="AR188" s="22" t="str">
        <f aca="false">IF(OR(C188="",I188="",K188=""),"",IF(K188="Monthly",EDATE(C188,I188),WORKDAY(C188,I188)))</f>
        <v/>
      </c>
      <c r="AS188" s="11"/>
      <c r="AT188" s="23" t="str">
        <f aca="true">IF(C188="","",IF(AM188="Clawed Back","CLAWED",IF(TODAY()&lt;=C188+SETTINGS!$I$2,"⚠ AT RISK","SAFE")))</f>
        <v/>
      </c>
      <c r="AU188" s="11"/>
      <c r="AW188" s="24" t="n">
        <f aca="false">AW187+IF(AND(C188&lt;&gt;"",AO188&lt;&gt;"",OR('REP COMMISSION'!$B$3="",T188='REP COMMISSION'!$B$3,W188='REP COMMISSION'!$B$3,Z188='REP COMMISSION'!$B$3)),1,0)</f>
        <v>0</v>
      </c>
      <c r="AX188" s="24" t="n">
        <f aca="false">AX187+IF(AND(C188&lt;&gt;"",OR(F188="LOC - INITIAL",F188="CONSOLIDATION - UPFRONT COMM",F188="REVERSE - TOTAL FUNDING")),1,0)</f>
        <v>0</v>
      </c>
    </row>
    <row r="189" customFormat="false" ht="15" hidden="false" customHeight="false" outlineLevel="0" collapsed="false">
      <c r="A189" s="25" t="str">
        <f aca="false">IF(C189&lt;&gt;"","F"&amp;COUNT($C$4:C189),"")</f>
        <v/>
      </c>
      <c r="B189" s="26" t="str">
        <f aca="false">IF(OR(F189="LOC - INITIAL",F189="CONSOLIDATION - UPFRONT COMM",F189="REVERSE - TOTAL FUNDING"),A189,"")</f>
        <v/>
      </c>
      <c r="C189" s="27"/>
      <c r="D189" s="28"/>
      <c r="E189" s="28"/>
      <c r="F189" s="28"/>
      <c r="G189" s="29"/>
      <c r="H189" s="30"/>
      <c r="I189" s="28"/>
      <c r="J189" s="31" t="str">
        <f aca="false">IF(AND(G189&lt;&gt;"",H189&lt;&gt;""),G189*H189,"")</f>
        <v/>
      </c>
      <c r="K189" s="28"/>
      <c r="L189" s="32"/>
      <c r="M189" s="32"/>
      <c r="N189" s="31" t="n">
        <f aca="false">IF(OR(G189="",M189=""),0,IF(M189&gt;100,M189,G189*IF(M189&gt;1,M189/100,M189)))</f>
        <v>0</v>
      </c>
      <c r="O189" s="31" t="str">
        <f aca="false">IF(G189="","",G189*IF(L189="",0,IF(L189&gt;1,L189/100,L189))+N189)</f>
        <v/>
      </c>
      <c r="P189" s="28"/>
      <c r="Q189" s="33" t="str">
        <f aca="false">IF(P189="","",IFERROR(VLOOKUP(P189,PARTNERS!$A$2:$B$30,2,0),""))</f>
        <v/>
      </c>
      <c r="R189" s="17" t="str">
        <f aca="false">IF(O189="","",IF(OR(P189="",Q189=""),0,(O189-N189)*IF(Q189&gt;1,Q189/100,Q189)))</f>
        <v/>
      </c>
      <c r="S189" s="31" t="str">
        <f aca="false">IF(O189="","",O189-R189)</f>
        <v/>
      </c>
      <c r="T189" s="28"/>
      <c r="U189" s="34" t="str">
        <f aca="false">IF(T189="","",IFERROR(VLOOKUP(T189,REPS!$A$2:$D$40,2,0),""))</f>
        <v/>
      </c>
      <c r="V189" s="31" t="str">
        <f aca="false">IF(O189="","",IF(U189="",0,O189*IF(U189&gt;1,U189/100,U189)))</f>
        <v/>
      </c>
      <c r="W189" s="28"/>
      <c r="X189" s="34" t="str">
        <f aca="false">IF(W189="","",IFERROR(VLOOKUP(W189,REPS!$A$2:$D$40,3,0),""))</f>
        <v/>
      </c>
      <c r="Y189" s="31" t="str">
        <f aca="false">IF(O189="","",IF(X189="",0,O189*IF(X189&gt;1,X189/100,X189)))</f>
        <v/>
      </c>
      <c r="Z189" s="28"/>
      <c r="AA189" s="34" t="str">
        <f aca="false">IF(Z189="","",IFERROR(VLOOKUP(Z189,REPS!$A$2:$D$40,4,0),""))</f>
        <v/>
      </c>
      <c r="AB189" s="31" t="str">
        <f aca="false">IF(O189="","",IF(AA189="",0,O189*IF(AA189&gt;1,AA189/100,AA189)))</f>
        <v/>
      </c>
      <c r="AC189" s="31" t="str">
        <f aca="false">IF(O189="","",V189+Y189+AB189)</f>
        <v/>
      </c>
      <c r="AD189" s="19" t="str">
        <f aca="false">IF(O189="","",O189-R189-AC189)</f>
        <v/>
      </c>
      <c r="AE189" s="20"/>
      <c r="AF189" s="27"/>
      <c r="AG189" s="21" t="n">
        <f aca="false">IF(OR(AE189="",AE189=0),0,AE189*IF(U189="",0,IF(U189&gt;1,U189/100,U189)))</f>
        <v>0</v>
      </c>
      <c r="AH189" s="21" t="n">
        <f aca="false">IF(OR(AE189="",AE189=0),0,AE189*IF(X189="",0,IF(X189&gt;1,X189/100,X189)))</f>
        <v>0</v>
      </c>
      <c r="AI189" s="21" t="n">
        <f aca="false">IF(OR(AE189="",AE189=0),0,AE189*IF(AA189="",0,IF(AA189&gt;1,AA189/100,AA189)))</f>
        <v>0</v>
      </c>
      <c r="AJ189" s="21" t="n">
        <f aca="false">AG189+AH189+AI189</f>
        <v>0</v>
      </c>
      <c r="AK189" s="21" t="n">
        <f aca="false">IF(OR(AE189="",AE189=0),0,AE189-AJ189)</f>
        <v>0</v>
      </c>
      <c r="AL189" s="19" t="str">
        <f aca="false">IF(AD189="","",AD189-AK189)</f>
        <v/>
      </c>
      <c r="AM189" s="26" t="str">
        <f aca="false">IF(C189="","","Waiting for payment")</f>
        <v/>
      </c>
      <c r="AN189" s="27"/>
      <c r="AO189" s="27"/>
      <c r="AP189" s="35" t="str">
        <f aca="false">IF(OR(C189="",I189="",K189=""),"",IF(K189="Monthly",EDATE(C189,ROUND(I189*SETTINGS!$I$8,0)),WORKDAY(C189,ROUND(I189*SETTINGS!$I$8,0))))</f>
        <v/>
      </c>
      <c r="AQ189" s="26" t="str">
        <f aca="true">IF(C189="","",IF(AND(AP189&lt;&gt;"",TODAY()&gt;=AP189),"Refi Ready",IF(TODAY()-C189&gt;=SETTINGS!$I$11,"Prospecting","Performing")))</f>
        <v/>
      </c>
      <c r="AR189" s="35" t="str">
        <f aca="false">IF(OR(C189="",I189="",K189=""),"",IF(K189="Monthly",EDATE(C189,I189),WORKDAY(C189,I189)))</f>
        <v/>
      </c>
      <c r="AS189" s="28"/>
      <c r="AT189" s="36" t="str">
        <f aca="true">IF(C189="","",IF(AM189="Clawed Back","CLAWED",IF(TODAY()&lt;=C189+SETTINGS!$I$2,"⚠ AT RISK","SAFE")))</f>
        <v/>
      </c>
      <c r="AU189" s="28"/>
      <c r="AW189" s="24" t="n">
        <f aca="false">AW188+IF(AND(C189&lt;&gt;"",AO189&lt;&gt;"",OR('REP COMMISSION'!$B$3="",T189='REP COMMISSION'!$B$3,W189='REP COMMISSION'!$B$3,Z189='REP COMMISSION'!$B$3)),1,0)</f>
        <v>0</v>
      </c>
      <c r="AX189" s="24" t="n">
        <f aca="false">AX188+IF(AND(C189&lt;&gt;"",OR(F189="LOC - INITIAL",F189="CONSOLIDATION - UPFRONT COMM",F189="REVERSE - TOTAL FUNDING")),1,0)</f>
        <v>0</v>
      </c>
    </row>
    <row r="190" customFormat="false" ht="15" hidden="false" customHeight="false" outlineLevel="0" collapsed="false">
      <c r="A190" s="8" t="str">
        <f aca="false">IF(C190&lt;&gt;"","F"&amp;COUNT($C$4:C190),"")</f>
        <v/>
      </c>
      <c r="B190" s="9" t="str">
        <f aca="false">IF(OR(F190="LOC - INITIAL",F190="CONSOLIDATION - UPFRONT COMM",F190="REVERSE - TOTAL FUNDING"),A190,"")</f>
        <v/>
      </c>
      <c r="C190" s="10"/>
      <c r="D190" s="11"/>
      <c r="E190" s="11"/>
      <c r="F190" s="11"/>
      <c r="G190" s="12"/>
      <c r="H190" s="13"/>
      <c r="I190" s="11"/>
      <c r="J190" s="14" t="str">
        <f aca="false">IF(AND(G190&lt;&gt;"",H190&lt;&gt;""),G190*H190,"")</f>
        <v/>
      </c>
      <c r="K190" s="11"/>
      <c r="L190" s="15"/>
      <c r="M190" s="15"/>
      <c r="N190" s="14" t="n">
        <f aca="false">IF(OR(G190="",M190=""),0,IF(M190&gt;100,M190,G190*IF(M190&gt;1,M190/100,M190)))</f>
        <v>0</v>
      </c>
      <c r="O190" s="14" t="str">
        <f aca="false">IF(G190="","",G190*IF(L190="",0,IF(L190&gt;1,L190/100,L190))+N190)</f>
        <v/>
      </c>
      <c r="P190" s="11"/>
      <c r="Q190" s="16" t="str">
        <f aca="false">IF(P190="","",IFERROR(VLOOKUP(P190,PARTNERS!$A$2:$B$30,2,0),""))</f>
        <v/>
      </c>
      <c r="R190" s="17" t="str">
        <f aca="false">IF(O190="","",IF(OR(P190="",Q190=""),0,(O190-N190)*IF(Q190&gt;1,Q190/100,Q190)))</f>
        <v/>
      </c>
      <c r="S190" s="14" t="str">
        <f aca="false">IF(O190="","",O190-R190)</f>
        <v/>
      </c>
      <c r="T190" s="11"/>
      <c r="U190" s="18" t="str">
        <f aca="false">IF(T190="","",IFERROR(VLOOKUP(T190,REPS!$A$2:$D$40,2,0),""))</f>
        <v/>
      </c>
      <c r="V190" s="14" t="str">
        <f aca="false">IF(O190="","",IF(U190="",0,O190*IF(U190&gt;1,U190/100,U190)))</f>
        <v/>
      </c>
      <c r="W190" s="11"/>
      <c r="X190" s="18" t="str">
        <f aca="false">IF(W190="","",IFERROR(VLOOKUP(W190,REPS!$A$2:$D$40,3,0),""))</f>
        <v/>
      </c>
      <c r="Y190" s="14" t="str">
        <f aca="false">IF(O190="","",IF(X190="",0,O190*IF(X190&gt;1,X190/100,X190)))</f>
        <v/>
      </c>
      <c r="Z190" s="11"/>
      <c r="AA190" s="18" t="str">
        <f aca="false">IF(Z190="","",IFERROR(VLOOKUP(Z190,REPS!$A$2:$D$40,4,0),""))</f>
        <v/>
      </c>
      <c r="AB190" s="14" t="str">
        <f aca="false">IF(O190="","",IF(AA190="",0,O190*IF(AA190&gt;1,AA190/100,AA190)))</f>
        <v/>
      </c>
      <c r="AC190" s="14" t="str">
        <f aca="false">IF(O190="","",V190+Y190+AB190)</f>
        <v/>
      </c>
      <c r="AD190" s="19" t="str">
        <f aca="false">IF(O190="","",O190-R190-AC190)</f>
        <v/>
      </c>
      <c r="AE190" s="20"/>
      <c r="AF190" s="10"/>
      <c r="AG190" s="21" t="n">
        <f aca="false">IF(OR(AE190="",AE190=0),0,AE190*IF(U190="",0,IF(U190&gt;1,U190/100,U190)))</f>
        <v>0</v>
      </c>
      <c r="AH190" s="21" t="n">
        <f aca="false">IF(OR(AE190="",AE190=0),0,AE190*IF(X190="",0,IF(X190&gt;1,X190/100,X190)))</f>
        <v>0</v>
      </c>
      <c r="AI190" s="21" t="n">
        <f aca="false">IF(OR(AE190="",AE190=0),0,AE190*IF(AA190="",0,IF(AA190&gt;1,AA190/100,AA190)))</f>
        <v>0</v>
      </c>
      <c r="AJ190" s="21" t="n">
        <f aca="false">AG190+AH190+AI190</f>
        <v>0</v>
      </c>
      <c r="AK190" s="21" t="n">
        <f aca="false">IF(OR(AE190="",AE190=0),0,AE190-AJ190)</f>
        <v>0</v>
      </c>
      <c r="AL190" s="19" t="str">
        <f aca="false">IF(AD190="","",AD190-AK190)</f>
        <v/>
      </c>
      <c r="AM190" s="9" t="str">
        <f aca="false">IF(C190="","","Waiting for payment")</f>
        <v/>
      </c>
      <c r="AN190" s="10"/>
      <c r="AO190" s="10"/>
      <c r="AP190" s="22" t="str">
        <f aca="false">IF(OR(C190="",I190="",K190=""),"",IF(K190="Monthly",EDATE(C190,ROUND(I190*SETTINGS!$I$8,0)),WORKDAY(C190,ROUND(I190*SETTINGS!$I$8,0))))</f>
        <v/>
      </c>
      <c r="AQ190" s="9" t="str">
        <f aca="true">IF(C190="","",IF(AND(AP190&lt;&gt;"",TODAY()&gt;=AP190),"Refi Ready",IF(TODAY()-C190&gt;=SETTINGS!$I$11,"Prospecting","Performing")))</f>
        <v/>
      </c>
      <c r="AR190" s="22" t="str">
        <f aca="false">IF(OR(C190="",I190="",K190=""),"",IF(K190="Monthly",EDATE(C190,I190),WORKDAY(C190,I190)))</f>
        <v/>
      </c>
      <c r="AS190" s="11"/>
      <c r="AT190" s="23" t="str">
        <f aca="true">IF(C190="","",IF(AM190="Clawed Back","CLAWED",IF(TODAY()&lt;=C190+SETTINGS!$I$2,"⚠ AT RISK","SAFE")))</f>
        <v/>
      </c>
      <c r="AU190" s="11"/>
      <c r="AW190" s="24" t="n">
        <f aca="false">AW189+IF(AND(C190&lt;&gt;"",AO190&lt;&gt;"",OR('REP COMMISSION'!$B$3="",T190='REP COMMISSION'!$B$3,W190='REP COMMISSION'!$B$3,Z190='REP COMMISSION'!$B$3)),1,0)</f>
        <v>0</v>
      </c>
      <c r="AX190" s="24" t="n">
        <f aca="false">AX189+IF(AND(C190&lt;&gt;"",OR(F190="LOC - INITIAL",F190="CONSOLIDATION - UPFRONT COMM",F190="REVERSE - TOTAL FUNDING")),1,0)</f>
        <v>0</v>
      </c>
    </row>
    <row r="191" customFormat="false" ht="15" hidden="false" customHeight="false" outlineLevel="0" collapsed="false">
      <c r="A191" s="25" t="str">
        <f aca="false">IF(C191&lt;&gt;"","F"&amp;COUNT($C$4:C191),"")</f>
        <v/>
      </c>
      <c r="B191" s="26" t="str">
        <f aca="false">IF(OR(F191="LOC - INITIAL",F191="CONSOLIDATION - UPFRONT COMM",F191="REVERSE - TOTAL FUNDING"),A191,"")</f>
        <v/>
      </c>
      <c r="C191" s="27"/>
      <c r="D191" s="28"/>
      <c r="E191" s="28"/>
      <c r="F191" s="28"/>
      <c r="G191" s="29"/>
      <c r="H191" s="30"/>
      <c r="I191" s="28"/>
      <c r="J191" s="31" t="str">
        <f aca="false">IF(AND(G191&lt;&gt;"",H191&lt;&gt;""),G191*H191,"")</f>
        <v/>
      </c>
      <c r="K191" s="28"/>
      <c r="L191" s="32"/>
      <c r="M191" s="32"/>
      <c r="N191" s="31" t="n">
        <f aca="false">IF(OR(G191="",M191=""),0,IF(M191&gt;100,M191,G191*IF(M191&gt;1,M191/100,M191)))</f>
        <v>0</v>
      </c>
      <c r="O191" s="31" t="str">
        <f aca="false">IF(G191="","",G191*IF(L191="",0,IF(L191&gt;1,L191/100,L191))+N191)</f>
        <v/>
      </c>
      <c r="P191" s="28"/>
      <c r="Q191" s="33" t="str">
        <f aca="false">IF(P191="","",IFERROR(VLOOKUP(P191,PARTNERS!$A$2:$B$30,2,0),""))</f>
        <v/>
      </c>
      <c r="R191" s="17" t="str">
        <f aca="false">IF(O191="","",IF(OR(P191="",Q191=""),0,(O191-N191)*IF(Q191&gt;1,Q191/100,Q191)))</f>
        <v/>
      </c>
      <c r="S191" s="31" t="str">
        <f aca="false">IF(O191="","",O191-R191)</f>
        <v/>
      </c>
      <c r="T191" s="28"/>
      <c r="U191" s="34" t="str">
        <f aca="false">IF(T191="","",IFERROR(VLOOKUP(T191,REPS!$A$2:$D$40,2,0),""))</f>
        <v/>
      </c>
      <c r="V191" s="31" t="str">
        <f aca="false">IF(O191="","",IF(U191="",0,O191*IF(U191&gt;1,U191/100,U191)))</f>
        <v/>
      </c>
      <c r="W191" s="28"/>
      <c r="X191" s="34" t="str">
        <f aca="false">IF(W191="","",IFERROR(VLOOKUP(W191,REPS!$A$2:$D$40,3,0),""))</f>
        <v/>
      </c>
      <c r="Y191" s="31" t="str">
        <f aca="false">IF(O191="","",IF(X191="",0,O191*IF(X191&gt;1,X191/100,X191)))</f>
        <v/>
      </c>
      <c r="Z191" s="28"/>
      <c r="AA191" s="34" t="str">
        <f aca="false">IF(Z191="","",IFERROR(VLOOKUP(Z191,REPS!$A$2:$D$40,4,0),""))</f>
        <v/>
      </c>
      <c r="AB191" s="31" t="str">
        <f aca="false">IF(O191="","",IF(AA191="",0,O191*IF(AA191&gt;1,AA191/100,AA191)))</f>
        <v/>
      </c>
      <c r="AC191" s="31" t="str">
        <f aca="false">IF(O191="","",V191+Y191+AB191)</f>
        <v/>
      </c>
      <c r="AD191" s="19" t="str">
        <f aca="false">IF(O191="","",O191-R191-AC191)</f>
        <v/>
      </c>
      <c r="AE191" s="20"/>
      <c r="AF191" s="27"/>
      <c r="AG191" s="21" t="n">
        <f aca="false">IF(OR(AE191="",AE191=0),0,AE191*IF(U191="",0,IF(U191&gt;1,U191/100,U191)))</f>
        <v>0</v>
      </c>
      <c r="AH191" s="21" t="n">
        <f aca="false">IF(OR(AE191="",AE191=0),0,AE191*IF(X191="",0,IF(X191&gt;1,X191/100,X191)))</f>
        <v>0</v>
      </c>
      <c r="AI191" s="21" t="n">
        <f aca="false">IF(OR(AE191="",AE191=0),0,AE191*IF(AA191="",0,IF(AA191&gt;1,AA191/100,AA191)))</f>
        <v>0</v>
      </c>
      <c r="AJ191" s="21" t="n">
        <f aca="false">AG191+AH191+AI191</f>
        <v>0</v>
      </c>
      <c r="AK191" s="21" t="n">
        <f aca="false">IF(OR(AE191="",AE191=0),0,AE191-AJ191)</f>
        <v>0</v>
      </c>
      <c r="AL191" s="19" t="str">
        <f aca="false">IF(AD191="","",AD191-AK191)</f>
        <v/>
      </c>
      <c r="AM191" s="26" t="str">
        <f aca="false">IF(C191="","","Waiting for payment")</f>
        <v/>
      </c>
      <c r="AN191" s="27"/>
      <c r="AO191" s="27"/>
      <c r="AP191" s="35" t="str">
        <f aca="false">IF(OR(C191="",I191="",K191=""),"",IF(K191="Monthly",EDATE(C191,ROUND(I191*SETTINGS!$I$8,0)),WORKDAY(C191,ROUND(I191*SETTINGS!$I$8,0))))</f>
        <v/>
      </c>
      <c r="AQ191" s="26" t="str">
        <f aca="true">IF(C191="","",IF(AND(AP191&lt;&gt;"",TODAY()&gt;=AP191),"Refi Ready",IF(TODAY()-C191&gt;=SETTINGS!$I$11,"Prospecting","Performing")))</f>
        <v/>
      </c>
      <c r="AR191" s="35" t="str">
        <f aca="false">IF(OR(C191="",I191="",K191=""),"",IF(K191="Monthly",EDATE(C191,I191),WORKDAY(C191,I191)))</f>
        <v/>
      </c>
      <c r="AS191" s="28"/>
      <c r="AT191" s="36" t="str">
        <f aca="true">IF(C191="","",IF(AM191="Clawed Back","CLAWED",IF(TODAY()&lt;=C191+SETTINGS!$I$2,"⚠ AT RISK","SAFE")))</f>
        <v/>
      </c>
      <c r="AU191" s="28"/>
      <c r="AW191" s="24" t="n">
        <f aca="false">AW190+IF(AND(C191&lt;&gt;"",AO191&lt;&gt;"",OR('REP COMMISSION'!$B$3="",T191='REP COMMISSION'!$B$3,W191='REP COMMISSION'!$B$3,Z191='REP COMMISSION'!$B$3)),1,0)</f>
        <v>0</v>
      </c>
      <c r="AX191" s="24" t="n">
        <f aca="false">AX190+IF(AND(C191&lt;&gt;"",OR(F191="LOC - INITIAL",F191="CONSOLIDATION - UPFRONT COMM",F191="REVERSE - TOTAL FUNDING")),1,0)</f>
        <v>0</v>
      </c>
    </row>
    <row r="192" customFormat="false" ht="15" hidden="false" customHeight="false" outlineLevel="0" collapsed="false">
      <c r="A192" s="8" t="str">
        <f aca="false">IF(C192&lt;&gt;"","F"&amp;COUNT($C$4:C192),"")</f>
        <v/>
      </c>
      <c r="B192" s="9" t="str">
        <f aca="false">IF(OR(F192="LOC - INITIAL",F192="CONSOLIDATION - UPFRONT COMM",F192="REVERSE - TOTAL FUNDING"),A192,"")</f>
        <v/>
      </c>
      <c r="C192" s="10"/>
      <c r="D192" s="11"/>
      <c r="E192" s="11"/>
      <c r="F192" s="11"/>
      <c r="G192" s="12"/>
      <c r="H192" s="13"/>
      <c r="I192" s="11"/>
      <c r="J192" s="14" t="str">
        <f aca="false">IF(AND(G192&lt;&gt;"",H192&lt;&gt;""),G192*H192,"")</f>
        <v/>
      </c>
      <c r="K192" s="11"/>
      <c r="L192" s="15"/>
      <c r="M192" s="15"/>
      <c r="N192" s="14" t="n">
        <f aca="false">IF(OR(G192="",M192=""),0,IF(M192&gt;100,M192,G192*IF(M192&gt;1,M192/100,M192)))</f>
        <v>0</v>
      </c>
      <c r="O192" s="14" t="str">
        <f aca="false">IF(G192="","",G192*IF(L192="",0,IF(L192&gt;1,L192/100,L192))+N192)</f>
        <v/>
      </c>
      <c r="P192" s="11"/>
      <c r="Q192" s="16" t="str">
        <f aca="false">IF(P192="","",IFERROR(VLOOKUP(P192,PARTNERS!$A$2:$B$30,2,0),""))</f>
        <v/>
      </c>
      <c r="R192" s="17" t="str">
        <f aca="false">IF(O192="","",IF(OR(P192="",Q192=""),0,(O192-N192)*IF(Q192&gt;1,Q192/100,Q192)))</f>
        <v/>
      </c>
      <c r="S192" s="14" t="str">
        <f aca="false">IF(O192="","",O192-R192)</f>
        <v/>
      </c>
      <c r="T192" s="11"/>
      <c r="U192" s="18" t="str">
        <f aca="false">IF(T192="","",IFERROR(VLOOKUP(T192,REPS!$A$2:$D$40,2,0),""))</f>
        <v/>
      </c>
      <c r="V192" s="14" t="str">
        <f aca="false">IF(O192="","",IF(U192="",0,O192*IF(U192&gt;1,U192/100,U192)))</f>
        <v/>
      </c>
      <c r="W192" s="11"/>
      <c r="X192" s="18" t="str">
        <f aca="false">IF(W192="","",IFERROR(VLOOKUP(W192,REPS!$A$2:$D$40,3,0),""))</f>
        <v/>
      </c>
      <c r="Y192" s="14" t="str">
        <f aca="false">IF(O192="","",IF(X192="",0,O192*IF(X192&gt;1,X192/100,X192)))</f>
        <v/>
      </c>
      <c r="Z192" s="11"/>
      <c r="AA192" s="18" t="str">
        <f aca="false">IF(Z192="","",IFERROR(VLOOKUP(Z192,REPS!$A$2:$D$40,4,0),""))</f>
        <v/>
      </c>
      <c r="AB192" s="14" t="str">
        <f aca="false">IF(O192="","",IF(AA192="",0,O192*IF(AA192&gt;1,AA192/100,AA192)))</f>
        <v/>
      </c>
      <c r="AC192" s="14" t="str">
        <f aca="false">IF(O192="","",V192+Y192+AB192)</f>
        <v/>
      </c>
      <c r="AD192" s="19" t="str">
        <f aca="false">IF(O192="","",O192-R192-AC192)</f>
        <v/>
      </c>
      <c r="AE192" s="20"/>
      <c r="AF192" s="10"/>
      <c r="AG192" s="21" t="n">
        <f aca="false">IF(OR(AE192="",AE192=0),0,AE192*IF(U192="",0,IF(U192&gt;1,U192/100,U192)))</f>
        <v>0</v>
      </c>
      <c r="AH192" s="21" t="n">
        <f aca="false">IF(OR(AE192="",AE192=0),0,AE192*IF(X192="",0,IF(X192&gt;1,X192/100,X192)))</f>
        <v>0</v>
      </c>
      <c r="AI192" s="21" t="n">
        <f aca="false">IF(OR(AE192="",AE192=0),0,AE192*IF(AA192="",0,IF(AA192&gt;1,AA192/100,AA192)))</f>
        <v>0</v>
      </c>
      <c r="AJ192" s="21" t="n">
        <f aca="false">AG192+AH192+AI192</f>
        <v>0</v>
      </c>
      <c r="AK192" s="21" t="n">
        <f aca="false">IF(OR(AE192="",AE192=0),0,AE192-AJ192)</f>
        <v>0</v>
      </c>
      <c r="AL192" s="19" t="str">
        <f aca="false">IF(AD192="","",AD192-AK192)</f>
        <v/>
      </c>
      <c r="AM192" s="9" t="str">
        <f aca="false">IF(C192="","","Waiting for payment")</f>
        <v/>
      </c>
      <c r="AN192" s="10"/>
      <c r="AO192" s="10"/>
      <c r="AP192" s="22" t="str">
        <f aca="false">IF(OR(C192="",I192="",K192=""),"",IF(K192="Monthly",EDATE(C192,ROUND(I192*SETTINGS!$I$8,0)),WORKDAY(C192,ROUND(I192*SETTINGS!$I$8,0))))</f>
        <v/>
      </c>
      <c r="AQ192" s="9" t="str">
        <f aca="true">IF(C192="","",IF(AND(AP192&lt;&gt;"",TODAY()&gt;=AP192),"Refi Ready",IF(TODAY()-C192&gt;=SETTINGS!$I$11,"Prospecting","Performing")))</f>
        <v/>
      </c>
      <c r="AR192" s="22" t="str">
        <f aca="false">IF(OR(C192="",I192="",K192=""),"",IF(K192="Monthly",EDATE(C192,I192),WORKDAY(C192,I192)))</f>
        <v/>
      </c>
      <c r="AS192" s="11"/>
      <c r="AT192" s="23" t="str">
        <f aca="true">IF(C192="","",IF(AM192="Clawed Back","CLAWED",IF(TODAY()&lt;=C192+SETTINGS!$I$2,"⚠ AT RISK","SAFE")))</f>
        <v/>
      </c>
      <c r="AU192" s="11"/>
      <c r="AW192" s="24" t="n">
        <f aca="false">AW191+IF(AND(C192&lt;&gt;"",AO192&lt;&gt;"",OR('REP COMMISSION'!$B$3="",T192='REP COMMISSION'!$B$3,W192='REP COMMISSION'!$B$3,Z192='REP COMMISSION'!$B$3)),1,0)</f>
        <v>0</v>
      </c>
      <c r="AX192" s="24" t="n">
        <f aca="false">AX191+IF(AND(C192&lt;&gt;"",OR(F192="LOC - INITIAL",F192="CONSOLIDATION - UPFRONT COMM",F192="REVERSE - TOTAL FUNDING")),1,0)</f>
        <v>0</v>
      </c>
    </row>
    <row r="193" customFormat="false" ht="15" hidden="false" customHeight="false" outlineLevel="0" collapsed="false">
      <c r="A193" s="25" t="str">
        <f aca="false">IF(C193&lt;&gt;"","F"&amp;COUNT($C$4:C193),"")</f>
        <v/>
      </c>
      <c r="B193" s="26" t="str">
        <f aca="false">IF(OR(F193="LOC - INITIAL",F193="CONSOLIDATION - UPFRONT COMM",F193="REVERSE - TOTAL FUNDING"),A193,"")</f>
        <v/>
      </c>
      <c r="C193" s="27"/>
      <c r="D193" s="28"/>
      <c r="E193" s="28"/>
      <c r="F193" s="28"/>
      <c r="G193" s="29"/>
      <c r="H193" s="30"/>
      <c r="I193" s="28"/>
      <c r="J193" s="31" t="str">
        <f aca="false">IF(AND(G193&lt;&gt;"",H193&lt;&gt;""),G193*H193,"")</f>
        <v/>
      </c>
      <c r="K193" s="28"/>
      <c r="L193" s="32"/>
      <c r="M193" s="32"/>
      <c r="N193" s="31" t="n">
        <f aca="false">IF(OR(G193="",M193=""),0,IF(M193&gt;100,M193,G193*IF(M193&gt;1,M193/100,M193)))</f>
        <v>0</v>
      </c>
      <c r="O193" s="31" t="str">
        <f aca="false">IF(G193="","",G193*IF(L193="",0,IF(L193&gt;1,L193/100,L193))+N193)</f>
        <v/>
      </c>
      <c r="P193" s="28"/>
      <c r="Q193" s="33" t="str">
        <f aca="false">IF(P193="","",IFERROR(VLOOKUP(P193,PARTNERS!$A$2:$B$30,2,0),""))</f>
        <v/>
      </c>
      <c r="R193" s="17" t="str">
        <f aca="false">IF(O193="","",IF(OR(P193="",Q193=""),0,(O193-N193)*IF(Q193&gt;1,Q193/100,Q193)))</f>
        <v/>
      </c>
      <c r="S193" s="31" t="str">
        <f aca="false">IF(O193="","",O193-R193)</f>
        <v/>
      </c>
      <c r="T193" s="28"/>
      <c r="U193" s="34" t="str">
        <f aca="false">IF(T193="","",IFERROR(VLOOKUP(T193,REPS!$A$2:$D$40,2,0),""))</f>
        <v/>
      </c>
      <c r="V193" s="31" t="str">
        <f aca="false">IF(O193="","",IF(U193="",0,O193*IF(U193&gt;1,U193/100,U193)))</f>
        <v/>
      </c>
      <c r="W193" s="28"/>
      <c r="X193" s="34" t="str">
        <f aca="false">IF(W193="","",IFERROR(VLOOKUP(W193,REPS!$A$2:$D$40,3,0),""))</f>
        <v/>
      </c>
      <c r="Y193" s="31" t="str">
        <f aca="false">IF(O193="","",IF(X193="",0,O193*IF(X193&gt;1,X193/100,X193)))</f>
        <v/>
      </c>
      <c r="Z193" s="28"/>
      <c r="AA193" s="34" t="str">
        <f aca="false">IF(Z193="","",IFERROR(VLOOKUP(Z193,REPS!$A$2:$D$40,4,0),""))</f>
        <v/>
      </c>
      <c r="AB193" s="31" t="str">
        <f aca="false">IF(O193="","",IF(AA193="",0,O193*IF(AA193&gt;1,AA193/100,AA193)))</f>
        <v/>
      </c>
      <c r="AC193" s="31" t="str">
        <f aca="false">IF(O193="","",V193+Y193+AB193)</f>
        <v/>
      </c>
      <c r="AD193" s="19" t="str">
        <f aca="false">IF(O193="","",O193-R193-AC193)</f>
        <v/>
      </c>
      <c r="AE193" s="20"/>
      <c r="AF193" s="27"/>
      <c r="AG193" s="21" t="n">
        <f aca="false">IF(OR(AE193="",AE193=0),0,AE193*IF(U193="",0,IF(U193&gt;1,U193/100,U193)))</f>
        <v>0</v>
      </c>
      <c r="AH193" s="21" t="n">
        <f aca="false">IF(OR(AE193="",AE193=0),0,AE193*IF(X193="",0,IF(X193&gt;1,X193/100,X193)))</f>
        <v>0</v>
      </c>
      <c r="AI193" s="21" t="n">
        <f aca="false">IF(OR(AE193="",AE193=0),0,AE193*IF(AA193="",0,IF(AA193&gt;1,AA193/100,AA193)))</f>
        <v>0</v>
      </c>
      <c r="AJ193" s="21" t="n">
        <f aca="false">AG193+AH193+AI193</f>
        <v>0</v>
      </c>
      <c r="AK193" s="21" t="n">
        <f aca="false">IF(OR(AE193="",AE193=0),0,AE193-AJ193)</f>
        <v>0</v>
      </c>
      <c r="AL193" s="19" t="str">
        <f aca="false">IF(AD193="","",AD193-AK193)</f>
        <v/>
      </c>
      <c r="AM193" s="26" t="str">
        <f aca="false">IF(C193="","","Waiting for payment")</f>
        <v/>
      </c>
      <c r="AN193" s="27"/>
      <c r="AO193" s="27"/>
      <c r="AP193" s="35" t="str">
        <f aca="false">IF(OR(C193="",I193="",K193=""),"",IF(K193="Monthly",EDATE(C193,ROUND(I193*SETTINGS!$I$8,0)),WORKDAY(C193,ROUND(I193*SETTINGS!$I$8,0))))</f>
        <v/>
      </c>
      <c r="AQ193" s="26" t="str">
        <f aca="true">IF(C193="","",IF(AND(AP193&lt;&gt;"",TODAY()&gt;=AP193),"Refi Ready",IF(TODAY()-C193&gt;=SETTINGS!$I$11,"Prospecting","Performing")))</f>
        <v/>
      </c>
      <c r="AR193" s="35" t="str">
        <f aca="false">IF(OR(C193="",I193="",K193=""),"",IF(K193="Monthly",EDATE(C193,I193),WORKDAY(C193,I193)))</f>
        <v/>
      </c>
      <c r="AS193" s="28"/>
      <c r="AT193" s="36" t="str">
        <f aca="true">IF(C193="","",IF(AM193="Clawed Back","CLAWED",IF(TODAY()&lt;=C193+SETTINGS!$I$2,"⚠ AT RISK","SAFE")))</f>
        <v/>
      </c>
      <c r="AU193" s="28"/>
      <c r="AW193" s="24" t="n">
        <f aca="false">AW192+IF(AND(C193&lt;&gt;"",AO193&lt;&gt;"",OR('REP COMMISSION'!$B$3="",T193='REP COMMISSION'!$B$3,W193='REP COMMISSION'!$B$3,Z193='REP COMMISSION'!$B$3)),1,0)</f>
        <v>0</v>
      </c>
      <c r="AX193" s="24" t="n">
        <f aca="false">AX192+IF(AND(C193&lt;&gt;"",OR(F193="LOC - INITIAL",F193="CONSOLIDATION - UPFRONT COMM",F193="REVERSE - TOTAL FUNDING")),1,0)</f>
        <v>0</v>
      </c>
    </row>
    <row r="194" customFormat="false" ht="15" hidden="false" customHeight="false" outlineLevel="0" collapsed="false">
      <c r="A194" s="8" t="str">
        <f aca="false">IF(C194&lt;&gt;"","F"&amp;COUNT($C$4:C194),"")</f>
        <v/>
      </c>
      <c r="B194" s="9" t="str">
        <f aca="false">IF(OR(F194="LOC - INITIAL",F194="CONSOLIDATION - UPFRONT COMM",F194="REVERSE - TOTAL FUNDING"),A194,"")</f>
        <v/>
      </c>
      <c r="C194" s="10"/>
      <c r="D194" s="11"/>
      <c r="E194" s="11"/>
      <c r="F194" s="11"/>
      <c r="G194" s="12"/>
      <c r="H194" s="13"/>
      <c r="I194" s="11"/>
      <c r="J194" s="14" t="str">
        <f aca="false">IF(AND(G194&lt;&gt;"",H194&lt;&gt;""),G194*H194,"")</f>
        <v/>
      </c>
      <c r="K194" s="11"/>
      <c r="L194" s="15"/>
      <c r="M194" s="15"/>
      <c r="N194" s="14" t="n">
        <f aca="false">IF(OR(G194="",M194=""),0,IF(M194&gt;100,M194,G194*IF(M194&gt;1,M194/100,M194)))</f>
        <v>0</v>
      </c>
      <c r="O194" s="14" t="str">
        <f aca="false">IF(G194="","",G194*IF(L194="",0,IF(L194&gt;1,L194/100,L194))+N194)</f>
        <v/>
      </c>
      <c r="P194" s="11"/>
      <c r="Q194" s="16" t="str">
        <f aca="false">IF(P194="","",IFERROR(VLOOKUP(P194,PARTNERS!$A$2:$B$30,2,0),""))</f>
        <v/>
      </c>
      <c r="R194" s="17" t="str">
        <f aca="false">IF(O194="","",IF(OR(P194="",Q194=""),0,(O194-N194)*IF(Q194&gt;1,Q194/100,Q194)))</f>
        <v/>
      </c>
      <c r="S194" s="14" t="str">
        <f aca="false">IF(O194="","",O194-R194)</f>
        <v/>
      </c>
      <c r="T194" s="11"/>
      <c r="U194" s="18" t="str">
        <f aca="false">IF(T194="","",IFERROR(VLOOKUP(T194,REPS!$A$2:$D$40,2,0),""))</f>
        <v/>
      </c>
      <c r="V194" s="14" t="str">
        <f aca="false">IF(O194="","",IF(U194="",0,O194*IF(U194&gt;1,U194/100,U194)))</f>
        <v/>
      </c>
      <c r="W194" s="11"/>
      <c r="X194" s="18" t="str">
        <f aca="false">IF(W194="","",IFERROR(VLOOKUP(W194,REPS!$A$2:$D$40,3,0),""))</f>
        <v/>
      </c>
      <c r="Y194" s="14" t="str">
        <f aca="false">IF(O194="","",IF(X194="",0,O194*IF(X194&gt;1,X194/100,X194)))</f>
        <v/>
      </c>
      <c r="Z194" s="11"/>
      <c r="AA194" s="18" t="str">
        <f aca="false">IF(Z194="","",IFERROR(VLOOKUP(Z194,REPS!$A$2:$D$40,4,0),""))</f>
        <v/>
      </c>
      <c r="AB194" s="14" t="str">
        <f aca="false">IF(O194="","",IF(AA194="",0,O194*IF(AA194&gt;1,AA194/100,AA194)))</f>
        <v/>
      </c>
      <c r="AC194" s="14" t="str">
        <f aca="false">IF(O194="","",V194+Y194+AB194)</f>
        <v/>
      </c>
      <c r="AD194" s="19" t="str">
        <f aca="false">IF(O194="","",O194-R194-AC194)</f>
        <v/>
      </c>
      <c r="AE194" s="20"/>
      <c r="AF194" s="10"/>
      <c r="AG194" s="21" t="n">
        <f aca="false">IF(OR(AE194="",AE194=0),0,AE194*IF(U194="",0,IF(U194&gt;1,U194/100,U194)))</f>
        <v>0</v>
      </c>
      <c r="AH194" s="21" t="n">
        <f aca="false">IF(OR(AE194="",AE194=0),0,AE194*IF(X194="",0,IF(X194&gt;1,X194/100,X194)))</f>
        <v>0</v>
      </c>
      <c r="AI194" s="21" t="n">
        <f aca="false">IF(OR(AE194="",AE194=0),0,AE194*IF(AA194="",0,IF(AA194&gt;1,AA194/100,AA194)))</f>
        <v>0</v>
      </c>
      <c r="AJ194" s="21" t="n">
        <f aca="false">AG194+AH194+AI194</f>
        <v>0</v>
      </c>
      <c r="AK194" s="21" t="n">
        <f aca="false">IF(OR(AE194="",AE194=0),0,AE194-AJ194)</f>
        <v>0</v>
      </c>
      <c r="AL194" s="19" t="str">
        <f aca="false">IF(AD194="","",AD194-AK194)</f>
        <v/>
      </c>
      <c r="AM194" s="9" t="str">
        <f aca="false">IF(C194="","","Waiting for payment")</f>
        <v/>
      </c>
      <c r="AN194" s="10"/>
      <c r="AO194" s="10"/>
      <c r="AP194" s="22" t="str">
        <f aca="false">IF(OR(C194="",I194="",K194=""),"",IF(K194="Monthly",EDATE(C194,ROUND(I194*SETTINGS!$I$8,0)),WORKDAY(C194,ROUND(I194*SETTINGS!$I$8,0))))</f>
        <v/>
      </c>
      <c r="AQ194" s="9" t="str">
        <f aca="true">IF(C194="","",IF(AND(AP194&lt;&gt;"",TODAY()&gt;=AP194),"Refi Ready",IF(TODAY()-C194&gt;=SETTINGS!$I$11,"Prospecting","Performing")))</f>
        <v/>
      </c>
      <c r="AR194" s="22" t="str">
        <f aca="false">IF(OR(C194="",I194="",K194=""),"",IF(K194="Monthly",EDATE(C194,I194),WORKDAY(C194,I194)))</f>
        <v/>
      </c>
      <c r="AS194" s="11"/>
      <c r="AT194" s="23" t="str">
        <f aca="true">IF(C194="","",IF(AM194="Clawed Back","CLAWED",IF(TODAY()&lt;=C194+SETTINGS!$I$2,"⚠ AT RISK","SAFE")))</f>
        <v/>
      </c>
      <c r="AU194" s="11"/>
      <c r="AW194" s="24" t="n">
        <f aca="false">AW193+IF(AND(C194&lt;&gt;"",AO194&lt;&gt;"",OR('REP COMMISSION'!$B$3="",T194='REP COMMISSION'!$B$3,W194='REP COMMISSION'!$B$3,Z194='REP COMMISSION'!$B$3)),1,0)</f>
        <v>0</v>
      </c>
      <c r="AX194" s="24" t="n">
        <f aca="false">AX193+IF(AND(C194&lt;&gt;"",OR(F194="LOC - INITIAL",F194="CONSOLIDATION - UPFRONT COMM",F194="REVERSE - TOTAL FUNDING")),1,0)</f>
        <v>0</v>
      </c>
    </row>
    <row r="195" customFormat="false" ht="15" hidden="false" customHeight="false" outlineLevel="0" collapsed="false">
      <c r="A195" s="25" t="str">
        <f aca="false">IF(C195&lt;&gt;"","F"&amp;COUNT($C$4:C195),"")</f>
        <v/>
      </c>
      <c r="B195" s="26" t="str">
        <f aca="false">IF(OR(F195="LOC - INITIAL",F195="CONSOLIDATION - UPFRONT COMM",F195="REVERSE - TOTAL FUNDING"),A195,"")</f>
        <v/>
      </c>
      <c r="C195" s="27"/>
      <c r="D195" s="28"/>
      <c r="E195" s="28"/>
      <c r="F195" s="28"/>
      <c r="G195" s="29"/>
      <c r="H195" s="30"/>
      <c r="I195" s="28"/>
      <c r="J195" s="31" t="str">
        <f aca="false">IF(AND(G195&lt;&gt;"",H195&lt;&gt;""),G195*H195,"")</f>
        <v/>
      </c>
      <c r="K195" s="28"/>
      <c r="L195" s="32"/>
      <c r="M195" s="32"/>
      <c r="N195" s="31" t="n">
        <f aca="false">IF(OR(G195="",M195=""),0,IF(M195&gt;100,M195,G195*IF(M195&gt;1,M195/100,M195)))</f>
        <v>0</v>
      </c>
      <c r="O195" s="31" t="str">
        <f aca="false">IF(G195="","",G195*IF(L195="",0,IF(L195&gt;1,L195/100,L195))+N195)</f>
        <v/>
      </c>
      <c r="P195" s="28"/>
      <c r="Q195" s="33" t="str">
        <f aca="false">IF(P195="","",IFERROR(VLOOKUP(P195,PARTNERS!$A$2:$B$30,2,0),""))</f>
        <v/>
      </c>
      <c r="R195" s="17" t="str">
        <f aca="false">IF(O195="","",IF(OR(P195="",Q195=""),0,(O195-N195)*IF(Q195&gt;1,Q195/100,Q195)))</f>
        <v/>
      </c>
      <c r="S195" s="31" t="str">
        <f aca="false">IF(O195="","",O195-R195)</f>
        <v/>
      </c>
      <c r="T195" s="28"/>
      <c r="U195" s="34" t="str">
        <f aca="false">IF(T195="","",IFERROR(VLOOKUP(T195,REPS!$A$2:$D$40,2,0),""))</f>
        <v/>
      </c>
      <c r="V195" s="31" t="str">
        <f aca="false">IF(O195="","",IF(U195="",0,O195*IF(U195&gt;1,U195/100,U195)))</f>
        <v/>
      </c>
      <c r="W195" s="28"/>
      <c r="X195" s="34" t="str">
        <f aca="false">IF(W195="","",IFERROR(VLOOKUP(W195,REPS!$A$2:$D$40,3,0),""))</f>
        <v/>
      </c>
      <c r="Y195" s="31" t="str">
        <f aca="false">IF(O195="","",IF(X195="",0,O195*IF(X195&gt;1,X195/100,X195)))</f>
        <v/>
      </c>
      <c r="Z195" s="28"/>
      <c r="AA195" s="34" t="str">
        <f aca="false">IF(Z195="","",IFERROR(VLOOKUP(Z195,REPS!$A$2:$D$40,4,0),""))</f>
        <v/>
      </c>
      <c r="AB195" s="31" t="str">
        <f aca="false">IF(O195="","",IF(AA195="",0,O195*IF(AA195&gt;1,AA195/100,AA195)))</f>
        <v/>
      </c>
      <c r="AC195" s="31" t="str">
        <f aca="false">IF(O195="","",V195+Y195+AB195)</f>
        <v/>
      </c>
      <c r="AD195" s="19" t="str">
        <f aca="false">IF(O195="","",O195-R195-AC195)</f>
        <v/>
      </c>
      <c r="AE195" s="20"/>
      <c r="AF195" s="27"/>
      <c r="AG195" s="21" t="n">
        <f aca="false">IF(OR(AE195="",AE195=0),0,AE195*IF(U195="",0,IF(U195&gt;1,U195/100,U195)))</f>
        <v>0</v>
      </c>
      <c r="AH195" s="21" t="n">
        <f aca="false">IF(OR(AE195="",AE195=0),0,AE195*IF(X195="",0,IF(X195&gt;1,X195/100,X195)))</f>
        <v>0</v>
      </c>
      <c r="AI195" s="21" t="n">
        <f aca="false">IF(OR(AE195="",AE195=0),0,AE195*IF(AA195="",0,IF(AA195&gt;1,AA195/100,AA195)))</f>
        <v>0</v>
      </c>
      <c r="AJ195" s="21" t="n">
        <f aca="false">AG195+AH195+AI195</f>
        <v>0</v>
      </c>
      <c r="AK195" s="21" t="n">
        <f aca="false">IF(OR(AE195="",AE195=0),0,AE195-AJ195)</f>
        <v>0</v>
      </c>
      <c r="AL195" s="19" t="str">
        <f aca="false">IF(AD195="","",AD195-AK195)</f>
        <v/>
      </c>
      <c r="AM195" s="26" t="str">
        <f aca="false">IF(C195="","","Waiting for payment")</f>
        <v/>
      </c>
      <c r="AN195" s="27"/>
      <c r="AO195" s="27"/>
      <c r="AP195" s="35" t="str">
        <f aca="false">IF(OR(C195="",I195="",K195=""),"",IF(K195="Monthly",EDATE(C195,ROUND(I195*SETTINGS!$I$8,0)),WORKDAY(C195,ROUND(I195*SETTINGS!$I$8,0))))</f>
        <v/>
      </c>
      <c r="AQ195" s="26" t="str">
        <f aca="true">IF(C195="","",IF(AND(AP195&lt;&gt;"",TODAY()&gt;=AP195),"Refi Ready",IF(TODAY()-C195&gt;=SETTINGS!$I$11,"Prospecting","Performing")))</f>
        <v/>
      </c>
      <c r="AR195" s="35" t="str">
        <f aca="false">IF(OR(C195="",I195="",K195=""),"",IF(K195="Monthly",EDATE(C195,I195),WORKDAY(C195,I195)))</f>
        <v/>
      </c>
      <c r="AS195" s="28"/>
      <c r="AT195" s="36" t="str">
        <f aca="true">IF(C195="","",IF(AM195="Clawed Back","CLAWED",IF(TODAY()&lt;=C195+SETTINGS!$I$2,"⚠ AT RISK","SAFE")))</f>
        <v/>
      </c>
      <c r="AU195" s="28"/>
      <c r="AW195" s="24" t="n">
        <f aca="false">AW194+IF(AND(C195&lt;&gt;"",AO195&lt;&gt;"",OR('REP COMMISSION'!$B$3="",T195='REP COMMISSION'!$B$3,W195='REP COMMISSION'!$B$3,Z195='REP COMMISSION'!$B$3)),1,0)</f>
        <v>0</v>
      </c>
      <c r="AX195" s="24" t="n">
        <f aca="false">AX194+IF(AND(C195&lt;&gt;"",OR(F195="LOC - INITIAL",F195="CONSOLIDATION - UPFRONT COMM",F195="REVERSE - TOTAL FUNDING")),1,0)</f>
        <v>0</v>
      </c>
    </row>
    <row r="196" customFormat="false" ht="15" hidden="false" customHeight="false" outlineLevel="0" collapsed="false">
      <c r="A196" s="8" t="str">
        <f aca="false">IF(C196&lt;&gt;"","F"&amp;COUNT($C$4:C196),"")</f>
        <v/>
      </c>
      <c r="B196" s="9" t="str">
        <f aca="false">IF(OR(F196="LOC - INITIAL",F196="CONSOLIDATION - UPFRONT COMM",F196="REVERSE - TOTAL FUNDING"),A196,"")</f>
        <v/>
      </c>
      <c r="C196" s="10"/>
      <c r="D196" s="11"/>
      <c r="E196" s="11"/>
      <c r="F196" s="11"/>
      <c r="G196" s="12"/>
      <c r="H196" s="13"/>
      <c r="I196" s="11"/>
      <c r="J196" s="14" t="str">
        <f aca="false">IF(AND(G196&lt;&gt;"",H196&lt;&gt;""),G196*H196,"")</f>
        <v/>
      </c>
      <c r="K196" s="11"/>
      <c r="L196" s="15"/>
      <c r="M196" s="15"/>
      <c r="N196" s="14" t="n">
        <f aca="false">IF(OR(G196="",M196=""),0,IF(M196&gt;100,M196,G196*IF(M196&gt;1,M196/100,M196)))</f>
        <v>0</v>
      </c>
      <c r="O196" s="14" t="str">
        <f aca="false">IF(G196="","",G196*IF(L196="",0,IF(L196&gt;1,L196/100,L196))+N196)</f>
        <v/>
      </c>
      <c r="P196" s="11"/>
      <c r="Q196" s="16" t="str">
        <f aca="false">IF(P196="","",IFERROR(VLOOKUP(P196,PARTNERS!$A$2:$B$30,2,0),""))</f>
        <v/>
      </c>
      <c r="R196" s="17" t="str">
        <f aca="false">IF(O196="","",IF(OR(P196="",Q196=""),0,(O196-N196)*IF(Q196&gt;1,Q196/100,Q196)))</f>
        <v/>
      </c>
      <c r="S196" s="14" t="str">
        <f aca="false">IF(O196="","",O196-R196)</f>
        <v/>
      </c>
      <c r="T196" s="11"/>
      <c r="U196" s="18" t="str">
        <f aca="false">IF(T196="","",IFERROR(VLOOKUP(T196,REPS!$A$2:$D$40,2,0),""))</f>
        <v/>
      </c>
      <c r="V196" s="14" t="str">
        <f aca="false">IF(O196="","",IF(U196="",0,O196*IF(U196&gt;1,U196/100,U196)))</f>
        <v/>
      </c>
      <c r="W196" s="11"/>
      <c r="X196" s="18" t="str">
        <f aca="false">IF(W196="","",IFERROR(VLOOKUP(W196,REPS!$A$2:$D$40,3,0),""))</f>
        <v/>
      </c>
      <c r="Y196" s="14" t="str">
        <f aca="false">IF(O196="","",IF(X196="",0,O196*IF(X196&gt;1,X196/100,X196)))</f>
        <v/>
      </c>
      <c r="Z196" s="11"/>
      <c r="AA196" s="18" t="str">
        <f aca="false">IF(Z196="","",IFERROR(VLOOKUP(Z196,REPS!$A$2:$D$40,4,0),""))</f>
        <v/>
      </c>
      <c r="AB196" s="14" t="str">
        <f aca="false">IF(O196="","",IF(AA196="",0,O196*IF(AA196&gt;1,AA196/100,AA196)))</f>
        <v/>
      </c>
      <c r="AC196" s="14" t="str">
        <f aca="false">IF(O196="","",V196+Y196+AB196)</f>
        <v/>
      </c>
      <c r="AD196" s="19" t="str">
        <f aca="false">IF(O196="","",O196-R196-AC196)</f>
        <v/>
      </c>
      <c r="AE196" s="20"/>
      <c r="AF196" s="10"/>
      <c r="AG196" s="21" t="n">
        <f aca="false">IF(OR(AE196="",AE196=0),0,AE196*IF(U196="",0,IF(U196&gt;1,U196/100,U196)))</f>
        <v>0</v>
      </c>
      <c r="AH196" s="21" t="n">
        <f aca="false">IF(OR(AE196="",AE196=0),0,AE196*IF(X196="",0,IF(X196&gt;1,X196/100,X196)))</f>
        <v>0</v>
      </c>
      <c r="AI196" s="21" t="n">
        <f aca="false">IF(OR(AE196="",AE196=0),0,AE196*IF(AA196="",0,IF(AA196&gt;1,AA196/100,AA196)))</f>
        <v>0</v>
      </c>
      <c r="AJ196" s="21" t="n">
        <f aca="false">AG196+AH196+AI196</f>
        <v>0</v>
      </c>
      <c r="AK196" s="21" t="n">
        <f aca="false">IF(OR(AE196="",AE196=0),0,AE196-AJ196)</f>
        <v>0</v>
      </c>
      <c r="AL196" s="19" t="str">
        <f aca="false">IF(AD196="","",AD196-AK196)</f>
        <v/>
      </c>
      <c r="AM196" s="9" t="str">
        <f aca="false">IF(C196="","","Waiting for payment")</f>
        <v/>
      </c>
      <c r="AN196" s="10"/>
      <c r="AO196" s="10"/>
      <c r="AP196" s="22" t="str">
        <f aca="false">IF(OR(C196="",I196="",K196=""),"",IF(K196="Monthly",EDATE(C196,ROUND(I196*SETTINGS!$I$8,0)),WORKDAY(C196,ROUND(I196*SETTINGS!$I$8,0))))</f>
        <v/>
      </c>
      <c r="AQ196" s="9" t="str">
        <f aca="true">IF(C196="","",IF(AND(AP196&lt;&gt;"",TODAY()&gt;=AP196),"Refi Ready",IF(TODAY()-C196&gt;=SETTINGS!$I$11,"Prospecting","Performing")))</f>
        <v/>
      </c>
      <c r="AR196" s="22" t="str">
        <f aca="false">IF(OR(C196="",I196="",K196=""),"",IF(K196="Monthly",EDATE(C196,I196),WORKDAY(C196,I196)))</f>
        <v/>
      </c>
      <c r="AS196" s="11"/>
      <c r="AT196" s="23" t="str">
        <f aca="true">IF(C196="","",IF(AM196="Clawed Back","CLAWED",IF(TODAY()&lt;=C196+SETTINGS!$I$2,"⚠ AT RISK","SAFE")))</f>
        <v/>
      </c>
      <c r="AU196" s="11"/>
      <c r="AW196" s="24" t="n">
        <f aca="false">AW195+IF(AND(C196&lt;&gt;"",AO196&lt;&gt;"",OR('REP COMMISSION'!$B$3="",T196='REP COMMISSION'!$B$3,W196='REP COMMISSION'!$B$3,Z196='REP COMMISSION'!$B$3)),1,0)</f>
        <v>0</v>
      </c>
      <c r="AX196" s="24" t="n">
        <f aca="false">AX195+IF(AND(C196&lt;&gt;"",OR(F196="LOC - INITIAL",F196="CONSOLIDATION - UPFRONT COMM",F196="REVERSE - TOTAL FUNDING")),1,0)</f>
        <v>0</v>
      </c>
    </row>
    <row r="197" customFormat="false" ht="15" hidden="false" customHeight="false" outlineLevel="0" collapsed="false">
      <c r="A197" s="25" t="str">
        <f aca="false">IF(C197&lt;&gt;"","F"&amp;COUNT($C$4:C197),"")</f>
        <v/>
      </c>
      <c r="B197" s="26" t="str">
        <f aca="false">IF(OR(F197="LOC - INITIAL",F197="CONSOLIDATION - UPFRONT COMM",F197="REVERSE - TOTAL FUNDING"),A197,"")</f>
        <v/>
      </c>
      <c r="C197" s="27"/>
      <c r="D197" s="28"/>
      <c r="E197" s="28"/>
      <c r="F197" s="28"/>
      <c r="G197" s="29"/>
      <c r="H197" s="30"/>
      <c r="I197" s="28"/>
      <c r="J197" s="31" t="str">
        <f aca="false">IF(AND(G197&lt;&gt;"",H197&lt;&gt;""),G197*H197,"")</f>
        <v/>
      </c>
      <c r="K197" s="28"/>
      <c r="L197" s="32"/>
      <c r="M197" s="32"/>
      <c r="N197" s="31" t="n">
        <f aca="false">IF(OR(G197="",M197=""),0,IF(M197&gt;100,M197,G197*IF(M197&gt;1,M197/100,M197)))</f>
        <v>0</v>
      </c>
      <c r="O197" s="31" t="str">
        <f aca="false">IF(G197="","",G197*IF(L197="",0,IF(L197&gt;1,L197/100,L197))+N197)</f>
        <v/>
      </c>
      <c r="P197" s="28"/>
      <c r="Q197" s="33" t="str">
        <f aca="false">IF(P197="","",IFERROR(VLOOKUP(P197,PARTNERS!$A$2:$B$30,2,0),""))</f>
        <v/>
      </c>
      <c r="R197" s="17" t="str">
        <f aca="false">IF(O197="","",IF(OR(P197="",Q197=""),0,(O197-N197)*IF(Q197&gt;1,Q197/100,Q197)))</f>
        <v/>
      </c>
      <c r="S197" s="31" t="str">
        <f aca="false">IF(O197="","",O197-R197)</f>
        <v/>
      </c>
      <c r="T197" s="28"/>
      <c r="U197" s="34" t="str">
        <f aca="false">IF(T197="","",IFERROR(VLOOKUP(T197,REPS!$A$2:$D$40,2,0),""))</f>
        <v/>
      </c>
      <c r="V197" s="31" t="str">
        <f aca="false">IF(O197="","",IF(U197="",0,O197*IF(U197&gt;1,U197/100,U197)))</f>
        <v/>
      </c>
      <c r="W197" s="28"/>
      <c r="X197" s="34" t="str">
        <f aca="false">IF(W197="","",IFERROR(VLOOKUP(W197,REPS!$A$2:$D$40,3,0),""))</f>
        <v/>
      </c>
      <c r="Y197" s="31" t="str">
        <f aca="false">IF(O197="","",IF(X197="",0,O197*IF(X197&gt;1,X197/100,X197)))</f>
        <v/>
      </c>
      <c r="Z197" s="28"/>
      <c r="AA197" s="34" t="str">
        <f aca="false">IF(Z197="","",IFERROR(VLOOKUP(Z197,REPS!$A$2:$D$40,4,0),""))</f>
        <v/>
      </c>
      <c r="AB197" s="31" t="str">
        <f aca="false">IF(O197="","",IF(AA197="",0,O197*IF(AA197&gt;1,AA197/100,AA197)))</f>
        <v/>
      </c>
      <c r="AC197" s="31" t="str">
        <f aca="false">IF(O197="","",V197+Y197+AB197)</f>
        <v/>
      </c>
      <c r="AD197" s="19" t="str">
        <f aca="false">IF(O197="","",O197-R197-AC197)</f>
        <v/>
      </c>
      <c r="AE197" s="20"/>
      <c r="AF197" s="27"/>
      <c r="AG197" s="21" t="n">
        <f aca="false">IF(OR(AE197="",AE197=0),0,AE197*IF(U197="",0,IF(U197&gt;1,U197/100,U197)))</f>
        <v>0</v>
      </c>
      <c r="AH197" s="21" t="n">
        <f aca="false">IF(OR(AE197="",AE197=0),0,AE197*IF(X197="",0,IF(X197&gt;1,X197/100,X197)))</f>
        <v>0</v>
      </c>
      <c r="AI197" s="21" t="n">
        <f aca="false">IF(OR(AE197="",AE197=0),0,AE197*IF(AA197="",0,IF(AA197&gt;1,AA197/100,AA197)))</f>
        <v>0</v>
      </c>
      <c r="AJ197" s="21" t="n">
        <f aca="false">AG197+AH197+AI197</f>
        <v>0</v>
      </c>
      <c r="AK197" s="21" t="n">
        <f aca="false">IF(OR(AE197="",AE197=0),0,AE197-AJ197)</f>
        <v>0</v>
      </c>
      <c r="AL197" s="19" t="str">
        <f aca="false">IF(AD197="","",AD197-AK197)</f>
        <v/>
      </c>
      <c r="AM197" s="26" t="str">
        <f aca="false">IF(C197="","","Waiting for payment")</f>
        <v/>
      </c>
      <c r="AN197" s="27"/>
      <c r="AO197" s="27"/>
      <c r="AP197" s="35" t="str">
        <f aca="false">IF(OR(C197="",I197="",K197=""),"",IF(K197="Monthly",EDATE(C197,ROUND(I197*SETTINGS!$I$8,0)),WORKDAY(C197,ROUND(I197*SETTINGS!$I$8,0))))</f>
        <v/>
      </c>
      <c r="AQ197" s="26" t="str">
        <f aca="true">IF(C197="","",IF(AND(AP197&lt;&gt;"",TODAY()&gt;=AP197),"Refi Ready",IF(TODAY()-C197&gt;=SETTINGS!$I$11,"Prospecting","Performing")))</f>
        <v/>
      </c>
      <c r="AR197" s="35" t="str">
        <f aca="false">IF(OR(C197="",I197="",K197=""),"",IF(K197="Monthly",EDATE(C197,I197),WORKDAY(C197,I197)))</f>
        <v/>
      </c>
      <c r="AS197" s="28"/>
      <c r="AT197" s="36" t="str">
        <f aca="true">IF(C197="","",IF(AM197="Clawed Back","CLAWED",IF(TODAY()&lt;=C197+SETTINGS!$I$2,"⚠ AT RISK","SAFE")))</f>
        <v/>
      </c>
      <c r="AU197" s="28"/>
      <c r="AW197" s="24" t="n">
        <f aca="false">AW196+IF(AND(C197&lt;&gt;"",AO197&lt;&gt;"",OR('REP COMMISSION'!$B$3="",T197='REP COMMISSION'!$B$3,W197='REP COMMISSION'!$B$3,Z197='REP COMMISSION'!$B$3)),1,0)</f>
        <v>0</v>
      </c>
      <c r="AX197" s="24" t="n">
        <f aca="false">AX196+IF(AND(C197&lt;&gt;"",OR(F197="LOC - INITIAL",F197="CONSOLIDATION - UPFRONT COMM",F197="REVERSE - TOTAL FUNDING")),1,0)</f>
        <v>0</v>
      </c>
    </row>
    <row r="198" customFormat="false" ht="15" hidden="false" customHeight="false" outlineLevel="0" collapsed="false">
      <c r="A198" s="8" t="str">
        <f aca="false">IF(C198&lt;&gt;"","F"&amp;COUNT($C$4:C198),"")</f>
        <v/>
      </c>
      <c r="B198" s="9" t="str">
        <f aca="false">IF(OR(F198="LOC - INITIAL",F198="CONSOLIDATION - UPFRONT COMM",F198="REVERSE - TOTAL FUNDING"),A198,"")</f>
        <v/>
      </c>
      <c r="C198" s="10"/>
      <c r="D198" s="11"/>
      <c r="E198" s="11"/>
      <c r="F198" s="11"/>
      <c r="G198" s="12"/>
      <c r="H198" s="13"/>
      <c r="I198" s="11"/>
      <c r="J198" s="14" t="str">
        <f aca="false">IF(AND(G198&lt;&gt;"",H198&lt;&gt;""),G198*H198,"")</f>
        <v/>
      </c>
      <c r="K198" s="11"/>
      <c r="L198" s="15"/>
      <c r="M198" s="15"/>
      <c r="N198" s="14" t="n">
        <f aca="false">IF(OR(G198="",M198=""),0,IF(M198&gt;100,M198,G198*IF(M198&gt;1,M198/100,M198)))</f>
        <v>0</v>
      </c>
      <c r="O198" s="14" t="str">
        <f aca="false">IF(G198="","",G198*IF(L198="",0,IF(L198&gt;1,L198/100,L198))+N198)</f>
        <v/>
      </c>
      <c r="P198" s="11"/>
      <c r="Q198" s="16" t="str">
        <f aca="false">IF(P198="","",IFERROR(VLOOKUP(P198,PARTNERS!$A$2:$B$30,2,0),""))</f>
        <v/>
      </c>
      <c r="R198" s="17" t="str">
        <f aca="false">IF(O198="","",IF(OR(P198="",Q198=""),0,(O198-N198)*IF(Q198&gt;1,Q198/100,Q198)))</f>
        <v/>
      </c>
      <c r="S198" s="14" t="str">
        <f aca="false">IF(O198="","",O198-R198)</f>
        <v/>
      </c>
      <c r="T198" s="11"/>
      <c r="U198" s="18" t="str">
        <f aca="false">IF(T198="","",IFERROR(VLOOKUP(T198,REPS!$A$2:$D$40,2,0),""))</f>
        <v/>
      </c>
      <c r="V198" s="14" t="str">
        <f aca="false">IF(O198="","",IF(U198="",0,O198*IF(U198&gt;1,U198/100,U198)))</f>
        <v/>
      </c>
      <c r="W198" s="11"/>
      <c r="X198" s="18" t="str">
        <f aca="false">IF(W198="","",IFERROR(VLOOKUP(W198,REPS!$A$2:$D$40,3,0),""))</f>
        <v/>
      </c>
      <c r="Y198" s="14" t="str">
        <f aca="false">IF(O198="","",IF(X198="",0,O198*IF(X198&gt;1,X198/100,X198)))</f>
        <v/>
      </c>
      <c r="Z198" s="11"/>
      <c r="AA198" s="18" t="str">
        <f aca="false">IF(Z198="","",IFERROR(VLOOKUP(Z198,REPS!$A$2:$D$40,4,0),""))</f>
        <v/>
      </c>
      <c r="AB198" s="14" t="str">
        <f aca="false">IF(O198="","",IF(AA198="",0,O198*IF(AA198&gt;1,AA198/100,AA198)))</f>
        <v/>
      </c>
      <c r="AC198" s="14" t="str">
        <f aca="false">IF(O198="","",V198+Y198+AB198)</f>
        <v/>
      </c>
      <c r="AD198" s="19" t="str">
        <f aca="false">IF(O198="","",O198-R198-AC198)</f>
        <v/>
      </c>
      <c r="AE198" s="20"/>
      <c r="AF198" s="10"/>
      <c r="AG198" s="21" t="n">
        <f aca="false">IF(OR(AE198="",AE198=0),0,AE198*IF(U198="",0,IF(U198&gt;1,U198/100,U198)))</f>
        <v>0</v>
      </c>
      <c r="AH198" s="21" t="n">
        <f aca="false">IF(OR(AE198="",AE198=0),0,AE198*IF(X198="",0,IF(X198&gt;1,X198/100,X198)))</f>
        <v>0</v>
      </c>
      <c r="AI198" s="21" t="n">
        <f aca="false">IF(OR(AE198="",AE198=0),0,AE198*IF(AA198="",0,IF(AA198&gt;1,AA198/100,AA198)))</f>
        <v>0</v>
      </c>
      <c r="AJ198" s="21" t="n">
        <f aca="false">AG198+AH198+AI198</f>
        <v>0</v>
      </c>
      <c r="AK198" s="21" t="n">
        <f aca="false">IF(OR(AE198="",AE198=0),0,AE198-AJ198)</f>
        <v>0</v>
      </c>
      <c r="AL198" s="19" t="str">
        <f aca="false">IF(AD198="","",AD198-AK198)</f>
        <v/>
      </c>
      <c r="AM198" s="9" t="str">
        <f aca="false">IF(C198="","","Waiting for payment")</f>
        <v/>
      </c>
      <c r="AN198" s="10"/>
      <c r="AO198" s="10"/>
      <c r="AP198" s="22" t="str">
        <f aca="false">IF(OR(C198="",I198="",K198=""),"",IF(K198="Monthly",EDATE(C198,ROUND(I198*SETTINGS!$I$8,0)),WORKDAY(C198,ROUND(I198*SETTINGS!$I$8,0))))</f>
        <v/>
      </c>
      <c r="AQ198" s="9" t="str">
        <f aca="true">IF(C198="","",IF(AND(AP198&lt;&gt;"",TODAY()&gt;=AP198),"Refi Ready",IF(TODAY()-C198&gt;=SETTINGS!$I$11,"Prospecting","Performing")))</f>
        <v/>
      </c>
      <c r="AR198" s="22" t="str">
        <f aca="false">IF(OR(C198="",I198="",K198=""),"",IF(K198="Monthly",EDATE(C198,I198),WORKDAY(C198,I198)))</f>
        <v/>
      </c>
      <c r="AS198" s="11"/>
      <c r="AT198" s="23" t="str">
        <f aca="true">IF(C198="","",IF(AM198="Clawed Back","CLAWED",IF(TODAY()&lt;=C198+SETTINGS!$I$2,"⚠ AT RISK","SAFE")))</f>
        <v/>
      </c>
      <c r="AU198" s="11"/>
      <c r="AW198" s="24" t="n">
        <f aca="false">AW197+IF(AND(C198&lt;&gt;"",AO198&lt;&gt;"",OR('REP COMMISSION'!$B$3="",T198='REP COMMISSION'!$B$3,W198='REP COMMISSION'!$B$3,Z198='REP COMMISSION'!$B$3)),1,0)</f>
        <v>0</v>
      </c>
      <c r="AX198" s="24" t="n">
        <f aca="false">AX197+IF(AND(C198&lt;&gt;"",OR(F198="LOC - INITIAL",F198="CONSOLIDATION - UPFRONT COMM",F198="REVERSE - TOTAL FUNDING")),1,0)</f>
        <v>0</v>
      </c>
    </row>
    <row r="199" customFormat="false" ht="15" hidden="false" customHeight="false" outlineLevel="0" collapsed="false">
      <c r="A199" s="25" t="str">
        <f aca="false">IF(C199&lt;&gt;"","F"&amp;COUNT($C$4:C199),"")</f>
        <v/>
      </c>
      <c r="B199" s="26" t="str">
        <f aca="false">IF(OR(F199="LOC - INITIAL",F199="CONSOLIDATION - UPFRONT COMM",F199="REVERSE - TOTAL FUNDING"),A199,"")</f>
        <v/>
      </c>
      <c r="C199" s="27"/>
      <c r="D199" s="28"/>
      <c r="E199" s="28"/>
      <c r="F199" s="28"/>
      <c r="G199" s="29"/>
      <c r="H199" s="30"/>
      <c r="I199" s="28"/>
      <c r="J199" s="31" t="str">
        <f aca="false">IF(AND(G199&lt;&gt;"",H199&lt;&gt;""),G199*H199,"")</f>
        <v/>
      </c>
      <c r="K199" s="28"/>
      <c r="L199" s="32"/>
      <c r="M199" s="32"/>
      <c r="N199" s="31" t="n">
        <f aca="false">IF(OR(G199="",M199=""),0,IF(M199&gt;100,M199,G199*IF(M199&gt;1,M199/100,M199)))</f>
        <v>0</v>
      </c>
      <c r="O199" s="31" t="str">
        <f aca="false">IF(G199="","",G199*IF(L199="",0,IF(L199&gt;1,L199/100,L199))+N199)</f>
        <v/>
      </c>
      <c r="P199" s="28"/>
      <c r="Q199" s="33" t="str">
        <f aca="false">IF(P199="","",IFERROR(VLOOKUP(P199,PARTNERS!$A$2:$B$30,2,0),""))</f>
        <v/>
      </c>
      <c r="R199" s="17" t="str">
        <f aca="false">IF(O199="","",IF(OR(P199="",Q199=""),0,(O199-N199)*IF(Q199&gt;1,Q199/100,Q199)))</f>
        <v/>
      </c>
      <c r="S199" s="31" t="str">
        <f aca="false">IF(O199="","",O199-R199)</f>
        <v/>
      </c>
      <c r="T199" s="28"/>
      <c r="U199" s="34" t="str">
        <f aca="false">IF(T199="","",IFERROR(VLOOKUP(T199,REPS!$A$2:$D$40,2,0),""))</f>
        <v/>
      </c>
      <c r="V199" s="31" t="str">
        <f aca="false">IF(O199="","",IF(U199="",0,O199*IF(U199&gt;1,U199/100,U199)))</f>
        <v/>
      </c>
      <c r="W199" s="28"/>
      <c r="X199" s="34" t="str">
        <f aca="false">IF(W199="","",IFERROR(VLOOKUP(W199,REPS!$A$2:$D$40,3,0),""))</f>
        <v/>
      </c>
      <c r="Y199" s="31" t="str">
        <f aca="false">IF(O199="","",IF(X199="",0,O199*IF(X199&gt;1,X199/100,X199)))</f>
        <v/>
      </c>
      <c r="Z199" s="28"/>
      <c r="AA199" s="34" t="str">
        <f aca="false">IF(Z199="","",IFERROR(VLOOKUP(Z199,REPS!$A$2:$D$40,4,0),""))</f>
        <v/>
      </c>
      <c r="AB199" s="31" t="str">
        <f aca="false">IF(O199="","",IF(AA199="",0,O199*IF(AA199&gt;1,AA199/100,AA199)))</f>
        <v/>
      </c>
      <c r="AC199" s="31" t="str">
        <f aca="false">IF(O199="","",V199+Y199+AB199)</f>
        <v/>
      </c>
      <c r="AD199" s="19" t="str">
        <f aca="false">IF(O199="","",O199-R199-AC199)</f>
        <v/>
      </c>
      <c r="AE199" s="20"/>
      <c r="AF199" s="27"/>
      <c r="AG199" s="21" t="n">
        <f aca="false">IF(OR(AE199="",AE199=0),0,AE199*IF(U199="",0,IF(U199&gt;1,U199/100,U199)))</f>
        <v>0</v>
      </c>
      <c r="AH199" s="21" t="n">
        <f aca="false">IF(OR(AE199="",AE199=0),0,AE199*IF(X199="",0,IF(X199&gt;1,X199/100,X199)))</f>
        <v>0</v>
      </c>
      <c r="AI199" s="21" t="n">
        <f aca="false">IF(OR(AE199="",AE199=0),0,AE199*IF(AA199="",0,IF(AA199&gt;1,AA199/100,AA199)))</f>
        <v>0</v>
      </c>
      <c r="AJ199" s="21" t="n">
        <f aca="false">AG199+AH199+AI199</f>
        <v>0</v>
      </c>
      <c r="AK199" s="21" t="n">
        <f aca="false">IF(OR(AE199="",AE199=0),0,AE199-AJ199)</f>
        <v>0</v>
      </c>
      <c r="AL199" s="19" t="str">
        <f aca="false">IF(AD199="","",AD199-AK199)</f>
        <v/>
      </c>
      <c r="AM199" s="26" t="str">
        <f aca="false">IF(C199="","","Waiting for payment")</f>
        <v/>
      </c>
      <c r="AN199" s="27"/>
      <c r="AO199" s="27"/>
      <c r="AP199" s="35" t="str">
        <f aca="false">IF(OR(C199="",I199="",K199=""),"",IF(K199="Monthly",EDATE(C199,ROUND(I199*SETTINGS!$I$8,0)),WORKDAY(C199,ROUND(I199*SETTINGS!$I$8,0))))</f>
        <v/>
      </c>
      <c r="AQ199" s="26" t="str">
        <f aca="true">IF(C199="","",IF(AND(AP199&lt;&gt;"",TODAY()&gt;=AP199),"Refi Ready",IF(TODAY()-C199&gt;=SETTINGS!$I$11,"Prospecting","Performing")))</f>
        <v/>
      </c>
      <c r="AR199" s="35" t="str">
        <f aca="false">IF(OR(C199="",I199="",K199=""),"",IF(K199="Monthly",EDATE(C199,I199),WORKDAY(C199,I199)))</f>
        <v/>
      </c>
      <c r="AS199" s="28"/>
      <c r="AT199" s="36" t="str">
        <f aca="true">IF(C199="","",IF(AM199="Clawed Back","CLAWED",IF(TODAY()&lt;=C199+SETTINGS!$I$2,"⚠ AT RISK","SAFE")))</f>
        <v/>
      </c>
      <c r="AU199" s="28"/>
      <c r="AW199" s="24" t="n">
        <f aca="false">AW198+IF(AND(C199&lt;&gt;"",AO199&lt;&gt;"",OR('REP COMMISSION'!$B$3="",T199='REP COMMISSION'!$B$3,W199='REP COMMISSION'!$B$3,Z199='REP COMMISSION'!$B$3)),1,0)</f>
        <v>0</v>
      </c>
      <c r="AX199" s="24" t="n">
        <f aca="false">AX198+IF(AND(C199&lt;&gt;"",OR(F199="LOC - INITIAL",F199="CONSOLIDATION - UPFRONT COMM",F199="REVERSE - TOTAL FUNDING")),1,0)</f>
        <v>0</v>
      </c>
    </row>
    <row r="200" customFormat="false" ht="15" hidden="false" customHeight="false" outlineLevel="0" collapsed="false">
      <c r="A200" s="8" t="str">
        <f aca="false">IF(C200&lt;&gt;"","F"&amp;COUNT($C$4:C200),"")</f>
        <v/>
      </c>
      <c r="B200" s="9" t="str">
        <f aca="false">IF(OR(F200="LOC - INITIAL",F200="CONSOLIDATION - UPFRONT COMM",F200="REVERSE - TOTAL FUNDING"),A200,"")</f>
        <v/>
      </c>
      <c r="C200" s="10"/>
      <c r="D200" s="11"/>
      <c r="E200" s="11"/>
      <c r="F200" s="11"/>
      <c r="G200" s="12"/>
      <c r="H200" s="13"/>
      <c r="I200" s="11"/>
      <c r="J200" s="14" t="str">
        <f aca="false">IF(AND(G200&lt;&gt;"",H200&lt;&gt;""),G200*H200,"")</f>
        <v/>
      </c>
      <c r="K200" s="11"/>
      <c r="L200" s="15"/>
      <c r="M200" s="15"/>
      <c r="N200" s="14" t="n">
        <f aca="false">IF(OR(G200="",M200=""),0,IF(M200&gt;100,M200,G200*IF(M200&gt;1,M200/100,M200)))</f>
        <v>0</v>
      </c>
      <c r="O200" s="14" t="str">
        <f aca="false">IF(G200="","",G200*IF(L200="",0,IF(L200&gt;1,L200/100,L200))+N200)</f>
        <v/>
      </c>
      <c r="P200" s="11"/>
      <c r="Q200" s="16" t="str">
        <f aca="false">IF(P200="","",IFERROR(VLOOKUP(P200,PARTNERS!$A$2:$B$30,2,0),""))</f>
        <v/>
      </c>
      <c r="R200" s="17" t="str">
        <f aca="false">IF(O200="","",IF(OR(P200="",Q200=""),0,(O200-N200)*IF(Q200&gt;1,Q200/100,Q200)))</f>
        <v/>
      </c>
      <c r="S200" s="14" t="str">
        <f aca="false">IF(O200="","",O200-R200)</f>
        <v/>
      </c>
      <c r="T200" s="11"/>
      <c r="U200" s="18" t="str">
        <f aca="false">IF(T200="","",IFERROR(VLOOKUP(T200,REPS!$A$2:$D$40,2,0),""))</f>
        <v/>
      </c>
      <c r="V200" s="14" t="str">
        <f aca="false">IF(O200="","",IF(U200="",0,O200*IF(U200&gt;1,U200/100,U200)))</f>
        <v/>
      </c>
      <c r="W200" s="11"/>
      <c r="X200" s="18" t="str">
        <f aca="false">IF(W200="","",IFERROR(VLOOKUP(W200,REPS!$A$2:$D$40,3,0),""))</f>
        <v/>
      </c>
      <c r="Y200" s="14" t="str">
        <f aca="false">IF(O200="","",IF(X200="",0,O200*IF(X200&gt;1,X200/100,X200)))</f>
        <v/>
      </c>
      <c r="Z200" s="11"/>
      <c r="AA200" s="18" t="str">
        <f aca="false">IF(Z200="","",IFERROR(VLOOKUP(Z200,REPS!$A$2:$D$40,4,0),""))</f>
        <v/>
      </c>
      <c r="AB200" s="14" t="str">
        <f aca="false">IF(O200="","",IF(AA200="",0,O200*IF(AA200&gt;1,AA200/100,AA200)))</f>
        <v/>
      </c>
      <c r="AC200" s="14" t="str">
        <f aca="false">IF(O200="","",V200+Y200+AB200)</f>
        <v/>
      </c>
      <c r="AD200" s="19" t="str">
        <f aca="false">IF(O200="","",O200-R200-AC200)</f>
        <v/>
      </c>
      <c r="AE200" s="20"/>
      <c r="AF200" s="10"/>
      <c r="AG200" s="21" t="n">
        <f aca="false">IF(OR(AE200="",AE200=0),0,AE200*IF(U200="",0,IF(U200&gt;1,U200/100,U200)))</f>
        <v>0</v>
      </c>
      <c r="AH200" s="21" t="n">
        <f aca="false">IF(OR(AE200="",AE200=0),0,AE200*IF(X200="",0,IF(X200&gt;1,X200/100,X200)))</f>
        <v>0</v>
      </c>
      <c r="AI200" s="21" t="n">
        <f aca="false">IF(OR(AE200="",AE200=0),0,AE200*IF(AA200="",0,IF(AA200&gt;1,AA200/100,AA200)))</f>
        <v>0</v>
      </c>
      <c r="AJ200" s="21" t="n">
        <f aca="false">AG200+AH200+AI200</f>
        <v>0</v>
      </c>
      <c r="AK200" s="21" t="n">
        <f aca="false">IF(OR(AE200="",AE200=0),0,AE200-AJ200)</f>
        <v>0</v>
      </c>
      <c r="AL200" s="19" t="str">
        <f aca="false">IF(AD200="","",AD200-AK200)</f>
        <v/>
      </c>
      <c r="AM200" s="9" t="str">
        <f aca="false">IF(C200="","","Waiting for payment")</f>
        <v/>
      </c>
      <c r="AN200" s="10"/>
      <c r="AO200" s="10"/>
      <c r="AP200" s="22" t="str">
        <f aca="false">IF(OR(C200="",I200="",K200=""),"",IF(K200="Monthly",EDATE(C200,ROUND(I200*SETTINGS!$I$8,0)),WORKDAY(C200,ROUND(I200*SETTINGS!$I$8,0))))</f>
        <v/>
      </c>
      <c r="AQ200" s="9" t="str">
        <f aca="true">IF(C200="","",IF(AND(AP200&lt;&gt;"",TODAY()&gt;=AP200),"Refi Ready",IF(TODAY()-C200&gt;=SETTINGS!$I$11,"Prospecting","Performing")))</f>
        <v/>
      </c>
      <c r="AR200" s="22" t="str">
        <f aca="false">IF(OR(C200="",I200="",K200=""),"",IF(K200="Monthly",EDATE(C200,I200),WORKDAY(C200,I200)))</f>
        <v/>
      </c>
      <c r="AS200" s="11"/>
      <c r="AT200" s="23" t="str">
        <f aca="true">IF(C200="","",IF(AM200="Clawed Back","CLAWED",IF(TODAY()&lt;=C200+SETTINGS!$I$2,"⚠ AT RISK","SAFE")))</f>
        <v/>
      </c>
      <c r="AU200" s="11"/>
      <c r="AW200" s="24" t="n">
        <f aca="false">AW199+IF(AND(C200&lt;&gt;"",AO200&lt;&gt;"",OR('REP COMMISSION'!$B$3="",T200='REP COMMISSION'!$B$3,W200='REP COMMISSION'!$B$3,Z200='REP COMMISSION'!$B$3)),1,0)</f>
        <v>0</v>
      </c>
      <c r="AX200" s="24" t="n">
        <f aca="false">AX199+IF(AND(C200&lt;&gt;"",OR(F200="LOC - INITIAL",F200="CONSOLIDATION - UPFRONT COMM",F200="REVERSE - TOTAL FUNDING")),1,0)</f>
        <v>0</v>
      </c>
    </row>
    <row r="201" customFormat="false" ht="15" hidden="false" customHeight="false" outlineLevel="0" collapsed="false">
      <c r="A201" s="25" t="str">
        <f aca="false">IF(C201&lt;&gt;"","F"&amp;COUNT($C$4:C201),"")</f>
        <v/>
      </c>
      <c r="B201" s="26" t="str">
        <f aca="false">IF(OR(F201="LOC - INITIAL",F201="CONSOLIDATION - UPFRONT COMM",F201="REVERSE - TOTAL FUNDING"),A201,"")</f>
        <v/>
      </c>
      <c r="C201" s="27"/>
      <c r="D201" s="28"/>
      <c r="E201" s="28"/>
      <c r="F201" s="28"/>
      <c r="G201" s="29"/>
      <c r="H201" s="30"/>
      <c r="I201" s="28"/>
      <c r="J201" s="31" t="str">
        <f aca="false">IF(AND(G201&lt;&gt;"",H201&lt;&gt;""),G201*H201,"")</f>
        <v/>
      </c>
      <c r="K201" s="28"/>
      <c r="L201" s="32"/>
      <c r="M201" s="32"/>
      <c r="N201" s="31" t="n">
        <f aca="false">IF(OR(G201="",M201=""),0,IF(M201&gt;100,M201,G201*IF(M201&gt;1,M201/100,M201)))</f>
        <v>0</v>
      </c>
      <c r="O201" s="31" t="str">
        <f aca="false">IF(G201="","",G201*IF(L201="",0,IF(L201&gt;1,L201/100,L201))+N201)</f>
        <v/>
      </c>
      <c r="P201" s="28"/>
      <c r="Q201" s="33" t="str">
        <f aca="false">IF(P201="","",IFERROR(VLOOKUP(P201,PARTNERS!$A$2:$B$30,2,0),""))</f>
        <v/>
      </c>
      <c r="R201" s="17" t="str">
        <f aca="false">IF(O201="","",IF(OR(P201="",Q201=""),0,(O201-N201)*IF(Q201&gt;1,Q201/100,Q201)))</f>
        <v/>
      </c>
      <c r="S201" s="31" t="str">
        <f aca="false">IF(O201="","",O201-R201)</f>
        <v/>
      </c>
      <c r="T201" s="28"/>
      <c r="U201" s="34" t="str">
        <f aca="false">IF(T201="","",IFERROR(VLOOKUP(T201,REPS!$A$2:$D$40,2,0),""))</f>
        <v/>
      </c>
      <c r="V201" s="31" t="str">
        <f aca="false">IF(O201="","",IF(U201="",0,O201*IF(U201&gt;1,U201/100,U201)))</f>
        <v/>
      </c>
      <c r="W201" s="28"/>
      <c r="X201" s="34" t="str">
        <f aca="false">IF(W201="","",IFERROR(VLOOKUP(W201,REPS!$A$2:$D$40,3,0),""))</f>
        <v/>
      </c>
      <c r="Y201" s="31" t="str">
        <f aca="false">IF(O201="","",IF(X201="",0,O201*IF(X201&gt;1,X201/100,X201)))</f>
        <v/>
      </c>
      <c r="Z201" s="28"/>
      <c r="AA201" s="34" t="str">
        <f aca="false">IF(Z201="","",IFERROR(VLOOKUP(Z201,REPS!$A$2:$D$40,4,0),""))</f>
        <v/>
      </c>
      <c r="AB201" s="31" t="str">
        <f aca="false">IF(O201="","",IF(AA201="",0,O201*IF(AA201&gt;1,AA201/100,AA201)))</f>
        <v/>
      </c>
      <c r="AC201" s="31" t="str">
        <f aca="false">IF(O201="","",V201+Y201+AB201)</f>
        <v/>
      </c>
      <c r="AD201" s="19" t="str">
        <f aca="false">IF(O201="","",O201-R201-AC201)</f>
        <v/>
      </c>
      <c r="AE201" s="20"/>
      <c r="AF201" s="27"/>
      <c r="AG201" s="21" t="n">
        <f aca="false">IF(OR(AE201="",AE201=0),0,AE201*IF(U201="",0,IF(U201&gt;1,U201/100,U201)))</f>
        <v>0</v>
      </c>
      <c r="AH201" s="21" t="n">
        <f aca="false">IF(OR(AE201="",AE201=0),0,AE201*IF(X201="",0,IF(X201&gt;1,X201/100,X201)))</f>
        <v>0</v>
      </c>
      <c r="AI201" s="21" t="n">
        <f aca="false">IF(OR(AE201="",AE201=0),0,AE201*IF(AA201="",0,IF(AA201&gt;1,AA201/100,AA201)))</f>
        <v>0</v>
      </c>
      <c r="AJ201" s="21" t="n">
        <f aca="false">AG201+AH201+AI201</f>
        <v>0</v>
      </c>
      <c r="AK201" s="21" t="n">
        <f aca="false">IF(OR(AE201="",AE201=0),0,AE201-AJ201)</f>
        <v>0</v>
      </c>
      <c r="AL201" s="19" t="str">
        <f aca="false">IF(AD201="","",AD201-AK201)</f>
        <v/>
      </c>
      <c r="AM201" s="26" t="str">
        <f aca="false">IF(C201="","","Waiting for payment")</f>
        <v/>
      </c>
      <c r="AN201" s="27"/>
      <c r="AO201" s="27"/>
      <c r="AP201" s="35" t="str">
        <f aca="false">IF(OR(C201="",I201="",K201=""),"",IF(K201="Monthly",EDATE(C201,ROUND(I201*SETTINGS!$I$8,0)),WORKDAY(C201,ROUND(I201*SETTINGS!$I$8,0))))</f>
        <v/>
      </c>
      <c r="AQ201" s="26" t="str">
        <f aca="true">IF(C201="","",IF(AND(AP201&lt;&gt;"",TODAY()&gt;=AP201),"Refi Ready",IF(TODAY()-C201&gt;=SETTINGS!$I$11,"Prospecting","Performing")))</f>
        <v/>
      </c>
      <c r="AR201" s="35" t="str">
        <f aca="false">IF(OR(C201="",I201="",K201=""),"",IF(K201="Monthly",EDATE(C201,I201),WORKDAY(C201,I201)))</f>
        <v/>
      </c>
      <c r="AS201" s="28"/>
      <c r="AT201" s="36" t="str">
        <f aca="true">IF(C201="","",IF(AM201="Clawed Back","CLAWED",IF(TODAY()&lt;=C201+SETTINGS!$I$2,"⚠ AT RISK","SAFE")))</f>
        <v/>
      </c>
      <c r="AU201" s="28"/>
      <c r="AW201" s="24" t="n">
        <f aca="false">AW200+IF(AND(C201&lt;&gt;"",AO201&lt;&gt;"",OR('REP COMMISSION'!$B$3="",T201='REP COMMISSION'!$B$3,W201='REP COMMISSION'!$B$3,Z201='REP COMMISSION'!$B$3)),1,0)</f>
        <v>0</v>
      </c>
      <c r="AX201" s="24" t="n">
        <f aca="false">AX200+IF(AND(C201&lt;&gt;"",OR(F201="LOC - INITIAL",F201="CONSOLIDATION - UPFRONT COMM",F201="REVERSE - TOTAL FUNDING")),1,0)</f>
        <v>0</v>
      </c>
    </row>
    <row r="202" customFormat="false" ht="15" hidden="false" customHeight="false" outlineLevel="0" collapsed="false">
      <c r="A202" s="8" t="str">
        <f aca="false">IF(C202&lt;&gt;"","F"&amp;COUNT($C$4:C202),"")</f>
        <v/>
      </c>
      <c r="B202" s="9" t="str">
        <f aca="false">IF(OR(F202="LOC - INITIAL",F202="CONSOLIDATION - UPFRONT COMM",F202="REVERSE - TOTAL FUNDING"),A202,"")</f>
        <v/>
      </c>
      <c r="C202" s="10"/>
      <c r="D202" s="11"/>
      <c r="E202" s="11"/>
      <c r="F202" s="11"/>
      <c r="G202" s="12"/>
      <c r="H202" s="13"/>
      <c r="I202" s="11"/>
      <c r="J202" s="14" t="str">
        <f aca="false">IF(AND(G202&lt;&gt;"",H202&lt;&gt;""),G202*H202,"")</f>
        <v/>
      </c>
      <c r="K202" s="11"/>
      <c r="L202" s="15"/>
      <c r="M202" s="15"/>
      <c r="N202" s="14" t="n">
        <f aca="false">IF(OR(G202="",M202=""),0,IF(M202&gt;100,M202,G202*IF(M202&gt;1,M202/100,M202)))</f>
        <v>0</v>
      </c>
      <c r="O202" s="14" t="str">
        <f aca="false">IF(G202="","",G202*IF(L202="",0,IF(L202&gt;1,L202/100,L202))+N202)</f>
        <v/>
      </c>
      <c r="P202" s="11"/>
      <c r="Q202" s="16" t="str">
        <f aca="false">IF(P202="","",IFERROR(VLOOKUP(P202,PARTNERS!$A$2:$B$30,2,0),""))</f>
        <v/>
      </c>
      <c r="R202" s="17" t="str">
        <f aca="false">IF(O202="","",IF(OR(P202="",Q202=""),0,(O202-N202)*IF(Q202&gt;1,Q202/100,Q202)))</f>
        <v/>
      </c>
      <c r="S202" s="14" t="str">
        <f aca="false">IF(O202="","",O202-R202)</f>
        <v/>
      </c>
      <c r="T202" s="11"/>
      <c r="U202" s="18" t="str">
        <f aca="false">IF(T202="","",IFERROR(VLOOKUP(T202,REPS!$A$2:$D$40,2,0),""))</f>
        <v/>
      </c>
      <c r="V202" s="14" t="str">
        <f aca="false">IF(O202="","",IF(U202="",0,O202*IF(U202&gt;1,U202/100,U202)))</f>
        <v/>
      </c>
      <c r="W202" s="11"/>
      <c r="X202" s="18" t="str">
        <f aca="false">IF(W202="","",IFERROR(VLOOKUP(W202,REPS!$A$2:$D$40,3,0),""))</f>
        <v/>
      </c>
      <c r="Y202" s="14" t="str">
        <f aca="false">IF(O202="","",IF(X202="",0,O202*IF(X202&gt;1,X202/100,X202)))</f>
        <v/>
      </c>
      <c r="Z202" s="11"/>
      <c r="AA202" s="18" t="str">
        <f aca="false">IF(Z202="","",IFERROR(VLOOKUP(Z202,REPS!$A$2:$D$40,4,0),""))</f>
        <v/>
      </c>
      <c r="AB202" s="14" t="str">
        <f aca="false">IF(O202="","",IF(AA202="",0,O202*IF(AA202&gt;1,AA202/100,AA202)))</f>
        <v/>
      </c>
      <c r="AC202" s="14" t="str">
        <f aca="false">IF(O202="","",V202+Y202+AB202)</f>
        <v/>
      </c>
      <c r="AD202" s="19" t="str">
        <f aca="false">IF(O202="","",O202-R202-AC202)</f>
        <v/>
      </c>
      <c r="AE202" s="20"/>
      <c r="AF202" s="10"/>
      <c r="AG202" s="21" t="n">
        <f aca="false">IF(OR(AE202="",AE202=0),0,AE202*IF(U202="",0,IF(U202&gt;1,U202/100,U202)))</f>
        <v>0</v>
      </c>
      <c r="AH202" s="21" t="n">
        <f aca="false">IF(OR(AE202="",AE202=0),0,AE202*IF(X202="",0,IF(X202&gt;1,X202/100,X202)))</f>
        <v>0</v>
      </c>
      <c r="AI202" s="21" t="n">
        <f aca="false">IF(OR(AE202="",AE202=0),0,AE202*IF(AA202="",0,IF(AA202&gt;1,AA202/100,AA202)))</f>
        <v>0</v>
      </c>
      <c r="AJ202" s="21" t="n">
        <f aca="false">AG202+AH202+AI202</f>
        <v>0</v>
      </c>
      <c r="AK202" s="21" t="n">
        <f aca="false">IF(OR(AE202="",AE202=0),0,AE202-AJ202)</f>
        <v>0</v>
      </c>
      <c r="AL202" s="19" t="str">
        <f aca="false">IF(AD202="","",AD202-AK202)</f>
        <v/>
      </c>
      <c r="AM202" s="9" t="str">
        <f aca="false">IF(C202="","","Waiting for payment")</f>
        <v/>
      </c>
      <c r="AN202" s="10"/>
      <c r="AO202" s="10"/>
      <c r="AP202" s="22" t="str">
        <f aca="false">IF(OR(C202="",I202="",K202=""),"",IF(K202="Monthly",EDATE(C202,ROUND(I202*SETTINGS!$I$8,0)),WORKDAY(C202,ROUND(I202*SETTINGS!$I$8,0))))</f>
        <v/>
      </c>
      <c r="AQ202" s="9" t="str">
        <f aca="true">IF(C202="","",IF(AND(AP202&lt;&gt;"",TODAY()&gt;=AP202),"Refi Ready",IF(TODAY()-C202&gt;=SETTINGS!$I$11,"Prospecting","Performing")))</f>
        <v/>
      </c>
      <c r="AR202" s="22" t="str">
        <f aca="false">IF(OR(C202="",I202="",K202=""),"",IF(K202="Monthly",EDATE(C202,I202),WORKDAY(C202,I202)))</f>
        <v/>
      </c>
      <c r="AS202" s="11"/>
      <c r="AT202" s="23" t="str">
        <f aca="true">IF(C202="","",IF(AM202="Clawed Back","CLAWED",IF(TODAY()&lt;=C202+SETTINGS!$I$2,"⚠ AT RISK","SAFE")))</f>
        <v/>
      </c>
      <c r="AU202" s="11"/>
      <c r="AW202" s="24" t="n">
        <f aca="false">AW201+IF(AND(C202&lt;&gt;"",AO202&lt;&gt;"",OR('REP COMMISSION'!$B$3="",T202='REP COMMISSION'!$B$3,W202='REP COMMISSION'!$B$3,Z202='REP COMMISSION'!$B$3)),1,0)</f>
        <v>0</v>
      </c>
      <c r="AX202" s="24" t="n">
        <f aca="false">AX201+IF(AND(C202&lt;&gt;"",OR(F202="LOC - INITIAL",F202="CONSOLIDATION - UPFRONT COMM",F202="REVERSE - TOTAL FUNDING")),1,0)</f>
        <v>0</v>
      </c>
    </row>
    <row r="203" customFormat="false" ht="15" hidden="false" customHeight="false" outlineLevel="0" collapsed="false">
      <c r="A203" s="25" t="str">
        <f aca="false">IF(C203&lt;&gt;"","F"&amp;COUNT($C$4:C203),"")</f>
        <v/>
      </c>
      <c r="B203" s="26" t="str">
        <f aca="false">IF(OR(F203="LOC - INITIAL",F203="CONSOLIDATION - UPFRONT COMM",F203="REVERSE - TOTAL FUNDING"),A203,"")</f>
        <v/>
      </c>
      <c r="C203" s="27"/>
      <c r="D203" s="28"/>
      <c r="E203" s="28"/>
      <c r="F203" s="28"/>
      <c r="G203" s="29"/>
      <c r="H203" s="30"/>
      <c r="I203" s="28"/>
      <c r="J203" s="31" t="str">
        <f aca="false">IF(AND(G203&lt;&gt;"",H203&lt;&gt;""),G203*H203,"")</f>
        <v/>
      </c>
      <c r="K203" s="28"/>
      <c r="L203" s="32"/>
      <c r="M203" s="32"/>
      <c r="N203" s="31" t="n">
        <f aca="false">IF(OR(G203="",M203=""),0,IF(M203&gt;100,M203,G203*IF(M203&gt;1,M203/100,M203)))</f>
        <v>0</v>
      </c>
      <c r="O203" s="31" t="str">
        <f aca="false">IF(G203="","",G203*IF(L203="",0,IF(L203&gt;1,L203/100,L203))+N203)</f>
        <v/>
      </c>
      <c r="P203" s="28"/>
      <c r="Q203" s="33" t="str">
        <f aca="false">IF(P203="","",IFERROR(VLOOKUP(P203,PARTNERS!$A$2:$B$30,2,0),""))</f>
        <v/>
      </c>
      <c r="R203" s="17" t="str">
        <f aca="false">IF(O203="","",IF(OR(P203="",Q203=""),0,(O203-N203)*IF(Q203&gt;1,Q203/100,Q203)))</f>
        <v/>
      </c>
      <c r="S203" s="31" t="str">
        <f aca="false">IF(O203="","",O203-R203)</f>
        <v/>
      </c>
      <c r="T203" s="28"/>
      <c r="U203" s="34" t="str">
        <f aca="false">IF(T203="","",IFERROR(VLOOKUP(T203,REPS!$A$2:$D$40,2,0),""))</f>
        <v/>
      </c>
      <c r="V203" s="31" t="str">
        <f aca="false">IF(O203="","",IF(U203="",0,O203*IF(U203&gt;1,U203/100,U203)))</f>
        <v/>
      </c>
      <c r="W203" s="28"/>
      <c r="X203" s="34" t="str">
        <f aca="false">IF(W203="","",IFERROR(VLOOKUP(W203,REPS!$A$2:$D$40,3,0),""))</f>
        <v/>
      </c>
      <c r="Y203" s="31" t="str">
        <f aca="false">IF(O203="","",IF(X203="",0,O203*IF(X203&gt;1,X203/100,X203)))</f>
        <v/>
      </c>
      <c r="Z203" s="28"/>
      <c r="AA203" s="34" t="str">
        <f aca="false">IF(Z203="","",IFERROR(VLOOKUP(Z203,REPS!$A$2:$D$40,4,0),""))</f>
        <v/>
      </c>
      <c r="AB203" s="31" t="str">
        <f aca="false">IF(O203="","",IF(AA203="",0,O203*IF(AA203&gt;1,AA203/100,AA203)))</f>
        <v/>
      </c>
      <c r="AC203" s="31" t="str">
        <f aca="false">IF(O203="","",V203+Y203+AB203)</f>
        <v/>
      </c>
      <c r="AD203" s="19" t="str">
        <f aca="false">IF(O203="","",O203-R203-AC203)</f>
        <v/>
      </c>
      <c r="AE203" s="20"/>
      <c r="AF203" s="27"/>
      <c r="AG203" s="21" t="n">
        <f aca="false">IF(OR(AE203="",AE203=0),0,AE203*IF(U203="",0,IF(U203&gt;1,U203/100,U203)))</f>
        <v>0</v>
      </c>
      <c r="AH203" s="21" t="n">
        <f aca="false">IF(OR(AE203="",AE203=0),0,AE203*IF(X203="",0,IF(X203&gt;1,X203/100,X203)))</f>
        <v>0</v>
      </c>
      <c r="AI203" s="21" t="n">
        <f aca="false">IF(OR(AE203="",AE203=0),0,AE203*IF(AA203="",0,IF(AA203&gt;1,AA203/100,AA203)))</f>
        <v>0</v>
      </c>
      <c r="AJ203" s="21" t="n">
        <f aca="false">AG203+AH203+AI203</f>
        <v>0</v>
      </c>
      <c r="AK203" s="21" t="n">
        <f aca="false">IF(OR(AE203="",AE203=0),0,AE203-AJ203)</f>
        <v>0</v>
      </c>
      <c r="AL203" s="19" t="str">
        <f aca="false">IF(AD203="","",AD203-AK203)</f>
        <v/>
      </c>
      <c r="AM203" s="26" t="str">
        <f aca="false">IF(C203="","","Waiting for payment")</f>
        <v/>
      </c>
      <c r="AN203" s="27"/>
      <c r="AO203" s="27"/>
      <c r="AP203" s="35" t="str">
        <f aca="false">IF(OR(C203="",I203="",K203=""),"",IF(K203="Monthly",EDATE(C203,ROUND(I203*SETTINGS!$I$8,0)),WORKDAY(C203,ROUND(I203*SETTINGS!$I$8,0))))</f>
        <v/>
      </c>
      <c r="AQ203" s="26" t="str">
        <f aca="true">IF(C203="","",IF(AND(AP203&lt;&gt;"",TODAY()&gt;=AP203),"Refi Ready",IF(TODAY()-C203&gt;=SETTINGS!$I$11,"Prospecting","Performing")))</f>
        <v/>
      </c>
      <c r="AR203" s="35" t="str">
        <f aca="false">IF(OR(C203="",I203="",K203=""),"",IF(K203="Monthly",EDATE(C203,I203),WORKDAY(C203,I203)))</f>
        <v/>
      </c>
      <c r="AS203" s="28"/>
      <c r="AT203" s="36" t="str">
        <f aca="true">IF(C203="","",IF(AM203="Clawed Back","CLAWED",IF(TODAY()&lt;=C203+SETTINGS!$I$2,"⚠ AT RISK","SAFE")))</f>
        <v/>
      </c>
      <c r="AU203" s="28"/>
      <c r="AW203" s="24" t="n">
        <f aca="false">AW202+IF(AND(C203&lt;&gt;"",AO203&lt;&gt;"",OR('REP COMMISSION'!$B$3="",T203='REP COMMISSION'!$B$3,W203='REP COMMISSION'!$B$3,Z203='REP COMMISSION'!$B$3)),1,0)</f>
        <v>0</v>
      </c>
      <c r="AX203" s="24" t="n">
        <f aca="false">AX202+IF(AND(C203&lt;&gt;"",OR(F203="LOC - INITIAL",F203="CONSOLIDATION - UPFRONT COMM",F203="REVERSE - TOTAL FUNDING")),1,0)</f>
        <v>0</v>
      </c>
    </row>
    <row r="204" customFormat="false" ht="15" hidden="false" customHeight="false" outlineLevel="0" collapsed="false">
      <c r="A204" s="8" t="str">
        <f aca="false">IF(C204&lt;&gt;"","F"&amp;COUNT($C$4:C204),"")</f>
        <v/>
      </c>
      <c r="B204" s="9" t="str">
        <f aca="false">IF(OR(F204="LOC - INITIAL",F204="CONSOLIDATION - UPFRONT COMM",F204="REVERSE - TOTAL FUNDING"),A204,"")</f>
        <v/>
      </c>
      <c r="C204" s="10"/>
      <c r="D204" s="11"/>
      <c r="E204" s="11"/>
      <c r="F204" s="11"/>
      <c r="G204" s="12"/>
      <c r="H204" s="13"/>
      <c r="I204" s="11"/>
      <c r="J204" s="14" t="str">
        <f aca="false">IF(AND(G204&lt;&gt;"",H204&lt;&gt;""),G204*H204,"")</f>
        <v/>
      </c>
      <c r="K204" s="11"/>
      <c r="L204" s="15"/>
      <c r="M204" s="15"/>
      <c r="N204" s="14" t="n">
        <f aca="false">IF(OR(G204="",M204=""),0,IF(M204&gt;100,M204,G204*IF(M204&gt;1,M204/100,M204)))</f>
        <v>0</v>
      </c>
      <c r="O204" s="14" t="str">
        <f aca="false">IF(G204="","",G204*IF(L204="",0,IF(L204&gt;1,L204/100,L204))+N204)</f>
        <v/>
      </c>
      <c r="P204" s="11"/>
      <c r="Q204" s="16" t="str">
        <f aca="false">IF(P204="","",IFERROR(VLOOKUP(P204,PARTNERS!$A$2:$B$30,2,0),""))</f>
        <v/>
      </c>
      <c r="R204" s="17" t="str">
        <f aca="false">IF(O204="","",IF(OR(P204="",Q204=""),0,(O204-N204)*IF(Q204&gt;1,Q204/100,Q204)))</f>
        <v/>
      </c>
      <c r="S204" s="14" t="str">
        <f aca="false">IF(O204="","",O204-R204)</f>
        <v/>
      </c>
      <c r="T204" s="11"/>
      <c r="U204" s="18" t="str">
        <f aca="false">IF(T204="","",IFERROR(VLOOKUP(T204,REPS!$A$2:$D$40,2,0),""))</f>
        <v/>
      </c>
      <c r="V204" s="14" t="str">
        <f aca="false">IF(O204="","",IF(U204="",0,O204*IF(U204&gt;1,U204/100,U204)))</f>
        <v/>
      </c>
      <c r="W204" s="11"/>
      <c r="X204" s="18" t="str">
        <f aca="false">IF(W204="","",IFERROR(VLOOKUP(W204,REPS!$A$2:$D$40,3,0),""))</f>
        <v/>
      </c>
      <c r="Y204" s="14" t="str">
        <f aca="false">IF(O204="","",IF(X204="",0,O204*IF(X204&gt;1,X204/100,X204)))</f>
        <v/>
      </c>
      <c r="Z204" s="11"/>
      <c r="AA204" s="18" t="str">
        <f aca="false">IF(Z204="","",IFERROR(VLOOKUP(Z204,REPS!$A$2:$D$40,4,0),""))</f>
        <v/>
      </c>
      <c r="AB204" s="14" t="str">
        <f aca="false">IF(O204="","",IF(AA204="",0,O204*IF(AA204&gt;1,AA204/100,AA204)))</f>
        <v/>
      </c>
      <c r="AC204" s="14" t="str">
        <f aca="false">IF(O204="","",V204+Y204+AB204)</f>
        <v/>
      </c>
      <c r="AD204" s="19" t="str">
        <f aca="false">IF(O204="","",O204-R204-AC204)</f>
        <v/>
      </c>
      <c r="AE204" s="20"/>
      <c r="AF204" s="10"/>
      <c r="AG204" s="21" t="n">
        <f aca="false">IF(OR(AE204="",AE204=0),0,AE204*IF(U204="",0,IF(U204&gt;1,U204/100,U204)))</f>
        <v>0</v>
      </c>
      <c r="AH204" s="21" t="n">
        <f aca="false">IF(OR(AE204="",AE204=0),0,AE204*IF(X204="",0,IF(X204&gt;1,X204/100,X204)))</f>
        <v>0</v>
      </c>
      <c r="AI204" s="21" t="n">
        <f aca="false">IF(OR(AE204="",AE204=0),0,AE204*IF(AA204="",0,IF(AA204&gt;1,AA204/100,AA204)))</f>
        <v>0</v>
      </c>
      <c r="AJ204" s="21" t="n">
        <f aca="false">AG204+AH204+AI204</f>
        <v>0</v>
      </c>
      <c r="AK204" s="21" t="n">
        <f aca="false">IF(OR(AE204="",AE204=0),0,AE204-AJ204)</f>
        <v>0</v>
      </c>
      <c r="AL204" s="19" t="str">
        <f aca="false">IF(AD204="","",AD204-AK204)</f>
        <v/>
      </c>
      <c r="AM204" s="9" t="str">
        <f aca="false">IF(C204="","","Waiting for payment")</f>
        <v/>
      </c>
      <c r="AN204" s="10"/>
      <c r="AO204" s="10"/>
      <c r="AP204" s="22" t="str">
        <f aca="false">IF(OR(C204="",I204="",K204=""),"",IF(K204="Monthly",EDATE(C204,ROUND(I204*SETTINGS!$I$8,0)),WORKDAY(C204,ROUND(I204*SETTINGS!$I$8,0))))</f>
        <v/>
      </c>
      <c r="AQ204" s="9" t="str">
        <f aca="true">IF(C204="","",IF(AND(AP204&lt;&gt;"",TODAY()&gt;=AP204),"Refi Ready",IF(TODAY()-C204&gt;=SETTINGS!$I$11,"Prospecting","Performing")))</f>
        <v/>
      </c>
      <c r="AR204" s="22" t="str">
        <f aca="false">IF(OR(C204="",I204="",K204=""),"",IF(K204="Monthly",EDATE(C204,I204),WORKDAY(C204,I204)))</f>
        <v/>
      </c>
      <c r="AS204" s="11"/>
      <c r="AT204" s="23" t="str">
        <f aca="true">IF(C204="","",IF(AM204="Clawed Back","CLAWED",IF(TODAY()&lt;=C204+SETTINGS!$I$2,"⚠ AT RISK","SAFE")))</f>
        <v/>
      </c>
      <c r="AU204" s="11"/>
      <c r="AW204" s="24" t="n">
        <f aca="false">AW203+IF(AND(C204&lt;&gt;"",AO204&lt;&gt;"",OR('REP COMMISSION'!$B$3="",T204='REP COMMISSION'!$B$3,W204='REP COMMISSION'!$B$3,Z204='REP COMMISSION'!$B$3)),1,0)</f>
        <v>0</v>
      </c>
      <c r="AX204" s="24" t="n">
        <f aca="false">AX203+IF(AND(C204&lt;&gt;"",OR(F204="LOC - INITIAL",F204="CONSOLIDATION - UPFRONT COMM",F204="REVERSE - TOTAL FUNDING")),1,0)</f>
        <v>0</v>
      </c>
    </row>
    <row r="205" customFormat="false" ht="15" hidden="false" customHeight="false" outlineLevel="0" collapsed="false">
      <c r="A205" s="25" t="str">
        <f aca="false">IF(C205&lt;&gt;"","F"&amp;COUNT($C$4:C205),"")</f>
        <v/>
      </c>
      <c r="B205" s="26" t="str">
        <f aca="false">IF(OR(F205="LOC - INITIAL",F205="CONSOLIDATION - UPFRONT COMM",F205="REVERSE - TOTAL FUNDING"),A205,"")</f>
        <v/>
      </c>
      <c r="C205" s="27"/>
      <c r="D205" s="28"/>
      <c r="E205" s="28"/>
      <c r="F205" s="28"/>
      <c r="G205" s="29"/>
      <c r="H205" s="30"/>
      <c r="I205" s="28"/>
      <c r="J205" s="31" t="str">
        <f aca="false">IF(AND(G205&lt;&gt;"",H205&lt;&gt;""),G205*H205,"")</f>
        <v/>
      </c>
      <c r="K205" s="28"/>
      <c r="L205" s="32"/>
      <c r="M205" s="32"/>
      <c r="N205" s="31" t="n">
        <f aca="false">IF(OR(G205="",M205=""),0,IF(M205&gt;100,M205,G205*IF(M205&gt;1,M205/100,M205)))</f>
        <v>0</v>
      </c>
      <c r="O205" s="31" t="str">
        <f aca="false">IF(G205="","",G205*IF(L205="",0,IF(L205&gt;1,L205/100,L205))+N205)</f>
        <v/>
      </c>
      <c r="P205" s="28"/>
      <c r="Q205" s="33" t="str">
        <f aca="false">IF(P205="","",IFERROR(VLOOKUP(P205,PARTNERS!$A$2:$B$30,2,0),""))</f>
        <v/>
      </c>
      <c r="R205" s="17" t="str">
        <f aca="false">IF(O205="","",IF(OR(P205="",Q205=""),0,(O205-N205)*IF(Q205&gt;1,Q205/100,Q205)))</f>
        <v/>
      </c>
      <c r="S205" s="31" t="str">
        <f aca="false">IF(O205="","",O205-R205)</f>
        <v/>
      </c>
      <c r="T205" s="28"/>
      <c r="U205" s="34" t="str">
        <f aca="false">IF(T205="","",IFERROR(VLOOKUP(T205,REPS!$A$2:$D$40,2,0),""))</f>
        <v/>
      </c>
      <c r="V205" s="31" t="str">
        <f aca="false">IF(O205="","",IF(U205="",0,O205*IF(U205&gt;1,U205/100,U205)))</f>
        <v/>
      </c>
      <c r="W205" s="28"/>
      <c r="X205" s="34" t="str">
        <f aca="false">IF(W205="","",IFERROR(VLOOKUP(W205,REPS!$A$2:$D$40,3,0),""))</f>
        <v/>
      </c>
      <c r="Y205" s="31" t="str">
        <f aca="false">IF(O205="","",IF(X205="",0,O205*IF(X205&gt;1,X205/100,X205)))</f>
        <v/>
      </c>
      <c r="Z205" s="28"/>
      <c r="AA205" s="34" t="str">
        <f aca="false">IF(Z205="","",IFERROR(VLOOKUP(Z205,REPS!$A$2:$D$40,4,0),""))</f>
        <v/>
      </c>
      <c r="AB205" s="31" t="str">
        <f aca="false">IF(O205="","",IF(AA205="",0,O205*IF(AA205&gt;1,AA205/100,AA205)))</f>
        <v/>
      </c>
      <c r="AC205" s="31" t="str">
        <f aca="false">IF(O205="","",V205+Y205+AB205)</f>
        <v/>
      </c>
      <c r="AD205" s="19" t="str">
        <f aca="false">IF(O205="","",O205-R205-AC205)</f>
        <v/>
      </c>
      <c r="AE205" s="20"/>
      <c r="AF205" s="27"/>
      <c r="AG205" s="21" t="n">
        <f aca="false">IF(OR(AE205="",AE205=0),0,AE205*IF(U205="",0,IF(U205&gt;1,U205/100,U205)))</f>
        <v>0</v>
      </c>
      <c r="AH205" s="21" t="n">
        <f aca="false">IF(OR(AE205="",AE205=0),0,AE205*IF(X205="",0,IF(X205&gt;1,X205/100,X205)))</f>
        <v>0</v>
      </c>
      <c r="AI205" s="21" t="n">
        <f aca="false">IF(OR(AE205="",AE205=0),0,AE205*IF(AA205="",0,IF(AA205&gt;1,AA205/100,AA205)))</f>
        <v>0</v>
      </c>
      <c r="AJ205" s="21" t="n">
        <f aca="false">AG205+AH205+AI205</f>
        <v>0</v>
      </c>
      <c r="AK205" s="21" t="n">
        <f aca="false">IF(OR(AE205="",AE205=0),0,AE205-AJ205)</f>
        <v>0</v>
      </c>
      <c r="AL205" s="19" t="str">
        <f aca="false">IF(AD205="","",AD205-AK205)</f>
        <v/>
      </c>
      <c r="AM205" s="26" t="str">
        <f aca="false">IF(C205="","","Waiting for payment")</f>
        <v/>
      </c>
      <c r="AN205" s="27"/>
      <c r="AO205" s="27"/>
      <c r="AP205" s="35" t="str">
        <f aca="false">IF(OR(C205="",I205="",K205=""),"",IF(K205="Monthly",EDATE(C205,ROUND(I205*SETTINGS!$I$8,0)),WORKDAY(C205,ROUND(I205*SETTINGS!$I$8,0))))</f>
        <v/>
      </c>
      <c r="AQ205" s="26" t="str">
        <f aca="true">IF(C205="","",IF(AND(AP205&lt;&gt;"",TODAY()&gt;=AP205),"Refi Ready",IF(TODAY()-C205&gt;=SETTINGS!$I$11,"Prospecting","Performing")))</f>
        <v/>
      </c>
      <c r="AR205" s="35" t="str">
        <f aca="false">IF(OR(C205="",I205="",K205=""),"",IF(K205="Monthly",EDATE(C205,I205),WORKDAY(C205,I205)))</f>
        <v/>
      </c>
      <c r="AS205" s="28"/>
      <c r="AT205" s="36" t="str">
        <f aca="true">IF(C205="","",IF(AM205="Clawed Back","CLAWED",IF(TODAY()&lt;=C205+SETTINGS!$I$2,"⚠ AT RISK","SAFE")))</f>
        <v/>
      </c>
      <c r="AU205" s="28"/>
      <c r="AW205" s="24" t="n">
        <f aca="false">AW204+IF(AND(C205&lt;&gt;"",AO205&lt;&gt;"",OR('REP COMMISSION'!$B$3="",T205='REP COMMISSION'!$B$3,W205='REP COMMISSION'!$B$3,Z205='REP COMMISSION'!$B$3)),1,0)</f>
        <v>0</v>
      </c>
      <c r="AX205" s="24" t="n">
        <f aca="false">AX204+IF(AND(C205&lt;&gt;"",OR(F205="LOC - INITIAL",F205="CONSOLIDATION - UPFRONT COMM",F205="REVERSE - TOTAL FUNDING")),1,0)</f>
        <v>0</v>
      </c>
    </row>
    <row r="206" customFormat="false" ht="18" hidden="false" customHeight="true" outlineLevel="0" collapsed="false">
      <c r="A206" s="37" t="s">
        <v>51</v>
      </c>
      <c r="B206" s="38"/>
      <c r="C206" s="38"/>
      <c r="D206" s="37" t="str">
        <f aca="false">COUNT(C106:C205)&amp;" units"</f>
        <v>0 units</v>
      </c>
      <c r="E206" s="38"/>
      <c r="F206" s="38"/>
      <c r="G206" s="39" t="n">
        <f aca="false">SUM(G106:G205)</f>
        <v>0</v>
      </c>
      <c r="H206" s="38"/>
      <c r="I206" s="38"/>
      <c r="J206" s="38"/>
      <c r="K206" s="38"/>
      <c r="L206" s="38"/>
      <c r="M206" s="38"/>
      <c r="N206" s="39" t="n">
        <f aca="false">SUM(N106:N205)</f>
        <v>0</v>
      </c>
      <c r="O206" s="39" t="n">
        <f aca="false">SUM(O106:O205)</f>
        <v>0</v>
      </c>
      <c r="P206" s="38"/>
      <c r="Q206" s="38"/>
      <c r="R206" s="39" t="n">
        <f aca="false">SUM(R106:R205)</f>
        <v>0</v>
      </c>
      <c r="S206" s="39" t="n">
        <f aca="false">SUM(S106:S205)</f>
        <v>0</v>
      </c>
      <c r="T206" s="38"/>
      <c r="U206" s="38"/>
      <c r="V206" s="38"/>
      <c r="W206" s="38"/>
      <c r="X206" s="38"/>
      <c r="Y206" s="38"/>
      <c r="Z206" s="38"/>
      <c r="AA206" s="38"/>
      <c r="AB206" s="38"/>
      <c r="AC206" s="39" t="n">
        <f aca="false">SUM(AC106:AC205)</f>
        <v>0</v>
      </c>
      <c r="AD206" s="39" t="n">
        <f aca="false">SUM(AD106:AD205)</f>
        <v>0</v>
      </c>
      <c r="AE206" s="39" t="n">
        <f aca="false">SUM(AE106:AE205)</f>
        <v>0</v>
      </c>
      <c r="AF206" s="38"/>
      <c r="AG206" s="38"/>
      <c r="AH206" s="38"/>
      <c r="AI206" s="38"/>
      <c r="AJ206" s="39" t="n">
        <f aca="false">SUM(AJ106:AJ205)</f>
        <v>0</v>
      </c>
      <c r="AK206" s="39" t="n">
        <f aca="false">SUM(AK106:AK205)</f>
        <v>0</v>
      </c>
      <c r="AL206" s="39" t="n">
        <f aca="false">SUM(AL106:AL205)</f>
        <v>0</v>
      </c>
      <c r="AM206" s="38"/>
      <c r="AN206" s="38"/>
      <c r="AO206" s="38"/>
      <c r="AP206" s="38"/>
      <c r="AQ206" s="38"/>
      <c r="AR206" s="38"/>
      <c r="AS206" s="38"/>
      <c r="AT206" s="38"/>
      <c r="AU206" s="38"/>
      <c r="AW206" s="24" t="n">
        <f aca="false">AW205</f>
        <v>0</v>
      </c>
      <c r="AX206" s="24" t="n">
        <f aca="false">AX205</f>
        <v>0</v>
      </c>
    </row>
    <row r="207" customFormat="false" ht="19.5" hidden="false" customHeight="true" outlineLevel="0" collapsed="false">
      <c r="A207" s="6" t="s">
        <v>52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W207" s="24" t="n">
        <f aca="false">AW206</f>
        <v>0</v>
      </c>
      <c r="AX207" s="24" t="n">
        <f aca="false">AX206</f>
        <v>0</v>
      </c>
    </row>
    <row r="208" customFormat="false" ht="15" hidden="false" customHeight="false" outlineLevel="0" collapsed="false">
      <c r="A208" s="8" t="str">
        <f aca="false">IF(C208&lt;&gt;"","F"&amp;COUNT($C$4:C208),"")</f>
        <v/>
      </c>
      <c r="B208" s="9" t="str">
        <f aca="false">IF(OR(F208="LOC - INITIAL",F208="CONSOLIDATION - UPFRONT COMM",F208="REVERSE - TOTAL FUNDING"),A208,"")</f>
        <v/>
      </c>
      <c r="C208" s="10"/>
      <c r="D208" s="11"/>
      <c r="E208" s="11"/>
      <c r="F208" s="11"/>
      <c r="G208" s="12"/>
      <c r="H208" s="13"/>
      <c r="I208" s="11"/>
      <c r="J208" s="14" t="str">
        <f aca="false">IF(AND(G208&lt;&gt;"",H208&lt;&gt;""),G208*H208,"")</f>
        <v/>
      </c>
      <c r="K208" s="11"/>
      <c r="L208" s="15"/>
      <c r="M208" s="15"/>
      <c r="N208" s="14" t="n">
        <f aca="false">IF(OR(G208="",M208=""),0,IF(M208&gt;100,M208,G208*IF(M208&gt;1,M208/100,M208)))</f>
        <v>0</v>
      </c>
      <c r="O208" s="14" t="str">
        <f aca="false">IF(G208="","",G208*IF(L208="",0,IF(L208&gt;1,L208/100,L208))+N208)</f>
        <v/>
      </c>
      <c r="P208" s="11"/>
      <c r="Q208" s="16" t="str">
        <f aca="false">IF(P208="","",IFERROR(VLOOKUP(P208,PARTNERS!$A$2:$B$30,2,0),""))</f>
        <v/>
      </c>
      <c r="R208" s="17" t="str">
        <f aca="false">IF(O208="","",IF(OR(P208="",Q208=""),0,(O208-N208)*IF(Q208&gt;1,Q208/100,Q208)))</f>
        <v/>
      </c>
      <c r="S208" s="14" t="str">
        <f aca="false">IF(O208="","",O208-R208)</f>
        <v/>
      </c>
      <c r="T208" s="11"/>
      <c r="U208" s="18" t="str">
        <f aca="false">IF(T208="","",IFERROR(VLOOKUP(T208,REPS!$A$2:$D$40,2,0),""))</f>
        <v/>
      </c>
      <c r="V208" s="14" t="str">
        <f aca="false">IF(O208="","",IF(U208="",0,O208*IF(U208&gt;1,U208/100,U208)))</f>
        <v/>
      </c>
      <c r="W208" s="11"/>
      <c r="X208" s="18" t="str">
        <f aca="false">IF(W208="","",IFERROR(VLOOKUP(W208,REPS!$A$2:$D$40,3,0),""))</f>
        <v/>
      </c>
      <c r="Y208" s="14" t="str">
        <f aca="false">IF(O208="","",IF(X208="",0,O208*IF(X208&gt;1,X208/100,X208)))</f>
        <v/>
      </c>
      <c r="Z208" s="11"/>
      <c r="AA208" s="18" t="str">
        <f aca="false">IF(Z208="","",IFERROR(VLOOKUP(Z208,REPS!$A$2:$D$40,4,0),""))</f>
        <v/>
      </c>
      <c r="AB208" s="14" t="str">
        <f aca="false">IF(O208="","",IF(AA208="",0,O208*IF(AA208&gt;1,AA208/100,AA208)))</f>
        <v/>
      </c>
      <c r="AC208" s="14" t="str">
        <f aca="false">IF(O208="","",V208+Y208+AB208)</f>
        <v/>
      </c>
      <c r="AD208" s="19" t="str">
        <f aca="false">IF(O208="","",O208-R208-AC208)</f>
        <v/>
      </c>
      <c r="AE208" s="20"/>
      <c r="AF208" s="10"/>
      <c r="AG208" s="21" t="n">
        <f aca="false">IF(OR(AE208="",AE208=0),0,AE208*IF(U208="",0,IF(U208&gt;1,U208/100,U208)))</f>
        <v>0</v>
      </c>
      <c r="AH208" s="21" t="n">
        <f aca="false">IF(OR(AE208="",AE208=0),0,AE208*IF(X208="",0,IF(X208&gt;1,X208/100,X208)))</f>
        <v>0</v>
      </c>
      <c r="AI208" s="21" t="n">
        <f aca="false">IF(OR(AE208="",AE208=0),0,AE208*IF(AA208="",0,IF(AA208&gt;1,AA208/100,AA208)))</f>
        <v>0</v>
      </c>
      <c r="AJ208" s="21" t="n">
        <f aca="false">AG208+AH208+AI208</f>
        <v>0</v>
      </c>
      <c r="AK208" s="21" t="n">
        <f aca="false">IF(OR(AE208="",AE208=0),0,AE208-AJ208)</f>
        <v>0</v>
      </c>
      <c r="AL208" s="19" t="str">
        <f aca="false">IF(AD208="","",AD208-AK208)</f>
        <v/>
      </c>
      <c r="AM208" s="9" t="str">
        <f aca="false">IF(C208="","","Waiting for payment")</f>
        <v/>
      </c>
      <c r="AN208" s="10"/>
      <c r="AO208" s="10"/>
      <c r="AP208" s="22" t="str">
        <f aca="false">IF(OR(C208="",I208="",K208=""),"",IF(K208="Monthly",EDATE(C208,ROUND(I208*SETTINGS!$I$8,0)),WORKDAY(C208,ROUND(I208*SETTINGS!$I$8,0))))</f>
        <v/>
      </c>
      <c r="AQ208" s="9" t="str">
        <f aca="true">IF(C208="","",IF(AND(AP208&lt;&gt;"",TODAY()&gt;=AP208),"Refi Ready",IF(TODAY()-C208&gt;=SETTINGS!$I$11,"Prospecting","Performing")))</f>
        <v/>
      </c>
      <c r="AR208" s="22" t="str">
        <f aca="false">IF(OR(C208="",I208="",K208=""),"",IF(K208="Monthly",EDATE(C208,I208),WORKDAY(C208,I208)))</f>
        <v/>
      </c>
      <c r="AS208" s="11"/>
      <c r="AT208" s="23" t="str">
        <f aca="true">IF(C208="","",IF(AM208="Clawed Back","CLAWED",IF(TODAY()&lt;=C208+SETTINGS!$I$2,"⚠ AT RISK","SAFE")))</f>
        <v/>
      </c>
      <c r="AU208" s="11"/>
      <c r="AW208" s="24" t="n">
        <f aca="false">AW207+IF(AND(C208&lt;&gt;"",AO208&lt;&gt;"",OR('REP COMMISSION'!$B$3="",T208='REP COMMISSION'!$B$3,W208='REP COMMISSION'!$B$3,Z208='REP COMMISSION'!$B$3)),1,0)</f>
        <v>0</v>
      </c>
      <c r="AX208" s="24" t="n">
        <f aca="false">AX207+IF(AND(C208&lt;&gt;"",OR(F208="LOC - INITIAL",F208="CONSOLIDATION - UPFRONT COMM",F208="REVERSE - TOTAL FUNDING")),1,0)</f>
        <v>0</v>
      </c>
    </row>
    <row r="209" customFormat="false" ht="15" hidden="false" customHeight="false" outlineLevel="0" collapsed="false">
      <c r="A209" s="25" t="str">
        <f aca="false">IF(C209&lt;&gt;"","F"&amp;COUNT($C$4:C209),"")</f>
        <v/>
      </c>
      <c r="B209" s="26" t="str">
        <f aca="false">IF(OR(F209="LOC - INITIAL",F209="CONSOLIDATION - UPFRONT COMM",F209="REVERSE - TOTAL FUNDING"),A209,"")</f>
        <v/>
      </c>
      <c r="C209" s="27"/>
      <c r="D209" s="28"/>
      <c r="E209" s="28"/>
      <c r="F209" s="28"/>
      <c r="G209" s="29"/>
      <c r="H209" s="30"/>
      <c r="I209" s="28"/>
      <c r="J209" s="31" t="str">
        <f aca="false">IF(AND(G209&lt;&gt;"",H209&lt;&gt;""),G209*H209,"")</f>
        <v/>
      </c>
      <c r="K209" s="28"/>
      <c r="L209" s="32"/>
      <c r="M209" s="32"/>
      <c r="N209" s="31" t="n">
        <f aca="false">IF(OR(G209="",M209=""),0,IF(M209&gt;100,M209,G209*IF(M209&gt;1,M209/100,M209)))</f>
        <v>0</v>
      </c>
      <c r="O209" s="31" t="str">
        <f aca="false">IF(G209="","",G209*IF(L209="",0,IF(L209&gt;1,L209/100,L209))+N209)</f>
        <v/>
      </c>
      <c r="P209" s="28"/>
      <c r="Q209" s="33" t="str">
        <f aca="false">IF(P209="","",IFERROR(VLOOKUP(P209,PARTNERS!$A$2:$B$30,2,0),""))</f>
        <v/>
      </c>
      <c r="R209" s="17" t="str">
        <f aca="false">IF(O209="","",IF(OR(P209="",Q209=""),0,(O209-N209)*IF(Q209&gt;1,Q209/100,Q209)))</f>
        <v/>
      </c>
      <c r="S209" s="31" t="str">
        <f aca="false">IF(O209="","",O209-R209)</f>
        <v/>
      </c>
      <c r="T209" s="28"/>
      <c r="U209" s="34" t="str">
        <f aca="false">IF(T209="","",IFERROR(VLOOKUP(T209,REPS!$A$2:$D$40,2,0),""))</f>
        <v/>
      </c>
      <c r="V209" s="31" t="str">
        <f aca="false">IF(O209="","",IF(U209="",0,O209*IF(U209&gt;1,U209/100,U209)))</f>
        <v/>
      </c>
      <c r="W209" s="28"/>
      <c r="X209" s="34" t="str">
        <f aca="false">IF(W209="","",IFERROR(VLOOKUP(W209,REPS!$A$2:$D$40,3,0),""))</f>
        <v/>
      </c>
      <c r="Y209" s="31" t="str">
        <f aca="false">IF(O209="","",IF(X209="",0,O209*IF(X209&gt;1,X209/100,X209)))</f>
        <v/>
      </c>
      <c r="Z209" s="28"/>
      <c r="AA209" s="34" t="str">
        <f aca="false">IF(Z209="","",IFERROR(VLOOKUP(Z209,REPS!$A$2:$D$40,4,0),""))</f>
        <v/>
      </c>
      <c r="AB209" s="31" t="str">
        <f aca="false">IF(O209="","",IF(AA209="",0,O209*IF(AA209&gt;1,AA209/100,AA209)))</f>
        <v/>
      </c>
      <c r="AC209" s="31" t="str">
        <f aca="false">IF(O209="","",V209+Y209+AB209)</f>
        <v/>
      </c>
      <c r="AD209" s="19" t="str">
        <f aca="false">IF(O209="","",O209-R209-AC209)</f>
        <v/>
      </c>
      <c r="AE209" s="20"/>
      <c r="AF209" s="27"/>
      <c r="AG209" s="21" t="n">
        <f aca="false">IF(OR(AE209="",AE209=0),0,AE209*IF(U209="",0,IF(U209&gt;1,U209/100,U209)))</f>
        <v>0</v>
      </c>
      <c r="AH209" s="21" t="n">
        <f aca="false">IF(OR(AE209="",AE209=0),0,AE209*IF(X209="",0,IF(X209&gt;1,X209/100,X209)))</f>
        <v>0</v>
      </c>
      <c r="AI209" s="21" t="n">
        <f aca="false">IF(OR(AE209="",AE209=0),0,AE209*IF(AA209="",0,IF(AA209&gt;1,AA209/100,AA209)))</f>
        <v>0</v>
      </c>
      <c r="AJ209" s="21" t="n">
        <f aca="false">AG209+AH209+AI209</f>
        <v>0</v>
      </c>
      <c r="AK209" s="21" t="n">
        <f aca="false">IF(OR(AE209="",AE209=0),0,AE209-AJ209)</f>
        <v>0</v>
      </c>
      <c r="AL209" s="19" t="str">
        <f aca="false">IF(AD209="","",AD209-AK209)</f>
        <v/>
      </c>
      <c r="AM209" s="26" t="str">
        <f aca="false">IF(C209="","","Waiting for payment")</f>
        <v/>
      </c>
      <c r="AN209" s="27"/>
      <c r="AO209" s="27"/>
      <c r="AP209" s="35" t="str">
        <f aca="false">IF(OR(C209="",I209="",K209=""),"",IF(K209="Monthly",EDATE(C209,ROUND(I209*SETTINGS!$I$8,0)),WORKDAY(C209,ROUND(I209*SETTINGS!$I$8,0))))</f>
        <v/>
      </c>
      <c r="AQ209" s="26" t="str">
        <f aca="true">IF(C209="","",IF(AND(AP209&lt;&gt;"",TODAY()&gt;=AP209),"Refi Ready",IF(TODAY()-C209&gt;=SETTINGS!$I$11,"Prospecting","Performing")))</f>
        <v/>
      </c>
      <c r="AR209" s="35" t="str">
        <f aca="false">IF(OR(C209="",I209="",K209=""),"",IF(K209="Monthly",EDATE(C209,I209),WORKDAY(C209,I209)))</f>
        <v/>
      </c>
      <c r="AS209" s="28"/>
      <c r="AT209" s="36" t="str">
        <f aca="true">IF(C209="","",IF(AM209="Clawed Back","CLAWED",IF(TODAY()&lt;=C209+SETTINGS!$I$2,"⚠ AT RISK","SAFE")))</f>
        <v/>
      </c>
      <c r="AU209" s="28"/>
      <c r="AW209" s="24" t="n">
        <f aca="false">AW208+IF(AND(C209&lt;&gt;"",AO209&lt;&gt;"",OR('REP COMMISSION'!$B$3="",T209='REP COMMISSION'!$B$3,W209='REP COMMISSION'!$B$3,Z209='REP COMMISSION'!$B$3)),1,0)</f>
        <v>0</v>
      </c>
      <c r="AX209" s="24" t="n">
        <f aca="false">AX208+IF(AND(C209&lt;&gt;"",OR(F209="LOC - INITIAL",F209="CONSOLIDATION - UPFRONT COMM",F209="REVERSE - TOTAL FUNDING")),1,0)</f>
        <v>0</v>
      </c>
    </row>
    <row r="210" customFormat="false" ht="15" hidden="false" customHeight="false" outlineLevel="0" collapsed="false">
      <c r="A210" s="8" t="str">
        <f aca="false">IF(C210&lt;&gt;"","F"&amp;COUNT($C$4:C210),"")</f>
        <v/>
      </c>
      <c r="B210" s="9" t="str">
        <f aca="false">IF(OR(F210="LOC - INITIAL",F210="CONSOLIDATION - UPFRONT COMM",F210="REVERSE - TOTAL FUNDING"),A210,"")</f>
        <v/>
      </c>
      <c r="C210" s="10"/>
      <c r="D210" s="11"/>
      <c r="E210" s="11"/>
      <c r="F210" s="11"/>
      <c r="G210" s="12"/>
      <c r="H210" s="13"/>
      <c r="I210" s="11"/>
      <c r="J210" s="14" t="str">
        <f aca="false">IF(AND(G210&lt;&gt;"",H210&lt;&gt;""),G210*H210,"")</f>
        <v/>
      </c>
      <c r="K210" s="11"/>
      <c r="L210" s="15"/>
      <c r="M210" s="15"/>
      <c r="N210" s="14" t="n">
        <f aca="false">IF(OR(G210="",M210=""),0,IF(M210&gt;100,M210,G210*IF(M210&gt;1,M210/100,M210)))</f>
        <v>0</v>
      </c>
      <c r="O210" s="14" t="str">
        <f aca="false">IF(G210="","",G210*IF(L210="",0,IF(L210&gt;1,L210/100,L210))+N210)</f>
        <v/>
      </c>
      <c r="P210" s="11"/>
      <c r="Q210" s="16" t="str">
        <f aca="false">IF(P210="","",IFERROR(VLOOKUP(P210,PARTNERS!$A$2:$B$30,2,0),""))</f>
        <v/>
      </c>
      <c r="R210" s="17" t="str">
        <f aca="false">IF(O210="","",IF(OR(P210="",Q210=""),0,(O210-N210)*IF(Q210&gt;1,Q210/100,Q210)))</f>
        <v/>
      </c>
      <c r="S210" s="14" t="str">
        <f aca="false">IF(O210="","",O210-R210)</f>
        <v/>
      </c>
      <c r="T210" s="11"/>
      <c r="U210" s="18" t="str">
        <f aca="false">IF(T210="","",IFERROR(VLOOKUP(T210,REPS!$A$2:$D$40,2,0),""))</f>
        <v/>
      </c>
      <c r="V210" s="14" t="str">
        <f aca="false">IF(O210="","",IF(U210="",0,O210*IF(U210&gt;1,U210/100,U210)))</f>
        <v/>
      </c>
      <c r="W210" s="11"/>
      <c r="X210" s="18" t="str">
        <f aca="false">IF(W210="","",IFERROR(VLOOKUP(W210,REPS!$A$2:$D$40,3,0),""))</f>
        <v/>
      </c>
      <c r="Y210" s="14" t="str">
        <f aca="false">IF(O210="","",IF(X210="",0,O210*IF(X210&gt;1,X210/100,X210)))</f>
        <v/>
      </c>
      <c r="Z210" s="11"/>
      <c r="AA210" s="18" t="str">
        <f aca="false">IF(Z210="","",IFERROR(VLOOKUP(Z210,REPS!$A$2:$D$40,4,0),""))</f>
        <v/>
      </c>
      <c r="AB210" s="14" t="str">
        <f aca="false">IF(O210="","",IF(AA210="",0,O210*IF(AA210&gt;1,AA210/100,AA210)))</f>
        <v/>
      </c>
      <c r="AC210" s="14" t="str">
        <f aca="false">IF(O210="","",V210+Y210+AB210)</f>
        <v/>
      </c>
      <c r="AD210" s="19" t="str">
        <f aca="false">IF(O210="","",O210-R210-AC210)</f>
        <v/>
      </c>
      <c r="AE210" s="20"/>
      <c r="AF210" s="10"/>
      <c r="AG210" s="21" t="n">
        <f aca="false">IF(OR(AE210="",AE210=0),0,AE210*IF(U210="",0,IF(U210&gt;1,U210/100,U210)))</f>
        <v>0</v>
      </c>
      <c r="AH210" s="21" t="n">
        <f aca="false">IF(OR(AE210="",AE210=0),0,AE210*IF(X210="",0,IF(X210&gt;1,X210/100,X210)))</f>
        <v>0</v>
      </c>
      <c r="AI210" s="21" t="n">
        <f aca="false">IF(OR(AE210="",AE210=0),0,AE210*IF(AA210="",0,IF(AA210&gt;1,AA210/100,AA210)))</f>
        <v>0</v>
      </c>
      <c r="AJ210" s="21" t="n">
        <f aca="false">AG210+AH210+AI210</f>
        <v>0</v>
      </c>
      <c r="AK210" s="21" t="n">
        <f aca="false">IF(OR(AE210="",AE210=0),0,AE210-AJ210)</f>
        <v>0</v>
      </c>
      <c r="AL210" s="19" t="str">
        <f aca="false">IF(AD210="","",AD210-AK210)</f>
        <v/>
      </c>
      <c r="AM210" s="9" t="str">
        <f aca="false">IF(C210="","","Waiting for payment")</f>
        <v/>
      </c>
      <c r="AN210" s="10"/>
      <c r="AO210" s="10"/>
      <c r="AP210" s="22" t="str">
        <f aca="false">IF(OR(C210="",I210="",K210=""),"",IF(K210="Monthly",EDATE(C210,ROUND(I210*SETTINGS!$I$8,0)),WORKDAY(C210,ROUND(I210*SETTINGS!$I$8,0))))</f>
        <v/>
      </c>
      <c r="AQ210" s="9" t="str">
        <f aca="true">IF(C210="","",IF(AND(AP210&lt;&gt;"",TODAY()&gt;=AP210),"Refi Ready",IF(TODAY()-C210&gt;=SETTINGS!$I$11,"Prospecting","Performing")))</f>
        <v/>
      </c>
      <c r="AR210" s="22" t="str">
        <f aca="false">IF(OR(C210="",I210="",K210=""),"",IF(K210="Monthly",EDATE(C210,I210),WORKDAY(C210,I210)))</f>
        <v/>
      </c>
      <c r="AS210" s="11"/>
      <c r="AT210" s="23" t="str">
        <f aca="true">IF(C210="","",IF(AM210="Clawed Back","CLAWED",IF(TODAY()&lt;=C210+SETTINGS!$I$2,"⚠ AT RISK","SAFE")))</f>
        <v/>
      </c>
      <c r="AU210" s="11"/>
      <c r="AW210" s="24" t="n">
        <f aca="false">AW209+IF(AND(C210&lt;&gt;"",AO210&lt;&gt;"",OR('REP COMMISSION'!$B$3="",T210='REP COMMISSION'!$B$3,W210='REP COMMISSION'!$B$3,Z210='REP COMMISSION'!$B$3)),1,0)</f>
        <v>0</v>
      </c>
      <c r="AX210" s="24" t="n">
        <f aca="false">AX209+IF(AND(C210&lt;&gt;"",OR(F210="LOC - INITIAL",F210="CONSOLIDATION - UPFRONT COMM",F210="REVERSE - TOTAL FUNDING")),1,0)</f>
        <v>0</v>
      </c>
    </row>
    <row r="211" customFormat="false" ht="15" hidden="false" customHeight="false" outlineLevel="0" collapsed="false">
      <c r="A211" s="25" t="str">
        <f aca="false">IF(C211&lt;&gt;"","F"&amp;COUNT($C$4:C211),"")</f>
        <v/>
      </c>
      <c r="B211" s="26" t="str">
        <f aca="false">IF(OR(F211="LOC - INITIAL",F211="CONSOLIDATION - UPFRONT COMM",F211="REVERSE - TOTAL FUNDING"),A211,"")</f>
        <v/>
      </c>
      <c r="C211" s="27"/>
      <c r="D211" s="28"/>
      <c r="E211" s="28"/>
      <c r="F211" s="28"/>
      <c r="G211" s="29"/>
      <c r="H211" s="30"/>
      <c r="I211" s="28"/>
      <c r="J211" s="31" t="str">
        <f aca="false">IF(AND(G211&lt;&gt;"",H211&lt;&gt;""),G211*H211,"")</f>
        <v/>
      </c>
      <c r="K211" s="28"/>
      <c r="L211" s="32"/>
      <c r="M211" s="32"/>
      <c r="N211" s="31" t="n">
        <f aca="false">IF(OR(G211="",M211=""),0,IF(M211&gt;100,M211,G211*IF(M211&gt;1,M211/100,M211)))</f>
        <v>0</v>
      </c>
      <c r="O211" s="31" t="str">
        <f aca="false">IF(G211="","",G211*IF(L211="",0,IF(L211&gt;1,L211/100,L211))+N211)</f>
        <v/>
      </c>
      <c r="P211" s="28"/>
      <c r="Q211" s="33" t="str">
        <f aca="false">IF(P211="","",IFERROR(VLOOKUP(P211,PARTNERS!$A$2:$B$30,2,0),""))</f>
        <v/>
      </c>
      <c r="R211" s="17" t="str">
        <f aca="false">IF(O211="","",IF(OR(P211="",Q211=""),0,(O211-N211)*IF(Q211&gt;1,Q211/100,Q211)))</f>
        <v/>
      </c>
      <c r="S211" s="31" t="str">
        <f aca="false">IF(O211="","",O211-R211)</f>
        <v/>
      </c>
      <c r="T211" s="28"/>
      <c r="U211" s="34" t="str">
        <f aca="false">IF(T211="","",IFERROR(VLOOKUP(T211,REPS!$A$2:$D$40,2,0),""))</f>
        <v/>
      </c>
      <c r="V211" s="31" t="str">
        <f aca="false">IF(O211="","",IF(U211="",0,O211*IF(U211&gt;1,U211/100,U211)))</f>
        <v/>
      </c>
      <c r="W211" s="28"/>
      <c r="X211" s="34" t="str">
        <f aca="false">IF(W211="","",IFERROR(VLOOKUP(W211,REPS!$A$2:$D$40,3,0),""))</f>
        <v/>
      </c>
      <c r="Y211" s="31" t="str">
        <f aca="false">IF(O211="","",IF(X211="",0,O211*IF(X211&gt;1,X211/100,X211)))</f>
        <v/>
      </c>
      <c r="Z211" s="28"/>
      <c r="AA211" s="34" t="str">
        <f aca="false">IF(Z211="","",IFERROR(VLOOKUP(Z211,REPS!$A$2:$D$40,4,0),""))</f>
        <v/>
      </c>
      <c r="AB211" s="31" t="str">
        <f aca="false">IF(O211="","",IF(AA211="",0,O211*IF(AA211&gt;1,AA211/100,AA211)))</f>
        <v/>
      </c>
      <c r="AC211" s="31" t="str">
        <f aca="false">IF(O211="","",V211+Y211+AB211)</f>
        <v/>
      </c>
      <c r="AD211" s="19" t="str">
        <f aca="false">IF(O211="","",O211-R211-AC211)</f>
        <v/>
      </c>
      <c r="AE211" s="20"/>
      <c r="AF211" s="27"/>
      <c r="AG211" s="21" t="n">
        <f aca="false">IF(OR(AE211="",AE211=0),0,AE211*IF(U211="",0,IF(U211&gt;1,U211/100,U211)))</f>
        <v>0</v>
      </c>
      <c r="AH211" s="21" t="n">
        <f aca="false">IF(OR(AE211="",AE211=0),0,AE211*IF(X211="",0,IF(X211&gt;1,X211/100,X211)))</f>
        <v>0</v>
      </c>
      <c r="AI211" s="21" t="n">
        <f aca="false">IF(OR(AE211="",AE211=0),0,AE211*IF(AA211="",0,IF(AA211&gt;1,AA211/100,AA211)))</f>
        <v>0</v>
      </c>
      <c r="AJ211" s="21" t="n">
        <f aca="false">AG211+AH211+AI211</f>
        <v>0</v>
      </c>
      <c r="AK211" s="21" t="n">
        <f aca="false">IF(OR(AE211="",AE211=0),0,AE211-AJ211)</f>
        <v>0</v>
      </c>
      <c r="AL211" s="19" t="str">
        <f aca="false">IF(AD211="","",AD211-AK211)</f>
        <v/>
      </c>
      <c r="AM211" s="26" t="str">
        <f aca="false">IF(C211="","","Waiting for payment")</f>
        <v/>
      </c>
      <c r="AN211" s="27"/>
      <c r="AO211" s="27"/>
      <c r="AP211" s="35" t="str">
        <f aca="false">IF(OR(C211="",I211="",K211=""),"",IF(K211="Monthly",EDATE(C211,ROUND(I211*SETTINGS!$I$8,0)),WORKDAY(C211,ROUND(I211*SETTINGS!$I$8,0))))</f>
        <v/>
      </c>
      <c r="AQ211" s="26" t="str">
        <f aca="true">IF(C211="","",IF(AND(AP211&lt;&gt;"",TODAY()&gt;=AP211),"Refi Ready",IF(TODAY()-C211&gt;=SETTINGS!$I$11,"Prospecting","Performing")))</f>
        <v/>
      </c>
      <c r="AR211" s="35" t="str">
        <f aca="false">IF(OR(C211="",I211="",K211=""),"",IF(K211="Monthly",EDATE(C211,I211),WORKDAY(C211,I211)))</f>
        <v/>
      </c>
      <c r="AS211" s="28"/>
      <c r="AT211" s="36" t="str">
        <f aca="true">IF(C211="","",IF(AM211="Clawed Back","CLAWED",IF(TODAY()&lt;=C211+SETTINGS!$I$2,"⚠ AT RISK","SAFE")))</f>
        <v/>
      </c>
      <c r="AU211" s="28"/>
      <c r="AW211" s="24" t="n">
        <f aca="false">AW210+IF(AND(C211&lt;&gt;"",AO211&lt;&gt;"",OR('REP COMMISSION'!$B$3="",T211='REP COMMISSION'!$B$3,W211='REP COMMISSION'!$B$3,Z211='REP COMMISSION'!$B$3)),1,0)</f>
        <v>0</v>
      </c>
      <c r="AX211" s="24" t="n">
        <f aca="false">AX210+IF(AND(C211&lt;&gt;"",OR(F211="LOC - INITIAL",F211="CONSOLIDATION - UPFRONT COMM",F211="REVERSE - TOTAL FUNDING")),1,0)</f>
        <v>0</v>
      </c>
    </row>
    <row r="212" customFormat="false" ht="15" hidden="false" customHeight="false" outlineLevel="0" collapsed="false">
      <c r="A212" s="8" t="str">
        <f aca="false">IF(C212&lt;&gt;"","F"&amp;COUNT($C$4:C212),"")</f>
        <v/>
      </c>
      <c r="B212" s="9" t="str">
        <f aca="false">IF(OR(F212="LOC - INITIAL",F212="CONSOLIDATION - UPFRONT COMM",F212="REVERSE - TOTAL FUNDING"),A212,"")</f>
        <v/>
      </c>
      <c r="C212" s="10"/>
      <c r="D212" s="11"/>
      <c r="E212" s="11"/>
      <c r="F212" s="11"/>
      <c r="G212" s="12"/>
      <c r="H212" s="13"/>
      <c r="I212" s="11"/>
      <c r="J212" s="14" t="str">
        <f aca="false">IF(AND(G212&lt;&gt;"",H212&lt;&gt;""),G212*H212,"")</f>
        <v/>
      </c>
      <c r="K212" s="11"/>
      <c r="L212" s="15"/>
      <c r="M212" s="15"/>
      <c r="N212" s="14" t="n">
        <f aca="false">IF(OR(G212="",M212=""),0,IF(M212&gt;100,M212,G212*IF(M212&gt;1,M212/100,M212)))</f>
        <v>0</v>
      </c>
      <c r="O212" s="14" t="str">
        <f aca="false">IF(G212="","",G212*IF(L212="",0,IF(L212&gt;1,L212/100,L212))+N212)</f>
        <v/>
      </c>
      <c r="P212" s="11"/>
      <c r="Q212" s="16" t="str">
        <f aca="false">IF(P212="","",IFERROR(VLOOKUP(P212,PARTNERS!$A$2:$B$30,2,0),""))</f>
        <v/>
      </c>
      <c r="R212" s="17" t="str">
        <f aca="false">IF(O212="","",IF(OR(P212="",Q212=""),0,(O212-N212)*IF(Q212&gt;1,Q212/100,Q212)))</f>
        <v/>
      </c>
      <c r="S212" s="14" t="str">
        <f aca="false">IF(O212="","",O212-R212)</f>
        <v/>
      </c>
      <c r="T212" s="11"/>
      <c r="U212" s="18" t="str">
        <f aca="false">IF(T212="","",IFERROR(VLOOKUP(T212,REPS!$A$2:$D$40,2,0),""))</f>
        <v/>
      </c>
      <c r="V212" s="14" t="str">
        <f aca="false">IF(O212="","",IF(U212="",0,O212*IF(U212&gt;1,U212/100,U212)))</f>
        <v/>
      </c>
      <c r="W212" s="11"/>
      <c r="X212" s="18" t="str">
        <f aca="false">IF(W212="","",IFERROR(VLOOKUP(W212,REPS!$A$2:$D$40,3,0),""))</f>
        <v/>
      </c>
      <c r="Y212" s="14" t="str">
        <f aca="false">IF(O212="","",IF(X212="",0,O212*IF(X212&gt;1,X212/100,X212)))</f>
        <v/>
      </c>
      <c r="Z212" s="11"/>
      <c r="AA212" s="18" t="str">
        <f aca="false">IF(Z212="","",IFERROR(VLOOKUP(Z212,REPS!$A$2:$D$40,4,0),""))</f>
        <v/>
      </c>
      <c r="AB212" s="14" t="str">
        <f aca="false">IF(O212="","",IF(AA212="",0,O212*IF(AA212&gt;1,AA212/100,AA212)))</f>
        <v/>
      </c>
      <c r="AC212" s="14" t="str">
        <f aca="false">IF(O212="","",V212+Y212+AB212)</f>
        <v/>
      </c>
      <c r="AD212" s="19" t="str">
        <f aca="false">IF(O212="","",O212-R212-AC212)</f>
        <v/>
      </c>
      <c r="AE212" s="20"/>
      <c r="AF212" s="10"/>
      <c r="AG212" s="21" t="n">
        <f aca="false">IF(OR(AE212="",AE212=0),0,AE212*IF(U212="",0,IF(U212&gt;1,U212/100,U212)))</f>
        <v>0</v>
      </c>
      <c r="AH212" s="21" t="n">
        <f aca="false">IF(OR(AE212="",AE212=0),0,AE212*IF(X212="",0,IF(X212&gt;1,X212/100,X212)))</f>
        <v>0</v>
      </c>
      <c r="AI212" s="21" t="n">
        <f aca="false">IF(OR(AE212="",AE212=0),0,AE212*IF(AA212="",0,IF(AA212&gt;1,AA212/100,AA212)))</f>
        <v>0</v>
      </c>
      <c r="AJ212" s="21" t="n">
        <f aca="false">AG212+AH212+AI212</f>
        <v>0</v>
      </c>
      <c r="AK212" s="21" t="n">
        <f aca="false">IF(OR(AE212="",AE212=0),0,AE212-AJ212)</f>
        <v>0</v>
      </c>
      <c r="AL212" s="19" t="str">
        <f aca="false">IF(AD212="","",AD212-AK212)</f>
        <v/>
      </c>
      <c r="AM212" s="9" t="str">
        <f aca="false">IF(C212="","","Waiting for payment")</f>
        <v/>
      </c>
      <c r="AN212" s="10"/>
      <c r="AO212" s="10"/>
      <c r="AP212" s="22" t="str">
        <f aca="false">IF(OR(C212="",I212="",K212=""),"",IF(K212="Monthly",EDATE(C212,ROUND(I212*SETTINGS!$I$8,0)),WORKDAY(C212,ROUND(I212*SETTINGS!$I$8,0))))</f>
        <v/>
      </c>
      <c r="AQ212" s="9" t="str">
        <f aca="true">IF(C212="","",IF(AND(AP212&lt;&gt;"",TODAY()&gt;=AP212),"Refi Ready",IF(TODAY()-C212&gt;=SETTINGS!$I$11,"Prospecting","Performing")))</f>
        <v/>
      </c>
      <c r="AR212" s="22" t="str">
        <f aca="false">IF(OR(C212="",I212="",K212=""),"",IF(K212="Monthly",EDATE(C212,I212),WORKDAY(C212,I212)))</f>
        <v/>
      </c>
      <c r="AS212" s="11"/>
      <c r="AT212" s="23" t="str">
        <f aca="true">IF(C212="","",IF(AM212="Clawed Back","CLAWED",IF(TODAY()&lt;=C212+SETTINGS!$I$2,"⚠ AT RISK","SAFE")))</f>
        <v/>
      </c>
      <c r="AU212" s="11"/>
      <c r="AW212" s="24" t="n">
        <f aca="false">AW211+IF(AND(C212&lt;&gt;"",AO212&lt;&gt;"",OR('REP COMMISSION'!$B$3="",T212='REP COMMISSION'!$B$3,W212='REP COMMISSION'!$B$3,Z212='REP COMMISSION'!$B$3)),1,0)</f>
        <v>0</v>
      </c>
      <c r="AX212" s="24" t="n">
        <f aca="false">AX211+IF(AND(C212&lt;&gt;"",OR(F212="LOC - INITIAL",F212="CONSOLIDATION - UPFRONT COMM",F212="REVERSE - TOTAL FUNDING")),1,0)</f>
        <v>0</v>
      </c>
    </row>
    <row r="213" customFormat="false" ht="15" hidden="false" customHeight="false" outlineLevel="0" collapsed="false">
      <c r="A213" s="25" t="str">
        <f aca="false">IF(C213&lt;&gt;"","F"&amp;COUNT($C$4:C213),"")</f>
        <v/>
      </c>
      <c r="B213" s="26" t="str">
        <f aca="false">IF(OR(F213="LOC - INITIAL",F213="CONSOLIDATION - UPFRONT COMM",F213="REVERSE - TOTAL FUNDING"),A213,"")</f>
        <v/>
      </c>
      <c r="C213" s="27"/>
      <c r="D213" s="28"/>
      <c r="E213" s="28"/>
      <c r="F213" s="28"/>
      <c r="G213" s="29"/>
      <c r="H213" s="30"/>
      <c r="I213" s="28"/>
      <c r="J213" s="31" t="str">
        <f aca="false">IF(AND(G213&lt;&gt;"",H213&lt;&gt;""),G213*H213,"")</f>
        <v/>
      </c>
      <c r="K213" s="28"/>
      <c r="L213" s="32"/>
      <c r="M213" s="32"/>
      <c r="N213" s="31" t="n">
        <f aca="false">IF(OR(G213="",M213=""),0,IF(M213&gt;100,M213,G213*IF(M213&gt;1,M213/100,M213)))</f>
        <v>0</v>
      </c>
      <c r="O213" s="31" t="str">
        <f aca="false">IF(G213="","",G213*IF(L213="",0,IF(L213&gt;1,L213/100,L213))+N213)</f>
        <v/>
      </c>
      <c r="P213" s="28"/>
      <c r="Q213" s="33" t="str">
        <f aca="false">IF(P213="","",IFERROR(VLOOKUP(P213,PARTNERS!$A$2:$B$30,2,0),""))</f>
        <v/>
      </c>
      <c r="R213" s="17" t="str">
        <f aca="false">IF(O213="","",IF(OR(P213="",Q213=""),0,(O213-N213)*IF(Q213&gt;1,Q213/100,Q213)))</f>
        <v/>
      </c>
      <c r="S213" s="31" t="str">
        <f aca="false">IF(O213="","",O213-R213)</f>
        <v/>
      </c>
      <c r="T213" s="28"/>
      <c r="U213" s="34" t="str">
        <f aca="false">IF(T213="","",IFERROR(VLOOKUP(T213,REPS!$A$2:$D$40,2,0),""))</f>
        <v/>
      </c>
      <c r="V213" s="31" t="str">
        <f aca="false">IF(O213="","",IF(U213="",0,O213*IF(U213&gt;1,U213/100,U213)))</f>
        <v/>
      </c>
      <c r="W213" s="28"/>
      <c r="X213" s="34" t="str">
        <f aca="false">IF(W213="","",IFERROR(VLOOKUP(W213,REPS!$A$2:$D$40,3,0),""))</f>
        <v/>
      </c>
      <c r="Y213" s="31" t="str">
        <f aca="false">IF(O213="","",IF(X213="",0,O213*IF(X213&gt;1,X213/100,X213)))</f>
        <v/>
      </c>
      <c r="Z213" s="28"/>
      <c r="AA213" s="34" t="str">
        <f aca="false">IF(Z213="","",IFERROR(VLOOKUP(Z213,REPS!$A$2:$D$40,4,0),""))</f>
        <v/>
      </c>
      <c r="AB213" s="31" t="str">
        <f aca="false">IF(O213="","",IF(AA213="",0,O213*IF(AA213&gt;1,AA213/100,AA213)))</f>
        <v/>
      </c>
      <c r="AC213" s="31" t="str">
        <f aca="false">IF(O213="","",V213+Y213+AB213)</f>
        <v/>
      </c>
      <c r="AD213" s="19" t="str">
        <f aca="false">IF(O213="","",O213-R213-AC213)</f>
        <v/>
      </c>
      <c r="AE213" s="20"/>
      <c r="AF213" s="27"/>
      <c r="AG213" s="21" t="n">
        <f aca="false">IF(OR(AE213="",AE213=0),0,AE213*IF(U213="",0,IF(U213&gt;1,U213/100,U213)))</f>
        <v>0</v>
      </c>
      <c r="AH213" s="21" t="n">
        <f aca="false">IF(OR(AE213="",AE213=0),0,AE213*IF(X213="",0,IF(X213&gt;1,X213/100,X213)))</f>
        <v>0</v>
      </c>
      <c r="AI213" s="21" t="n">
        <f aca="false">IF(OR(AE213="",AE213=0),0,AE213*IF(AA213="",0,IF(AA213&gt;1,AA213/100,AA213)))</f>
        <v>0</v>
      </c>
      <c r="AJ213" s="21" t="n">
        <f aca="false">AG213+AH213+AI213</f>
        <v>0</v>
      </c>
      <c r="AK213" s="21" t="n">
        <f aca="false">IF(OR(AE213="",AE213=0),0,AE213-AJ213)</f>
        <v>0</v>
      </c>
      <c r="AL213" s="19" t="str">
        <f aca="false">IF(AD213="","",AD213-AK213)</f>
        <v/>
      </c>
      <c r="AM213" s="26" t="str">
        <f aca="false">IF(C213="","","Waiting for payment")</f>
        <v/>
      </c>
      <c r="AN213" s="27"/>
      <c r="AO213" s="27"/>
      <c r="AP213" s="35" t="str">
        <f aca="false">IF(OR(C213="",I213="",K213=""),"",IF(K213="Monthly",EDATE(C213,ROUND(I213*SETTINGS!$I$8,0)),WORKDAY(C213,ROUND(I213*SETTINGS!$I$8,0))))</f>
        <v/>
      </c>
      <c r="AQ213" s="26" t="str">
        <f aca="true">IF(C213="","",IF(AND(AP213&lt;&gt;"",TODAY()&gt;=AP213),"Refi Ready",IF(TODAY()-C213&gt;=SETTINGS!$I$11,"Prospecting","Performing")))</f>
        <v/>
      </c>
      <c r="AR213" s="35" t="str">
        <f aca="false">IF(OR(C213="",I213="",K213=""),"",IF(K213="Monthly",EDATE(C213,I213),WORKDAY(C213,I213)))</f>
        <v/>
      </c>
      <c r="AS213" s="28"/>
      <c r="AT213" s="36" t="str">
        <f aca="true">IF(C213="","",IF(AM213="Clawed Back","CLAWED",IF(TODAY()&lt;=C213+SETTINGS!$I$2,"⚠ AT RISK","SAFE")))</f>
        <v/>
      </c>
      <c r="AU213" s="28"/>
      <c r="AW213" s="24" t="n">
        <f aca="false">AW212+IF(AND(C213&lt;&gt;"",AO213&lt;&gt;"",OR('REP COMMISSION'!$B$3="",T213='REP COMMISSION'!$B$3,W213='REP COMMISSION'!$B$3,Z213='REP COMMISSION'!$B$3)),1,0)</f>
        <v>0</v>
      </c>
      <c r="AX213" s="24" t="n">
        <f aca="false">AX212+IF(AND(C213&lt;&gt;"",OR(F213="LOC - INITIAL",F213="CONSOLIDATION - UPFRONT COMM",F213="REVERSE - TOTAL FUNDING")),1,0)</f>
        <v>0</v>
      </c>
    </row>
    <row r="214" customFormat="false" ht="15" hidden="false" customHeight="false" outlineLevel="0" collapsed="false">
      <c r="A214" s="8" t="str">
        <f aca="false">IF(C214&lt;&gt;"","F"&amp;COUNT($C$4:C214),"")</f>
        <v/>
      </c>
      <c r="B214" s="9" t="str">
        <f aca="false">IF(OR(F214="LOC - INITIAL",F214="CONSOLIDATION - UPFRONT COMM",F214="REVERSE - TOTAL FUNDING"),A214,"")</f>
        <v/>
      </c>
      <c r="C214" s="10"/>
      <c r="D214" s="11"/>
      <c r="E214" s="11"/>
      <c r="F214" s="11"/>
      <c r="G214" s="12"/>
      <c r="H214" s="13"/>
      <c r="I214" s="11"/>
      <c r="J214" s="14" t="str">
        <f aca="false">IF(AND(G214&lt;&gt;"",H214&lt;&gt;""),G214*H214,"")</f>
        <v/>
      </c>
      <c r="K214" s="11"/>
      <c r="L214" s="15"/>
      <c r="M214" s="15"/>
      <c r="N214" s="14" t="n">
        <f aca="false">IF(OR(G214="",M214=""),0,IF(M214&gt;100,M214,G214*IF(M214&gt;1,M214/100,M214)))</f>
        <v>0</v>
      </c>
      <c r="O214" s="14" t="str">
        <f aca="false">IF(G214="","",G214*IF(L214="",0,IF(L214&gt;1,L214/100,L214))+N214)</f>
        <v/>
      </c>
      <c r="P214" s="11"/>
      <c r="Q214" s="16" t="str">
        <f aca="false">IF(P214="","",IFERROR(VLOOKUP(P214,PARTNERS!$A$2:$B$30,2,0),""))</f>
        <v/>
      </c>
      <c r="R214" s="17" t="str">
        <f aca="false">IF(O214="","",IF(OR(P214="",Q214=""),0,(O214-N214)*IF(Q214&gt;1,Q214/100,Q214)))</f>
        <v/>
      </c>
      <c r="S214" s="14" t="str">
        <f aca="false">IF(O214="","",O214-R214)</f>
        <v/>
      </c>
      <c r="T214" s="11"/>
      <c r="U214" s="18" t="str">
        <f aca="false">IF(T214="","",IFERROR(VLOOKUP(T214,REPS!$A$2:$D$40,2,0),""))</f>
        <v/>
      </c>
      <c r="V214" s="14" t="str">
        <f aca="false">IF(O214="","",IF(U214="",0,O214*IF(U214&gt;1,U214/100,U214)))</f>
        <v/>
      </c>
      <c r="W214" s="11"/>
      <c r="X214" s="18" t="str">
        <f aca="false">IF(W214="","",IFERROR(VLOOKUP(W214,REPS!$A$2:$D$40,3,0),""))</f>
        <v/>
      </c>
      <c r="Y214" s="14" t="str">
        <f aca="false">IF(O214="","",IF(X214="",0,O214*IF(X214&gt;1,X214/100,X214)))</f>
        <v/>
      </c>
      <c r="Z214" s="11"/>
      <c r="AA214" s="18" t="str">
        <f aca="false">IF(Z214="","",IFERROR(VLOOKUP(Z214,REPS!$A$2:$D$40,4,0),""))</f>
        <v/>
      </c>
      <c r="AB214" s="14" t="str">
        <f aca="false">IF(O214="","",IF(AA214="",0,O214*IF(AA214&gt;1,AA214/100,AA214)))</f>
        <v/>
      </c>
      <c r="AC214" s="14" t="str">
        <f aca="false">IF(O214="","",V214+Y214+AB214)</f>
        <v/>
      </c>
      <c r="AD214" s="19" t="str">
        <f aca="false">IF(O214="","",O214-R214-AC214)</f>
        <v/>
      </c>
      <c r="AE214" s="20"/>
      <c r="AF214" s="10"/>
      <c r="AG214" s="21" t="n">
        <f aca="false">IF(OR(AE214="",AE214=0),0,AE214*IF(U214="",0,IF(U214&gt;1,U214/100,U214)))</f>
        <v>0</v>
      </c>
      <c r="AH214" s="21" t="n">
        <f aca="false">IF(OR(AE214="",AE214=0),0,AE214*IF(X214="",0,IF(X214&gt;1,X214/100,X214)))</f>
        <v>0</v>
      </c>
      <c r="AI214" s="21" t="n">
        <f aca="false">IF(OR(AE214="",AE214=0),0,AE214*IF(AA214="",0,IF(AA214&gt;1,AA214/100,AA214)))</f>
        <v>0</v>
      </c>
      <c r="AJ214" s="21" t="n">
        <f aca="false">AG214+AH214+AI214</f>
        <v>0</v>
      </c>
      <c r="AK214" s="21" t="n">
        <f aca="false">IF(OR(AE214="",AE214=0),0,AE214-AJ214)</f>
        <v>0</v>
      </c>
      <c r="AL214" s="19" t="str">
        <f aca="false">IF(AD214="","",AD214-AK214)</f>
        <v/>
      </c>
      <c r="AM214" s="9" t="str">
        <f aca="false">IF(C214="","","Waiting for payment")</f>
        <v/>
      </c>
      <c r="AN214" s="10"/>
      <c r="AO214" s="10"/>
      <c r="AP214" s="22" t="str">
        <f aca="false">IF(OR(C214="",I214="",K214=""),"",IF(K214="Monthly",EDATE(C214,ROUND(I214*SETTINGS!$I$8,0)),WORKDAY(C214,ROUND(I214*SETTINGS!$I$8,0))))</f>
        <v/>
      </c>
      <c r="AQ214" s="9" t="str">
        <f aca="true">IF(C214="","",IF(AND(AP214&lt;&gt;"",TODAY()&gt;=AP214),"Refi Ready",IF(TODAY()-C214&gt;=SETTINGS!$I$11,"Prospecting","Performing")))</f>
        <v/>
      </c>
      <c r="AR214" s="22" t="str">
        <f aca="false">IF(OR(C214="",I214="",K214=""),"",IF(K214="Monthly",EDATE(C214,I214),WORKDAY(C214,I214)))</f>
        <v/>
      </c>
      <c r="AS214" s="11"/>
      <c r="AT214" s="23" t="str">
        <f aca="true">IF(C214="","",IF(AM214="Clawed Back","CLAWED",IF(TODAY()&lt;=C214+SETTINGS!$I$2,"⚠ AT RISK","SAFE")))</f>
        <v/>
      </c>
      <c r="AU214" s="11"/>
      <c r="AW214" s="24" t="n">
        <f aca="false">AW213+IF(AND(C214&lt;&gt;"",AO214&lt;&gt;"",OR('REP COMMISSION'!$B$3="",T214='REP COMMISSION'!$B$3,W214='REP COMMISSION'!$B$3,Z214='REP COMMISSION'!$B$3)),1,0)</f>
        <v>0</v>
      </c>
      <c r="AX214" s="24" t="n">
        <f aca="false">AX213+IF(AND(C214&lt;&gt;"",OR(F214="LOC - INITIAL",F214="CONSOLIDATION - UPFRONT COMM",F214="REVERSE - TOTAL FUNDING")),1,0)</f>
        <v>0</v>
      </c>
    </row>
    <row r="215" customFormat="false" ht="15" hidden="false" customHeight="false" outlineLevel="0" collapsed="false">
      <c r="A215" s="25" t="str">
        <f aca="false">IF(C215&lt;&gt;"","F"&amp;COUNT($C$4:C215),"")</f>
        <v/>
      </c>
      <c r="B215" s="26" t="str">
        <f aca="false">IF(OR(F215="LOC - INITIAL",F215="CONSOLIDATION - UPFRONT COMM",F215="REVERSE - TOTAL FUNDING"),A215,"")</f>
        <v/>
      </c>
      <c r="C215" s="27"/>
      <c r="D215" s="28"/>
      <c r="E215" s="28"/>
      <c r="F215" s="28"/>
      <c r="G215" s="29"/>
      <c r="H215" s="30"/>
      <c r="I215" s="28"/>
      <c r="J215" s="31" t="str">
        <f aca="false">IF(AND(G215&lt;&gt;"",H215&lt;&gt;""),G215*H215,"")</f>
        <v/>
      </c>
      <c r="K215" s="28"/>
      <c r="L215" s="32"/>
      <c r="M215" s="32"/>
      <c r="N215" s="31" t="n">
        <f aca="false">IF(OR(G215="",M215=""),0,IF(M215&gt;100,M215,G215*IF(M215&gt;1,M215/100,M215)))</f>
        <v>0</v>
      </c>
      <c r="O215" s="31" t="str">
        <f aca="false">IF(G215="","",G215*IF(L215="",0,IF(L215&gt;1,L215/100,L215))+N215)</f>
        <v/>
      </c>
      <c r="P215" s="28"/>
      <c r="Q215" s="33" t="str">
        <f aca="false">IF(P215="","",IFERROR(VLOOKUP(P215,PARTNERS!$A$2:$B$30,2,0),""))</f>
        <v/>
      </c>
      <c r="R215" s="17" t="str">
        <f aca="false">IF(O215="","",IF(OR(P215="",Q215=""),0,(O215-N215)*IF(Q215&gt;1,Q215/100,Q215)))</f>
        <v/>
      </c>
      <c r="S215" s="31" t="str">
        <f aca="false">IF(O215="","",O215-R215)</f>
        <v/>
      </c>
      <c r="T215" s="28"/>
      <c r="U215" s="34" t="str">
        <f aca="false">IF(T215="","",IFERROR(VLOOKUP(T215,REPS!$A$2:$D$40,2,0),""))</f>
        <v/>
      </c>
      <c r="V215" s="31" t="str">
        <f aca="false">IF(O215="","",IF(U215="",0,O215*IF(U215&gt;1,U215/100,U215)))</f>
        <v/>
      </c>
      <c r="W215" s="28"/>
      <c r="X215" s="34" t="str">
        <f aca="false">IF(W215="","",IFERROR(VLOOKUP(W215,REPS!$A$2:$D$40,3,0),""))</f>
        <v/>
      </c>
      <c r="Y215" s="31" t="str">
        <f aca="false">IF(O215="","",IF(X215="",0,O215*IF(X215&gt;1,X215/100,X215)))</f>
        <v/>
      </c>
      <c r="Z215" s="28"/>
      <c r="AA215" s="34" t="str">
        <f aca="false">IF(Z215="","",IFERROR(VLOOKUP(Z215,REPS!$A$2:$D$40,4,0),""))</f>
        <v/>
      </c>
      <c r="AB215" s="31" t="str">
        <f aca="false">IF(O215="","",IF(AA215="",0,O215*IF(AA215&gt;1,AA215/100,AA215)))</f>
        <v/>
      </c>
      <c r="AC215" s="31" t="str">
        <f aca="false">IF(O215="","",V215+Y215+AB215)</f>
        <v/>
      </c>
      <c r="AD215" s="19" t="str">
        <f aca="false">IF(O215="","",O215-R215-AC215)</f>
        <v/>
      </c>
      <c r="AE215" s="20"/>
      <c r="AF215" s="27"/>
      <c r="AG215" s="21" t="n">
        <f aca="false">IF(OR(AE215="",AE215=0),0,AE215*IF(U215="",0,IF(U215&gt;1,U215/100,U215)))</f>
        <v>0</v>
      </c>
      <c r="AH215" s="21" t="n">
        <f aca="false">IF(OR(AE215="",AE215=0),0,AE215*IF(X215="",0,IF(X215&gt;1,X215/100,X215)))</f>
        <v>0</v>
      </c>
      <c r="AI215" s="21" t="n">
        <f aca="false">IF(OR(AE215="",AE215=0),0,AE215*IF(AA215="",0,IF(AA215&gt;1,AA215/100,AA215)))</f>
        <v>0</v>
      </c>
      <c r="AJ215" s="21" t="n">
        <f aca="false">AG215+AH215+AI215</f>
        <v>0</v>
      </c>
      <c r="AK215" s="21" t="n">
        <f aca="false">IF(OR(AE215="",AE215=0),0,AE215-AJ215)</f>
        <v>0</v>
      </c>
      <c r="AL215" s="19" t="str">
        <f aca="false">IF(AD215="","",AD215-AK215)</f>
        <v/>
      </c>
      <c r="AM215" s="26" t="str">
        <f aca="false">IF(C215="","","Waiting for payment")</f>
        <v/>
      </c>
      <c r="AN215" s="27"/>
      <c r="AO215" s="27"/>
      <c r="AP215" s="35" t="str">
        <f aca="false">IF(OR(C215="",I215="",K215=""),"",IF(K215="Monthly",EDATE(C215,ROUND(I215*SETTINGS!$I$8,0)),WORKDAY(C215,ROUND(I215*SETTINGS!$I$8,0))))</f>
        <v/>
      </c>
      <c r="AQ215" s="26" t="str">
        <f aca="true">IF(C215="","",IF(AND(AP215&lt;&gt;"",TODAY()&gt;=AP215),"Refi Ready",IF(TODAY()-C215&gt;=SETTINGS!$I$11,"Prospecting","Performing")))</f>
        <v/>
      </c>
      <c r="AR215" s="35" t="str">
        <f aca="false">IF(OR(C215="",I215="",K215=""),"",IF(K215="Monthly",EDATE(C215,I215),WORKDAY(C215,I215)))</f>
        <v/>
      </c>
      <c r="AS215" s="28"/>
      <c r="AT215" s="36" t="str">
        <f aca="true">IF(C215="","",IF(AM215="Clawed Back","CLAWED",IF(TODAY()&lt;=C215+SETTINGS!$I$2,"⚠ AT RISK","SAFE")))</f>
        <v/>
      </c>
      <c r="AU215" s="28"/>
      <c r="AW215" s="24" t="n">
        <f aca="false">AW214+IF(AND(C215&lt;&gt;"",AO215&lt;&gt;"",OR('REP COMMISSION'!$B$3="",T215='REP COMMISSION'!$B$3,W215='REP COMMISSION'!$B$3,Z215='REP COMMISSION'!$B$3)),1,0)</f>
        <v>0</v>
      </c>
      <c r="AX215" s="24" t="n">
        <f aca="false">AX214+IF(AND(C215&lt;&gt;"",OR(F215="LOC - INITIAL",F215="CONSOLIDATION - UPFRONT COMM",F215="REVERSE - TOTAL FUNDING")),1,0)</f>
        <v>0</v>
      </c>
    </row>
    <row r="216" customFormat="false" ht="15" hidden="false" customHeight="false" outlineLevel="0" collapsed="false">
      <c r="A216" s="8" t="str">
        <f aca="false">IF(C216&lt;&gt;"","F"&amp;COUNT($C$4:C216),"")</f>
        <v/>
      </c>
      <c r="B216" s="9" t="str">
        <f aca="false">IF(OR(F216="LOC - INITIAL",F216="CONSOLIDATION - UPFRONT COMM",F216="REVERSE - TOTAL FUNDING"),A216,"")</f>
        <v/>
      </c>
      <c r="C216" s="10"/>
      <c r="D216" s="11"/>
      <c r="E216" s="11"/>
      <c r="F216" s="11"/>
      <c r="G216" s="12"/>
      <c r="H216" s="13"/>
      <c r="I216" s="11"/>
      <c r="J216" s="14" t="str">
        <f aca="false">IF(AND(G216&lt;&gt;"",H216&lt;&gt;""),G216*H216,"")</f>
        <v/>
      </c>
      <c r="K216" s="11"/>
      <c r="L216" s="15"/>
      <c r="M216" s="15"/>
      <c r="N216" s="14" t="n">
        <f aca="false">IF(OR(G216="",M216=""),0,IF(M216&gt;100,M216,G216*IF(M216&gt;1,M216/100,M216)))</f>
        <v>0</v>
      </c>
      <c r="O216" s="14" t="str">
        <f aca="false">IF(G216="","",G216*IF(L216="",0,IF(L216&gt;1,L216/100,L216))+N216)</f>
        <v/>
      </c>
      <c r="P216" s="11"/>
      <c r="Q216" s="16" t="str">
        <f aca="false">IF(P216="","",IFERROR(VLOOKUP(P216,PARTNERS!$A$2:$B$30,2,0),""))</f>
        <v/>
      </c>
      <c r="R216" s="17" t="str">
        <f aca="false">IF(O216="","",IF(OR(P216="",Q216=""),0,(O216-N216)*IF(Q216&gt;1,Q216/100,Q216)))</f>
        <v/>
      </c>
      <c r="S216" s="14" t="str">
        <f aca="false">IF(O216="","",O216-R216)</f>
        <v/>
      </c>
      <c r="T216" s="11"/>
      <c r="U216" s="18" t="str">
        <f aca="false">IF(T216="","",IFERROR(VLOOKUP(T216,REPS!$A$2:$D$40,2,0),""))</f>
        <v/>
      </c>
      <c r="V216" s="14" t="str">
        <f aca="false">IF(O216="","",IF(U216="",0,O216*IF(U216&gt;1,U216/100,U216)))</f>
        <v/>
      </c>
      <c r="W216" s="11"/>
      <c r="X216" s="18" t="str">
        <f aca="false">IF(W216="","",IFERROR(VLOOKUP(W216,REPS!$A$2:$D$40,3,0),""))</f>
        <v/>
      </c>
      <c r="Y216" s="14" t="str">
        <f aca="false">IF(O216="","",IF(X216="",0,O216*IF(X216&gt;1,X216/100,X216)))</f>
        <v/>
      </c>
      <c r="Z216" s="11"/>
      <c r="AA216" s="18" t="str">
        <f aca="false">IF(Z216="","",IFERROR(VLOOKUP(Z216,REPS!$A$2:$D$40,4,0),""))</f>
        <v/>
      </c>
      <c r="AB216" s="14" t="str">
        <f aca="false">IF(O216="","",IF(AA216="",0,O216*IF(AA216&gt;1,AA216/100,AA216)))</f>
        <v/>
      </c>
      <c r="AC216" s="14" t="str">
        <f aca="false">IF(O216="","",V216+Y216+AB216)</f>
        <v/>
      </c>
      <c r="AD216" s="19" t="str">
        <f aca="false">IF(O216="","",O216-R216-AC216)</f>
        <v/>
      </c>
      <c r="AE216" s="20"/>
      <c r="AF216" s="10"/>
      <c r="AG216" s="21" t="n">
        <f aca="false">IF(OR(AE216="",AE216=0),0,AE216*IF(U216="",0,IF(U216&gt;1,U216/100,U216)))</f>
        <v>0</v>
      </c>
      <c r="AH216" s="21" t="n">
        <f aca="false">IF(OR(AE216="",AE216=0),0,AE216*IF(X216="",0,IF(X216&gt;1,X216/100,X216)))</f>
        <v>0</v>
      </c>
      <c r="AI216" s="21" t="n">
        <f aca="false">IF(OR(AE216="",AE216=0),0,AE216*IF(AA216="",0,IF(AA216&gt;1,AA216/100,AA216)))</f>
        <v>0</v>
      </c>
      <c r="AJ216" s="21" t="n">
        <f aca="false">AG216+AH216+AI216</f>
        <v>0</v>
      </c>
      <c r="AK216" s="21" t="n">
        <f aca="false">IF(OR(AE216="",AE216=0),0,AE216-AJ216)</f>
        <v>0</v>
      </c>
      <c r="AL216" s="19" t="str">
        <f aca="false">IF(AD216="","",AD216-AK216)</f>
        <v/>
      </c>
      <c r="AM216" s="9" t="str">
        <f aca="false">IF(C216="","","Waiting for payment")</f>
        <v/>
      </c>
      <c r="AN216" s="10"/>
      <c r="AO216" s="10"/>
      <c r="AP216" s="22" t="str">
        <f aca="false">IF(OR(C216="",I216="",K216=""),"",IF(K216="Monthly",EDATE(C216,ROUND(I216*SETTINGS!$I$8,0)),WORKDAY(C216,ROUND(I216*SETTINGS!$I$8,0))))</f>
        <v/>
      </c>
      <c r="AQ216" s="9" t="str">
        <f aca="true">IF(C216="","",IF(AND(AP216&lt;&gt;"",TODAY()&gt;=AP216),"Refi Ready",IF(TODAY()-C216&gt;=SETTINGS!$I$11,"Prospecting","Performing")))</f>
        <v/>
      </c>
      <c r="AR216" s="22" t="str">
        <f aca="false">IF(OR(C216="",I216="",K216=""),"",IF(K216="Monthly",EDATE(C216,I216),WORKDAY(C216,I216)))</f>
        <v/>
      </c>
      <c r="AS216" s="11"/>
      <c r="AT216" s="23" t="str">
        <f aca="true">IF(C216="","",IF(AM216="Clawed Back","CLAWED",IF(TODAY()&lt;=C216+SETTINGS!$I$2,"⚠ AT RISK","SAFE")))</f>
        <v/>
      </c>
      <c r="AU216" s="11"/>
      <c r="AW216" s="24" t="n">
        <f aca="false">AW215+IF(AND(C216&lt;&gt;"",AO216&lt;&gt;"",OR('REP COMMISSION'!$B$3="",T216='REP COMMISSION'!$B$3,W216='REP COMMISSION'!$B$3,Z216='REP COMMISSION'!$B$3)),1,0)</f>
        <v>0</v>
      </c>
      <c r="AX216" s="24" t="n">
        <f aca="false">AX215+IF(AND(C216&lt;&gt;"",OR(F216="LOC - INITIAL",F216="CONSOLIDATION - UPFRONT COMM",F216="REVERSE - TOTAL FUNDING")),1,0)</f>
        <v>0</v>
      </c>
    </row>
    <row r="217" customFormat="false" ht="15" hidden="false" customHeight="false" outlineLevel="0" collapsed="false">
      <c r="A217" s="25" t="str">
        <f aca="false">IF(C217&lt;&gt;"","F"&amp;COUNT($C$4:C217),"")</f>
        <v/>
      </c>
      <c r="B217" s="26" t="str">
        <f aca="false">IF(OR(F217="LOC - INITIAL",F217="CONSOLIDATION - UPFRONT COMM",F217="REVERSE - TOTAL FUNDING"),A217,"")</f>
        <v/>
      </c>
      <c r="C217" s="27"/>
      <c r="D217" s="28"/>
      <c r="E217" s="28"/>
      <c r="F217" s="28"/>
      <c r="G217" s="29"/>
      <c r="H217" s="30"/>
      <c r="I217" s="28"/>
      <c r="J217" s="31" t="str">
        <f aca="false">IF(AND(G217&lt;&gt;"",H217&lt;&gt;""),G217*H217,"")</f>
        <v/>
      </c>
      <c r="K217" s="28"/>
      <c r="L217" s="32"/>
      <c r="M217" s="32"/>
      <c r="N217" s="31" t="n">
        <f aca="false">IF(OR(G217="",M217=""),0,IF(M217&gt;100,M217,G217*IF(M217&gt;1,M217/100,M217)))</f>
        <v>0</v>
      </c>
      <c r="O217" s="31" t="str">
        <f aca="false">IF(G217="","",G217*IF(L217="",0,IF(L217&gt;1,L217/100,L217))+N217)</f>
        <v/>
      </c>
      <c r="P217" s="28"/>
      <c r="Q217" s="33" t="str">
        <f aca="false">IF(P217="","",IFERROR(VLOOKUP(P217,PARTNERS!$A$2:$B$30,2,0),""))</f>
        <v/>
      </c>
      <c r="R217" s="17" t="str">
        <f aca="false">IF(O217="","",IF(OR(P217="",Q217=""),0,(O217-N217)*IF(Q217&gt;1,Q217/100,Q217)))</f>
        <v/>
      </c>
      <c r="S217" s="31" t="str">
        <f aca="false">IF(O217="","",O217-R217)</f>
        <v/>
      </c>
      <c r="T217" s="28"/>
      <c r="U217" s="34" t="str">
        <f aca="false">IF(T217="","",IFERROR(VLOOKUP(T217,REPS!$A$2:$D$40,2,0),""))</f>
        <v/>
      </c>
      <c r="V217" s="31" t="str">
        <f aca="false">IF(O217="","",IF(U217="",0,O217*IF(U217&gt;1,U217/100,U217)))</f>
        <v/>
      </c>
      <c r="W217" s="28"/>
      <c r="X217" s="34" t="str">
        <f aca="false">IF(W217="","",IFERROR(VLOOKUP(W217,REPS!$A$2:$D$40,3,0),""))</f>
        <v/>
      </c>
      <c r="Y217" s="31" t="str">
        <f aca="false">IF(O217="","",IF(X217="",0,O217*IF(X217&gt;1,X217/100,X217)))</f>
        <v/>
      </c>
      <c r="Z217" s="28"/>
      <c r="AA217" s="34" t="str">
        <f aca="false">IF(Z217="","",IFERROR(VLOOKUP(Z217,REPS!$A$2:$D$40,4,0),""))</f>
        <v/>
      </c>
      <c r="AB217" s="31" t="str">
        <f aca="false">IF(O217="","",IF(AA217="",0,O217*IF(AA217&gt;1,AA217/100,AA217)))</f>
        <v/>
      </c>
      <c r="AC217" s="31" t="str">
        <f aca="false">IF(O217="","",V217+Y217+AB217)</f>
        <v/>
      </c>
      <c r="AD217" s="19" t="str">
        <f aca="false">IF(O217="","",O217-R217-AC217)</f>
        <v/>
      </c>
      <c r="AE217" s="20"/>
      <c r="AF217" s="27"/>
      <c r="AG217" s="21" t="n">
        <f aca="false">IF(OR(AE217="",AE217=0),0,AE217*IF(U217="",0,IF(U217&gt;1,U217/100,U217)))</f>
        <v>0</v>
      </c>
      <c r="AH217" s="21" t="n">
        <f aca="false">IF(OR(AE217="",AE217=0),0,AE217*IF(X217="",0,IF(X217&gt;1,X217/100,X217)))</f>
        <v>0</v>
      </c>
      <c r="AI217" s="21" t="n">
        <f aca="false">IF(OR(AE217="",AE217=0),0,AE217*IF(AA217="",0,IF(AA217&gt;1,AA217/100,AA217)))</f>
        <v>0</v>
      </c>
      <c r="AJ217" s="21" t="n">
        <f aca="false">AG217+AH217+AI217</f>
        <v>0</v>
      </c>
      <c r="AK217" s="21" t="n">
        <f aca="false">IF(OR(AE217="",AE217=0),0,AE217-AJ217)</f>
        <v>0</v>
      </c>
      <c r="AL217" s="19" t="str">
        <f aca="false">IF(AD217="","",AD217-AK217)</f>
        <v/>
      </c>
      <c r="AM217" s="26" t="str">
        <f aca="false">IF(C217="","","Waiting for payment")</f>
        <v/>
      </c>
      <c r="AN217" s="27"/>
      <c r="AO217" s="27"/>
      <c r="AP217" s="35" t="str">
        <f aca="false">IF(OR(C217="",I217="",K217=""),"",IF(K217="Monthly",EDATE(C217,ROUND(I217*SETTINGS!$I$8,0)),WORKDAY(C217,ROUND(I217*SETTINGS!$I$8,0))))</f>
        <v/>
      </c>
      <c r="AQ217" s="26" t="str">
        <f aca="true">IF(C217="","",IF(AND(AP217&lt;&gt;"",TODAY()&gt;=AP217),"Refi Ready",IF(TODAY()-C217&gt;=SETTINGS!$I$11,"Prospecting","Performing")))</f>
        <v/>
      </c>
      <c r="AR217" s="35" t="str">
        <f aca="false">IF(OR(C217="",I217="",K217=""),"",IF(K217="Monthly",EDATE(C217,I217),WORKDAY(C217,I217)))</f>
        <v/>
      </c>
      <c r="AS217" s="28"/>
      <c r="AT217" s="36" t="str">
        <f aca="true">IF(C217="","",IF(AM217="Clawed Back","CLAWED",IF(TODAY()&lt;=C217+SETTINGS!$I$2,"⚠ AT RISK","SAFE")))</f>
        <v/>
      </c>
      <c r="AU217" s="28"/>
      <c r="AW217" s="24" t="n">
        <f aca="false">AW216+IF(AND(C217&lt;&gt;"",AO217&lt;&gt;"",OR('REP COMMISSION'!$B$3="",T217='REP COMMISSION'!$B$3,W217='REP COMMISSION'!$B$3,Z217='REP COMMISSION'!$B$3)),1,0)</f>
        <v>0</v>
      </c>
      <c r="AX217" s="24" t="n">
        <f aca="false">AX216+IF(AND(C217&lt;&gt;"",OR(F217="LOC - INITIAL",F217="CONSOLIDATION - UPFRONT COMM",F217="REVERSE - TOTAL FUNDING")),1,0)</f>
        <v>0</v>
      </c>
    </row>
    <row r="218" customFormat="false" ht="15" hidden="false" customHeight="false" outlineLevel="0" collapsed="false">
      <c r="A218" s="8" t="str">
        <f aca="false">IF(C218&lt;&gt;"","F"&amp;COUNT($C$4:C218),"")</f>
        <v/>
      </c>
      <c r="B218" s="9" t="str">
        <f aca="false">IF(OR(F218="LOC - INITIAL",F218="CONSOLIDATION - UPFRONT COMM",F218="REVERSE - TOTAL FUNDING"),A218,"")</f>
        <v/>
      </c>
      <c r="C218" s="10"/>
      <c r="D218" s="11"/>
      <c r="E218" s="11"/>
      <c r="F218" s="11"/>
      <c r="G218" s="12"/>
      <c r="H218" s="13"/>
      <c r="I218" s="11"/>
      <c r="J218" s="14" t="str">
        <f aca="false">IF(AND(G218&lt;&gt;"",H218&lt;&gt;""),G218*H218,"")</f>
        <v/>
      </c>
      <c r="K218" s="11"/>
      <c r="L218" s="15"/>
      <c r="M218" s="15"/>
      <c r="N218" s="14" t="n">
        <f aca="false">IF(OR(G218="",M218=""),0,IF(M218&gt;100,M218,G218*IF(M218&gt;1,M218/100,M218)))</f>
        <v>0</v>
      </c>
      <c r="O218" s="14" t="str">
        <f aca="false">IF(G218="","",G218*IF(L218="",0,IF(L218&gt;1,L218/100,L218))+N218)</f>
        <v/>
      </c>
      <c r="P218" s="11"/>
      <c r="Q218" s="16" t="str">
        <f aca="false">IF(P218="","",IFERROR(VLOOKUP(P218,PARTNERS!$A$2:$B$30,2,0),""))</f>
        <v/>
      </c>
      <c r="R218" s="17" t="str">
        <f aca="false">IF(O218="","",IF(OR(P218="",Q218=""),0,(O218-N218)*IF(Q218&gt;1,Q218/100,Q218)))</f>
        <v/>
      </c>
      <c r="S218" s="14" t="str">
        <f aca="false">IF(O218="","",O218-R218)</f>
        <v/>
      </c>
      <c r="T218" s="11"/>
      <c r="U218" s="18" t="str">
        <f aca="false">IF(T218="","",IFERROR(VLOOKUP(T218,REPS!$A$2:$D$40,2,0),""))</f>
        <v/>
      </c>
      <c r="V218" s="14" t="str">
        <f aca="false">IF(O218="","",IF(U218="",0,O218*IF(U218&gt;1,U218/100,U218)))</f>
        <v/>
      </c>
      <c r="W218" s="11"/>
      <c r="X218" s="18" t="str">
        <f aca="false">IF(W218="","",IFERROR(VLOOKUP(W218,REPS!$A$2:$D$40,3,0),""))</f>
        <v/>
      </c>
      <c r="Y218" s="14" t="str">
        <f aca="false">IF(O218="","",IF(X218="",0,O218*IF(X218&gt;1,X218/100,X218)))</f>
        <v/>
      </c>
      <c r="Z218" s="11"/>
      <c r="AA218" s="18" t="str">
        <f aca="false">IF(Z218="","",IFERROR(VLOOKUP(Z218,REPS!$A$2:$D$40,4,0),""))</f>
        <v/>
      </c>
      <c r="AB218" s="14" t="str">
        <f aca="false">IF(O218="","",IF(AA218="",0,O218*IF(AA218&gt;1,AA218/100,AA218)))</f>
        <v/>
      </c>
      <c r="AC218" s="14" t="str">
        <f aca="false">IF(O218="","",V218+Y218+AB218)</f>
        <v/>
      </c>
      <c r="AD218" s="19" t="str">
        <f aca="false">IF(O218="","",O218-R218-AC218)</f>
        <v/>
      </c>
      <c r="AE218" s="20"/>
      <c r="AF218" s="10"/>
      <c r="AG218" s="21" t="n">
        <f aca="false">IF(OR(AE218="",AE218=0),0,AE218*IF(U218="",0,IF(U218&gt;1,U218/100,U218)))</f>
        <v>0</v>
      </c>
      <c r="AH218" s="21" t="n">
        <f aca="false">IF(OR(AE218="",AE218=0),0,AE218*IF(X218="",0,IF(X218&gt;1,X218/100,X218)))</f>
        <v>0</v>
      </c>
      <c r="AI218" s="21" t="n">
        <f aca="false">IF(OR(AE218="",AE218=0),0,AE218*IF(AA218="",0,IF(AA218&gt;1,AA218/100,AA218)))</f>
        <v>0</v>
      </c>
      <c r="AJ218" s="21" t="n">
        <f aca="false">AG218+AH218+AI218</f>
        <v>0</v>
      </c>
      <c r="AK218" s="21" t="n">
        <f aca="false">IF(OR(AE218="",AE218=0),0,AE218-AJ218)</f>
        <v>0</v>
      </c>
      <c r="AL218" s="19" t="str">
        <f aca="false">IF(AD218="","",AD218-AK218)</f>
        <v/>
      </c>
      <c r="AM218" s="9" t="str">
        <f aca="false">IF(C218="","","Waiting for payment")</f>
        <v/>
      </c>
      <c r="AN218" s="10"/>
      <c r="AO218" s="10"/>
      <c r="AP218" s="22" t="str">
        <f aca="false">IF(OR(C218="",I218="",K218=""),"",IF(K218="Monthly",EDATE(C218,ROUND(I218*SETTINGS!$I$8,0)),WORKDAY(C218,ROUND(I218*SETTINGS!$I$8,0))))</f>
        <v/>
      </c>
      <c r="AQ218" s="9" t="str">
        <f aca="true">IF(C218="","",IF(AND(AP218&lt;&gt;"",TODAY()&gt;=AP218),"Refi Ready",IF(TODAY()-C218&gt;=SETTINGS!$I$11,"Prospecting","Performing")))</f>
        <v/>
      </c>
      <c r="AR218" s="22" t="str">
        <f aca="false">IF(OR(C218="",I218="",K218=""),"",IF(K218="Monthly",EDATE(C218,I218),WORKDAY(C218,I218)))</f>
        <v/>
      </c>
      <c r="AS218" s="11"/>
      <c r="AT218" s="23" t="str">
        <f aca="true">IF(C218="","",IF(AM218="Clawed Back","CLAWED",IF(TODAY()&lt;=C218+SETTINGS!$I$2,"⚠ AT RISK","SAFE")))</f>
        <v/>
      </c>
      <c r="AU218" s="11"/>
      <c r="AW218" s="24" t="n">
        <f aca="false">AW217+IF(AND(C218&lt;&gt;"",AO218&lt;&gt;"",OR('REP COMMISSION'!$B$3="",T218='REP COMMISSION'!$B$3,W218='REP COMMISSION'!$B$3,Z218='REP COMMISSION'!$B$3)),1,0)</f>
        <v>0</v>
      </c>
      <c r="AX218" s="24" t="n">
        <f aca="false">AX217+IF(AND(C218&lt;&gt;"",OR(F218="LOC - INITIAL",F218="CONSOLIDATION - UPFRONT COMM",F218="REVERSE - TOTAL FUNDING")),1,0)</f>
        <v>0</v>
      </c>
    </row>
    <row r="219" customFormat="false" ht="15" hidden="false" customHeight="false" outlineLevel="0" collapsed="false">
      <c r="A219" s="25" t="str">
        <f aca="false">IF(C219&lt;&gt;"","F"&amp;COUNT($C$4:C219),"")</f>
        <v/>
      </c>
      <c r="B219" s="26" t="str">
        <f aca="false">IF(OR(F219="LOC - INITIAL",F219="CONSOLIDATION - UPFRONT COMM",F219="REVERSE - TOTAL FUNDING"),A219,"")</f>
        <v/>
      </c>
      <c r="C219" s="27"/>
      <c r="D219" s="28"/>
      <c r="E219" s="28"/>
      <c r="F219" s="28"/>
      <c r="G219" s="29"/>
      <c r="H219" s="30"/>
      <c r="I219" s="28"/>
      <c r="J219" s="31" t="str">
        <f aca="false">IF(AND(G219&lt;&gt;"",H219&lt;&gt;""),G219*H219,"")</f>
        <v/>
      </c>
      <c r="K219" s="28"/>
      <c r="L219" s="32"/>
      <c r="M219" s="32"/>
      <c r="N219" s="31" t="n">
        <f aca="false">IF(OR(G219="",M219=""),0,IF(M219&gt;100,M219,G219*IF(M219&gt;1,M219/100,M219)))</f>
        <v>0</v>
      </c>
      <c r="O219" s="31" t="str">
        <f aca="false">IF(G219="","",G219*IF(L219="",0,IF(L219&gt;1,L219/100,L219))+N219)</f>
        <v/>
      </c>
      <c r="P219" s="28"/>
      <c r="Q219" s="33" t="str">
        <f aca="false">IF(P219="","",IFERROR(VLOOKUP(P219,PARTNERS!$A$2:$B$30,2,0),""))</f>
        <v/>
      </c>
      <c r="R219" s="17" t="str">
        <f aca="false">IF(O219="","",IF(OR(P219="",Q219=""),0,(O219-N219)*IF(Q219&gt;1,Q219/100,Q219)))</f>
        <v/>
      </c>
      <c r="S219" s="31" t="str">
        <f aca="false">IF(O219="","",O219-R219)</f>
        <v/>
      </c>
      <c r="T219" s="28"/>
      <c r="U219" s="34" t="str">
        <f aca="false">IF(T219="","",IFERROR(VLOOKUP(T219,REPS!$A$2:$D$40,2,0),""))</f>
        <v/>
      </c>
      <c r="V219" s="31" t="str">
        <f aca="false">IF(O219="","",IF(U219="",0,O219*IF(U219&gt;1,U219/100,U219)))</f>
        <v/>
      </c>
      <c r="W219" s="28"/>
      <c r="X219" s="34" t="str">
        <f aca="false">IF(W219="","",IFERROR(VLOOKUP(W219,REPS!$A$2:$D$40,3,0),""))</f>
        <v/>
      </c>
      <c r="Y219" s="31" t="str">
        <f aca="false">IF(O219="","",IF(X219="",0,O219*IF(X219&gt;1,X219/100,X219)))</f>
        <v/>
      </c>
      <c r="Z219" s="28"/>
      <c r="AA219" s="34" t="str">
        <f aca="false">IF(Z219="","",IFERROR(VLOOKUP(Z219,REPS!$A$2:$D$40,4,0),""))</f>
        <v/>
      </c>
      <c r="AB219" s="31" t="str">
        <f aca="false">IF(O219="","",IF(AA219="",0,O219*IF(AA219&gt;1,AA219/100,AA219)))</f>
        <v/>
      </c>
      <c r="AC219" s="31" t="str">
        <f aca="false">IF(O219="","",V219+Y219+AB219)</f>
        <v/>
      </c>
      <c r="AD219" s="19" t="str">
        <f aca="false">IF(O219="","",O219-R219-AC219)</f>
        <v/>
      </c>
      <c r="AE219" s="20"/>
      <c r="AF219" s="27"/>
      <c r="AG219" s="21" t="n">
        <f aca="false">IF(OR(AE219="",AE219=0),0,AE219*IF(U219="",0,IF(U219&gt;1,U219/100,U219)))</f>
        <v>0</v>
      </c>
      <c r="AH219" s="21" t="n">
        <f aca="false">IF(OR(AE219="",AE219=0),0,AE219*IF(X219="",0,IF(X219&gt;1,X219/100,X219)))</f>
        <v>0</v>
      </c>
      <c r="AI219" s="21" t="n">
        <f aca="false">IF(OR(AE219="",AE219=0),0,AE219*IF(AA219="",0,IF(AA219&gt;1,AA219/100,AA219)))</f>
        <v>0</v>
      </c>
      <c r="AJ219" s="21" t="n">
        <f aca="false">AG219+AH219+AI219</f>
        <v>0</v>
      </c>
      <c r="AK219" s="21" t="n">
        <f aca="false">IF(OR(AE219="",AE219=0),0,AE219-AJ219)</f>
        <v>0</v>
      </c>
      <c r="AL219" s="19" t="str">
        <f aca="false">IF(AD219="","",AD219-AK219)</f>
        <v/>
      </c>
      <c r="AM219" s="26" t="str">
        <f aca="false">IF(C219="","","Waiting for payment")</f>
        <v/>
      </c>
      <c r="AN219" s="27"/>
      <c r="AO219" s="27"/>
      <c r="AP219" s="35" t="str">
        <f aca="false">IF(OR(C219="",I219="",K219=""),"",IF(K219="Monthly",EDATE(C219,ROUND(I219*SETTINGS!$I$8,0)),WORKDAY(C219,ROUND(I219*SETTINGS!$I$8,0))))</f>
        <v/>
      </c>
      <c r="AQ219" s="26" t="str">
        <f aca="true">IF(C219="","",IF(AND(AP219&lt;&gt;"",TODAY()&gt;=AP219),"Refi Ready",IF(TODAY()-C219&gt;=SETTINGS!$I$11,"Prospecting","Performing")))</f>
        <v/>
      </c>
      <c r="AR219" s="35" t="str">
        <f aca="false">IF(OR(C219="",I219="",K219=""),"",IF(K219="Monthly",EDATE(C219,I219),WORKDAY(C219,I219)))</f>
        <v/>
      </c>
      <c r="AS219" s="28"/>
      <c r="AT219" s="36" t="str">
        <f aca="true">IF(C219="","",IF(AM219="Clawed Back","CLAWED",IF(TODAY()&lt;=C219+SETTINGS!$I$2,"⚠ AT RISK","SAFE")))</f>
        <v/>
      </c>
      <c r="AU219" s="28"/>
      <c r="AW219" s="24" t="n">
        <f aca="false">AW218+IF(AND(C219&lt;&gt;"",AO219&lt;&gt;"",OR('REP COMMISSION'!$B$3="",T219='REP COMMISSION'!$B$3,W219='REP COMMISSION'!$B$3,Z219='REP COMMISSION'!$B$3)),1,0)</f>
        <v>0</v>
      </c>
      <c r="AX219" s="24" t="n">
        <f aca="false">AX218+IF(AND(C219&lt;&gt;"",OR(F219="LOC - INITIAL",F219="CONSOLIDATION - UPFRONT COMM",F219="REVERSE - TOTAL FUNDING")),1,0)</f>
        <v>0</v>
      </c>
    </row>
    <row r="220" customFormat="false" ht="15" hidden="false" customHeight="false" outlineLevel="0" collapsed="false">
      <c r="A220" s="8" t="str">
        <f aca="false">IF(C220&lt;&gt;"","F"&amp;COUNT($C$4:C220),"")</f>
        <v/>
      </c>
      <c r="B220" s="9" t="str">
        <f aca="false">IF(OR(F220="LOC - INITIAL",F220="CONSOLIDATION - UPFRONT COMM",F220="REVERSE - TOTAL FUNDING"),A220,"")</f>
        <v/>
      </c>
      <c r="C220" s="10"/>
      <c r="D220" s="11"/>
      <c r="E220" s="11"/>
      <c r="F220" s="11"/>
      <c r="G220" s="12"/>
      <c r="H220" s="13"/>
      <c r="I220" s="11"/>
      <c r="J220" s="14" t="str">
        <f aca="false">IF(AND(G220&lt;&gt;"",H220&lt;&gt;""),G220*H220,"")</f>
        <v/>
      </c>
      <c r="K220" s="11"/>
      <c r="L220" s="15"/>
      <c r="M220" s="15"/>
      <c r="N220" s="14" t="n">
        <f aca="false">IF(OR(G220="",M220=""),0,IF(M220&gt;100,M220,G220*IF(M220&gt;1,M220/100,M220)))</f>
        <v>0</v>
      </c>
      <c r="O220" s="14" t="str">
        <f aca="false">IF(G220="","",G220*IF(L220="",0,IF(L220&gt;1,L220/100,L220))+N220)</f>
        <v/>
      </c>
      <c r="P220" s="11"/>
      <c r="Q220" s="16" t="str">
        <f aca="false">IF(P220="","",IFERROR(VLOOKUP(P220,PARTNERS!$A$2:$B$30,2,0),""))</f>
        <v/>
      </c>
      <c r="R220" s="17" t="str">
        <f aca="false">IF(O220="","",IF(OR(P220="",Q220=""),0,(O220-N220)*IF(Q220&gt;1,Q220/100,Q220)))</f>
        <v/>
      </c>
      <c r="S220" s="14" t="str">
        <f aca="false">IF(O220="","",O220-R220)</f>
        <v/>
      </c>
      <c r="T220" s="11"/>
      <c r="U220" s="18" t="str">
        <f aca="false">IF(T220="","",IFERROR(VLOOKUP(T220,REPS!$A$2:$D$40,2,0),""))</f>
        <v/>
      </c>
      <c r="V220" s="14" t="str">
        <f aca="false">IF(O220="","",IF(U220="",0,O220*IF(U220&gt;1,U220/100,U220)))</f>
        <v/>
      </c>
      <c r="W220" s="11"/>
      <c r="X220" s="18" t="str">
        <f aca="false">IF(W220="","",IFERROR(VLOOKUP(W220,REPS!$A$2:$D$40,3,0),""))</f>
        <v/>
      </c>
      <c r="Y220" s="14" t="str">
        <f aca="false">IF(O220="","",IF(X220="",0,O220*IF(X220&gt;1,X220/100,X220)))</f>
        <v/>
      </c>
      <c r="Z220" s="11"/>
      <c r="AA220" s="18" t="str">
        <f aca="false">IF(Z220="","",IFERROR(VLOOKUP(Z220,REPS!$A$2:$D$40,4,0),""))</f>
        <v/>
      </c>
      <c r="AB220" s="14" t="str">
        <f aca="false">IF(O220="","",IF(AA220="",0,O220*IF(AA220&gt;1,AA220/100,AA220)))</f>
        <v/>
      </c>
      <c r="AC220" s="14" t="str">
        <f aca="false">IF(O220="","",V220+Y220+AB220)</f>
        <v/>
      </c>
      <c r="AD220" s="19" t="str">
        <f aca="false">IF(O220="","",O220-R220-AC220)</f>
        <v/>
      </c>
      <c r="AE220" s="20"/>
      <c r="AF220" s="10"/>
      <c r="AG220" s="21" t="n">
        <f aca="false">IF(OR(AE220="",AE220=0),0,AE220*IF(U220="",0,IF(U220&gt;1,U220/100,U220)))</f>
        <v>0</v>
      </c>
      <c r="AH220" s="21" t="n">
        <f aca="false">IF(OR(AE220="",AE220=0),0,AE220*IF(X220="",0,IF(X220&gt;1,X220/100,X220)))</f>
        <v>0</v>
      </c>
      <c r="AI220" s="21" t="n">
        <f aca="false">IF(OR(AE220="",AE220=0),0,AE220*IF(AA220="",0,IF(AA220&gt;1,AA220/100,AA220)))</f>
        <v>0</v>
      </c>
      <c r="AJ220" s="21" t="n">
        <f aca="false">AG220+AH220+AI220</f>
        <v>0</v>
      </c>
      <c r="AK220" s="21" t="n">
        <f aca="false">IF(OR(AE220="",AE220=0),0,AE220-AJ220)</f>
        <v>0</v>
      </c>
      <c r="AL220" s="19" t="str">
        <f aca="false">IF(AD220="","",AD220-AK220)</f>
        <v/>
      </c>
      <c r="AM220" s="9" t="str">
        <f aca="false">IF(C220="","","Waiting for payment")</f>
        <v/>
      </c>
      <c r="AN220" s="10"/>
      <c r="AO220" s="10"/>
      <c r="AP220" s="22" t="str">
        <f aca="false">IF(OR(C220="",I220="",K220=""),"",IF(K220="Monthly",EDATE(C220,ROUND(I220*SETTINGS!$I$8,0)),WORKDAY(C220,ROUND(I220*SETTINGS!$I$8,0))))</f>
        <v/>
      </c>
      <c r="AQ220" s="9" t="str">
        <f aca="true">IF(C220="","",IF(AND(AP220&lt;&gt;"",TODAY()&gt;=AP220),"Refi Ready",IF(TODAY()-C220&gt;=SETTINGS!$I$11,"Prospecting","Performing")))</f>
        <v/>
      </c>
      <c r="AR220" s="22" t="str">
        <f aca="false">IF(OR(C220="",I220="",K220=""),"",IF(K220="Monthly",EDATE(C220,I220),WORKDAY(C220,I220)))</f>
        <v/>
      </c>
      <c r="AS220" s="11"/>
      <c r="AT220" s="23" t="str">
        <f aca="true">IF(C220="","",IF(AM220="Clawed Back","CLAWED",IF(TODAY()&lt;=C220+SETTINGS!$I$2,"⚠ AT RISK","SAFE")))</f>
        <v/>
      </c>
      <c r="AU220" s="11"/>
      <c r="AW220" s="24" t="n">
        <f aca="false">AW219+IF(AND(C220&lt;&gt;"",AO220&lt;&gt;"",OR('REP COMMISSION'!$B$3="",T220='REP COMMISSION'!$B$3,W220='REP COMMISSION'!$B$3,Z220='REP COMMISSION'!$B$3)),1,0)</f>
        <v>0</v>
      </c>
      <c r="AX220" s="24" t="n">
        <f aca="false">AX219+IF(AND(C220&lt;&gt;"",OR(F220="LOC - INITIAL",F220="CONSOLIDATION - UPFRONT COMM",F220="REVERSE - TOTAL FUNDING")),1,0)</f>
        <v>0</v>
      </c>
    </row>
    <row r="221" customFormat="false" ht="15" hidden="false" customHeight="false" outlineLevel="0" collapsed="false">
      <c r="A221" s="25" t="str">
        <f aca="false">IF(C221&lt;&gt;"","F"&amp;COUNT($C$4:C221),"")</f>
        <v/>
      </c>
      <c r="B221" s="26" t="str">
        <f aca="false">IF(OR(F221="LOC - INITIAL",F221="CONSOLIDATION - UPFRONT COMM",F221="REVERSE - TOTAL FUNDING"),A221,"")</f>
        <v/>
      </c>
      <c r="C221" s="27"/>
      <c r="D221" s="28"/>
      <c r="E221" s="28"/>
      <c r="F221" s="28"/>
      <c r="G221" s="29"/>
      <c r="H221" s="30"/>
      <c r="I221" s="28"/>
      <c r="J221" s="31" t="str">
        <f aca="false">IF(AND(G221&lt;&gt;"",H221&lt;&gt;""),G221*H221,"")</f>
        <v/>
      </c>
      <c r="K221" s="28"/>
      <c r="L221" s="32"/>
      <c r="M221" s="32"/>
      <c r="N221" s="31" t="n">
        <f aca="false">IF(OR(G221="",M221=""),0,IF(M221&gt;100,M221,G221*IF(M221&gt;1,M221/100,M221)))</f>
        <v>0</v>
      </c>
      <c r="O221" s="31" t="str">
        <f aca="false">IF(G221="","",G221*IF(L221="",0,IF(L221&gt;1,L221/100,L221))+N221)</f>
        <v/>
      </c>
      <c r="P221" s="28"/>
      <c r="Q221" s="33" t="str">
        <f aca="false">IF(P221="","",IFERROR(VLOOKUP(P221,PARTNERS!$A$2:$B$30,2,0),""))</f>
        <v/>
      </c>
      <c r="R221" s="17" t="str">
        <f aca="false">IF(O221="","",IF(OR(P221="",Q221=""),0,(O221-N221)*IF(Q221&gt;1,Q221/100,Q221)))</f>
        <v/>
      </c>
      <c r="S221" s="31" t="str">
        <f aca="false">IF(O221="","",O221-R221)</f>
        <v/>
      </c>
      <c r="T221" s="28"/>
      <c r="U221" s="34" t="str">
        <f aca="false">IF(T221="","",IFERROR(VLOOKUP(T221,REPS!$A$2:$D$40,2,0),""))</f>
        <v/>
      </c>
      <c r="V221" s="31" t="str">
        <f aca="false">IF(O221="","",IF(U221="",0,O221*IF(U221&gt;1,U221/100,U221)))</f>
        <v/>
      </c>
      <c r="W221" s="28"/>
      <c r="X221" s="34" t="str">
        <f aca="false">IF(W221="","",IFERROR(VLOOKUP(W221,REPS!$A$2:$D$40,3,0),""))</f>
        <v/>
      </c>
      <c r="Y221" s="31" t="str">
        <f aca="false">IF(O221="","",IF(X221="",0,O221*IF(X221&gt;1,X221/100,X221)))</f>
        <v/>
      </c>
      <c r="Z221" s="28"/>
      <c r="AA221" s="34" t="str">
        <f aca="false">IF(Z221="","",IFERROR(VLOOKUP(Z221,REPS!$A$2:$D$40,4,0),""))</f>
        <v/>
      </c>
      <c r="AB221" s="31" t="str">
        <f aca="false">IF(O221="","",IF(AA221="",0,O221*IF(AA221&gt;1,AA221/100,AA221)))</f>
        <v/>
      </c>
      <c r="AC221" s="31" t="str">
        <f aca="false">IF(O221="","",V221+Y221+AB221)</f>
        <v/>
      </c>
      <c r="AD221" s="19" t="str">
        <f aca="false">IF(O221="","",O221-R221-AC221)</f>
        <v/>
      </c>
      <c r="AE221" s="20"/>
      <c r="AF221" s="27"/>
      <c r="AG221" s="21" t="n">
        <f aca="false">IF(OR(AE221="",AE221=0),0,AE221*IF(U221="",0,IF(U221&gt;1,U221/100,U221)))</f>
        <v>0</v>
      </c>
      <c r="AH221" s="21" t="n">
        <f aca="false">IF(OR(AE221="",AE221=0),0,AE221*IF(X221="",0,IF(X221&gt;1,X221/100,X221)))</f>
        <v>0</v>
      </c>
      <c r="AI221" s="21" t="n">
        <f aca="false">IF(OR(AE221="",AE221=0),0,AE221*IF(AA221="",0,IF(AA221&gt;1,AA221/100,AA221)))</f>
        <v>0</v>
      </c>
      <c r="AJ221" s="21" t="n">
        <f aca="false">AG221+AH221+AI221</f>
        <v>0</v>
      </c>
      <c r="AK221" s="21" t="n">
        <f aca="false">IF(OR(AE221="",AE221=0),0,AE221-AJ221)</f>
        <v>0</v>
      </c>
      <c r="AL221" s="19" t="str">
        <f aca="false">IF(AD221="","",AD221-AK221)</f>
        <v/>
      </c>
      <c r="AM221" s="26" t="str">
        <f aca="false">IF(C221="","","Waiting for payment")</f>
        <v/>
      </c>
      <c r="AN221" s="27"/>
      <c r="AO221" s="27"/>
      <c r="AP221" s="35" t="str">
        <f aca="false">IF(OR(C221="",I221="",K221=""),"",IF(K221="Monthly",EDATE(C221,ROUND(I221*SETTINGS!$I$8,0)),WORKDAY(C221,ROUND(I221*SETTINGS!$I$8,0))))</f>
        <v/>
      </c>
      <c r="AQ221" s="26" t="str">
        <f aca="true">IF(C221="","",IF(AND(AP221&lt;&gt;"",TODAY()&gt;=AP221),"Refi Ready",IF(TODAY()-C221&gt;=SETTINGS!$I$11,"Prospecting","Performing")))</f>
        <v/>
      </c>
      <c r="AR221" s="35" t="str">
        <f aca="false">IF(OR(C221="",I221="",K221=""),"",IF(K221="Monthly",EDATE(C221,I221),WORKDAY(C221,I221)))</f>
        <v/>
      </c>
      <c r="AS221" s="28"/>
      <c r="AT221" s="36" t="str">
        <f aca="true">IF(C221="","",IF(AM221="Clawed Back","CLAWED",IF(TODAY()&lt;=C221+SETTINGS!$I$2,"⚠ AT RISK","SAFE")))</f>
        <v/>
      </c>
      <c r="AU221" s="28"/>
      <c r="AW221" s="24" t="n">
        <f aca="false">AW220+IF(AND(C221&lt;&gt;"",AO221&lt;&gt;"",OR('REP COMMISSION'!$B$3="",T221='REP COMMISSION'!$B$3,W221='REP COMMISSION'!$B$3,Z221='REP COMMISSION'!$B$3)),1,0)</f>
        <v>0</v>
      </c>
      <c r="AX221" s="24" t="n">
        <f aca="false">AX220+IF(AND(C221&lt;&gt;"",OR(F221="LOC - INITIAL",F221="CONSOLIDATION - UPFRONT COMM",F221="REVERSE - TOTAL FUNDING")),1,0)</f>
        <v>0</v>
      </c>
    </row>
    <row r="222" customFormat="false" ht="15" hidden="false" customHeight="false" outlineLevel="0" collapsed="false">
      <c r="A222" s="8" t="str">
        <f aca="false">IF(C222&lt;&gt;"","F"&amp;COUNT($C$4:C222),"")</f>
        <v/>
      </c>
      <c r="B222" s="9" t="str">
        <f aca="false">IF(OR(F222="LOC - INITIAL",F222="CONSOLIDATION - UPFRONT COMM",F222="REVERSE - TOTAL FUNDING"),A222,"")</f>
        <v/>
      </c>
      <c r="C222" s="10"/>
      <c r="D222" s="11"/>
      <c r="E222" s="11"/>
      <c r="F222" s="11"/>
      <c r="G222" s="12"/>
      <c r="H222" s="13"/>
      <c r="I222" s="11"/>
      <c r="J222" s="14" t="str">
        <f aca="false">IF(AND(G222&lt;&gt;"",H222&lt;&gt;""),G222*H222,"")</f>
        <v/>
      </c>
      <c r="K222" s="11"/>
      <c r="L222" s="15"/>
      <c r="M222" s="15"/>
      <c r="N222" s="14" t="n">
        <f aca="false">IF(OR(G222="",M222=""),0,IF(M222&gt;100,M222,G222*IF(M222&gt;1,M222/100,M222)))</f>
        <v>0</v>
      </c>
      <c r="O222" s="14" t="str">
        <f aca="false">IF(G222="","",G222*IF(L222="",0,IF(L222&gt;1,L222/100,L222))+N222)</f>
        <v/>
      </c>
      <c r="P222" s="11"/>
      <c r="Q222" s="16" t="str">
        <f aca="false">IF(P222="","",IFERROR(VLOOKUP(P222,PARTNERS!$A$2:$B$30,2,0),""))</f>
        <v/>
      </c>
      <c r="R222" s="17" t="str">
        <f aca="false">IF(O222="","",IF(OR(P222="",Q222=""),0,(O222-N222)*IF(Q222&gt;1,Q222/100,Q222)))</f>
        <v/>
      </c>
      <c r="S222" s="14" t="str">
        <f aca="false">IF(O222="","",O222-R222)</f>
        <v/>
      </c>
      <c r="T222" s="11"/>
      <c r="U222" s="18" t="str">
        <f aca="false">IF(T222="","",IFERROR(VLOOKUP(T222,REPS!$A$2:$D$40,2,0),""))</f>
        <v/>
      </c>
      <c r="V222" s="14" t="str">
        <f aca="false">IF(O222="","",IF(U222="",0,O222*IF(U222&gt;1,U222/100,U222)))</f>
        <v/>
      </c>
      <c r="W222" s="11"/>
      <c r="X222" s="18" t="str">
        <f aca="false">IF(W222="","",IFERROR(VLOOKUP(W222,REPS!$A$2:$D$40,3,0),""))</f>
        <v/>
      </c>
      <c r="Y222" s="14" t="str">
        <f aca="false">IF(O222="","",IF(X222="",0,O222*IF(X222&gt;1,X222/100,X222)))</f>
        <v/>
      </c>
      <c r="Z222" s="11"/>
      <c r="AA222" s="18" t="str">
        <f aca="false">IF(Z222="","",IFERROR(VLOOKUP(Z222,REPS!$A$2:$D$40,4,0),""))</f>
        <v/>
      </c>
      <c r="AB222" s="14" t="str">
        <f aca="false">IF(O222="","",IF(AA222="",0,O222*IF(AA222&gt;1,AA222/100,AA222)))</f>
        <v/>
      </c>
      <c r="AC222" s="14" t="str">
        <f aca="false">IF(O222="","",V222+Y222+AB222)</f>
        <v/>
      </c>
      <c r="AD222" s="19" t="str">
        <f aca="false">IF(O222="","",O222-R222-AC222)</f>
        <v/>
      </c>
      <c r="AE222" s="20"/>
      <c r="AF222" s="10"/>
      <c r="AG222" s="21" t="n">
        <f aca="false">IF(OR(AE222="",AE222=0),0,AE222*IF(U222="",0,IF(U222&gt;1,U222/100,U222)))</f>
        <v>0</v>
      </c>
      <c r="AH222" s="21" t="n">
        <f aca="false">IF(OR(AE222="",AE222=0),0,AE222*IF(X222="",0,IF(X222&gt;1,X222/100,X222)))</f>
        <v>0</v>
      </c>
      <c r="AI222" s="21" t="n">
        <f aca="false">IF(OR(AE222="",AE222=0),0,AE222*IF(AA222="",0,IF(AA222&gt;1,AA222/100,AA222)))</f>
        <v>0</v>
      </c>
      <c r="AJ222" s="21" t="n">
        <f aca="false">AG222+AH222+AI222</f>
        <v>0</v>
      </c>
      <c r="AK222" s="21" t="n">
        <f aca="false">IF(OR(AE222="",AE222=0),0,AE222-AJ222)</f>
        <v>0</v>
      </c>
      <c r="AL222" s="19" t="str">
        <f aca="false">IF(AD222="","",AD222-AK222)</f>
        <v/>
      </c>
      <c r="AM222" s="9" t="str">
        <f aca="false">IF(C222="","","Waiting for payment")</f>
        <v/>
      </c>
      <c r="AN222" s="10"/>
      <c r="AO222" s="10"/>
      <c r="AP222" s="22" t="str">
        <f aca="false">IF(OR(C222="",I222="",K222=""),"",IF(K222="Monthly",EDATE(C222,ROUND(I222*SETTINGS!$I$8,0)),WORKDAY(C222,ROUND(I222*SETTINGS!$I$8,0))))</f>
        <v/>
      </c>
      <c r="AQ222" s="9" t="str">
        <f aca="true">IF(C222="","",IF(AND(AP222&lt;&gt;"",TODAY()&gt;=AP222),"Refi Ready",IF(TODAY()-C222&gt;=SETTINGS!$I$11,"Prospecting","Performing")))</f>
        <v/>
      </c>
      <c r="AR222" s="22" t="str">
        <f aca="false">IF(OR(C222="",I222="",K222=""),"",IF(K222="Monthly",EDATE(C222,I222),WORKDAY(C222,I222)))</f>
        <v/>
      </c>
      <c r="AS222" s="11"/>
      <c r="AT222" s="23" t="str">
        <f aca="true">IF(C222="","",IF(AM222="Clawed Back","CLAWED",IF(TODAY()&lt;=C222+SETTINGS!$I$2,"⚠ AT RISK","SAFE")))</f>
        <v/>
      </c>
      <c r="AU222" s="11"/>
      <c r="AW222" s="24" t="n">
        <f aca="false">AW221+IF(AND(C222&lt;&gt;"",AO222&lt;&gt;"",OR('REP COMMISSION'!$B$3="",T222='REP COMMISSION'!$B$3,W222='REP COMMISSION'!$B$3,Z222='REP COMMISSION'!$B$3)),1,0)</f>
        <v>0</v>
      </c>
      <c r="AX222" s="24" t="n">
        <f aca="false">AX221+IF(AND(C222&lt;&gt;"",OR(F222="LOC - INITIAL",F222="CONSOLIDATION - UPFRONT COMM",F222="REVERSE - TOTAL FUNDING")),1,0)</f>
        <v>0</v>
      </c>
    </row>
    <row r="223" customFormat="false" ht="15" hidden="false" customHeight="false" outlineLevel="0" collapsed="false">
      <c r="A223" s="25" t="str">
        <f aca="false">IF(C223&lt;&gt;"","F"&amp;COUNT($C$4:C223),"")</f>
        <v/>
      </c>
      <c r="B223" s="26" t="str">
        <f aca="false">IF(OR(F223="LOC - INITIAL",F223="CONSOLIDATION - UPFRONT COMM",F223="REVERSE - TOTAL FUNDING"),A223,"")</f>
        <v/>
      </c>
      <c r="C223" s="27"/>
      <c r="D223" s="28"/>
      <c r="E223" s="28"/>
      <c r="F223" s="28"/>
      <c r="G223" s="29"/>
      <c r="H223" s="30"/>
      <c r="I223" s="28"/>
      <c r="J223" s="31" t="str">
        <f aca="false">IF(AND(G223&lt;&gt;"",H223&lt;&gt;""),G223*H223,"")</f>
        <v/>
      </c>
      <c r="K223" s="28"/>
      <c r="L223" s="32"/>
      <c r="M223" s="32"/>
      <c r="N223" s="31" t="n">
        <f aca="false">IF(OR(G223="",M223=""),0,IF(M223&gt;100,M223,G223*IF(M223&gt;1,M223/100,M223)))</f>
        <v>0</v>
      </c>
      <c r="O223" s="31" t="str">
        <f aca="false">IF(G223="","",G223*IF(L223="",0,IF(L223&gt;1,L223/100,L223))+N223)</f>
        <v/>
      </c>
      <c r="P223" s="28"/>
      <c r="Q223" s="33" t="str">
        <f aca="false">IF(P223="","",IFERROR(VLOOKUP(P223,PARTNERS!$A$2:$B$30,2,0),""))</f>
        <v/>
      </c>
      <c r="R223" s="17" t="str">
        <f aca="false">IF(O223="","",IF(OR(P223="",Q223=""),0,(O223-N223)*IF(Q223&gt;1,Q223/100,Q223)))</f>
        <v/>
      </c>
      <c r="S223" s="31" t="str">
        <f aca="false">IF(O223="","",O223-R223)</f>
        <v/>
      </c>
      <c r="T223" s="28"/>
      <c r="U223" s="34" t="str">
        <f aca="false">IF(T223="","",IFERROR(VLOOKUP(T223,REPS!$A$2:$D$40,2,0),""))</f>
        <v/>
      </c>
      <c r="V223" s="31" t="str">
        <f aca="false">IF(O223="","",IF(U223="",0,O223*IF(U223&gt;1,U223/100,U223)))</f>
        <v/>
      </c>
      <c r="W223" s="28"/>
      <c r="X223" s="34" t="str">
        <f aca="false">IF(W223="","",IFERROR(VLOOKUP(W223,REPS!$A$2:$D$40,3,0),""))</f>
        <v/>
      </c>
      <c r="Y223" s="31" t="str">
        <f aca="false">IF(O223="","",IF(X223="",0,O223*IF(X223&gt;1,X223/100,X223)))</f>
        <v/>
      </c>
      <c r="Z223" s="28"/>
      <c r="AA223" s="34" t="str">
        <f aca="false">IF(Z223="","",IFERROR(VLOOKUP(Z223,REPS!$A$2:$D$40,4,0),""))</f>
        <v/>
      </c>
      <c r="AB223" s="31" t="str">
        <f aca="false">IF(O223="","",IF(AA223="",0,O223*IF(AA223&gt;1,AA223/100,AA223)))</f>
        <v/>
      </c>
      <c r="AC223" s="31" t="str">
        <f aca="false">IF(O223="","",V223+Y223+AB223)</f>
        <v/>
      </c>
      <c r="AD223" s="19" t="str">
        <f aca="false">IF(O223="","",O223-R223-AC223)</f>
        <v/>
      </c>
      <c r="AE223" s="20"/>
      <c r="AF223" s="27"/>
      <c r="AG223" s="21" t="n">
        <f aca="false">IF(OR(AE223="",AE223=0),0,AE223*IF(U223="",0,IF(U223&gt;1,U223/100,U223)))</f>
        <v>0</v>
      </c>
      <c r="AH223" s="21" t="n">
        <f aca="false">IF(OR(AE223="",AE223=0),0,AE223*IF(X223="",0,IF(X223&gt;1,X223/100,X223)))</f>
        <v>0</v>
      </c>
      <c r="AI223" s="21" t="n">
        <f aca="false">IF(OR(AE223="",AE223=0),0,AE223*IF(AA223="",0,IF(AA223&gt;1,AA223/100,AA223)))</f>
        <v>0</v>
      </c>
      <c r="AJ223" s="21" t="n">
        <f aca="false">AG223+AH223+AI223</f>
        <v>0</v>
      </c>
      <c r="AK223" s="21" t="n">
        <f aca="false">IF(OR(AE223="",AE223=0),0,AE223-AJ223)</f>
        <v>0</v>
      </c>
      <c r="AL223" s="19" t="str">
        <f aca="false">IF(AD223="","",AD223-AK223)</f>
        <v/>
      </c>
      <c r="AM223" s="26" t="str">
        <f aca="false">IF(C223="","","Waiting for payment")</f>
        <v/>
      </c>
      <c r="AN223" s="27"/>
      <c r="AO223" s="27"/>
      <c r="AP223" s="35" t="str">
        <f aca="false">IF(OR(C223="",I223="",K223=""),"",IF(K223="Monthly",EDATE(C223,ROUND(I223*SETTINGS!$I$8,0)),WORKDAY(C223,ROUND(I223*SETTINGS!$I$8,0))))</f>
        <v/>
      </c>
      <c r="AQ223" s="26" t="str">
        <f aca="true">IF(C223="","",IF(AND(AP223&lt;&gt;"",TODAY()&gt;=AP223),"Refi Ready",IF(TODAY()-C223&gt;=SETTINGS!$I$11,"Prospecting","Performing")))</f>
        <v/>
      </c>
      <c r="AR223" s="35" t="str">
        <f aca="false">IF(OR(C223="",I223="",K223=""),"",IF(K223="Monthly",EDATE(C223,I223),WORKDAY(C223,I223)))</f>
        <v/>
      </c>
      <c r="AS223" s="28"/>
      <c r="AT223" s="36" t="str">
        <f aca="true">IF(C223="","",IF(AM223="Clawed Back","CLAWED",IF(TODAY()&lt;=C223+SETTINGS!$I$2,"⚠ AT RISK","SAFE")))</f>
        <v/>
      </c>
      <c r="AU223" s="28"/>
      <c r="AW223" s="24" t="n">
        <f aca="false">AW222+IF(AND(C223&lt;&gt;"",AO223&lt;&gt;"",OR('REP COMMISSION'!$B$3="",T223='REP COMMISSION'!$B$3,W223='REP COMMISSION'!$B$3,Z223='REP COMMISSION'!$B$3)),1,0)</f>
        <v>0</v>
      </c>
      <c r="AX223" s="24" t="n">
        <f aca="false">AX222+IF(AND(C223&lt;&gt;"",OR(F223="LOC - INITIAL",F223="CONSOLIDATION - UPFRONT COMM",F223="REVERSE - TOTAL FUNDING")),1,0)</f>
        <v>0</v>
      </c>
    </row>
    <row r="224" customFormat="false" ht="15" hidden="false" customHeight="false" outlineLevel="0" collapsed="false">
      <c r="A224" s="8" t="str">
        <f aca="false">IF(C224&lt;&gt;"","F"&amp;COUNT($C$4:C224),"")</f>
        <v/>
      </c>
      <c r="B224" s="9" t="str">
        <f aca="false">IF(OR(F224="LOC - INITIAL",F224="CONSOLIDATION - UPFRONT COMM",F224="REVERSE - TOTAL FUNDING"),A224,"")</f>
        <v/>
      </c>
      <c r="C224" s="10"/>
      <c r="D224" s="11"/>
      <c r="E224" s="11"/>
      <c r="F224" s="11"/>
      <c r="G224" s="12"/>
      <c r="H224" s="13"/>
      <c r="I224" s="11"/>
      <c r="J224" s="14" t="str">
        <f aca="false">IF(AND(G224&lt;&gt;"",H224&lt;&gt;""),G224*H224,"")</f>
        <v/>
      </c>
      <c r="K224" s="11"/>
      <c r="L224" s="15"/>
      <c r="M224" s="15"/>
      <c r="N224" s="14" t="n">
        <f aca="false">IF(OR(G224="",M224=""),0,IF(M224&gt;100,M224,G224*IF(M224&gt;1,M224/100,M224)))</f>
        <v>0</v>
      </c>
      <c r="O224" s="14" t="str">
        <f aca="false">IF(G224="","",G224*IF(L224="",0,IF(L224&gt;1,L224/100,L224))+N224)</f>
        <v/>
      </c>
      <c r="P224" s="11"/>
      <c r="Q224" s="16" t="str">
        <f aca="false">IF(P224="","",IFERROR(VLOOKUP(P224,PARTNERS!$A$2:$B$30,2,0),""))</f>
        <v/>
      </c>
      <c r="R224" s="17" t="str">
        <f aca="false">IF(O224="","",IF(OR(P224="",Q224=""),0,(O224-N224)*IF(Q224&gt;1,Q224/100,Q224)))</f>
        <v/>
      </c>
      <c r="S224" s="14" t="str">
        <f aca="false">IF(O224="","",O224-R224)</f>
        <v/>
      </c>
      <c r="T224" s="11"/>
      <c r="U224" s="18" t="str">
        <f aca="false">IF(T224="","",IFERROR(VLOOKUP(T224,REPS!$A$2:$D$40,2,0),""))</f>
        <v/>
      </c>
      <c r="V224" s="14" t="str">
        <f aca="false">IF(O224="","",IF(U224="",0,O224*IF(U224&gt;1,U224/100,U224)))</f>
        <v/>
      </c>
      <c r="W224" s="11"/>
      <c r="X224" s="18" t="str">
        <f aca="false">IF(W224="","",IFERROR(VLOOKUP(W224,REPS!$A$2:$D$40,3,0),""))</f>
        <v/>
      </c>
      <c r="Y224" s="14" t="str">
        <f aca="false">IF(O224="","",IF(X224="",0,O224*IF(X224&gt;1,X224/100,X224)))</f>
        <v/>
      </c>
      <c r="Z224" s="11"/>
      <c r="AA224" s="18" t="str">
        <f aca="false">IF(Z224="","",IFERROR(VLOOKUP(Z224,REPS!$A$2:$D$40,4,0),""))</f>
        <v/>
      </c>
      <c r="AB224" s="14" t="str">
        <f aca="false">IF(O224="","",IF(AA224="",0,O224*IF(AA224&gt;1,AA224/100,AA224)))</f>
        <v/>
      </c>
      <c r="AC224" s="14" t="str">
        <f aca="false">IF(O224="","",V224+Y224+AB224)</f>
        <v/>
      </c>
      <c r="AD224" s="19" t="str">
        <f aca="false">IF(O224="","",O224-R224-AC224)</f>
        <v/>
      </c>
      <c r="AE224" s="20"/>
      <c r="AF224" s="10"/>
      <c r="AG224" s="21" t="n">
        <f aca="false">IF(OR(AE224="",AE224=0),0,AE224*IF(U224="",0,IF(U224&gt;1,U224/100,U224)))</f>
        <v>0</v>
      </c>
      <c r="AH224" s="21" t="n">
        <f aca="false">IF(OR(AE224="",AE224=0),0,AE224*IF(X224="",0,IF(X224&gt;1,X224/100,X224)))</f>
        <v>0</v>
      </c>
      <c r="AI224" s="21" t="n">
        <f aca="false">IF(OR(AE224="",AE224=0),0,AE224*IF(AA224="",0,IF(AA224&gt;1,AA224/100,AA224)))</f>
        <v>0</v>
      </c>
      <c r="AJ224" s="21" t="n">
        <f aca="false">AG224+AH224+AI224</f>
        <v>0</v>
      </c>
      <c r="AK224" s="21" t="n">
        <f aca="false">IF(OR(AE224="",AE224=0),0,AE224-AJ224)</f>
        <v>0</v>
      </c>
      <c r="AL224" s="19" t="str">
        <f aca="false">IF(AD224="","",AD224-AK224)</f>
        <v/>
      </c>
      <c r="AM224" s="9" t="str">
        <f aca="false">IF(C224="","","Waiting for payment")</f>
        <v/>
      </c>
      <c r="AN224" s="10"/>
      <c r="AO224" s="10"/>
      <c r="AP224" s="22" t="str">
        <f aca="false">IF(OR(C224="",I224="",K224=""),"",IF(K224="Monthly",EDATE(C224,ROUND(I224*SETTINGS!$I$8,0)),WORKDAY(C224,ROUND(I224*SETTINGS!$I$8,0))))</f>
        <v/>
      </c>
      <c r="AQ224" s="9" t="str">
        <f aca="true">IF(C224="","",IF(AND(AP224&lt;&gt;"",TODAY()&gt;=AP224),"Refi Ready",IF(TODAY()-C224&gt;=SETTINGS!$I$11,"Prospecting","Performing")))</f>
        <v/>
      </c>
      <c r="AR224" s="22" t="str">
        <f aca="false">IF(OR(C224="",I224="",K224=""),"",IF(K224="Monthly",EDATE(C224,I224),WORKDAY(C224,I224)))</f>
        <v/>
      </c>
      <c r="AS224" s="11"/>
      <c r="AT224" s="23" t="str">
        <f aca="true">IF(C224="","",IF(AM224="Clawed Back","CLAWED",IF(TODAY()&lt;=C224+SETTINGS!$I$2,"⚠ AT RISK","SAFE")))</f>
        <v/>
      </c>
      <c r="AU224" s="11"/>
      <c r="AW224" s="24" t="n">
        <f aca="false">AW223+IF(AND(C224&lt;&gt;"",AO224&lt;&gt;"",OR('REP COMMISSION'!$B$3="",T224='REP COMMISSION'!$B$3,W224='REP COMMISSION'!$B$3,Z224='REP COMMISSION'!$B$3)),1,0)</f>
        <v>0</v>
      </c>
      <c r="AX224" s="24" t="n">
        <f aca="false">AX223+IF(AND(C224&lt;&gt;"",OR(F224="LOC - INITIAL",F224="CONSOLIDATION - UPFRONT COMM",F224="REVERSE - TOTAL FUNDING")),1,0)</f>
        <v>0</v>
      </c>
    </row>
    <row r="225" customFormat="false" ht="15" hidden="false" customHeight="false" outlineLevel="0" collapsed="false">
      <c r="A225" s="25" t="str">
        <f aca="false">IF(C225&lt;&gt;"","F"&amp;COUNT($C$4:C225),"")</f>
        <v/>
      </c>
      <c r="B225" s="26" t="str">
        <f aca="false">IF(OR(F225="LOC - INITIAL",F225="CONSOLIDATION - UPFRONT COMM",F225="REVERSE - TOTAL FUNDING"),A225,"")</f>
        <v/>
      </c>
      <c r="C225" s="27"/>
      <c r="D225" s="28"/>
      <c r="E225" s="28"/>
      <c r="F225" s="28"/>
      <c r="G225" s="29"/>
      <c r="H225" s="30"/>
      <c r="I225" s="28"/>
      <c r="J225" s="31" t="str">
        <f aca="false">IF(AND(G225&lt;&gt;"",H225&lt;&gt;""),G225*H225,"")</f>
        <v/>
      </c>
      <c r="K225" s="28"/>
      <c r="L225" s="32"/>
      <c r="M225" s="32"/>
      <c r="N225" s="31" t="n">
        <f aca="false">IF(OR(G225="",M225=""),0,IF(M225&gt;100,M225,G225*IF(M225&gt;1,M225/100,M225)))</f>
        <v>0</v>
      </c>
      <c r="O225" s="31" t="str">
        <f aca="false">IF(G225="","",G225*IF(L225="",0,IF(L225&gt;1,L225/100,L225))+N225)</f>
        <v/>
      </c>
      <c r="P225" s="28"/>
      <c r="Q225" s="33" t="str">
        <f aca="false">IF(P225="","",IFERROR(VLOOKUP(P225,PARTNERS!$A$2:$B$30,2,0),""))</f>
        <v/>
      </c>
      <c r="R225" s="17" t="str">
        <f aca="false">IF(O225="","",IF(OR(P225="",Q225=""),0,(O225-N225)*IF(Q225&gt;1,Q225/100,Q225)))</f>
        <v/>
      </c>
      <c r="S225" s="31" t="str">
        <f aca="false">IF(O225="","",O225-R225)</f>
        <v/>
      </c>
      <c r="T225" s="28"/>
      <c r="U225" s="34" t="str">
        <f aca="false">IF(T225="","",IFERROR(VLOOKUP(T225,REPS!$A$2:$D$40,2,0),""))</f>
        <v/>
      </c>
      <c r="V225" s="31" t="str">
        <f aca="false">IF(O225="","",IF(U225="",0,O225*IF(U225&gt;1,U225/100,U225)))</f>
        <v/>
      </c>
      <c r="W225" s="28"/>
      <c r="X225" s="34" t="str">
        <f aca="false">IF(W225="","",IFERROR(VLOOKUP(W225,REPS!$A$2:$D$40,3,0),""))</f>
        <v/>
      </c>
      <c r="Y225" s="31" t="str">
        <f aca="false">IF(O225="","",IF(X225="",0,O225*IF(X225&gt;1,X225/100,X225)))</f>
        <v/>
      </c>
      <c r="Z225" s="28"/>
      <c r="AA225" s="34" t="str">
        <f aca="false">IF(Z225="","",IFERROR(VLOOKUP(Z225,REPS!$A$2:$D$40,4,0),""))</f>
        <v/>
      </c>
      <c r="AB225" s="31" t="str">
        <f aca="false">IF(O225="","",IF(AA225="",0,O225*IF(AA225&gt;1,AA225/100,AA225)))</f>
        <v/>
      </c>
      <c r="AC225" s="31" t="str">
        <f aca="false">IF(O225="","",V225+Y225+AB225)</f>
        <v/>
      </c>
      <c r="AD225" s="19" t="str">
        <f aca="false">IF(O225="","",O225-R225-AC225)</f>
        <v/>
      </c>
      <c r="AE225" s="20"/>
      <c r="AF225" s="27"/>
      <c r="AG225" s="21" t="n">
        <f aca="false">IF(OR(AE225="",AE225=0),0,AE225*IF(U225="",0,IF(U225&gt;1,U225/100,U225)))</f>
        <v>0</v>
      </c>
      <c r="AH225" s="21" t="n">
        <f aca="false">IF(OR(AE225="",AE225=0),0,AE225*IF(X225="",0,IF(X225&gt;1,X225/100,X225)))</f>
        <v>0</v>
      </c>
      <c r="AI225" s="21" t="n">
        <f aca="false">IF(OR(AE225="",AE225=0),0,AE225*IF(AA225="",0,IF(AA225&gt;1,AA225/100,AA225)))</f>
        <v>0</v>
      </c>
      <c r="AJ225" s="21" t="n">
        <f aca="false">AG225+AH225+AI225</f>
        <v>0</v>
      </c>
      <c r="AK225" s="21" t="n">
        <f aca="false">IF(OR(AE225="",AE225=0),0,AE225-AJ225)</f>
        <v>0</v>
      </c>
      <c r="AL225" s="19" t="str">
        <f aca="false">IF(AD225="","",AD225-AK225)</f>
        <v/>
      </c>
      <c r="AM225" s="26" t="str">
        <f aca="false">IF(C225="","","Waiting for payment")</f>
        <v/>
      </c>
      <c r="AN225" s="27"/>
      <c r="AO225" s="27"/>
      <c r="AP225" s="35" t="str">
        <f aca="false">IF(OR(C225="",I225="",K225=""),"",IF(K225="Monthly",EDATE(C225,ROUND(I225*SETTINGS!$I$8,0)),WORKDAY(C225,ROUND(I225*SETTINGS!$I$8,0))))</f>
        <v/>
      </c>
      <c r="AQ225" s="26" t="str">
        <f aca="true">IF(C225="","",IF(AND(AP225&lt;&gt;"",TODAY()&gt;=AP225),"Refi Ready",IF(TODAY()-C225&gt;=SETTINGS!$I$11,"Prospecting","Performing")))</f>
        <v/>
      </c>
      <c r="AR225" s="35" t="str">
        <f aca="false">IF(OR(C225="",I225="",K225=""),"",IF(K225="Monthly",EDATE(C225,I225),WORKDAY(C225,I225)))</f>
        <v/>
      </c>
      <c r="AS225" s="28"/>
      <c r="AT225" s="36" t="str">
        <f aca="true">IF(C225="","",IF(AM225="Clawed Back","CLAWED",IF(TODAY()&lt;=C225+SETTINGS!$I$2,"⚠ AT RISK","SAFE")))</f>
        <v/>
      </c>
      <c r="AU225" s="28"/>
      <c r="AW225" s="24" t="n">
        <f aca="false">AW224+IF(AND(C225&lt;&gt;"",AO225&lt;&gt;"",OR('REP COMMISSION'!$B$3="",T225='REP COMMISSION'!$B$3,W225='REP COMMISSION'!$B$3,Z225='REP COMMISSION'!$B$3)),1,0)</f>
        <v>0</v>
      </c>
      <c r="AX225" s="24" t="n">
        <f aca="false">AX224+IF(AND(C225&lt;&gt;"",OR(F225="LOC - INITIAL",F225="CONSOLIDATION - UPFRONT COMM",F225="REVERSE - TOTAL FUNDING")),1,0)</f>
        <v>0</v>
      </c>
    </row>
    <row r="226" customFormat="false" ht="15" hidden="false" customHeight="false" outlineLevel="0" collapsed="false">
      <c r="A226" s="8" t="str">
        <f aca="false">IF(C226&lt;&gt;"","F"&amp;COUNT($C$4:C226),"")</f>
        <v/>
      </c>
      <c r="B226" s="9" t="str">
        <f aca="false">IF(OR(F226="LOC - INITIAL",F226="CONSOLIDATION - UPFRONT COMM",F226="REVERSE - TOTAL FUNDING"),A226,"")</f>
        <v/>
      </c>
      <c r="C226" s="10"/>
      <c r="D226" s="11"/>
      <c r="E226" s="11"/>
      <c r="F226" s="11"/>
      <c r="G226" s="12"/>
      <c r="H226" s="13"/>
      <c r="I226" s="11"/>
      <c r="J226" s="14" t="str">
        <f aca="false">IF(AND(G226&lt;&gt;"",H226&lt;&gt;""),G226*H226,"")</f>
        <v/>
      </c>
      <c r="K226" s="11"/>
      <c r="L226" s="15"/>
      <c r="M226" s="15"/>
      <c r="N226" s="14" t="n">
        <f aca="false">IF(OR(G226="",M226=""),0,IF(M226&gt;100,M226,G226*IF(M226&gt;1,M226/100,M226)))</f>
        <v>0</v>
      </c>
      <c r="O226" s="14" t="str">
        <f aca="false">IF(G226="","",G226*IF(L226="",0,IF(L226&gt;1,L226/100,L226))+N226)</f>
        <v/>
      </c>
      <c r="P226" s="11"/>
      <c r="Q226" s="16" t="str">
        <f aca="false">IF(P226="","",IFERROR(VLOOKUP(P226,PARTNERS!$A$2:$B$30,2,0),""))</f>
        <v/>
      </c>
      <c r="R226" s="17" t="str">
        <f aca="false">IF(O226="","",IF(OR(P226="",Q226=""),0,(O226-N226)*IF(Q226&gt;1,Q226/100,Q226)))</f>
        <v/>
      </c>
      <c r="S226" s="14" t="str">
        <f aca="false">IF(O226="","",O226-R226)</f>
        <v/>
      </c>
      <c r="T226" s="11"/>
      <c r="U226" s="18" t="str">
        <f aca="false">IF(T226="","",IFERROR(VLOOKUP(T226,REPS!$A$2:$D$40,2,0),""))</f>
        <v/>
      </c>
      <c r="V226" s="14" t="str">
        <f aca="false">IF(O226="","",IF(U226="",0,O226*IF(U226&gt;1,U226/100,U226)))</f>
        <v/>
      </c>
      <c r="W226" s="11"/>
      <c r="X226" s="18" t="str">
        <f aca="false">IF(W226="","",IFERROR(VLOOKUP(W226,REPS!$A$2:$D$40,3,0),""))</f>
        <v/>
      </c>
      <c r="Y226" s="14" t="str">
        <f aca="false">IF(O226="","",IF(X226="",0,O226*IF(X226&gt;1,X226/100,X226)))</f>
        <v/>
      </c>
      <c r="Z226" s="11"/>
      <c r="AA226" s="18" t="str">
        <f aca="false">IF(Z226="","",IFERROR(VLOOKUP(Z226,REPS!$A$2:$D$40,4,0),""))</f>
        <v/>
      </c>
      <c r="AB226" s="14" t="str">
        <f aca="false">IF(O226="","",IF(AA226="",0,O226*IF(AA226&gt;1,AA226/100,AA226)))</f>
        <v/>
      </c>
      <c r="AC226" s="14" t="str">
        <f aca="false">IF(O226="","",V226+Y226+AB226)</f>
        <v/>
      </c>
      <c r="AD226" s="19" t="str">
        <f aca="false">IF(O226="","",O226-R226-AC226)</f>
        <v/>
      </c>
      <c r="AE226" s="20"/>
      <c r="AF226" s="10"/>
      <c r="AG226" s="21" t="n">
        <f aca="false">IF(OR(AE226="",AE226=0),0,AE226*IF(U226="",0,IF(U226&gt;1,U226/100,U226)))</f>
        <v>0</v>
      </c>
      <c r="AH226" s="21" t="n">
        <f aca="false">IF(OR(AE226="",AE226=0),0,AE226*IF(X226="",0,IF(X226&gt;1,X226/100,X226)))</f>
        <v>0</v>
      </c>
      <c r="AI226" s="21" t="n">
        <f aca="false">IF(OR(AE226="",AE226=0),0,AE226*IF(AA226="",0,IF(AA226&gt;1,AA226/100,AA226)))</f>
        <v>0</v>
      </c>
      <c r="AJ226" s="21" t="n">
        <f aca="false">AG226+AH226+AI226</f>
        <v>0</v>
      </c>
      <c r="AK226" s="21" t="n">
        <f aca="false">IF(OR(AE226="",AE226=0),0,AE226-AJ226)</f>
        <v>0</v>
      </c>
      <c r="AL226" s="19" t="str">
        <f aca="false">IF(AD226="","",AD226-AK226)</f>
        <v/>
      </c>
      <c r="AM226" s="9" t="str">
        <f aca="false">IF(C226="","","Waiting for payment")</f>
        <v/>
      </c>
      <c r="AN226" s="10"/>
      <c r="AO226" s="10"/>
      <c r="AP226" s="22" t="str">
        <f aca="false">IF(OR(C226="",I226="",K226=""),"",IF(K226="Monthly",EDATE(C226,ROUND(I226*SETTINGS!$I$8,0)),WORKDAY(C226,ROUND(I226*SETTINGS!$I$8,0))))</f>
        <v/>
      </c>
      <c r="AQ226" s="9" t="str">
        <f aca="true">IF(C226="","",IF(AND(AP226&lt;&gt;"",TODAY()&gt;=AP226),"Refi Ready",IF(TODAY()-C226&gt;=SETTINGS!$I$11,"Prospecting","Performing")))</f>
        <v/>
      </c>
      <c r="AR226" s="22" t="str">
        <f aca="false">IF(OR(C226="",I226="",K226=""),"",IF(K226="Monthly",EDATE(C226,I226),WORKDAY(C226,I226)))</f>
        <v/>
      </c>
      <c r="AS226" s="11"/>
      <c r="AT226" s="23" t="str">
        <f aca="true">IF(C226="","",IF(AM226="Clawed Back","CLAWED",IF(TODAY()&lt;=C226+SETTINGS!$I$2,"⚠ AT RISK","SAFE")))</f>
        <v/>
      </c>
      <c r="AU226" s="11"/>
      <c r="AW226" s="24" t="n">
        <f aca="false">AW225+IF(AND(C226&lt;&gt;"",AO226&lt;&gt;"",OR('REP COMMISSION'!$B$3="",T226='REP COMMISSION'!$B$3,W226='REP COMMISSION'!$B$3,Z226='REP COMMISSION'!$B$3)),1,0)</f>
        <v>0</v>
      </c>
      <c r="AX226" s="24" t="n">
        <f aca="false">AX225+IF(AND(C226&lt;&gt;"",OR(F226="LOC - INITIAL",F226="CONSOLIDATION - UPFRONT COMM",F226="REVERSE - TOTAL FUNDING")),1,0)</f>
        <v>0</v>
      </c>
    </row>
    <row r="227" customFormat="false" ht="15" hidden="false" customHeight="false" outlineLevel="0" collapsed="false">
      <c r="A227" s="25" t="str">
        <f aca="false">IF(C227&lt;&gt;"","F"&amp;COUNT($C$4:C227),"")</f>
        <v/>
      </c>
      <c r="B227" s="26" t="str">
        <f aca="false">IF(OR(F227="LOC - INITIAL",F227="CONSOLIDATION - UPFRONT COMM",F227="REVERSE - TOTAL FUNDING"),A227,"")</f>
        <v/>
      </c>
      <c r="C227" s="27"/>
      <c r="D227" s="28"/>
      <c r="E227" s="28"/>
      <c r="F227" s="28"/>
      <c r="G227" s="29"/>
      <c r="H227" s="30"/>
      <c r="I227" s="28"/>
      <c r="J227" s="31" t="str">
        <f aca="false">IF(AND(G227&lt;&gt;"",H227&lt;&gt;""),G227*H227,"")</f>
        <v/>
      </c>
      <c r="K227" s="28"/>
      <c r="L227" s="32"/>
      <c r="M227" s="32"/>
      <c r="N227" s="31" t="n">
        <f aca="false">IF(OR(G227="",M227=""),0,IF(M227&gt;100,M227,G227*IF(M227&gt;1,M227/100,M227)))</f>
        <v>0</v>
      </c>
      <c r="O227" s="31" t="str">
        <f aca="false">IF(G227="","",G227*IF(L227="",0,IF(L227&gt;1,L227/100,L227))+N227)</f>
        <v/>
      </c>
      <c r="P227" s="28"/>
      <c r="Q227" s="33" t="str">
        <f aca="false">IF(P227="","",IFERROR(VLOOKUP(P227,PARTNERS!$A$2:$B$30,2,0),""))</f>
        <v/>
      </c>
      <c r="R227" s="17" t="str">
        <f aca="false">IF(O227="","",IF(OR(P227="",Q227=""),0,(O227-N227)*IF(Q227&gt;1,Q227/100,Q227)))</f>
        <v/>
      </c>
      <c r="S227" s="31" t="str">
        <f aca="false">IF(O227="","",O227-R227)</f>
        <v/>
      </c>
      <c r="T227" s="28"/>
      <c r="U227" s="34" t="str">
        <f aca="false">IF(T227="","",IFERROR(VLOOKUP(T227,REPS!$A$2:$D$40,2,0),""))</f>
        <v/>
      </c>
      <c r="V227" s="31" t="str">
        <f aca="false">IF(O227="","",IF(U227="",0,O227*IF(U227&gt;1,U227/100,U227)))</f>
        <v/>
      </c>
      <c r="W227" s="28"/>
      <c r="X227" s="34" t="str">
        <f aca="false">IF(W227="","",IFERROR(VLOOKUP(W227,REPS!$A$2:$D$40,3,0),""))</f>
        <v/>
      </c>
      <c r="Y227" s="31" t="str">
        <f aca="false">IF(O227="","",IF(X227="",0,O227*IF(X227&gt;1,X227/100,X227)))</f>
        <v/>
      </c>
      <c r="Z227" s="28"/>
      <c r="AA227" s="34" t="str">
        <f aca="false">IF(Z227="","",IFERROR(VLOOKUP(Z227,REPS!$A$2:$D$40,4,0),""))</f>
        <v/>
      </c>
      <c r="AB227" s="31" t="str">
        <f aca="false">IF(O227="","",IF(AA227="",0,O227*IF(AA227&gt;1,AA227/100,AA227)))</f>
        <v/>
      </c>
      <c r="AC227" s="31" t="str">
        <f aca="false">IF(O227="","",V227+Y227+AB227)</f>
        <v/>
      </c>
      <c r="AD227" s="19" t="str">
        <f aca="false">IF(O227="","",O227-R227-AC227)</f>
        <v/>
      </c>
      <c r="AE227" s="20"/>
      <c r="AF227" s="27"/>
      <c r="AG227" s="21" t="n">
        <f aca="false">IF(OR(AE227="",AE227=0),0,AE227*IF(U227="",0,IF(U227&gt;1,U227/100,U227)))</f>
        <v>0</v>
      </c>
      <c r="AH227" s="21" t="n">
        <f aca="false">IF(OR(AE227="",AE227=0),0,AE227*IF(X227="",0,IF(X227&gt;1,X227/100,X227)))</f>
        <v>0</v>
      </c>
      <c r="AI227" s="21" t="n">
        <f aca="false">IF(OR(AE227="",AE227=0),0,AE227*IF(AA227="",0,IF(AA227&gt;1,AA227/100,AA227)))</f>
        <v>0</v>
      </c>
      <c r="AJ227" s="21" t="n">
        <f aca="false">AG227+AH227+AI227</f>
        <v>0</v>
      </c>
      <c r="AK227" s="21" t="n">
        <f aca="false">IF(OR(AE227="",AE227=0),0,AE227-AJ227)</f>
        <v>0</v>
      </c>
      <c r="AL227" s="19" t="str">
        <f aca="false">IF(AD227="","",AD227-AK227)</f>
        <v/>
      </c>
      <c r="AM227" s="26" t="str">
        <f aca="false">IF(C227="","","Waiting for payment")</f>
        <v/>
      </c>
      <c r="AN227" s="27"/>
      <c r="AO227" s="27"/>
      <c r="AP227" s="35" t="str">
        <f aca="false">IF(OR(C227="",I227="",K227=""),"",IF(K227="Monthly",EDATE(C227,ROUND(I227*SETTINGS!$I$8,0)),WORKDAY(C227,ROUND(I227*SETTINGS!$I$8,0))))</f>
        <v/>
      </c>
      <c r="AQ227" s="26" t="str">
        <f aca="true">IF(C227="","",IF(AND(AP227&lt;&gt;"",TODAY()&gt;=AP227),"Refi Ready",IF(TODAY()-C227&gt;=SETTINGS!$I$11,"Prospecting","Performing")))</f>
        <v/>
      </c>
      <c r="AR227" s="35" t="str">
        <f aca="false">IF(OR(C227="",I227="",K227=""),"",IF(K227="Monthly",EDATE(C227,I227),WORKDAY(C227,I227)))</f>
        <v/>
      </c>
      <c r="AS227" s="28"/>
      <c r="AT227" s="36" t="str">
        <f aca="true">IF(C227="","",IF(AM227="Clawed Back","CLAWED",IF(TODAY()&lt;=C227+SETTINGS!$I$2,"⚠ AT RISK","SAFE")))</f>
        <v/>
      </c>
      <c r="AU227" s="28"/>
      <c r="AW227" s="24" t="n">
        <f aca="false">AW226+IF(AND(C227&lt;&gt;"",AO227&lt;&gt;"",OR('REP COMMISSION'!$B$3="",T227='REP COMMISSION'!$B$3,W227='REP COMMISSION'!$B$3,Z227='REP COMMISSION'!$B$3)),1,0)</f>
        <v>0</v>
      </c>
      <c r="AX227" s="24" t="n">
        <f aca="false">AX226+IF(AND(C227&lt;&gt;"",OR(F227="LOC - INITIAL",F227="CONSOLIDATION - UPFRONT COMM",F227="REVERSE - TOTAL FUNDING")),1,0)</f>
        <v>0</v>
      </c>
    </row>
    <row r="228" customFormat="false" ht="15" hidden="false" customHeight="false" outlineLevel="0" collapsed="false">
      <c r="A228" s="8" t="str">
        <f aca="false">IF(C228&lt;&gt;"","F"&amp;COUNT($C$4:C228),"")</f>
        <v/>
      </c>
      <c r="B228" s="9" t="str">
        <f aca="false">IF(OR(F228="LOC - INITIAL",F228="CONSOLIDATION - UPFRONT COMM",F228="REVERSE - TOTAL FUNDING"),A228,"")</f>
        <v/>
      </c>
      <c r="C228" s="10"/>
      <c r="D228" s="11"/>
      <c r="E228" s="11"/>
      <c r="F228" s="11"/>
      <c r="G228" s="12"/>
      <c r="H228" s="13"/>
      <c r="I228" s="11"/>
      <c r="J228" s="14" t="str">
        <f aca="false">IF(AND(G228&lt;&gt;"",H228&lt;&gt;""),G228*H228,"")</f>
        <v/>
      </c>
      <c r="K228" s="11"/>
      <c r="L228" s="15"/>
      <c r="M228" s="15"/>
      <c r="N228" s="14" t="n">
        <f aca="false">IF(OR(G228="",M228=""),0,IF(M228&gt;100,M228,G228*IF(M228&gt;1,M228/100,M228)))</f>
        <v>0</v>
      </c>
      <c r="O228" s="14" t="str">
        <f aca="false">IF(G228="","",G228*IF(L228="",0,IF(L228&gt;1,L228/100,L228))+N228)</f>
        <v/>
      </c>
      <c r="P228" s="11"/>
      <c r="Q228" s="16" t="str">
        <f aca="false">IF(P228="","",IFERROR(VLOOKUP(P228,PARTNERS!$A$2:$B$30,2,0),""))</f>
        <v/>
      </c>
      <c r="R228" s="17" t="str">
        <f aca="false">IF(O228="","",IF(OR(P228="",Q228=""),0,(O228-N228)*IF(Q228&gt;1,Q228/100,Q228)))</f>
        <v/>
      </c>
      <c r="S228" s="14" t="str">
        <f aca="false">IF(O228="","",O228-R228)</f>
        <v/>
      </c>
      <c r="T228" s="11"/>
      <c r="U228" s="18" t="str">
        <f aca="false">IF(T228="","",IFERROR(VLOOKUP(T228,REPS!$A$2:$D$40,2,0),""))</f>
        <v/>
      </c>
      <c r="V228" s="14" t="str">
        <f aca="false">IF(O228="","",IF(U228="",0,O228*IF(U228&gt;1,U228/100,U228)))</f>
        <v/>
      </c>
      <c r="W228" s="11"/>
      <c r="X228" s="18" t="str">
        <f aca="false">IF(W228="","",IFERROR(VLOOKUP(W228,REPS!$A$2:$D$40,3,0),""))</f>
        <v/>
      </c>
      <c r="Y228" s="14" t="str">
        <f aca="false">IF(O228="","",IF(X228="",0,O228*IF(X228&gt;1,X228/100,X228)))</f>
        <v/>
      </c>
      <c r="Z228" s="11"/>
      <c r="AA228" s="18" t="str">
        <f aca="false">IF(Z228="","",IFERROR(VLOOKUP(Z228,REPS!$A$2:$D$40,4,0),""))</f>
        <v/>
      </c>
      <c r="AB228" s="14" t="str">
        <f aca="false">IF(O228="","",IF(AA228="",0,O228*IF(AA228&gt;1,AA228/100,AA228)))</f>
        <v/>
      </c>
      <c r="AC228" s="14" t="str">
        <f aca="false">IF(O228="","",V228+Y228+AB228)</f>
        <v/>
      </c>
      <c r="AD228" s="19" t="str">
        <f aca="false">IF(O228="","",O228-R228-AC228)</f>
        <v/>
      </c>
      <c r="AE228" s="20"/>
      <c r="AF228" s="10"/>
      <c r="AG228" s="21" t="n">
        <f aca="false">IF(OR(AE228="",AE228=0),0,AE228*IF(U228="",0,IF(U228&gt;1,U228/100,U228)))</f>
        <v>0</v>
      </c>
      <c r="AH228" s="21" t="n">
        <f aca="false">IF(OR(AE228="",AE228=0),0,AE228*IF(X228="",0,IF(X228&gt;1,X228/100,X228)))</f>
        <v>0</v>
      </c>
      <c r="AI228" s="21" t="n">
        <f aca="false">IF(OR(AE228="",AE228=0),0,AE228*IF(AA228="",0,IF(AA228&gt;1,AA228/100,AA228)))</f>
        <v>0</v>
      </c>
      <c r="AJ228" s="21" t="n">
        <f aca="false">AG228+AH228+AI228</f>
        <v>0</v>
      </c>
      <c r="AK228" s="21" t="n">
        <f aca="false">IF(OR(AE228="",AE228=0),0,AE228-AJ228)</f>
        <v>0</v>
      </c>
      <c r="AL228" s="19" t="str">
        <f aca="false">IF(AD228="","",AD228-AK228)</f>
        <v/>
      </c>
      <c r="AM228" s="9" t="str">
        <f aca="false">IF(C228="","","Waiting for payment")</f>
        <v/>
      </c>
      <c r="AN228" s="10"/>
      <c r="AO228" s="10"/>
      <c r="AP228" s="22" t="str">
        <f aca="false">IF(OR(C228="",I228="",K228=""),"",IF(K228="Monthly",EDATE(C228,ROUND(I228*SETTINGS!$I$8,0)),WORKDAY(C228,ROUND(I228*SETTINGS!$I$8,0))))</f>
        <v/>
      </c>
      <c r="AQ228" s="9" t="str">
        <f aca="true">IF(C228="","",IF(AND(AP228&lt;&gt;"",TODAY()&gt;=AP228),"Refi Ready",IF(TODAY()-C228&gt;=SETTINGS!$I$11,"Prospecting","Performing")))</f>
        <v/>
      </c>
      <c r="AR228" s="22" t="str">
        <f aca="false">IF(OR(C228="",I228="",K228=""),"",IF(K228="Monthly",EDATE(C228,I228),WORKDAY(C228,I228)))</f>
        <v/>
      </c>
      <c r="AS228" s="11"/>
      <c r="AT228" s="23" t="str">
        <f aca="true">IF(C228="","",IF(AM228="Clawed Back","CLAWED",IF(TODAY()&lt;=C228+SETTINGS!$I$2,"⚠ AT RISK","SAFE")))</f>
        <v/>
      </c>
      <c r="AU228" s="11"/>
      <c r="AW228" s="24" t="n">
        <f aca="false">AW227+IF(AND(C228&lt;&gt;"",AO228&lt;&gt;"",OR('REP COMMISSION'!$B$3="",T228='REP COMMISSION'!$B$3,W228='REP COMMISSION'!$B$3,Z228='REP COMMISSION'!$B$3)),1,0)</f>
        <v>0</v>
      </c>
      <c r="AX228" s="24" t="n">
        <f aca="false">AX227+IF(AND(C228&lt;&gt;"",OR(F228="LOC - INITIAL",F228="CONSOLIDATION - UPFRONT COMM",F228="REVERSE - TOTAL FUNDING")),1,0)</f>
        <v>0</v>
      </c>
    </row>
    <row r="229" customFormat="false" ht="15" hidden="false" customHeight="false" outlineLevel="0" collapsed="false">
      <c r="A229" s="25" t="str">
        <f aca="false">IF(C229&lt;&gt;"","F"&amp;COUNT($C$4:C229),"")</f>
        <v/>
      </c>
      <c r="B229" s="26" t="str">
        <f aca="false">IF(OR(F229="LOC - INITIAL",F229="CONSOLIDATION - UPFRONT COMM",F229="REVERSE - TOTAL FUNDING"),A229,"")</f>
        <v/>
      </c>
      <c r="C229" s="27"/>
      <c r="D229" s="28"/>
      <c r="E229" s="28"/>
      <c r="F229" s="28"/>
      <c r="G229" s="29"/>
      <c r="H229" s="30"/>
      <c r="I229" s="28"/>
      <c r="J229" s="31" t="str">
        <f aca="false">IF(AND(G229&lt;&gt;"",H229&lt;&gt;""),G229*H229,"")</f>
        <v/>
      </c>
      <c r="K229" s="28"/>
      <c r="L229" s="32"/>
      <c r="M229" s="32"/>
      <c r="N229" s="31" t="n">
        <f aca="false">IF(OR(G229="",M229=""),0,IF(M229&gt;100,M229,G229*IF(M229&gt;1,M229/100,M229)))</f>
        <v>0</v>
      </c>
      <c r="O229" s="31" t="str">
        <f aca="false">IF(G229="","",G229*IF(L229="",0,IF(L229&gt;1,L229/100,L229))+N229)</f>
        <v/>
      </c>
      <c r="P229" s="28"/>
      <c r="Q229" s="33" t="str">
        <f aca="false">IF(P229="","",IFERROR(VLOOKUP(P229,PARTNERS!$A$2:$B$30,2,0),""))</f>
        <v/>
      </c>
      <c r="R229" s="17" t="str">
        <f aca="false">IF(O229="","",IF(OR(P229="",Q229=""),0,(O229-N229)*IF(Q229&gt;1,Q229/100,Q229)))</f>
        <v/>
      </c>
      <c r="S229" s="31" t="str">
        <f aca="false">IF(O229="","",O229-R229)</f>
        <v/>
      </c>
      <c r="T229" s="28"/>
      <c r="U229" s="34" t="str">
        <f aca="false">IF(T229="","",IFERROR(VLOOKUP(T229,REPS!$A$2:$D$40,2,0),""))</f>
        <v/>
      </c>
      <c r="V229" s="31" t="str">
        <f aca="false">IF(O229="","",IF(U229="",0,O229*IF(U229&gt;1,U229/100,U229)))</f>
        <v/>
      </c>
      <c r="W229" s="28"/>
      <c r="X229" s="34" t="str">
        <f aca="false">IF(W229="","",IFERROR(VLOOKUP(W229,REPS!$A$2:$D$40,3,0),""))</f>
        <v/>
      </c>
      <c r="Y229" s="31" t="str">
        <f aca="false">IF(O229="","",IF(X229="",0,O229*IF(X229&gt;1,X229/100,X229)))</f>
        <v/>
      </c>
      <c r="Z229" s="28"/>
      <c r="AA229" s="34" t="str">
        <f aca="false">IF(Z229="","",IFERROR(VLOOKUP(Z229,REPS!$A$2:$D$40,4,0),""))</f>
        <v/>
      </c>
      <c r="AB229" s="31" t="str">
        <f aca="false">IF(O229="","",IF(AA229="",0,O229*IF(AA229&gt;1,AA229/100,AA229)))</f>
        <v/>
      </c>
      <c r="AC229" s="31" t="str">
        <f aca="false">IF(O229="","",V229+Y229+AB229)</f>
        <v/>
      </c>
      <c r="AD229" s="19" t="str">
        <f aca="false">IF(O229="","",O229-R229-AC229)</f>
        <v/>
      </c>
      <c r="AE229" s="20"/>
      <c r="AF229" s="27"/>
      <c r="AG229" s="21" t="n">
        <f aca="false">IF(OR(AE229="",AE229=0),0,AE229*IF(U229="",0,IF(U229&gt;1,U229/100,U229)))</f>
        <v>0</v>
      </c>
      <c r="AH229" s="21" t="n">
        <f aca="false">IF(OR(AE229="",AE229=0),0,AE229*IF(X229="",0,IF(X229&gt;1,X229/100,X229)))</f>
        <v>0</v>
      </c>
      <c r="AI229" s="21" t="n">
        <f aca="false">IF(OR(AE229="",AE229=0),0,AE229*IF(AA229="",0,IF(AA229&gt;1,AA229/100,AA229)))</f>
        <v>0</v>
      </c>
      <c r="AJ229" s="21" t="n">
        <f aca="false">AG229+AH229+AI229</f>
        <v>0</v>
      </c>
      <c r="AK229" s="21" t="n">
        <f aca="false">IF(OR(AE229="",AE229=0),0,AE229-AJ229)</f>
        <v>0</v>
      </c>
      <c r="AL229" s="19" t="str">
        <f aca="false">IF(AD229="","",AD229-AK229)</f>
        <v/>
      </c>
      <c r="AM229" s="26" t="str">
        <f aca="false">IF(C229="","","Waiting for payment")</f>
        <v/>
      </c>
      <c r="AN229" s="27"/>
      <c r="AO229" s="27"/>
      <c r="AP229" s="35" t="str">
        <f aca="false">IF(OR(C229="",I229="",K229=""),"",IF(K229="Monthly",EDATE(C229,ROUND(I229*SETTINGS!$I$8,0)),WORKDAY(C229,ROUND(I229*SETTINGS!$I$8,0))))</f>
        <v/>
      </c>
      <c r="AQ229" s="26" t="str">
        <f aca="true">IF(C229="","",IF(AND(AP229&lt;&gt;"",TODAY()&gt;=AP229),"Refi Ready",IF(TODAY()-C229&gt;=SETTINGS!$I$11,"Prospecting","Performing")))</f>
        <v/>
      </c>
      <c r="AR229" s="35" t="str">
        <f aca="false">IF(OR(C229="",I229="",K229=""),"",IF(K229="Monthly",EDATE(C229,I229),WORKDAY(C229,I229)))</f>
        <v/>
      </c>
      <c r="AS229" s="28"/>
      <c r="AT229" s="36" t="str">
        <f aca="true">IF(C229="","",IF(AM229="Clawed Back","CLAWED",IF(TODAY()&lt;=C229+SETTINGS!$I$2,"⚠ AT RISK","SAFE")))</f>
        <v/>
      </c>
      <c r="AU229" s="28"/>
      <c r="AW229" s="24" t="n">
        <f aca="false">AW228+IF(AND(C229&lt;&gt;"",AO229&lt;&gt;"",OR('REP COMMISSION'!$B$3="",T229='REP COMMISSION'!$B$3,W229='REP COMMISSION'!$B$3,Z229='REP COMMISSION'!$B$3)),1,0)</f>
        <v>0</v>
      </c>
      <c r="AX229" s="24" t="n">
        <f aca="false">AX228+IF(AND(C229&lt;&gt;"",OR(F229="LOC - INITIAL",F229="CONSOLIDATION - UPFRONT COMM",F229="REVERSE - TOTAL FUNDING")),1,0)</f>
        <v>0</v>
      </c>
    </row>
    <row r="230" customFormat="false" ht="15" hidden="false" customHeight="false" outlineLevel="0" collapsed="false">
      <c r="A230" s="8" t="str">
        <f aca="false">IF(C230&lt;&gt;"","F"&amp;COUNT($C$4:C230),"")</f>
        <v/>
      </c>
      <c r="B230" s="9" t="str">
        <f aca="false">IF(OR(F230="LOC - INITIAL",F230="CONSOLIDATION - UPFRONT COMM",F230="REVERSE - TOTAL FUNDING"),A230,"")</f>
        <v/>
      </c>
      <c r="C230" s="10"/>
      <c r="D230" s="11"/>
      <c r="E230" s="11"/>
      <c r="F230" s="11"/>
      <c r="G230" s="12"/>
      <c r="H230" s="13"/>
      <c r="I230" s="11"/>
      <c r="J230" s="14" t="str">
        <f aca="false">IF(AND(G230&lt;&gt;"",H230&lt;&gt;""),G230*H230,"")</f>
        <v/>
      </c>
      <c r="K230" s="11"/>
      <c r="L230" s="15"/>
      <c r="M230" s="15"/>
      <c r="N230" s="14" t="n">
        <f aca="false">IF(OR(G230="",M230=""),0,IF(M230&gt;100,M230,G230*IF(M230&gt;1,M230/100,M230)))</f>
        <v>0</v>
      </c>
      <c r="O230" s="14" t="str">
        <f aca="false">IF(G230="","",G230*IF(L230="",0,IF(L230&gt;1,L230/100,L230))+N230)</f>
        <v/>
      </c>
      <c r="P230" s="11"/>
      <c r="Q230" s="16" t="str">
        <f aca="false">IF(P230="","",IFERROR(VLOOKUP(P230,PARTNERS!$A$2:$B$30,2,0),""))</f>
        <v/>
      </c>
      <c r="R230" s="17" t="str">
        <f aca="false">IF(O230="","",IF(OR(P230="",Q230=""),0,(O230-N230)*IF(Q230&gt;1,Q230/100,Q230)))</f>
        <v/>
      </c>
      <c r="S230" s="14" t="str">
        <f aca="false">IF(O230="","",O230-R230)</f>
        <v/>
      </c>
      <c r="T230" s="11"/>
      <c r="U230" s="18" t="str">
        <f aca="false">IF(T230="","",IFERROR(VLOOKUP(T230,REPS!$A$2:$D$40,2,0),""))</f>
        <v/>
      </c>
      <c r="V230" s="14" t="str">
        <f aca="false">IF(O230="","",IF(U230="",0,O230*IF(U230&gt;1,U230/100,U230)))</f>
        <v/>
      </c>
      <c r="W230" s="11"/>
      <c r="X230" s="18" t="str">
        <f aca="false">IF(W230="","",IFERROR(VLOOKUP(W230,REPS!$A$2:$D$40,3,0),""))</f>
        <v/>
      </c>
      <c r="Y230" s="14" t="str">
        <f aca="false">IF(O230="","",IF(X230="",0,O230*IF(X230&gt;1,X230/100,X230)))</f>
        <v/>
      </c>
      <c r="Z230" s="11"/>
      <c r="AA230" s="18" t="str">
        <f aca="false">IF(Z230="","",IFERROR(VLOOKUP(Z230,REPS!$A$2:$D$40,4,0),""))</f>
        <v/>
      </c>
      <c r="AB230" s="14" t="str">
        <f aca="false">IF(O230="","",IF(AA230="",0,O230*IF(AA230&gt;1,AA230/100,AA230)))</f>
        <v/>
      </c>
      <c r="AC230" s="14" t="str">
        <f aca="false">IF(O230="","",V230+Y230+AB230)</f>
        <v/>
      </c>
      <c r="AD230" s="19" t="str">
        <f aca="false">IF(O230="","",O230-R230-AC230)</f>
        <v/>
      </c>
      <c r="AE230" s="20"/>
      <c r="AF230" s="10"/>
      <c r="AG230" s="21" t="n">
        <f aca="false">IF(OR(AE230="",AE230=0),0,AE230*IF(U230="",0,IF(U230&gt;1,U230/100,U230)))</f>
        <v>0</v>
      </c>
      <c r="AH230" s="21" t="n">
        <f aca="false">IF(OR(AE230="",AE230=0),0,AE230*IF(X230="",0,IF(X230&gt;1,X230/100,X230)))</f>
        <v>0</v>
      </c>
      <c r="AI230" s="21" t="n">
        <f aca="false">IF(OR(AE230="",AE230=0),0,AE230*IF(AA230="",0,IF(AA230&gt;1,AA230/100,AA230)))</f>
        <v>0</v>
      </c>
      <c r="AJ230" s="21" t="n">
        <f aca="false">AG230+AH230+AI230</f>
        <v>0</v>
      </c>
      <c r="AK230" s="21" t="n">
        <f aca="false">IF(OR(AE230="",AE230=0),0,AE230-AJ230)</f>
        <v>0</v>
      </c>
      <c r="AL230" s="19" t="str">
        <f aca="false">IF(AD230="","",AD230-AK230)</f>
        <v/>
      </c>
      <c r="AM230" s="9" t="str">
        <f aca="false">IF(C230="","","Waiting for payment")</f>
        <v/>
      </c>
      <c r="AN230" s="10"/>
      <c r="AO230" s="10"/>
      <c r="AP230" s="22" t="str">
        <f aca="false">IF(OR(C230="",I230="",K230=""),"",IF(K230="Monthly",EDATE(C230,ROUND(I230*SETTINGS!$I$8,0)),WORKDAY(C230,ROUND(I230*SETTINGS!$I$8,0))))</f>
        <v/>
      </c>
      <c r="AQ230" s="9" t="str">
        <f aca="true">IF(C230="","",IF(AND(AP230&lt;&gt;"",TODAY()&gt;=AP230),"Refi Ready",IF(TODAY()-C230&gt;=SETTINGS!$I$11,"Prospecting","Performing")))</f>
        <v/>
      </c>
      <c r="AR230" s="22" t="str">
        <f aca="false">IF(OR(C230="",I230="",K230=""),"",IF(K230="Monthly",EDATE(C230,I230),WORKDAY(C230,I230)))</f>
        <v/>
      </c>
      <c r="AS230" s="11"/>
      <c r="AT230" s="23" t="str">
        <f aca="true">IF(C230="","",IF(AM230="Clawed Back","CLAWED",IF(TODAY()&lt;=C230+SETTINGS!$I$2,"⚠ AT RISK","SAFE")))</f>
        <v/>
      </c>
      <c r="AU230" s="11"/>
      <c r="AW230" s="24" t="n">
        <f aca="false">AW229+IF(AND(C230&lt;&gt;"",AO230&lt;&gt;"",OR('REP COMMISSION'!$B$3="",T230='REP COMMISSION'!$B$3,W230='REP COMMISSION'!$B$3,Z230='REP COMMISSION'!$B$3)),1,0)</f>
        <v>0</v>
      </c>
      <c r="AX230" s="24" t="n">
        <f aca="false">AX229+IF(AND(C230&lt;&gt;"",OR(F230="LOC - INITIAL",F230="CONSOLIDATION - UPFRONT COMM",F230="REVERSE - TOTAL FUNDING")),1,0)</f>
        <v>0</v>
      </c>
    </row>
    <row r="231" customFormat="false" ht="15" hidden="false" customHeight="false" outlineLevel="0" collapsed="false">
      <c r="A231" s="25" t="str">
        <f aca="false">IF(C231&lt;&gt;"","F"&amp;COUNT($C$4:C231),"")</f>
        <v/>
      </c>
      <c r="B231" s="26" t="str">
        <f aca="false">IF(OR(F231="LOC - INITIAL",F231="CONSOLIDATION - UPFRONT COMM",F231="REVERSE - TOTAL FUNDING"),A231,"")</f>
        <v/>
      </c>
      <c r="C231" s="27"/>
      <c r="D231" s="28"/>
      <c r="E231" s="28"/>
      <c r="F231" s="28"/>
      <c r="G231" s="29"/>
      <c r="H231" s="30"/>
      <c r="I231" s="28"/>
      <c r="J231" s="31" t="str">
        <f aca="false">IF(AND(G231&lt;&gt;"",H231&lt;&gt;""),G231*H231,"")</f>
        <v/>
      </c>
      <c r="K231" s="28"/>
      <c r="L231" s="32"/>
      <c r="M231" s="32"/>
      <c r="N231" s="31" t="n">
        <f aca="false">IF(OR(G231="",M231=""),0,IF(M231&gt;100,M231,G231*IF(M231&gt;1,M231/100,M231)))</f>
        <v>0</v>
      </c>
      <c r="O231" s="31" t="str">
        <f aca="false">IF(G231="","",G231*IF(L231="",0,IF(L231&gt;1,L231/100,L231))+N231)</f>
        <v/>
      </c>
      <c r="P231" s="28"/>
      <c r="Q231" s="33" t="str">
        <f aca="false">IF(P231="","",IFERROR(VLOOKUP(P231,PARTNERS!$A$2:$B$30,2,0),""))</f>
        <v/>
      </c>
      <c r="R231" s="17" t="str">
        <f aca="false">IF(O231="","",IF(OR(P231="",Q231=""),0,(O231-N231)*IF(Q231&gt;1,Q231/100,Q231)))</f>
        <v/>
      </c>
      <c r="S231" s="31" t="str">
        <f aca="false">IF(O231="","",O231-R231)</f>
        <v/>
      </c>
      <c r="T231" s="28"/>
      <c r="U231" s="34" t="str">
        <f aca="false">IF(T231="","",IFERROR(VLOOKUP(T231,REPS!$A$2:$D$40,2,0),""))</f>
        <v/>
      </c>
      <c r="V231" s="31" t="str">
        <f aca="false">IF(O231="","",IF(U231="",0,O231*IF(U231&gt;1,U231/100,U231)))</f>
        <v/>
      </c>
      <c r="W231" s="28"/>
      <c r="X231" s="34" t="str">
        <f aca="false">IF(W231="","",IFERROR(VLOOKUP(W231,REPS!$A$2:$D$40,3,0),""))</f>
        <v/>
      </c>
      <c r="Y231" s="31" t="str">
        <f aca="false">IF(O231="","",IF(X231="",0,O231*IF(X231&gt;1,X231/100,X231)))</f>
        <v/>
      </c>
      <c r="Z231" s="28"/>
      <c r="AA231" s="34" t="str">
        <f aca="false">IF(Z231="","",IFERROR(VLOOKUP(Z231,REPS!$A$2:$D$40,4,0),""))</f>
        <v/>
      </c>
      <c r="AB231" s="31" t="str">
        <f aca="false">IF(O231="","",IF(AA231="",0,O231*IF(AA231&gt;1,AA231/100,AA231)))</f>
        <v/>
      </c>
      <c r="AC231" s="31" t="str">
        <f aca="false">IF(O231="","",V231+Y231+AB231)</f>
        <v/>
      </c>
      <c r="AD231" s="19" t="str">
        <f aca="false">IF(O231="","",O231-R231-AC231)</f>
        <v/>
      </c>
      <c r="AE231" s="20"/>
      <c r="AF231" s="27"/>
      <c r="AG231" s="21" t="n">
        <f aca="false">IF(OR(AE231="",AE231=0),0,AE231*IF(U231="",0,IF(U231&gt;1,U231/100,U231)))</f>
        <v>0</v>
      </c>
      <c r="AH231" s="21" t="n">
        <f aca="false">IF(OR(AE231="",AE231=0),0,AE231*IF(X231="",0,IF(X231&gt;1,X231/100,X231)))</f>
        <v>0</v>
      </c>
      <c r="AI231" s="21" t="n">
        <f aca="false">IF(OR(AE231="",AE231=0),0,AE231*IF(AA231="",0,IF(AA231&gt;1,AA231/100,AA231)))</f>
        <v>0</v>
      </c>
      <c r="AJ231" s="21" t="n">
        <f aca="false">AG231+AH231+AI231</f>
        <v>0</v>
      </c>
      <c r="AK231" s="21" t="n">
        <f aca="false">IF(OR(AE231="",AE231=0),0,AE231-AJ231)</f>
        <v>0</v>
      </c>
      <c r="AL231" s="19" t="str">
        <f aca="false">IF(AD231="","",AD231-AK231)</f>
        <v/>
      </c>
      <c r="AM231" s="26" t="str">
        <f aca="false">IF(C231="","","Waiting for payment")</f>
        <v/>
      </c>
      <c r="AN231" s="27"/>
      <c r="AO231" s="27"/>
      <c r="AP231" s="35" t="str">
        <f aca="false">IF(OR(C231="",I231="",K231=""),"",IF(K231="Monthly",EDATE(C231,ROUND(I231*SETTINGS!$I$8,0)),WORKDAY(C231,ROUND(I231*SETTINGS!$I$8,0))))</f>
        <v/>
      </c>
      <c r="AQ231" s="26" t="str">
        <f aca="true">IF(C231="","",IF(AND(AP231&lt;&gt;"",TODAY()&gt;=AP231),"Refi Ready",IF(TODAY()-C231&gt;=SETTINGS!$I$11,"Prospecting","Performing")))</f>
        <v/>
      </c>
      <c r="AR231" s="35" t="str">
        <f aca="false">IF(OR(C231="",I231="",K231=""),"",IF(K231="Monthly",EDATE(C231,I231),WORKDAY(C231,I231)))</f>
        <v/>
      </c>
      <c r="AS231" s="28"/>
      <c r="AT231" s="36" t="str">
        <f aca="true">IF(C231="","",IF(AM231="Clawed Back","CLAWED",IF(TODAY()&lt;=C231+SETTINGS!$I$2,"⚠ AT RISK","SAFE")))</f>
        <v/>
      </c>
      <c r="AU231" s="28"/>
      <c r="AW231" s="24" t="n">
        <f aca="false">AW230+IF(AND(C231&lt;&gt;"",AO231&lt;&gt;"",OR('REP COMMISSION'!$B$3="",T231='REP COMMISSION'!$B$3,W231='REP COMMISSION'!$B$3,Z231='REP COMMISSION'!$B$3)),1,0)</f>
        <v>0</v>
      </c>
      <c r="AX231" s="24" t="n">
        <f aca="false">AX230+IF(AND(C231&lt;&gt;"",OR(F231="LOC - INITIAL",F231="CONSOLIDATION - UPFRONT COMM",F231="REVERSE - TOTAL FUNDING")),1,0)</f>
        <v>0</v>
      </c>
    </row>
    <row r="232" customFormat="false" ht="15" hidden="false" customHeight="false" outlineLevel="0" collapsed="false">
      <c r="A232" s="8" t="str">
        <f aca="false">IF(C232&lt;&gt;"","F"&amp;COUNT($C$4:C232),"")</f>
        <v/>
      </c>
      <c r="B232" s="9" t="str">
        <f aca="false">IF(OR(F232="LOC - INITIAL",F232="CONSOLIDATION - UPFRONT COMM",F232="REVERSE - TOTAL FUNDING"),A232,"")</f>
        <v/>
      </c>
      <c r="C232" s="10"/>
      <c r="D232" s="11"/>
      <c r="E232" s="11"/>
      <c r="F232" s="11"/>
      <c r="G232" s="12"/>
      <c r="H232" s="13"/>
      <c r="I232" s="11"/>
      <c r="J232" s="14" t="str">
        <f aca="false">IF(AND(G232&lt;&gt;"",H232&lt;&gt;""),G232*H232,"")</f>
        <v/>
      </c>
      <c r="K232" s="11"/>
      <c r="L232" s="15"/>
      <c r="M232" s="15"/>
      <c r="N232" s="14" t="n">
        <f aca="false">IF(OR(G232="",M232=""),0,IF(M232&gt;100,M232,G232*IF(M232&gt;1,M232/100,M232)))</f>
        <v>0</v>
      </c>
      <c r="O232" s="14" t="str">
        <f aca="false">IF(G232="","",G232*IF(L232="",0,IF(L232&gt;1,L232/100,L232))+N232)</f>
        <v/>
      </c>
      <c r="P232" s="11"/>
      <c r="Q232" s="16" t="str">
        <f aca="false">IF(P232="","",IFERROR(VLOOKUP(P232,PARTNERS!$A$2:$B$30,2,0),""))</f>
        <v/>
      </c>
      <c r="R232" s="17" t="str">
        <f aca="false">IF(O232="","",IF(OR(P232="",Q232=""),0,(O232-N232)*IF(Q232&gt;1,Q232/100,Q232)))</f>
        <v/>
      </c>
      <c r="S232" s="14" t="str">
        <f aca="false">IF(O232="","",O232-R232)</f>
        <v/>
      </c>
      <c r="T232" s="11"/>
      <c r="U232" s="18" t="str">
        <f aca="false">IF(T232="","",IFERROR(VLOOKUP(T232,REPS!$A$2:$D$40,2,0),""))</f>
        <v/>
      </c>
      <c r="V232" s="14" t="str">
        <f aca="false">IF(O232="","",IF(U232="",0,O232*IF(U232&gt;1,U232/100,U232)))</f>
        <v/>
      </c>
      <c r="W232" s="11"/>
      <c r="X232" s="18" t="str">
        <f aca="false">IF(W232="","",IFERROR(VLOOKUP(W232,REPS!$A$2:$D$40,3,0),""))</f>
        <v/>
      </c>
      <c r="Y232" s="14" t="str">
        <f aca="false">IF(O232="","",IF(X232="",0,O232*IF(X232&gt;1,X232/100,X232)))</f>
        <v/>
      </c>
      <c r="Z232" s="11"/>
      <c r="AA232" s="18" t="str">
        <f aca="false">IF(Z232="","",IFERROR(VLOOKUP(Z232,REPS!$A$2:$D$40,4,0),""))</f>
        <v/>
      </c>
      <c r="AB232" s="14" t="str">
        <f aca="false">IF(O232="","",IF(AA232="",0,O232*IF(AA232&gt;1,AA232/100,AA232)))</f>
        <v/>
      </c>
      <c r="AC232" s="14" t="str">
        <f aca="false">IF(O232="","",V232+Y232+AB232)</f>
        <v/>
      </c>
      <c r="AD232" s="19" t="str">
        <f aca="false">IF(O232="","",O232-R232-AC232)</f>
        <v/>
      </c>
      <c r="AE232" s="20"/>
      <c r="AF232" s="10"/>
      <c r="AG232" s="21" t="n">
        <f aca="false">IF(OR(AE232="",AE232=0),0,AE232*IF(U232="",0,IF(U232&gt;1,U232/100,U232)))</f>
        <v>0</v>
      </c>
      <c r="AH232" s="21" t="n">
        <f aca="false">IF(OR(AE232="",AE232=0),0,AE232*IF(X232="",0,IF(X232&gt;1,X232/100,X232)))</f>
        <v>0</v>
      </c>
      <c r="AI232" s="21" t="n">
        <f aca="false">IF(OR(AE232="",AE232=0),0,AE232*IF(AA232="",0,IF(AA232&gt;1,AA232/100,AA232)))</f>
        <v>0</v>
      </c>
      <c r="AJ232" s="21" t="n">
        <f aca="false">AG232+AH232+AI232</f>
        <v>0</v>
      </c>
      <c r="AK232" s="21" t="n">
        <f aca="false">IF(OR(AE232="",AE232=0),0,AE232-AJ232)</f>
        <v>0</v>
      </c>
      <c r="AL232" s="19" t="str">
        <f aca="false">IF(AD232="","",AD232-AK232)</f>
        <v/>
      </c>
      <c r="AM232" s="9" t="str">
        <f aca="false">IF(C232="","","Waiting for payment")</f>
        <v/>
      </c>
      <c r="AN232" s="10"/>
      <c r="AO232" s="10"/>
      <c r="AP232" s="22" t="str">
        <f aca="false">IF(OR(C232="",I232="",K232=""),"",IF(K232="Monthly",EDATE(C232,ROUND(I232*SETTINGS!$I$8,0)),WORKDAY(C232,ROUND(I232*SETTINGS!$I$8,0))))</f>
        <v/>
      </c>
      <c r="AQ232" s="9" t="str">
        <f aca="true">IF(C232="","",IF(AND(AP232&lt;&gt;"",TODAY()&gt;=AP232),"Refi Ready",IF(TODAY()-C232&gt;=SETTINGS!$I$11,"Prospecting","Performing")))</f>
        <v/>
      </c>
      <c r="AR232" s="22" t="str">
        <f aca="false">IF(OR(C232="",I232="",K232=""),"",IF(K232="Monthly",EDATE(C232,I232),WORKDAY(C232,I232)))</f>
        <v/>
      </c>
      <c r="AS232" s="11"/>
      <c r="AT232" s="23" t="str">
        <f aca="true">IF(C232="","",IF(AM232="Clawed Back","CLAWED",IF(TODAY()&lt;=C232+SETTINGS!$I$2,"⚠ AT RISK","SAFE")))</f>
        <v/>
      </c>
      <c r="AU232" s="11"/>
      <c r="AW232" s="24" t="n">
        <f aca="false">AW231+IF(AND(C232&lt;&gt;"",AO232&lt;&gt;"",OR('REP COMMISSION'!$B$3="",T232='REP COMMISSION'!$B$3,W232='REP COMMISSION'!$B$3,Z232='REP COMMISSION'!$B$3)),1,0)</f>
        <v>0</v>
      </c>
      <c r="AX232" s="24" t="n">
        <f aca="false">AX231+IF(AND(C232&lt;&gt;"",OR(F232="LOC - INITIAL",F232="CONSOLIDATION - UPFRONT COMM",F232="REVERSE - TOTAL FUNDING")),1,0)</f>
        <v>0</v>
      </c>
    </row>
    <row r="233" customFormat="false" ht="15" hidden="false" customHeight="false" outlineLevel="0" collapsed="false">
      <c r="A233" s="25" t="str">
        <f aca="false">IF(C233&lt;&gt;"","F"&amp;COUNT($C$4:C233),"")</f>
        <v/>
      </c>
      <c r="B233" s="26" t="str">
        <f aca="false">IF(OR(F233="LOC - INITIAL",F233="CONSOLIDATION - UPFRONT COMM",F233="REVERSE - TOTAL FUNDING"),A233,"")</f>
        <v/>
      </c>
      <c r="C233" s="27"/>
      <c r="D233" s="28"/>
      <c r="E233" s="28"/>
      <c r="F233" s="28"/>
      <c r="G233" s="29"/>
      <c r="H233" s="30"/>
      <c r="I233" s="28"/>
      <c r="J233" s="31" t="str">
        <f aca="false">IF(AND(G233&lt;&gt;"",H233&lt;&gt;""),G233*H233,"")</f>
        <v/>
      </c>
      <c r="K233" s="28"/>
      <c r="L233" s="32"/>
      <c r="M233" s="32"/>
      <c r="N233" s="31" t="n">
        <f aca="false">IF(OR(G233="",M233=""),0,IF(M233&gt;100,M233,G233*IF(M233&gt;1,M233/100,M233)))</f>
        <v>0</v>
      </c>
      <c r="O233" s="31" t="str">
        <f aca="false">IF(G233="","",G233*IF(L233="",0,IF(L233&gt;1,L233/100,L233))+N233)</f>
        <v/>
      </c>
      <c r="P233" s="28"/>
      <c r="Q233" s="33" t="str">
        <f aca="false">IF(P233="","",IFERROR(VLOOKUP(P233,PARTNERS!$A$2:$B$30,2,0),""))</f>
        <v/>
      </c>
      <c r="R233" s="17" t="str">
        <f aca="false">IF(O233="","",IF(OR(P233="",Q233=""),0,(O233-N233)*IF(Q233&gt;1,Q233/100,Q233)))</f>
        <v/>
      </c>
      <c r="S233" s="31" t="str">
        <f aca="false">IF(O233="","",O233-R233)</f>
        <v/>
      </c>
      <c r="T233" s="28"/>
      <c r="U233" s="34" t="str">
        <f aca="false">IF(T233="","",IFERROR(VLOOKUP(T233,REPS!$A$2:$D$40,2,0),""))</f>
        <v/>
      </c>
      <c r="V233" s="31" t="str">
        <f aca="false">IF(O233="","",IF(U233="",0,O233*IF(U233&gt;1,U233/100,U233)))</f>
        <v/>
      </c>
      <c r="W233" s="28"/>
      <c r="X233" s="34" t="str">
        <f aca="false">IF(W233="","",IFERROR(VLOOKUP(W233,REPS!$A$2:$D$40,3,0),""))</f>
        <v/>
      </c>
      <c r="Y233" s="31" t="str">
        <f aca="false">IF(O233="","",IF(X233="",0,O233*IF(X233&gt;1,X233/100,X233)))</f>
        <v/>
      </c>
      <c r="Z233" s="28"/>
      <c r="AA233" s="34" t="str">
        <f aca="false">IF(Z233="","",IFERROR(VLOOKUP(Z233,REPS!$A$2:$D$40,4,0),""))</f>
        <v/>
      </c>
      <c r="AB233" s="31" t="str">
        <f aca="false">IF(O233="","",IF(AA233="",0,O233*IF(AA233&gt;1,AA233/100,AA233)))</f>
        <v/>
      </c>
      <c r="AC233" s="31" t="str">
        <f aca="false">IF(O233="","",V233+Y233+AB233)</f>
        <v/>
      </c>
      <c r="AD233" s="19" t="str">
        <f aca="false">IF(O233="","",O233-R233-AC233)</f>
        <v/>
      </c>
      <c r="AE233" s="20"/>
      <c r="AF233" s="27"/>
      <c r="AG233" s="21" t="n">
        <f aca="false">IF(OR(AE233="",AE233=0),0,AE233*IF(U233="",0,IF(U233&gt;1,U233/100,U233)))</f>
        <v>0</v>
      </c>
      <c r="AH233" s="21" t="n">
        <f aca="false">IF(OR(AE233="",AE233=0),0,AE233*IF(X233="",0,IF(X233&gt;1,X233/100,X233)))</f>
        <v>0</v>
      </c>
      <c r="AI233" s="21" t="n">
        <f aca="false">IF(OR(AE233="",AE233=0),0,AE233*IF(AA233="",0,IF(AA233&gt;1,AA233/100,AA233)))</f>
        <v>0</v>
      </c>
      <c r="AJ233" s="21" t="n">
        <f aca="false">AG233+AH233+AI233</f>
        <v>0</v>
      </c>
      <c r="AK233" s="21" t="n">
        <f aca="false">IF(OR(AE233="",AE233=0),0,AE233-AJ233)</f>
        <v>0</v>
      </c>
      <c r="AL233" s="19" t="str">
        <f aca="false">IF(AD233="","",AD233-AK233)</f>
        <v/>
      </c>
      <c r="AM233" s="26" t="str">
        <f aca="false">IF(C233="","","Waiting for payment")</f>
        <v/>
      </c>
      <c r="AN233" s="27"/>
      <c r="AO233" s="27"/>
      <c r="AP233" s="35" t="str">
        <f aca="false">IF(OR(C233="",I233="",K233=""),"",IF(K233="Monthly",EDATE(C233,ROUND(I233*SETTINGS!$I$8,0)),WORKDAY(C233,ROUND(I233*SETTINGS!$I$8,0))))</f>
        <v/>
      </c>
      <c r="AQ233" s="26" t="str">
        <f aca="true">IF(C233="","",IF(AND(AP233&lt;&gt;"",TODAY()&gt;=AP233),"Refi Ready",IF(TODAY()-C233&gt;=SETTINGS!$I$11,"Prospecting","Performing")))</f>
        <v/>
      </c>
      <c r="AR233" s="35" t="str">
        <f aca="false">IF(OR(C233="",I233="",K233=""),"",IF(K233="Monthly",EDATE(C233,I233),WORKDAY(C233,I233)))</f>
        <v/>
      </c>
      <c r="AS233" s="28"/>
      <c r="AT233" s="36" t="str">
        <f aca="true">IF(C233="","",IF(AM233="Clawed Back","CLAWED",IF(TODAY()&lt;=C233+SETTINGS!$I$2,"⚠ AT RISK","SAFE")))</f>
        <v/>
      </c>
      <c r="AU233" s="28"/>
      <c r="AW233" s="24" t="n">
        <f aca="false">AW232+IF(AND(C233&lt;&gt;"",AO233&lt;&gt;"",OR('REP COMMISSION'!$B$3="",T233='REP COMMISSION'!$B$3,W233='REP COMMISSION'!$B$3,Z233='REP COMMISSION'!$B$3)),1,0)</f>
        <v>0</v>
      </c>
      <c r="AX233" s="24" t="n">
        <f aca="false">AX232+IF(AND(C233&lt;&gt;"",OR(F233="LOC - INITIAL",F233="CONSOLIDATION - UPFRONT COMM",F233="REVERSE - TOTAL FUNDING")),1,0)</f>
        <v>0</v>
      </c>
    </row>
    <row r="234" customFormat="false" ht="15" hidden="false" customHeight="false" outlineLevel="0" collapsed="false">
      <c r="A234" s="8" t="str">
        <f aca="false">IF(C234&lt;&gt;"","F"&amp;COUNT($C$4:C234),"")</f>
        <v/>
      </c>
      <c r="B234" s="9" t="str">
        <f aca="false">IF(OR(F234="LOC - INITIAL",F234="CONSOLIDATION - UPFRONT COMM",F234="REVERSE - TOTAL FUNDING"),A234,"")</f>
        <v/>
      </c>
      <c r="C234" s="10"/>
      <c r="D234" s="11"/>
      <c r="E234" s="11"/>
      <c r="F234" s="11"/>
      <c r="G234" s="12"/>
      <c r="H234" s="13"/>
      <c r="I234" s="11"/>
      <c r="J234" s="14" t="str">
        <f aca="false">IF(AND(G234&lt;&gt;"",H234&lt;&gt;""),G234*H234,"")</f>
        <v/>
      </c>
      <c r="K234" s="11"/>
      <c r="L234" s="15"/>
      <c r="M234" s="15"/>
      <c r="N234" s="14" t="n">
        <f aca="false">IF(OR(G234="",M234=""),0,IF(M234&gt;100,M234,G234*IF(M234&gt;1,M234/100,M234)))</f>
        <v>0</v>
      </c>
      <c r="O234" s="14" t="str">
        <f aca="false">IF(G234="","",G234*IF(L234="",0,IF(L234&gt;1,L234/100,L234))+N234)</f>
        <v/>
      </c>
      <c r="P234" s="11"/>
      <c r="Q234" s="16" t="str">
        <f aca="false">IF(P234="","",IFERROR(VLOOKUP(P234,PARTNERS!$A$2:$B$30,2,0),""))</f>
        <v/>
      </c>
      <c r="R234" s="17" t="str">
        <f aca="false">IF(O234="","",IF(OR(P234="",Q234=""),0,(O234-N234)*IF(Q234&gt;1,Q234/100,Q234)))</f>
        <v/>
      </c>
      <c r="S234" s="14" t="str">
        <f aca="false">IF(O234="","",O234-R234)</f>
        <v/>
      </c>
      <c r="T234" s="11"/>
      <c r="U234" s="18" t="str">
        <f aca="false">IF(T234="","",IFERROR(VLOOKUP(T234,REPS!$A$2:$D$40,2,0),""))</f>
        <v/>
      </c>
      <c r="V234" s="14" t="str">
        <f aca="false">IF(O234="","",IF(U234="",0,O234*IF(U234&gt;1,U234/100,U234)))</f>
        <v/>
      </c>
      <c r="W234" s="11"/>
      <c r="X234" s="18" t="str">
        <f aca="false">IF(W234="","",IFERROR(VLOOKUP(W234,REPS!$A$2:$D$40,3,0),""))</f>
        <v/>
      </c>
      <c r="Y234" s="14" t="str">
        <f aca="false">IF(O234="","",IF(X234="",0,O234*IF(X234&gt;1,X234/100,X234)))</f>
        <v/>
      </c>
      <c r="Z234" s="11"/>
      <c r="AA234" s="18" t="str">
        <f aca="false">IF(Z234="","",IFERROR(VLOOKUP(Z234,REPS!$A$2:$D$40,4,0),""))</f>
        <v/>
      </c>
      <c r="AB234" s="14" t="str">
        <f aca="false">IF(O234="","",IF(AA234="",0,O234*IF(AA234&gt;1,AA234/100,AA234)))</f>
        <v/>
      </c>
      <c r="AC234" s="14" t="str">
        <f aca="false">IF(O234="","",V234+Y234+AB234)</f>
        <v/>
      </c>
      <c r="AD234" s="19" t="str">
        <f aca="false">IF(O234="","",O234-R234-AC234)</f>
        <v/>
      </c>
      <c r="AE234" s="20"/>
      <c r="AF234" s="10"/>
      <c r="AG234" s="21" t="n">
        <f aca="false">IF(OR(AE234="",AE234=0),0,AE234*IF(U234="",0,IF(U234&gt;1,U234/100,U234)))</f>
        <v>0</v>
      </c>
      <c r="AH234" s="21" t="n">
        <f aca="false">IF(OR(AE234="",AE234=0),0,AE234*IF(X234="",0,IF(X234&gt;1,X234/100,X234)))</f>
        <v>0</v>
      </c>
      <c r="AI234" s="21" t="n">
        <f aca="false">IF(OR(AE234="",AE234=0),0,AE234*IF(AA234="",0,IF(AA234&gt;1,AA234/100,AA234)))</f>
        <v>0</v>
      </c>
      <c r="AJ234" s="21" t="n">
        <f aca="false">AG234+AH234+AI234</f>
        <v>0</v>
      </c>
      <c r="AK234" s="21" t="n">
        <f aca="false">IF(OR(AE234="",AE234=0),0,AE234-AJ234)</f>
        <v>0</v>
      </c>
      <c r="AL234" s="19" t="str">
        <f aca="false">IF(AD234="","",AD234-AK234)</f>
        <v/>
      </c>
      <c r="AM234" s="9" t="str">
        <f aca="false">IF(C234="","","Waiting for payment")</f>
        <v/>
      </c>
      <c r="AN234" s="10"/>
      <c r="AO234" s="10"/>
      <c r="AP234" s="22" t="str">
        <f aca="false">IF(OR(C234="",I234="",K234=""),"",IF(K234="Monthly",EDATE(C234,ROUND(I234*SETTINGS!$I$8,0)),WORKDAY(C234,ROUND(I234*SETTINGS!$I$8,0))))</f>
        <v/>
      </c>
      <c r="AQ234" s="9" t="str">
        <f aca="true">IF(C234="","",IF(AND(AP234&lt;&gt;"",TODAY()&gt;=AP234),"Refi Ready",IF(TODAY()-C234&gt;=SETTINGS!$I$11,"Prospecting","Performing")))</f>
        <v/>
      </c>
      <c r="AR234" s="22" t="str">
        <f aca="false">IF(OR(C234="",I234="",K234=""),"",IF(K234="Monthly",EDATE(C234,I234),WORKDAY(C234,I234)))</f>
        <v/>
      </c>
      <c r="AS234" s="11"/>
      <c r="AT234" s="23" t="str">
        <f aca="true">IF(C234="","",IF(AM234="Clawed Back","CLAWED",IF(TODAY()&lt;=C234+SETTINGS!$I$2,"⚠ AT RISK","SAFE")))</f>
        <v/>
      </c>
      <c r="AU234" s="11"/>
      <c r="AW234" s="24" t="n">
        <f aca="false">AW233+IF(AND(C234&lt;&gt;"",AO234&lt;&gt;"",OR('REP COMMISSION'!$B$3="",T234='REP COMMISSION'!$B$3,W234='REP COMMISSION'!$B$3,Z234='REP COMMISSION'!$B$3)),1,0)</f>
        <v>0</v>
      </c>
      <c r="AX234" s="24" t="n">
        <f aca="false">AX233+IF(AND(C234&lt;&gt;"",OR(F234="LOC - INITIAL",F234="CONSOLIDATION - UPFRONT COMM",F234="REVERSE - TOTAL FUNDING")),1,0)</f>
        <v>0</v>
      </c>
    </row>
    <row r="235" customFormat="false" ht="15" hidden="false" customHeight="false" outlineLevel="0" collapsed="false">
      <c r="A235" s="25" t="str">
        <f aca="false">IF(C235&lt;&gt;"","F"&amp;COUNT($C$4:C235),"")</f>
        <v/>
      </c>
      <c r="B235" s="26" t="str">
        <f aca="false">IF(OR(F235="LOC - INITIAL",F235="CONSOLIDATION - UPFRONT COMM",F235="REVERSE - TOTAL FUNDING"),A235,"")</f>
        <v/>
      </c>
      <c r="C235" s="27"/>
      <c r="D235" s="28"/>
      <c r="E235" s="28"/>
      <c r="F235" s="28"/>
      <c r="G235" s="29"/>
      <c r="H235" s="30"/>
      <c r="I235" s="28"/>
      <c r="J235" s="31" t="str">
        <f aca="false">IF(AND(G235&lt;&gt;"",H235&lt;&gt;""),G235*H235,"")</f>
        <v/>
      </c>
      <c r="K235" s="28"/>
      <c r="L235" s="32"/>
      <c r="M235" s="32"/>
      <c r="N235" s="31" t="n">
        <f aca="false">IF(OR(G235="",M235=""),0,IF(M235&gt;100,M235,G235*IF(M235&gt;1,M235/100,M235)))</f>
        <v>0</v>
      </c>
      <c r="O235" s="31" t="str">
        <f aca="false">IF(G235="","",G235*IF(L235="",0,IF(L235&gt;1,L235/100,L235))+N235)</f>
        <v/>
      </c>
      <c r="P235" s="28"/>
      <c r="Q235" s="33" t="str">
        <f aca="false">IF(P235="","",IFERROR(VLOOKUP(P235,PARTNERS!$A$2:$B$30,2,0),""))</f>
        <v/>
      </c>
      <c r="R235" s="17" t="str">
        <f aca="false">IF(O235="","",IF(OR(P235="",Q235=""),0,(O235-N235)*IF(Q235&gt;1,Q235/100,Q235)))</f>
        <v/>
      </c>
      <c r="S235" s="31" t="str">
        <f aca="false">IF(O235="","",O235-R235)</f>
        <v/>
      </c>
      <c r="T235" s="28"/>
      <c r="U235" s="34" t="str">
        <f aca="false">IF(T235="","",IFERROR(VLOOKUP(T235,REPS!$A$2:$D$40,2,0),""))</f>
        <v/>
      </c>
      <c r="V235" s="31" t="str">
        <f aca="false">IF(O235="","",IF(U235="",0,O235*IF(U235&gt;1,U235/100,U235)))</f>
        <v/>
      </c>
      <c r="W235" s="28"/>
      <c r="X235" s="34" t="str">
        <f aca="false">IF(W235="","",IFERROR(VLOOKUP(W235,REPS!$A$2:$D$40,3,0),""))</f>
        <v/>
      </c>
      <c r="Y235" s="31" t="str">
        <f aca="false">IF(O235="","",IF(X235="",0,O235*IF(X235&gt;1,X235/100,X235)))</f>
        <v/>
      </c>
      <c r="Z235" s="28"/>
      <c r="AA235" s="34" t="str">
        <f aca="false">IF(Z235="","",IFERROR(VLOOKUP(Z235,REPS!$A$2:$D$40,4,0),""))</f>
        <v/>
      </c>
      <c r="AB235" s="31" t="str">
        <f aca="false">IF(O235="","",IF(AA235="",0,O235*IF(AA235&gt;1,AA235/100,AA235)))</f>
        <v/>
      </c>
      <c r="AC235" s="31" t="str">
        <f aca="false">IF(O235="","",V235+Y235+AB235)</f>
        <v/>
      </c>
      <c r="AD235" s="19" t="str">
        <f aca="false">IF(O235="","",O235-R235-AC235)</f>
        <v/>
      </c>
      <c r="AE235" s="20"/>
      <c r="AF235" s="27"/>
      <c r="AG235" s="21" t="n">
        <f aca="false">IF(OR(AE235="",AE235=0),0,AE235*IF(U235="",0,IF(U235&gt;1,U235/100,U235)))</f>
        <v>0</v>
      </c>
      <c r="AH235" s="21" t="n">
        <f aca="false">IF(OR(AE235="",AE235=0),0,AE235*IF(X235="",0,IF(X235&gt;1,X235/100,X235)))</f>
        <v>0</v>
      </c>
      <c r="AI235" s="21" t="n">
        <f aca="false">IF(OR(AE235="",AE235=0),0,AE235*IF(AA235="",0,IF(AA235&gt;1,AA235/100,AA235)))</f>
        <v>0</v>
      </c>
      <c r="AJ235" s="21" t="n">
        <f aca="false">AG235+AH235+AI235</f>
        <v>0</v>
      </c>
      <c r="AK235" s="21" t="n">
        <f aca="false">IF(OR(AE235="",AE235=0),0,AE235-AJ235)</f>
        <v>0</v>
      </c>
      <c r="AL235" s="19" t="str">
        <f aca="false">IF(AD235="","",AD235-AK235)</f>
        <v/>
      </c>
      <c r="AM235" s="26" t="str">
        <f aca="false">IF(C235="","","Waiting for payment")</f>
        <v/>
      </c>
      <c r="AN235" s="27"/>
      <c r="AO235" s="27"/>
      <c r="AP235" s="35" t="str">
        <f aca="false">IF(OR(C235="",I235="",K235=""),"",IF(K235="Monthly",EDATE(C235,ROUND(I235*SETTINGS!$I$8,0)),WORKDAY(C235,ROUND(I235*SETTINGS!$I$8,0))))</f>
        <v/>
      </c>
      <c r="AQ235" s="26" t="str">
        <f aca="true">IF(C235="","",IF(AND(AP235&lt;&gt;"",TODAY()&gt;=AP235),"Refi Ready",IF(TODAY()-C235&gt;=SETTINGS!$I$11,"Prospecting","Performing")))</f>
        <v/>
      </c>
      <c r="AR235" s="35" t="str">
        <f aca="false">IF(OR(C235="",I235="",K235=""),"",IF(K235="Monthly",EDATE(C235,I235),WORKDAY(C235,I235)))</f>
        <v/>
      </c>
      <c r="AS235" s="28"/>
      <c r="AT235" s="36" t="str">
        <f aca="true">IF(C235="","",IF(AM235="Clawed Back","CLAWED",IF(TODAY()&lt;=C235+SETTINGS!$I$2,"⚠ AT RISK","SAFE")))</f>
        <v/>
      </c>
      <c r="AU235" s="28"/>
      <c r="AW235" s="24" t="n">
        <f aca="false">AW234+IF(AND(C235&lt;&gt;"",AO235&lt;&gt;"",OR('REP COMMISSION'!$B$3="",T235='REP COMMISSION'!$B$3,W235='REP COMMISSION'!$B$3,Z235='REP COMMISSION'!$B$3)),1,0)</f>
        <v>0</v>
      </c>
      <c r="AX235" s="24" t="n">
        <f aca="false">AX234+IF(AND(C235&lt;&gt;"",OR(F235="LOC - INITIAL",F235="CONSOLIDATION - UPFRONT COMM",F235="REVERSE - TOTAL FUNDING")),1,0)</f>
        <v>0</v>
      </c>
    </row>
    <row r="236" customFormat="false" ht="15" hidden="false" customHeight="false" outlineLevel="0" collapsed="false">
      <c r="A236" s="8" t="str">
        <f aca="false">IF(C236&lt;&gt;"","F"&amp;COUNT($C$4:C236),"")</f>
        <v/>
      </c>
      <c r="B236" s="9" t="str">
        <f aca="false">IF(OR(F236="LOC - INITIAL",F236="CONSOLIDATION - UPFRONT COMM",F236="REVERSE - TOTAL FUNDING"),A236,"")</f>
        <v/>
      </c>
      <c r="C236" s="10"/>
      <c r="D236" s="11"/>
      <c r="E236" s="11"/>
      <c r="F236" s="11"/>
      <c r="G236" s="12"/>
      <c r="H236" s="13"/>
      <c r="I236" s="11"/>
      <c r="J236" s="14" t="str">
        <f aca="false">IF(AND(G236&lt;&gt;"",H236&lt;&gt;""),G236*H236,"")</f>
        <v/>
      </c>
      <c r="K236" s="11"/>
      <c r="L236" s="15"/>
      <c r="M236" s="15"/>
      <c r="N236" s="14" t="n">
        <f aca="false">IF(OR(G236="",M236=""),0,IF(M236&gt;100,M236,G236*IF(M236&gt;1,M236/100,M236)))</f>
        <v>0</v>
      </c>
      <c r="O236" s="14" t="str">
        <f aca="false">IF(G236="","",G236*IF(L236="",0,IF(L236&gt;1,L236/100,L236))+N236)</f>
        <v/>
      </c>
      <c r="P236" s="11"/>
      <c r="Q236" s="16" t="str">
        <f aca="false">IF(P236="","",IFERROR(VLOOKUP(P236,PARTNERS!$A$2:$B$30,2,0),""))</f>
        <v/>
      </c>
      <c r="R236" s="17" t="str">
        <f aca="false">IF(O236="","",IF(OR(P236="",Q236=""),0,(O236-N236)*IF(Q236&gt;1,Q236/100,Q236)))</f>
        <v/>
      </c>
      <c r="S236" s="14" t="str">
        <f aca="false">IF(O236="","",O236-R236)</f>
        <v/>
      </c>
      <c r="T236" s="11"/>
      <c r="U236" s="18" t="str">
        <f aca="false">IF(T236="","",IFERROR(VLOOKUP(T236,REPS!$A$2:$D$40,2,0),""))</f>
        <v/>
      </c>
      <c r="V236" s="14" t="str">
        <f aca="false">IF(O236="","",IF(U236="",0,O236*IF(U236&gt;1,U236/100,U236)))</f>
        <v/>
      </c>
      <c r="W236" s="11"/>
      <c r="X236" s="18" t="str">
        <f aca="false">IF(W236="","",IFERROR(VLOOKUP(W236,REPS!$A$2:$D$40,3,0),""))</f>
        <v/>
      </c>
      <c r="Y236" s="14" t="str">
        <f aca="false">IF(O236="","",IF(X236="",0,O236*IF(X236&gt;1,X236/100,X236)))</f>
        <v/>
      </c>
      <c r="Z236" s="11"/>
      <c r="AA236" s="18" t="str">
        <f aca="false">IF(Z236="","",IFERROR(VLOOKUP(Z236,REPS!$A$2:$D$40,4,0),""))</f>
        <v/>
      </c>
      <c r="AB236" s="14" t="str">
        <f aca="false">IF(O236="","",IF(AA236="",0,O236*IF(AA236&gt;1,AA236/100,AA236)))</f>
        <v/>
      </c>
      <c r="AC236" s="14" t="str">
        <f aca="false">IF(O236="","",V236+Y236+AB236)</f>
        <v/>
      </c>
      <c r="AD236" s="19" t="str">
        <f aca="false">IF(O236="","",O236-R236-AC236)</f>
        <v/>
      </c>
      <c r="AE236" s="20"/>
      <c r="AF236" s="10"/>
      <c r="AG236" s="21" t="n">
        <f aca="false">IF(OR(AE236="",AE236=0),0,AE236*IF(U236="",0,IF(U236&gt;1,U236/100,U236)))</f>
        <v>0</v>
      </c>
      <c r="AH236" s="21" t="n">
        <f aca="false">IF(OR(AE236="",AE236=0),0,AE236*IF(X236="",0,IF(X236&gt;1,X236/100,X236)))</f>
        <v>0</v>
      </c>
      <c r="AI236" s="21" t="n">
        <f aca="false">IF(OR(AE236="",AE236=0),0,AE236*IF(AA236="",0,IF(AA236&gt;1,AA236/100,AA236)))</f>
        <v>0</v>
      </c>
      <c r="AJ236" s="21" t="n">
        <f aca="false">AG236+AH236+AI236</f>
        <v>0</v>
      </c>
      <c r="AK236" s="21" t="n">
        <f aca="false">IF(OR(AE236="",AE236=0),0,AE236-AJ236)</f>
        <v>0</v>
      </c>
      <c r="AL236" s="19" t="str">
        <f aca="false">IF(AD236="","",AD236-AK236)</f>
        <v/>
      </c>
      <c r="AM236" s="9" t="str">
        <f aca="false">IF(C236="","","Waiting for payment")</f>
        <v/>
      </c>
      <c r="AN236" s="10"/>
      <c r="AO236" s="10"/>
      <c r="AP236" s="22" t="str">
        <f aca="false">IF(OR(C236="",I236="",K236=""),"",IF(K236="Monthly",EDATE(C236,ROUND(I236*SETTINGS!$I$8,0)),WORKDAY(C236,ROUND(I236*SETTINGS!$I$8,0))))</f>
        <v/>
      </c>
      <c r="AQ236" s="9" t="str">
        <f aca="true">IF(C236="","",IF(AND(AP236&lt;&gt;"",TODAY()&gt;=AP236),"Refi Ready",IF(TODAY()-C236&gt;=SETTINGS!$I$11,"Prospecting","Performing")))</f>
        <v/>
      </c>
      <c r="AR236" s="22" t="str">
        <f aca="false">IF(OR(C236="",I236="",K236=""),"",IF(K236="Monthly",EDATE(C236,I236),WORKDAY(C236,I236)))</f>
        <v/>
      </c>
      <c r="AS236" s="11"/>
      <c r="AT236" s="23" t="str">
        <f aca="true">IF(C236="","",IF(AM236="Clawed Back","CLAWED",IF(TODAY()&lt;=C236+SETTINGS!$I$2,"⚠ AT RISK","SAFE")))</f>
        <v/>
      </c>
      <c r="AU236" s="11"/>
      <c r="AW236" s="24" t="n">
        <f aca="false">AW235+IF(AND(C236&lt;&gt;"",AO236&lt;&gt;"",OR('REP COMMISSION'!$B$3="",T236='REP COMMISSION'!$B$3,W236='REP COMMISSION'!$B$3,Z236='REP COMMISSION'!$B$3)),1,0)</f>
        <v>0</v>
      </c>
      <c r="AX236" s="24" t="n">
        <f aca="false">AX235+IF(AND(C236&lt;&gt;"",OR(F236="LOC - INITIAL",F236="CONSOLIDATION - UPFRONT COMM",F236="REVERSE - TOTAL FUNDING")),1,0)</f>
        <v>0</v>
      </c>
    </row>
    <row r="237" customFormat="false" ht="15" hidden="false" customHeight="false" outlineLevel="0" collapsed="false">
      <c r="A237" s="25" t="str">
        <f aca="false">IF(C237&lt;&gt;"","F"&amp;COUNT($C$4:C237),"")</f>
        <v/>
      </c>
      <c r="B237" s="26" t="str">
        <f aca="false">IF(OR(F237="LOC - INITIAL",F237="CONSOLIDATION - UPFRONT COMM",F237="REVERSE - TOTAL FUNDING"),A237,"")</f>
        <v/>
      </c>
      <c r="C237" s="27"/>
      <c r="D237" s="28"/>
      <c r="E237" s="28"/>
      <c r="F237" s="28"/>
      <c r="G237" s="29"/>
      <c r="H237" s="30"/>
      <c r="I237" s="28"/>
      <c r="J237" s="31" t="str">
        <f aca="false">IF(AND(G237&lt;&gt;"",H237&lt;&gt;""),G237*H237,"")</f>
        <v/>
      </c>
      <c r="K237" s="28"/>
      <c r="L237" s="32"/>
      <c r="M237" s="32"/>
      <c r="N237" s="31" t="n">
        <f aca="false">IF(OR(G237="",M237=""),0,IF(M237&gt;100,M237,G237*IF(M237&gt;1,M237/100,M237)))</f>
        <v>0</v>
      </c>
      <c r="O237" s="31" t="str">
        <f aca="false">IF(G237="","",G237*IF(L237="",0,IF(L237&gt;1,L237/100,L237))+N237)</f>
        <v/>
      </c>
      <c r="P237" s="28"/>
      <c r="Q237" s="33" t="str">
        <f aca="false">IF(P237="","",IFERROR(VLOOKUP(P237,PARTNERS!$A$2:$B$30,2,0),""))</f>
        <v/>
      </c>
      <c r="R237" s="17" t="str">
        <f aca="false">IF(O237="","",IF(OR(P237="",Q237=""),0,(O237-N237)*IF(Q237&gt;1,Q237/100,Q237)))</f>
        <v/>
      </c>
      <c r="S237" s="31" t="str">
        <f aca="false">IF(O237="","",O237-R237)</f>
        <v/>
      </c>
      <c r="T237" s="28"/>
      <c r="U237" s="34" t="str">
        <f aca="false">IF(T237="","",IFERROR(VLOOKUP(T237,REPS!$A$2:$D$40,2,0),""))</f>
        <v/>
      </c>
      <c r="V237" s="31" t="str">
        <f aca="false">IF(O237="","",IF(U237="",0,O237*IF(U237&gt;1,U237/100,U237)))</f>
        <v/>
      </c>
      <c r="W237" s="28"/>
      <c r="X237" s="34" t="str">
        <f aca="false">IF(W237="","",IFERROR(VLOOKUP(W237,REPS!$A$2:$D$40,3,0),""))</f>
        <v/>
      </c>
      <c r="Y237" s="31" t="str">
        <f aca="false">IF(O237="","",IF(X237="",0,O237*IF(X237&gt;1,X237/100,X237)))</f>
        <v/>
      </c>
      <c r="Z237" s="28"/>
      <c r="AA237" s="34" t="str">
        <f aca="false">IF(Z237="","",IFERROR(VLOOKUP(Z237,REPS!$A$2:$D$40,4,0),""))</f>
        <v/>
      </c>
      <c r="AB237" s="31" t="str">
        <f aca="false">IF(O237="","",IF(AA237="",0,O237*IF(AA237&gt;1,AA237/100,AA237)))</f>
        <v/>
      </c>
      <c r="AC237" s="31" t="str">
        <f aca="false">IF(O237="","",V237+Y237+AB237)</f>
        <v/>
      </c>
      <c r="AD237" s="19" t="str">
        <f aca="false">IF(O237="","",O237-R237-AC237)</f>
        <v/>
      </c>
      <c r="AE237" s="20"/>
      <c r="AF237" s="27"/>
      <c r="AG237" s="21" t="n">
        <f aca="false">IF(OR(AE237="",AE237=0),0,AE237*IF(U237="",0,IF(U237&gt;1,U237/100,U237)))</f>
        <v>0</v>
      </c>
      <c r="AH237" s="21" t="n">
        <f aca="false">IF(OR(AE237="",AE237=0),0,AE237*IF(X237="",0,IF(X237&gt;1,X237/100,X237)))</f>
        <v>0</v>
      </c>
      <c r="AI237" s="21" t="n">
        <f aca="false">IF(OR(AE237="",AE237=0),0,AE237*IF(AA237="",0,IF(AA237&gt;1,AA237/100,AA237)))</f>
        <v>0</v>
      </c>
      <c r="AJ237" s="21" t="n">
        <f aca="false">AG237+AH237+AI237</f>
        <v>0</v>
      </c>
      <c r="AK237" s="21" t="n">
        <f aca="false">IF(OR(AE237="",AE237=0),0,AE237-AJ237)</f>
        <v>0</v>
      </c>
      <c r="AL237" s="19" t="str">
        <f aca="false">IF(AD237="","",AD237-AK237)</f>
        <v/>
      </c>
      <c r="AM237" s="26" t="str">
        <f aca="false">IF(C237="","","Waiting for payment")</f>
        <v/>
      </c>
      <c r="AN237" s="27"/>
      <c r="AO237" s="27"/>
      <c r="AP237" s="35" t="str">
        <f aca="false">IF(OR(C237="",I237="",K237=""),"",IF(K237="Monthly",EDATE(C237,ROUND(I237*SETTINGS!$I$8,0)),WORKDAY(C237,ROUND(I237*SETTINGS!$I$8,0))))</f>
        <v/>
      </c>
      <c r="AQ237" s="26" t="str">
        <f aca="true">IF(C237="","",IF(AND(AP237&lt;&gt;"",TODAY()&gt;=AP237),"Refi Ready",IF(TODAY()-C237&gt;=SETTINGS!$I$11,"Prospecting","Performing")))</f>
        <v/>
      </c>
      <c r="AR237" s="35" t="str">
        <f aca="false">IF(OR(C237="",I237="",K237=""),"",IF(K237="Monthly",EDATE(C237,I237),WORKDAY(C237,I237)))</f>
        <v/>
      </c>
      <c r="AS237" s="28"/>
      <c r="AT237" s="36" t="str">
        <f aca="true">IF(C237="","",IF(AM237="Clawed Back","CLAWED",IF(TODAY()&lt;=C237+SETTINGS!$I$2,"⚠ AT RISK","SAFE")))</f>
        <v/>
      </c>
      <c r="AU237" s="28"/>
      <c r="AW237" s="24" t="n">
        <f aca="false">AW236+IF(AND(C237&lt;&gt;"",AO237&lt;&gt;"",OR('REP COMMISSION'!$B$3="",T237='REP COMMISSION'!$B$3,W237='REP COMMISSION'!$B$3,Z237='REP COMMISSION'!$B$3)),1,0)</f>
        <v>0</v>
      </c>
      <c r="AX237" s="24" t="n">
        <f aca="false">AX236+IF(AND(C237&lt;&gt;"",OR(F237="LOC - INITIAL",F237="CONSOLIDATION - UPFRONT COMM",F237="REVERSE - TOTAL FUNDING")),1,0)</f>
        <v>0</v>
      </c>
    </row>
    <row r="238" customFormat="false" ht="15" hidden="false" customHeight="false" outlineLevel="0" collapsed="false">
      <c r="A238" s="8" t="str">
        <f aca="false">IF(C238&lt;&gt;"","F"&amp;COUNT($C$4:C238),"")</f>
        <v/>
      </c>
      <c r="B238" s="9" t="str">
        <f aca="false">IF(OR(F238="LOC - INITIAL",F238="CONSOLIDATION - UPFRONT COMM",F238="REVERSE - TOTAL FUNDING"),A238,"")</f>
        <v/>
      </c>
      <c r="C238" s="10"/>
      <c r="D238" s="11"/>
      <c r="E238" s="11"/>
      <c r="F238" s="11"/>
      <c r="G238" s="12"/>
      <c r="H238" s="13"/>
      <c r="I238" s="11"/>
      <c r="J238" s="14" t="str">
        <f aca="false">IF(AND(G238&lt;&gt;"",H238&lt;&gt;""),G238*H238,"")</f>
        <v/>
      </c>
      <c r="K238" s="11"/>
      <c r="L238" s="15"/>
      <c r="M238" s="15"/>
      <c r="N238" s="14" t="n">
        <f aca="false">IF(OR(G238="",M238=""),0,IF(M238&gt;100,M238,G238*IF(M238&gt;1,M238/100,M238)))</f>
        <v>0</v>
      </c>
      <c r="O238" s="14" t="str">
        <f aca="false">IF(G238="","",G238*IF(L238="",0,IF(L238&gt;1,L238/100,L238))+N238)</f>
        <v/>
      </c>
      <c r="P238" s="11"/>
      <c r="Q238" s="16" t="str">
        <f aca="false">IF(P238="","",IFERROR(VLOOKUP(P238,PARTNERS!$A$2:$B$30,2,0),""))</f>
        <v/>
      </c>
      <c r="R238" s="17" t="str">
        <f aca="false">IF(O238="","",IF(OR(P238="",Q238=""),0,(O238-N238)*IF(Q238&gt;1,Q238/100,Q238)))</f>
        <v/>
      </c>
      <c r="S238" s="14" t="str">
        <f aca="false">IF(O238="","",O238-R238)</f>
        <v/>
      </c>
      <c r="T238" s="11"/>
      <c r="U238" s="18" t="str">
        <f aca="false">IF(T238="","",IFERROR(VLOOKUP(T238,REPS!$A$2:$D$40,2,0),""))</f>
        <v/>
      </c>
      <c r="V238" s="14" t="str">
        <f aca="false">IF(O238="","",IF(U238="",0,O238*IF(U238&gt;1,U238/100,U238)))</f>
        <v/>
      </c>
      <c r="W238" s="11"/>
      <c r="X238" s="18" t="str">
        <f aca="false">IF(W238="","",IFERROR(VLOOKUP(W238,REPS!$A$2:$D$40,3,0),""))</f>
        <v/>
      </c>
      <c r="Y238" s="14" t="str">
        <f aca="false">IF(O238="","",IF(X238="",0,O238*IF(X238&gt;1,X238/100,X238)))</f>
        <v/>
      </c>
      <c r="Z238" s="11"/>
      <c r="AA238" s="18" t="str">
        <f aca="false">IF(Z238="","",IFERROR(VLOOKUP(Z238,REPS!$A$2:$D$40,4,0),""))</f>
        <v/>
      </c>
      <c r="AB238" s="14" t="str">
        <f aca="false">IF(O238="","",IF(AA238="",0,O238*IF(AA238&gt;1,AA238/100,AA238)))</f>
        <v/>
      </c>
      <c r="AC238" s="14" t="str">
        <f aca="false">IF(O238="","",V238+Y238+AB238)</f>
        <v/>
      </c>
      <c r="AD238" s="19" t="str">
        <f aca="false">IF(O238="","",O238-R238-AC238)</f>
        <v/>
      </c>
      <c r="AE238" s="20"/>
      <c r="AF238" s="10"/>
      <c r="AG238" s="21" t="n">
        <f aca="false">IF(OR(AE238="",AE238=0),0,AE238*IF(U238="",0,IF(U238&gt;1,U238/100,U238)))</f>
        <v>0</v>
      </c>
      <c r="AH238" s="21" t="n">
        <f aca="false">IF(OR(AE238="",AE238=0),0,AE238*IF(X238="",0,IF(X238&gt;1,X238/100,X238)))</f>
        <v>0</v>
      </c>
      <c r="AI238" s="21" t="n">
        <f aca="false">IF(OR(AE238="",AE238=0),0,AE238*IF(AA238="",0,IF(AA238&gt;1,AA238/100,AA238)))</f>
        <v>0</v>
      </c>
      <c r="AJ238" s="21" t="n">
        <f aca="false">AG238+AH238+AI238</f>
        <v>0</v>
      </c>
      <c r="AK238" s="21" t="n">
        <f aca="false">IF(OR(AE238="",AE238=0),0,AE238-AJ238)</f>
        <v>0</v>
      </c>
      <c r="AL238" s="19" t="str">
        <f aca="false">IF(AD238="","",AD238-AK238)</f>
        <v/>
      </c>
      <c r="AM238" s="9" t="str">
        <f aca="false">IF(C238="","","Waiting for payment")</f>
        <v/>
      </c>
      <c r="AN238" s="10"/>
      <c r="AO238" s="10"/>
      <c r="AP238" s="22" t="str">
        <f aca="false">IF(OR(C238="",I238="",K238=""),"",IF(K238="Monthly",EDATE(C238,ROUND(I238*SETTINGS!$I$8,0)),WORKDAY(C238,ROUND(I238*SETTINGS!$I$8,0))))</f>
        <v/>
      </c>
      <c r="AQ238" s="9" t="str">
        <f aca="true">IF(C238="","",IF(AND(AP238&lt;&gt;"",TODAY()&gt;=AP238),"Refi Ready",IF(TODAY()-C238&gt;=SETTINGS!$I$11,"Prospecting","Performing")))</f>
        <v/>
      </c>
      <c r="AR238" s="22" t="str">
        <f aca="false">IF(OR(C238="",I238="",K238=""),"",IF(K238="Monthly",EDATE(C238,I238),WORKDAY(C238,I238)))</f>
        <v/>
      </c>
      <c r="AS238" s="11"/>
      <c r="AT238" s="23" t="str">
        <f aca="true">IF(C238="","",IF(AM238="Clawed Back","CLAWED",IF(TODAY()&lt;=C238+SETTINGS!$I$2,"⚠ AT RISK","SAFE")))</f>
        <v/>
      </c>
      <c r="AU238" s="11"/>
      <c r="AW238" s="24" t="n">
        <f aca="false">AW237+IF(AND(C238&lt;&gt;"",AO238&lt;&gt;"",OR('REP COMMISSION'!$B$3="",T238='REP COMMISSION'!$B$3,W238='REP COMMISSION'!$B$3,Z238='REP COMMISSION'!$B$3)),1,0)</f>
        <v>0</v>
      </c>
      <c r="AX238" s="24" t="n">
        <f aca="false">AX237+IF(AND(C238&lt;&gt;"",OR(F238="LOC - INITIAL",F238="CONSOLIDATION - UPFRONT COMM",F238="REVERSE - TOTAL FUNDING")),1,0)</f>
        <v>0</v>
      </c>
    </row>
    <row r="239" customFormat="false" ht="15" hidden="false" customHeight="false" outlineLevel="0" collapsed="false">
      <c r="A239" s="25" t="str">
        <f aca="false">IF(C239&lt;&gt;"","F"&amp;COUNT($C$4:C239),"")</f>
        <v/>
      </c>
      <c r="B239" s="26" t="str">
        <f aca="false">IF(OR(F239="LOC - INITIAL",F239="CONSOLIDATION - UPFRONT COMM",F239="REVERSE - TOTAL FUNDING"),A239,"")</f>
        <v/>
      </c>
      <c r="C239" s="27"/>
      <c r="D239" s="28"/>
      <c r="E239" s="28"/>
      <c r="F239" s="28"/>
      <c r="G239" s="29"/>
      <c r="H239" s="30"/>
      <c r="I239" s="28"/>
      <c r="J239" s="31" t="str">
        <f aca="false">IF(AND(G239&lt;&gt;"",H239&lt;&gt;""),G239*H239,"")</f>
        <v/>
      </c>
      <c r="K239" s="28"/>
      <c r="L239" s="32"/>
      <c r="M239" s="32"/>
      <c r="N239" s="31" t="n">
        <f aca="false">IF(OR(G239="",M239=""),0,IF(M239&gt;100,M239,G239*IF(M239&gt;1,M239/100,M239)))</f>
        <v>0</v>
      </c>
      <c r="O239" s="31" t="str">
        <f aca="false">IF(G239="","",G239*IF(L239="",0,IF(L239&gt;1,L239/100,L239))+N239)</f>
        <v/>
      </c>
      <c r="P239" s="28"/>
      <c r="Q239" s="33" t="str">
        <f aca="false">IF(P239="","",IFERROR(VLOOKUP(P239,PARTNERS!$A$2:$B$30,2,0),""))</f>
        <v/>
      </c>
      <c r="R239" s="17" t="str">
        <f aca="false">IF(O239="","",IF(OR(P239="",Q239=""),0,(O239-N239)*IF(Q239&gt;1,Q239/100,Q239)))</f>
        <v/>
      </c>
      <c r="S239" s="31" t="str">
        <f aca="false">IF(O239="","",O239-R239)</f>
        <v/>
      </c>
      <c r="T239" s="28"/>
      <c r="U239" s="34" t="str">
        <f aca="false">IF(T239="","",IFERROR(VLOOKUP(T239,REPS!$A$2:$D$40,2,0),""))</f>
        <v/>
      </c>
      <c r="V239" s="31" t="str">
        <f aca="false">IF(O239="","",IF(U239="",0,O239*IF(U239&gt;1,U239/100,U239)))</f>
        <v/>
      </c>
      <c r="W239" s="28"/>
      <c r="X239" s="34" t="str">
        <f aca="false">IF(W239="","",IFERROR(VLOOKUP(W239,REPS!$A$2:$D$40,3,0),""))</f>
        <v/>
      </c>
      <c r="Y239" s="31" t="str">
        <f aca="false">IF(O239="","",IF(X239="",0,O239*IF(X239&gt;1,X239/100,X239)))</f>
        <v/>
      </c>
      <c r="Z239" s="28"/>
      <c r="AA239" s="34" t="str">
        <f aca="false">IF(Z239="","",IFERROR(VLOOKUP(Z239,REPS!$A$2:$D$40,4,0),""))</f>
        <v/>
      </c>
      <c r="AB239" s="31" t="str">
        <f aca="false">IF(O239="","",IF(AA239="",0,O239*IF(AA239&gt;1,AA239/100,AA239)))</f>
        <v/>
      </c>
      <c r="AC239" s="31" t="str">
        <f aca="false">IF(O239="","",V239+Y239+AB239)</f>
        <v/>
      </c>
      <c r="AD239" s="19" t="str">
        <f aca="false">IF(O239="","",O239-R239-AC239)</f>
        <v/>
      </c>
      <c r="AE239" s="20"/>
      <c r="AF239" s="27"/>
      <c r="AG239" s="21" t="n">
        <f aca="false">IF(OR(AE239="",AE239=0),0,AE239*IF(U239="",0,IF(U239&gt;1,U239/100,U239)))</f>
        <v>0</v>
      </c>
      <c r="AH239" s="21" t="n">
        <f aca="false">IF(OR(AE239="",AE239=0),0,AE239*IF(X239="",0,IF(X239&gt;1,X239/100,X239)))</f>
        <v>0</v>
      </c>
      <c r="AI239" s="21" t="n">
        <f aca="false">IF(OR(AE239="",AE239=0),0,AE239*IF(AA239="",0,IF(AA239&gt;1,AA239/100,AA239)))</f>
        <v>0</v>
      </c>
      <c r="AJ239" s="21" t="n">
        <f aca="false">AG239+AH239+AI239</f>
        <v>0</v>
      </c>
      <c r="AK239" s="21" t="n">
        <f aca="false">IF(OR(AE239="",AE239=0),0,AE239-AJ239)</f>
        <v>0</v>
      </c>
      <c r="AL239" s="19" t="str">
        <f aca="false">IF(AD239="","",AD239-AK239)</f>
        <v/>
      </c>
      <c r="AM239" s="26" t="str">
        <f aca="false">IF(C239="","","Waiting for payment")</f>
        <v/>
      </c>
      <c r="AN239" s="27"/>
      <c r="AO239" s="27"/>
      <c r="AP239" s="35" t="str">
        <f aca="false">IF(OR(C239="",I239="",K239=""),"",IF(K239="Monthly",EDATE(C239,ROUND(I239*SETTINGS!$I$8,0)),WORKDAY(C239,ROUND(I239*SETTINGS!$I$8,0))))</f>
        <v/>
      </c>
      <c r="AQ239" s="26" t="str">
        <f aca="true">IF(C239="","",IF(AND(AP239&lt;&gt;"",TODAY()&gt;=AP239),"Refi Ready",IF(TODAY()-C239&gt;=SETTINGS!$I$11,"Prospecting","Performing")))</f>
        <v/>
      </c>
      <c r="AR239" s="35" t="str">
        <f aca="false">IF(OR(C239="",I239="",K239=""),"",IF(K239="Monthly",EDATE(C239,I239),WORKDAY(C239,I239)))</f>
        <v/>
      </c>
      <c r="AS239" s="28"/>
      <c r="AT239" s="36" t="str">
        <f aca="true">IF(C239="","",IF(AM239="Clawed Back","CLAWED",IF(TODAY()&lt;=C239+SETTINGS!$I$2,"⚠ AT RISK","SAFE")))</f>
        <v/>
      </c>
      <c r="AU239" s="28"/>
      <c r="AW239" s="24" t="n">
        <f aca="false">AW238+IF(AND(C239&lt;&gt;"",AO239&lt;&gt;"",OR('REP COMMISSION'!$B$3="",T239='REP COMMISSION'!$B$3,W239='REP COMMISSION'!$B$3,Z239='REP COMMISSION'!$B$3)),1,0)</f>
        <v>0</v>
      </c>
      <c r="AX239" s="24" t="n">
        <f aca="false">AX238+IF(AND(C239&lt;&gt;"",OR(F239="LOC - INITIAL",F239="CONSOLIDATION - UPFRONT COMM",F239="REVERSE - TOTAL FUNDING")),1,0)</f>
        <v>0</v>
      </c>
    </row>
    <row r="240" customFormat="false" ht="15" hidden="false" customHeight="false" outlineLevel="0" collapsed="false">
      <c r="A240" s="8" t="str">
        <f aca="false">IF(C240&lt;&gt;"","F"&amp;COUNT($C$4:C240),"")</f>
        <v/>
      </c>
      <c r="B240" s="9" t="str">
        <f aca="false">IF(OR(F240="LOC - INITIAL",F240="CONSOLIDATION - UPFRONT COMM",F240="REVERSE - TOTAL FUNDING"),A240,"")</f>
        <v/>
      </c>
      <c r="C240" s="10"/>
      <c r="D240" s="11"/>
      <c r="E240" s="11"/>
      <c r="F240" s="11"/>
      <c r="G240" s="12"/>
      <c r="H240" s="13"/>
      <c r="I240" s="11"/>
      <c r="J240" s="14" t="str">
        <f aca="false">IF(AND(G240&lt;&gt;"",H240&lt;&gt;""),G240*H240,"")</f>
        <v/>
      </c>
      <c r="K240" s="11"/>
      <c r="L240" s="15"/>
      <c r="M240" s="15"/>
      <c r="N240" s="14" t="n">
        <f aca="false">IF(OR(G240="",M240=""),0,IF(M240&gt;100,M240,G240*IF(M240&gt;1,M240/100,M240)))</f>
        <v>0</v>
      </c>
      <c r="O240" s="14" t="str">
        <f aca="false">IF(G240="","",G240*IF(L240="",0,IF(L240&gt;1,L240/100,L240))+N240)</f>
        <v/>
      </c>
      <c r="P240" s="11"/>
      <c r="Q240" s="16" t="str">
        <f aca="false">IF(P240="","",IFERROR(VLOOKUP(P240,PARTNERS!$A$2:$B$30,2,0),""))</f>
        <v/>
      </c>
      <c r="R240" s="17" t="str">
        <f aca="false">IF(O240="","",IF(OR(P240="",Q240=""),0,(O240-N240)*IF(Q240&gt;1,Q240/100,Q240)))</f>
        <v/>
      </c>
      <c r="S240" s="14" t="str">
        <f aca="false">IF(O240="","",O240-R240)</f>
        <v/>
      </c>
      <c r="T240" s="11"/>
      <c r="U240" s="18" t="str">
        <f aca="false">IF(T240="","",IFERROR(VLOOKUP(T240,REPS!$A$2:$D$40,2,0),""))</f>
        <v/>
      </c>
      <c r="V240" s="14" t="str">
        <f aca="false">IF(O240="","",IF(U240="",0,O240*IF(U240&gt;1,U240/100,U240)))</f>
        <v/>
      </c>
      <c r="W240" s="11"/>
      <c r="X240" s="18" t="str">
        <f aca="false">IF(W240="","",IFERROR(VLOOKUP(W240,REPS!$A$2:$D$40,3,0),""))</f>
        <v/>
      </c>
      <c r="Y240" s="14" t="str">
        <f aca="false">IF(O240="","",IF(X240="",0,O240*IF(X240&gt;1,X240/100,X240)))</f>
        <v/>
      </c>
      <c r="Z240" s="11"/>
      <c r="AA240" s="18" t="str">
        <f aca="false">IF(Z240="","",IFERROR(VLOOKUP(Z240,REPS!$A$2:$D$40,4,0),""))</f>
        <v/>
      </c>
      <c r="AB240" s="14" t="str">
        <f aca="false">IF(O240="","",IF(AA240="",0,O240*IF(AA240&gt;1,AA240/100,AA240)))</f>
        <v/>
      </c>
      <c r="AC240" s="14" t="str">
        <f aca="false">IF(O240="","",V240+Y240+AB240)</f>
        <v/>
      </c>
      <c r="AD240" s="19" t="str">
        <f aca="false">IF(O240="","",O240-R240-AC240)</f>
        <v/>
      </c>
      <c r="AE240" s="20"/>
      <c r="AF240" s="10"/>
      <c r="AG240" s="21" t="n">
        <f aca="false">IF(OR(AE240="",AE240=0),0,AE240*IF(U240="",0,IF(U240&gt;1,U240/100,U240)))</f>
        <v>0</v>
      </c>
      <c r="AH240" s="21" t="n">
        <f aca="false">IF(OR(AE240="",AE240=0),0,AE240*IF(X240="",0,IF(X240&gt;1,X240/100,X240)))</f>
        <v>0</v>
      </c>
      <c r="AI240" s="21" t="n">
        <f aca="false">IF(OR(AE240="",AE240=0),0,AE240*IF(AA240="",0,IF(AA240&gt;1,AA240/100,AA240)))</f>
        <v>0</v>
      </c>
      <c r="AJ240" s="21" t="n">
        <f aca="false">AG240+AH240+AI240</f>
        <v>0</v>
      </c>
      <c r="AK240" s="21" t="n">
        <f aca="false">IF(OR(AE240="",AE240=0),0,AE240-AJ240)</f>
        <v>0</v>
      </c>
      <c r="AL240" s="19" t="str">
        <f aca="false">IF(AD240="","",AD240-AK240)</f>
        <v/>
      </c>
      <c r="AM240" s="9" t="str">
        <f aca="false">IF(C240="","","Waiting for payment")</f>
        <v/>
      </c>
      <c r="AN240" s="10"/>
      <c r="AO240" s="10"/>
      <c r="AP240" s="22" t="str">
        <f aca="false">IF(OR(C240="",I240="",K240=""),"",IF(K240="Monthly",EDATE(C240,ROUND(I240*SETTINGS!$I$8,0)),WORKDAY(C240,ROUND(I240*SETTINGS!$I$8,0))))</f>
        <v/>
      </c>
      <c r="AQ240" s="9" t="str">
        <f aca="true">IF(C240="","",IF(AND(AP240&lt;&gt;"",TODAY()&gt;=AP240),"Refi Ready",IF(TODAY()-C240&gt;=SETTINGS!$I$11,"Prospecting","Performing")))</f>
        <v/>
      </c>
      <c r="AR240" s="22" t="str">
        <f aca="false">IF(OR(C240="",I240="",K240=""),"",IF(K240="Monthly",EDATE(C240,I240),WORKDAY(C240,I240)))</f>
        <v/>
      </c>
      <c r="AS240" s="11"/>
      <c r="AT240" s="23" t="str">
        <f aca="true">IF(C240="","",IF(AM240="Clawed Back","CLAWED",IF(TODAY()&lt;=C240+SETTINGS!$I$2,"⚠ AT RISK","SAFE")))</f>
        <v/>
      </c>
      <c r="AU240" s="11"/>
      <c r="AW240" s="24" t="n">
        <f aca="false">AW239+IF(AND(C240&lt;&gt;"",AO240&lt;&gt;"",OR('REP COMMISSION'!$B$3="",T240='REP COMMISSION'!$B$3,W240='REP COMMISSION'!$B$3,Z240='REP COMMISSION'!$B$3)),1,0)</f>
        <v>0</v>
      </c>
      <c r="AX240" s="24" t="n">
        <f aca="false">AX239+IF(AND(C240&lt;&gt;"",OR(F240="LOC - INITIAL",F240="CONSOLIDATION - UPFRONT COMM",F240="REVERSE - TOTAL FUNDING")),1,0)</f>
        <v>0</v>
      </c>
    </row>
    <row r="241" customFormat="false" ht="15" hidden="false" customHeight="false" outlineLevel="0" collapsed="false">
      <c r="A241" s="25" t="str">
        <f aca="false">IF(C241&lt;&gt;"","F"&amp;COUNT($C$4:C241),"")</f>
        <v/>
      </c>
      <c r="B241" s="26" t="str">
        <f aca="false">IF(OR(F241="LOC - INITIAL",F241="CONSOLIDATION - UPFRONT COMM",F241="REVERSE - TOTAL FUNDING"),A241,"")</f>
        <v/>
      </c>
      <c r="C241" s="27"/>
      <c r="D241" s="28"/>
      <c r="E241" s="28"/>
      <c r="F241" s="28"/>
      <c r="G241" s="29"/>
      <c r="H241" s="30"/>
      <c r="I241" s="28"/>
      <c r="J241" s="31" t="str">
        <f aca="false">IF(AND(G241&lt;&gt;"",H241&lt;&gt;""),G241*H241,"")</f>
        <v/>
      </c>
      <c r="K241" s="28"/>
      <c r="L241" s="32"/>
      <c r="M241" s="32"/>
      <c r="N241" s="31" t="n">
        <f aca="false">IF(OR(G241="",M241=""),0,IF(M241&gt;100,M241,G241*IF(M241&gt;1,M241/100,M241)))</f>
        <v>0</v>
      </c>
      <c r="O241" s="31" t="str">
        <f aca="false">IF(G241="","",G241*IF(L241="",0,IF(L241&gt;1,L241/100,L241))+N241)</f>
        <v/>
      </c>
      <c r="P241" s="28"/>
      <c r="Q241" s="33" t="str">
        <f aca="false">IF(P241="","",IFERROR(VLOOKUP(P241,PARTNERS!$A$2:$B$30,2,0),""))</f>
        <v/>
      </c>
      <c r="R241" s="17" t="str">
        <f aca="false">IF(O241="","",IF(OR(P241="",Q241=""),0,(O241-N241)*IF(Q241&gt;1,Q241/100,Q241)))</f>
        <v/>
      </c>
      <c r="S241" s="31" t="str">
        <f aca="false">IF(O241="","",O241-R241)</f>
        <v/>
      </c>
      <c r="T241" s="28"/>
      <c r="U241" s="34" t="str">
        <f aca="false">IF(T241="","",IFERROR(VLOOKUP(T241,REPS!$A$2:$D$40,2,0),""))</f>
        <v/>
      </c>
      <c r="V241" s="31" t="str">
        <f aca="false">IF(O241="","",IF(U241="",0,O241*IF(U241&gt;1,U241/100,U241)))</f>
        <v/>
      </c>
      <c r="W241" s="28"/>
      <c r="X241" s="34" t="str">
        <f aca="false">IF(W241="","",IFERROR(VLOOKUP(W241,REPS!$A$2:$D$40,3,0),""))</f>
        <v/>
      </c>
      <c r="Y241" s="31" t="str">
        <f aca="false">IF(O241="","",IF(X241="",0,O241*IF(X241&gt;1,X241/100,X241)))</f>
        <v/>
      </c>
      <c r="Z241" s="28"/>
      <c r="AA241" s="34" t="str">
        <f aca="false">IF(Z241="","",IFERROR(VLOOKUP(Z241,REPS!$A$2:$D$40,4,0),""))</f>
        <v/>
      </c>
      <c r="AB241" s="31" t="str">
        <f aca="false">IF(O241="","",IF(AA241="",0,O241*IF(AA241&gt;1,AA241/100,AA241)))</f>
        <v/>
      </c>
      <c r="AC241" s="31" t="str">
        <f aca="false">IF(O241="","",V241+Y241+AB241)</f>
        <v/>
      </c>
      <c r="AD241" s="19" t="str">
        <f aca="false">IF(O241="","",O241-R241-AC241)</f>
        <v/>
      </c>
      <c r="AE241" s="20"/>
      <c r="AF241" s="27"/>
      <c r="AG241" s="21" t="n">
        <f aca="false">IF(OR(AE241="",AE241=0),0,AE241*IF(U241="",0,IF(U241&gt;1,U241/100,U241)))</f>
        <v>0</v>
      </c>
      <c r="AH241" s="21" t="n">
        <f aca="false">IF(OR(AE241="",AE241=0),0,AE241*IF(X241="",0,IF(X241&gt;1,X241/100,X241)))</f>
        <v>0</v>
      </c>
      <c r="AI241" s="21" t="n">
        <f aca="false">IF(OR(AE241="",AE241=0),0,AE241*IF(AA241="",0,IF(AA241&gt;1,AA241/100,AA241)))</f>
        <v>0</v>
      </c>
      <c r="AJ241" s="21" t="n">
        <f aca="false">AG241+AH241+AI241</f>
        <v>0</v>
      </c>
      <c r="AK241" s="21" t="n">
        <f aca="false">IF(OR(AE241="",AE241=0),0,AE241-AJ241)</f>
        <v>0</v>
      </c>
      <c r="AL241" s="19" t="str">
        <f aca="false">IF(AD241="","",AD241-AK241)</f>
        <v/>
      </c>
      <c r="AM241" s="26" t="str">
        <f aca="false">IF(C241="","","Waiting for payment")</f>
        <v/>
      </c>
      <c r="AN241" s="27"/>
      <c r="AO241" s="27"/>
      <c r="AP241" s="35" t="str">
        <f aca="false">IF(OR(C241="",I241="",K241=""),"",IF(K241="Monthly",EDATE(C241,ROUND(I241*SETTINGS!$I$8,0)),WORKDAY(C241,ROUND(I241*SETTINGS!$I$8,0))))</f>
        <v/>
      </c>
      <c r="AQ241" s="26" t="str">
        <f aca="true">IF(C241="","",IF(AND(AP241&lt;&gt;"",TODAY()&gt;=AP241),"Refi Ready",IF(TODAY()-C241&gt;=SETTINGS!$I$11,"Prospecting","Performing")))</f>
        <v/>
      </c>
      <c r="AR241" s="35" t="str">
        <f aca="false">IF(OR(C241="",I241="",K241=""),"",IF(K241="Monthly",EDATE(C241,I241),WORKDAY(C241,I241)))</f>
        <v/>
      </c>
      <c r="AS241" s="28"/>
      <c r="AT241" s="36" t="str">
        <f aca="true">IF(C241="","",IF(AM241="Clawed Back","CLAWED",IF(TODAY()&lt;=C241+SETTINGS!$I$2,"⚠ AT RISK","SAFE")))</f>
        <v/>
      </c>
      <c r="AU241" s="28"/>
      <c r="AW241" s="24" t="n">
        <f aca="false">AW240+IF(AND(C241&lt;&gt;"",AO241&lt;&gt;"",OR('REP COMMISSION'!$B$3="",T241='REP COMMISSION'!$B$3,W241='REP COMMISSION'!$B$3,Z241='REP COMMISSION'!$B$3)),1,0)</f>
        <v>0</v>
      </c>
      <c r="AX241" s="24" t="n">
        <f aca="false">AX240+IF(AND(C241&lt;&gt;"",OR(F241="LOC - INITIAL",F241="CONSOLIDATION - UPFRONT COMM",F241="REVERSE - TOTAL FUNDING")),1,0)</f>
        <v>0</v>
      </c>
    </row>
    <row r="242" customFormat="false" ht="15" hidden="false" customHeight="false" outlineLevel="0" collapsed="false">
      <c r="A242" s="8" t="str">
        <f aca="false">IF(C242&lt;&gt;"","F"&amp;COUNT($C$4:C242),"")</f>
        <v/>
      </c>
      <c r="B242" s="9" t="str">
        <f aca="false">IF(OR(F242="LOC - INITIAL",F242="CONSOLIDATION - UPFRONT COMM",F242="REVERSE - TOTAL FUNDING"),A242,"")</f>
        <v/>
      </c>
      <c r="C242" s="10"/>
      <c r="D242" s="11"/>
      <c r="E242" s="11"/>
      <c r="F242" s="11"/>
      <c r="G242" s="12"/>
      <c r="H242" s="13"/>
      <c r="I242" s="11"/>
      <c r="J242" s="14" t="str">
        <f aca="false">IF(AND(G242&lt;&gt;"",H242&lt;&gt;""),G242*H242,"")</f>
        <v/>
      </c>
      <c r="K242" s="11"/>
      <c r="L242" s="15"/>
      <c r="M242" s="15"/>
      <c r="N242" s="14" t="n">
        <f aca="false">IF(OR(G242="",M242=""),0,IF(M242&gt;100,M242,G242*IF(M242&gt;1,M242/100,M242)))</f>
        <v>0</v>
      </c>
      <c r="O242" s="14" t="str">
        <f aca="false">IF(G242="","",G242*IF(L242="",0,IF(L242&gt;1,L242/100,L242))+N242)</f>
        <v/>
      </c>
      <c r="P242" s="11"/>
      <c r="Q242" s="16" t="str">
        <f aca="false">IF(P242="","",IFERROR(VLOOKUP(P242,PARTNERS!$A$2:$B$30,2,0),""))</f>
        <v/>
      </c>
      <c r="R242" s="17" t="str">
        <f aca="false">IF(O242="","",IF(OR(P242="",Q242=""),0,(O242-N242)*IF(Q242&gt;1,Q242/100,Q242)))</f>
        <v/>
      </c>
      <c r="S242" s="14" t="str">
        <f aca="false">IF(O242="","",O242-R242)</f>
        <v/>
      </c>
      <c r="T242" s="11"/>
      <c r="U242" s="18" t="str">
        <f aca="false">IF(T242="","",IFERROR(VLOOKUP(T242,REPS!$A$2:$D$40,2,0),""))</f>
        <v/>
      </c>
      <c r="V242" s="14" t="str">
        <f aca="false">IF(O242="","",IF(U242="",0,O242*IF(U242&gt;1,U242/100,U242)))</f>
        <v/>
      </c>
      <c r="W242" s="11"/>
      <c r="X242" s="18" t="str">
        <f aca="false">IF(W242="","",IFERROR(VLOOKUP(W242,REPS!$A$2:$D$40,3,0),""))</f>
        <v/>
      </c>
      <c r="Y242" s="14" t="str">
        <f aca="false">IF(O242="","",IF(X242="",0,O242*IF(X242&gt;1,X242/100,X242)))</f>
        <v/>
      </c>
      <c r="Z242" s="11"/>
      <c r="AA242" s="18" t="str">
        <f aca="false">IF(Z242="","",IFERROR(VLOOKUP(Z242,REPS!$A$2:$D$40,4,0),""))</f>
        <v/>
      </c>
      <c r="AB242" s="14" t="str">
        <f aca="false">IF(O242="","",IF(AA242="",0,O242*IF(AA242&gt;1,AA242/100,AA242)))</f>
        <v/>
      </c>
      <c r="AC242" s="14" t="str">
        <f aca="false">IF(O242="","",V242+Y242+AB242)</f>
        <v/>
      </c>
      <c r="AD242" s="19" t="str">
        <f aca="false">IF(O242="","",O242-R242-AC242)</f>
        <v/>
      </c>
      <c r="AE242" s="20"/>
      <c r="AF242" s="10"/>
      <c r="AG242" s="21" t="n">
        <f aca="false">IF(OR(AE242="",AE242=0),0,AE242*IF(U242="",0,IF(U242&gt;1,U242/100,U242)))</f>
        <v>0</v>
      </c>
      <c r="AH242" s="21" t="n">
        <f aca="false">IF(OR(AE242="",AE242=0),0,AE242*IF(X242="",0,IF(X242&gt;1,X242/100,X242)))</f>
        <v>0</v>
      </c>
      <c r="AI242" s="21" t="n">
        <f aca="false">IF(OR(AE242="",AE242=0),0,AE242*IF(AA242="",0,IF(AA242&gt;1,AA242/100,AA242)))</f>
        <v>0</v>
      </c>
      <c r="AJ242" s="21" t="n">
        <f aca="false">AG242+AH242+AI242</f>
        <v>0</v>
      </c>
      <c r="AK242" s="21" t="n">
        <f aca="false">IF(OR(AE242="",AE242=0),0,AE242-AJ242)</f>
        <v>0</v>
      </c>
      <c r="AL242" s="19" t="str">
        <f aca="false">IF(AD242="","",AD242-AK242)</f>
        <v/>
      </c>
      <c r="AM242" s="9" t="str">
        <f aca="false">IF(C242="","","Waiting for payment")</f>
        <v/>
      </c>
      <c r="AN242" s="10"/>
      <c r="AO242" s="10"/>
      <c r="AP242" s="22" t="str">
        <f aca="false">IF(OR(C242="",I242="",K242=""),"",IF(K242="Monthly",EDATE(C242,ROUND(I242*SETTINGS!$I$8,0)),WORKDAY(C242,ROUND(I242*SETTINGS!$I$8,0))))</f>
        <v/>
      </c>
      <c r="AQ242" s="9" t="str">
        <f aca="true">IF(C242="","",IF(AND(AP242&lt;&gt;"",TODAY()&gt;=AP242),"Refi Ready",IF(TODAY()-C242&gt;=SETTINGS!$I$11,"Prospecting","Performing")))</f>
        <v/>
      </c>
      <c r="AR242" s="22" t="str">
        <f aca="false">IF(OR(C242="",I242="",K242=""),"",IF(K242="Monthly",EDATE(C242,I242),WORKDAY(C242,I242)))</f>
        <v/>
      </c>
      <c r="AS242" s="11"/>
      <c r="AT242" s="23" t="str">
        <f aca="true">IF(C242="","",IF(AM242="Clawed Back","CLAWED",IF(TODAY()&lt;=C242+SETTINGS!$I$2,"⚠ AT RISK","SAFE")))</f>
        <v/>
      </c>
      <c r="AU242" s="11"/>
      <c r="AW242" s="24" t="n">
        <f aca="false">AW241+IF(AND(C242&lt;&gt;"",AO242&lt;&gt;"",OR('REP COMMISSION'!$B$3="",T242='REP COMMISSION'!$B$3,W242='REP COMMISSION'!$B$3,Z242='REP COMMISSION'!$B$3)),1,0)</f>
        <v>0</v>
      </c>
      <c r="AX242" s="24" t="n">
        <f aca="false">AX241+IF(AND(C242&lt;&gt;"",OR(F242="LOC - INITIAL",F242="CONSOLIDATION - UPFRONT COMM",F242="REVERSE - TOTAL FUNDING")),1,0)</f>
        <v>0</v>
      </c>
    </row>
    <row r="243" customFormat="false" ht="15" hidden="false" customHeight="false" outlineLevel="0" collapsed="false">
      <c r="A243" s="25" t="str">
        <f aca="false">IF(C243&lt;&gt;"","F"&amp;COUNT($C$4:C243),"")</f>
        <v/>
      </c>
      <c r="B243" s="26" t="str">
        <f aca="false">IF(OR(F243="LOC - INITIAL",F243="CONSOLIDATION - UPFRONT COMM",F243="REVERSE - TOTAL FUNDING"),A243,"")</f>
        <v/>
      </c>
      <c r="C243" s="27"/>
      <c r="D243" s="28"/>
      <c r="E243" s="28"/>
      <c r="F243" s="28"/>
      <c r="G243" s="29"/>
      <c r="H243" s="30"/>
      <c r="I243" s="28"/>
      <c r="J243" s="31" t="str">
        <f aca="false">IF(AND(G243&lt;&gt;"",H243&lt;&gt;""),G243*H243,"")</f>
        <v/>
      </c>
      <c r="K243" s="28"/>
      <c r="L243" s="32"/>
      <c r="M243" s="32"/>
      <c r="N243" s="31" t="n">
        <f aca="false">IF(OR(G243="",M243=""),0,IF(M243&gt;100,M243,G243*IF(M243&gt;1,M243/100,M243)))</f>
        <v>0</v>
      </c>
      <c r="O243" s="31" t="str">
        <f aca="false">IF(G243="","",G243*IF(L243="",0,IF(L243&gt;1,L243/100,L243))+N243)</f>
        <v/>
      </c>
      <c r="P243" s="28"/>
      <c r="Q243" s="33" t="str">
        <f aca="false">IF(P243="","",IFERROR(VLOOKUP(P243,PARTNERS!$A$2:$B$30,2,0),""))</f>
        <v/>
      </c>
      <c r="R243" s="17" t="str">
        <f aca="false">IF(O243="","",IF(OR(P243="",Q243=""),0,(O243-N243)*IF(Q243&gt;1,Q243/100,Q243)))</f>
        <v/>
      </c>
      <c r="S243" s="31" t="str">
        <f aca="false">IF(O243="","",O243-R243)</f>
        <v/>
      </c>
      <c r="T243" s="28"/>
      <c r="U243" s="34" t="str">
        <f aca="false">IF(T243="","",IFERROR(VLOOKUP(T243,REPS!$A$2:$D$40,2,0),""))</f>
        <v/>
      </c>
      <c r="V243" s="31" t="str">
        <f aca="false">IF(O243="","",IF(U243="",0,O243*IF(U243&gt;1,U243/100,U243)))</f>
        <v/>
      </c>
      <c r="W243" s="28"/>
      <c r="X243" s="34" t="str">
        <f aca="false">IF(W243="","",IFERROR(VLOOKUP(W243,REPS!$A$2:$D$40,3,0),""))</f>
        <v/>
      </c>
      <c r="Y243" s="31" t="str">
        <f aca="false">IF(O243="","",IF(X243="",0,O243*IF(X243&gt;1,X243/100,X243)))</f>
        <v/>
      </c>
      <c r="Z243" s="28"/>
      <c r="AA243" s="34" t="str">
        <f aca="false">IF(Z243="","",IFERROR(VLOOKUP(Z243,REPS!$A$2:$D$40,4,0),""))</f>
        <v/>
      </c>
      <c r="AB243" s="31" t="str">
        <f aca="false">IF(O243="","",IF(AA243="",0,O243*IF(AA243&gt;1,AA243/100,AA243)))</f>
        <v/>
      </c>
      <c r="AC243" s="31" t="str">
        <f aca="false">IF(O243="","",V243+Y243+AB243)</f>
        <v/>
      </c>
      <c r="AD243" s="19" t="str">
        <f aca="false">IF(O243="","",O243-R243-AC243)</f>
        <v/>
      </c>
      <c r="AE243" s="20"/>
      <c r="AF243" s="27"/>
      <c r="AG243" s="21" t="n">
        <f aca="false">IF(OR(AE243="",AE243=0),0,AE243*IF(U243="",0,IF(U243&gt;1,U243/100,U243)))</f>
        <v>0</v>
      </c>
      <c r="AH243" s="21" t="n">
        <f aca="false">IF(OR(AE243="",AE243=0),0,AE243*IF(X243="",0,IF(X243&gt;1,X243/100,X243)))</f>
        <v>0</v>
      </c>
      <c r="AI243" s="21" t="n">
        <f aca="false">IF(OR(AE243="",AE243=0),0,AE243*IF(AA243="",0,IF(AA243&gt;1,AA243/100,AA243)))</f>
        <v>0</v>
      </c>
      <c r="AJ243" s="21" t="n">
        <f aca="false">AG243+AH243+AI243</f>
        <v>0</v>
      </c>
      <c r="AK243" s="21" t="n">
        <f aca="false">IF(OR(AE243="",AE243=0),0,AE243-AJ243)</f>
        <v>0</v>
      </c>
      <c r="AL243" s="19" t="str">
        <f aca="false">IF(AD243="","",AD243-AK243)</f>
        <v/>
      </c>
      <c r="AM243" s="26" t="str">
        <f aca="false">IF(C243="","","Waiting for payment")</f>
        <v/>
      </c>
      <c r="AN243" s="27"/>
      <c r="AO243" s="27"/>
      <c r="AP243" s="35" t="str">
        <f aca="false">IF(OR(C243="",I243="",K243=""),"",IF(K243="Monthly",EDATE(C243,ROUND(I243*SETTINGS!$I$8,0)),WORKDAY(C243,ROUND(I243*SETTINGS!$I$8,0))))</f>
        <v/>
      </c>
      <c r="AQ243" s="26" t="str">
        <f aca="true">IF(C243="","",IF(AND(AP243&lt;&gt;"",TODAY()&gt;=AP243),"Refi Ready",IF(TODAY()-C243&gt;=SETTINGS!$I$11,"Prospecting","Performing")))</f>
        <v/>
      </c>
      <c r="AR243" s="35" t="str">
        <f aca="false">IF(OR(C243="",I243="",K243=""),"",IF(K243="Monthly",EDATE(C243,I243),WORKDAY(C243,I243)))</f>
        <v/>
      </c>
      <c r="AS243" s="28"/>
      <c r="AT243" s="36" t="str">
        <f aca="true">IF(C243="","",IF(AM243="Clawed Back","CLAWED",IF(TODAY()&lt;=C243+SETTINGS!$I$2,"⚠ AT RISK","SAFE")))</f>
        <v/>
      </c>
      <c r="AU243" s="28"/>
      <c r="AW243" s="24" t="n">
        <f aca="false">AW242+IF(AND(C243&lt;&gt;"",AO243&lt;&gt;"",OR('REP COMMISSION'!$B$3="",T243='REP COMMISSION'!$B$3,W243='REP COMMISSION'!$B$3,Z243='REP COMMISSION'!$B$3)),1,0)</f>
        <v>0</v>
      </c>
      <c r="AX243" s="24" t="n">
        <f aca="false">AX242+IF(AND(C243&lt;&gt;"",OR(F243="LOC - INITIAL",F243="CONSOLIDATION - UPFRONT COMM",F243="REVERSE - TOTAL FUNDING")),1,0)</f>
        <v>0</v>
      </c>
    </row>
    <row r="244" customFormat="false" ht="15" hidden="false" customHeight="false" outlineLevel="0" collapsed="false">
      <c r="A244" s="8" t="str">
        <f aca="false">IF(C244&lt;&gt;"","F"&amp;COUNT($C$4:C244),"")</f>
        <v/>
      </c>
      <c r="B244" s="9" t="str">
        <f aca="false">IF(OR(F244="LOC - INITIAL",F244="CONSOLIDATION - UPFRONT COMM",F244="REVERSE - TOTAL FUNDING"),A244,"")</f>
        <v/>
      </c>
      <c r="C244" s="10"/>
      <c r="D244" s="11"/>
      <c r="E244" s="11"/>
      <c r="F244" s="11"/>
      <c r="G244" s="12"/>
      <c r="H244" s="13"/>
      <c r="I244" s="11"/>
      <c r="J244" s="14" t="str">
        <f aca="false">IF(AND(G244&lt;&gt;"",H244&lt;&gt;""),G244*H244,"")</f>
        <v/>
      </c>
      <c r="K244" s="11"/>
      <c r="L244" s="15"/>
      <c r="M244" s="15"/>
      <c r="N244" s="14" t="n">
        <f aca="false">IF(OR(G244="",M244=""),0,IF(M244&gt;100,M244,G244*IF(M244&gt;1,M244/100,M244)))</f>
        <v>0</v>
      </c>
      <c r="O244" s="14" t="str">
        <f aca="false">IF(G244="","",G244*IF(L244="",0,IF(L244&gt;1,L244/100,L244))+N244)</f>
        <v/>
      </c>
      <c r="P244" s="11"/>
      <c r="Q244" s="16" t="str">
        <f aca="false">IF(P244="","",IFERROR(VLOOKUP(P244,PARTNERS!$A$2:$B$30,2,0),""))</f>
        <v/>
      </c>
      <c r="R244" s="17" t="str">
        <f aca="false">IF(O244="","",IF(OR(P244="",Q244=""),0,(O244-N244)*IF(Q244&gt;1,Q244/100,Q244)))</f>
        <v/>
      </c>
      <c r="S244" s="14" t="str">
        <f aca="false">IF(O244="","",O244-R244)</f>
        <v/>
      </c>
      <c r="T244" s="11"/>
      <c r="U244" s="18" t="str">
        <f aca="false">IF(T244="","",IFERROR(VLOOKUP(T244,REPS!$A$2:$D$40,2,0),""))</f>
        <v/>
      </c>
      <c r="V244" s="14" t="str">
        <f aca="false">IF(O244="","",IF(U244="",0,O244*IF(U244&gt;1,U244/100,U244)))</f>
        <v/>
      </c>
      <c r="W244" s="11"/>
      <c r="X244" s="18" t="str">
        <f aca="false">IF(W244="","",IFERROR(VLOOKUP(W244,REPS!$A$2:$D$40,3,0),""))</f>
        <v/>
      </c>
      <c r="Y244" s="14" t="str">
        <f aca="false">IF(O244="","",IF(X244="",0,O244*IF(X244&gt;1,X244/100,X244)))</f>
        <v/>
      </c>
      <c r="Z244" s="11"/>
      <c r="AA244" s="18" t="str">
        <f aca="false">IF(Z244="","",IFERROR(VLOOKUP(Z244,REPS!$A$2:$D$40,4,0),""))</f>
        <v/>
      </c>
      <c r="AB244" s="14" t="str">
        <f aca="false">IF(O244="","",IF(AA244="",0,O244*IF(AA244&gt;1,AA244/100,AA244)))</f>
        <v/>
      </c>
      <c r="AC244" s="14" t="str">
        <f aca="false">IF(O244="","",V244+Y244+AB244)</f>
        <v/>
      </c>
      <c r="AD244" s="19" t="str">
        <f aca="false">IF(O244="","",O244-R244-AC244)</f>
        <v/>
      </c>
      <c r="AE244" s="20"/>
      <c r="AF244" s="10"/>
      <c r="AG244" s="21" t="n">
        <f aca="false">IF(OR(AE244="",AE244=0),0,AE244*IF(U244="",0,IF(U244&gt;1,U244/100,U244)))</f>
        <v>0</v>
      </c>
      <c r="AH244" s="21" t="n">
        <f aca="false">IF(OR(AE244="",AE244=0),0,AE244*IF(X244="",0,IF(X244&gt;1,X244/100,X244)))</f>
        <v>0</v>
      </c>
      <c r="AI244" s="21" t="n">
        <f aca="false">IF(OR(AE244="",AE244=0),0,AE244*IF(AA244="",0,IF(AA244&gt;1,AA244/100,AA244)))</f>
        <v>0</v>
      </c>
      <c r="AJ244" s="21" t="n">
        <f aca="false">AG244+AH244+AI244</f>
        <v>0</v>
      </c>
      <c r="AK244" s="21" t="n">
        <f aca="false">IF(OR(AE244="",AE244=0),0,AE244-AJ244)</f>
        <v>0</v>
      </c>
      <c r="AL244" s="19" t="str">
        <f aca="false">IF(AD244="","",AD244-AK244)</f>
        <v/>
      </c>
      <c r="AM244" s="9" t="str">
        <f aca="false">IF(C244="","","Waiting for payment")</f>
        <v/>
      </c>
      <c r="AN244" s="10"/>
      <c r="AO244" s="10"/>
      <c r="AP244" s="22" t="str">
        <f aca="false">IF(OR(C244="",I244="",K244=""),"",IF(K244="Monthly",EDATE(C244,ROUND(I244*SETTINGS!$I$8,0)),WORKDAY(C244,ROUND(I244*SETTINGS!$I$8,0))))</f>
        <v/>
      </c>
      <c r="AQ244" s="9" t="str">
        <f aca="true">IF(C244="","",IF(AND(AP244&lt;&gt;"",TODAY()&gt;=AP244),"Refi Ready",IF(TODAY()-C244&gt;=SETTINGS!$I$11,"Prospecting","Performing")))</f>
        <v/>
      </c>
      <c r="AR244" s="22" t="str">
        <f aca="false">IF(OR(C244="",I244="",K244=""),"",IF(K244="Monthly",EDATE(C244,I244),WORKDAY(C244,I244)))</f>
        <v/>
      </c>
      <c r="AS244" s="11"/>
      <c r="AT244" s="23" t="str">
        <f aca="true">IF(C244="","",IF(AM244="Clawed Back","CLAWED",IF(TODAY()&lt;=C244+SETTINGS!$I$2,"⚠ AT RISK","SAFE")))</f>
        <v/>
      </c>
      <c r="AU244" s="11"/>
      <c r="AW244" s="24" t="n">
        <f aca="false">AW243+IF(AND(C244&lt;&gt;"",AO244&lt;&gt;"",OR('REP COMMISSION'!$B$3="",T244='REP COMMISSION'!$B$3,W244='REP COMMISSION'!$B$3,Z244='REP COMMISSION'!$B$3)),1,0)</f>
        <v>0</v>
      </c>
      <c r="AX244" s="24" t="n">
        <f aca="false">AX243+IF(AND(C244&lt;&gt;"",OR(F244="LOC - INITIAL",F244="CONSOLIDATION - UPFRONT COMM",F244="REVERSE - TOTAL FUNDING")),1,0)</f>
        <v>0</v>
      </c>
    </row>
    <row r="245" customFormat="false" ht="15" hidden="false" customHeight="false" outlineLevel="0" collapsed="false">
      <c r="A245" s="25" t="str">
        <f aca="false">IF(C245&lt;&gt;"","F"&amp;COUNT($C$4:C245),"")</f>
        <v/>
      </c>
      <c r="B245" s="26" t="str">
        <f aca="false">IF(OR(F245="LOC - INITIAL",F245="CONSOLIDATION - UPFRONT COMM",F245="REVERSE - TOTAL FUNDING"),A245,"")</f>
        <v/>
      </c>
      <c r="C245" s="27"/>
      <c r="D245" s="28"/>
      <c r="E245" s="28"/>
      <c r="F245" s="28"/>
      <c r="G245" s="29"/>
      <c r="H245" s="30"/>
      <c r="I245" s="28"/>
      <c r="J245" s="31" t="str">
        <f aca="false">IF(AND(G245&lt;&gt;"",H245&lt;&gt;""),G245*H245,"")</f>
        <v/>
      </c>
      <c r="K245" s="28"/>
      <c r="L245" s="32"/>
      <c r="M245" s="32"/>
      <c r="N245" s="31" t="n">
        <f aca="false">IF(OR(G245="",M245=""),0,IF(M245&gt;100,M245,G245*IF(M245&gt;1,M245/100,M245)))</f>
        <v>0</v>
      </c>
      <c r="O245" s="31" t="str">
        <f aca="false">IF(G245="","",G245*IF(L245="",0,IF(L245&gt;1,L245/100,L245))+N245)</f>
        <v/>
      </c>
      <c r="P245" s="28"/>
      <c r="Q245" s="33" t="str">
        <f aca="false">IF(P245="","",IFERROR(VLOOKUP(P245,PARTNERS!$A$2:$B$30,2,0),""))</f>
        <v/>
      </c>
      <c r="R245" s="17" t="str">
        <f aca="false">IF(O245="","",IF(OR(P245="",Q245=""),0,(O245-N245)*IF(Q245&gt;1,Q245/100,Q245)))</f>
        <v/>
      </c>
      <c r="S245" s="31" t="str">
        <f aca="false">IF(O245="","",O245-R245)</f>
        <v/>
      </c>
      <c r="T245" s="28"/>
      <c r="U245" s="34" t="str">
        <f aca="false">IF(T245="","",IFERROR(VLOOKUP(T245,REPS!$A$2:$D$40,2,0),""))</f>
        <v/>
      </c>
      <c r="V245" s="31" t="str">
        <f aca="false">IF(O245="","",IF(U245="",0,O245*IF(U245&gt;1,U245/100,U245)))</f>
        <v/>
      </c>
      <c r="W245" s="28"/>
      <c r="X245" s="34" t="str">
        <f aca="false">IF(W245="","",IFERROR(VLOOKUP(W245,REPS!$A$2:$D$40,3,0),""))</f>
        <v/>
      </c>
      <c r="Y245" s="31" t="str">
        <f aca="false">IF(O245="","",IF(X245="",0,O245*IF(X245&gt;1,X245/100,X245)))</f>
        <v/>
      </c>
      <c r="Z245" s="28"/>
      <c r="AA245" s="34" t="str">
        <f aca="false">IF(Z245="","",IFERROR(VLOOKUP(Z245,REPS!$A$2:$D$40,4,0),""))</f>
        <v/>
      </c>
      <c r="AB245" s="31" t="str">
        <f aca="false">IF(O245="","",IF(AA245="",0,O245*IF(AA245&gt;1,AA245/100,AA245)))</f>
        <v/>
      </c>
      <c r="AC245" s="31" t="str">
        <f aca="false">IF(O245="","",V245+Y245+AB245)</f>
        <v/>
      </c>
      <c r="AD245" s="19" t="str">
        <f aca="false">IF(O245="","",O245-R245-AC245)</f>
        <v/>
      </c>
      <c r="AE245" s="20"/>
      <c r="AF245" s="27"/>
      <c r="AG245" s="21" t="n">
        <f aca="false">IF(OR(AE245="",AE245=0),0,AE245*IF(U245="",0,IF(U245&gt;1,U245/100,U245)))</f>
        <v>0</v>
      </c>
      <c r="AH245" s="21" t="n">
        <f aca="false">IF(OR(AE245="",AE245=0),0,AE245*IF(X245="",0,IF(X245&gt;1,X245/100,X245)))</f>
        <v>0</v>
      </c>
      <c r="AI245" s="21" t="n">
        <f aca="false">IF(OR(AE245="",AE245=0),0,AE245*IF(AA245="",0,IF(AA245&gt;1,AA245/100,AA245)))</f>
        <v>0</v>
      </c>
      <c r="AJ245" s="21" t="n">
        <f aca="false">AG245+AH245+AI245</f>
        <v>0</v>
      </c>
      <c r="AK245" s="21" t="n">
        <f aca="false">IF(OR(AE245="",AE245=0),0,AE245-AJ245)</f>
        <v>0</v>
      </c>
      <c r="AL245" s="19" t="str">
        <f aca="false">IF(AD245="","",AD245-AK245)</f>
        <v/>
      </c>
      <c r="AM245" s="26" t="str">
        <f aca="false">IF(C245="","","Waiting for payment")</f>
        <v/>
      </c>
      <c r="AN245" s="27"/>
      <c r="AO245" s="27"/>
      <c r="AP245" s="35" t="str">
        <f aca="false">IF(OR(C245="",I245="",K245=""),"",IF(K245="Monthly",EDATE(C245,ROUND(I245*SETTINGS!$I$8,0)),WORKDAY(C245,ROUND(I245*SETTINGS!$I$8,0))))</f>
        <v/>
      </c>
      <c r="AQ245" s="26" t="str">
        <f aca="true">IF(C245="","",IF(AND(AP245&lt;&gt;"",TODAY()&gt;=AP245),"Refi Ready",IF(TODAY()-C245&gt;=SETTINGS!$I$11,"Prospecting","Performing")))</f>
        <v/>
      </c>
      <c r="AR245" s="35" t="str">
        <f aca="false">IF(OR(C245="",I245="",K245=""),"",IF(K245="Monthly",EDATE(C245,I245),WORKDAY(C245,I245)))</f>
        <v/>
      </c>
      <c r="AS245" s="28"/>
      <c r="AT245" s="36" t="str">
        <f aca="true">IF(C245="","",IF(AM245="Clawed Back","CLAWED",IF(TODAY()&lt;=C245+SETTINGS!$I$2,"⚠ AT RISK","SAFE")))</f>
        <v/>
      </c>
      <c r="AU245" s="28"/>
      <c r="AW245" s="24" t="n">
        <f aca="false">AW244+IF(AND(C245&lt;&gt;"",AO245&lt;&gt;"",OR('REP COMMISSION'!$B$3="",T245='REP COMMISSION'!$B$3,W245='REP COMMISSION'!$B$3,Z245='REP COMMISSION'!$B$3)),1,0)</f>
        <v>0</v>
      </c>
      <c r="AX245" s="24" t="n">
        <f aca="false">AX244+IF(AND(C245&lt;&gt;"",OR(F245="LOC - INITIAL",F245="CONSOLIDATION - UPFRONT COMM",F245="REVERSE - TOTAL FUNDING")),1,0)</f>
        <v>0</v>
      </c>
    </row>
    <row r="246" customFormat="false" ht="15" hidden="false" customHeight="false" outlineLevel="0" collapsed="false">
      <c r="A246" s="8" t="str">
        <f aca="false">IF(C246&lt;&gt;"","F"&amp;COUNT($C$4:C246),"")</f>
        <v/>
      </c>
      <c r="B246" s="9" t="str">
        <f aca="false">IF(OR(F246="LOC - INITIAL",F246="CONSOLIDATION - UPFRONT COMM",F246="REVERSE - TOTAL FUNDING"),A246,"")</f>
        <v/>
      </c>
      <c r="C246" s="10"/>
      <c r="D246" s="11"/>
      <c r="E246" s="11"/>
      <c r="F246" s="11"/>
      <c r="G246" s="12"/>
      <c r="H246" s="13"/>
      <c r="I246" s="11"/>
      <c r="J246" s="14" t="str">
        <f aca="false">IF(AND(G246&lt;&gt;"",H246&lt;&gt;""),G246*H246,"")</f>
        <v/>
      </c>
      <c r="K246" s="11"/>
      <c r="L246" s="15"/>
      <c r="M246" s="15"/>
      <c r="N246" s="14" t="n">
        <f aca="false">IF(OR(G246="",M246=""),0,IF(M246&gt;100,M246,G246*IF(M246&gt;1,M246/100,M246)))</f>
        <v>0</v>
      </c>
      <c r="O246" s="14" t="str">
        <f aca="false">IF(G246="","",G246*IF(L246="",0,IF(L246&gt;1,L246/100,L246))+N246)</f>
        <v/>
      </c>
      <c r="P246" s="11"/>
      <c r="Q246" s="16" t="str">
        <f aca="false">IF(P246="","",IFERROR(VLOOKUP(P246,PARTNERS!$A$2:$B$30,2,0),""))</f>
        <v/>
      </c>
      <c r="R246" s="17" t="str">
        <f aca="false">IF(O246="","",IF(OR(P246="",Q246=""),0,(O246-N246)*IF(Q246&gt;1,Q246/100,Q246)))</f>
        <v/>
      </c>
      <c r="S246" s="14" t="str">
        <f aca="false">IF(O246="","",O246-R246)</f>
        <v/>
      </c>
      <c r="T246" s="11"/>
      <c r="U246" s="18" t="str">
        <f aca="false">IF(T246="","",IFERROR(VLOOKUP(T246,REPS!$A$2:$D$40,2,0),""))</f>
        <v/>
      </c>
      <c r="V246" s="14" t="str">
        <f aca="false">IF(O246="","",IF(U246="",0,O246*IF(U246&gt;1,U246/100,U246)))</f>
        <v/>
      </c>
      <c r="W246" s="11"/>
      <c r="X246" s="18" t="str">
        <f aca="false">IF(W246="","",IFERROR(VLOOKUP(W246,REPS!$A$2:$D$40,3,0),""))</f>
        <v/>
      </c>
      <c r="Y246" s="14" t="str">
        <f aca="false">IF(O246="","",IF(X246="",0,O246*IF(X246&gt;1,X246/100,X246)))</f>
        <v/>
      </c>
      <c r="Z246" s="11"/>
      <c r="AA246" s="18" t="str">
        <f aca="false">IF(Z246="","",IFERROR(VLOOKUP(Z246,REPS!$A$2:$D$40,4,0),""))</f>
        <v/>
      </c>
      <c r="AB246" s="14" t="str">
        <f aca="false">IF(O246="","",IF(AA246="",0,O246*IF(AA246&gt;1,AA246/100,AA246)))</f>
        <v/>
      </c>
      <c r="AC246" s="14" t="str">
        <f aca="false">IF(O246="","",V246+Y246+AB246)</f>
        <v/>
      </c>
      <c r="AD246" s="19" t="str">
        <f aca="false">IF(O246="","",O246-R246-AC246)</f>
        <v/>
      </c>
      <c r="AE246" s="20"/>
      <c r="AF246" s="10"/>
      <c r="AG246" s="21" t="n">
        <f aca="false">IF(OR(AE246="",AE246=0),0,AE246*IF(U246="",0,IF(U246&gt;1,U246/100,U246)))</f>
        <v>0</v>
      </c>
      <c r="AH246" s="21" t="n">
        <f aca="false">IF(OR(AE246="",AE246=0),0,AE246*IF(X246="",0,IF(X246&gt;1,X246/100,X246)))</f>
        <v>0</v>
      </c>
      <c r="AI246" s="21" t="n">
        <f aca="false">IF(OR(AE246="",AE246=0),0,AE246*IF(AA246="",0,IF(AA246&gt;1,AA246/100,AA246)))</f>
        <v>0</v>
      </c>
      <c r="AJ246" s="21" t="n">
        <f aca="false">AG246+AH246+AI246</f>
        <v>0</v>
      </c>
      <c r="AK246" s="21" t="n">
        <f aca="false">IF(OR(AE246="",AE246=0),0,AE246-AJ246)</f>
        <v>0</v>
      </c>
      <c r="AL246" s="19" t="str">
        <f aca="false">IF(AD246="","",AD246-AK246)</f>
        <v/>
      </c>
      <c r="AM246" s="9" t="str">
        <f aca="false">IF(C246="","","Waiting for payment")</f>
        <v/>
      </c>
      <c r="AN246" s="10"/>
      <c r="AO246" s="10"/>
      <c r="AP246" s="22" t="str">
        <f aca="false">IF(OR(C246="",I246="",K246=""),"",IF(K246="Monthly",EDATE(C246,ROUND(I246*SETTINGS!$I$8,0)),WORKDAY(C246,ROUND(I246*SETTINGS!$I$8,0))))</f>
        <v/>
      </c>
      <c r="AQ246" s="9" t="str">
        <f aca="true">IF(C246="","",IF(AND(AP246&lt;&gt;"",TODAY()&gt;=AP246),"Refi Ready",IF(TODAY()-C246&gt;=SETTINGS!$I$11,"Prospecting","Performing")))</f>
        <v/>
      </c>
      <c r="AR246" s="22" t="str">
        <f aca="false">IF(OR(C246="",I246="",K246=""),"",IF(K246="Monthly",EDATE(C246,I246),WORKDAY(C246,I246)))</f>
        <v/>
      </c>
      <c r="AS246" s="11"/>
      <c r="AT246" s="23" t="str">
        <f aca="true">IF(C246="","",IF(AM246="Clawed Back","CLAWED",IF(TODAY()&lt;=C246+SETTINGS!$I$2,"⚠ AT RISK","SAFE")))</f>
        <v/>
      </c>
      <c r="AU246" s="11"/>
      <c r="AW246" s="24" t="n">
        <f aca="false">AW245+IF(AND(C246&lt;&gt;"",AO246&lt;&gt;"",OR('REP COMMISSION'!$B$3="",T246='REP COMMISSION'!$B$3,W246='REP COMMISSION'!$B$3,Z246='REP COMMISSION'!$B$3)),1,0)</f>
        <v>0</v>
      </c>
      <c r="AX246" s="24" t="n">
        <f aca="false">AX245+IF(AND(C246&lt;&gt;"",OR(F246="LOC - INITIAL",F246="CONSOLIDATION - UPFRONT COMM",F246="REVERSE - TOTAL FUNDING")),1,0)</f>
        <v>0</v>
      </c>
    </row>
    <row r="247" customFormat="false" ht="15" hidden="false" customHeight="false" outlineLevel="0" collapsed="false">
      <c r="A247" s="25" t="str">
        <f aca="false">IF(C247&lt;&gt;"","F"&amp;COUNT($C$4:C247),"")</f>
        <v/>
      </c>
      <c r="B247" s="26" t="str">
        <f aca="false">IF(OR(F247="LOC - INITIAL",F247="CONSOLIDATION - UPFRONT COMM",F247="REVERSE - TOTAL FUNDING"),A247,"")</f>
        <v/>
      </c>
      <c r="C247" s="27"/>
      <c r="D247" s="28"/>
      <c r="E247" s="28"/>
      <c r="F247" s="28"/>
      <c r="G247" s="29"/>
      <c r="H247" s="30"/>
      <c r="I247" s="28"/>
      <c r="J247" s="31" t="str">
        <f aca="false">IF(AND(G247&lt;&gt;"",H247&lt;&gt;""),G247*H247,"")</f>
        <v/>
      </c>
      <c r="K247" s="28"/>
      <c r="L247" s="32"/>
      <c r="M247" s="32"/>
      <c r="N247" s="31" t="n">
        <f aca="false">IF(OR(G247="",M247=""),0,IF(M247&gt;100,M247,G247*IF(M247&gt;1,M247/100,M247)))</f>
        <v>0</v>
      </c>
      <c r="O247" s="31" t="str">
        <f aca="false">IF(G247="","",G247*IF(L247="",0,IF(L247&gt;1,L247/100,L247))+N247)</f>
        <v/>
      </c>
      <c r="P247" s="28"/>
      <c r="Q247" s="33" t="str">
        <f aca="false">IF(P247="","",IFERROR(VLOOKUP(P247,PARTNERS!$A$2:$B$30,2,0),""))</f>
        <v/>
      </c>
      <c r="R247" s="17" t="str">
        <f aca="false">IF(O247="","",IF(OR(P247="",Q247=""),0,(O247-N247)*IF(Q247&gt;1,Q247/100,Q247)))</f>
        <v/>
      </c>
      <c r="S247" s="31" t="str">
        <f aca="false">IF(O247="","",O247-R247)</f>
        <v/>
      </c>
      <c r="T247" s="28"/>
      <c r="U247" s="34" t="str">
        <f aca="false">IF(T247="","",IFERROR(VLOOKUP(T247,REPS!$A$2:$D$40,2,0),""))</f>
        <v/>
      </c>
      <c r="V247" s="31" t="str">
        <f aca="false">IF(O247="","",IF(U247="",0,O247*IF(U247&gt;1,U247/100,U247)))</f>
        <v/>
      </c>
      <c r="W247" s="28"/>
      <c r="X247" s="34" t="str">
        <f aca="false">IF(W247="","",IFERROR(VLOOKUP(W247,REPS!$A$2:$D$40,3,0),""))</f>
        <v/>
      </c>
      <c r="Y247" s="31" t="str">
        <f aca="false">IF(O247="","",IF(X247="",0,O247*IF(X247&gt;1,X247/100,X247)))</f>
        <v/>
      </c>
      <c r="Z247" s="28"/>
      <c r="AA247" s="34" t="str">
        <f aca="false">IF(Z247="","",IFERROR(VLOOKUP(Z247,REPS!$A$2:$D$40,4,0),""))</f>
        <v/>
      </c>
      <c r="AB247" s="31" t="str">
        <f aca="false">IF(O247="","",IF(AA247="",0,O247*IF(AA247&gt;1,AA247/100,AA247)))</f>
        <v/>
      </c>
      <c r="AC247" s="31" t="str">
        <f aca="false">IF(O247="","",V247+Y247+AB247)</f>
        <v/>
      </c>
      <c r="AD247" s="19" t="str">
        <f aca="false">IF(O247="","",O247-R247-AC247)</f>
        <v/>
      </c>
      <c r="AE247" s="20"/>
      <c r="AF247" s="27"/>
      <c r="AG247" s="21" t="n">
        <f aca="false">IF(OR(AE247="",AE247=0),0,AE247*IF(U247="",0,IF(U247&gt;1,U247/100,U247)))</f>
        <v>0</v>
      </c>
      <c r="AH247" s="21" t="n">
        <f aca="false">IF(OR(AE247="",AE247=0),0,AE247*IF(X247="",0,IF(X247&gt;1,X247/100,X247)))</f>
        <v>0</v>
      </c>
      <c r="AI247" s="21" t="n">
        <f aca="false">IF(OR(AE247="",AE247=0),0,AE247*IF(AA247="",0,IF(AA247&gt;1,AA247/100,AA247)))</f>
        <v>0</v>
      </c>
      <c r="AJ247" s="21" t="n">
        <f aca="false">AG247+AH247+AI247</f>
        <v>0</v>
      </c>
      <c r="AK247" s="21" t="n">
        <f aca="false">IF(OR(AE247="",AE247=0),0,AE247-AJ247)</f>
        <v>0</v>
      </c>
      <c r="AL247" s="19" t="str">
        <f aca="false">IF(AD247="","",AD247-AK247)</f>
        <v/>
      </c>
      <c r="AM247" s="26" t="str">
        <f aca="false">IF(C247="","","Waiting for payment")</f>
        <v/>
      </c>
      <c r="AN247" s="27"/>
      <c r="AO247" s="27"/>
      <c r="AP247" s="35" t="str">
        <f aca="false">IF(OR(C247="",I247="",K247=""),"",IF(K247="Monthly",EDATE(C247,ROUND(I247*SETTINGS!$I$8,0)),WORKDAY(C247,ROUND(I247*SETTINGS!$I$8,0))))</f>
        <v/>
      </c>
      <c r="AQ247" s="26" t="str">
        <f aca="true">IF(C247="","",IF(AND(AP247&lt;&gt;"",TODAY()&gt;=AP247),"Refi Ready",IF(TODAY()-C247&gt;=SETTINGS!$I$11,"Prospecting","Performing")))</f>
        <v/>
      </c>
      <c r="AR247" s="35" t="str">
        <f aca="false">IF(OR(C247="",I247="",K247=""),"",IF(K247="Monthly",EDATE(C247,I247),WORKDAY(C247,I247)))</f>
        <v/>
      </c>
      <c r="AS247" s="28"/>
      <c r="AT247" s="36" t="str">
        <f aca="true">IF(C247="","",IF(AM247="Clawed Back","CLAWED",IF(TODAY()&lt;=C247+SETTINGS!$I$2,"⚠ AT RISK","SAFE")))</f>
        <v/>
      </c>
      <c r="AU247" s="28"/>
      <c r="AW247" s="24" t="n">
        <f aca="false">AW246+IF(AND(C247&lt;&gt;"",AO247&lt;&gt;"",OR('REP COMMISSION'!$B$3="",T247='REP COMMISSION'!$B$3,W247='REP COMMISSION'!$B$3,Z247='REP COMMISSION'!$B$3)),1,0)</f>
        <v>0</v>
      </c>
      <c r="AX247" s="24" t="n">
        <f aca="false">AX246+IF(AND(C247&lt;&gt;"",OR(F247="LOC - INITIAL",F247="CONSOLIDATION - UPFRONT COMM",F247="REVERSE - TOTAL FUNDING")),1,0)</f>
        <v>0</v>
      </c>
    </row>
    <row r="248" customFormat="false" ht="15" hidden="false" customHeight="false" outlineLevel="0" collapsed="false">
      <c r="A248" s="8" t="str">
        <f aca="false">IF(C248&lt;&gt;"","F"&amp;COUNT($C$4:C248),"")</f>
        <v/>
      </c>
      <c r="B248" s="9" t="str">
        <f aca="false">IF(OR(F248="LOC - INITIAL",F248="CONSOLIDATION - UPFRONT COMM",F248="REVERSE - TOTAL FUNDING"),A248,"")</f>
        <v/>
      </c>
      <c r="C248" s="10"/>
      <c r="D248" s="11"/>
      <c r="E248" s="11"/>
      <c r="F248" s="11"/>
      <c r="G248" s="12"/>
      <c r="H248" s="13"/>
      <c r="I248" s="11"/>
      <c r="J248" s="14" t="str">
        <f aca="false">IF(AND(G248&lt;&gt;"",H248&lt;&gt;""),G248*H248,"")</f>
        <v/>
      </c>
      <c r="K248" s="11"/>
      <c r="L248" s="15"/>
      <c r="M248" s="15"/>
      <c r="N248" s="14" t="n">
        <f aca="false">IF(OR(G248="",M248=""),0,IF(M248&gt;100,M248,G248*IF(M248&gt;1,M248/100,M248)))</f>
        <v>0</v>
      </c>
      <c r="O248" s="14" t="str">
        <f aca="false">IF(G248="","",G248*IF(L248="",0,IF(L248&gt;1,L248/100,L248))+N248)</f>
        <v/>
      </c>
      <c r="P248" s="11"/>
      <c r="Q248" s="16" t="str">
        <f aca="false">IF(P248="","",IFERROR(VLOOKUP(P248,PARTNERS!$A$2:$B$30,2,0),""))</f>
        <v/>
      </c>
      <c r="R248" s="17" t="str">
        <f aca="false">IF(O248="","",IF(OR(P248="",Q248=""),0,(O248-N248)*IF(Q248&gt;1,Q248/100,Q248)))</f>
        <v/>
      </c>
      <c r="S248" s="14" t="str">
        <f aca="false">IF(O248="","",O248-R248)</f>
        <v/>
      </c>
      <c r="T248" s="11"/>
      <c r="U248" s="18" t="str">
        <f aca="false">IF(T248="","",IFERROR(VLOOKUP(T248,REPS!$A$2:$D$40,2,0),""))</f>
        <v/>
      </c>
      <c r="V248" s="14" t="str">
        <f aca="false">IF(O248="","",IF(U248="",0,O248*IF(U248&gt;1,U248/100,U248)))</f>
        <v/>
      </c>
      <c r="W248" s="11"/>
      <c r="X248" s="18" t="str">
        <f aca="false">IF(W248="","",IFERROR(VLOOKUP(W248,REPS!$A$2:$D$40,3,0),""))</f>
        <v/>
      </c>
      <c r="Y248" s="14" t="str">
        <f aca="false">IF(O248="","",IF(X248="",0,O248*IF(X248&gt;1,X248/100,X248)))</f>
        <v/>
      </c>
      <c r="Z248" s="11"/>
      <c r="AA248" s="18" t="str">
        <f aca="false">IF(Z248="","",IFERROR(VLOOKUP(Z248,REPS!$A$2:$D$40,4,0),""))</f>
        <v/>
      </c>
      <c r="AB248" s="14" t="str">
        <f aca="false">IF(O248="","",IF(AA248="",0,O248*IF(AA248&gt;1,AA248/100,AA248)))</f>
        <v/>
      </c>
      <c r="AC248" s="14" t="str">
        <f aca="false">IF(O248="","",V248+Y248+AB248)</f>
        <v/>
      </c>
      <c r="AD248" s="19" t="str">
        <f aca="false">IF(O248="","",O248-R248-AC248)</f>
        <v/>
      </c>
      <c r="AE248" s="20"/>
      <c r="AF248" s="10"/>
      <c r="AG248" s="21" t="n">
        <f aca="false">IF(OR(AE248="",AE248=0),0,AE248*IF(U248="",0,IF(U248&gt;1,U248/100,U248)))</f>
        <v>0</v>
      </c>
      <c r="AH248" s="21" t="n">
        <f aca="false">IF(OR(AE248="",AE248=0),0,AE248*IF(X248="",0,IF(X248&gt;1,X248/100,X248)))</f>
        <v>0</v>
      </c>
      <c r="AI248" s="21" t="n">
        <f aca="false">IF(OR(AE248="",AE248=0),0,AE248*IF(AA248="",0,IF(AA248&gt;1,AA248/100,AA248)))</f>
        <v>0</v>
      </c>
      <c r="AJ248" s="21" t="n">
        <f aca="false">AG248+AH248+AI248</f>
        <v>0</v>
      </c>
      <c r="AK248" s="21" t="n">
        <f aca="false">IF(OR(AE248="",AE248=0),0,AE248-AJ248)</f>
        <v>0</v>
      </c>
      <c r="AL248" s="19" t="str">
        <f aca="false">IF(AD248="","",AD248-AK248)</f>
        <v/>
      </c>
      <c r="AM248" s="9" t="str">
        <f aca="false">IF(C248="","","Waiting for payment")</f>
        <v/>
      </c>
      <c r="AN248" s="10"/>
      <c r="AO248" s="10"/>
      <c r="AP248" s="22" t="str">
        <f aca="false">IF(OR(C248="",I248="",K248=""),"",IF(K248="Monthly",EDATE(C248,ROUND(I248*SETTINGS!$I$8,0)),WORKDAY(C248,ROUND(I248*SETTINGS!$I$8,0))))</f>
        <v/>
      </c>
      <c r="AQ248" s="9" t="str">
        <f aca="true">IF(C248="","",IF(AND(AP248&lt;&gt;"",TODAY()&gt;=AP248),"Refi Ready",IF(TODAY()-C248&gt;=SETTINGS!$I$11,"Prospecting","Performing")))</f>
        <v/>
      </c>
      <c r="AR248" s="22" t="str">
        <f aca="false">IF(OR(C248="",I248="",K248=""),"",IF(K248="Monthly",EDATE(C248,I248),WORKDAY(C248,I248)))</f>
        <v/>
      </c>
      <c r="AS248" s="11"/>
      <c r="AT248" s="23" t="str">
        <f aca="true">IF(C248="","",IF(AM248="Clawed Back","CLAWED",IF(TODAY()&lt;=C248+SETTINGS!$I$2,"⚠ AT RISK","SAFE")))</f>
        <v/>
      </c>
      <c r="AU248" s="11"/>
      <c r="AW248" s="24" t="n">
        <f aca="false">AW247+IF(AND(C248&lt;&gt;"",AO248&lt;&gt;"",OR('REP COMMISSION'!$B$3="",T248='REP COMMISSION'!$B$3,W248='REP COMMISSION'!$B$3,Z248='REP COMMISSION'!$B$3)),1,0)</f>
        <v>0</v>
      </c>
      <c r="AX248" s="24" t="n">
        <f aca="false">AX247+IF(AND(C248&lt;&gt;"",OR(F248="LOC - INITIAL",F248="CONSOLIDATION - UPFRONT COMM",F248="REVERSE - TOTAL FUNDING")),1,0)</f>
        <v>0</v>
      </c>
    </row>
    <row r="249" customFormat="false" ht="15" hidden="false" customHeight="false" outlineLevel="0" collapsed="false">
      <c r="A249" s="25" t="str">
        <f aca="false">IF(C249&lt;&gt;"","F"&amp;COUNT($C$4:C249),"")</f>
        <v/>
      </c>
      <c r="B249" s="26" t="str">
        <f aca="false">IF(OR(F249="LOC - INITIAL",F249="CONSOLIDATION - UPFRONT COMM",F249="REVERSE - TOTAL FUNDING"),A249,"")</f>
        <v/>
      </c>
      <c r="C249" s="27"/>
      <c r="D249" s="28"/>
      <c r="E249" s="28"/>
      <c r="F249" s="28"/>
      <c r="G249" s="29"/>
      <c r="H249" s="30"/>
      <c r="I249" s="28"/>
      <c r="J249" s="31" t="str">
        <f aca="false">IF(AND(G249&lt;&gt;"",H249&lt;&gt;""),G249*H249,"")</f>
        <v/>
      </c>
      <c r="K249" s="28"/>
      <c r="L249" s="32"/>
      <c r="M249" s="32"/>
      <c r="N249" s="31" t="n">
        <f aca="false">IF(OR(G249="",M249=""),0,IF(M249&gt;100,M249,G249*IF(M249&gt;1,M249/100,M249)))</f>
        <v>0</v>
      </c>
      <c r="O249" s="31" t="str">
        <f aca="false">IF(G249="","",G249*IF(L249="",0,IF(L249&gt;1,L249/100,L249))+N249)</f>
        <v/>
      </c>
      <c r="P249" s="28"/>
      <c r="Q249" s="33" t="str">
        <f aca="false">IF(P249="","",IFERROR(VLOOKUP(P249,PARTNERS!$A$2:$B$30,2,0),""))</f>
        <v/>
      </c>
      <c r="R249" s="17" t="str">
        <f aca="false">IF(O249="","",IF(OR(P249="",Q249=""),0,(O249-N249)*IF(Q249&gt;1,Q249/100,Q249)))</f>
        <v/>
      </c>
      <c r="S249" s="31" t="str">
        <f aca="false">IF(O249="","",O249-R249)</f>
        <v/>
      </c>
      <c r="T249" s="28"/>
      <c r="U249" s="34" t="str">
        <f aca="false">IF(T249="","",IFERROR(VLOOKUP(T249,REPS!$A$2:$D$40,2,0),""))</f>
        <v/>
      </c>
      <c r="V249" s="31" t="str">
        <f aca="false">IF(O249="","",IF(U249="",0,O249*IF(U249&gt;1,U249/100,U249)))</f>
        <v/>
      </c>
      <c r="W249" s="28"/>
      <c r="X249" s="34" t="str">
        <f aca="false">IF(W249="","",IFERROR(VLOOKUP(W249,REPS!$A$2:$D$40,3,0),""))</f>
        <v/>
      </c>
      <c r="Y249" s="31" t="str">
        <f aca="false">IF(O249="","",IF(X249="",0,O249*IF(X249&gt;1,X249/100,X249)))</f>
        <v/>
      </c>
      <c r="Z249" s="28"/>
      <c r="AA249" s="34" t="str">
        <f aca="false">IF(Z249="","",IFERROR(VLOOKUP(Z249,REPS!$A$2:$D$40,4,0),""))</f>
        <v/>
      </c>
      <c r="AB249" s="31" t="str">
        <f aca="false">IF(O249="","",IF(AA249="",0,O249*IF(AA249&gt;1,AA249/100,AA249)))</f>
        <v/>
      </c>
      <c r="AC249" s="31" t="str">
        <f aca="false">IF(O249="","",V249+Y249+AB249)</f>
        <v/>
      </c>
      <c r="AD249" s="19" t="str">
        <f aca="false">IF(O249="","",O249-R249-AC249)</f>
        <v/>
      </c>
      <c r="AE249" s="20"/>
      <c r="AF249" s="27"/>
      <c r="AG249" s="21" t="n">
        <f aca="false">IF(OR(AE249="",AE249=0),0,AE249*IF(U249="",0,IF(U249&gt;1,U249/100,U249)))</f>
        <v>0</v>
      </c>
      <c r="AH249" s="21" t="n">
        <f aca="false">IF(OR(AE249="",AE249=0),0,AE249*IF(X249="",0,IF(X249&gt;1,X249/100,X249)))</f>
        <v>0</v>
      </c>
      <c r="AI249" s="21" t="n">
        <f aca="false">IF(OR(AE249="",AE249=0),0,AE249*IF(AA249="",0,IF(AA249&gt;1,AA249/100,AA249)))</f>
        <v>0</v>
      </c>
      <c r="AJ249" s="21" t="n">
        <f aca="false">AG249+AH249+AI249</f>
        <v>0</v>
      </c>
      <c r="AK249" s="21" t="n">
        <f aca="false">IF(OR(AE249="",AE249=0),0,AE249-AJ249)</f>
        <v>0</v>
      </c>
      <c r="AL249" s="19" t="str">
        <f aca="false">IF(AD249="","",AD249-AK249)</f>
        <v/>
      </c>
      <c r="AM249" s="26" t="str">
        <f aca="false">IF(C249="","","Waiting for payment")</f>
        <v/>
      </c>
      <c r="AN249" s="27"/>
      <c r="AO249" s="27"/>
      <c r="AP249" s="35" t="str">
        <f aca="false">IF(OR(C249="",I249="",K249=""),"",IF(K249="Monthly",EDATE(C249,ROUND(I249*SETTINGS!$I$8,0)),WORKDAY(C249,ROUND(I249*SETTINGS!$I$8,0))))</f>
        <v/>
      </c>
      <c r="AQ249" s="26" t="str">
        <f aca="true">IF(C249="","",IF(AND(AP249&lt;&gt;"",TODAY()&gt;=AP249),"Refi Ready",IF(TODAY()-C249&gt;=SETTINGS!$I$11,"Prospecting","Performing")))</f>
        <v/>
      </c>
      <c r="AR249" s="35" t="str">
        <f aca="false">IF(OR(C249="",I249="",K249=""),"",IF(K249="Monthly",EDATE(C249,I249),WORKDAY(C249,I249)))</f>
        <v/>
      </c>
      <c r="AS249" s="28"/>
      <c r="AT249" s="36" t="str">
        <f aca="true">IF(C249="","",IF(AM249="Clawed Back","CLAWED",IF(TODAY()&lt;=C249+SETTINGS!$I$2,"⚠ AT RISK","SAFE")))</f>
        <v/>
      </c>
      <c r="AU249" s="28"/>
      <c r="AW249" s="24" t="n">
        <f aca="false">AW248+IF(AND(C249&lt;&gt;"",AO249&lt;&gt;"",OR('REP COMMISSION'!$B$3="",T249='REP COMMISSION'!$B$3,W249='REP COMMISSION'!$B$3,Z249='REP COMMISSION'!$B$3)),1,0)</f>
        <v>0</v>
      </c>
      <c r="AX249" s="24" t="n">
        <f aca="false">AX248+IF(AND(C249&lt;&gt;"",OR(F249="LOC - INITIAL",F249="CONSOLIDATION - UPFRONT COMM",F249="REVERSE - TOTAL FUNDING")),1,0)</f>
        <v>0</v>
      </c>
    </row>
    <row r="250" customFormat="false" ht="15" hidden="false" customHeight="false" outlineLevel="0" collapsed="false">
      <c r="A250" s="8" t="str">
        <f aca="false">IF(C250&lt;&gt;"","F"&amp;COUNT($C$4:C250),"")</f>
        <v/>
      </c>
      <c r="B250" s="9" t="str">
        <f aca="false">IF(OR(F250="LOC - INITIAL",F250="CONSOLIDATION - UPFRONT COMM",F250="REVERSE - TOTAL FUNDING"),A250,"")</f>
        <v/>
      </c>
      <c r="C250" s="10"/>
      <c r="D250" s="11"/>
      <c r="E250" s="11"/>
      <c r="F250" s="11"/>
      <c r="G250" s="12"/>
      <c r="H250" s="13"/>
      <c r="I250" s="11"/>
      <c r="J250" s="14" t="str">
        <f aca="false">IF(AND(G250&lt;&gt;"",H250&lt;&gt;""),G250*H250,"")</f>
        <v/>
      </c>
      <c r="K250" s="11"/>
      <c r="L250" s="15"/>
      <c r="M250" s="15"/>
      <c r="N250" s="14" t="n">
        <f aca="false">IF(OR(G250="",M250=""),0,IF(M250&gt;100,M250,G250*IF(M250&gt;1,M250/100,M250)))</f>
        <v>0</v>
      </c>
      <c r="O250" s="14" t="str">
        <f aca="false">IF(G250="","",G250*IF(L250="",0,IF(L250&gt;1,L250/100,L250))+N250)</f>
        <v/>
      </c>
      <c r="P250" s="11"/>
      <c r="Q250" s="16" t="str">
        <f aca="false">IF(P250="","",IFERROR(VLOOKUP(P250,PARTNERS!$A$2:$B$30,2,0),""))</f>
        <v/>
      </c>
      <c r="R250" s="17" t="str">
        <f aca="false">IF(O250="","",IF(OR(P250="",Q250=""),0,(O250-N250)*IF(Q250&gt;1,Q250/100,Q250)))</f>
        <v/>
      </c>
      <c r="S250" s="14" t="str">
        <f aca="false">IF(O250="","",O250-R250)</f>
        <v/>
      </c>
      <c r="T250" s="11"/>
      <c r="U250" s="18" t="str">
        <f aca="false">IF(T250="","",IFERROR(VLOOKUP(T250,REPS!$A$2:$D$40,2,0),""))</f>
        <v/>
      </c>
      <c r="V250" s="14" t="str">
        <f aca="false">IF(O250="","",IF(U250="",0,O250*IF(U250&gt;1,U250/100,U250)))</f>
        <v/>
      </c>
      <c r="W250" s="11"/>
      <c r="X250" s="18" t="str">
        <f aca="false">IF(W250="","",IFERROR(VLOOKUP(W250,REPS!$A$2:$D$40,3,0),""))</f>
        <v/>
      </c>
      <c r="Y250" s="14" t="str">
        <f aca="false">IF(O250="","",IF(X250="",0,O250*IF(X250&gt;1,X250/100,X250)))</f>
        <v/>
      </c>
      <c r="Z250" s="11"/>
      <c r="AA250" s="18" t="str">
        <f aca="false">IF(Z250="","",IFERROR(VLOOKUP(Z250,REPS!$A$2:$D$40,4,0),""))</f>
        <v/>
      </c>
      <c r="AB250" s="14" t="str">
        <f aca="false">IF(O250="","",IF(AA250="",0,O250*IF(AA250&gt;1,AA250/100,AA250)))</f>
        <v/>
      </c>
      <c r="AC250" s="14" t="str">
        <f aca="false">IF(O250="","",V250+Y250+AB250)</f>
        <v/>
      </c>
      <c r="AD250" s="19" t="str">
        <f aca="false">IF(O250="","",O250-R250-AC250)</f>
        <v/>
      </c>
      <c r="AE250" s="20"/>
      <c r="AF250" s="10"/>
      <c r="AG250" s="21" t="n">
        <f aca="false">IF(OR(AE250="",AE250=0),0,AE250*IF(U250="",0,IF(U250&gt;1,U250/100,U250)))</f>
        <v>0</v>
      </c>
      <c r="AH250" s="21" t="n">
        <f aca="false">IF(OR(AE250="",AE250=0),0,AE250*IF(X250="",0,IF(X250&gt;1,X250/100,X250)))</f>
        <v>0</v>
      </c>
      <c r="AI250" s="21" t="n">
        <f aca="false">IF(OR(AE250="",AE250=0),0,AE250*IF(AA250="",0,IF(AA250&gt;1,AA250/100,AA250)))</f>
        <v>0</v>
      </c>
      <c r="AJ250" s="21" t="n">
        <f aca="false">AG250+AH250+AI250</f>
        <v>0</v>
      </c>
      <c r="AK250" s="21" t="n">
        <f aca="false">IF(OR(AE250="",AE250=0),0,AE250-AJ250)</f>
        <v>0</v>
      </c>
      <c r="AL250" s="19" t="str">
        <f aca="false">IF(AD250="","",AD250-AK250)</f>
        <v/>
      </c>
      <c r="AM250" s="9" t="str">
        <f aca="false">IF(C250="","","Waiting for payment")</f>
        <v/>
      </c>
      <c r="AN250" s="10"/>
      <c r="AO250" s="10"/>
      <c r="AP250" s="22" t="str">
        <f aca="false">IF(OR(C250="",I250="",K250=""),"",IF(K250="Monthly",EDATE(C250,ROUND(I250*SETTINGS!$I$8,0)),WORKDAY(C250,ROUND(I250*SETTINGS!$I$8,0))))</f>
        <v/>
      </c>
      <c r="AQ250" s="9" t="str">
        <f aca="true">IF(C250="","",IF(AND(AP250&lt;&gt;"",TODAY()&gt;=AP250),"Refi Ready",IF(TODAY()-C250&gt;=SETTINGS!$I$11,"Prospecting","Performing")))</f>
        <v/>
      </c>
      <c r="AR250" s="22" t="str">
        <f aca="false">IF(OR(C250="",I250="",K250=""),"",IF(K250="Monthly",EDATE(C250,I250),WORKDAY(C250,I250)))</f>
        <v/>
      </c>
      <c r="AS250" s="11"/>
      <c r="AT250" s="23" t="str">
        <f aca="true">IF(C250="","",IF(AM250="Clawed Back","CLAWED",IF(TODAY()&lt;=C250+SETTINGS!$I$2,"⚠ AT RISK","SAFE")))</f>
        <v/>
      </c>
      <c r="AU250" s="11"/>
      <c r="AW250" s="24" t="n">
        <f aca="false">AW249+IF(AND(C250&lt;&gt;"",AO250&lt;&gt;"",OR('REP COMMISSION'!$B$3="",T250='REP COMMISSION'!$B$3,W250='REP COMMISSION'!$B$3,Z250='REP COMMISSION'!$B$3)),1,0)</f>
        <v>0</v>
      </c>
      <c r="AX250" s="24" t="n">
        <f aca="false">AX249+IF(AND(C250&lt;&gt;"",OR(F250="LOC - INITIAL",F250="CONSOLIDATION - UPFRONT COMM",F250="REVERSE - TOTAL FUNDING")),1,0)</f>
        <v>0</v>
      </c>
    </row>
    <row r="251" customFormat="false" ht="15" hidden="false" customHeight="false" outlineLevel="0" collapsed="false">
      <c r="A251" s="25" t="str">
        <f aca="false">IF(C251&lt;&gt;"","F"&amp;COUNT($C$4:C251),"")</f>
        <v/>
      </c>
      <c r="B251" s="26" t="str">
        <f aca="false">IF(OR(F251="LOC - INITIAL",F251="CONSOLIDATION - UPFRONT COMM",F251="REVERSE - TOTAL FUNDING"),A251,"")</f>
        <v/>
      </c>
      <c r="C251" s="27"/>
      <c r="D251" s="28"/>
      <c r="E251" s="28"/>
      <c r="F251" s="28"/>
      <c r="G251" s="29"/>
      <c r="H251" s="30"/>
      <c r="I251" s="28"/>
      <c r="J251" s="31" t="str">
        <f aca="false">IF(AND(G251&lt;&gt;"",H251&lt;&gt;""),G251*H251,"")</f>
        <v/>
      </c>
      <c r="K251" s="28"/>
      <c r="L251" s="32"/>
      <c r="M251" s="32"/>
      <c r="N251" s="31" t="n">
        <f aca="false">IF(OR(G251="",M251=""),0,IF(M251&gt;100,M251,G251*IF(M251&gt;1,M251/100,M251)))</f>
        <v>0</v>
      </c>
      <c r="O251" s="31" t="str">
        <f aca="false">IF(G251="","",G251*IF(L251="",0,IF(L251&gt;1,L251/100,L251))+N251)</f>
        <v/>
      </c>
      <c r="P251" s="28"/>
      <c r="Q251" s="33" t="str">
        <f aca="false">IF(P251="","",IFERROR(VLOOKUP(P251,PARTNERS!$A$2:$B$30,2,0),""))</f>
        <v/>
      </c>
      <c r="R251" s="17" t="str">
        <f aca="false">IF(O251="","",IF(OR(P251="",Q251=""),0,(O251-N251)*IF(Q251&gt;1,Q251/100,Q251)))</f>
        <v/>
      </c>
      <c r="S251" s="31" t="str">
        <f aca="false">IF(O251="","",O251-R251)</f>
        <v/>
      </c>
      <c r="T251" s="28"/>
      <c r="U251" s="34" t="str">
        <f aca="false">IF(T251="","",IFERROR(VLOOKUP(T251,REPS!$A$2:$D$40,2,0),""))</f>
        <v/>
      </c>
      <c r="V251" s="31" t="str">
        <f aca="false">IF(O251="","",IF(U251="",0,O251*IF(U251&gt;1,U251/100,U251)))</f>
        <v/>
      </c>
      <c r="W251" s="28"/>
      <c r="X251" s="34" t="str">
        <f aca="false">IF(W251="","",IFERROR(VLOOKUP(W251,REPS!$A$2:$D$40,3,0),""))</f>
        <v/>
      </c>
      <c r="Y251" s="31" t="str">
        <f aca="false">IF(O251="","",IF(X251="",0,O251*IF(X251&gt;1,X251/100,X251)))</f>
        <v/>
      </c>
      <c r="Z251" s="28"/>
      <c r="AA251" s="34" t="str">
        <f aca="false">IF(Z251="","",IFERROR(VLOOKUP(Z251,REPS!$A$2:$D$40,4,0),""))</f>
        <v/>
      </c>
      <c r="AB251" s="31" t="str">
        <f aca="false">IF(O251="","",IF(AA251="",0,O251*IF(AA251&gt;1,AA251/100,AA251)))</f>
        <v/>
      </c>
      <c r="AC251" s="31" t="str">
        <f aca="false">IF(O251="","",V251+Y251+AB251)</f>
        <v/>
      </c>
      <c r="AD251" s="19" t="str">
        <f aca="false">IF(O251="","",O251-R251-AC251)</f>
        <v/>
      </c>
      <c r="AE251" s="20"/>
      <c r="AF251" s="27"/>
      <c r="AG251" s="21" t="n">
        <f aca="false">IF(OR(AE251="",AE251=0),0,AE251*IF(U251="",0,IF(U251&gt;1,U251/100,U251)))</f>
        <v>0</v>
      </c>
      <c r="AH251" s="21" t="n">
        <f aca="false">IF(OR(AE251="",AE251=0),0,AE251*IF(X251="",0,IF(X251&gt;1,X251/100,X251)))</f>
        <v>0</v>
      </c>
      <c r="AI251" s="21" t="n">
        <f aca="false">IF(OR(AE251="",AE251=0),0,AE251*IF(AA251="",0,IF(AA251&gt;1,AA251/100,AA251)))</f>
        <v>0</v>
      </c>
      <c r="AJ251" s="21" t="n">
        <f aca="false">AG251+AH251+AI251</f>
        <v>0</v>
      </c>
      <c r="AK251" s="21" t="n">
        <f aca="false">IF(OR(AE251="",AE251=0),0,AE251-AJ251)</f>
        <v>0</v>
      </c>
      <c r="AL251" s="19" t="str">
        <f aca="false">IF(AD251="","",AD251-AK251)</f>
        <v/>
      </c>
      <c r="AM251" s="26" t="str">
        <f aca="false">IF(C251="","","Waiting for payment")</f>
        <v/>
      </c>
      <c r="AN251" s="27"/>
      <c r="AO251" s="27"/>
      <c r="AP251" s="35" t="str">
        <f aca="false">IF(OR(C251="",I251="",K251=""),"",IF(K251="Monthly",EDATE(C251,ROUND(I251*SETTINGS!$I$8,0)),WORKDAY(C251,ROUND(I251*SETTINGS!$I$8,0))))</f>
        <v/>
      </c>
      <c r="AQ251" s="26" t="str">
        <f aca="true">IF(C251="","",IF(AND(AP251&lt;&gt;"",TODAY()&gt;=AP251),"Refi Ready",IF(TODAY()-C251&gt;=SETTINGS!$I$11,"Prospecting","Performing")))</f>
        <v/>
      </c>
      <c r="AR251" s="35" t="str">
        <f aca="false">IF(OR(C251="",I251="",K251=""),"",IF(K251="Monthly",EDATE(C251,I251),WORKDAY(C251,I251)))</f>
        <v/>
      </c>
      <c r="AS251" s="28"/>
      <c r="AT251" s="36" t="str">
        <f aca="true">IF(C251="","",IF(AM251="Clawed Back","CLAWED",IF(TODAY()&lt;=C251+SETTINGS!$I$2,"⚠ AT RISK","SAFE")))</f>
        <v/>
      </c>
      <c r="AU251" s="28"/>
      <c r="AW251" s="24" t="n">
        <f aca="false">AW250+IF(AND(C251&lt;&gt;"",AO251&lt;&gt;"",OR('REP COMMISSION'!$B$3="",T251='REP COMMISSION'!$B$3,W251='REP COMMISSION'!$B$3,Z251='REP COMMISSION'!$B$3)),1,0)</f>
        <v>0</v>
      </c>
      <c r="AX251" s="24" t="n">
        <f aca="false">AX250+IF(AND(C251&lt;&gt;"",OR(F251="LOC - INITIAL",F251="CONSOLIDATION - UPFRONT COMM",F251="REVERSE - TOTAL FUNDING")),1,0)</f>
        <v>0</v>
      </c>
    </row>
    <row r="252" customFormat="false" ht="15" hidden="false" customHeight="false" outlineLevel="0" collapsed="false">
      <c r="A252" s="8" t="str">
        <f aca="false">IF(C252&lt;&gt;"","F"&amp;COUNT($C$4:C252),"")</f>
        <v/>
      </c>
      <c r="B252" s="9" t="str">
        <f aca="false">IF(OR(F252="LOC - INITIAL",F252="CONSOLIDATION - UPFRONT COMM",F252="REVERSE - TOTAL FUNDING"),A252,"")</f>
        <v/>
      </c>
      <c r="C252" s="10"/>
      <c r="D252" s="11"/>
      <c r="E252" s="11"/>
      <c r="F252" s="11"/>
      <c r="G252" s="12"/>
      <c r="H252" s="13"/>
      <c r="I252" s="11"/>
      <c r="J252" s="14" t="str">
        <f aca="false">IF(AND(G252&lt;&gt;"",H252&lt;&gt;""),G252*H252,"")</f>
        <v/>
      </c>
      <c r="K252" s="11"/>
      <c r="L252" s="15"/>
      <c r="M252" s="15"/>
      <c r="N252" s="14" t="n">
        <f aca="false">IF(OR(G252="",M252=""),0,IF(M252&gt;100,M252,G252*IF(M252&gt;1,M252/100,M252)))</f>
        <v>0</v>
      </c>
      <c r="O252" s="14" t="str">
        <f aca="false">IF(G252="","",G252*IF(L252="",0,IF(L252&gt;1,L252/100,L252))+N252)</f>
        <v/>
      </c>
      <c r="P252" s="11"/>
      <c r="Q252" s="16" t="str">
        <f aca="false">IF(P252="","",IFERROR(VLOOKUP(P252,PARTNERS!$A$2:$B$30,2,0),""))</f>
        <v/>
      </c>
      <c r="R252" s="17" t="str">
        <f aca="false">IF(O252="","",IF(OR(P252="",Q252=""),0,(O252-N252)*IF(Q252&gt;1,Q252/100,Q252)))</f>
        <v/>
      </c>
      <c r="S252" s="14" t="str">
        <f aca="false">IF(O252="","",O252-R252)</f>
        <v/>
      </c>
      <c r="T252" s="11"/>
      <c r="U252" s="18" t="str">
        <f aca="false">IF(T252="","",IFERROR(VLOOKUP(T252,REPS!$A$2:$D$40,2,0),""))</f>
        <v/>
      </c>
      <c r="V252" s="14" t="str">
        <f aca="false">IF(O252="","",IF(U252="",0,O252*IF(U252&gt;1,U252/100,U252)))</f>
        <v/>
      </c>
      <c r="W252" s="11"/>
      <c r="X252" s="18" t="str">
        <f aca="false">IF(W252="","",IFERROR(VLOOKUP(W252,REPS!$A$2:$D$40,3,0),""))</f>
        <v/>
      </c>
      <c r="Y252" s="14" t="str">
        <f aca="false">IF(O252="","",IF(X252="",0,O252*IF(X252&gt;1,X252/100,X252)))</f>
        <v/>
      </c>
      <c r="Z252" s="11"/>
      <c r="AA252" s="18" t="str">
        <f aca="false">IF(Z252="","",IFERROR(VLOOKUP(Z252,REPS!$A$2:$D$40,4,0),""))</f>
        <v/>
      </c>
      <c r="AB252" s="14" t="str">
        <f aca="false">IF(O252="","",IF(AA252="",0,O252*IF(AA252&gt;1,AA252/100,AA252)))</f>
        <v/>
      </c>
      <c r="AC252" s="14" t="str">
        <f aca="false">IF(O252="","",V252+Y252+AB252)</f>
        <v/>
      </c>
      <c r="AD252" s="19" t="str">
        <f aca="false">IF(O252="","",O252-R252-AC252)</f>
        <v/>
      </c>
      <c r="AE252" s="20"/>
      <c r="AF252" s="10"/>
      <c r="AG252" s="21" t="n">
        <f aca="false">IF(OR(AE252="",AE252=0),0,AE252*IF(U252="",0,IF(U252&gt;1,U252/100,U252)))</f>
        <v>0</v>
      </c>
      <c r="AH252" s="21" t="n">
        <f aca="false">IF(OR(AE252="",AE252=0),0,AE252*IF(X252="",0,IF(X252&gt;1,X252/100,X252)))</f>
        <v>0</v>
      </c>
      <c r="AI252" s="21" t="n">
        <f aca="false">IF(OR(AE252="",AE252=0),0,AE252*IF(AA252="",0,IF(AA252&gt;1,AA252/100,AA252)))</f>
        <v>0</v>
      </c>
      <c r="AJ252" s="21" t="n">
        <f aca="false">AG252+AH252+AI252</f>
        <v>0</v>
      </c>
      <c r="AK252" s="21" t="n">
        <f aca="false">IF(OR(AE252="",AE252=0),0,AE252-AJ252)</f>
        <v>0</v>
      </c>
      <c r="AL252" s="19" t="str">
        <f aca="false">IF(AD252="","",AD252-AK252)</f>
        <v/>
      </c>
      <c r="AM252" s="9" t="str">
        <f aca="false">IF(C252="","","Waiting for payment")</f>
        <v/>
      </c>
      <c r="AN252" s="10"/>
      <c r="AO252" s="10"/>
      <c r="AP252" s="22" t="str">
        <f aca="false">IF(OR(C252="",I252="",K252=""),"",IF(K252="Monthly",EDATE(C252,ROUND(I252*SETTINGS!$I$8,0)),WORKDAY(C252,ROUND(I252*SETTINGS!$I$8,0))))</f>
        <v/>
      </c>
      <c r="AQ252" s="9" t="str">
        <f aca="true">IF(C252="","",IF(AND(AP252&lt;&gt;"",TODAY()&gt;=AP252),"Refi Ready",IF(TODAY()-C252&gt;=SETTINGS!$I$11,"Prospecting","Performing")))</f>
        <v/>
      </c>
      <c r="AR252" s="22" t="str">
        <f aca="false">IF(OR(C252="",I252="",K252=""),"",IF(K252="Monthly",EDATE(C252,I252),WORKDAY(C252,I252)))</f>
        <v/>
      </c>
      <c r="AS252" s="11"/>
      <c r="AT252" s="23" t="str">
        <f aca="true">IF(C252="","",IF(AM252="Clawed Back","CLAWED",IF(TODAY()&lt;=C252+SETTINGS!$I$2,"⚠ AT RISK","SAFE")))</f>
        <v/>
      </c>
      <c r="AU252" s="11"/>
      <c r="AW252" s="24" t="n">
        <f aca="false">AW251+IF(AND(C252&lt;&gt;"",AO252&lt;&gt;"",OR('REP COMMISSION'!$B$3="",T252='REP COMMISSION'!$B$3,W252='REP COMMISSION'!$B$3,Z252='REP COMMISSION'!$B$3)),1,0)</f>
        <v>0</v>
      </c>
      <c r="AX252" s="24" t="n">
        <f aca="false">AX251+IF(AND(C252&lt;&gt;"",OR(F252="LOC - INITIAL",F252="CONSOLIDATION - UPFRONT COMM",F252="REVERSE - TOTAL FUNDING")),1,0)</f>
        <v>0</v>
      </c>
    </row>
    <row r="253" customFormat="false" ht="15" hidden="false" customHeight="false" outlineLevel="0" collapsed="false">
      <c r="A253" s="25" t="str">
        <f aca="false">IF(C253&lt;&gt;"","F"&amp;COUNT($C$4:C253),"")</f>
        <v/>
      </c>
      <c r="B253" s="26" t="str">
        <f aca="false">IF(OR(F253="LOC - INITIAL",F253="CONSOLIDATION - UPFRONT COMM",F253="REVERSE - TOTAL FUNDING"),A253,"")</f>
        <v/>
      </c>
      <c r="C253" s="27"/>
      <c r="D253" s="28"/>
      <c r="E253" s="28"/>
      <c r="F253" s="28"/>
      <c r="G253" s="29"/>
      <c r="H253" s="30"/>
      <c r="I253" s="28"/>
      <c r="J253" s="31" t="str">
        <f aca="false">IF(AND(G253&lt;&gt;"",H253&lt;&gt;""),G253*H253,"")</f>
        <v/>
      </c>
      <c r="K253" s="28"/>
      <c r="L253" s="32"/>
      <c r="M253" s="32"/>
      <c r="N253" s="31" t="n">
        <f aca="false">IF(OR(G253="",M253=""),0,IF(M253&gt;100,M253,G253*IF(M253&gt;1,M253/100,M253)))</f>
        <v>0</v>
      </c>
      <c r="O253" s="31" t="str">
        <f aca="false">IF(G253="","",G253*IF(L253="",0,IF(L253&gt;1,L253/100,L253))+N253)</f>
        <v/>
      </c>
      <c r="P253" s="28"/>
      <c r="Q253" s="33" t="str">
        <f aca="false">IF(P253="","",IFERROR(VLOOKUP(P253,PARTNERS!$A$2:$B$30,2,0),""))</f>
        <v/>
      </c>
      <c r="R253" s="17" t="str">
        <f aca="false">IF(O253="","",IF(OR(P253="",Q253=""),0,(O253-N253)*IF(Q253&gt;1,Q253/100,Q253)))</f>
        <v/>
      </c>
      <c r="S253" s="31" t="str">
        <f aca="false">IF(O253="","",O253-R253)</f>
        <v/>
      </c>
      <c r="T253" s="28"/>
      <c r="U253" s="34" t="str">
        <f aca="false">IF(T253="","",IFERROR(VLOOKUP(T253,REPS!$A$2:$D$40,2,0),""))</f>
        <v/>
      </c>
      <c r="V253" s="31" t="str">
        <f aca="false">IF(O253="","",IF(U253="",0,O253*IF(U253&gt;1,U253/100,U253)))</f>
        <v/>
      </c>
      <c r="W253" s="28"/>
      <c r="X253" s="34" t="str">
        <f aca="false">IF(W253="","",IFERROR(VLOOKUP(W253,REPS!$A$2:$D$40,3,0),""))</f>
        <v/>
      </c>
      <c r="Y253" s="31" t="str">
        <f aca="false">IF(O253="","",IF(X253="",0,O253*IF(X253&gt;1,X253/100,X253)))</f>
        <v/>
      </c>
      <c r="Z253" s="28"/>
      <c r="AA253" s="34" t="str">
        <f aca="false">IF(Z253="","",IFERROR(VLOOKUP(Z253,REPS!$A$2:$D$40,4,0),""))</f>
        <v/>
      </c>
      <c r="AB253" s="31" t="str">
        <f aca="false">IF(O253="","",IF(AA253="",0,O253*IF(AA253&gt;1,AA253/100,AA253)))</f>
        <v/>
      </c>
      <c r="AC253" s="31" t="str">
        <f aca="false">IF(O253="","",V253+Y253+AB253)</f>
        <v/>
      </c>
      <c r="AD253" s="19" t="str">
        <f aca="false">IF(O253="","",O253-R253-AC253)</f>
        <v/>
      </c>
      <c r="AE253" s="20"/>
      <c r="AF253" s="27"/>
      <c r="AG253" s="21" t="n">
        <f aca="false">IF(OR(AE253="",AE253=0),0,AE253*IF(U253="",0,IF(U253&gt;1,U253/100,U253)))</f>
        <v>0</v>
      </c>
      <c r="AH253" s="21" t="n">
        <f aca="false">IF(OR(AE253="",AE253=0),0,AE253*IF(X253="",0,IF(X253&gt;1,X253/100,X253)))</f>
        <v>0</v>
      </c>
      <c r="AI253" s="21" t="n">
        <f aca="false">IF(OR(AE253="",AE253=0),0,AE253*IF(AA253="",0,IF(AA253&gt;1,AA253/100,AA253)))</f>
        <v>0</v>
      </c>
      <c r="AJ253" s="21" t="n">
        <f aca="false">AG253+AH253+AI253</f>
        <v>0</v>
      </c>
      <c r="AK253" s="21" t="n">
        <f aca="false">IF(OR(AE253="",AE253=0),0,AE253-AJ253)</f>
        <v>0</v>
      </c>
      <c r="AL253" s="19" t="str">
        <f aca="false">IF(AD253="","",AD253-AK253)</f>
        <v/>
      </c>
      <c r="AM253" s="26" t="str">
        <f aca="false">IF(C253="","","Waiting for payment")</f>
        <v/>
      </c>
      <c r="AN253" s="27"/>
      <c r="AO253" s="27"/>
      <c r="AP253" s="35" t="str">
        <f aca="false">IF(OR(C253="",I253="",K253=""),"",IF(K253="Monthly",EDATE(C253,ROUND(I253*SETTINGS!$I$8,0)),WORKDAY(C253,ROUND(I253*SETTINGS!$I$8,0))))</f>
        <v/>
      </c>
      <c r="AQ253" s="26" t="str">
        <f aca="true">IF(C253="","",IF(AND(AP253&lt;&gt;"",TODAY()&gt;=AP253),"Refi Ready",IF(TODAY()-C253&gt;=SETTINGS!$I$11,"Prospecting","Performing")))</f>
        <v/>
      </c>
      <c r="AR253" s="35" t="str">
        <f aca="false">IF(OR(C253="",I253="",K253=""),"",IF(K253="Monthly",EDATE(C253,I253),WORKDAY(C253,I253)))</f>
        <v/>
      </c>
      <c r="AS253" s="28"/>
      <c r="AT253" s="36" t="str">
        <f aca="true">IF(C253="","",IF(AM253="Clawed Back","CLAWED",IF(TODAY()&lt;=C253+SETTINGS!$I$2,"⚠ AT RISK","SAFE")))</f>
        <v/>
      </c>
      <c r="AU253" s="28"/>
      <c r="AW253" s="24" t="n">
        <f aca="false">AW252+IF(AND(C253&lt;&gt;"",AO253&lt;&gt;"",OR('REP COMMISSION'!$B$3="",T253='REP COMMISSION'!$B$3,W253='REP COMMISSION'!$B$3,Z253='REP COMMISSION'!$B$3)),1,0)</f>
        <v>0</v>
      </c>
      <c r="AX253" s="24" t="n">
        <f aca="false">AX252+IF(AND(C253&lt;&gt;"",OR(F253="LOC - INITIAL",F253="CONSOLIDATION - UPFRONT COMM",F253="REVERSE - TOTAL FUNDING")),1,0)</f>
        <v>0</v>
      </c>
    </row>
    <row r="254" customFormat="false" ht="15" hidden="false" customHeight="false" outlineLevel="0" collapsed="false">
      <c r="A254" s="8" t="str">
        <f aca="false">IF(C254&lt;&gt;"","F"&amp;COUNT($C$4:C254),"")</f>
        <v/>
      </c>
      <c r="B254" s="9" t="str">
        <f aca="false">IF(OR(F254="LOC - INITIAL",F254="CONSOLIDATION - UPFRONT COMM",F254="REVERSE - TOTAL FUNDING"),A254,"")</f>
        <v/>
      </c>
      <c r="C254" s="10"/>
      <c r="D254" s="11"/>
      <c r="E254" s="11"/>
      <c r="F254" s="11"/>
      <c r="G254" s="12"/>
      <c r="H254" s="13"/>
      <c r="I254" s="11"/>
      <c r="J254" s="14" t="str">
        <f aca="false">IF(AND(G254&lt;&gt;"",H254&lt;&gt;""),G254*H254,"")</f>
        <v/>
      </c>
      <c r="K254" s="11"/>
      <c r="L254" s="15"/>
      <c r="M254" s="15"/>
      <c r="N254" s="14" t="n">
        <f aca="false">IF(OR(G254="",M254=""),0,IF(M254&gt;100,M254,G254*IF(M254&gt;1,M254/100,M254)))</f>
        <v>0</v>
      </c>
      <c r="O254" s="14" t="str">
        <f aca="false">IF(G254="","",G254*IF(L254="",0,IF(L254&gt;1,L254/100,L254))+N254)</f>
        <v/>
      </c>
      <c r="P254" s="11"/>
      <c r="Q254" s="16" t="str">
        <f aca="false">IF(P254="","",IFERROR(VLOOKUP(P254,PARTNERS!$A$2:$B$30,2,0),""))</f>
        <v/>
      </c>
      <c r="R254" s="17" t="str">
        <f aca="false">IF(O254="","",IF(OR(P254="",Q254=""),0,(O254-N254)*IF(Q254&gt;1,Q254/100,Q254)))</f>
        <v/>
      </c>
      <c r="S254" s="14" t="str">
        <f aca="false">IF(O254="","",O254-R254)</f>
        <v/>
      </c>
      <c r="T254" s="11"/>
      <c r="U254" s="18" t="str">
        <f aca="false">IF(T254="","",IFERROR(VLOOKUP(T254,REPS!$A$2:$D$40,2,0),""))</f>
        <v/>
      </c>
      <c r="V254" s="14" t="str">
        <f aca="false">IF(O254="","",IF(U254="",0,O254*IF(U254&gt;1,U254/100,U254)))</f>
        <v/>
      </c>
      <c r="W254" s="11"/>
      <c r="X254" s="18" t="str">
        <f aca="false">IF(W254="","",IFERROR(VLOOKUP(W254,REPS!$A$2:$D$40,3,0),""))</f>
        <v/>
      </c>
      <c r="Y254" s="14" t="str">
        <f aca="false">IF(O254="","",IF(X254="",0,O254*IF(X254&gt;1,X254/100,X254)))</f>
        <v/>
      </c>
      <c r="Z254" s="11"/>
      <c r="AA254" s="18" t="str">
        <f aca="false">IF(Z254="","",IFERROR(VLOOKUP(Z254,REPS!$A$2:$D$40,4,0),""))</f>
        <v/>
      </c>
      <c r="AB254" s="14" t="str">
        <f aca="false">IF(O254="","",IF(AA254="",0,O254*IF(AA254&gt;1,AA254/100,AA254)))</f>
        <v/>
      </c>
      <c r="AC254" s="14" t="str">
        <f aca="false">IF(O254="","",V254+Y254+AB254)</f>
        <v/>
      </c>
      <c r="AD254" s="19" t="str">
        <f aca="false">IF(O254="","",O254-R254-AC254)</f>
        <v/>
      </c>
      <c r="AE254" s="20"/>
      <c r="AF254" s="10"/>
      <c r="AG254" s="21" t="n">
        <f aca="false">IF(OR(AE254="",AE254=0),0,AE254*IF(U254="",0,IF(U254&gt;1,U254/100,U254)))</f>
        <v>0</v>
      </c>
      <c r="AH254" s="21" t="n">
        <f aca="false">IF(OR(AE254="",AE254=0),0,AE254*IF(X254="",0,IF(X254&gt;1,X254/100,X254)))</f>
        <v>0</v>
      </c>
      <c r="AI254" s="21" t="n">
        <f aca="false">IF(OR(AE254="",AE254=0),0,AE254*IF(AA254="",0,IF(AA254&gt;1,AA254/100,AA254)))</f>
        <v>0</v>
      </c>
      <c r="AJ254" s="21" t="n">
        <f aca="false">AG254+AH254+AI254</f>
        <v>0</v>
      </c>
      <c r="AK254" s="21" t="n">
        <f aca="false">IF(OR(AE254="",AE254=0),0,AE254-AJ254)</f>
        <v>0</v>
      </c>
      <c r="AL254" s="19" t="str">
        <f aca="false">IF(AD254="","",AD254-AK254)</f>
        <v/>
      </c>
      <c r="AM254" s="9" t="str">
        <f aca="false">IF(C254="","","Waiting for payment")</f>
        <v/>
      </c>
      <c r="AN254" s="10"/>
      <c r="AO254" s="10"/>
      <c r="AP254" s="22" t="str">
        <f aca="false">IF(OR(C254="",I254="",K254=""),"",IF(K254="Monthly",EDATE(C254,ROUND(I254*SETTINGS!$I$8,0)),WORKDAY(C254,ROUND(I254*SETTINGS!$I$8,0))))</f>
        <v/>
      </c>
      <c r="AQ254" s="9" t="str">
        <f aca="true">IF(C254="","",IF(AND(AP254&lt;&gt;"",TODAY()&gt;=AP254),"Refi Ready",IF(TODAY()-C254&gt;=SETTINGS!$I$11,"Prospecting","Performing")))</f>
        <v/>
      </c>
      <c r="AR254" s="22" t="str">
        <f aca="false">IF(OR(C254="",I254="",K254=""),"",IF(K254="Monthly",EDATE(C254,I254),WORKDAY(C254,I254)))</f>
        <v/>
      </c>
      <c r="AS254" s="11"/>
      <c r="AT254" s="23" t="str">
        <f aca="true">IF(C254="","",IF(AM254="Clawed Back","CLAWED",IF(TODAY()&lt;=C254+SETTINGS!$I$2,"⚠ AT RISK","SAFE")))</f>
        <v/>
      </c>
      <c r="AU254" s="11"/>
      <c r="AW254" s="24" t="n">
        <f aca="false">AW253+IF(AND(C254&lt;&gt;"",AO254&lt;&gt;"",OR('REP COMMISSION'!$B$3="",T254='REP COMMISSION'!$B$3,W254='REP COMMISSION'!$B$3,Z254='REP COMMISSION'!$B$3)),1,0)</f>
        <v>0</v>
      </c>
      <c r="AX254" s="24" t="n">
        <f aca="false">AX253+IF(AND(C254&lt;&gt;"",OR(F254="LOC - INITIAL",F254="CONSOLIDATION - UPFRONT COMM",F254="REVERSE - TOTAL FUNDING")),1,0)</f>
        <v>0</v>
      </c>
    </row>
    <row r="255" customFormat="false" ht="15" hidden="false" customHeight="false" outlineLevel="0" collapsed="false">
      <c r="A255" s="25" t="str">
        <f aca="false">IF(C255&lt;&gt;"","F"&amp;COUNT($C$4:C255),"")</f>
        <v/>
      </c>
      <c r="B255" s="26" t="str">
        <f aca="false">IF(OR(F255="LOC - INITIAL",F255="CONSOLIDATION - UPFRONT COMM",F255="REVERSE - TOTAL FUNDING"),A255,"")</f>
        <v/>
      </c>
      <c r="C255" s="27"/>
      <c r="D255" s="28"/>
      <c r="E255" s="28"/>
      <c r="F255" s="28"/>
      <c r="G255" s="29"/>
      <c r="H255" s="30"/>
      <c r="I255" s="28"/>
      <c r="J255" s="31" t="str">
        <f aca="false">IF(AND(G255&lt;&gt;"",H255&lt;&gt;""),G255*H255,"")</f>
        <v/>
      </c>
      <c r="K255" s="28"/>
      <c r="L255" s="32"/>
      <c r="M255" s="32"/>
      <c r="N255" s="31" t="n">
        <f aca="false">IF(OR(G255="",M255=""),0,IF(M255&gt;100,M255,G255*IF(M255&gt;1,M255/100,M255)))</f>
        <v>0</v>
      </c>
      <c r="O255" s="31" t="str">
        <f aca="false">IF(G255="","",G255*IF(L255="",0,IF(L255&gt;1,L255/100,L255))+N255)</f>
        <v/>
      </c>
      <c r="P255" s="28"/>
      <c r="Q255" s="33" t="str">
        <f aca="false">IF(P255="","",IFERROR(VLOOKUP(P255,PARTNERS!$A$2:$B$30,2,0),""))</f>
        <v/>
      </c>
      <c r="R255" s="17" t="str">
        <f aca="false">IF(O255="","",IF(OR(P255="",Q255=""),0,(O255-N255)*IF(Q255&gt;1,Q255/100,Q255)))</f>
        <v/>
      </c>
      <c r="S255" s="31" t="str">
        <f aca="false">IF(O255="","",O255-R255)</f>
        <v/>
      </c>
      <c r="T255" s="28"/>
      <c r="U255" s="34" t="str">
        <f aca="false">IF(T255="","",IFERROR(VLOOKUP(T255,REPS!$A$2:$D$40,2,0),""))</f>
        <v/>
      </c>
      <c r="V255" s="31" t="str">
        <f aca="false">IF(O255="","",IF(U255="",0,O255*IF(U255&gt;1,U255/100,U255)))</f>
        <v/>
      </c>
      <c r="W255" s="28"/>
      <c r="X255" s="34" t="str">
        <f aca="false">IF(W255="","",IFERROR(VLOOKUP(W255,REPS!$A$2:$D$40,3,0),""))</f>
        <v/>
      </c>
      <c r="Y255" s="31" t="str">
        <f aca="false">IF(O255="","",IF(X255="",0,O255*IF(X255&gt;1,X255/100,X255)))</f>
        <v/>
      </c>
      <c r="Z255" s="28"/>
      <c r="AA255" s="34" t="str">
        <f aca="false">IF(Z255="","",IFERROR(VLOOKUP(Z255,REPS!$A$2:$D$40,4,0),""))</f>
        <v/>
      </c>
      <c r="AB255" s="31" t="str">
        <f aca="false">IF(O255="","",IF(AA255="",0,O255*IF(AA255&gt;1,AA255/100,AA255)))</f>
        <v/>
      </c>
      <c r="AC255" s="31" t="str">
        <f aca="false">IF(O255="","",V255+Y255+AB255)</f>
        <v/>
      </c>
      <c r="AD255" s="19" t="str">
        <f aca="false">IF(O255="","",O255-R255-AC255)</f>
        <v/>
      </c>
      <c r="AE255" s="20"/>
      <c r="AF255" s="27"/>
      <c r="AG255" s="21" t="n">
        <f aca="false">IF(OR(AE255="",AE255=0),0,AE255*IF(U255="",0,IF(U255&gt;1,U255/100,U255)))</f>
        <v>0</v>
      </c>
      <c r="AH255" s="21" t="n">
        <f aca="false">IF(OR(AE255="",AE255=0),0,AE255*IF(X255="",0,IF(X255&gt;1,X255/100,X255)))</f>
        <v>0</v>
      </c>
      <c r="AI255" s="21" t="n">
        <f aca="false">IF(OR(AE255="",AE255=0),0,AE255*IF(AA255="",0,IF(AA255&gt;1,AA255/100,AA255)))</f>
        <v>0</v>
      </c>
      <c r="AJ255" s="21" t="n">
        <f aca="false">AG255+AH255+AI255</f>
        <v>0</v>
      </c>
      <c r="AK255" s="21" t="n">
        <f aca="false">IF(OR(AE255="",AE255=0),0,AE255-AJ255)</f>
        <v>0</v>
      </c>
      <c r="AL255" s="19" t="str">
        <f aca="false">IF(AD255="","",AD255-AK255)</f>
        <v/>
      </c>
      <c r="AM255" s="26" t="str">
        <f aca="false">IF(C255="","","Waiting for payment")</f>
        <v/>
      </c>
      <c r="AN255" s="27"/>
      <c r="AO255" s="27"/>
      <c r="AP255" s="35" t="str">
        <f aca="false">IF(OR(C255="",I255="",K255=""),"",IF(K255="Monthly",EDATE(C255,ROUND(I255*SETTINGS!$I$8,0)),WORKDAY(C255,ROUND(I255*SETTINGS!$I$8,0))))</f>
        <v/>
      </c>
      <c r="AQ255" s="26" t="str">
        <f aca="true">IF(C255="","",IF(AND(AP255&lt;&gt;"",TODAY()&gt;=AP255),"Refi Ready",IF(TODAY()-C255&gt;=SETTINGS!$I$11,"Prospecting","Performing")))</f>
        <v/>
      </c>
      <c r="AR255" s="35" t="str">
        <f aca="false">IF(OR(C255="",I255="",K255=""),"",IF(K255="Monthly",EDATE(C255,I255),WORKDAY(C255,I255)))</f>
        <v/>
      </c>
      <c r="AS255" s="28"/>
      <c r="AT255" s="36" t="str">
        <f aca="true">IF(C255="","",IF(AM255="Clawed Back","CLAWED",IF(TODAY()&lt;=C255+SETTINGS!$I$2,"⚠ AT RISK","SAFE")))</f>
        <v/>
      </c>
      <c r="AU255" s="28"/>
      <c r="AW255" s="24" t="n">
        <f aca="false">AW254+IF(AND(C255&lt;&gt;"",AO255&lt;&gt;"",OR('REP COMMISSION'!$B$3="",T255='REP COMMISSION'!$B$3,W255='REP COMMISSION'!$B$3,Z255='REP COMMISSION'!$B$3)),1,0)</f>
        <v>0</v>
      </c>
      <c r="AX255" s="24" t="n">
        <f aca="false">AX254+IF(AND(C255&lt;&gt;"",OR(F255="LOC - INITIAL",F255="CONSOLIDATION - UPFRONT COMM",F255="REVERSE - TOTAL FUNDING")),1,0)</f>
        <v>0</v>
      </c>
    </row>
    <row r="256" customFormat="false" ht="15" hidden="false" customHeight="false" outlineLevel="0" collapsed="false">
      <c r="A256" s="8" t="str">
        <f aca="false">IF(C256&lt;&gt;"","F"&amp;COUNT($C$4:C256),"")</f>
        <v/>
      </c>
      <c r="B256" s="9" t="str">
        <f aca="false">IF(OR(F256="LOC - INITIAL",F256="CONSOLIDATION - UPFRONT COMM",F256="REVERSE - TOTAL FUNDING"),A256,"")</f>
        <v/>
      </c>
      <c r="C256" s="10"/>
      <c r="D256" s="11"/>
      <c r="E256" s="11"/>
      <c r="F256" s="11"/>
      <c r="G256" s="12"/>
      <c r="H256" s="13"/>
      <c r="I256" s="11"/>
      <c r="J256" s="14" t="str">
        <f aca="false">IF(AND(G256&lt;&gt;"",H256&lt;&gt;""),G256*H256,"")</f>
        <v/>
      </c>
      <c r="K256" s="11"/>
      <c r="L256" s="15"/>
      <c r="M256" s="15"/>
      <c r="N256" s="14" t="n">
        <f aca="false">IF(OR(G256="",M256=""),0,IF(M256&gt;100,M256,G256*IF(M256&gt;1,M256/100,M256)))</f>
        <v>0</v>
      </c>
      <c r="O256" s="14" t="str">
        <f aca="false">IF(G256="","",G256*IF(L256="",0,IF(L256&gt;1,L256/100,L256))+N256)</f>
        <v/>
      </c>
      <c r="P256" s="11"/>
      <c r="Q256" s="16" t="str">
        <f aca="false">IF(P256="","",IFERROR(VLOOKUP(P256,PARTNERS!$A$2:$B$30,2,0),""))</f>
        <v/>
      </c>
      <c r="R256" s="17" t="str">
        <f aca="false">IF(O256="","",IF(OR(P256="",Q256=""),0,(O256-N256)*IF(Q256&gt;1,Q256/100,Q256)))</f>
        <v/>
      </c>
      <c r="S256" s="14" t="str">
        <f aca="false">IF(O256="","",O256-R256)</f>
        <v/>
      </c>
      <c r="T256" s="11"/>
      <c r="U256" s="18" t="str">
        <f aca="false">IF(T256="","",IFERROR(VLOOKUP(T256,REPS!$A$2:$D$40,2,0),""))</f>
        <v/>
      </c>
      <c r="V256" s="14" t="str">
        <f aca="false">IF(O256="","",IF(U256="",0,O256*IF(U256&gt;1,U256/100,U256)))</f>
        <v/>
      </c>
      <c r="W256" s="11"/>
      <c r="X256" s="18" t="str">
        <f aca="false">IF(W256="","",IFERROR(VLOOKUP(W256,REPS!$A$2:$D$40,3,0),""))</f>
        <v/>
      </c>
      <c r="Y256" s="14" t="str">
        <f aca="false">IF(O256="","",IF(X256="",0,O256*IF(X256&gt;1,X256/100,X256)))</f>
        <v/>
      </c>
      <c r="Z256" s="11"/>
      <c r="AA256" s="18" t="str">
        <f aca="false">IF(Z256="","",IFERROR(VLOOKUP(Z256,REPS!$A$2:$D$40,4,0),""))</f>
        <v/>
      </c>
      <c r="AB256" s="14" t="str">
        <f aca="false">IF(O256="","",IF(AA256="",0,O256*IF(AA256&gt;1,AA256/100,AA256)))</f>
        <v/>
      </c>
      <c r="AC256" s="14" t="str">
        <f aca="false">IF(O256="","",V256+Y256+AB256)</f>
        <v/>
      </c>
      <c r="AD256" s="19" t="str">
        <f aca="false">IF(O256="","",O256-R256-AC256)</f>
        <v/>
      </c>
      <c r="AE256" s="20"/>
      <c r="AF256" s="10"/>
      <c r="AG256" s="21" t="n">
        <f aca="false">IF(OR(AE256="",AE256=0),0,AE256*IF(U256="",0,IF(U256&gt;1,U256/100,U256)))</f>
        <v>0</v>
      </c>
      <c r="AH256" s="21" t="n">
        <f aca="false">IF(OR(AE256="",AE256=0),0,AE256*IF(X256="",0,IF(X256&gt;1,X256/100,X256)))</f>
        <v>0</v>
      </c>
      <c r="AI256" s="21" t="n">
        <f aca="false">IF(OR(AE256="",AE256=0),0,AE256*IF(AA256="",0,IF(AA256&gt;1,AA256/100,AA256)))</f>
        <v>0</v>
      </c>
      <c r="AJ256" s="21" t="n">
        <f aca="false">AG256+AH256+AI256</f>
        <v>0</v>
      </c>
      <c r="AK256" s="21" t="n">
        <f aca="false">IF(OR(AE256="",AE256=0),0,AE256-AJ256)</f>
        <v>0</v>
      </c>
      <c r="AL256" s="19" t="str">
        <f aca="false">IF(AD256="","",AD256-AK256)</f>
        <v/>
      </c>
      <c r="AM256" s="9" t="str">
        <f aca="false">IF(C256="","","Waiting for payment")</f>
        <v/>
      </c>
      <c r="AN256" s="10"/>
      <c r="AO256" s="10"/>
      <c r="AP256" s="22" t="str">
        <f aca="false">IF(OR(C256="",I256="",K256=""),"",IF(K256="Monthly",EDATE(C256,ROUND(I256*SETTINGS!$I$8,0)),WORKDAY(C256,ROUND(I256*SETTINGS!$I$8,0))))</f>
        <v/>
      </c>
      <c r="AQ256" s="9" t="str">
        <f aca="true">IF(C256="","",IF(AND(AP256&lt;&gt;"",TODAY()&gt;=AP256),"Refi Ready",IF(TODAY()-C256&gt;=SETTINGS!$I$11,"Prospecting","Performing")))</f>
        <v/>
      </c>
      <c r="AR256" s="22" t="str">
        <f aca="false">IF(OR(C256="",I256="",K256=""),"",IF(K256="Monthly",EDATE(C256,I256),WORKDAY(C256,I256)))</f>
        <v/>
      </c>
      <c r="AS256" s="11"/>
      <c r="AT256" s="23" t="str">
        <f aca="true">IF(C256="","",IF(AM256="Clawed Back","CLAWED",IF(TODAY()&lt;=C256+SETTINGS!$I$2,"⚠ AT RISK","SAFE")))</f>
        <v/>
      </c>
      <c r="AU256" s="11"/>
      <c r="AW256" s="24" t="n">
        <f aca="false">AW255+IF(AND(C256&lt;&gt;"",AO256&lt;&gt;"",OR('REP COMMISSION'!$B$3="",T256='REP COMMISSION'!$B$3,W256='REP COMMISSION'!$B$3,Z256='REP COMMISSION'!$B$3)),1,0)</f>
        <v>0</v>
      </c>
      <c r="AX256" s="24" t="n">
        <f aca="false">AX255+IF(AND(C256&lt;&gt;"",OR(F256="LOC - INITIAL",F256="CONSOLIDATION - UPFRONT COMM",F256="REVERSE - TOTAL FUNDING")),1,0)</f>
        <v>0</v>
      </c>
    </row>
    <row r="257" customFormat="false" ht="15" hidden="false" customHeight="false" outlineLevel="0" collapsed="false">
      <c r="A257" s="25" t="str">
        <f aca="false">IF(C257&lt;&gt;"","F"&amp;COUNT($C$4:C257),"")</f>
        <v/>
      </c>
      <c r="B257" s="26" t="str">
        <f aca="false">IF(OR(F257="LOC - INITIAL",F257="CONSOLIDATION - UPFRONT COMM",F257="REVERSE - TOTAL FUNDING"),A257,"")</f>
        <v/>
      </c>
      <c r="C257" s="27"/>
      <c r="D257" s="28"/>
      <c r="E257" s="28"/>
      <c r="F257" s="28"/>
      <c r="G257" s="29"/>
      <c r="H257" s="30"/>
      <c r="I257" s="28"/>
      <c r="J257" s="31" t="str">
        <f aca="false">IF(AND(G257&lt;&gt;"",H257&lt;&gt;""),G257*H257,"")</f>
        <v/>
      </c>
      <c r="K257" s="28"/>
      <c r="L257" s="32"/>
      <c r="M257" s="32"/>
      <c r="N257" s="31" t="n">
        <f aca="false">IF(OR(G257="",M257=""),0,IF(M257&gt;100,M257,G257*IF(M257&gt;1,M257/100,M257)))</f>
        <v>0</v>
      </c>
      <c r="O257" s="31" t="str">
        <f aca="false">IF(G257="","",G257*IF(L257="",0,IF(L257&gt;1,L257/100,L257))+N257)</f>
        <v/>
      </c>
      <c r="P257" s="28"/>
      <c r="Q257" s="33" t="str">
        <f aca="false">IF(P257="","",IFERROR(VLOOKUP(P257,PARTNERS!$A$2:$B$30,2,0),""))</f>
        <v/>
      </c>
      <c r="R257" s="17" t="str">
        <f aca="false">IF(O257="","",IF(OR(P257="",Q257=""),0,(O257-N257)*IF(Q257&gt;1,Q257/100,Q257)))</f>
        <v/>
      </c>
      <c r="S257" s="31" t="str">
        <f aca="false">IF(O257="","",O257-R257)</f>
        <v/>
      </c>
      <c r="T257" s="28"/>
      <c r="U257" s="34" t="str">
        <f aca="false">IF(T257="","",IFERROR(VLOOKUP(T257,REPS!$A$2:$D$40,2,0),""))</f>
        <v/>
      </c>
      <c r="V257" s="31" t="str">
        <f aca="false">IF(O257="","",IF(U257="",0,O257*IF(U257&gt;1,U257/100,U257)))</f>
        <v/>
      </c>
      <c r="W257" s="28"/>
      <c r="X257" s="34" t="str">
        <f aca="false">IF(W257="","",IFERROR(VLOOKUP(W257,REPS!$A$2:$D$40,3,0),""))</f>
        <v/>
      </c>
      <c r="Y257" s="31" t="str">
        <f aca="false">IF(O257="","",IF(X257="",0,O257*IF(X257&gt;1,X257/100,X257)))</f>
        <v/>
      </c>
      <c r="Z257" s="28"/>
      <c r="AA257" s="34" t="str">
        <f aca="false">IF(Z257="","",IFERROR(VLOOKUP(Z257,REPS!$A$2:$D$40,4,0),""))</f>
        <v/>
      </c>
      <c r="AB257" s="31" t="str">
        <f aca="false">IF(O257="","",IF(AA257="",0,O257*IF(AA257&gt;1,AA257/100,AA257)))</f>
        <v/>
      </c>
      <c r="AC257" s="31" t="str">
        <f aca="false">IF(O257="","",V257+Y257+AB257)</f>
        <v/>
      </c>
      <c r="AD257" s="19" t="str">
        <f aca="false">IF(O257="","",O257-R257-AC257)</f>
        <v/>
      </c>
      <c r="AE257" s="20"/>
      <c r="AF257" s="27"/>
      <c r="AG257" s="21" t="n">
        <f aca="false">IF(OR(AE257="",AE257=0),0,AE257*IF(U257="",0,IF(U257&gt;1,U257/100,U257)))</f>
        <v>0</v>
      </c>
      <c r="AH257" s="21" t="n">
        <f aca="false">IF(OR(AE257="",AE257=0),0,AE257*IF(X257="",0,IF(X257&gt;1,X257/100,X257)))</f>
        <v>0</v>
      </c>
      <c r="AI257" s="21" t="n">
        <f aca="false">IF(OR(AE257="",AE257=0),0,AE257*IF(AA257="",0,IF(AA257&gt;1,AA257/100,AA257)))</f>
        <v>0</v>
      </c>
      <c r="AJ257" s="21" t="n">
        <f aca="false">AG257+AH257+AI257</f>
        <v>0</v>
      </c>
      <c r="AK257" s="21" t="n">
        <f aca="false">IF(OR(AE257="",AE257=0),0,AE257-AJ257)</f>
        <v>0</v>
      </c>
      <c r="AL257" s="19" t="str">
        <f aca="false">IF(AD257="","",AD257-AK257)</f>
        <v/>
      </c>
      <c r="AM257" s="26" t="str">
        <f aca="false">IF(C257="","","Waiting for payment")</f>
        <v/>
      </c>
      <c r="AN257" s="27"/>
      <c r="AO257" s="27"/>
      <c r="AP257" s="35" t="str">
        <f aca="false">IF(OR(C257="",I257="",K257=""),"",IF(K257="Monthly",EDATE(C257,ROUND(I257*SETTINGS!$I$8,0)),WORKDAY(C257,ROUND(I257*SETTINGS!$I$8,0))))</f>
        <v/>
      </c>
      <c r="AQ257" s="26" t="str">
        <f aca="true">IF(C257="","",IF(AND(AP257&lt;&gt;"",TODAY()&gt;=AP257),"Refi Ready",IF(TODAY()-C257&gt;=SETTINGS!$I$11,"Prospecting","Performing")))</f>
        <v/>
      </c>
      <c r="AR257" s="35" t="str">
        <f aca="false">IF(OR(C257="",I257="",K257=""),"",IF(K257="Monthly",EDATE(C257,I257),WORKDAY(C257,I257)))</f>
        <v/>
      </c>
      <c r="AS257" s="28"/>
      <c r="AT257" s="36" t="str">
        <f aca="true">IF(C257="","",IF(AM257="Clawed Back","CLAWED",IF(TODAY()&lt;=C257+SETTINGS!$I$2,"⚠ AT RISK","SAFE")))</f>
        <v/>
      </c>
      <c r="AU257" s="28"/>
      <c r="AW257" s="24" t="n">
        <f aca="false">AW256+IF(AND(C257&lt;&gt;"",AO257&lt;&gt;"",OR('REP COMMISSION'!$B$3="",T257='REP COMMISSION'!$B$3,W257='REP COMMISSION'!$B$3,Z257='REP COMMISSION'!$B$3)),1,0)</f>
        <v>0</v>
      </c>
      <c r="AX257" s="24" t="n">
        <f aca="false">AX256+IF(AND(C257&lt;&gt;"",OR(F257="LOC - INITIAL",F257="CONSOLIDATION - UPFRONT COMM",F257="REVERSE - TOTAL FUNDING")),1,0)</f>
        <v>0</v>
      </c>
    </row>
    <row r="258" customFormat="false" ht="15" hidden="false" customHeight="false" outlineLevel="0" collapsed="false">
      <c r="A258" s="8" t="str">
        <f aca="false">IF(C258&lt;&gt;"","F"&amp;COUNT($C$4:C258),"")</f>
        <v/>
      </c>
      <c r="B258" s="9" t="str">
        <f aca="false">IF(OR(F258="LOC - INITIAL",F258="CONSOLIDATION - UPFRONT COMM",F258="REVERSE - TOTAL FUNDING"),A258,"")</f>
        <v/>
      </c>
      <c r="C258" s="10"/>
      <c r="D258" s="11"/>
      <c r="E258" s="11"/>
      <c r="F258" s="11"/>
      <c r="G258" s="12"/>
      <c r="H258" s="13"/>
      <c r="I258" s="11"/>
      <c r="J258" s="14" t="str">
        <f aca="false">IF(AND(G258&lt;&gt;"",H258&lt;&gt;""),G258*H258,"")</f>
        <v/>
      </c>
      <c r="K258" s="11"/>
      <c r="L258" s="15"/>
      <c r="M258" s="15"/>
      <c r="N258" s="14" t="n">
        <f aca="false">IF(OR(G258="",M258=""),0,IF(M258&gt;100,M258,G258*IF(M258&gt;1,M258/100,M258)))</f>
        <v>0</v>
      </c>
      <c r="O258" s="14" t="str">
        <f aca="false">IF(G258="","",G258*IF(L258="",0,IF(L258&gt;1,L258/100,L258))+N258)</f>
        <v/>
      </c>
      <c r="P258" s="11"/>
      <c r="Q258" s="16" t="str">
        <f aca="false">IF(P258="","",IFERROR(VLOOKUP(P258,PARTNERS!$A$2:$B$30,2,0),""))</f>
        <v/>
      </c>
      <c r="R258" s="17" t="str">
        <f aca="false">IF(O258="","",IF(OR(P258="",Q258=""),0,(O258-N258)*IF(Q258&gt;1,Q258/100,Q258)))</f>
        <v/>
      </c>
      <c r="S258" s="14" t="str">
        <f aca="false">IF(O258="","",O258-R258)</f>
        <v/>
      </c>
      <c r="T258" s="11"/>
      <c r="U258" s="18" t="str">
        <f aca="false">IF(T258="","",IFERROR(VLOOKUP(T258,REPS!$A$2:$D$40,2,0),""))</f>
        <v/>
      </c>
      <c r="V258" s="14" t="str">
        <f aca="false">IF(O258="","",IF(U258="",0,O258*IF(U258&gt;1,U258/100,U258)))</f>
        <v/>
      </c>
      <c r="W258" s="11"/>
      <c r="X258" s="18" t="str">
        <f aca="false">IF(W258="","",IFERROR(VLOOKUP(W258,REPS!$A$2:$D$40,3,0),""))</f>
        <v/>
      </c>
      <c r="Y258" s="14" t="str">
        <f aca="false">IF(O258="","",IF(X258="",0,O258*IF(X258&gt;1,X258/100,X258)))</f>
        <v/>
      </c>
      <c r="Z258" s="11"/>
      <c r="AA258" s="18" t="str">
        <f aca="false">IF(Z258="","",IFERROR(VLOOKUP(Z258,REPS!$A$2:$D$40,4,0),""))</f>
        <v/>
      </c>
      <c r="AB258" s="14" t="str">
        <f aca="false">IF(O258="","",IF(AA258="",0,O258*IF(AA258&gt;1,AA258/100,AA258)))</f>
        <v/>
      </c>
      <c r="AC258" s="14" t="str">
        <f aca="false">IF(O258="","",V258+Y258+AB258)</f>
        <v/>
      </c>
      <c r="AD258" s="19" t="str">
        <f aca="false">IF(O258="","",O258-R258-AC258)</f>
        <v/>
      </c>
      <c r="AE258" s="20"/>
      <c r="AF258" s="10"/>
      <c r="AG258" s="21" t="n">
        <f aca="false">IF(OR(AE258="",AE258=0),0,AE258*IF(U258="",0,IF(U258&gt;1,U258/100,U258)))</f>
        <v>0</v>
      </c>
      <c r="AH258" s="21" t="n">
        <f aca="false">IF(OR(AE258="",AE258=0),0,AE258*IF(X258="",0,IF(X258&gt;1,X258/100,X258)))</f>
        <v>0</v>
      </c>
      <c r="AI258" s="21" t="n">
        <f aca="false">IF(OR(AE258="",AE258=0),0,AE258*IF(AA258="",0,IF(AA258&gt;1,AA258/100,AA258)))</f>
        <v>0</v>
      </c>
      <c r="AJ258" s="21" t="n">
        <f aca="false">AG258+AH258+AI258</f>
        <v>0</v>
      </c>
      <c r="AK258" s="21" t="n">
        <f aca="false">IF(OR(AE258="",AE258=0),0,AE258-AJ258)</f>
        <v>0</v>
      </c>
      <c r="AL258" s="19" t="str">
        <f aca="false">IF(AD258="","",AD258-AK258)</f>
        <v/>
      </c>
      <c r="AM258" s="9" t="str">
        <f aca="false">IF(C258="","","Waiting for payment")</f>
        <v/>
      </c>
      <c r="AN258" s="10"/>
      <c r="AO258" s="10"/>
      <c r="AP258" s="22" t="str">
        <f aca="false">IF(OR(C258="",I258="",K258=""),"",IF(K258="Monthly",EDATE(C258,ROUND(I258*SETTINGS!$I$8,0)),WORKDAY(C258,ROUND(I258*SETTINGS!$I$8,0))))</f>
        <v/>
      </c>
      <c r="AQ258" s="9" t="str">
        <f aca="true">IF(C258="","",IF(AND(AP258&lt;&gt;"",TODAY()&gt;=AP258),"Refi Ready",IF(TODAY()-C258&gt;=SETTINGS!$I$11,"Prospecting","Performing")))</f>
        <v/>
      </c>
      <c r="AR258" s="22" t="str">
        <f aca="false">IF(OR(C258="",I258="",K258=""),"",IF(K258="Monthly",EDATE(C258,I258),WORKDAY(C258,I258)))</f>
        <v/>
      </c>
      <c r="AS258" s="11"/>
      <c r="AT258" s="23" t="str">
        <f aca="true">IF(C258="","",IF(AM258="Clawed Back","CLAWED",IF(TODAY()&lt;=C258+SETTINGS!$I$2,"⚠ AT RISK","SAFE")))</f>
        <v/>
      </c>
      <c r="AU258" s="11"/>
      <c r="AW258" s="24" t="n">
        <f aca="false">AW257+IF(AND(C258&lt;&gt;"",AO258&lt;&gt;"",OR('REP COMMISSION'!$B$3="",T258='REP COMMISSION'!$B$3,W258='REP COMMISSION'!$B$3,Z258='REP COMMISSION'!$B$3)),1,0)</f>
        <v>0</v>
      </c>
      <c r="AX258" s="24" t="n">
        <f aca="false">AX257+IF(AND(C258&lt;&gt;"",OR(F258="LOC - INITIAL",F258="CONSOLIDATION - UPFRONT COMM",F258="REVERSE - TOTAL FUNDING")),1,0)</f>
        <v>0</v>
      </c>
    </row>
    <row r="259" customFormat="false" ht="15" hidden="false" customHeight="false" outlineLevel="0" collapsed="false">
      <c r="A259" s="25" t="str">
        <f aca="false">IF(C259&lt;&gt;"","F"&amp;COUNT($C$4:C259),"")</f>
        <v/>
      </c>
      <c r="B259" s="26" t="str">
        <f aca="false">IF(OR(F259="LOC - INITIAL",F259="CONSOLIDATION - UPFRONT COMM",F259="REVERSE - TOTAL FUNDING"),A259,"")</f>
        <v/>
      </c>
      <c r="C259" s="27"/>
      <c r="D259" s="28"/>
      <c r="E259" s="28"/>
      <c r="F259" s="28"/>
      <c r="G259" s="29"/>
      <c r="H259" s="30"/>
      <c r="I259" s="28"/>
      <c r="J259" s="31" t="str">
        <f aca="false">IF(AND(G259&lt;&gt;"",H259&lt;&gt;""),G259*H259,"")</f>
        <v/>
      </c>
      <c r="K259" s="28"/>
      <c r="L259" s="32"/>
      <c r="M259" s="32"/>
      <c r="N259" s="31" t="n">
        <f aca="false">IF(OR(G259="",M259=""),0,IF(M259&gt;100,M259,G259*IF(M259&gt;1,M259/100,M259)))</f>
        <v>0</v>
      </c>
      <c r="O259" s="31" t="str">
        <f aca="false">IF(G259="","",G259*IF(L259="",0,IF(L259&gt;1,L259/100,L259))+N259)</f>
        <v/>
      </c>
      <c r="P259" s="28"/>
      <c r="Q259" s="33" t="str">
        <f aca="false">IF(P259="","",IFERROR(VLOOKUP(P259,PARTNERS!$A$2:$B$30,2,0),""))</f>
        <v/>
      </c>
      <c r="R259" s="17" t="str">
        <f aca="false">IF(O259="","",IF(OR(P259="",Q259=""),0,(O259-N259)*IF(Q259&gt;1,Q259/100,Q259)))</f>
        <v/>
      </c>
      <c r="S259" s="31" t="str">
        <f aca="false">IF(O259="","",O259-R259)</f>
        <v/>
      </c>
      <c r="T259" s="28"/>
      <c r="U259" s="34" t="str">
        <f aca="false">IF(T259="","",IFERROR(VLOOKUP(T259,REPS!$A$2:$D$40,2,0),""))</f>
        <v/>
      </c>
      <c r="V259" s="31" t="str">
        <f aca="false">IF(O259="","",IF(U259="",0,O259*IF(U259&gt;1,U259/100,U259)))</f>
        <v/>
      </c>
      <c r="W259" s="28"/>
      <c r="X259" s="34" t="str">
        <f aca="false">IF(W259="","",IFERROR(VLOOKUP(W259,REPS!$A$2:$D$40,3,0),""))</f>
        <v/>
      </c>
      <c r="Y259" s="31" t="str">
        <f aca="false">IF(O259="","",IF(X259="",0,O259*IF(X259&gt;1,X259/100,X259)))</f>
        <v/>
      </c>
      <c r="Z259" s="28"/>
      <c r="AA259" s="34" t="str">
        <f aca="false">IF(Z259="","",IFERROR(VLOOKUP(Z259,REPS!$A$2:$D$40,4,0),""))</f>
        <v/>
      </c>
      <c r="AB259" s="31" t="str">
        <f aca="false">IF(O259="","",IF(AA259="",0,O259*IF(AA259&gt;1,AA259/100,AA259)))</f>
        <v/>
      </c>
      <c r="AC259" s="31" t="str">
        <f aca="false">IF(O259="","",V259+Y259+AB259)</f>
        <v/>
      </c>
      <c r="AD259" s="19" t="str">
        <f aca="false">IF(O259="","",O259-R259-AC259)</f>
        <v/>
      </c>
      <c r="AE259" s="20"/>
      <c r="AF259" s="27"/>
      <c r="AG259" s="21" t="n">
        <f aca="false">IF(OR(AE259="",AE259=0),0,AE259*IF(U259="",0,IF(U259&gt;1,U259/100,U259)))</f>
        <v>0</v>
      </c>
      <c r="AH259" s="21" t="n">
        <f aca="false">IF(OR(AE259="",AE259=0),0,AE259*IF(X259="",0,IF(X259&gt;1,X259/100,X259)))</f>
        <v>0</v>
      </c>
      <c r="AI259" s="21" t="n">
        <f aca="false">IF(OR(AE259="",AE259=0),0,AE259*IF(AA259="",0,IF(AA259&gt;1,AA259/100,AA259)))</f>
        <v>0</v>
      </c>
      <c r="AJ259" s="21" t="n">
        <f aca="false">AG259+AH259+AI259</f>
        <v>0</v>
      </c>
      <c r="AK259" s="21" t="n">
        <f aca="false">IF(OR(AE259="",AE259=0),0,AE259-AJ259)</f>
        <v>0</v>
      </c>
      <c r="AL259" s="19" t="str">
        <f aca="false">IF(AD259="","",AD259-AK259)</f>
        <v/>
      </c>
      <c r="AM259" s="26" t="str">
        <f aca="false">IF(C259="","","Waiting for payment")</f>
        <v/>
      </c>
      <c r="AN259" s="27"/>
      <c r="AO259" s="27"/>
      <c r="AP259" s="35" t="str">
        <f aca="false">IF(OR(C259="",I259="",K259=""),"",IF(K259="Monthly",EDATE(C259,ROUND(I259*SETTINGS!$I$8,0)),WORKDAY(C259,ROUND(I259*SETTINGS!$I$8,0))))</f>
        <v/>
      </c>
      <c r="AQ259" s="26" t="str">
        <f aca="true">IF(C259="","",IF(AND(AP259&lt;&gt;"",TODAY()&gt;=AP259),"Refi Ready",IF(TODAY()-C259&gt;=SETTINGS!$I$11,"Prospecting","Performing")))</f>
        <v/>
      </c>
      <c r="AR259" s="35" t="str">
        <f aca="false">IF(OR(C259="",I259="",K259=""),"",IF(K259="Monthly",EDATE(C259,I259),WORKDAY(C259,I259)))</f>
        <v/>
      </c>
      <c r="AS259" s="28"/>
      <c r="AT259" s="36" t="str">
        <f aca="true">IF(C259="","",IF(AM259="Clawed Back","CLAWED",IF(TODAY()&lt;=C259+SETTINGS!$I$2,"⚠ AT RISK","SAFE")))</f>
        <v/>
      </c>
      <c r="AU259" s="28"/>
      <c r="AW259" s="24" t="n">
        <f aca="false">AW258+IF(AND(C259&lt;&gt;"",AO259&lt;&gt;"",OR('REP COMMISSION'!$B$3="",T259='REP COMMISSION'!$B$3,W259='REP COMMISSION'!$B$3,Z259='REP COMMISSION'!$B$3)),1,0)</f>
        <v>0</v>
      </c>
      <c r="AX259" s="24" t="n">
        <f aca="false">AX258+IF(AND(C259&lt;&gt;"",OR(F259="LOC - INITIAL",F259="CONSOLIDATION - UPFRONT COMM",F259="REVERSE - TOTAL FUNDING")),1,0)</f>
        <v>0</v>
      </c>
    </row>
    <row r="260" customFormat="false" ht="15" hidden="false" customHeight="false" outlineLevel="0" collapsed="false">
      <c r="A260" s="8" t="str">
        <f aca="false">IF(C260&lt;&gt;"","F"&amp;COUNT($C$4:C260),"")</f>
        <v/>
      </c>
      <c r="B260" s="9" t="str">
        <f aca="false">IF(OR(F260="LOC - INITIAL",F260="CONSOLIDATION - UPFRONT COMM",F260="REVERSE - TOTAL FUNDING"),A260,"")</f>
        <v/>
      </c>
      <c r="C260" s="10"/>
      <c r="D260" s="11"/>
      <c r="E260" s="11"/>
      <c r="F260" s="11"/>
      <c r="G260" s="12"/>
      <c r="H260" s="13"/>
      <c r="I260" s="11"/>
      <c r="J260" s="14" t="str">
        <f aca="false">IF(AND(G260&lt;&gt;"",H260&lt;&gt;""),G260*H260,"")</f>
        <v/>
      </c>
      <c r="K260" s="11"/>
      <c r="L260" s="15"/>
      <c r="M260" s="15"/>
      <c r="N260" s="14" t="n">
        <f aca="false">IF(OR(G260="",M260=""),0,IF(M260&gt;100,M260,G260*IF(M260&gt;1,M260/100,M260)))</f>
        <v>0</v>
      </c>
      <c r="O260" s="14" t="str">
        <f aca="false">IF(G260="","",G260*IF(L260="",0,IF(L260&gt;1,L260/100,L260))+N260)</f>
        <v/>
      </c>
      <c r="P260" s="11"/>
      <c r="Q260" s="16" t="str">
        <f aca="false">IF(P260="","",IFERROR(VLOOKUP(P260,PARTNERS!$A$2:$B$30,2,0),""))</f>
        <v/>
      </c>
      <c r="R260" s="17" t="str">
        <f aca="false">IF(O260="","",IF(OR(P260="",Q260=""),0,(O260-N260)*IF(Q260&gt;1,Q260/100,Q260)))</f>
        <v/>
      </c>
      <c r="S260" s="14" t="str">
        <f aca="false">IF(O260="","",O260-R260)</f>
        <v/>
      </c>
      <c r="T260" s="11"/>
      <c r="U260" s="18" t="str">
        <f aca="false">IF(T260="","",IFERROR(VLOOKUP(T260,REPS!$A$2:$D$40,2,0),""))</f>
        <v/>
      </c>
      <c r="V260" s="14" t="str">
        <f aca="false">IF(O260="","",IF(U260="",0,O260*IF(U260&gt;1,U260/100,U260)))</f>
        <v/>
      </c>
      <c r="W260" s="11"/>
      <c r="X260" s="18" t="str">
        <f aca="false">IF(W260="","",IFERROR(VLOOKUP(W260,REPS!$A$2:$D$40,3,0),""))</f>
        <v/>
      </c>
      <c r="Y260" s="14" t="str">
        <f aca="false">IF(O260="","",IF(X260="",0,O260*IF(X260&gt;1,X260/100,X260)))</f>
        <v/>
      </c>
      <c r="Z260" s="11"/>
      <c r="AA260" s="18" t="str">
        <f aca="false">IF(Z260="","",IFERROR(VLOOKUP(Z260,REPS!$A$2:$D$40,4,0),""))</f>
        <v/>
      </c>
      <c r="AB260" s="14" t="str">
        <f aca="false">IF(O260="","",IF(AA260="",0,O260*IF(AA260&gt;1,AA260/100,AA260)))</f>
        <v/>
      </c>
      <c r="AC260" s="14" t="str">
        <f aca="false">IF(O260="","",V260+Y260+AB260)</f>
        <v/>
      </c>
      <c r="AD260" s="19" t="str">
        <f aca="false">IF(O260="","",O260-R260-AC260)</f>
        <v/>
      </c>
      <c r="AE260" s="20"/>
      <c r="AF260" s="10"/>
      <c r="AG260" s="21" t="n">
        <f aca="false">IF(OR(AE260="",AE260=0),0,AE260*IF(U260="",0,IF(U260&gt;1,U260/100,U260)))</f>
        <v>0</v>
      </c>
      <c r="AH260" s="21" t="n">
        <f aca="false">IF(OR(AE260="",AE260=0),0,AE260*IF(X260="",0,IF(X260&gt;1,X260/100,X260)))</f>
        <v>0</v>
      </c>
      <c r="AI260" s="21" t="n">
        <f aca="false">IF(OR(AE260="",AE260=0),0,AE260*IF(AA260="",0,IF(AA260&gt;1,AA260/100,AA260)))</f>
        <v>0</v>
      </c>
      <c r="AJ260" s="21" t="n">
        <f aca="false">AG260+AH260+AI260</f>
        <v>0</v>
      </c>
      <c r="AK260" s="21" t="n">
        <f aca="false">IF(OR(AE260="",AE260=0),0,AE260-AJ260)</f>
        <v>0</v>
      </c>
      <c r="AL260" s="19" t="str">
        <f aca="false">IF(AD260="","",AD260-AK260)</f>
        <v/>
      </c>
      <c r="AM260" s="9" t="str">
        <f aca="false">IF(C260="","","Waiting for payment")</f>
        <v/>
      </c>
      <c r="AN260" s="10"/>
      <c r="AO260" s="10"/>
      <c r="AP260" s="22" t="str">
        <f aca="false">IF(OR(C260="",I260="",K260=""),"",IF(K260="Monthly",EDATE(C260,ROUND(I260*SETTINGS!$I$8,0)),WORKDAY(C260,ROUND(I260*SETTINGS!$I$8,0))))</f>
        <v/>
      </c>
      <c r="AQ260" s="9" t="str">
        <f aca="true">IF(C260="","",IF(AND(AP260&lt;&gt;"",TODAY()&gt;=AP260),"Refi Ready",IF(TODAY()-C260&gt;=SETTINGS!$I$11,"Prospecting","Performing")))</f>
        <v/>
      </c>
      <c r="AR260" s="22" t="str">
        <f aca="false">IF(OR(C260="",I260="",K260=""),"",IF(K260="Monthly",EDATE(C260,I260),WORKDAY(C260,I260)))</f>
        <v/>
      </c>
      <c r="AS260" s="11"/>
      <c r="AT260" s="23" t="str">
        <f aca="true">IF(C260="","",IF(AM260="Clawed Back","CLAWED",IF(TODAY()&lt;=C260+SETTINGS!$I$2,"⚠ AT RISK","SAFE")))</f>
        <v/>
      </c>
      <c r="AU260" s="11"/>
      <c r="AW260" s="24" t="n">
        <f aca="false">AW259+IF(AND(C260&lt;&gt;"",AO260&lt;&gt;"",OR('REP COMMISSION'!$B$3="",T260='REP COMMISSION'!$B$3,W260='REP COMMISSION'!$B$3,Z260='REP COMMISSION'!$B$3)),1,0)</f>
        <v>0</v>
      </c>
      <c r="AX260" s="24" t="n">
        <f aca="false">AX259+IF(AND(C260&lt;&gt;"",OR(F260="LOC - INITIAL",F260="CONSOLIDATION - UPFRONT COMM",F260="REVERSE - TOTAL FUNDING")),1,0)</f>
        <v>0</v>
      </c>
    </row>
    <row r="261" customFormat="false" ht="15" hidden="false" customHeight="false" outlineLevel="0" collapsed="false">
      <c r="A261" s="25" t="str">
        <f aca="false">IF(C261&lt;&gt;"","F"&amp;COUNT($C$4:C261),"")</f>
        <v/>
      </c>
      <c r="B261" s="26" t="str">
        <f aca="false">IF(OR(F261="LOC - INITIAL",F261="CONSOLIDATION - UPFRONT COMM",F261="REVERSE - TOTAL FUNDING"),A261,"")</f>
        <v/>
      </c>
      <c r="C261" s="27"/>
      <c r="D261" s="28"/>
      <c r="E261" s="28"/>
      <c r="F261" s="28"/>
      <c r="G261" s="29"/>
      <c r="H261" s="30"/>
      <c r="I261" s="28"/>
      <c r="J261" s="31" t="str">
        <f aca="false">IF(AND(G261&lt;&gt;"",H261&lt;&gt;""),G261*H261,"")</f>
        <v/>
      </c>
      <c r="K261" s="28"/>
      <c r="L261" s="32"/>
      <c r="M261" s="32"/>
      <c r="N261" s="31" t="n">
        <f aca="false">IF(OR(G261="",M261=""),0,IF(M261&gt;100,M261,G261*IF(M261&gt;1,M261/100,M261)))</f>
        <v>0</v>
      </c>
      <c r="O261" s="31" t="str">
        <f aca="false">IF(G261="","",G261*IF(L261="",0,IF(L261&gt;1,L261/100,L261))+N261)</f>
        <v/>
      </c>
      <c r="P261" s="28"/>
      <c r="Q261" s="33" t="str">
        <f aca="false">IF(P261="","",IFERROR(VLOOKUP(P261,PARTNERS!$A$2:$B$30,2,0),""))</f>
        <v/>
      </c>
      <c r="R261" s="17" t="str">
        <f aca="false">IF(O261="","",IF(OR(P261="",Q261=""),0,(O261-N261)*IF(Q261&gt;1,Q261/100,Q261)))</f>
        <v/>
      </c>
      <c r="S261" s="31" t="str">
        <f aca="false">IF(O261="","",O261-R261)</f>
        <v/>
      </c>
      <c r="T261" s="28"/>
      <c r="U261" s="34" t="str">
        <f aca="false">IF(T261="","",IFERROR(VLOOKUP(T261,REPS!$A$2:$D$40,2,0),""))</f>
        <v/>
      </c>
      <c r="V261" s="31" t="str">
        <f aca="false">IF(O261="","",IF(U261="",0,O261*IF(U261&gt;1,U261/100,U261)))</f>
        <v/>
      </c>
      <c r="W261" s="28"/>
      <c r="X261" s="34" t="str">
        <f aca="false">IF(W261="","",IFERROR(VLOOKUP(W261,REPS!$A$2:$D$40,3,0),""))</f>
        <v/>
      </c>
      <c r="Y261" s="31" t="str">
        <f aca="false">IF(O261="","",IF(X261="",0,O261*IF(X261&gt;1,X261/100,X261)))</f>
        <v/>
      </c>
      <c r="Z261" s="28"/>
      <c r="AA261" s="34" t="str">
        <f aca="false">IF(Z261="","",IFERROR(VLOOKUP(Z261,REPS!$A$2:$D$40,4,0),""))</f>
        <v/>
      </c>
      <c r="AB261" s="31" t="str">
        <f aca="false">IF(O261="","",IF(AA261="",0,O261*IF(AA261&gt;1,AA261/100,AA261)))</f>
        <v/>
      </c>
      <c r="AC261" s="31" t="str">
        <f aca="false">IF(O261="","",V261+Y261+AB261)</f>
        <v/>
      </c>
      <c r="AD261" s="19" t="str">
        <f aca="false">IF(O261="","",O261-R261-AC261)</f>
        <v/>
      </c>
      <c r="AE261" s="20"/>
      <c r="AF261" s="27"/>
      <c r="AG261" s="21" t="n">
        <f aca="false">IF(OR(AE261="",AE261=0),0,AE261*IF(U261="",0,IF(U261&gt;1,U261/100,U261)))</f>
        <v>0</v>
      </c>
      <c r="AH261" s="21" t="n">
        <f aca="false">IF(OR(AE261="",AE261=0),0,AE261*IF(X261="",0,IF(X261&gt;1,X261/100,X261)))</f>
        <v>0</v>
      </c>
      <c r="AI261" s="21" t="n">
        <f aca="false">IF(OR(AE261="",AE261=0),0,AE261*IF(AA261="",0,IF(AA261&gt;1,AA261/100,AA261)))</f>
        <v>0</v>
      </c>
      <c r="AJ261" s="21" t="n">
        <f aca="false">AG261+AH261+AI261</f>
        <v>0</v>
      </c>
      <c r="AK261" s="21" t="n">
        <f aca="false">IF(OR(AE261="",AE261=0),0,AE261-AJ261)</f>
        <v>0</v>
      </c>
      <c r="AL261" s="19" t="str">
        <f aca="false">IF(AD261="","",AD261-AK261)</f>
        <v/>
      </c>
      <c r="AM261" s="26" t="str">
        <f aca="false">IF(C261="","","Waiting for payment")</f>
        <v/>
      </c>
      <c r="AN261" s="27"/>
      <c r="AO261" s="27"/>
      <c r="AP261" s="35" t="str">
        <f aca="false">IF(OR(C261="",I261="",K261=""),"",IF(K261="Monthly",EDATE(C261,ROUND(I261*SETTINGS!$I$8,0)),WORKDAY(C261,ROUND(I261*SETTINGS!$I$8,0))))</f>
        <v/>
      </c>
      <c r="AQ261" s="26" t="str">
        <f aca="true">IF(C261="","",IF(AND(AP261&lt;&gt;"",TODAY()&gt;=AP261),"Refi Ready",IF(TODAY()-C261&gt;=SETTINGS!$I$11,"Prospecting","Performing")))</f>
        <v/>
      </c>
      <c r="AR261" s="35" t="str">
        <f aca="false">IF(OR(C261="",I261="",K261=""),"",IF(K261="Monthly",EDATE(C261,I261),WORKDAY(C261,I261)))</f>
        <v/>
      </c>
      <c r="AS261" s="28"/>
      <c r="AT261" s="36" t="str">
        <f aca="true">IF(C261="","",IF(AM261="Clawed Back","CLAWED",IF(TODAY()&lt;=C261+SETTINGS!$I$2,"⚠ AT RISK","SAFE")))</f>
        <v/>
      </c>
      <c r="AU261" s="28"/>
      <c r="AW261" s="24" t="n">
        <f aca="false">AW260+IF(AND(C261&lt;&gt;"",AO261&lt;&gt;"",OR('REP COMMISSION'!$B$3="",T261='REP COMMISSION'!$B$3,W261='REP COMMISSION'!$B$3,Z261='REP COMMISSION'!$B$3)),1,0)</f>
        <v>0</v>
      </c>
      <c r="AX261" s="24" t="n">
        <f aca="false">AX260+IF(AND(C261&lt;&gt;"",OR(F261="LOC - INITIAL",F261="CONSOLIDATION - UPFRONT COMM",F261="REVERSE - TOTAL FUNDING")),1,0)</f>
        <v>0</v>
      </c>
    </row>
    <row r="262" customFormat="false" ht="15" hidden="false" customHeight="false" outlineLevel="0" collapsed="false">
      <c r="A262" s="8" t="str">
        <f aca="false">IF(C262&lt;&gt;"","F"&amp;COUNT($C$4:C262),"")</f>
        <v/>
      </c>
      <c r="B262" s="9" t="str">
        <f aca="false">IF(OR(F262="LOC - INITIAL",F262="CONSOLIDATION - UPFRONT COMM",F262="REVERSE - TOTAL FUNDING"),A262,"")</f>
        <v/>
      </c>
      <c r="C262" s="10"/>
      <c r="D262" s="11"/>
      <c r="E262" s="11"/>
      <c r="F262" s="11"/>
      <c r="G262" s="12"/>
      <c r="H262" s="13"/>
      <c r="I262" s="11"/>
      <c r="J262" s="14" t="str">
        <f aca="false">IF(AND(G262&lt;&gt;"",H262&lt;&gt;""),G262*H262,"")</f>
        <v/>
      </c>
      <c r="K262" s="11"/>
      <c r="L262" s="15"/>
      <c r="M262" s="15"/>
      <c r="N262" s="14" t="n">
        <f aca="false">IF(OR(G262="",M262=""),0,IF(M262&gt;100,M262,G262*IF(M262&gt;1,M262/100,M262)))</f>
        <v>0</v>
      </c>
      <c r="O262" s="14" t="str">
        <f aca="false">IF(G262="","",G262*IF(L262="",0,IF(L262&gt;1,L262/100,L262))+N262)</f>
        <v/>
      </c>
      <c r="P262" s="11"/>
      <c r="Q262" s="16" t="str">
        <f aca="false">IF(P262="","",IFERROR(VLOOKUP(P262,PARTNERS!$A$2:$B$30,2,0),""))</f>
        <v/>
      </c>
      <c r="R262" s="17" t="str">
        <f aca="false">IF(O262="","",IF(OR(P262="",Q262=""),0,(O262-N262)*IF(Q262&gt;1,Q262/100,Q262)))</f>
        <v/>
      </c>
      <c r="S262" s="14" t="str">
        <f aca="false">IF(O262="","",O262-R262)</f>
        <v/>
      </c>
      <c r="T262" s="11"/>
      <c r="U262" s="18" t="str">
        <f aca="false">IF(T262="","",IFERROR(VLOOKUP(T262,REPS!$A$2:$D$40,2,0),""))</f>
        <v/>
      </c>
      <c r="V262" s="14" t="str">
        <f aca="false">IF(O262="","",IF(U262="",0,O262*IF(U262&gt;1,U262/100,U262)))</f>
        <v/>
      </c>
      <c r="W262" s="11"/>
      <c r="X262" s="18" t="str">
        <f aca="false">IF(W262="","",IFERROR(VLOOKUP(W262,REPS!$A$2:$D$40,3,0),""))</f>
        <v/>
      </c>
      <c r="Y262" s="14" t="str">
        <f aca="false">IF(O262="","",IF(X262="",0,O262*IF(X262&gt;1,X262/100,X262)))</f>
        <v/>
      </c>
      <c r="Z262" s="11"/>
      <c r="AA262" s="18" t="str">
        <f aca="false">IF(Z262="","",IFERROR(VLOOKUP(Z262,REPS!$A$2:$D$40,4,0),""))</f>
        <v/>
      </c>
      <c r="AB262" s="14" t="str">
        <f aca="false">IF(O262="","",IF(AA262="",0,O262*IF(AA262&gt;1,AA262/100,AA262)))</f>
        <v/>
      </c>
      <c r="AC262" s="14" t="str">
        <f aca="false">IF(O262="","",V262+Y262+AB262)</f>
        <v/>
      </c>
      <c r="AD262" s="19" t="str">
        <f aca="false">IF(O262="","",O262-R262-AC262)</f>
        <v/>
      </c>
      <c r="AE262" s="20"/>
      <c r="AF262" s="10"/>
      <c r="AG262" s="21" t="n">
        <f aca="false">IF(OR(AE262="",AE262=0),0,AE262*IF(U262="",0,IF(U262&gt;1,U262/100,U262)))</f>
        <v>0</v>
      </c>
      <c r="AH262" s="21" t="n">
        <f aca="false">IF(OR(AE262="",AE262=0),0,AE262*IF(X262="",0,IF(X262&gt;1,X262/100,X262)))</f>
        <v>0</v>
      </c>
      <c r="AI262" s="21" t="n">
        <f aca="false">IF(OR(AE262="",AE262=0),0,AE262*IF(AA262="",0,IF(AA262&gt;1,AA262/100,AA262)))</f>
        <v>0</v>
      </c>
      <c r="AJ262" s="21" t="n">
        <f aca="false">AG262+AH262+AI262</f>
        <v>0</v>
      </c>
      <c r="AK262" s="21" t="n">
        <f aca="false">IF(OR(AE262="",AE262=0),0,AE262-AJ262)</f>
        <v>0</v>
      </c>
      <c r="AL262" s="19" t="str">
        <f aca="false">IF(AD262="","",AD262-AK262)</f>
        <v/>
      </c>
      <c r="AM262" s="9" t="str">
        <f aca="false">IF(C262="","","Waiting for payment")</f>
        <v/>
      </c>
      <c r="AN262" s="10"/>
      <c r="AO262" s="10"/>
      <c r="AP262" s="22" t="str">
        <f aca="false">IF(OR(C262="",I262="",K262=""),"",IF(K262="Monthly",EDATE(C262,ROUND(I262*SETTINGS!$I$8,0)),WORKDAY(C262,ROUND(I262*SETTINGS!$I$8,0))))</f>
        <v/>
      </c>
      <c r="AQ262" s="9" t="str">
        <f aca="true">IF(C262="","",IF(AND(AP262&lt;&gt;"",TODAY()&gt;=AP262),"Refi Ready",IF(TODAY()-C262&gt;=SETTINGS!$I$11,"Prospecting","Performing")))</f>
        <v/>
      </c>
      <c r="AR262" s="22" t="str">
        <f aca="false">IF(OR(C262="",I262="",K262=""),"",IF(K262="Monthly",EDATE(C262,I262),WORKDAY(C262,I262)))</f>
        <v/>
      </c>
      <c r="AS262" s="11"/>
      <c r="AT262" s="23" t="str">
        <f aca="true">IF(C262="","",IF(AM262="Clawed Back","CLAWED",IF(TODAY()&lt;=C262+SETTINGS!$I$2,"⚠ AT RISK","SAFE")))</f>
        <v/>
      </c>
      <c r="AU262" s="11"/>
      <c r="AW262" s="24" t="n">
        <f aca="false">AW261+IF(AND(C262&lt;&gt;"",AO262&lt;&gt;"",OR('REP COMMISSION'!$B$3="",T262='REP COMMISSION'!$B$3,W262='REP COMMISSION'!$B$3,Z262='REP COMMISSION'!$B$3)),1,0)</f>
        <v>0</v>
      </c>
      <c r="AX262" s="24" t="n">
        <f aca="false">AX261+IF(AND(C262&lt;&gt;"",OR(F262="LOC - INITIAL",F262="CONSOLIDATION - UPFRONT COMM",F262="REVERSE - TOTAL FUNDING")),1,0)</f>
        <v>0</v>
      </c>
    </row>
    <row r="263" customFormat="false" ht="15" hidden="false" customHeight="false" outlineLevel="0" collapsed="false">
      <c r="A263" s="25" t="str">
        <f aca="false">IF(C263&lt;&gt;"","F"&amp;COUNT($C$4:C263),"")</f>
        <v/>
      </c>
      <c r="B263" s="26" t="str">
        <f aca="false">IF(OR(F263="LOC - INITIAL",F263="CONSOLIDATION - UPFRONT COMM",F263="REVERSE - TOTAL FUNDING"),A263,"")</f>
        <v/>
      </c>
      <c r="C263" s="27"/>
      <c r="D263" s="28"/>
      <c r="E263" s="28"/>
      <c r="F263" s="28"/>
      <c r="G263" s="29"/>
      <c r="H263" s="30"/>
      <c r="I263" s="28"/>
      <c r="J263" s="31" t="str">
        <f aca="false">IF(AND(G263&lt;&gt;"",H263&lt;&gt;""),G263*H263,"")</f>
        <v/>
      </c>
      <c r="K263" s="28"/>
      <c r="L263" s="32"/>
      <c r="M263" s="32"/>
      <c r="N263" s="31" t="n">
        <f aca="false">IF(OR(G263="",M263=""),0,IF(M263&gt;100,M263,G263*IF(M263&gt;1,M263/100,M263)))</f>
        <v>0</v>
      </c>
      <c r="O263" s="31" t="str">
        <f aca="false">IF(G263="","",G263*IF(L263="",0,IF(L263&gt;1,L263/100,L263))+N263)</f>
        <v/>
      </c>
      <c r="P263" s="28"/>
      <c r="Q263" s="33" t="str">
        <f aca="false">IF(P263="","",IFERROR(VLOOKUP(P263,PARTNERS!$A$2:$B$30,2,0),""))</f>
        <v/>
      </c>
      <c r="R263" s="17" t="str">
        <f aca="false">IF(O263="","",IF(OR(P263="",Q263=""),0,(O263-N263)*IF(Q263&gt;1,Q263/100,Q263)))</f>
        <v/>
      </c>
      <c r="S263" s="31" t="str">
        <f aca="false">IF(O263="","",O263-R263)</f>
        <v/>
      </c>
      <c r="T263" s="28"/>
      <c r="U263" s="34" t="str">
        <f aca="false">IF(T263="","",IFERROR(VLOOKUP(T263,REPS!$A$2:$D$40,2,0),""))</f>
        <v/>
      </c>
      <c r="V263" s="31" t="str">
        <f aca="false">IF(O263="","",IF(U263="",0,O263*IF(U263&gt;1,U263/100,U263)))</f>
        <v/>
      </c>
      <c r="W263" s="28"/>
      <c r="X263" s="34" t="str">
        <f aca="false">IF(W263="","",IFERROR(VLOOKUP(W263,REPS!$A$2:$D$40,3,0),""))</f>
        <v/>
      </c>
      <c r="Y263" s="31" t="str">
        <f aca="false">IF(O263="","",IF(X263="",0,O263*IF(X263&gt;1,X263/100,X263)))</f>
        <v/>
      </c>
      <c r="Z263" s="28"/>
      <c r="AA263" s="34" t="str">
        <f aca="false">IF(Z263="","",IFERROR(VLOOKUP(Z263,REPS!$A$2:$D$40,4,0),""))</f>
        <v/>
      </c>
      <c r="AB263" s="31" t="str">
        <f aca="false">IF(O263="","",IF(AA263="",0,O263*IF(AA263&gt;1,AA263/100,AA263)))</f>
        <v/>
      </c>
      <c r="AC263" s="31" t="str">
        <f aca="false">IF(O263="","",V263+Y263+AB263)</f>
        <v/>
      </c>
      <c r="AD263" s="19" t="str">
        <f aca="false">IF(O263="","",O263-R263-AC263)</f>
        <v/>
      </c>
      <c r="AE263" s="20"/>
      <c r="AF263" s="27"/>
      <c r="AG263" s="21" t="n">
        <f aca="false">IF(OR(AE263="",AE263=0),0,AE263*IF(U263="",0,IF(U263&gt;1,U263/100,U263)))</f>
        <v>0</v>
      </c>
      <c r="AH263" s="21" t="n">
        <f aca="false">IF(OR(AE263="",AE263=0),0,AE263*IF(X263="",0,IF(X263&gt;1,X263/100,X263)))</f>
        <v>0</v>
      </c>
      <c r="AI263" s="21" t="n">
        <f aca="false">IF(OR(AE263="",AE263=0),0,AE263*IF(AA263="",0,IF(AA263&gt;1,AA263/100,AA263)))</f>
        <v>0</v>
      </c>
      <c r="AJ263" s="21" t="n">
        <f aca="false">AG263+AH263+AI263</f>
        <v>0</v>
      </c>
      <c r="AK263" s="21" t="n">
        <f aca="false">IF(OR(AE263="",AE263=0),0,AE263-AJ263)</f>
        <v>0</v>
      </c>
      <c r="AL263" s="19" t="str">
        <f aca="false">IF(AD263="","",AD263-AK263)</f>
        <v/>
      </c>
      <c r="AM263" s="26" t="str">
        <f aca="false">IF(C263="","","Waiting for payment")</f>
        <v/>
      </c>
      <c r="AN263" s="27"/>
      <c r="AO263" s="27"/>
      <c r="AP263" s="35" t="str">
        <f aca="false">IF(OR(C263="",I263="",K263=""),"",IF(K263="Monthly",EDATE(C263,ROUND(I263*SETTINGS!$I$8,0)),WORKDAY(C263,ROUND(I263*SETTINGS!$I$8,0))))</f>
        <v/>
      </c>
      <c r="AQ263" s="26" t="str">
        <f aca="true">IF(C263="","",IF(AND(AP263&lt;&gt;"",TODAY()&gt;=AP263),"Refi Ready",IF(TODAY()-C263&gt;=SETTINGS!$I$11,"Prospecting","Performing")))</f>
        <v/>
      </c>
      <c r="AR263" s="35" t="str">
        <f aca="false">IF(OR(C263="",I263="",K263=""),"",IF(K263="Monthly",EDATE(C263,I263),WORKDAY(C263,I263)))</f>
        <v/>
      </c>
      <c r="AS263" s="28"/>
      <c r="AT263" s="36" t="str">
        <f aca="true">IF(C263="","",IF(AM263="Clawed Back","CLAWED",IF(TODAY()&lt;=C263+SETTINGS!$I$2,"⚠ AT RISK","SAFE")))</f>
        <v/>
      </c>
      <c r="AU263" s="28"/>
      <c r="AW263" s="24" t="n">
        <f aca="false">AW262+IF(AND(C263&lt;&gt;"",AO263&lt;&gt;"",OR('REP COMMISSION'!$B$3="",T263='REP COMMISSION'!$B$3,W263='REP COMMISSION'!$B$3,Z263='REP COMMISSION'!$B$3)),1,0)</f>
        <v>0</v>
      </c>
      <c r="AX263" s="24" t="n">
        <f aca="false">AX262+IF(AND(C263&lt;&gt;"",OR(F263="LOC - INITIAL",F263="CONSOLIDATION - UPFRONT COMM",F263="REVERSE - TOTAL FUNDING")),1,0)</f>
        <v>0</v>
      </c>
    </row>
    <row r="264" customFormat="false" ht="15" hidden="false" customHeight="false" outlineLevel="0" collapsed="false">
      <c r="A264" s="8" t="str">
        <f aca="false">IF(C264&lt;&gt;"","F"&amp;COUNT($C$4:C264),"")</f>
        <v/>
      </c>
      <c r="B264" s="9" t="str">
        <f aca="false">IF(OR(F264="LOC - INITIAL",F264="CONSOLIDATION - UPFRONT COMM",F264="REVERSE - TOTAL FUNDING"),A264,"")</f>
        <v/>
      </c>
      <c r="C264" s="10"/>
      <c r="D264" s="11"/>
      <c r="E264" s="11"/>
      <c r="F264" s="11"/>
      <c r="G264" s="12"/>
      <c r="H264" s="13"/>
      <c r="I264" s="11"/>
      <c r="J264" s="14" t="str">
        <f aca="false">IF(AND(G264&lt;&gt;"",H264&lt;&gt;""),G264*H264,"")</f>
        <v/>
      </c>
      <c r="K264" s="11"/>
      <c r="L264" s="15"/>
      <c r="M264" s="15"/>
      <c r="N264" s="14" t="n">
        <f aca="false">IF(OR(G264="",M264=""),0,IF(M264&gt;100,M264,G264*IF(M264&gt;1,M264/100,M264)))</f>
        <v>0</v>
      </c>
      <c r="O264" s="14" t="str">
        <f aca="false">IF(G264="","",G264*IF(L264="",0,IF(L264&gt;1,L264/100,L264))+N264)</f>
        <v/>
      </c>
      <c r="P264" s="11"/>
      <c r="Q264" s="16" t="str">
        <f aca="false">IF(P264="","",IFERROR(VLOOKUP(P264,PARTNERS!$A$2:$B$30,2,0),""))</f>
        <v/>
      </c>
      <c r="R264" s="17" t="str">
        <f aca="false">IF(O264="","",IF(OR(P264="",Q264=""),0,(O264-N264)*IF(Q264&gt;1,Q264/100,Q264)))</f>
        <v/>
      </c>
      <c r="S264" s="14" t="str">
        <f aca="false">IF(O264="","",O264-R264)</f>
        <v/>
      </c>
      <c r="T264" s="11"/>
      <c r="U264" s="18" t="str">
        <f aca="false">IF(T264="","",IFERROR(VLOOKUP(T264,REPS!$A$2:$D$40,2,0),""))</f>
        <v/>
      </c>
      <c r="V264" s="14" t="str">
        <f aca="false">IF(O264="","",IF(U264="",0,O264*IF(U264&gt;1,U264/100,U264)))</f>
        <v/>
      </c>
      <c r="W264" s="11"/>
      <c r="X264" s="18" t="str">
        <f aca="false">IF(W264="","",IFERROR(VLOOKUP(W264,REPS!$A$2:$D$40,3,0),""))</f>
        <v/>
      </c>
      <c r="Y264" s="14" t="str">
        <f aca="false">IF(O264="","",IF(X264="",0,O264*IF(X264&gt;1,X264/100,X264)))</f>
        <v/>
      </c>
      <c r="Z264" s="11"/>
      <c r="AA264" s="18" t="str">
        <f aca="false">IF(Z264="","",IFERROR(VLOOKUP(Z264,REPS!$A$2:$D$40,4,0),""))</f>
        <v/>
      </c>
      <c r="AB264" s="14" t="str">
        <f aca="false">IF(O264="","",IF(AA264="",0,O264*IF(AA264&gt;1,AA264/100,AA264)))</f>
        <v/>
      </c>
      <c r="AC264" s="14" t="str">
        <f aca="false">IF(O264="","",V264+Y264+AB264)</f>
        <v/>
      </c>
      <c r="AD264" s="19" t="str">
        <f aca="false">IF(O264="","",O264-R264-AC264)</f>
        <v/>
      </c>
      <c r="AE264" s="20"/>
      <c r="AF264" s="10"/>
      <c r="AG264" s="21" t="n">
        <f aca="false">IF(OR(AE264="",AE264=0),0,AE264*IF(U264="",0,IF(U264&gt;1,U264/100,U264)))</f>
        <v>0</v>
      </c>
      <c r="AH264" s="21" t="n">
        <f aca="false">IF(OR(AE264="",AE264=0),0,AE264*IF(X264="",0,IF(X264&gt;1,X264/100,X264)))</f>
        <v>0</v>
      </c>
      <c r="AI264" s="21" t="n">
        <f aca="false">IF(OR(AE264="",AE264=0),0,AE264*IF(AA264="",0,IF(AA264&gt;1,AA264/100,AA264)))</f>
        <v>0</v>
      </c>
      <c r="AJ264" s="21" t="n">
        <f aca="false">AG264+AH264+AI264</f>
        <v>0</v>
      </c>
      <c r="AK264" s="21" t="n">
        <f aca="false">IF(OR(AE264="",AE264=0),0,AE264-AJ264)</f>
        <v>0</v>
      </c>
      <c r="AL264" s="19" t="str">
        <f aca="false">IF(AD264="","",AD264-AK264)</f>
        <v/>
      </c>
      <c r="AM264" s="9" t="str">
        <f aca="false">IF(C264="","","Waiting for payment")</f>
        <v/>
      </c>
      <c r="AN264" s="10"/>
      <c r="AO264" s="10"/>
      <c r="AP264" s="22" t="str">
        <f aca="false">IF(OR(C264="",I264="",K264=""),"",IF(K264="Monthly",EDATE(C264,ROUND(I264*SETTINGS!$I$8,0)),WORKDAY(C264,ROUND(I264*SETTINGS!$I$8,0))))</f>
        <v/>
      </c>
      <c r="AQ264" s="9" t="str">
        <f aca="true">IF(C264="","",IF(AND(AP264&lt;&gt;"",TODAY()&gt;=AP264),"Refi Ready",IF(TODAY()-C264&gt;=SETTINGS!$I$11,"Prospecting","Performing")))</f>
        <v/>
      </c>
      <c r="AR264" s="22" t="str">
        <f aca="false">IF(OR(C264="",I264="",K264=""),"",IF(K264="Monthly",EDATE(C264,I264),WORKDAY(C264,I264)))</f>
        <v/>
      </c>
      <c r="AS264" s="11"/>
      <c r="AT264" s="23" t="str">
        <f aca="true">IF(C264="","",IF(AM264="Clawed Back","CLAWED",IF(TODAY()&lt;=C264+SETTINGS!$I$2,"⚠ AT RISK","SAFE")))</f>
        <v/>
      </c>
      <c r="AU264" s="11"/>
      <c r="AW264" s="24" t="n">
        <f aca="false">AW263+IF(AND(C264&lt;&gt;"",AO264&lt;&gt;"",OR('REP COMMISSION'!$B$3="",T264='REP COMMISSION'!$B$3,W264='REP COMMISSION'!$B$3,Z264='REP COMMISSION'!$B$3)),1,0)</f>
        <v>0</v>
      </c>
      <c r="AX264" s="24" t="n">
        <f aca="false">AX263+IF(AND(C264&lt;&gt;"",OR(F264="LOC - INITIAL",F264="CONSOLIDATION - UPFRONT COMM",F264="REVERSE - TOTAL FUNDING")),1,0)</f>
        <v>0</v>
      </c>
    </row>
    <row r="265" customFormat="false" ht="15" hidden="false" customHeight="false" outlineLevel="0" collapsed="false">
      <c r="A265" s="25" t="str">
        <f aca="false">IF(C265&lt;&gt;"","F"&amp;COUNT($C$4:C265),"")</f>
        <v/>
      </c>
      <c r="B265" s="26" t="str">
        <f aca="false">IF(OR(F265="LOC - INITIAL",F265="CONSOLIDATION - UPFRONT COMM",F265="REVERSE - TOTAL FUNDING"),A265,"")</f>
        <v/>
      </c>
      <c r="C265" s="27"/>
      <c r="D265" s="28"/>
      <c r="E265" s="28"/>
      <c r="F265" s="28"/>
      <c r="G265" s="29"/>
      <c r="H265" s="30"/>
      <c r="I265" s="28"/>
      <c r="J265" s="31" t="str">
        <f aca="false">IF(AND(G265&lt;&gt;"",H265&lt;&gt;""),G265*H265,"")</f>
        <v/>
      </c>
      <c r="K265" s="28"/>
      <c r="L265" s="32"/>
      <c r="M265" s="32"/>
      <c r="N265" s="31" t="n">
        <f aca="false">IF(OR(G265="",M265=""),0,IF(M265&gt;100,M265,G265*IF(M265&gt;1,M265/100,M265)))</f>
        <v>0</v>
      </c>
      <c r="O265" s="31" t="str">
        <f aca="false">IF(G265="","",G265*IF(L265="",0,IF(L265&gt;1,L265/100,L265))+N265)</f>
        <v/>
      </c>
      <c r="P265" s="28"/>
      <c r="Q265" s="33" t="str">
        <f aca="false">IF(P265="","",IFERROR(VLOOKUP(P265,PARTNERS!$A$2:$B$30,2,0),""))</f>
        <v/>
      </c>
      <c r="R265" s="17" t="str">
        <f aca="false">IF(O265="","",IF(OR(P265="",Q265=""),0,(O265-N265)*IF(Q265&gt;1,Q265/100,Q265)))</f>
        <v/>
      </c>
      <c r="S265" s="31" t="str">
        <f aca="false">IF(O265="","",O265-R265)</f>
        <v/>
      </c>
      <c r="T265" s="28"/>
      <c r="U265" s="34" t="str">
        <f aca="false">IF(T265="","",IFERROR(VLOOKUP(T265,REPS!$A$2:$D$40,2,0),""))</f>
        <v/>
      </c>
      <c r="V265" s="31" t="str">
        <f aca="false">IF(O265="","",IF(U265="",0,O265*IF(U265&gt;1,U265/100,U265)))</f>
        <v/>
      </c>
      <c r="W265" s="28"/>
      <c r="X265" s="34" t="str">
        <f aca="false">IF(W265="","",IFERROR(VLOOKUP(W265,REPS!$A$2:$D$40,3,0),""))</f>
        <v/>
      </c>
      <c r="Y265" s="31" t="str">
        <f aca="false">IF(O265="","",IF(X265="",0,O265*IF(X265&gt;1,X265/100,X265)))</f>
        <v/>
      </c>
      <c r="Z265" s="28"/>
      <c r="AA265" s="34" t="str">
        <f aca="false">IF(Z265="","",IFERROR(VLOOKUP(Z265,REPS!$A$2:$D$40,4,0),""))</f>
        <v/>
      </c>
      <c r="AB265" s="31" t="str">
        <f aca="false">IF(O265="","",IF(AA265="",0,O265*IF(AA265&gt;1,AA265/100,AA265)))</f>
        <v/>
      </c>
      <c r="AC265" s="31" t="str">
        <f aca="false">IF(O265="","",V265+Y265+AB265)</f>
        <v/>
      </c>
      <c r="AD265" s="19" t="str">
        <f aca="false">IF(O265="","",O265-R265-AC265)</f>
        <v/>
      </c>
      <c r="AE265" s="20"/>
      <c r="AF265" s="27"/>
      <c r="AG265" s="21" t="n">
        <f aca="false">IF(OR(AE265="",AE265=0),0,AE265*IF(U265="",0,IF(U265&gt;1,U265/100,U265)))</f>
        <v>0</v>
      </c>
      <c r="AH265" s="21" t="n">
        <f aca="false">IF(OR(AE265="",AE265=0),0,AE265*IF(X265="",0,IF(X265&gt;1,X265/100,X265)))</f>
        <v>0</v>
      </c>
      <c r="AI265" s="21" t="n">
        <f aca="false">IF(OR(AE265="",AE265=0),0,AE265*IF(AA265="",0,IF(AA265&gt;1,AA265/100,AA265)))</f>
        <v>0</v>
      </c>
      <c r="AJ265" s="21" t="n">
        <f aca="false">AG265+AH265+AI265</f>
        <v>0</v>
      </c>
      <c r="AK265" s="21" t="n">
        <f aca="false">IF(OR(AE265="",AE265=0),0,AE265-AJ265)</f>
        <v>0</v>
      </c>
      <c r="AL265" s="19" t="str">
        <f aca="false">IF(AD265="","",AD265-AK265)</f>
        <v/>
      </c>
      <c r="AM265" s="26" t="str">
        <f aca="false">IF(C265="","","Waiting for payment")</f>
        <v/>
      </c>
      <c r="AN265" s="27"/>
      <c r="AO265" s="27"/>
      <c r="AP265" s="35" t="str">
        <f aca="false">IF(OR(C265="",I265="",K265=""),"",IF(K265="Monthly",EDATE(C265,ROUND(I265*SETTINGS!$I$8,0)),WORKDAY(C265,ROUND(I265*SETTINGS!$I$8,0))))</f>
        <v/>
      </c>
      <c r="AQ265" s="26" t="str">
        <f aca="true">IF(C265="","",IF(AND(AP265&lt;&gt;"",TODAY()&gt;=AP265),"Refi Ready",IF(TODAY()-C265&gt;=SETTINGS!$I$11,"Prospecting","Performing")))</f>
        <v/>
      </c>
      <c r="AR265" s="35" t="str">
        <f aca="false">IF(OR(C265="",I265="",K265=""),"",IF(K265="Monthly",EDATE(C265,I265),WORKDAY(C265,I265)))</f>
        <v/>
      </c>
      <c r="AS265" s="28"/>
      <c r="AT265" s="36" t="str">
        <f aca="true">IF(C265="","",IF(AM265="Clawed Back","CLAWED",IF(TODAY()&lt;=C265+SETTINGS!$I$2,"⚠ AT RISK","SAFE")))</f>
        <v/>
      </c>
      <c r="AU265" s="28"/>
      <c r="AW265" s="24" t="n">
        <f aca="false">AW264+IF(AND(C265&lt;&gt;"",AO265&lt;&gt;"",OR('REP COMMISSION'!$B$3="",T265='REP COMMISSION'!$B$3,W265='REP COMMISSION'!$B$3,Z265='REP COMMISSION'!$B$3)),1,0)</f>
        <v>0</v>
      </c>
      <c r="AX265" s="24" t="n">
        <f aca="false">AX264+IF(AND(C265&lt;&gt;"",OR(F265="LOC - INITIAL",F265="CONSOLIDATION - UPFRONT COMM",F265="REVERSE - TOTAL FUNDING")),1,0)</f>
        <v>0</v>
      </c>
    </row>
    <row r="266" customFormat="false" ht="15" hidden="false" customHeight="false" outlineLevel="0" collapsed="false">
      <c r="A266" s="8" t="str">
        <f aca="false">IF(C266&lt;&gt;"","F"&amp;COUNT($C$4:C266),"")</f>
        <v/>
      </c>
      <c r="B266" s="9" t="str">
        <f aca="false">IF(OR(F266="LOC - INITIAL",F266="CONSOLIDATION - UPFRONT COMM",F266="REVERSE - TOTAL FUNDING"),A266,"")</f>
        <v/>
      </c>
      <c r="C266" s="10"/>
      <c r="D266" s="11"/>
      <c r="E266" s="11"/>
      <c r="F266" s="11"/>
      <c r="G266" s="12"/>
      <c r="H266" s="13"/>
      <c r="I266" s="11"/>
      <c r="J266" s="14" t="str">
        <f aca="false">IF(AND(G266&lt;&gt;"",H266&lt;&gt;""),G266*H266,"")</f>
        <v/>
      </c>
      <c r="K266" s="11"/>
      <c r="L266" s="15"/>
      <c r="M266" s="15"/>
      <c r="N266" s="14" t="n">
        <f aca="false">IF(OR(G266="",M266=""),0,IF(M266&gt;100,M266,G266*IF(M266&gt;1,M266/100,M266)))</f>
        <v>0</v>
      </c>
      <c r="O266" s="14" t="str">
        <f aca="false">IF(G266="","",G266*IF(L266="",0,IF(L266&gt;1,L266/100,L266))+N266)</f>
        <v/>
      </c>
      <c r="P266" s="11"/>
      <c r="Q266" s="16" t="str">
        <f aca="false">IF(P266="","",IFERROR(VLOOKUP(P266,PARTNERS!$A$2:$B$30,2,0),""))</f>
        <v/>
      </c>
      <c r="R266" s="17" t="str">
        <f aca="false">IF(O266="","",IF(OR(P266="",Q266=""),0,(O266-N266)*IF(Q266&gt;1,Q266/100,Q266)))</f>
        <v/>
      </c>
      <c r="S266" s="14" t="str">
        <f aca="false">IF(O266="","",O266-R266)</f>
        <v/>
      </c>
      <c r="T266" s="11"/>
      <c r="U266" s="18" t="str">
        <f aca="false">IF(T266="","",IFERROR(VLOOKUP(T266,REPS!$A$2:$D$40,2,0),""))</f>
        <v/>
      </c>
      <c r="V266" s="14" t="str">
        <f aca="false">IF(O266="","",IF(U266="",0,O266*IF(U266&gt;1,U266/100,U266)))</f>
        <v/>
      </c>
      <c r="W266" s="11"/>
      <c r="X266" s="18" t="str">
        <f aca="false">IF(W266="","",IFERROR(VLOOKUP(W266,REPS!$A$2:$D$40,3,0),""))</f>
        <v/>
      </c>
      <c r="Y266" s="14" t="str">
        <f aca="false">IF(O266="","",IF(X266="",0,O266*IF(X266&gt;1,X266/100,X266)))</f>
        <v/>
      </c>
      <c r="Z266" s="11"/>
      <c r="AA266" s="18" t="str">
        <f aca="false">IF(Z266="","",IFERROR(VLOOKUP(Z266,REPS!$A$2:$D$40,4,0),""))</f>
        <v/>
      </c>
      <c r="AB266" s="14" t="str">
        <f aca="false">IF(O266="","",IF(AA266="",0,O266*IF(AA266&gt;1,AA266/100,AA266)))</f>
        <v/>
      </c>
      <c r="AC266" s="14" t="str">
        <f aca="false">IF(O266="","",V266+Y266+AB266)</f>
        <v/>
      </c>
      <c r="AD266" s="19" t="str">
        <f aca="false">IF(O266="","",O266-R266-AC266)</f>
        <v/>
      </c>
      <c r="AE266" s="20"/>
      <c r="AF266" s="10"/>
      <c r="AG266" s="21" t="n">
        <f aca="false">IF(OR(AE266="",AE266=0),0,AE266*IF(U266="",0,IF(U266&gt;1,U266/100,U266)))</f>
        <v>0</v>
      </c>
      <c r="AH266" s="21" t="n">
        <f aca="false">IF(OR(AE266="",AE266=0),0,AE266*IF(X266="",0,IF(X266&gt;1,X266/100,X266)))</f>
        <v>0</v>
      </c>
      <c r="AI266" s="21" t="n">
        <f aca="false">IF(OR(AE266="",AE266=0),0,AE266*IF(AA266="",0,IF(AA266&gt;1,AA266/100,AA266)))</f>
        <v>0</v>
      </c>
      <c r="AJ266" s="21" t="n">
        <f aca="false">AG266+AH266+AI266</f>
        <v>0</v>
      </c>
      <c r="AK266" s="21" t="n">
        <f aca="false">IF(OR(AE266="",AE266=0),0,AE266-AJ266)</f>
        <v>0</v>
      </c>
      <c r="AL266" s="19" t="str">
        <f aca="false">IF(AD266="","",AD266-AK266)</f>
        <v/>
      </c>
      <c r="AM266" s="9" t="str">
        <f aca="false">IF(C266="","","Waiting for payment")</f>
        <v/>
      </c>
      <c r="AN266" s="10"/>
      <c r="AO266" s="10"/>
      <c r="AP266" s="22" t="str">
        <f aca="false">IF(OR(C266="",I266="",K266=""),"",IF(K266="Monthly",EDATE(C266,ROUND(I266*SETTINGS!$I$8,0)),WORKDAY(C266,ROUND(I266*SETTINGS!$I$8,0))))</f>
        <v/>
      </c>
      <c r="AQ266" s="9" t="str">
        <f aca="true">IF(C266="","",IF(AND(AP266&lt;&gt;"",TODAY()&gt;=AP266),"Refi Ready",IF(TODAY()-C266&gt;=SETTINGS!$I$11,"Prospecting","Performing")))</f>
        <v/>
      </c>
      <c r="AR266" s="22" t="str">
        <f aca="false">IF(OR(C266="",I266="",K266=""),"",IF(K266="Monthly",EDATE(C266,I266),WORKDAY(C266,I266)))</f>
        <v/>
      </c>
      <c r="AS266" s="11"/>
      <c r="AT266" s="23" t="str">
        <f aca="true">IF(C266="","",IF(AM266="Clawed Back","CLAWED",IF(TODAY()&lt;=C266+SETTINGS!$I$2,"⚠ AT RISK","SAFE")))</f>
        <v/>
      </c>
      <c r="AU266" s="11"/>
      <c r="AW266" s="24" t="n">
        <f aca="false">AW265+IF(AND(C266&lt;&gt;"",AO266&lt;&gt;"",OR('REP COMMISSION'!$B$3="",T266='REP COMMISSION'!$B$3,W266='REP COMMISSION'!$B$3,Z266='REP COMMISSION'!$B$3)),1,0)</f>
        <v>0</v>
      </c>
      <c r="AX266" s="24" t="n">
        <f aca="false">AX265+IF(AND(C266&lt;&gt;"",OR(F266="LOC - INITIAL",F266="CONSOLIDATION - UPFRONT COMM",F266="REVERSE - TOTAL FUNDING")),1,0)</f>
        <v>0</v>
      </c>
    </row>
    <row r="267" customFormat="false" ht="15" hidden="false" customHeight="false" outlineLevel="0" collapsed="false">
      <c r="A267" s="25" t="str">
        <f aca="false">IF(C267&lt;&gt;"","F"&amp;COUNT($C$4:C267),"")</f>
        <v/>
      </c>
      <c r="B267" s="26" t="str">
        <f aca="false">IF(OR(F267="LOC - INITIAL",F267="CONSOLIDATION - UPFRONT COMM",F267="REVERSE - TOTAL FUNDING"),A267,"")</f>
        <v/>
      </c>
      <c r="C267" s="27"/>
      <c r="D267" s="28"/>
      <c r="E267" s="28"/>
      <c r="F267" s="28"/>
      <c r="G267" s="29"/>
      <c r="H267" s="30"/>
      <c r="I267" s="28"/>
      <c r="J267" s="31" t="str">
        <f aca="false">IF(AND(G267&lt;&gt;"",H267&lt;&gt;""),G267*H267,"")</f>
        <v/>
      </c>
      <c r="K267" s="28"/>
      <c r="L267" s="32"/>
      <c r="M267" s="32"/>
      <c r="N267" s="31" t="n">
        <f aca="false">IF(OR(G267="",M267=""),0,IF(M267&gt;100,M267,G267*IF(M267&gt;1,M267/100,M267)))</f>
        <v>0</v>
      </c>
      <c r="O267" s="31" t="str">
        <f aca="false">IF(G267="","",G267*IF(L267="",0,IF(L267&gt;1,L267/100,L267))+N267)</f>
        <v/>
      </c>
      <c r="P267" s="28"/>
      <c r="Q267" s="33" t="str">
        <f aca="false">IF(P267="","",IFERROR(VLOOKUP(P267,PARTNERS!$A$2:$B$30,2,0),""))</f>
        <v/>
      </c>
      <c r="R267" s="17" t="str">
        <f aca="false">IF(O267="","",IF(OR(P267="",Q267=""),0,(O267-N267)*IF(Q267&gt;1,Q267/100,Q267)))</f>
        <v/>
      </c>
      <c r="S267" s="31" t="str">
        <f aca="false">IF(O267="","",O267-R267)</f>
        <v/>
      </c>
      <c r="T267" s="28"/>
      <c r="U267" s="34" t="str">
        <f aca="false">IF(T267="","",IFERROR(VLOOKUP(T267,REPS!$A$2:$D$40,2,0),""))</f>
        <v/>
      </c>
      <c r="V267" s="31" t="str">
        <f aca="false">IF(O267="","",IF(U267="",0,O267*IF(U267&gt;1,U267/100,U267)))</f>
        <v/>
      </c>
      <c r="W267" s="28"/>
      <c r="X267" s="34" t="str">
        <f aca="false">IF(W267="","",IFERROR(VLOOKUP(W267,REPS!$A$2:$D$40,3,0),""))</f>
        <v/>
      </c>
      <c r="Y267" s="31" t="str">
        <f aca="false">IF(O267="","",IF(X267="",0,O267*IF(X267&gt;1,X267/100,X267)))</f>
        <v/>
      </c>
      <c r="Z267" s="28"/>
      <c r="AA267" s="34" t="str">
        <f aca="false">IF(Z267="","",IFERROR(VLOOKUP(Z267,REPS!$A$2:$D$40,4,0),""))</f>
        <v/>
      </c>
      <c r="AB267" s="31" t="str">
        <f aca="false">IF(O267="","",IF(AA267="",0,O267*IF(AA267&gt;1,AA267/100,AA267)))</f>
        <v/>
      </c>
      <c r="AC267" s="31" t="str">
        <f aca="false">IF(O267="","",V267+Y267+AB267)</f>
        <v/>
      </c>
      <c r="AD267" s="19" t="str">
        <f aca="false">IF(O267="","",O267-R267-AC267)</f>
        <v/>
      </c>
      <c r="AE267" s="20"/>
      <c r="AF267" s="27"/>
      <c r="AG267" s="21" t="n">
        <f aca="false">IF(OR(AE267="",AE267=0),0,AE267*IF(U267="",0,IF(U267&gt;1,U267/100,U267)))</f>
        <v>0</v>
      </c>
      <c r="AH267" s="21" t="n">
        <f aca="false">IF(OR(AE267="",AE267=0),0,AE267*IF(X267="",0,IF(X267&gt;1,X267/100,X267)))</f>
        <v>0</v>
      </c>
      <c r="AI267" s="21" t="n">
        <f aca="false">IF(OR(AE267="",AE267=0),0,AE267*IF(AA267="",0,IF(AA267&gt;1,AA267/100,AA267)))</f>
        <v>0</v>
      </c>
      <c r="AJ267" s="21" t="n">
        <f aca="false">AG267+AH267+AI267</f>
        <v>0</v>
      </c>
      <c r="AK267" s="21" t="n">
        <f aca="false">IF(OR(AE267="",AE267=0),0,AE267-AJ267)</f>
        <v>0</v>
      </c>
      <c r="AL267" s="19" t="str">
        <f aca="false">IF(AD267="","",AD267-AK267)</f>
        <v/>
      </c>
      <c r="AM267" s="26" t="str">
        <f aca="false">IF(C267="","","Waiting for payment")</f>
        <v/>
      </c>
      <c r="AN267" s="27"/>
      <c r="AO267" s="27"/>
      <c r="AP267" s="35" t="str">
        <f aca="false">IF(OR(C267="",I267="",K267=""),"",IF(K267="Monthly",EDATE(C267,ROUND(I267*SETTINGS!$I$8,0)),WORKDAY(C267,ROUND(I267*SETTINGS!$I$8,0))))</f>
        <v/>
      </c>
      <c r="AQ267" s="26" t="str">
        <f aca="true">IF(C267="","",IF(AND(AP267&lt;&gt;"",TODAY()&gt;=AP267),"Refi Ready",IF(TODAY()-C267&gt;=SETTINGS!$I$11,"Prospecting","Performing")))</f>
        <v/>
      </c>
      <c r="AR267" s="35" t="str">
        <f aca="false">IF(OR(C267="",I267="",K267=""),"",IF(K267="Monthly",EDATE(C267,I267),WORKDAY(C267,I267)))</f>
        <v/>
      </c>
      <c r="AS267" s="28"/>
      <c r="AT267" s="36" t="str">
        <f aca="true">IF(C267="","",IF(AM267="Clawed Back","CLAWED",IF(TODAY()&lt;=C267+SETTINGS!$I$2,"⚠ AT RISK","SAFE")))</f>
        <v/>
      </c>
      <c r="AU267" s="28"/>
      <c r="AW267" s="24" t="n">
        <f aca="false">AW266+IF(AND(C267&lt;&gt;"",AO267&lt;&gt;"",OR('REP COMMISSION'!$B$3="",T267='REP COMMISSION'!$B$3,W267='REP COMMISSION'!$B$3,Z267='REP COMMISSION'!$B$3)),1,0)</f>
        <v>0</v>
      </c>
      <c r="AX267" s="24" t="n">
        <f aca="false">AX266+IF(AND(C267&lt;&gt;"",OR(F267="LOC - INITIAL",F267="CONSOLIDATION - UPFRONT COMM",F267="REVERSE - TOTAL FUNDING")),1,0)</f>
        <v>0</v>
      </c>
    </row>
    <row r="268" customFormat="false" ht="15" hidden="false" customHeight="false" outlineLevel="0" collapsed="false">
      <c r="A268" s="8" t="str">
        <f aca="false">IF(C268&lt;&gt;"","F"&amp;COUNT($C$4:C268),"")</f>
        <v/>
      </c>
      <c r="B268" s="9" t="str">
        <f aca="false">IF(OR(F268="LOC - INITIAL",F268="CONSOLIDATION - UPFRONT COMM",F268="REVERSE - TOTAL FUNDING"),A268,"")</f>
        <v/>
      </c>
      <c r="C268" s="10"/>
      <c r="D268" s="11"/>
      <c r="E268" s="11"/>
      <c r="F268" s="11"/>
      <c r="G268" s="12"/>
      <c r="H268" s="13"/>
      <c r="I268" s="11"/>
      <c r="J268" s="14" t="str">
        <f aca="false">IF(AND(G268&lt;&gt;"",H268&lt;&gt;""),G268*H268,"")</f>
        <v/>
      </c>
      <c r="K268" s="11"/>
      <c r="L268" s="15"/>
      <c r="M268" s="15"/>
      <c r="N268" s="14" t="n">
        <f aca="false">IF(OR(G268="",M268=""),0,IF(M268&gt;100,M268,G268*IF(M268&gt;1,M268/100,M268)))</f>
        <v>0</v>
      </c>
      <c r="O268" s="14" t="str">
        <f aca="false">IF(G268="","",G268*IF(L268="",0,IF(L268&gt;1,L268/100,L268))+N268)</f>
        <v/>
      </c>
      <c r="P268" s="11"/>
      <c r="Q268" s="16" t="str">
        <f aca="false">IF(P268="","",IFERROR(VLOOKUP(P268,PARTNERS!$A$2:$B$30,2,0),""))</f>
        <v/>
      </c>
      <c r="R268" s="17" t="str">
        <f aca="false">IF(O268="","",IF(OR(P268="",Q268=""),0,(O268-N268)*IF(Q268&gt;1,Q268/100,Q268)))</f>
        <v/>
      </c>
      <c r="S268" s="14" t="str">
        <f aca="false">IF(O268="","",O268-R268)</f>
        <v/>
      </c>
      <c r="T268" s="11"/>
      <c r="U268" s="18" t="str">
        <f aca="false">IF(T268="","",IFERROR(VLOOKUP(T268,REPS!$A$2:$D$40,2,0),""))</f>
        <v/>
      </c>
      <c r="V268" s="14" t="str">
        <f aca="false">IF(O268="","",IF(U268="",0,O268*IF(U268&gt;1,U268/100,U268)))</f>
        <v/>
      </c>
      <c r="W268" s="11"/>
      <c r="X268" s="18" t="str">
        <f aca="false">IF(W268="","",IFERROR(VLOOKUP(W268,REPS!$A$2:$D$40,3,0),""))</f>
        <v/>
      </c>
      <c r="Y268" s="14" t="str">
        <f aca="false">IF(O268="","",IF(X268="",0,O268*IF(X268&gt;1,X268/100,X268)))</f>
        <v/>
      </c>
      <c r="Z268" s="11"/>
      <c r="AA268" s="18" t="str">
        <f aca="false">IF(Z268="","",IFERROR(VLOOKUP(Z268,REPS!$A$2:$D$40,4,0),""))</f>
        <v/>
      </c>
      <c r="AB268" s="14" t="str">
        <f aca="false">IF(O268="","",IF(AA268="",0,O268*IF(AA268&gt;1,AA268/100,AA268)))</f>
        <v/>
      </c>
      <c r="AC268" s="14" t="str">
        <f aca="false">IF(O268="","",V268+Y268+AB268)</f>
        <v/>
      </c>
      <c r="AD268" s="19" t="str">
        <f aca="false">IF(O268="","",O268-R268-AC268)</f>
        <v/>
      </c>
      <c r="AE268" s="20"/>
      <c r="AF268" s="10"/>
      <c r="AG268" s="21" t="n">
        <f aca="false">IF(OR(AE268="",AE268=0),0,AE268*IF(U268="",0,IF(U268&gt;1,U268/100,U268)))</f>
        <v>0</v>
      </c>
      <c r="AH268" s="21" t="n">
        <f aca="false">IF(OR(AE268="",AE268=0),0,AE268*IF(X268="",0,IF(X268&gt;1,X268/100,X268)))</f>
        <v>0</v>
      </c>
      <c r="AI268" s="21" t="n">
        <f aca="false">IF(OR(AE268="",AE268=0),0,AE268*IF(AA268="",0,IF(AA268&gt;1,AA268/100,AA268)))</f>
        <v>0</v>
      </c>
      <c r="AJ268" s="21" t="n">
        <f aca="false">AG268+AH268+AI268</f>
        <v>0</v>
      </c>
      <c r="AK268" s="21" t="n">
        <f aca="false">IF(OR(AE268="",AE268=0),0,AE268-AJ268)</f>
        <v>0</v>
      </c>
      <c r="AL268" s="19" t="str">
        <f aca="false">IF(AD268="","",AD268-AK268)</f>
        <v/>
      </c>
      <c r="AM268" s="9" t="str">
        <f aca="false">IF(C268="","","Waiting for payment")</f>
        <v/>
      </c>
      <c r="AN268" s="10"/>
      <c r="AO268" s="10"/>
      <c r="AP268" s="22" t="str">
        <f aca="false">IF(OR(C268="",I268="",K268=""),"",IF(K268="Monthly",EDATE(C268,ROUND(I268*SETTINGS!$I$8,0)),WORKDAY(C268,ROUND(I268*SETTINGS!$I$8,0))))</f>
        <v/>
      </c>
      <c r="AQ268" s="9" t="str">
        <f aca="true">IF(C268="","",IF(AND(AP268&lt;&gt;"",TODAY()&gt;=AP268),"Refi Ready",IF(TODAY()-C268&gt;=SETTINGS!$I$11,"Prospecting","Performing")))</f>
        <v/>
      </c>
      <c r="AR268" s="22" t="str">
        <f aca="false">IF(OR(C268="",I268="",K268=""),"",IF(K268="Monthly",EDATE(C268,I268),WORKDAY(C268,I268)))</f>
        <v/>
      </c>
      <c r="AS268" s="11"/>
      <c r="AT268" s="23" t="str">
        <f aca="true">IF(C268="","",IF(AM268="Clawed Back","CLAWED",IF(TODAY()&lt;=C268+SETTINGS!$I$2,"⚠ AT RISK","SAFE")))</f>
        <v/>
      </c>
      <c r="AU268" s="11"/>
      <c r="AW268" s="24" t="n">
        <f aca="false">AW267+IF(AND(C268&lt;&gt;"",AO268&lt;&gt;"",OR('REP COMMISSION'!$B$3="",T268='REP COMMISSION'!$B$3,W268='REP COMMISSION'!$B$3,Z268='REP COMMISSION'!$B$3)),1,0)</f>
        <v>0</v>
      </c>
      <c r="AX268" s="24" t="n">
        <f aca="false">AX267+IF(AND(C268&lt;&gt;"",OR(F268="LOC - INITIAL",F268="CONSOLIDATION - UPFRONT COMM",F268="REVERSE - TOTAL FUNDING")),1,0)</f>
        <v>0</v>
      </c>
    </row>
    <row r="269" customFormat="false" ht="15" hidden="false" customHeight="false" outlineLevel="0" collapsed="false">
      <c r="A269" s="25" t="str">
        <f aca="false">IF(C269&lt;&gt;"","F"&amp;COUNT($C$4:C269),"")</f>
        <v/>
      </c>
      <c r="B269" s="26" t="str">
        <f aca="false">IF(OR(F269="LOC - INITIAL",F269="CONSOLIDATION - UPFRONT COMM",F269="REVERSE - TOTAL FUNDING"),A269,"")</f>
        <v/>
      </c>
      <c r="C269" s="27"/>
      <c r="D269" s="28"/>
      <c r="E269" s="28"/>
      <c r="F269" s="28"/>
      <c r="G269" s="29"/>
      <c r="H269" s="30"/>
      <c r="I269" s="28"/>
      <c r="J269" s="31" t="str">
        <f aca="false">IF(AND(G269&lt;&gt;"",H269&lt;&gt;""),G269*H269,"")</f>
        <v/>
      </c>
      <c r="K269" s="28"/>
      <c r="L269" s="32"/>
      <c r="M269" s="32"/>
      <c r="N269" s="31" t="n">
        <f aca="false">IF(OR(G269="",M269=""),0,IF(M269&gt;100,M269,G269*IF(M269&gt;1,M269/100,M269)))</f>
        <v>0</v>
      </c>
      <c r="O269" s="31" t="str">
        <f aca="false">IF(G269="","",G269*IF(L269="",0,IF(L269&gt;1,L269/100,L269))+N269)</f>
        <v/>
      </c>
      <c r="P269" s="28"/>
      <c r="Q269" s="33" t="str">
        <f aca="false">IF(P269="","",IFERROR(VLOOKUP(P269,PARTNERS!$A$2:$B$30,2,0),""))</f>
        <v/>
      </c>
      <c r="R269" s="17" t="str">
        <f aca="false">IF(O269="","",IF(OR(P269="",Q269=""),0,(O269-N269)*IF(Q269&gt;1,Q269/100,Q269)))</f>
        <v/>
      </c>
      <c r="S269" s="31" t="str">
        <f aca="false">IF(O269="","",O269-R269)</f>
        <v/>
      </c>
      <c r="T269" s="28"/>
      <c r="U269" s="34" t="str">
        <f aca="false">IF(T269="","",IFERROR(VLOOKUP(T269,REPS!$A$2:$D$40,2,0),""))</f>
        <v/>
      </c>
      <c r="V269" s="31" t="str">
        <f aca="false">IF(O269="","",IF(U269="",0,O269*IF(U269&gt;1,U269/100,U269)))</f>
        <v/>
      </c>
      <c r="W269" s="28"/>
      <c r="X269" s="34" t="str">
        <f aca="false">IF(W269="","",IFERROR(VLOOKUP(W269,REPS!$A$2:$D$40,3,0),""))</f>
        <v/>
      </c>
      <c r="Y269" s="31" t="str">
        <f aca="false">IF(O269="","",IF(X269="",0,O269*IF(X269&gt;1,X269/100,X269)))</f>
        <v/>
      </c>
      <c r="Z269" s="28"/>
      <c r="AA269" s="34" t="str">
        <f aca="false">IF(Z269="","",IFERROR(VLOOKUP(Z269,REPS!$A$2:$D$40,4,0),""))</f>
        <v/>
      </c>
      <c r="AB269" s="31" t="str">
        <f aca="false">IF(O269="","",IF(AA269="",0,O269*IF(AA269&gt;1,AA269/100,AA269)))</f>
        <v/>
      </c>
      <c r="AC269" s="31" t="str">
        <f aca="false">IF(O269="","",V269+Y269+AB269)</f>
        <v/>
      </c>
      <c r="AD269" s="19" t="str">
        <f aca="false">IF(O269="","",O269-R269-AC269)</f>
        <v/>
      </c>
      <c r="AE269" s="20"/>
      <c r="AF269" s="27"/>
      <c r="AG269" s="21" t="n">
        <f aca="false">IF(OR(AE269="",AE269=0),0,AE269*IF(U269="",0,IF(U269&gt;1,U269/100,U269)))</f>
        <v>0</v>
      </c>
      <c r="AH269" s="21" t="n">
        <f aca="false">IF(OR(AE269="",AE269=0),0,AE269*IF(X269="",0,IF(X269&gt;1,X269/100,X269)))</f>
        <v>0</v>
      </c>
      <c r="AI269" s="21" t="n">
        <f aca="false">IF(OR(AE269="",AE269=0),0,AE269*IF(AA269="",0,IF(AA269&gt;1,AA269/100,AA269)))</f>
        <v>0</v>
      </c>
      <c r="AJ269" s="21" t="n">
        <f aca="false">AG269+AH269+AI269</f>
        <v>0</v>
      </c>
      <c r="AK269" s="21" t="n">
        <f aca="false">IF(OR(AE269="",AE269=0),0,AE269-AJ269)</f>
        <v>0</v>
      </c>
      <c r="AL269" s="19" t="str">
        <f aca="false">IF(AD269="","",AD269-AK269)</f>
        <v/>
      </c>
      <c r="AM269" s="26" t="str">
        <f aca="false">IF(C269="","","Waiting for payment")</f>
        <v/>
      </c>
      <c r="AN269" s="27"/>
      <c r="AO269" s="27"/>
      <c r="AP269" s="35" t="str">
        <f aca="false">IF(OR(C269="",I269="",K269=""),"",IF(K269="Monthly",EDATE(C269,ROUND(I269*SETTINGS!$I$8,0)),WORKDAY(C269,ROUND(I269*SETTINGS!$I$8,0))))</f>
        <v/>
      </c>
      <c r="AQ269" s="26" t="str">
        <f aca="true">IF(C269="","",IF(AND(AP269&lt;&gt;"",TODAY()&gt;=AP269),"Refi Ready",IF(TODAY()-C269&gt;=SETTINGS!$I$11,"Prospecting","Performing")))</f>
        <v/>
      </c>
      <c r="AR269" s="35" t="str">
        <f aca="false">IF(OR(C269="",I269="",K269=""),"",IF(K269="Monthly",EDATE(C269,I269),WORKDAY(C269,I269)))</f>
        <v/>
      </c>
      <c r="AS269" s="28"/>
      <c r="AT269" s="36" t="str">
        <f aca="true">IF(C269="","",IF(AM269="Clawed Back","CLAWED",IF(TODAY()&lt;=C269+SETTINGS!$I$2,"⚠ AT RISK","SAFE")))</f>
        <v/>
      </c>
      <c r="AU269" s="28"/>
      <c r="AW269" s="24" t="n">
        <f aca="false">AW268+IF(AND(C269&lt;&gt;"",AO269&lt;&gt;"",OR('REP COMMISSION'!$B$3="",T269='REP COMMISSION'!$B$3,W269='REP COMMISSION'!$B$3,Z269='REP COMMISSION'!$B$3)),1,0)</f>
        <v>0</v>
      </c>
      <c r="AX269" s="24" t="n">
        <f aca="false">AX268+IF(AND(C269&lt;&gt;"",OR(F269="LOC - INITIAL",F269="CONSOLIDATION - UPFRONT COMM",F269="REVERSE - TOTAL FUNDING")),1,0)</f>
        <v>0</v>
      </c>
    </row>
    <row r="270" customFormat="false" ht="15" hidden="false" customHeight="false" outlineLevel="0" collapsed="false">
      <c r="A270" s="8" t="str">
        <f aca="false">IF(C270&lt;&gt;"","F"&amp;COUNT($C$4:C270),"")</f>
        <v/>
      </c>
      <c r="B270" s="9" t="str">
        <f aca="false">IF(OR(F270="LOC - INITIAL",F270="CONSOLIDATION - UPFRONT COMM",F270="REVERSE - TOTAL FUNDING"),A270,"")</f>
        <v/>
      </c>
      <c r="C270" s="10"/>
      <c r="D270" s="11"/>
      <c r="E270" s="11"/>
      <c r="F270" s="11"/>
      <c r="G270" s="12"/>
      <c r="H270" s="13"/>
      <c r="I270" s="11"/>
      <c r="J270" s="14" t="str">
        <f aca="false">IF(AND(G270&lt;&gt;"",H270&lt;&gt;""),G270*H270,"")</f>
        <v/>
      </c>
      <c r="K270" s="11"/>
      <c r="L270" s="15"/>
      <c r="M270" s="15"/>
      <c r="N270" s="14" t="n">
        <f aca="false">IF(OR(G270="",M270=""),0,IF(M270&gt;100,M270,G270*IF(M270&gt;1,M270/100,M270)))</f>
        <v>0</v>
      </c>
      <c r="O270" s="14" t="str">
        <f aca="false">IF(G270="","",G270*IF(L270="",0,IF(L270&gt;1,L270/100,L270))+N270)</f>
        <v/>
      </c>
      <c r="P270" s="11"/>
      <c r="Q270" s="16" t="str">
        <f aca="false">IF(P270="","",IFERROR(VLOOKUP(P270,PARTNERS!$A$2:$B$30,2,0),""))</f>
        <v/>
      </c>
      <c r="R270" s="17" t="str">
        <f aca="false">IF(O270="","",IF(OR(P270="",Q270=""),0,(O270-N270)*IF(Q270&gt;1,Q270/100,Q270)))</f>
        <v/>
      </c>
      <c r="S270" s="14" t="str">
        <f aca="false">IF(O270="","",O270-R270)</f>
        <v/>
      </c>
      <c r="T270" s="11"/>
      <c r="U270" s="18" t="str">
        <f aca="false">IF(T270="","",IFERROR(VLOOKUP(T270,REPS!$A$2:$D$40,2,0),""))</f>
        <v/>
      </c>
      <c r="V270" s="14" t="str">
        <f aca="false">IF(O270="","",IF(U270="",0,O270*IF(U270&gt;1,U270/100,U270)))</f>
        <v/>
      </c>
      <c r="W270" s="11"/>
      <c r="X270" s="18" t="str">
        <f aca="false">IF(W270="","",IFERROR(VLOOKUP(W270,REPS!$A$2:$D$40,3,0),""))</f>
        <v/>
      </c>
      <c r="Y270" s="14" t="str">
        <f aca="false">IF(O270="","",IF(X270="",0,O270*IF(X270&gt;1,X270/100,X270)))</f>
        <v/>
      </c>
      <c r="Z270" s="11"/>
      <c r="AA270" s="18" t="str">
        <f aca="false">IF(Z270="","",IFERROR(VLOOKUP(Z270,REPS!$A$2:$D$40,4,0),""))</f>
        <v/>
      </c>
      <c r="AB270" s="14" t="str">
        <f aca="false">IF(O270="","",IF(AA270="",0,O270*IF(AA270&gt;1,AA270/100,AA270)))</f>
        <v/>
      </c>
      <c r="AC270" s="14" t="str">
        <f aca="false">IF(O270="","",V270+Y270+AB270)</f>
        <v/>
      </c>
      <c r="AD270" s="19" t="str">
        <f aca="false">IF(O270="","",O270-R270-AC270)</f>
        <v/>
      </c>
      <c r="AE270" s="20"/>
      <c r="AF270" s="10"/>
      <c r="AG270" s="21" t="n">
        <f aca="false">IF(OR(AE270="",AE270=0),0,AE270*IF(U270="",0,IF(U270&gt;1,U270/100,U270)))</f>
        <v>0</v>
      </c>
      <c r="AH270" s="21" t="n">
        <f aca="false">IF(OR(AE270="",AE270=0),0,AE270*IF(X270="",0,IF(X270&gt;1,X270/100,X270)))</f>
        <v>0</v>
      </c>
      <c r="AI270" s="21" t="n">
        <f aca="false">IF(OR(AE270="",AE270=0),0,AE270*IF(AA270="",0,IF(AA270&gt;1,AA270/100,AA270)))</f>
        <v>0</v>
      </c>
      <c r="AJ270" s="21" t="n">
        <f aca="false">AG270+AH270+AI270</f>
        <v>0</v>
      </c>
      <c r="AK270" s="21" t="n">
        <f aca="false">IF(OR(AE270="",AE270=0),0,AE270-AJ270)</f>
        <v>0</v>
      </c>
      <c r="AL270" s="19" t="str">
        <f aca="false">IF(AD270="","",AD270-AK270)</f>
        <v/>
      </c>
      <c r="AM270" s="9" t="str">
        <f aca="false">IF(C270="","","Waiting for payment")</f>
        <v/>
      </c>
      <c r="AN270" s="10"/>
      <c r="AO270" s="10"/>
      <c r="AP270" s="22" t="str">
        <f aca="false">IF(OR(C270="",I270="",K270=""),"",IF(K270="Monthly",EDATE(C270,ROUND(I270*SETTINGS!$I$8,0)),WORKDAY(C270,ROUND(I270*SETTINGS!$I$8,0))))</f>
        <v/>
      </c>
      <c r="AQ270" s="9" t="str">
        <f aca="true">IF(C270="","",IF(AND(AP270&lt;&gt;"",TODAY()&gt;=AP270),"Refi Ready",IF(TODAY()-C270&gt;=SETTINGS!$I$11,"Prospecting","Performing")))</f>
        <v/>
      </c>
      <c r="AR270" s="22" t="str">
        <f aca="false">IF(OR(C270="",I270="",K270=""),"",IF(K270="Monthly",EDATE(C270,I270),WORKDAY(C270,I270)))</f>
        <v/>
      </c>
      <c r="AS270" s="11"/>
      <c r="AT270" s="23" t="str">
        <f aca="true">IF(C270="","",IF(AM270="Clawed Back","CLAWED",IF(TODAY()&lt;=C270+SETTINGS!$I$2,"⚠ AT RISK","SAFE")))</f>
        <v/>
      </c>
      <c r="AU270" s="11"/>
      <c r="AW270" s="24" t="n">
        <f aca="false">AW269+IF(AND(C270&lt;&gt;"",AO270&lt;&gt;"",OR('REP COMMISSION'!$B$3="",T270='REP COMMISSION'!$B$3,W270='REP COMMISSION'!$B$3,Z270='REP COMMISSION'!$B$3)),1,0)</f>
        <v>0</v>
      </c>
      <c r="AX270" s="24" t="n">
        <f aca="false">AX269+IF(AND(C270&lt;&gt;"",OR(F270="LOC - INITIAL",F270="CONSOLIDATION - UPFRONT COMM",F270="REVERSE - TOTAL FUNDING")),1,0)</f>
        <v>0</v>
      </c>
    </row>
    <row r="271" customFormat="false" ht="15" hidden="false" customHeight="false" outlineLevel="0" collapsed="false">
      <c r="A271" s="25" t="str">
        <f aca="false">IF(C271&lt;&gt;"","F"&amp;COUNT($C$4:C271),"")</f>
        <v/>
      </c>
      <c r="B271" s="26" t="str">
        <f aca="false">IF(OR(F271="LOC - INITIAL",F271="CONSOLIDATION - UPFRONT COMM",F271="REVERSE - TOTAL FUNDING"),A271,"")</f>
        <v/>
      </c>
      <c r="C271" s="27"/>
      <c r="D271" s="28"/>
      <c r="E271" s="28"/>
      <c r="F271" s="28"/>
      <c r="G271" s="29"/>
      <c r="H271" s="30"/>
      <c r="I271" s="28"/>
      <c r="J271" s="31" t="str">
        <f aca="false">IF(AND(G271&lt;&gt;"",H271&lt;&gt;""),G271*H271,"")</f>
        <v/>
      </c>
      <c r="K271" s="28"/>
      <c r="L271" s="32"/>
      <c r="M271" s="32"/>
      <c r="N271" s="31" t="n">
        <f aca="false">IF(OR(G271="",M271=""),0,IF(M271&gt;100,M271,G271*IF(M271&gt;1,M271/100,M271)))</f>
        <v>0</v>
      </c>
      <c r="O271" s="31" t="str">
        <f aca="false">IF(G271="","",G271*IF(L271="",0,IF(L271&gt;1,L271/100,L271))+N271)</f>
        <v/>
      </c>
      <c r="P271" s="28"/>
      <c r="Q271" s="33" t="str">
        <f aca="false">IF(P271="","",IFERROR(VLOOKUP(P271,PARTNERS!$A$2:$B$30,2,0),""))</f>
        <v/>
      </c>
      <c r="R271" s="17" t="str">
        <f aca="false">IF(O271="","",IF(OR(P271="",Q271=""),0,(O271-N271)*IF(Q271&gt;1,Q271/100,Q271)))</f>
        <v/>
      </c>
      <c r="S271" s="31" t="str">
        <f aca="false">IF(O271="","",O271-R271)</f>
        <v/>
      </c>
      <c r="T271" s="28"/>
      <c r="U271" s="34" t="str">
        <f aca="false">IF(T271="","",IFERROR(VLOOKUP(T271,REPS!$A$2:$D$40,2,0),""))</f>
        <v/>
      </c>
      <c r="V271" s="31" t="str">
        <f aca="false">IF(O271="","",IF(U271="",0,O271*IF(U271&gt;1,U271/100,U271)))</f>
        <v/>
      </c>
      <c r="W271" s="28"/>
      <c r="X271" s="34" t="str">
        <f aca="false">IF(W271="","",IFERROR(VLOOKUP(W271,REPS!$A$2:$D$40,3,0),""))</f>
        <v/>
      </c>
      <c r="Y271" s="31" t="str">
        <f aca="false">IF(O271="","",IF(X271="",0,O271*IF(X271&gt;1,X271/100,X271)))</f>
        <v/>
      </c>
      <c r="Z271" s="28"/>
      <c r="AA271" s="34" t="str">
        <f aca="false">IF(Z271="","",IFERROR(VLOOKUP(Z271,REPS!$A$2:$D$40,4,0),""))</f>
        <v/>
      </c>
      <c r="AB271" s="31" t="str">
        <f aca="false">IF(O271="","",IF(AA271="",0,O271*IF(AA271&gt;1,AA271/100,AA271)))</f>
        <v/>
      </c>
      <c r="AC271" s="31" t="str">
        <f aca="false">IF(O271="","",V271+Y271+AB271)</f>
        <v/>
      </c>
      <c r="AD271" s="19" t="str">
        <f aca="false">IF(O271="","",O271-R271-AC271)</f>
        <v/>
      </c>
      <c r="AE271" s="20"/>
      <c r="AF271" s="27"/>
      <c r="AG271" s="21" t="n">
        <f aca="false">IF(OR(AE271="",AE271=0),0,AE271*IF(U271="",0,IF(U271&gt;1,U271/100,U271)))</f>
        <v>0</v>
      </c>
      <c r="AH271" s="21" t="n">
        <f aca="false">IF(OR(AE271="",AE271=0),0,AE271*IF(X271="",0,IF(X271&gt;1,X271/100,X271)))</f>
        <v>0</v>
      </c>
      <c r="AI271" s="21" t="n">
        <f aca="false">IF(OR(AE271="",AE271=0),0,AE271*IF(AA271="",0,IF(AA271&gt;1,AA271/100,AA271)))</f>
        <v>0</v>
      </c>
      <c r="AJ271" s="21" t="n">
        <f aca="false">AG271+AH271+AI271</f>
        <v>0</v>
      </c>
      <c r="AK271" s="21" t="n">
        <f aca="false">IF(OR(AE271="",AE271=0),0,AE271-AJ271)</f>
        <v>0</v>
      </c>
      <c r="AL271" s="19" t="str">
        <f aca="false">IF(AD271="","",AD271-AK271)</f>
        <v/>
      </c>
      <c r="AM271" s="26" t="str">
        <f aca="false">IF(C271="","","Waiting for payment")</f>
        <v/>
      </c>
      <c r="AN271" s="27"/>
      <c r="AO271" s="27"/>
      <c r="AP271" s="35" t="str">
        <f aca="false">IF(OR(C271="",I271="",K271=""),"",IF(K271="Monthly",EDATE(C271,ROUND(I271*SETTINGS!$I$8,0)),WORKDAY(C271,ROUND(I271*SETTINGS!$I$8,0))))</f>
        <v/>
      </c>
      <c r="AQ271" s="26" t="str">
        <f aca="true">IF(C271="","",IF(AND(AP271&lt;&gt;"",TODAY()&gt;=AP271),"Refi Ready",IF(TODAY()-C271&gt;=SETTINGS!$I$11,"Prospecting","Performing")))</f>
        <v/>
      </c>
      <c r="AR271" s="35" t="str">
        <f aca="false">IF(OR(C271="",I271="",K271=""),"",IF(K271="Monthly",EDATE(C271,I271),WORKDAY(C271,I271)))</f>
        <v/>
      </c>
      <c r="AS271" s="28"/>
      <c r="AT271" s="36" t="str">
        <f aca="true">IF(C271="","",IF(AM271="Clawed Back","CLAWED",IF(TODAY()&lt;=C271+SETTINGS!$I$2,"⚠ AT RISK","SAFE")))</f>
        <v/>
      </c>
      <c r="AU271" s="28"/>
      <c r="AW271" s="24" t="n">
        <f aca="false">AW270+IF(AND(C271&lt;&gt;"",AO271&lt;&gt;"",OR('REP COMMISSION'!$B$3="",T271='REP COMMISSION'!$B$3,W271='REP COMMISSION'!$B$3,Z271='REP COMMISSION'!$B$3)),1,0)</f>
        <v>0</v>
      </c>
      <c r="AX271" s="24" t="n">
        <f aca="false">AX270+IF(AND(C271&lt;&gt;"",OR(F271="LOC - INITIAL",F271="CONSOLIDATION - UPFRONT COMM",F271="REVERSE - TOTAL FUNDING")),1,0)</f>
        <v>0</v>
      </c>
    </row>
    <row r="272" customFormat="false" ht="15" hidden="false" customHeight="false" outlineLevel="0" collapsed="false">
      <c r="A272" s="8" t="str">
        <f aca="false">IF(C272&lt;&gt;"","F"&amp;COUNT($C$4:C272),"")</f>
        <v/>
      </c>
      <c r="B272" s="9" t="str">
        <f aca="false">IF(OR(F272="LOC - INITIAL",F272="CONSOLIDATION - UPFRONT COMM",F272="REVERSE - TOTAL FUNDING"),A272,"")</f>
        <v/>
      </c>
      <c r="C272" s="10"/>
      <c r="D272" s="11"/>
      <c r="E272" s="11"/>
      <c r="F272" s="11"/>
      <c r="G272" s="12"/>
      <c r="H272" s="13"/>
      <c r="I272" s="11"/>
      <c r="J272" s="14" t="str">
        <f aca="false">IF(AND(G272&lt;&gt;"",H272&lt;&gt;""),G272*H272,"")</f>
        <v/>
      </c>
      <c r="K272" s="11"/>
      <c r="L272" s="15"/>
      <c r="M272" s="15"/>
      <c r="N272" s="14" t="n">
        <f aca="false">IF(OR(G272="",M272=""),0,IF(M272&gt;100,M272,G272*IF(M272&gt;1,M272/100,M272)))</f>
        <v>0</v>
      </c>
      <c r="O272" s="14" t="str">
        <f aca="false">IF(G272="","",G272*IF(L272="",0,IF(L272&gt;1,L272/100,L272))+N272)</f>
        <v/>
      </c>
      <c r="P272" s="11"/>
      <c r="Q272" s="16" t="str">
        <f aca="false">IF(P272="","",IFERROR(VLOOKUP(P272,PARTNERS!$A$2:$B$30,2,0),""))</f>
        <v/>
      </c>
      <c r="R272" s="17" t="str">
        <f aca="false">IF(O272="","",IF(OR(P272="",Q272=""),0,(O272-N272)*IF(Q272&gt;1,Q272/100,Q272)))</f>
        <v/>
      </c>
      <c r="S272" s="14" t="str">
        <f aca="false">IF(O272="","",O272-R272)</f>
        <v/>
      </c>
      <c r="T272" s="11"/>
      <c r="U272" s="18" t="str">
        <f aca="false">IF(T272="","",IFERROR(VLOOKUP(T272,REPS!$A$2:$D$40,2,0),""))</f>
        <v/>
      </c>
      <c r="V272" s="14" t="str">
        <f aca="false">IF(O272="","",IF(U272="",0,O272*IF(U272&gt;1,U272/100,U272)))</f>
        <v/>
      </c>
      <c r="W272" s="11"/>
      <c r="X272" s="18" t="str">
        <f aca="false">IF(W272="","",IFERROR(VLOOKUP(W272,REPS!$A$2:$D$40,3,0),""))</f>
        <v/>
      </c>
      <c r="Y272" s="14" t="str">
        <f aca="false">IF(O272="","",IF(X272="",0,O272*IF(X272&gt;1,X272/100,X272)))</f>
        <v/>
      </c>
      <c r="Z272" s="11"/>
      <c r="AA272" s="18" t="str">
        <f aca="false">IF(Z272="","",IFERROR(VLOOKUP(Z272,REPS!$A$2:$D$40,4,0),""))</f>
        <v/>
      </c>
      <c r="AB272" s="14" t="str">
        <f aca="false">IF(O272="","",IF(AA272="",0,O272*IF(AA272&gt;1,AA272/100,AA272)))</f>
        <v/>
      </c>
      <c r="AC272" s="14" t="str">
        <f aca="false">IF(O272="","",V272+Y272+AB272)</f>
        <v/>
      </c>
      <c r="AD272" s="19" t="str">
        <f aca="false">IF(O272="","",O272-R272-AC272)</f>
        <v/>
      </c>
      <c r="AE272" s="20"/>
      <c r="AF272" s="10"/>
      <c r="AG272" s="21" t="n">
        <f aca="false">IF(OR(AE272="",AE272=0),0,AE272*IF(U272="",0,IF(U272&gt;1,U272/100,U272)))</f>
        <v>0</v>
      </c>
      <c r="AH272" s="21" t="n">
        <f aca="false">IF(OR(AE272="",AE272=0),0,AE272*IF(X272="",0,IF(X272&gt;1,X272/100,X272)))</f>
        <v>0</v>
      </c>
      <c r="AI272" s="21" t="n">
        <f aca="false">IF(OR(AE272="",AE272=0),0,AE272*IF(AA272="",0,IF(AA272&gt;1,AA272/100,AA272)))</f>
        <v>0</v>
      </c>
      <c r="AJ272" s="21" t="n">
        <f aca="false">AG272+AH272+AI272</f>
        <v>0</v>
      </c>
      <c r="AK272" s="21" t="n">
        <f aca="false">IF(OR(AE272="",AE272=0),0,AE272-AJ272)</f>
        <v>0</v>
      </c>
      <c r="AL272" s="19" t="str">
        <f aca="false">IF(AD272="","",AD272-AK272)</f>
        <v/>
      </c>
      <c r="AM272" s="9" t="str">
        <f aca="false">IF(C272="","","Waiting for payment")</f>
        <v/>
      </c>
      <c r="AN272" s="10"/>
      <c r="AO272" s="10"/>
      <c r="AP272" s="22" t="str">
        <f aca="false">IF(OR(C272="",I272="",K272=""),"",IF(K272="Monthly",EDATE(C272,ROUND(I272*SETTINGS!$I$8,0)),WORKDAY(C272,ROUND(I272*SETTINGS!$I$8,0))))</f>
        <v/>
      </c>
      <c r="AQ272" s="9" t="str">
        <f aca="true">IF(C272="","",IF(AND(AP272&lt;&gt;"",TODAY()&gt;=AP272),"Refi Ready",IF(TODAY()-C272&gt;=SETTINGS!$I$11,"Prospecting","Performing")))</f>
        <v/>
      </c>
      <c r="AR272" s="22" t="str">
        <f aca="false">IF(OR(C272="",I272="",K272=""),"",IF(K272="Monthly",EDATE(C272,I272),WORKDAY(C272,I272)))</f>
        <v/>
      </c>
      <c r="AS272" s="11"/>
      <c r="AT272" s="23" t="str">
        <f aca="true">IF(C272="","",IF(AM272="Clawed Back","CLAWED",IF(TODAY()&lt;=C272+SETTINGS!$I$2,"⚠ AT RISK","SAFE")))</f>
        <v/>
      </c>
      <c r="AU272" s="11"/>
      <c r="AW272" s="24" t="n">
        <f aca="false">AW271+IF(AND(C272&lt;&gt;"",AO272&lt;&gt;"",OR('REP COMMISSION'!$B$3="",T272='REP COMMISSION'!$B$3,W272='REP COMMISSION'!$B$3,Z272='REP COMMISSION'!$B$3)),1,0)</f>
        <v>0</v>
      </c>
      <c r="AX272" s="24" t="n">
        <f aca="false">AX271+IF(AND(C272&lt;&gt;"",OR(F272="LOC - INITIAL",F272="CONSOLIDATION - UPFRONT COMM",F272="REVERSE - TOTAL FUNDING")),1,0)</f>
        <v>0</v>
      </c>
    </row>
    <row r="273" customFormat="false" ht="15" hidden="false" customHeight="false" outlineLevel="0" collapsed="false">
      <c r="A273" s="25" t="str">
        <f aca="false">IF(C273&lt;&gt;"","F"&amp;COUNT($C$4:C273),"")</f>
        <v/>
      </c>
      <c r="B273" s="26" t="str">
        <f aca="false">IF(OR(F273="LOC - INITIAL",F273="CONSOLIDATION - UPFRONT COMM",F273="REVERSE - TOTAL FUNDING"),A273,"")</f>
        <v/>
      </c>
      <c r="C273" s="27"/>
      <c r="D273" s="28"/>
      <c r="E273" s="28"/>
      <c r="F273" s="28"/>
      <c r="G273" s="29"/>
      <c r="H273" s="30"/>
      <c r="I273" s="28"/>
      <c r="J273" s="31" t="str">
        <f aca="false">IF(AND(G273&lt;&gt;"",H273&lt;&gt;""),G273*H273,"")</f>
        <v/>
      </c>
      <c r="K273" s="28"/>
      <c r="L273" s="32"/>
      <c r="M273" s="32"/>
      <c r="N273" s="31" t="n">
        <f aca="false">IF(OR(G273="",M273=""),0,IF(M273&gt;100,M273,G273*IF(M273&gt;1,M273/100,M273)))</f>
        <v>0</v>
      </c>
      <c r="O273" s="31" t="str">
        <f aca="false">IF(G273="","",G273*IF(L273="",0,IF(L273&gt;1,L273/100,L273))+N273)</f>
        <v/>
      </c>
      <c r="P273" s="28"/>
      <c r="Q273" s="33" t="str">
        <f aca="false">IF(P273="","",IFERROR(VLOOKUP(P273,PARTNERS!$A$2:$B$30,2,0),""))</f>
        <v/>
      </c>
      <c r="R273" s="17" t="str">
        <f aca="false">IF(O273="","",IF(OR(P273="",Q273=""),0,(O273-N273)*IF(Q273&gt;1,Q273/100,Q273)))</f>
        <v/>
      </c>
      <c r="S273" s="31" t="str">
        <f aca="false">IF(O273="","",O273-R273)</f>
        <v/>
      </c>
      <c r="T273" s="28"/>
      <c r="U273" s="34" t="str">
        <f aca="false">IF(T273="","",IFERROR(VLOOKUP(T273,REPS!$A$2:$D$40,2,0),""))</f>
        <v/>
      </c>
      <c r="V273" s="31" t="str">
        <f aca="false">IF(O273="","",IF(U273="",0,O273*IF(U273&gt;1,U273/100,U273)))</f>
        <v/>
      </c>
      <c r="W273" s="28"/>
      <c r="X273" s="34" t="str">
        <f aca="false">IF(W273="","",IFERROR(VLOOKUP(W273,REPS!$A$2:$D$40,3,0),""))</f>
        <v/>
      </c>
      <c r="Y273" s="31" t="str">
        <f aca="false">IF(O273="","",IF(X273="",0,O273*IF(X273&gt;1,X273/100,X273)))</f>
        <v/>
      </c>
      <c r="Z273" s="28"/>
      <c r="AA273" s="34" t="str">
        <f aca="false">IF(Z273="","",IFERROR(VLOOKUP(Z273,REPS!$A$2:$D$40,4,0),""))</f>
        <v/>
      </c>
      <c r="AB273" s="31" t="str">
        <f aca="false">IF(O273="","",IF(AA273="",0,O273*IF(AA273&gt;1,AA273/100,AA273)))</f>
        <v/>
      </c>
      <c r="AC273" s="31" t="str">
        <f aca="false">IF(O273="","",V273+Y273+AB273)</f>
        <v/>
      </c>
      <c r="AD273" s="19" t="str">
        <f aca="false">IF(O273="","",O273-R273-AC273)</f>
        <v/>
      </c>
      <c r="AE273" s="20"/>
      <c r="AF273" s="27"/>
      <c r="AG273" s="21" t="n">
        <f aca="false">IF(OR(AE273="",AE273=0),0,AE273*IF(U273="",0,IF(U273&gt;1,U273/100,U273)))</f>
        <v>0</v>
      </c>
      <c r="AH273" s="21" t="n">
        <f aca="false">IF(OR(AE273="",AE273=0),0,AE273*IF(X273="",0,IF(X273&gt;1,X273/100,X273)))</f>
        <v>0</v>
      </c>
      <c r="AI273" s="21" t="n">
        <f aca="false">IF(OR(AE273="",AE273=0),0,AE273*IF(AA273="",0,IF(AA273&gt;1,AA273/100,AA273)))</f>
        <v>0</v>
      </c>
      <c r="AJ273" s="21" t="n">
        <f aca="false">AG273+AH273+AI273</f>
        <v>0</v>
      </c>
      <c r="AK273" s="21" t="n">
        <f aca="false">IF(OR(AE273="",AE273=0),0,AE273-AJ273)</f>
        <v>0</v>
      </c>
      <c r="AL273" s="19" t="str">
        <f aca="false">IF(AD273="","",AD273-AK273)</f>
        <v/>
      </c>
      <c r="AM273" s="26" t="str">
        <f aca="false">IF(C273="","","Waiting for payment")</f>
        <v/>
      </c>
      <c r="AN273" s="27"/>
      <c r="AO273" s="27"/>
      <c r="AP273" s="35" t="str">
        <f aca="false">IF(OR(C273="",I273="",K273=""),"",IF(K273="Monthly",EDATE(C273,ROUND(I273*SETTINGS!$I$8,0)),WORKDAY(C273,ROUND(I273*SETTINGS!$I$8,0))))</f>
        <v/>
      </c>
      <c r="AQ273" s="26" t="str">
        <f aca="true">IF(C273="","",IF(AND(AP273&lt;&gt;"",TODAY()&gt;=AP273),"Refi Ready",IF(TODAY()-C273&gt;=SETTINGS!$I$11,"Prospecting","Performing")))</f>
        <v/>
      </c>
      <c r="AR273" s="35" t="str">
        <f aca="false">IF(OR(C273="",I273="",K273=""),"",IF(K273="Monthly",EDATE(C273,I273),WORKDAY(C273,I273)))</f>
        <v/>
      </c>
      <c r="AS273" s="28"/>
      <c r="AT273" s="36" t="str">
        <f aca="true">IF(C273="","",IF(AM273="Clawed Back","CLAWED",IF(TODAY()&lt;=C273+SETTINGS!$I$2,"⚠ AT RISK","SAFE")))</f>
        <v/>
      </c>
      <c r="AU273" s="28"/>
      <c r="AW273" s="24" t="n">
        <f aca="false">AW272+IF(AND(C273&lt;&gt;"",AO273&lt;&gt;"",OR('REP COMMISSION'!$B$3="",T273='REP COMMISSION'!$B$3,W273='REP COMMISSION'!$B$3,Z273='REP COMMISSION'!$B$3)),1,0)</f>
        <v>0</v>
      </c>
      <c r="AX273" s="24" t="n">
        <f aca="false">AX272+IF(AND(C273&lt;&gt;"",OR(F273="LOC - INITIAL",F273="CONSOLIDATION - UPFRONT COMM",F273="REVERSE - TOTAL FUNDING")),1,0)</f>
        <v>0</v>
      </c>
    </row>
    <row r="274" customFormat="false" ht="15" hidden="false" customHeight="false" outlineLevel="0" collapsed="false">
      <c r="A274" s="8" t="str">
        <f aca="false">IF(C274&lt;&gt;"","F"&amp;COUNT($C$4:C274),"")</f>
        <v/>
      </c>
      <c r="B274" s="9" t="str">
        <f aca="false">IF(OR(F274="LOC - INITIAL",F274="CONSOLIDATION - UPFRONT COMM",F274="REVERSE - TOTAL FUNDING"),A274,"")</f>
        <v/>
      </c>
      <c r="C274" s="10"/>
      <c r="D274" s="11"/>
      <c r="E274" s="11"/>
      <c r="F274" s="11"/>
      <c r="G274" s="12"/>
      <c r="H274" s="13"/>
      <c r="I274" s="11"/>
      <c r="J274" s="14" t="str">
        <f aca="false">IF(AND(G274&lt;&gt;"",H274&lt;&gt;""),G274*H274,"")</f>
        <v/>
      </c>
      <c r="K274" s="11"/>
      <c r="L274" s="15"/>
      <c r="M274" s="15"/>
      <c r="N274" s="14" t="n">
        <f aca="false">IF(OR(G274="",M274=""),0,IF(M274&gt;100,M274,G274*IF(M274&gt;1,M274/100,M274)))</f>
        <v>0</v>
      </c>
      <c r="O274" s="14" t="str">
        <f aca="false">IF(G274="","",G274*IF(L274="",0,IF(L274&gt;1,L274/100,L274))+N274)</f>
        <v/>
      </c>
      <c r="P274" s="11"/>
      <c r="Q274" s="16" t="str">
        <f aca="false">IF(P274="","",IFERROR(VLOOKUP(P274,PARTNERS!$A$2:$B$30,2,0),""))</f>
        <v/>
      </c>
      <c r="R274" s="17" t="str">
        <f aca="false">IF(O274="","",IF(OR(P274="",Q274=""),0,(O274-N274)*IF(Q274&gt;1,Q274/100,Q274)))</f>
        <v/>
      </c>
      <c r="S274" s="14" t="str">
        <f aca="false">IF(O274="","",O274-R274)</f>
        <v/>
      </c>
      <c r="T274" s="11"/>
      <c r="U274" s="18" t="str">
        <f aca="false">IF(T274="","",IFERROR(VLOOKUP(T274,REPS!$A$2:$D$40,2,0),""))</f>
        <v/>
      </c>
      <c r="V274" s="14" t="str">
        <f aca="false">IF(O274="","",IF(U274="",0,O274*IF(U274&gt;1,U274/100,U274)))</f>
        <v/>
      </c>
      <c r="W274" s="11"/>
      <c r="X274" s="18" t="str">
        <f aca="false">IF(W274="","",IFERROR(VLOOKUP(W274,REPS!$A$2:$D$40,3,0),""))</f>
        <v/>
      </c>
      <c r="Y274" s="14" t="str">
        <f aca="false">IF(O274="","",IF(X274="",0,O274*IF(X274&gt;1,X274/100,X274)))</f>
        <v/>
      </c>
      <c r="Z274" s="11"/>
      <c r="AA274" s="18" t="str">
        <f aca="false">IF(Z274="","",IFERROR(VLOOKUP(Z274,REPS!$A$2:$D$40,4,0),""))</f>
        <v/>
      </c>
      <c r="AB274" s="14" t="str">
        <f aca="false">IF(O274="","",IF(AA274="",0,O274*IF(AA274&gt;1,AA274/100,AA274)))</f>
        <v/>
      </c>
      <c r="AC274" s="14" t="str">
        <f aca="false">IF(O274="","",V274+Y274+AB274)</f>
        <v/>
      </c>
      <c r="AD274" s="19" t="str">
        <f aca="false">IF(O274="","",O274-R274-AC274)</f>
        <v/>
      </c>
      <c r="AE274" s="20"/>
      <c r="AF274" s="10"/>
      <c r="AG274" s="21" t="n">
        <f aca="false">IF(OR(AE274="",AE274=0),0,AE274*IF(U274="",0,IF(U274&gt;1,U274/100,U274)))</f>
        <v>0</v>
      </c>
      <c r="AH274" s="21" t="n">
        <f aca="false">IF(OR(AE274="",AE274=0),0,AE274*IF(X274="",0,IF(X274&gt;1,X274/100,X274)))</f>
        <v>0</v>
      </c>
      <c r="AI274" s="21" t="n">
        <f aca="false">IF(OR(AE274="",AE274=0),0,AE274*IF(AA274="",0,IF(AA274&gt;1,AA274/100,AA274)))</f>
        <v>0</v>
      </c>
      <c r="AJ274" s="21" t="n">
        <f aca="false">AG274+AH274+AI274</f>
        <v>0</v>
      </c>
      <c r="AK274" s="21" t="n">
        <f aca="false">IF(OR(AE274="",AE274=0),0,AE274-AJ274)</f>
        <v>0</v>
      </c>
      <c r="AL274" s="19" t="str">
        <f aca="false">IF(AD274="","",AD274-AK274)</f>
        <v/>
      </c>
      <c r="AM274" s="9" t="str">
        <f aca="false">IF(C274="","","Waiting for payment")</f>
        <v/>
      </c>
      <c r="AN274" s="10"/>
      <c r="AO274" s="10"/>
      <c r="AP274" s="22" t="str">
        <f aca="false">IF(OR(C274="",I274="",K274=""),"",IF(K274="Monthly",EDATE(C274,ROUND(I274*SETTINGS!$I$8,0)),WORKDAY(C274,ROUND(I274*SETTINGS!$I$8,0))))</f>
        <v/>
      </c>
      <c r="AQ274" s="9" t="str">
        <f aca="true">IF(C274="","",IF(AND(AP274&lt;&gt;"",TODAY()&gt;=AP274),"Refi Ready",IF(TODAY()-C274&gt;=SETTINGS!$I$11,"Prospecting","Performing")))</f>
        <v/>
      </c>
      <c r="AR274" s="22" t="str">
        <f aca="false">IF(OR(C274="",I274="",K274=""),"",IF(K274="Monthly",EDATE(C274,I274),WORKDAY(C274,I274)))</f>
        <v/>
      </c>
      <c r="AS274" s="11"/>
      <c r="AT274" s="23" t="str">
        <f aca="true">IF(C274="","",IF(AM274="Clawed Back","CLAWED",IF(TODAY()&lt;=C274+SETTINGS!$I$2,"⚠ AT RISK","SAFE")))</f>
        <v/>
      </c>
      <c r="AU274" s="11"/>
      <c r="AW274" s="24" t="n">
        <f aca="false">AW273+IF(AND(C274&lt;&gt;"",AO274&lt;&gt;"",OR('REP COMMISSION'!$B$3="",T274='REP COMMISSION'!$B$3,W274='REP COMMISSION'!$B$3,Z274='REP COMMISSION'!$B$3)),1,0)</f>
        <v>0</v>
      </c>
      <c r="AX274" s="24" t="n">
        <f aca="false">AX273+IF(AND(C274&lt;&gt;"",OR(F274="LOC - INITIAL",F274="CONSOLIDATION - UPFRONT COMM",F274="REVERSE - TOTAL FUNDING")),1,0)</f>
        <v>0</v>
      </c>
    </row>
    <row r="275" customFormat="false" ht="15" hidden="false" customHeight="false" outlineLevel="0" collapsed="false">
      <c r="A275" s="25" t="str">
        <f aca="false">IF(C275&lt;&gt;"","F"&amp;COUNT($C$4:C275),"")</f>
        <v/>
      </c>
      <c r="B275" s="26" t="str">
        <f aca="false">IF(OR(F275="LOC - INITIAL",F275="CONSOLIDATION - UPFRONT COMM",F275="REVERSE - TOTAL FUNDING"),A275,"")</f>
        <v/>
      </c>
      <c r="C275" s="27"/>
      <c r="D275" s="28"/>
      <c r="E275" s="28"/>
      <c r="F275" s="28"/>
      <c r="G275" s="29"/>
      <c r="H275" s="30"/>
      <c r="I275" s="28"/>
      <c r="J275" s="31" t="str">
        <f aca="false">IF(AND(G275&lt;&gt;"",H275&lt;&gt;""),G275*H275,"")</f>
        <v/>
      </c>
      <c r="K275" s="28"/>
      <c r="L275" s="32"/>
      <c r="M275" s="32"/>
      <c r="N275" s="31" t="n">
        <f aca="false">IF(OR(G275="",M275=""),0,IF(M275&gt;100,M275,G275*IF(M275&gt;1,M275/100,M275)))</f>
        <v>0</v>
      </c>
      <c r="O275" s="31" t="str">
        <f aca="false">IF(G275="","",G275*IF(L275="",0,IF(L275&gt;1,L275/100,L275))+N275)</f>
        <v/>
      </c>
      <c r="P275" s="28"/>
      <c r="Q275" s="33" t="str">
        <f aca="false">IF(P275="","",IFERROR(VLOOKUP(P275,PARTNERS!$A$2:$B$30,2,0),""))</f>
        <v/>
      </c>
      <c r="R275" s="17" t="str">
        <f aca="false">IF(O275="","",IF(OR(P275="",Q275=""),0,(O275-N275)*IF(Q275&gt;1,Q275/100,Q275)))</f>
        <v/>
      </c>
      <c r="S275" s="31" t="str">
        <f aca="false">IF(O275="","",O275-R275)</f>
        <v/>
      </c>
      <c r="T275" s="28"/>
      <c r="U275" s="34" t="str">
        <f aca="false">IF(T275="","",IFERROR(VLOOKUP(T275,REPS!$A$2:$D$40,2,0),""))</f>
        <v/>
      </c>
      <c r="V275" s="31" t="str">
        <f aca="false">IF(O275="","",IF(U275="",0,O275*IF(U275&gt;1,U275/100,U275)))</f>
        <v/>
      </c>
      <c r="W275" s="28"/>
      <c r="X275" s="34" t="str">
        <f aca="false">IF(W275="","",IFERROR(VLOOKUP(W275,REPS!$A$2:$D$40,3,0),""))</f>
        <v/>
      </c>
      <c r="Y275" s="31" t="str">
        <f aca="false">IF(O275="","",IF(X275="",0,O275*IF(X275&gt;1,X275/100,X275)))</f>
        <v/>
      </c>
      <c r="Z275" s="28"/>
      <c r="AA275" s="34" t="str">
        <f aca="false">IF(Z275="","",IFERROR(VLOOKUP(Z275,REPS!$A$2:$D$40,4,0),""))</f>
        <v/>
      </c>
      <c r="AB275" s="31" t="str">
        <f aca="false">IF(O275="","",IF(AA275="",0,O275*IF(AA275&gt;1,AA275/100,AA275)))</f>
        <v/>
      </c>
      <c r="AC275" s="31" t="str">
        <f aca="false">IF(O275="","",V275+Y275+AB275)</f>
        <v/>
      </c>
      <c r="AD275" s="19" t="str">
        <f aca="false">IF(O275="","",O275-R275-AC275)</f>
        <v/>
      </c>
      <c r="AE275" s="20"/>
      <c r="AF275" s="27"/>
      <c r="AG275" s="21" t="n">
        <f aca="false">IF(OR(AE275="",AE275=0),0,AE275*IF(U275="",0,IF(U275&gt;1,U275/100,U275)))</f>
        <v>0</v>
      </c>
      <c r="AH275" s="21" t="n">
        <f aca="false">IF(OR(AE275="",AE275=0),0,AE275*IF(X275="",0,IF(X275&gt;1,X275/100,X275)))</f>
        <v>0</v>
      </c>
      <c r="AI275" s="21" t="n">
        <f aca="false">IF(OR(AE275="",AE275=0),0,AE275*IF(AA275="",0,IF(AA275&gt;1,AA275/100,AA275)))</f>
        <v>0</v>
      </c>
      <c r="AJ275" s="21" t="n">
        <f aca="false">AG275+AH275+AI275</f>
        <v>0</v>
      </c>
      <c r="AK275" s="21" t="n">
        <f aca="false">IF(OR(AE275="",AE275=0),0,AE275-AJ275)</f>
        <v>0</v>
      </c>
      <c r="AL275" s="19" t="str">
        <f aca="false">IF(AD275="","",AD275-AK275)</f>
        <v/>
      </c>
      <c r="AM275" s="26" t="str">
        <f aca="false">IF(C275="","","Waiting for payment")</f>
        <v/>
      </c>
      <c r="AN275" s="27"/>
      <c r="AO275" s="27"/>
      <c r="AP275" s="35" t="str">
        <f aca="false">IF(OR(C275="",I275="",K275=""),"",IF(K275="Monthly",EDATE(C275,ROUND(I275*SETTINGS!$I$8,0)),WORKDAY(C275,ROUND(I275*SETTINGS!$I$8,0))))</f>
        <v/>
      </c>
      <c r="AQ275" s="26" t="str">
        <f aca="true">IF(C275="","",IF(AND(AP275&lt;&gt;"",TODAY()&gt;=AP275),"Refi Ready",IF(TODAY()-C275&gt;=SETTINGS!$I$11,"Prospecting","Performing")))</f>
        <v/>
      </c>
      <c r="AR275" s="35" t="str">
        <f aca="false">IF(OR(C275="",I275="",K275=""),"",IF(K275="Monthly",EDATE(C275,I275),WORKDAY(C275,I275)))</f>
        <v/>
      </c>
      <c r="AS275" s="28"/>
      <c r="AT275" s="36" t="str">
        <f aca="true">IF(C275="","",IF(AM275="Clawed Back","CLAWED",IF(TODAY()&lt;=C275+SETTINGS!$I$2,"⚠ AT RISK","SAFE")))</f>
        <v/>
      </c>
      <c r="AU275" s="28"/>
      <c r="AW275" s="24" t="n">
        <f aca="false">AW274+IF(AND(C275&lt;&gt;"",AO275&lt;&gt;"",OR('REP COMMISSION'!$B$3="",T275='REP COMMISSION'!$B$3,W275='REP COMMISSION'!$B$3,Z275='REP COMMISSION'!$B$3)),1,0)</f>
        <v>0</v>
      </c>
      <c r="AX275" s="24" t="n">
        <f aca="false">AX274+IF(AND(C275&lt;&gt;"",OR(F275="LOC - INITIAL",F275="CONSOLIDATION - UPFRONT COMM",F275="REVERSE - TOTAL FUNDING")),1,0)</f>
        <v>0</v>
      </c>
    </row>
    <row r="276" customFormat="false" ht="15" hidden="false" customHeight="false" outlineLevel="0" collapsed="false">
      <c r="A276" s="8" t="str">
        <f aca="false">IF(C276&lt;&gt;"","F"&amp;COUNT($C$4:C276),"")</f>
        <v/>
      </c>
      <c r="B276" s="9" t="str">
        <f aca="false">IF(OR(F276="LOC - INITIAL",F276="CONSOLIDATION - UPFRONT COMM",F276="REVERSE - TOTAL FUNDING"),A276,"")</f>
        <v/>
      </c>
      <c r="C276" s="10"/>
      <c r="D276" s="11"/>
      <c r="E276" s="11"/>
      <c r="F276" s="11"/>
      <c r="G276" s="12"/>
      <c r="H276" s="13"/>
      <c r="I276" s="11"/>
      <c r="J276" s="14" t="str">
        <f aca="false">IF(AND(G276&lt;&gt;"",H276&lt;&gt;""),G276*H276,"")</f>
        <v/>
      </c>
      <c r="K276" s="11"/>
      <c r="L276" s="15"/>
      <c r="M276" s="15"/>
      <c r="N276" s="14" t="n">
        <f aca="false">IF(OR(G276="",M276=""),0,IF(M276&gt;100,M276,G276*IF(M276&gt;1,M276/100,M276)))</f>
        <v>0</v>
      </c>
      <c r="O276" s="14" t="str">
        <f aca="false">IF(G276="","",G276*IF(L276="",0,IF(L276&gt;1,L276/100,L276))+N276)</f>
        <v/>
      </c>
      <c r="P276" s="11"/>
      <c r="Q276" s="16" t="str">
        <f aca="false">IF(P276="","",IFERROR(VLOOKUP(P276,PARTNERS!$A$2:$B$30,2,0),""))</f>
        <v/>
      </c>
      <c r="R276" s="17" t="str">
        <f aca="false">IF(O276="","",IF(OR(P276="",Q276=""),0,(O276-N276)*IF(Q276&gt;1,Q276/100,Q276)))</f>
        <v/>
      </c>
      <c r="S276" s="14" t="str">
        <f aca="false">IF(O276="","",O276-R276)</f>
        <v/>
      </c>
      <c r="T276" s="11"/>
      <c r="U276" s="18" t="str">
        <f aca="false">IF(T276="","",IFERROR(VLOOKUP(T276,REPS!$A$2:$D$40,2,0),""))</f>
        <v/>
      </c>
      <c r="V276" s="14" t="str">
        <f aca="false">IF(O276="","",IF(U276="",0,O276*IF(U276&gt;1,U276/100,U276)))</f>
        <v/>
      </c>
      <c r="W276" s="11"/>
      <c r="X276" s="18" t="str">
        <f aca="false">IF(W276="","",IFERROR(VLOOKUP(W276,REPS!$A$2:$D$40,3,0),""))</f>
        <v/>
      </c>
      <c r="Y276" s="14" t="str">
        <f aca="false">IF(O276="","",IF(X276="",0,O276*IF(X276&gt;1,X276/100,X276)))</f>
        <v/>
      </c>
      <c r="Z276" s="11"/>
      <c r="AA276" s="18" t="str">
        <f aca="false">IF(Z276="","",IFERROR(VLOOKUP(Z276,REPS!$A$2:$D$40,4,0),""))</f>
        <v/>
      </c>
      <c r="AB276" s="14" t="str">
        <f aca="false">IF(O276="","",IF(AA276="",0,O276*IF(AA276&gt;1,AA276/100,AA276)))</f>
        <v/>
      </c>
      <c r="AC276" s="14" t="str">
        <f aca="false">IF(O276="","",V276+Y276+AB276)</f>
        <v/>
      </c>
      <c r="AD276" s="19" t="str">
        <f aca="false">IF(O276="","",O276-R276-AC276)</f>
        <v/>
      </c>
      <c r="AE276" s="20"/>
      <c r="AF276" s="10"/>
      <c r="AG276" s="21" t="n">
        <f aca="false">IF(OR(AE276="",AE276=0),0,AE276*IF(U276="",0,IF(U276&gt;1,U276/100,U276)))</f>
        <v>0</v>
      </c>
      <c r="AH276" s="21" t="n">
        <f aca="false">IF(OR(AE276="",AE276=0),0,AE276*IF(X276="",0,IF(X276&gt;1,X276/100,X276)))</f>
        <v>0</v>
      </c>
      <c r="AI276" s="21" t="n">
        <f aca="false">IF(OR(AE276="",AE276=0),0,AE276*IF(AA276="",0,IF(AA276&gt;1,AA276/100,AA276)))</f>
        <v>0</v>
      </c>
      <c r="AJ276" s="21" t="n">
        <f aca="false">AG276+AH276+AI276</f>
        <v>0</v>
      </c>
      <c r="AK276" s="21" t="n">
        <f aca="false">IF(OR(AE276="",AE276=0),0,AE276-AJ276)</f>
        <v>0</v>
      </c>
      <c r="AL276" s="19" t="str">
        <f aca="false">IF(AD276="","",AD276-AK276)</f>
        <v/>
      </c>
      <c r="AM276" s="9" t="str">
        <f aca="false">IF(C276="","","Waiting for payment")</f>
        <v/>
      </c>
      <c r="AN276" s="10"/>
      <c r="AO276" s="10"/>
      <c r="AP276" s="22" t="str">
        <f aca="false">IF(OR(C276="",I276="",K276=""),"",IF(K276="Monthly",EDATE(C276,ROUND(I276*SETTINGS!$I$8,0)),WORKDAY(C276,ROUND(I276*SETTINGS!$I$8,0))))</f>
        <v/>
      </c>
      <c r="AQ276" s="9" t="str">
        <f aca="true">IF(C276="","",IF(AND(AP276&lt;&gt;"",TODAY()&gt;=AP276),"Refi Ready",IF(TODAY()-C276&gt;=SETTINGS!$I$11,"Prospecting","Performing")))</f>
        <v/>
      </c>
      <c r="AR276" s="22" t="str">
        <f aca="false">IF(OR(C276="",I276="",K276=""),"",IF(K276="Monthly",EDATE(C276,I276),WORKDAY(C276,I276)))</f>
        <v/>
      </c>
      <c r="AS276" s="11"/>
      <c r="AT276" s="23" t="str">
        <f aca="true">IF(C276="","",IF(AM276="Clawed Back","CLAWED",IF(TODAY()&lt;=C276+SETTINGS!$I$2,"⚠ AT RISK","SAFE")))</f>
        <v/>
      </c>
      <c r="AU276" s="11"/>
      <c r="AW276" s="24" t="n">
        <f aca="false">AW275+IF(AND(C276&lt;&gt;"",AO276&lt;&gt;"",OR('REP COMMISSION'!$B$3="",T276='REP COMMISSION'!$B$3,W276='REP COMMISSION'!$B$3,Z276='REP COMMISSION'!$B$3)),1,0)</f>
        <v>0</v>
      </c>
      <c r="AX276" s="24" t="n">
        <f aca="false">AX275+IF(AND(C276&lt;&gt;"",OR(F276="LOC - INITIAL",F276="CONSOLIDATION - UPFRONT COMM",F276="REVERSE - TOTAL FUNDING")),1,0)</f>
        <v>0</v>
      </c>
    </row>
    <row r="277" customFormat="false" ht="15" hidden="false" customHeight="false" outlineLevel="0" collapsed="false">
      <c r="A277" s="25" t="str">
        <f aca="false">IF(C277&lt;&gt;"","F"&amp;COUNT($C$4:C277),"")</f>
        <v/>
      </c>
      <c r="B277" s="26" t="str">
        <f aca="false">IF(OR(F277="LOC - INITIAL",F277="CONSOLIDATION - UPFRONT COMM",F277="REVERSE - TOTAL FUNDING"),A277,"")</f>
        <v/>
      </c>
      <c r="C277" s="27"/>
      <c r="D277" s="28"/>
      <c r="E277" s="28"/>
      <c r="F277" s="28"/>
      <c r="G277" s="29"/>
      <c r="H277" s="30"/>
      <c r="I277" s="28"/>
      <c r="J277" s="31" t="str">
        <f aca="false">IF(AND(G277&lt;&gt;"",H277&lt;&gt;""),G277*H277,"")</f>
        <v/>
      </c>
      <c r="K277" s="28"/>
      <c r="L277" s="32"/>
      <c r="M277" s="32"/>
      <c r="N277" s="31" t="n">
        <f aca="false">IF(OR(G277="",M277=""),0,IF(M277&gt;100,M277,G277*IF(M277&gt;1,M277/100,M277)))</f>
        <v>0</v>
      </c>
      <c r="O277" s="31" t="str">
        <f aca="false">IF(G277="","",G277*IF(L277="",0,IF(L277&gt;1,L277/100,L277))+N277)</f>
        <v/>
      </c>
      <c r="P277" s="28"/>
      <c r="Q277" s="33" t="str">
        <f aca="false">IF(P277="","",IFERROR(VLOOKUP(P277,PARTNERS!$A$2:$B$30,2,0),""))</f>
        <v/>
      </c>
      <c r="R277" s="17" t="str">
        <f aca="false">IF(O277="","",IF(OR(P277="",Q277=""),0,(O277-N277)*IF(Q277&gt;1,Q277/100,Q277)))</f>
        <v/>
      </c>
      <c r="S277" s="31" t="str">
        <f aca="false">IF(O277="","",O277-R277)</f>
        <v/>
      </c>
      <c r="T277" s="28"/>
      <c r="U277" s="34" t="str">
        <f aca="false">IF(T277="","",IFERROR(VLOOKUP(T277,REPS!$A$2:$D$40,2,0),""))</f>
        <v/>
      </c>
      <c r="V277" s="31" t="str">
        <f aca="false">IF(O277="","",IF(U277="",0,O277*IF(U277&gt;1,U277/100,U277)))</f>
        <v/>
      </c>
      <c r="W277" s="28"/>
      <c r="X277" s="34" t="str">
        <f aca="false">IF(W277="","",IFERROR(VLOOKUP(W277,REPS!$A$2:$D$40,3,0),""))</f>
        <v/>
      </c>
      <c r="Y277" s="31" t="str">
        <f aca="false">IF(O277="","",IF(X277="",0,O277*IF(X277&gt;1,X277/100,X277)))</f>
        <v/>
      </c>
      <c r="Z277" s="28"/>
      <c r="AA277" s="34" t="str">
        <f aca="false">IF(Z277="","",IFERROR(VLOOKUP(Z277,REPS!$A$2:$D$40,4,0),""))</f>
        <v/>
      </c>
      <c r="AB277" s="31" t="str">
        <f aca="false">IF(O277="","",IF(AA277="",0,O277*IF(AA277&gt;1,AA277/100,AA277)))</f>
        <v/>
      </c>
      <c r="AC277" s="31" t="str">
        <f aca="false">IF(O277="","",V277+Y277+AB277)</f>
        <v/>
      </c>
      <c r="AD277" s="19" t="str">
        <f aca="false">IF(O277="","",O277-R277-AC277)</f>
        <v/>
      </c>
      <c r="AE277" s="20"/>
      <c r="AF277" s="27"/>
      <c r="AG277" s="21" t="n">
        <f aca="false">IF(OR(AE277="",AE277=0),0,AE277*IF(U277="",0,IF(U277&gt;1,U277/100,U277)))</f>
        <v>0</v>
      </c>
      <c r="AH277" s="21" t="n">
        <f aca="false">IF(OR(AE277="",AE277=0),0,AE277*IF(X277="",0,IF(X277&gt;1,X277/100,X277)))</f>
        <v>0</v>
      </c>
      <c r="AI277" s="21" t="n">
        <f aca="false">IF(OR(AE277="",AE277=0),0,AE277*IF(AA277="",0,IF(AA277&gt;1,AA277/100,AA277)))</f>
        <v>0</v>
      </c>
      <c r="AJ277" s="21" t="n">
        <f aca="false">AG277+AH277+AI277</f>
        <v>0</v>
      </c>
      <c r="AK277" s="21" t="n">
        <f aca="false">IF(OR(AE277="",AE277=0),0,AE277-AJ277)</f>
        <v>0</v>
      </c>
      <c r="AL277" s="19" t="str">
        <f aca="false">IF(AD277="","",AD277-AK277)</f>
        <v/>
      </c>
      <c r="AM277" s="26" t="str">
        <f aca="false">IF(C277="","","Waiting for payment")</f>
        <v/>
      </c>
      <c r="AN277" s="27"/>
      <c r="AO277" s="27"/>
      <c r="AP277" s="35" t="str">
        <f aca="false">IF(OR(C277="",I277="",K277=""),"",IF(K277="Monthly",EDATE(C277,ROUND(I277*SETTINGS!$I$8,0)),WORKDAY(C277,ROUND(I277*SETTINGS!$I$8,0))))</f>
        <v/>
      </c>
      <c r="AQ277" s="26" t="str">
        <f aca="true">IF(C277="","",IF(AND(AP277&lt;&gt;"",TODAY()&gt;=AP277),"Refi Ready",IF(TODAY()-C277&gt;=SETTINGS!$I$11,"Prospecting","Performing")))</f>
        <v/>
      </c>
      <c r="AR277" s="35" t="str">
        <f aca="false">IF(OR(C277="",I277="",K277=""),"",IF(K277="Monthly",EDATE(C277,I277),WORKDAY(C277,I277)))</f>
        <v/>
      </c>
      <c r="AS277" s="28"/>
      <c r="AT277" s="36" t="str">
        <f aca="true">IF(C277="","",IF(AM277="Clawed Back","CLAWED",IF(TODAY()&lt;=C277+SETTINGS!$I$2,"⚠ AT RISK","SAFE")))</f>
        <v/>
      </c>
      <c r="AU277" s="28"/>
      <c r="AW277" s="24" t="n">
        <f aca="false">AW276+IF(AND(C277&lt;&gt;"",AO277&lt;&gt;"",OR('REP COMMISSION'!$B$3="",T277='REP COMMISSION'!$B$3,W277='REP COMMISSION'!$B$3,Z277='REP COMMISSION'!$B$3)),1,0)</f>
        <v>0</v>
      </c>
      <c r="AX277" s="24" t="n">
        <f aca="false">AX276+IF(AND(C277&lt;&gt;"",OR(F277="LOC - INITIAL",F277="CONSOLIDATION - UPFRONT COMM",F277="REVERSE - TOTAL FUNDING")),1,0)</f>
        <v>0</v>
      </c>
    </row>
    <row r="278" customFormat="false" ht="15" hidden="false" customHeight="false" outlineLevel="0" collapsed="false">
      <c r="A278" s="8" t="str">
        <f aca="false">IF(C278&lt;&gt;"","F"&amp;COUNT($C$4:C278),"")</f>
        <v/>
      </c>
      <c r="B278" s="9" t="str">
        <f aca="false">IF(OR(F278="LOC - INITIAL",F278="CONSOLIDATION - UPFRONT COMM",F278="REVERSE - TOTAL FUNDING"),A278,"")</f>
        <v/>
      </c>
      <c r="C278" s="10"/>
      <c r="D278" s="11"/>
      <c r="E278" s="11"/>
      <c r="F278" s="11"/>
      <c r="G278" s="12"/>
      <c r="H278" s="13"/>
      <c r="I278" s="11"/>
      <c r="J278" s="14" t="str">
        <f aca="false">IF(AND(G278&lt;&gt;"",H278&lt;&gt;""),G278*H278,"")</f>
        <v/>
      </c>
      <c r="K278" s="11"/>
      <c r="L278" s="15"/>
      <c r="M278" s="15"/>
      <c r="N278" s="14" t="n">
        <f aca="false">IF(OR(G278="",M278=""),0,IF(M278&gt;100,M278,G278*IF(M278&gt;1,M278/100,M278)))</f>
        <v>0</v>
      </c>
      <c r="O278" s="14" t="str">
        <f aca="false">IF(G278="","",G278*IF(L278="",0,IF(L278&gt;1,L278/100,L278))+N278)</f>
        <v/>
      </c>
      <c r="P278" s="11"/>
      <c r="Q278" s="16" t="str">
        <f aca="false">IF(P278="","",IFERROR(VLOOKUP(P278,PARTNERS!$A$2:$B$30,2,0),""))</f>
        <v/>
      </c>
      <c r="R278" s="17" t="str">
        <f aca="false">IF(O278="","",IF(OR(P278="",Q278=""),0,(O278-N278)*IF(Q278&gt;1,Q278/100,Q278)))</f>
        <v/>
      </c>
      <c r="S278" s="14" t="str">
        <f aca="false">IF(O278="","",O278-R278)</f>
        <v/>
      </c>
      <c r="T278" s="11"/>
      <c r="U278" s="18" t="str">
        <f aca="false">IF(T278="","",IFERROR(VLOOKUP(T278,REPS!$A$2:$D$40,2,0),""))</f>
        <v/>
      </c>
      <c r="V278" s="14" t="str">
        <f aca="false">IF(O278="","",IF(U278="",0,O278*IF(U278&gt;1,U278/100,U278)))</f>
        <v/>
      </c>
      <c r="W278" s="11"/>
      <c r="X278" s="18" t="str">
        <f aca="false">IF(W278="","",IFERROR(VLOOKUP(W278,REPS!$A$2:$D$40,3,0),""))</f>
        <v/>
      </c>
      <c r="Y278" s="14" t="str">
        <f aca="false">IF(O278="","",IF(X278="",0,O278*IF(X278&gt;1,X278/100,X278)))</f>
        <v/>
      </c>
      <c r="Z278" s="11"/>
      <c r="AA278" s="18" t="str">
        <f aca="false">IF(Z278="","",IFERROR(VLOOKUP(Z278,REPS!$A$2:$D$40,4,0),""))</f>
        <v/>
      </c>
      <c r="AB278" s="14" t="str">
        <f aca="false">IF(O278="","",IF(AA278="",0,O278*IF(AA278&gt;1,AA278/100,AA278)))</f>
        <v/>
      </c>
      <c r="AC278" s="14" t="str">
        <f aca="false">IF(O278="","",V278+Y278+AB278)</f>
        <v/>
      </c>
      <c r="AD278" s="19" t="str">
        <f aca="false">IF(O278="","",O278-R278-AC278)</f>
        <v/>
      </c>
      <c r="AE278" s="20"/>
      <c r="AF278" s="10"/>
      <c r="AG278" s="21" t="n">
        <f aca="false">IF(OR(AE278="",AE278=0),0,AE278*IF(U278="",0,IF(U278&gt;1,U278/100,U278)))</f>
        <v>0</v>
      </c>
      <c r="AH278" s="21" t="n">
        <f aca="false">IF(OR(AE278="",AE278=0),0,AE278*IF(X278="",0,IF(X278&gt;1,X278/100,X278)))</f>
        <v>0</v>
      </c>
      <c r="AI278" s="21" t="n">
        <f aca="false">IF(OR(AE278="",AE278=0),0,AE278*IF(AA278="",0,IF(AA278&gt;1,AA278/100,AA278)))</f>
        <v>0</v>
      </c>
      <c r="AJ278" s="21" t="n">
        <f aca="false">AG278+AH278+AI278</f>
        <v>0</v>
      </c>
      <c r="AK278" s="21" t="n">
        <f aca="false">IF(OR(AE278="",AE278=0),0,AE278-AJ278)</f>
        <v>0</v>
      </c>
      <c r="AL278" s="19" t="str">
        <f aca="false">IF(AD278="","",AD278-AK278)</f>
        <v/>
      </c>
      <c r="AM278" s="9" t="str">
        <f aca="false">IF(C278="","","Waiting for payment")</f>
        <v/>
      </c>
      <c r="AN278" s="10"/>
      <c r="AO278" s="10"/>
      <c r="AP278" s="22" t="str">
        <f aca="false">IF(OR(C278="",I278="",K278=""),"",IF(K278="Monthly",EDATE(C278,ROUND(I278*SETTINGS!$I$8,0)),WORKDAY(C278,ROUND(I278*SETTINGS!$I$8,0))))</f>
        <v/>
      </c>
      <c r="AQ278" s="9" t="str">
        <f aca="true">IF(C278="","",IF(AND(AP278&lt;&gt;"",TODAY()&gt;=AP278),"Refi Ready",IF(TODAY()-C278&gt;=SETTINGS!$I$11,"Prospecting","Performing")))</f>
        <v/>
      </c>
      <c r="AR278" s="22" t="str">
        <f aca="false">IF(OR(C278="",I278="",K278=""),"",IF(K278="Monthly",EDATE(C278,I278),WORKDAY(C278,I278)))</f>
        <v/>
      </c>
      <c r="AS278" s="11"/>
      <c r="AT278" s="23" t="str">
        <f aca="true">IF(C278="","",IF(AM278="Clawed Back","CLAWED",IF(TODAY()&lt;=C278+SETTINGS!$I$2,"⚠ AT RISK","SAFE")))</f>
        <v/>
      </c>
      <c r="AU278" s="11"/>
      <c r="AW278" s="24" t="n">
        <f aca="false">AW277+IF(AND(C278&lt;&gt;"",AO278&lt;&gt;"",OR('REP COMMISSION'!$B$3="",T278='REP COMMISSION'!$B$3,W278='REP COMMISSION'!$B$3,Z278='REP COMMISSION'!$B$3)),1,0)</f>
        <v>0</v>
      </c>
      <c r="AX278" s="24" t="n">
        <f aca="false">AX277+IF(AND(C278&lt;&gt;"",OR(F278="LOC - INITIAL",F278="CONSOLIDATION - UPFRONT COMM",F278="REVERSE - TOTAL FUNDING")),1,0)</f>
        <v>0</v>
      </c>
    </row>
    <row r="279" customFormat="false" ht="15" hidden="false" customHeight="false" outlineLevel="0" collapsed="false">
      <c r="A279" s="25" t="str">
        <f aca="false">IF(C279&lt;&gt;"","F"&amp;COUNT($C$4:C279),"")</f>
        <v/>
      </c>
      <c r="B279" s="26" t="str">
        <f aca="false">IF(OR(F279="LOC - INITIAL",F279="CONSOLIDATION - UPFRONT COMM",F279="REVERSE - TOTAL FUNDING"),A279,"")</f>
        <v/>
      </c>
      <c r="C279" s="27"/>
      <c r="D279" s="28"/>
      <c r="E279" s="28"/>
      <c r="F279" s="28"/>
      <c r="G279" s="29"/>
      <c r="H279" s="30"/>
      <c r="I279" s="28"/>
      <c r="J279" s="31" t="str">
        <f aca="false">IF(AND(G279&lt;&gt;"",H279&lt;&gt;""),G279*H279,"")</f>
        <v/>
      </c>
      <c r="K279" s="28"/>
      <c r="L279" s="32"/>
      <c r="M279" s="32"/>
      <c r="N279" s="31" t="n">
        <f aca="false">IF(OR(G279="",M279=""),0,IF(M279&gt;100,M279,G279*IF(M279&gt;1,M279/100,M279)))</f>
        <v>0</v>
      </c>
      <c r="O279" s="31" t="str">
        <f aca="false">IF(G279="","",G279*IF(L279="",0,IF(L279&gt;1,L279/100,L279))+N279)</f>
        <v/>
      </c>
      <c r="P279" s="28"/>
      <c r="Q279" s="33" t="str">
        <f aca="false">IF(P279="","",IFERROR(VLOOKUP(P279,PARTNERS!$A$2:$B$30,2,0),""))</f>
        <v/>
      </c>
      <c r="R279" s="17" t="str">
        <f aca="false">IF(O279="","",IF(OR(P279="",Q279=""),0,(O279-N279)*IF(Q279&gt;1,Q279/100,Q279)))</f>
        <v/>
      </c>
      <c r="S279" s="31" t="str">
        <f aca="false">IF(O279="","",O279-R279)</f>
        <v/>
      </c>
      <c r="T279" s="28"/>
      <c r="U279" s="34" t="str">
        <f aca="false">IF(T279="","",IFERROR(VLOOKUP(T279,REPS!$A$2:$D$40,2,0),""))</f>
        <v/>
      </c>
      <c r="V279" s="31" t="str">
        <f aca="false">IF(O279="","",IF(U279="",0,O279*IF(U279&gt;1,U279/100,U279)))</f>
        <v/>
      </c>
      <c r="W279" s="28"/>
      <c r="X279" s="34" t="str">
        <f aca="false">IF(W279="","",IFERROR(VLOOKUP(W279,REPS!$A$2:$D$40,3,0),""))</f>
        <v/>
      </c>
      <c r="Y279" s="31" t="str">
        <f aca="false">IF(O279="","",IF(X279="",0,O279*IF(X279&gt;1,X279/100,X279)))</f>
        <v/>
      </c>
      <c r="Z279" s="28"/>
      <c r="AA279" s="34" t="str">
        <f aca="false">IF(Z279="","",IFERROR(VLOOKUP(Z279,REPS!$A$2:$D$40,4,0),""))</f>
        <v/>
      </c>
      <c r="AB279" s="31" t="str">
        <f aca="false">IF(O279="","",IF(AA279="",0,O279*IF(AA279&gt;1,AA279/100,AA279)))</f>
        <v/>
      </c>
      <c r="AC279" s="31" t="str">
        <f aca="false">IF(O279="","",V279+Y279+AB279)</f>
        <v/>
      </c>
      <c r="AD279" s="19" t="str">
        <f aca="false">IF(O279="","",O279-R279-AC279)</f>
        <v/>
      </c>
      <c r="AE279" s="20"/>
      <c r="AF279" s="27"/>
      <c r="AG279" s="21" t="n">
        <f aca="false">IF(OR(AE279="",AE279=0),0,AE279*IF(U279="",0,IF(U279&gt;1,U279/100,U279)))</f>
        <v>0</v>
      </c>
      <c r="AH279" s="21" t="n">
        <f aca="false">IF(OR(AE279="",AE279=0),0,AE279*IF(X279="",0,IF(X279&gt;1,X279/100,X279)))</f>
        <v>0</v>
      </c>
      <c r="AI279" s="21" t="n">
        <f aca="false">IF(OR(AE279="",AE279=0),0,AE279*IF(AA279="",0,IF(AA279&gt;1,AA279/100,AA279)))</f>
        <v>0</v>
      </c>
      <c r="AJ279" s="21" t="n">
        <f aca="false">AG279+AH279+AI279</f>
        <v>0</v>
      </c>
      <c r="AK279" s="21" t="n">
        <f aca="false">IF(OR(AE279="",AE279=0),0,AE279-AJ279)</f>
        <v>0</v>
      </c>
      <c r="AL279" s="19" t="str">
        <f aca="false">IF(AD279="","",AD279-AK279)</f>
        <v/>
      </c>
      <c r="AM279" s="26" t="str">
        <f aca="false">IF(C279="","","Waiting for payment")</f>
        <v/>
      </c>
      <c r="AN279" s="27"/>
      <c r="AO279" s="27"/>
      <c r="AP279" s="35" t="str">
        <f aca="false">IF(OR(C279="",I279="",K279=""),"",IF(K279="Monthly",EDATE(C279,ROUND(I279*SETTINGS!$I$8,0)),WORKDAY(C279,ROUND(I279*SETTINGS!$I$8,0))))</f>
        <v/>
      </c>
      <c r="AQ279" s="26" t="str">
        <f aca="true">IF(C279="","",IF(AND(AP279&lt;&gt;"",TODAY()&gt;=AP279),"Refi Ready",IF(TODAY()-C279&gt;=SETTINGS!$I$11,"Prospecting","Performing")))</f>
        <v/>
      </c>
      <c r="AR279" s="35" t="str">
        <f aca="false">IF(OR(C279="",I279="",K279=""),"",IF(K279="Monthly",EDATE(C279,I279),WORKDAY(C279,I279)))</f>
        <v/>
      </c>
      <c r="AS279" s="28"/>
      <c r="AT279" s="36" t="str">
        <f aca="true">IF(C279="","",IF(AM279="Clawed Back","CLAWED",IF(TODAY()&lt;=C279+SETTINGS!$I$2,"⚠ AT RISK","SAFE")))</f>
        <v/>
      </c>
      <c r="AU279" s="28"/>
      <c r="AW279" s="24" t="n">
        <f aca="false">AW278+IF(AND(C279&lt;&gt;"",AO279&lt;&gt;"",OR('REP COMMISSION'!$B$3="",T279='REP COMMISSION'!$B$3,W279='REP COMMISSION'!$B$3,Z279='REP COMMISSION'!$B$3)),1,0)</f>
        <v>0</v>
      </c>
      <c r="AX279" s="24" t="n">
        <f aca="false">AX278+IF(AND(C279&lt;&gt;"",OR(F279="LOC - INITIAL",F279="CONSOLIDATION - UPFRONT COMM",F279="REVERSE - TOTAL FUNDING")),1,0)</f>
        <v>0</v>
      </c>
    </row>
    <row r="280" customFormat="false" ht="15" hidden="false" customHeight="false" outlineLevel="0" collapsed="false">
      <c r="A280" s="8" t="str">
        <f aca="false">IF(C280&lt;&gt;"","F"&amp;COUNT($C$4:C280),"")</f>
        <v/>
      </c>
      <c r="B280" s="9" t="str">
        <f aca="false">IF(OR(F280="LOC - INITIAL",F280="CONSOLIDATION - UPFRONT COMM",F280="REVERSE - TOTAL FUNDING"),A280,"")</f>
        <v/>
      </c>
      <c r="C280" s="10"/>
      <c r="D280" s="11"/>
      <c r="E280" s="11"/>
      <c r="F280" s="11"/>
      <c r="G280" s="12"/>
      <c r="H280" s="13"/>
      <c r="I280" s="11"/>
      <c r="J280" s="14" t="str">
        <f aca="false">IF(AND(G280&lt;&gt;"",H280&lt;&gt;""),G280*H280,"")</f>
        <v/>
      </c>
      <c r="K280" s="11"/>
      <c r="L280" s="15"/>
      <c r="M280" s="15"/>
      <c r="N280" s="14" t="n">
        <f aca="false">IF(OR(G280="",M280=""),0,IF(M280&gt;100,M280,G280*IF(M280&gt;1,M280/100,M280)))</f>
        <v>0</v>
      </c>
      <c r="O280" s="14" t="str">
        <f aca="false">IF(G280="","",G280*IF(L280="",0,IF(L280&gt;1,L280/100,L280))+N280)</f>
        <v/>
      </c>
      <c r="P280" s="11"/>
      <c r="Q280" s="16" t="str">
        <f aca="false">IF(P280="","",IFERROR(VLOOKUP(P280,PARTNERS!$A$2:$B$30,2,0),""))</f>
        <v/>
      </c>
      <c r="R280" s="17" t="str">
        <f aca="false">IF(O280="","",IF(OR(P280="",Q280=""),0,(O280-N280)*IF(Q280&gt;1,Q280/100,Q280)))</f>
        <v/>
      </c>
      <c r="S280" s="14" t="str">
        <f aca="false">IF(O280="","",O280-R280)</f>
        <v/>
      </c>
      <c r="T280" s="11"/>
      <c r="U280" s="18" t="str">
        <f aca="false">IF(T280="","",IFERROR(VLOOKUP(T280,REPS!$A$2:$D$40,2,0),""))</f>
        <v/>
      </c>
      <c r="V280" s="14" t="str">
        <f aca="false">IF(O280="","",IF(U280="",0,O280*IF(U280&gt;1,U280/100,U280)))</f>
        <v/>
      </c>
      <c r="W280" s="11"/>
      <c r="X280" s="18" t="str">
        <f aca="false">IF(W280="","",IFERROR(VLOOKUP(W280,REPS!$A$2:$D$40,3,0),""))</f>
        <v/>
      </c>
      <c r="Y280" s="14" t="str">
        <f aca="false">IF(O280="","",IF(X280="",0,O280*IF(X280&gt;1,X280/100,X280)))</f>
        <v/>
      </c>
      <c r="Z280" s="11"/>
      <c r="AA280" s="18" t="str">
        <f aca="false">IF(Z280="","",IFERROR(VLOOKUP(Z280,REPS!$A$2:$D$40,4,0),""))</f>
        <v/>
      </c>
      <c r="AB280" s="14" t="str">
        <f aca="false">IF(O280="","",IF(AA280="",0,O280*IF(AA280&gt;1,AA280/100,AA280)))</f>
        <v/>
      </c>
      <c r="AC280" s="14" t="str">
        <f aca="false">IF(O280="","",V280+Y280+AB280)</f>
        <v/>
      </c>
      <c r="AD280" s="19" t="str">
        <f aca="false">IF(O280="","",O280-R280-AC280)</f>
        <v/>
      </c>
      <c r="AE280" s="20"/>
      <c r="AF280" s="10"/>
      <c r="AG280" s="21" t="n">
        <f aca="false">IF(OR(AE280="",AE280=0),0,AE280*IF(U280="",0,IF(U280&gt;1,U280/100,U280)))</f>
        <v>0</v>
      </c>
      <c r="AH280" s="21" t="n">
        <f aca="false">IF(OR(AE280="",AE280=0),0,AE280*IF(X280="",0,IF(X280&gt;1,X280/100,X280)))</f>
        <v>0</v>
      </c>
      <c r="AI280" s="21" t="n">
        <f aca="false">IF(OR(AE280="",AE280=0),0,AE280*IF(AA280="",0,IF(AA280&gt;1,AA280/100,AA280)))</f>
        <v>0</v>
      </c>
      <c r="AJ280" s="21" t="n">
        <f aca="false">AG280+AH280+AI280</f>
        <v>0</v>
      </c>
      <c r="AK280" s="21" t="n">
        <f aca="false">IF(OR(AE280="",AE280=0),0,AE280-AJ280)</f>
        <v>0</v>
      </c>
      <c r="AL280" s="19" t="str">
        <f aca="false">IF(AD280="","",AD280-AK280)</f>
        <v/>
      </c>
      <c r="AM280" s="9" t="str">
        <f aca="false">IF(C280="","","Waiting for payment")</f>
        <v/>
      </c>
      <c r="AN280" s="10"/>
      <c r="AO280" s="10"/>
      <c r="AP280" s="22" t="str">
        <f aca="false">IF(OR(C280="",I280="",K280=""),"",IF(K280="Monthly",EDATE(C280,ROUND(I280*SETTINGS!$I$8,0)),WORKDAY(C280,ROUND(I280*SETTINGS!$I$8,0))))</f>
        <v/>
      </c>
      <c r="AQ280" s="9" t="str">
        <f aca="true">IF(C280="","",IF(AND(AP280&lt;&gt;"",TODAY()&gt;=AP280),"Refi Ready",IF(TODAY()-C280&gt;=SETTINGS!$I$11,"Prospecting","Performing")))</f>
        <v/>
      </c>
      <c r="AR280" s="22" t="str">
        <f aca="false">IF(OR(C280="",I280="",K280=""),"",IF(K280="Monthly",EDATE(C280,I280),WORKDAY(C280,I280)))</f>
        <v/>
      </c>
      <c r="AS280" s="11"/>
      <c r="AT280" s="23" t="str">
        <f aca="true">IF(C280="","",IF(AM280="Clawed Back","CLAWED",IF(TODAY()&lt;=C280+SETTINGS!$I$2,"⚠ AT RISK","SAFE")))</f>
        <v/>
      </c>
      <c r="AU280" s="11"/>
      <c r="AW280" s="24" t="n">
        <f aca="false">AW279+IF(AND(C280&lt;&gt;"",AO280&lt;&gt;"",OR('REP COMMISSION'!$B$3="",T280='REP COMMISSION'!$B$3,W280='REP COMMISSION'!$B$3,Z280='REP COMMISSION'!$B$3)),1,0)</f>
        <v>0</v>
      </c>
      <c r="AX280" s="24" t="n">
        <f aca="false">AX279+IF(AND(C280&lt;&gt;"",OR(F280="LOC - INITIAL",F280="CONSOLIDATION - UPFRONT COMM",F280="REVERSE - TOTAL FUNDING")),1,0)</f>
        <v>0</v>
      </c>
    </row>
    <row r="281" customFormat="false" ht="15" hidden="false" customHeight="false" outlineLevel="0" collapsed="false">
      <c r="A281" s="25" t="str">
        <f aca="false">IF(C281&lt;&gt;"","F"&amp;COUNT($C$4:C281),"")</f>
        <v/>
      </c>
      <c r="B281" s="26" t="str">
        <f aca="false">IF(OR(F281="LOC - INITIAL",F281="CONSOLIDATION - UPFRONT COMM",F281="REVERSE - TOTAL FUNDING"),A281,"")</f>
        <v/>
      </c>
      <c r="C281" s="27"/>
      <c r="D281" s="28"/>
      <c r="E281" s="28"/>
      <c r="F281" s="28"/>
      <c r="G281" s="29"/>
      <c r="H281" s="30"/>
      <c r="I281" s="28"/>
      <c r="J281" s="31" t="str">
        <f aca="false">IF(AND(G281&lt;&gt;"",H281&lt;&gt;""),G281*H281,"")</f>
        <v/>
      </c>
      <c r="K281" s="28"/>
      <c r="L281" s="32"/>
      <c r="M281" s="32"/>
      <c r="N281" s="31" t="n">
        <f aca="false">IF(OR(G281="",M281=""),0,IF(M281&gt;100,M281,G281*IF(M281&gt;1,M281/100,M281)))</f>
        <v>0</v>
      </c>
      <c r="O281" s="31" t="str">
        <f aca="false">IF(G281="","",G281*IF(L281="",0,IF(L281&gt;1,L281/100,L281))+N281)</f>
        <v/>
      </c>
      <c r="P281" s="28"/>
      <c r="Q281" s="33" t="str">
        <f aca="false">IF(P281="","",IFERROR(VLOOKUP(P281,PARTNERS!$A$2:$B$30,2,0),""))</f>
        <v/>
      </c>
      <c r="R281" s="17" t="str">
        <f aca="false">IF(O281="","",IF(OR(P281="",Q281=""),0,(O281-N281)*IF(Q281&gt;1,Q281/100,Q281)))</f>
        <v/>
      </c>
      <c r="S281" s="31" t="str">
        <f aca="false">IF(O281="","",O281-R281)</f>
        <v/>
      </c>
      <c r="T281" s="28"/>
      <c r="U281" s="34" t="str">
        <f aca="false">IF(T281="","",IFERROR(VLOOKUP(T281,REPS!$A$2:$D$40,2,0),""))</f>
        <v/>
      </c>
      <c r="V281" s="31" t="str">
        <f aca="false">IF(O281="","",IF(U281="",0,O281*IF(U281&gt;1,U281/100,U281)))</f>
        <v/>
      </c>
      <c r="W281" s="28"/>
      <c r="X281" s="34" t="str">
        <f aca="false">IF(W281="","",IFERROR(VLOOKUP(W281,REPS!$A$2:$D$40,3,0),""))</f>
        <v/>
      </c>
      <c r="Y281" s="31" t="str">
        <f aca="false">IF(O281="","",IF(X281="",0,O281*IF(X281&gt;1,X281/100,X281)))</f>
        <v/>
      </c>
      <c r="Z281" s="28"/>
      <c r="AA281" s="34" t="str">
        <f aca="false">IF(Z281="","",IFERROR(VLOOKUP(Z281,REPS!$A$2:$D$40,4,0),""))</f>
        <v/>
      </c>
      <c r="AB281" s="31" t="str">
        <f aca="false">IF(O281="","",IF(AA281="",0,O281*IF(AA281&gt;1,AA281/100,AA281)))</f>
        <v/>
      </c>
      <c r="AC281" s="31" t="str">
        <f aca="false">IF(O281="","",V281+Y281+AB281)</f>
        <v/>
      </c>
      <c r="AD281" s="19" t="str">
        <f aca="false">IF(O281="","",O281-R281-AC281)</f>
        <v/>
      </c>
      <c r="AE281" s="20"/>
      <c r="AF281" s="27"/>
      <c r="AG281" s="21" t="n">
        <f aca="false">IF(OR(AE281="",AE281=0),0,AE281*IF(U281="",0,IF(U281&gt;1,U281/100,U281)))</f>
        <v>0</v>
      </c>
      <c r="AH281" s="21" t="n">
        <f aca="false">IF(OR(AE281="",AE281=0),0,AE281*IF(X281="",0,IF(X281&gt;1,X281/100,X281)))</f>
        <v>0</v>
      </c>
      <c r="AI281" s="21" t="n">
        <f aca="false">IF(OR(AE281="",AE281=0),0,AE281*IF(AA281="",0,IF(AA281&gt;1,AA281/100,AA281)))</f>
        <v>0</v>
      </c>
      <c r="AJ281" s="21" t="n">
        <f aca="false">AG281+AH281+AI281</f>
        <v>0</v>
      </c>
      <c r="AK281" s="21" t="n">
        <f aca="false">IF(OR(AE281="",AE281=0),0,AE281-AJ281)</f>
        <v>0</v>
      </c>
      <c r="AL281" s="19" t="str">
        <f aca="false">IF(AD281="","",AD281-AK281)</f>
        <v/>
      </c>
      <c r="AM281" s="26" t="str">
        <f aca="false">IF(C281="","","Waiting for payment")</f>
        <v/>
      </c>
      <c r="AN281" s="27"/>
      <c r="AO281" s="27"/>
      <c r="AP281" s="35" t="str">
        <f aca="false">IF(OR(C281="",I281="",K281=""),"",IF(K281="Monthly",EDATE(C281,ROUND(I281*SETTINGS!$I$8,0)),WORKDAY(C281,ROUND(I281*SETTINGS!$I$8,0))))</f>
        <v/>
      </c>
      <c r="AQ281" s="26" t="str">
        <f aca="true">IF(C281="","",IF(AND(AP281&lt;&gt;"",TODAY()&gt;=AP281),"Refi Ready",IF(TODAY()-C281&gt;=SETTINGS!$I$11,"Prospecting","Performing")))</f>
        <v/>
      </c>
      <c r="AR281" s="35" t="str">
        <f aca="false">IF(OR(C281="",I281="",K281=""),"",IF(K281="Monthly",EDATE(C281,I281),WORKDAY(C281,I281)))</f>
        <v/>
      </c>
      <c r="AS281" s="28"/>
      <c r="AT281" s="36" t="str">
        <f aca="true">IF(C281="","",IF(AM281="Clawed Back","CLAWED",IF(TODAY()&lt;=C281+SETTINGS!$I$2,"⚠ AT RISK","SAFE")))</f>
        <v/>
      </c>
      <c r="AU281" s="28"/>
      <c r="AW281" s="24" t="n">
        <f aca="false">AW280+IF(AND(C281&lt;&gt;"",AO281&lt;&gt;"",OR('REP COMMISSION'!$B$3="",T281='REP COMMISSION'!$B$3,W281='REP COMMISSION'!$B$3,Z281='REP COMMISSION'!$B$3)),1,0)</f>
        <v>0</v>
      </c>
      <c r="AX281" s="24" t="n">
        <f aca="false">AX280+IF(AND(C281&lt;&gt;"",OR(F281="LOC - INITIAL",F281="CONSOLIDATION - UPFRONT COMM",F281="REVERSE - TOTAL FUNDING")),1,0)</f>
        <v>0</v>
      </c>
    </row>
    <row r="282" customFormat="false" ht="15" hidden="false" customHeight="false" outlineLevel="0" collapsed="false">
      <c r="A282" s="8" t="str">
        <f aca="false">IF(C282&lt;&gt;"","F"&amp;COUNT($C$4:C282),"")</f>
        <v/>
      </c>
      <c r="B282" s="9" t="str">
        <f aca="false">IF(OR(F282="LOC - INITIAL",F282="CONSOLIDATION - UPFRONT COMM",F282="REVERSE - TOTAL FUNDING"),A282,"")</f>
        <v/>
      </c>
      <c r="C282" s="10"/>
      <c r="D282" s="11"/>
      <c r="E282" s="11"/>
      <c r="F282" s="11"/>
      <c r="G282" s="12"/>
      <c r="H282" s="13"/>
      <c r="I282" s="11"/>
      <c r="J282" s="14" t="str">
        <f aca="false">IF(AND(G282&lt;&gt;"",H282&lt;&gt;""),G282*H282,"")</f>
        <v/>
      </c>
      <c r="K282" s="11"/>
      <c r="L282" s="15"/>
      <c r="M282" s="15"/>
      <c r="N282" s="14" t="n">
        <f aca="false">IF(OR(G282="",M282=""),0,IF(M282&gt;100,M282,G282*IF(M282&gt;1,M282/100,M282)))</f>
        <v>0</v>
      </c>
      <c r="O282" s="14" t="str">
        <f aca="false">IF(G282="","",G282*IF(L282="",0,IF(L282&gt;1,L282/100,L282))+N282)</f>
        <v/>
      </c>
      <c r="P282" s="11"/>
      <c r="Q282" s="16" t="str">
        <f aca="false">IF(P282="","",IFERROR(VLOOKUP(P282,PARTNERS!$A$2:$B$30,2,0),""))</f>
        <v/>
      </c>
      <c r="R282" s="17" t="str">
        <f aca="false">IF(O282="","",IF(OR(P282="",Q282=""),0,(O282-N282)*IF(Q282&gt;1,Q282/100,Q282)))</f>
        <v/>
      </c>
      <c r="S282" s="14" t="str">
        <f aca="false">IF(O282="","",O282-R282)</f>
        <v/>
      </c>
      <c r="T282" s="11"/>
      <c r="U282" s="18" t="str">
        <f aca="false">IF(T282="","",IFERROR(VLOOKUP(T282,REPS!$A$2:$D$40,2,0),""))</f>
        <v/>
      </c>
      <c r="V282" s="14" t="str">
        <f aca="false">IF(O282="","",IF(U282="",0,O282*IF(U282&gt;1,U282/100,U282)))</f>
        <v/>
      </c>
      <c r="W282" s="11"/>
      <c r="X282" s="18" t="str">
        <f aca="false">IF(W282="","",IFERROR(VLOOKUP(W282,REPS!$A$2:$D$40,3,0),""))</f>
        <v/>
      </c>
      <c r="Y282" s="14" t="str">
        <f aca="false">IF(O282="","",IF(X282="",0,O282*IF(X282&gt;1,X282/100,X282)))</f>
        <v/>
      </c>
      <c r="Z282" s="11"/>
      <c r="AA282" s="18" t="str">
        <f aca="false">IF(Z282="","",IFERROR(VLOOKUP(Z282,REPS!$A$2:$D$40,4,0),""))</f>
        <v/>
      </c>
      <c r="AB282" s="14" t="str">
        <f aca="false">IF(O282="","",IF(AA282="",0,O282*IF(AA282&gt;1,AA282/100,AA282)))</f>
        <v/>
      </c>
      <c r="AC282" s="14" t="str">
        <f aca="false">IF(O282="","",V282+Y282+AB282)</f>
        <v/>
      </c>
      <c r="AD282" s="19" t="str">
        <f aca="false">IF(O282="","",O282-R282-AC282)</f>
        <v/>
      </c>
      <c r="AE282" s="20"/>
      <c r="AF282" s="10"/>
      <c r="AG282" s="21" t="n">
        <f aca="false">IF(OR(AE282="",AE282=0),0,AE282*IF(U282="",0,IF(U282&gt;1,U282/100,U282)))</f>
        <v>0</v>
      </c>
      <c r="AH282" s="21" t="n">
        <f aca="false">IF(OR(AE282="",AE282=0),0,AE282*IF(X282="",0,IF(X282&gt;1,X282/100,X282)))</f>
        <v>0</v>
      </c>
      <c r="AI282" s="21" t="n">
        <f aca="false">IF(OR(AE282="",AE282=0),0,AE282*IF(AA282="",0,IF(AA282&gt;1,AA282/100,AA282)))</f>
        <v>0</v>
      </c>
      <c r="AJ282" s="21" t="n">
        <f aca="false">AG282+AH282+AI282</f>
        <v>0</v>
      </c>
      <c r="AK282" s="21" t="n">
        <f aca="false">IF(OR(AE282="",AE282=0),0,AE282-AJ282)</f>
        <v>0</v>
      </c>
      <c r="AL282" s="19" t="str">
        <f aca="false">IF(AD282="","",AD282-AK282)</f>
        <v/>
      </c>
      <c r="AM282" s="9" t="str">
        <f aca="false">IF(C282="","","Waiting for payment")</f>
        <v/>
      </c>
      <c r="AN282" s="10"/>
      <c r="AO282" s="10"/>
      <c r="AP282" s="22" t="str">
        <f aca="false">IF(OR(C282="",I282="",K282=""),"",IF(K282="Monthly",EDATE(C282,ROUND(I282*SETTINGS!$I$8,0)),WORKDAY(C282,ROUND(I282*SETTINGS!$I$8,0))))</f>
        <v/>
      </c>
      <c r="AQ282" s="9" t="str">
        <f aca="true">IF(C282="","",IF(AND(AP282&lt;&gt;"",TODAY()&gt;=AP282),"Refi Ready",IF(TODAY()-C282&gt;=SETTINGS!$I$11,"Prospecting","Performing")))</f>
        <v/>
      </c>
      <c r="AR282" s="22" t="str">
        <f aca="false">IF(OR(C282="",I282="",K282=""),"",IF(K282="Monthly",EDATE(C282,I282),WORKDAY(C282,I282)))</f>
        <v/>
      </c>
      <c r="AS282" s="11"/>
      <c r="AT282" s="23" t="str">
        <f aca="true">IF(C282="","",IF(AM282="Clawed Back","CLAWED",IF(TODAY()&lt;=C282+SETTINGS!$I$2,"⚠ AT RISK","SAFE")))</f>
        <v/>
      </c>
      <c r="AU282" s="11"/>
      <c r="AW282" s="24" t="n">
        <f aca="false">AW281+IF(AND(C282&lt;&gt;"",AO282&lt;&gt;"",OR('REP COMMISSION'!$B$3="",T282='REP COMMISSION'!$B$3,W282='REP COMMISSION'!$B$3,Z282='REP COMMISSION'!$B$3)),1,0)</f>
        <v>0</v>
      </c>
      <c r="AX282" s="24" t="n">
        <f aca="false">AX281+IF(AND(C282&lt;&gt;"",OR(F282="LOC - INITIAL",F282="CONSOLIDATION - UPFRONT COMM",F282="REVERSE - TOTAL FUNDING")),1,0)</f>
        <v>0</v>
      </c>
    </row>
    <row r="283" customFormat="false" ht="15" hidden="false" customHeight="false" outlineLevel="0" collapsed="false">
      <c r="A283" s="25" t="str">
        <f aca="false">IF(C283&lt;&gt;"","F"&amp;COUNT($C$4:C283),"")</f>
        <v/>
      </c>
      <c r="B283" s="26" t="str">
        <f aca="false">IF(OR(F283="LOC - INITIAL",F283="CONSOLIDATION - UPFRONT COMM",F283="REVERSE - TOTAL FUNDING"),A283,"")</f>
        <v/>
      </c>
      <c r="C283" s="27"/>
      <c r="D283" s="28"/>
      <c r="E283" s="28"/>
      <c r="F283" s="28"/>
      <c r="G283" s="29"/>
      <c r="H283" s="30"/>
      <c r="I283" s="28"/>
      <c r="J283" s="31" t="str">
        <f aca="false">IF(AND(G283&lt;&gt;"",H283&lt;&gt;""),G283*H283,"")</f>
        <v/>
      </c>
      <c r="K283" s="28"/>
      <c r="L283" s="32"/>
      <c r="M283" s="32"/>
      <c r="N283" s="31" t="n">
        <f aca="false">IF(OR(G283="",M283=""),0,IF(M283&gt;100,M283,G283*IF(M283&gt;1,M283/100,M283)))</f>
        <v>0</v>
      </c>
      <c r="O283" s="31" t="str">
        <f aca="false">IF(G283="","",G283*IF(L283="",0,IF(L283&gt;1,L283/100,L283))+N283)</f>
        <v/>
      </c>
      <c r="P283" s="28"/>
      <c r="Q283" s="33" t="str">
        <f aca="false">IF(P283="","",IFERROR(VLOOKUP(P283,PARTNERS!$A$2:$B$30,2,0),""))</f>
        <v/>
      </c>
      <c r="R283" s="17" t="str">
        <f aca="false">IF(O283="","",IF(OR(P283="",Q283=""),0,(O283-N283)*IF(Q283&gt;1,Q283/100,Q283)))</f>
        <v/>
      </c>
      <c r="S283" s="31" t="str">
        <f aca="false">IF(O283="","",O283-R283)</f>
        <v/>
      </c>
      <c r="T283" s="28"/>
      <c r="U283" s="34" t="str">
        <f aca="false">IF(T283="","",IFERROR(VLOOKUP(T283,REPS!$A$2:$D$40,2,0),""))</f>
        <v/>
      </c>
      <c r="V283" s="31" t="str">
        <f aca="false">IF(O283="","",IF(U283="",0,O283*IF(U283&gt;1,U283/100,U283)))</f>
        <v/>
      </c>
      <c r="W283" s="28"/>
      <c r="X283" s="34" t="str">
        <f aca="false">IF(W283="","",IFERROR(VLOOKUP(W283,REPS!$A$2:$D$40,3,0),""))</f>
        <v/>
      </c>
      <c r="Y283" s="31" t="str">
        <f aca="false">IF(O283="","",IF(X283="",0,O283*IF(X283&gt;1,X283/100,X283)))</f>
        <v/>
      </c>
      <c r="Z283" s="28"/>
      <c r="AA283" s="34" t="str">
        <f aca="false">IF(Z283="","",IFERROR(VLOOKUP(Z283,REPS!$A$2:$D$40,4,0),""))</f>
        <v/>
      </c>
      <c r="AB283" s="31" t="str">
        <f aca="false">IF(O283="","",IF(AA283="",0,O283*IF(AA283&gt;1,AA283/100,AA283)))</f>
        <v/>
      </c>
      <c r="AC283" s="31" t="str">
        <f aca="false">IF(O283="","",V283+Y283+AB283)</f>
        <v/>
      </c>
      <c r="AD283" s="19" t="str">
        <f aca="false">IF(O283="","",O283-R283-AC283)</f>
        <v/>
      </c>
      <c r="AE283" s="20"/>
      <c r="AF283" s="27"/>
      <c r="AG283" s="21" t="n">
        <f aca="false">IF(OR(AE283="",AE283=0),0,AE283*IF(U283="",0,IF(U283&gt;1,U283/100,U283)))</f>
        <v>0</v>
      </c>
      <c r="AH283" s="21" t="n">
        <f aca="false">IF(OR(AE283="",AE283=0),0,AE283*IF(X283="",0,IF(X283&gt;1,X283/100,X283)))</f>
        <v>0</v>
      </c>
      <c r="AI283" s="21" t="n">
        <f aca="false">IF(OR(AE283="",AE283=0),0,AE283*IF(AA283="",0,IF(AA283&gt;1,AA283/100,AA283)))</f>
        <v>0</v>
      </c>
      <c r="AJ283" s="21" t="n">
        <f aca="false">AG283+AH283+AI283</f>
        <v>0</v>
      </c>
      <c r="AK283" s="21" t="n">
        <f aca="false">IF(OR(AE283="",AE283=0),0,AE283-AJ283)</f>
        <v>0</v>
      </c>
      <c r="AL283" s="19" t="str">
        <f aca="false">IF(AD283="","",AD283-AK283)</f>
        <v/>
      </c>
      <c r="AM283" s="26" t="str">
        <f aca="false">IF(C283="","","Waiting for payment")</f>
        <v/>
      </c>
      <c r="AN283" s="27"/>
      <c r="AO283" s="27"/>
      <c r="AP283" s="35" t="str">
        <f aca="false">IF(OR(C283="",I283="",K283=""),"",IF(K283="Monthly",EDATE(C283,ROUND(I283*SETTINGS!$I$8,0)),WORKDAY(C283,ROUND(I283*SETTINGS!$I$8,0))))</f>
        <v/>
      </c>
      <c r="AQ283" s="26" t="str">
        <f aca="true">IF(C283="","",IF(AND(AP283&lt;&gt;"",TODAY()&gt;=AP283),"Refi Ready",IF(TODAY()-C283&gt;=SETTINGS!$I$11,"Prospecting","Performing")))</f>
        <v/>
      </c>
      <c r="AR283" s="35" t="str">
        <f aca="false">IF(OR(C283="",I283="",K283=""),"",IF(K283="Monthly",EDATE(C283,I283),WORKDAY(C283,I283)))</f>
        <v/>
      </c>
      <c r="AS283" s="28"/>
      <c r="AT283" s="36" t="str">
        <f aca="true">IF(C283="","",IF(AM283="Clawed Back","CLAWED",IF(TODAY()&lt;=C283+SETTINGS!$I$2,"⚠ AT RISK","SAFE")))</f>
        <v/>
      </c>
      <c r="AU283" s="28"/>
      <c r="AW283" s="24" t="n">
        <f aca="false">AW282+IF(AND(C283&lt;&gt;"",AO283&lt;&gt;"",OR('REP COMMISSION'!$B$3="",T283='REP COMMISSION'!$B$3,W283='REP COMMISSION'!$B$3,Z283='REP COMMISSION'!$B$3)),1,0)</f>
        <v>0</v>
      </c>
      <c r="AX283" s="24" t="n">
        <f aca="false">AX282+IF(AND(C283&lt;&gt;"",OR(F283="LOC - INITIAL",F283="CONSOLIDATION - UPFRONT COMM",F283="REVERSE - TOTAL FUNDING")),1,0)</f>
        <v>0</v>
      </c>
    </row>
    <row r="284" customFormat="false" ht="15" hidden="false" customHeight="false" outlineLevel="0" collapsed="false">
      <c r="A284" s="8" t="str">
        <f aca="false">IF(C284&lt;&gt;"","F"&amp;COUNT($C$4:C284),"")</f>
        <v/>
      </c>
      <c r="B284" s="9" t="str">
        <f aca="false">IF(OR(F284="LOC - INITIAL",F284="CONSOLIDATION - UPFRONT COMM",F284="REVERSE - TOTAL FUNDING"),A284,"")</f>
        <v/>
      </c>
      <c r="C284" s="10"/>
      <c r="D284" s="11"/>
      <c r="E284" s="11"/>
      <c r="F284" s="11"/>
      <c r="G284" s="12"/>
      <c r="H284" s="13"/>
      <c r="I284" s="11"/>
      <c r="J284" s="14" t="str">
        <f aca="false">IF(AND(G284&lt;&gt;"",H284&lt;&gt;""),G284*H284,"")</f>
        <v/>
      </c>
      <c r="K284" s="11"/>
      <c r="L284" s="15"/>
      <c r="M284" s="15"/>
      <c r="N284" s="14" t="n">
        <f aca="false">IF(OR(G284="",M284=""),0,IF(M284&gt;100,M284,G284*IF(M284&gt;1,M284/100,M284)))</f>
        <v>0</v>
      </c>
      <c r="O284" s="14" t="str">
        <f aca="false">IF(G284="","",G284*IF(L284="",0,IF(L284&gt;1,L284/100,L284))+N284)</f>
        <v/>
      </c>
      <c r="P284" s="11"/>
      <c r="Q284" s="16" t="str">
        <f aca="false">IF(P284="","",IFERROR(VLOOKUP(P284,PARTNERS!$A$2:$B$30,2,0),""))</f>
        <v/>
      </c>
      <c r="R284" s="17" t="str">
        <f aca="false">IF(O284="","",IF(OR(P284="",Q284=""),0,(O284-N284)*IF(Q284&gt;1,Q284/100,Q284)))</f>
        <v/>
      </c>
      <c r="S284" s="14" t="str">
        <f aca="false">IF(O284="","",O284-R284)</f>
        <v/>
      </c>
      <c r="T284" s="11"/>
      <c r="U284" s="18" t="str">
        <f aca="false">IF(T284="","",IFERROR(VLOOKUP(T284,REPS!$A$2:$D$40,2,0),""))</f>
        <v/>
      </c>
      <c r="V284" s="14" t="str">
        <f aca="false">IF(O284="","",IF(U284="",0,O284*IF(U284&gt;1,U284/100,U284)))</f>
        <v/>
      </c>
      <c r="W284" s="11"/>
      <c r="X284" s="18" t="str">
        <f aca="false">IF(W284="","",IFERROR(VLOOKUP(W284,REPS!$A$2:$D$40,3,0),""))</f>
        <v/>
      </c>
      <c r="Y284" s="14" t="str">
        <f aca="false">IF(O284="","",IF(X284="",0,O284*IF(X284&gt;1,X284/100,X284)))</f>
        <v/>
      </c>
      <c r="Z284" s="11"/>
      <c r="AA284" s="18" t="str">
        <f aca="false">IF(Z284="","",IFERROR(VLOOKUP(Z284,REPS!$A$2:$D$40,4,0),""))</f>
        <v/>
      </c>
      <c r="AB284" s="14" t="str">
        <f aca="false">IF(O284="","",IF(AA284="",0,O284*IF(AA284&gt;1,AA284/100,AA284)))</f>
        <v/>
      </c>
      <c r="AC284" s="14" t="str">
        <f aca="false">IF(O284="","",V284+Y284+AB284)</f>
        <v/>
      </c>
      <c r="AD284" s="19" t="str">
        <f aca="false">IF(O284="","",O284-R284-AC284)</f>
        <v/>
      </c>
      <c r="AE284" s="20"/>
      <c r="AF284" s="10"/>
      <c r="AG284" s="21" t="n">
        <f aca="false">IF(OR(AE284="",AE284=0),0,AE284*IF(U284="",0,IF(U284&gt;1,U284/100,U284)))</f>
        <v>0</v>
      </c>
      <c r="AH284" s="21" t="n">
        <f aca="false">IF(OR(AE284="",AE284=0),0,AE284*IF(X284="",0,IF(X284&gt;1,X284/100,X284)))</f>
        <v>0</v>
      </c>
      <c r="AI284" s="21" t="n">
        <f aca="false">IF(OR(AE284="",AE284=0),0,AE284*IF(AA284="",0,IF(AA284&gt;1,AA284/100,AA284)))</f>
        <v>0</v>
      </c>
      <c r="AJ284" s="21" t="n">
        <f aca="false">AG284+AH284+AI284</f>
        <v>0</v>
      </c>
      <c r="AK284" s="21" t="n">
        <f aca="false">IF(OR(AE284="",AE284=0),0,AE284-AJ284)</f>
        <v>0</v>
      </c>
      <c r="AL284" s="19" t="str">
        <f aca="false">IF(AD284="","",AD284-AK284)</f>
        <v/>
      </c>
      <c r="AM284" s="9" t="str">
        <f aca="false">IF(C284="","","Waiting for payment")</f>
        <v/>
      </c>
      <c r="AN284" s="10"/>
      <c r="AO284" s="10"/>
      <c r="AP284" s="22" t="str">
        <f aca="false">IF(OR(C284="",I284="",K284=""),"",IF(K284="Monthly",EDATE(C284,ROUND(I284*SETTINGS!$I$8,0)),WORKDAY(C284,ROUND(I284*SETTINGS!$I$8,0))))</f>
        <v/>
      </c>
      <c r="AQ284" s="9" t="str">
        <f aca="true">IF(C284="","",IF(AND(AP284&lt;&gt;"",TODAY()&gt;=AP284),"Refi Ready",IF(TODAY()-C284&gt;=SETTINGS!$I$11,"Prospecting","Performing")))</f>
        <v/>
      </c>
      <c r="AR284" s="22" t="str">
        <f aca="false">IF(OR(C284="",I284="",K284=""),"",IF(K284="Monthly",EDATE(C284,I284),WORKDAY(C284,I284)))</f>
        <v/>
      </c>
      <c r="AS284" s="11"/>
      <c r="AT284" s="23" t="str">
        <f aca="true">IF(C284="","",IF(AM284="Clawed Back","CLAWED",IF(TODAY()&lt;=C284+SETTINGS!$I$2,"⚠ AT RISK","SAFE")))</f>
        <v/>
      </c>
      <c r="AU284" s="11"/>
      <c r="AW284" s="24" t="n">
        <f aca="false">AW283+IF(AND(C284&lt;&gt;"",AO284&lt;&gt;"",OR('REP COMMISSION'!$B$3="",T284='REP COMMISSION'!$B$3,W284='REP COMMISSION'!$B$3,Z284='REP COMMISSION'!$B$3)),1,0)</f>
        <v>0</v>
      </c>
      <c r="AX284" s="24" t="n">
        <f aca="false">AX283+IF(AND(C284&lt;&gt;"",OR(F284="LOC - INITIAL",F284="CONSOLIDATION - UPFRONT COMM",F284="REVERSE - TOTAL FUNDING")),1,0)</f>
        <v>0</v>
      </c>
    </row>
    <row r="285" customFormat="false" ht="15" hidden="false" customHeight="false" outlineLevel="0" collapsed="false">
      <c r="A285" s="25" t="str">
        <f aca="false">IF(C285&lt;&gt;"","F"&amp;COUNT($C$4:C285),"")</f>
        <v/>
      </c>
      <c r="B285" s="26" t="str">
        <f aca="false">IF(OR(F285="LOC - INITIAL",F285="CONSOLIDATION - UPFRONT COMM",F285="REVERSE - TOTAL FUNDING"),A285,"")</f>
        <v/>
      </c>
      <c r="C285" s="27"/>
      <c r="D285" s="28"/>
      <c r="E285" s="28"/>
      <c r="F285" s="28"/>
      <c r="G285" s="29"/>
      <c r="H285" s="30"/>
      <c r="I285" s="28"/>
      <c r="J285" s="31" t="str">
        <f aca="false">IF(AND(G285&lt;&gt;"",H285&lt;&gt;""),G285*H285,"")</f>
        <v/>
      </c>
      <c r="K285" s="28"/>
      <c r="L285" s="32"/>
      <c r="M285" s="32"/>
      <c r="N285" s="31" t="n">
        <f aca="false">IF(OR(G285="",M285=""),0,IF(M285&gt;100,M285,G285*IF(M285&gt;1,M285/100,M285)))</f>
        <v>0</v>
      </c>
      <c r="O285" s="31" t="str">
        <f aca="false">IF(G285="","",G285*IF(L285="",0,IF(L285&gt;1,L285/100,L285))+N285)</f>
        <v/>
      </c>
      <c r="P285" s="28"/>
      <c r="Q285" s="33" t="str">
        <f aca="false">IF(P285="","",IFERROR(VLOOKUP(P285,PARTNERS!$A$2:$B$30,2,0),""))</f>
        <v/>
      </c>
      <c r="R285" s="17" t="str">
        <f aca="false">IF(O285="","",IF(OR(P285="",Q285=""),0,(O285-N285)*IF(Q285&gt;1,Q285/100,Q285)))</f>
        <v/>
      </c>
      <c r="S285" s="31" t="str">
        <f aca="false">IF(O285="","",O285-R285)</f>
        <v/>
      </c>
      <c r="T285" s="28"/>
      <c r="U285" s="34" t="str">
        <f aca="false">IF(T285="","",IFERROR(VLOOKUP(T285,REPS!$A$2:$D$40,2,0),""))</f>
        <v/>
      </c>
      <c r="V285" s="31" t="str">
        <f aca="false">IF(O285="","",IF(U285="",0,O285*IF(U285&gt;1,U285/100,U285)))</f>
        <v/>
      </c>
      <c r="W285" s="28"/>
      <c r="X285" s="34" t="str">
        <f aca="false">IF(W285="","",IFERROR(VLOOKUP(W285,REPS!$A$2:$D$40,3,0),""))</f>
        <v/>
      </c>
      <c r="Y285" s="31" t="str">
        <f aca="false">IF(O285="","",IF(X285="",0,O285*IF(X285&gt;1,X285/100,X285)))</f>
        <v/>
      </c>
      <c r="Z285" s="28"/>
      <c r="AA285" s="34" t="str">
        <f aca="false">IF(Z285="","",IFERROR(VLOOKUP(Z285,REPS!$A$2:$D$40,4,0),""))</f>
        <v/>
      </c>
      <c r="AB285" s="31" t="str">
        <f aca="false">IF(O285="","",IF(AA285="",0,O285*IF(AA285&gt;1,AA285/100,AA285)))</f>
        <v/>
      </c>
      <c r="AC285" s="31" t="str">
        <f aca="false">IF(O285="","",V285+Y285+AB285)</f>
        <v/>
      </c>
      <c r="AD285" s="19" t="str">
        <f aca="false">IF(O285="","",O285-R285-AC285)</f>
        <v/>
      </c>
      <c r="AE285" s="20"/>
      <c r="AF285" s="27"/>
      <c r="AG285" s="21" t="n">
        <f aca="false">IF(OR(AE285="",AE285=0),0,AE285*IF(U285="",0,IF(U285&gt;1,U285/100,U285)))</f>
        <v>0</v>
      </c>
      <c r="AH285" s="21" t="n">
        <f aca="false">IF(OR(AE285="",AE285=0),0,AE285*IF(X285="",0,IF(X285&gt;1,X285/100,X285)))</f>
        <v>0</v>
      </c>
      <c r="AI285" s="21" t="n">
        <f aca="false">IF(OR(AE285="",AE285=0),0,AE285*IF(AA285="",0,IF(AA285&gt;1,AA285/100,AA285)))</f>
        <v>0</v>
      </c>
      <c r="AJ285" s="21" t="n">
        <f aca="false">AG285+AH285+AI285</f>
        <v>0</v>
      </c>
      <c r="AK285" s="21" t="n">
        <f aca="false">IF(OR(AE285="",AE285=0),0,AE285-AJ285)</f>
        <v>0</v>
      </c>
      <c r="AL285" s="19" t="str">
        <f aca="false">IF(AD285="","",AD285-AK285)</f>
        <v/>
      </c>
      <c r="AM285" s="26" t="str">
        <f aca="false">IF(C285="","","Waiting for payment")</f>
        <v/>
      </c>
      <c r="AN285" s="27"/>
      <c r="AO285" s="27"/>
      <c r="AP285" s="35" t="str">
        <f aca="false">IF(OR(C285="",I285="",K285=""),"",IF(K285="Monthly",EDATE(C285,ROUND(I285*SETTINGS!$I$8,0)),WORKDAY(C285,ROUND(I285*SETTINGS!$I$8,0))))</f>
        <v/>
      </c>
      <c r="AQ285" s="26" t="str">
        <f aca="true">IF(C285="","",IF(AND(AP285&lt;&gt;"",TODAY()&gt;=AP285),"Refi Ready",IF(TODAY()-C285&gt;=SETTINGS!$I$11,"Prospecting","Performing")))</f>
        <v/>
      </c>
      <c r="AR285" s="35" t="str">
        <f aca="false">IF(OR(C285="",I285="",K285=""),"",IF(K285="Monthly",EDATE(C285,I285),WORKDAY(C285,I285)))</f>
        <v/>
      </c>
      <c r="AS285" s="28"/>
      <c r="AT285" s="36" t="str">
        <f aca="true">IF(C285="","",IF(AM285="Clawed Back","CLAWED",IF(TODAY()&lt;=C285+SETTINGS!$I$2,"⚠ AT RISK","SAFE")))</f>
        <v/>
      </c>
      <c r="AU285" s="28"/>
      <c r="AW285" s="24" t="n">
        <f aca="false">AW284+IF(AND(C285&lt;&gt;"",AO285&lt;&gt;"",OR('REP COMMISSION'!$B$3="",T285='REP COMMISSION'!$B$3,W285='REP COMMISSION'!$B$3,Z285='REP COMMISSION'!$B$3)),1,0)</f>
        <v>0</v>
      </c>
      <c r="AX285" s="24" t="n">
        <f aca="false">AX284+IF(AND(C285&lt;&gt;"",OR(F285="LOC - INITIAL",F285="CONSOLIDATION - UPFRONT COMM",F285="REVERSE - TOTAL FUNDING")),1,0)</f>
        <v>0</v>
      </c>
    </row>
    <row r="286" customFormat="false" ht="15" hidden="false" customHeight="false" outlineLevel="0" collapsed="false">
      <c r="A286" s="8" t="str">
        <f aca="false">IF(C286&lt;&gt;"","F"&amp;COUNT($C$4:C286),"")</f>
        <v/>
      </c>
      <c r="B286" s="9" t="str">
        <f aca="false">IF(OR(F286="LOC - INITIAL",F286="CONSOLIDATION - UPFRONT COMM",F286="REVERSE - TOTAL FUNDING"),A286,"")</f>
        <v/>
      </c>
      <c r="C286" s="10"/>
      <c r="D286" s="11"/>
      <c r="E286" s="11"/>
      <c r="F286" s="11"/>
      <c r="G286" s="12"/>
      <c r="H286" s="13"/>
      <c r="I286" s="11"/>
      <c r="J286" s="14" t="str">
        <f aca="false">IF(AND(G286&lt;&gt;"",H286&lt;&gt;""),G286*H286,"")</f>
        <v/>
      </c>
      <c r="K286" s="11"/>
      <c r="L286" s="15"/>
      <c r="M286" s="15"/>
      <c r="N286" s="14" t="n">
        <f aca="false">IF(OR(G286="",M286=""),0,IF(M286&gt;100,M286,G286*IF(M286&gt;1,M286/100,M286)))</f>
        <v>0</v>
      </c>
      <c r="O286" s="14" t="str">
        <f aca="false">IF(G286="","",G286*IF(L286="",0,IF(L286&gt;1,L286/100,L286))+N286)</f>
        <v/>
      </c>
      <c r="P286" s="11"/>
      <c r="Q286" s="16" t="str">
        <f aca="false">IF(P286="","",IFERROR(VLOOKUP(P286,PARTNERS!$A$2:$B$30,2,0),""))</f>
        <v/>
      </c>
      <c r="R286" s="17" t="str">
        <f aca="false">IF(O286="","",IF(OR(P286="",Q286=""),0,(O286-N286)*IF(Q286&gt;1,Q286/100,Q286)))</f>
        <v/>
      </c>
      <c r="S286" s="14" t="str">
        <f aca="false">IF(O286="","",O286-R286)</f>
        <v/>
      </c>
      <c r="T286" s="11"/>
      <c r="U286" s="18" t="str">
        <f aca="false">IF(T286="","",IFERROR(VLOOKUP(T286,REPS!$A$2:$D$40,2,0),""))</f>
        <v/>
      </c>
      <c r="V286" s="14" t="str">
        <f aca="false">IF(O286="","",IF(U286="",0,O286*IF(U286&gt;1,U286/100,U286)))</f>
        <v/>
      </c>
      <c r="W286" s="11"/>
      <c r="X286" s="18" t="str">
        <f aca="false">IF(W286="","",IFERROR(VLOOKUP(W286,REPS!$A$2:$D$40,3,0),""))</f>
        <v/>
      </c>
      <c r="Y286" s="14" t="str">
        <f aca="false">IF(O286="","",IF(X286="",0,O286*IF(X286&gt;1,X286/100,X286)))</f>
        <v/>
      </c>
      <c r="Z286" s="11"/>
      <c r="AA286" s="18" t="str">
        <f aca="false">IF(Z286="","",IFERROR(VLOOKUP(Z286,REPS!$A$2:$D$40,4,0),""))</f>
        <v/>
      </c>
      <c r="AB286" s="14" t="str">
        <f aca="false">IF(O286="","",IF(AA286="",0,O286*IF(AA286&gt;1,AA286/100,AA286)))</f>
        <v/>
      </c>
      <c r="AC286" s="14" t="str">
        <f aca="false">IF(O286="","",V286+Y286+AB286)</f>
        <v/>
      </c>
      <c r="AD286" s="19" t="str">
        <f aca="false">IF(O286="","",O286-R286-AC286)</f>
        <v/>
      </c>
      <c r="AE286" s="20"/>
      <c r="AF286" s="10"/>
      <c r="AG286" s="21" t="n">
        <f aca="false">IF(OR(AE286="",AE286=0),0,AE286*IF(U286="",0,IF(U286&gt;1,U286/100,U286)))</f>
        <v>0</v>
      </c>
      <c r="AH286" s="21" t="n">
        <f aca="false">IF(OR(AE286="",AE286=0),0,AE286*IF(X286="",0,IF(X286&gt;1,X286/100,X286)))</f>
        <v>0</v>
      </c>
      <c r="AI286" s="21" t="n">
        <f aca="false">IF(OR(AE286="",AE286=0),0,AE286*IF(AA286="",0,IF(AA286&gt;1,AA286/100,AA286)))</f>
        <v>0</v>
      </c>
      <c r="AJ286" s="21" t="n">
        <f aca="false">AG286+AH286+AI286</f>
        <v>0</v>
      </c>
      <c r="AK286" s="21" t="n">
        <f aca="false">IF(OR(AE286="",AE286=0),0,AE286-AJ286)</f>
        <v>0</v>
      </c>
      <c r="AL286" s="19" t="str">
        <f aca="false">IF(AD286="","",AD286-AK286)</f>
        <v/>
      </c>
      <c r="AM286" s="9" t="str">
        <f aca="false">IF(C286="","","Waiting for payment")</f>
        <v/>
      </c>
      <c r="AN286" s="10"/>
      <c r="AO286" s="10"/>
      <c r="AP286" s="22" t="str">
        <f aca="false">IF(OR(C286="",I286="",K286=""),"",IF(K286="Monthly",EDATE(C286,ROUND(I286*SETTINGS!$I$8,0)),WORKDAY(C286,ROUND(I286*SETTINGS!$I$8,0))))</f>
        <v/>
      </c>
      <c r="AQ286" s="9" t="str">
        <f aca="true">IF(C286="","",IF(AND(AP286&lt;&gt;"",TODAY()&gt;=AP286),"Refi Ready",IF(TODAY()-C286&gt;=SETTINGS!$I$11,"Prospecting","Performing")))</f>
        <v/>
      </c>
      <c r="AR286" s="22" t="str">
        <f aca="false">IF(OR(C286="",I286="",K286=""),"",IF(K286="Monthly",EDATE(C286,I286),WORKDAY(C286,I286)))</f>
        <v/>
      </c>
      <c r="AS286" s="11"/>
      <c r="AT286" s="23" t="str">
        <f aca="true">IF(C286="","",IF(AM286="Clawed Back","CLAWED",IF(TODAY()&lt;=C286+SETTINGS!$I$2,"⚠ AT RISK","SAFE")))</f>
        <v/>
      </c>
      <c r="AU286" s="11"/>
      <c r="AW286" s="24" t="n">
        <f aca="false">AW285+IF(AND(C286&lt;&gt;"",AO286&lt;&gt;"",OR('REP COMMISSION'!$B$3="",T286='REP COMMISSION'!$B$3,W286='REP COMMISSION'!$B$3,Z286='REP COMMISSION'!$B$3)),1,0)</f>
        <v>0</v>
      </c>
      <c r="AX286" s="24" t="n">
        <f aca="false">AX285+IF(AND(C286&lt;&gt;"",OR(F286="LOC - INITIAL",F286="CONSOLIDATION - UPFRONT COMM",F286="REVERSE - TOTAL FUNDING")),1,0)</f>
        <v>0</v>
      </c>
    </row>
    <row r="287" customFormat="false" ht="15" hidden="false" customHeight="false" outlineLevel="0" collapsed="false">
      <c r="A287" s="25" t="str">
        <f aca="false">IF(C287&lt;&gt;"","F"&amp;COUNT($C$4:C287),"")</f>
        <v/>
      </c>
      <c r="B287" s="26" t="str">
        <f aca="false">IF(OR(F287="LOC - INITIAL",F287="CONSOLIDATION - UPFRONT COMM",F287="REVERSE - TOTAL FUNDING"),A287,"")</f>
        <v/>
      </c>
      <c r="C287" s="27"/>
      <c r="D287" s="28"/>
      <c r="E287" s="28"/>
      <c r="F287" s="28"/>
      <c r="G287" s="29"/>
      <c r="H287" s="30"/>
      <c r="I287" s="28"/>
      <c r="J287" s="31" t="str">
        <f aca="false">IF(AND(G287&lt;&gt;"",H287&lt;&gt;""),G287*H287,"")</f>
        <v/>
      </c>
      <c r="K287" s="28"/>
      <c r="L287" s="32"/>
      <c r="M287" s="32"/>
      <c r="N287" s="31" t="n">
        <f aca="false">IF(OR(G287="",M287=""),0,IF(M287&gt;100,M287,G287*IF(M287&gt;1,M287/100,M287)))</f>
        <v>0</v>
      </c>
      <c r="O287" s="31" t="str">
        <f aca="false">IF(G287="","",G287*IF(L287="",0,IF(L287&gt;1,L287/100,L287))+N287)</f>
        <v/>
      </c>
      <c r="P287" s="28"/>
      <c r="Q287" s="33" t="str">
        <f aca="false">IF(P287="","",IFERROR(VLOOKUP(P287,PARTNERS!$A$2:$B$30,2,0),""))</f>
        <v/>
      </c>
      <c r="R287" s="17" t="str">
        <f aca="false">IF(O287="","",IF(OR(P287="",Q287=""),0,(O287-N287)*IF(Q287&gt;1,Q287/100,Q287)))</f>
        <v/>
      </c>
      <c r="S287" s="31" t="str">
        <f aca="false">IF(O287="","",O287-R287)</f>
        <v/>
      </c>
      <c r="T287" s="28"/>
      <c r="U287" s="34" t="str">
        <f aca="false">IF(T287="","",IFERROR(VLOOKUP(T287,REPS!$A$2:$D$40,2,0),""))</f>
        <v/>
      </c>
      <c r="V287" s="31" t="str">
        <f aca="false">IF(O287="","",IF(U287="",0,O287*IF(U287&gt;1,U287/100,U287)))</f>
        <v/>
      </c>
      <c r="W287" s="28"/>
      <c r="X287" s="34" t="str">
        <f aca="false">IF(W287="","",IFERROR(VLOOKUP(W287,REPS!$A$2:$D$40,3,0),""))</f>
        <v/>
      </c>
      <c r="Y287" s="31" t="str">
        <f aca="false">IF(O287="","",IF(X287="",0,O287*IF(X287&gt;1,X287/100,X287)))</f>
        <v/>
      </c>
      <c r="Z287" s="28"/>
      <c r="AA287" s="34" t="str">
        <f aca="false">IF(Z287="","",IFERROR(VLOOKUP(Z287,REPS!$A$2:$D$40,4,0),""))</f>
        <v/>
      </c>
      <c r="AB287" s="31" t="str">
        <f aca="false">IF(O287="","",IF(AA287="",0,O287*IF(AA287&gt;1,AA287/100,AA287)))</f>
        <v/>
      </c>
      <c r="AC287" s="31" t="str">
        <f aca="false">IF(O287="","",V287+Y287+AB287)</f>
        <v/>
      </c>
      <c r="AD287" s="19" t="str">
        <f aca="false">IF(O287="","",O287-R287-AC287)</f>
        <v/>
      </c>
      <c r="AE287" s="20"/>
      <c r="AF287" s="27"/>
      <c r="AG287" s="21" t="n">
        <f aca="false">IF(OR(AE287="",AE287=0),0,AE287*IF(U287="",0,IF(U287&gt;1,U287/100,U287)))</f>
        <v>0</v>
      </c>
      <c r="AH287" s="21" t="n">
        <f aca="false">IF(OR(AE287="",AE287=0),0,AE287*IF(X287="",0,IF(X287&gt;1,X287/100,X287)))</f>
        <v>0</v>
      </c>
      <c r="AI287" s="21" t="n">
        <f aca="false">IF(OR(AE287="",AE287=0),0,AE287*IF(AA287="",0,IF(AA287&gt;1,AA287/100,AA287)))</f>
        <v>0</v>
      </c>
      <c r="AJ287" s="21" t="n">
        <f aca="false">AG287+AH287+AI287</f>
        <v>0</v>
      </c>
      <c r="AK287" s="21" t="n">
        <f aca="false">IF(OR(AE287="",AE287=0),0,AE287-AJ287)</f>
        <v>0</v>
      </c>
      <c r="AL287" s="19" t="str">
        <f aca="false">IF(AD287="","",AD287-AK287)</f>
        <v/>
      </c>
      <c r="AM287" s="26" t="str">
        <f aca="false">IF(C287="","","Waiting for payment")</f>
        <v/>
      </c>
      <c r="AN287" s="27"/>
      <c r="AO287" s="27"/>
      <c r="AP287" s="35" t="str">
        <f aca="false">IF(OR(C287="",I287="",K287=""),"",IF(K287="Monthly",EDATE(C287,ROUND(I287*SETTINGS!$I$8,0)),WORKDAY(C287,ROUND(I287*SETTINGS!$I$8,0))))</f>
        <v/>
      </c>
      <c r="AQ287" s="26" t="str">
        <f aca="true">IF(C287="","",IF(AND(AP287&lt;&gt;"",TODAY()&gt;=AP287),"Refi Ready",IF(TODAY()-C287&gt;=SETTINGS!$I$11,"Prospecting","Performing")))</f>
        <v/>
      </c>
      <c r="AR287" s="35" t="str">
        <f aca="false">IF(OR(C287="",I287="",K287=""),"",IF(K287="Monthly",EDATE(C287,I287),WORKDAY(C287,I287)))</f>
        <v/>
      </c>
      <c r="AS287" s="28"/>
      <c r="AT287" s="36" t="str">
        <f aca="true">IF(C287="","",IF(AM287="Clawed Back","CLAWED",IF(TODAY()&lt;=C287+SETTINGS!$I$2,"⚠ AT RISK","SAFE")))</f>
        <v/>
      </c>
      <c r="AU287" s="28"/>
      <c r="AW287" s="24" t="n">
        <f aca="false">AW286+IF(AND(C287&lt;&gt;"",AO287&lt;&gt;"",OR('REP COMMISSION'!$B$3="",T287='REP COMMISSION'!$B$3,W287='REP COMMISSION'!$B$3,Z287='REP COMMISSION'!$B$3)),1,0)</f>
        <v>0</v>
      </c>
      <c r="AX287" s="24" t="n">
        <f aca="false">AX286+IF(AND(C287&lt;&gt;"",OR(F287="LOC - INITIAL",F287="CONSOLIDATION - UPFRONT COMM",F287="REVERSE - TOTAL FUNDING")),1,0)</f>
        <v>0</v>
      </c>
    </row>
    <row r="288" customFormat="false" ht="15" hidden="false" customHeight="false" outlineLevel="0" collapsed="false">
      <c r="A288" s="8" t="str">
        <f aca="false">IF(C288&lt;&gt;"","F"&amp;COUNT($C$4:C288),"")</f>
        <v/>
      </c>
      <c r="B288" s="9" t="str">
        <f aca="false">IF(OR(F288="LOC - INITIAL",F288="CONSOLIDATION - UPFRONT COMM",F288="REVERSE - TOTAL FUNDING"),A288,"")</f>
        <v/>
      </c>
      <c r="C288" s="10"/>
      <c r="D288" s="11"/>
      <c r="E288" s="11"/>
      <c r="F288" s="11"/>
      <c r="G288" s="12"/>
      <c r="H288" s="13"/>
      <c r="I288" s="11"/>
      <c r="J288" s="14" t="str">
        <f aca="false">IF(AND(G288&lt;&gt;"",H288&lt;&gt;""),G288*H288,"")</f>
        <v/>
      </c>
      <c r="K288" s="11"/>
      <c r="L288" s="15"/>
      <c r="M288" s="15"/>
      <c r="N288" s="14" t="n">
        <f aca="false">IF(OR(G288="",M288=""),0,IF(M288&gt;100,M288,G288*IF(M288&gt;1,M288/100,M288)))</f>
        <v>0</v>
      </c>
      <c r="O288" s="14" t="str">
        <f aca="false">IF(G288="","",G288*IF(L288="",0,IF(L288&gt;1,L288/100,L288))+N288)</f>
        <v/>
      </c>
      <c r="P288" s="11"/>
      <c r="Q288" s="16" t="str">
        <f aca="false">IF(P288="","",IFERROR(VLOOKUP(P288,PARTNERS!$A$2:$B$30,2,0),""))</f>
        <v/>
      </c>
      <c r="R288" s="17" t="str">
        <f aca="false">IF(O288="","",IF(OR(P288="",Q288=""),0,(O288-N288)*IF(Q288&gt;1,Q288/100,Q288)))</f>
        <v/>
      </c>
      <c r="S288" s="14" t="str">
        <f aca="false">IF(O288="","",O288-R288)</f>
        <v/>
      </c>
      <c r="T288" s="11"/>
      <c r="U288" s="18" t="str">
        <f aca="false">IF(T288="","",IFERROR(VLOOKUP(T288,REPS!$A$2:$D$40,2,0),""))</f>
        <v/>
      </c>
      <c r="V288" s="14" t="str">
        <f aca="false">IF(O288="","",IF(U288="",0,O288*IF(U288&gt;1,U288/100,U288)))</f>
        <v/>
      </c>
      <c r="W288" s="11"/>
      <c r="X288" s="18" t="str">
        <f aca="false">IF(W288="","",IFERROR(VLOOKUP(W288,REPS!$A$2:$D$40,3,0),""))</f>
        <v/>
      </c>
      <c r="Y288" s="14" t="str">
        <f aca="false">IF(O288="","",IF(X288="",0,O288*IF(X288&gt;1,X288/100,X288)))</f>
        <v/>
      </c>
      <c r="Z288" s="11"/>
      <c r="AA288" s="18" t="str">
        <f aca="false">IF(Z288="","",IFERROR(VLOOKUP(Z288,REPS!$A$2:$D$40,4,0),""))</f>
        <v/>
      </c>
      <c r="AB288" s="14" t="str">
        <f aca="false">IF(O288="","",IF(AA288="",0,O288*IF(AA288&gt;1,AA288/100,AA288)))</f>
        <v/>
      </c>
      <c r="AC288" s="14" t="str">
        <f aca="false">IF(O288="","",V288+Y288+AB288)</f>
        <v/>
      </c>
      <c r="AD288" s="19" t="str">
        <f aca="false">IF(O288="","",O288-R288-AC288)</f>
        <v/>
      </c>
      <c r="AE288" s="20"/>
      <c r="AF288" s="10"/>
      <c r="AG288" s="21" t="n">
        <f aca="false">IF(OR(AE288="",AE288=0),0,AE288*IF(U288="",0,IF(U288&gt;1,U288/100,U288)))</f>
        <v>0</v>
      </c>
      <c r="AH288" s="21" t="n">
        <f aca="false">IF(OR(AE288="",AE288=0),0,AE288*IF(X288="",0,IF(X288&gt;1,X288/100,X288)))</f>
        <v>0</v>
      </c>
      <c r="AI288" s="21" t="n">
        <f aca="false">IF(OR(AE288="",AE288=0),0,AE288*IF(AA288="",0,IF(AA288&gt;1,AA288/100,AA288)))</f>
        <v>0</v>
      </c>
      <c r="AJ288" s="21" t="n">
        <f aca="false">AG288+AH288+AI288</f>
        <v>0</v>
      </c>
      <c r="AK288" s="21" t="n">
        <f aca="false">IF(OR(AE288="",AE288=0),0,AE288-AJ288)</f>
        <v>0</v>
      </c>
      <c r="AL288" s="19" t="str">
        <f aca="false">IF(AD288="","",AD288-AK288)</f>
        <v/>
      </c>
      <c r="AM288" s="9" t="str">
        <f aca="false">IF(C288="","","Waiting for payment")</f>
        <v/>
      </c>
      <c r="AN288" s="10"/>
      <c r="AO288" s="10"/>
      <c r="AP288" s="22" t="str">
        <f aca="false">IF(OR(C288="",I288="",K288=""),"",IF(K288="Monthly",EDATE(C288,ROUND(I288*SETTINGS!$I$8,0)),WORKDAY(C288,ROUND(I288*SETTINGS!$I$8,0))))</f>
        <v/>
      </c>
      <c r="AQ288" s="9" t="str">
        <f aca="true">IF(C288="","",IF(AND(AP288&lt;&gt;"",TODAY()&gt;=AP288),"Refi Ready",IF(TODAY()-C288&gt;=SETTINGS!$I$11,"Prospecting","Performing")))</f>
        <v/>
      </c>
      <c r="AR288" s="22" t="str">
        <f aca="false">IF(OR(C288="",I288="",K288=""),"",IF(K288="Monthly",EDATE(C288,I288),WORKDAY(C288,I288)))</f>
        <v/>
      </c>
      <c r="AS288" s="11"/>
      <c r="AT288" s="23" t="str">
        <f aca="true">IF(C288="","",IF(AM288="Clawed Back","CLAWED",IF(TODAY()&lt;=C288+SETTINGS!$I$2,"⚠ AT RISK","SAFE")))</f>
        <v/>
      </c>
      <c r="AU288" s="11"/>
      <c r="AW288" s="24" t="n">
        <f aca="false">AW287+IF(AND(C288&lt;&gt;"",AO288&lt;&gt;"",OR('REP COMMISSION'!$B$3="",T288='REP COMMISSION'!$B$3,W288='REP COMMISSION'!$B$3,Z288='REP COMMISSION'!$B$3)),1,0)</f>
        <v>0</v>
      </c>
      <c r="AX288" s="24" t="n">
        <f aca="false">AX287+IF(AND(C288&lt;&gt;"",OR(F288="LOC - INITIAL",F288="CONSOLIDATION - UPFRONT COMM",F288="REVERSE - TOTAL FUNDING")),1,0)</f>
        <v>0</v>
      </c>
    </row>
    <row r="289" customFormat="false" ht="15" hidden="false" customHeight="false" outlineLevel="0" collapsed="false">
      <c r="A289" s="25" t="str">
        <f aca="false">IF(C289&lt;&gt;"","F"&amp;COUNT($C$4:C289),"")</f>
        <v/>
      </c>
      <c r="B289" s="26" t="str">
        <f aca="false">IF(OR(F289="LOC - INITIAL",F289="CONSOLIDATION - UPFRONT COMM",F289="REVERSE - TOTAL FUNDING"),A289,"")</f>
        <v/>
      </c>
      <c r="C289" s="27"/>
      <c r="D289" s="28"/>
      <c r="E289" s="28"/>
      <c r="F289" s="28"/>
      <c r="G289" s="29"/>
      <c r="H289" s="30"/>
      <c r="I289" s="28"/>
      <c r="J289" s="31" t="str">
        <f aca="false">IF(AND(G289&lt;&gt;"",H289&lt;&gt;""),G289*H289,"")</f>
        <v/>
      </c>
      <c r="K289" s="28"/>
      <c r="L289" s="32"/>
      <c r="M289" s="32"/>
      <c r="N289" s="31" t="n">
        <f aca="false">IF(OR(G289="",M289=""),0,IF(M289&gt;100,M289,G289*IF(M289&gt;1,M289/100,M289)))</f>
        <v>0</v>
      </c>
      <c r="O289" s="31" t="str">
        <f aca="false">IF(G289="","",G289*IF(L289="",0,IF(L289&gt;1,L289/100,L289))+N289)</f>
        <v/>
      </c>
      <c r="P289" s="28"/>
      <c r="Q289" s="33" t="str">
        <f aca="false">IF(P289="","",IFERROR(VLOOKUP(P289,PARTNERS!$A$2:$B$30,2,0),""))</f>
        <v/>
      </c>
      <c r="R289" s="17" t="str">
        <f aca="false">IF(O289="","",IF(OR(P289="",Q289=""),0,(O289-N289)*IF(Q289&gt;1,Q289/100,Q289)))</f>
        <v/>
      </c>
      <c r="S289" s="31" t="str">
        <f aca="false">IF(O289="","",O289-R289)</f>
        <v/>
      </c>
      <c r="T289" s="28"/>
      <c r="U289" s="34" t="str">
        <f aca="false">IF(T289="","",IFERROR(VLOOKUP(T289,REPS!$A$2:$D$40,2,0),""))</f>
        <v/>
      </c>
      <c r="V289" s="31" t="str">
        <f aca="false">IF(O289="","",IF(U289="",0,O289*IF(U289&gt;1,U289/100,U289)))</f>
        <v/>
      </c>
      <c r="W289" s="28"/>
      <c r="X289" s="34" t="str">
        <f aca="false">IF(W289="","",IFERROR(VLOOKUP(W289,REPS!$A$2:$D$40,3,0),""))</f>
        <v/>
      </c>
      <c r="Y289" s="31" t="str">
        <f aca="false">IF(O289="","",IF(X289="",0,O289*IF(X289&gt;1,X289/100,X289)))</f>
        <v/>
      </c>
      <c r="Z289" s="28"/>
      <c r="AA289" s="34" t="str">
        <f aca="false">IF(Z289="","",IFERROR(VLOOKUP(Z289,REPS!$A$2:$D$40,4,0),""))</f>
        <v/>
      </c>
      <c r="AB289" s="31" t="str">
        <f aca="false">IF(O289="","",IF(AA289="",0,O289*IF(AA289&gt;1,AA289/100,AA289)))</f>
        <v/>
      </c>
      <c r="AC289" s="31" t="str">
        <f aca="false">IF(O289="","",V289+Y289+AB289)</f>
        <v/>
      </c>
      <c r="AD289" s="19" t="str">
        <f aca="false">IF(O289="","",O289-R289-AC289)</f>
        <v/>
      </c>
      <c r="AE289" s="20"/>
      <c r="AF289" s="27"/>
      <c r="AG289" s="21" t="n">
        <f aca="false">IF(OR(AE289="",AE289=0),0,AE289*IF(U289="",0,IF(U289&gt;1,U289/100,U289)))</f>
        <v>0</v>
      </c>
      <c r="AH289" s="21" t="n">
        <f aca="false">IF(OR(AE289="",AE289=0),0,AE289*IF(X289="",0,IF(X289&gt;1,X289/100,X289)))</f>
        <v>0</v>
      </c>
      <c r="AI289" s="21" t="n">
        <f aca="false">IF(OR(AE289="",AE289=0),0,AE289*IF(AA289="",0,IF(AA289&gt;1,AA289/100,AA289)))</f>
        <v>0</v>
      </c>
      <c r="AJ289" s="21" t="n">
        <f aca="false">AG289+AH289+AI289</f>
        <v>0</v>
      </c>
      <c r="AK289" s="21" t="n">
        <f aca="false">IF(OR(AE289="",AE289=0),0,AE289-AJ289)</f>
        <v>0</v>
      </c>
      <c r="AL289" s="19" t="str">
        <f aca="false">IF(AD289="","",AD289-AK289)</f>
        <v/>
      </c>
      <c r="AM289" s="26" t="str">
        <f aca="false">IF(C289="","","Waiting for payment")</f>
        <v/>
      </c>
      <c r="AN289" s="27"/>
      <c r="AO289" s="27"/>
      <c r="AP289" s="35" t="str">
        <f aca="false">IF(OR(C289="",I289="",K289=""),"",IF(K289="Monthly",EDATE(C289,ROUND(I289*SETTINGS!$I$8,0)),WORKDAY(C289,ROUND(I289*SETTINGS!$I$8,0))))</f>
        <v/>
      </c>
      <c r="AQ289" s="26" t="str">
        <f aca="true">IF(C289="","",IF(AND(AP289&lt;&gt;"",TODAY()&gt;=AP289),"Refi Ready",IF(TODAY()-C289&gt;=SETTINGS!$I$11,"Prospecting","Performing")))</f>
        <v/>
      </c>
      <c r="AR289" s="35" t="str">
        <f aca="false">IF(OR(C289="",I289="",K289=""),"",IF(K289="Monthly",EDATE(C289,I289),WORKDAY(C289,I289)))</f>
        <v/>
      </c>
      <c r="AS289" s="28"/>
      <c r="AT289" s="36" t="str">
        <f aca="true">IF(C289="","",IF(AM289="Clawed Back","CLAWED",IF(TODAY()&lt;=C289+SETTINGS!$I$2,"⚠ AT RISK","SAFE")))</f>
        <v/>
      </c>
      <c r="AU289" s="28"/>
      <c r="AW289" s="24" t="n">
        <f aca="false">AW288+IF(AND(C289&lt;&gt;"",AO289&lt;&gt;"",OR('REP COMMISSION'!$B$3="",T289='REP COMMISSION'!$B$3,W289='REP COMMISSION'!$B$3,Z289='REP COMMISSION'!$B$3)),1,0)</f>
        <v>0</v>
      </c>
      <c r="AX289" s="24" t="n">
        <f aca="false">AX288+IF(AND(C289&lt;&gt;"",OR(F289="LOC - INITIAL",F289="CONSOLIDATION - UPFRONT COMM",F289="REVERSE - TOTAL FUNDING")),1,0)</f>
        <v>0</v>
      </c>
    </row>
    <row r="290" customFormat="false" ht="15" hidden="false" customHeight="false" outlineLevel="0" collapsed="false">
      <c r="A290" s="8" t="str">
        <f aca="false">IF(C290&lt;&gt;"","F"&amp;COUNT($C$4:C290),"")</f>
        <v/>
      </c>
      <c r="B290" s="9" t="str">
        <f aca="false">IF(OR(F290="LOC - INITIAL",F290="CONSOLIDATION - UPFRONT COMM",F290="REVERSE - TOTAL FUNDING"),A290,"")</f>
        <v/>
      </c>
      <c r="C290" s="10"/>
      <c r="D290" s="11"/>
      <c r="E290" s="11"/>
      <c r="F290" s="11"/>
      <c r="G290" s="12"/>
      <c r="H290" s="13"/>
      <c r="I290" s="11"/>
      <c r="J290" s="14" t="str">
        <f aca="false">IF(AND(G290&lt;&gt;"",H290&lt;&gt;""),G290*H290,"")</f>
        <v/>
      </c>
      <c r="K290" s="11"/>
      <c r="L290" s="15"/>
      <c r="M290" s="15"/>
      <c r="N290" s="14" t="n">
        <f aca="false">IF(OR(G290="",M290=""),0,IF(M290&gt;100,M290,G290*IF(M290&gt;1,M290/100,M290)))</f>
        <v>0</v>
      </c>
      <c r="O290" s="14" t="str">
        <f aca="false">IF(G290="","",G290*IF(L290="",0,IF(L290&gt;1,L290/100,L290))+N290)</f>
        <v/>
      </c>
      <c r="P290" s="11"/>
      <c r="Q290" s="16" t="str">
        <f aca="false">IF(P290="","",IFERROR(VLOOKUP(P290,PARTNERS!$A$2:$B$30,2,0),""))</f>
        <v/>
      </c>
      <c r="R290" s="17" t="str">
        <f aca="false">IF(O290="","",IF(OR(P290="",Q290=""),0,(O290-N290)*IF(Q290&gt;1,Q290/100,Q290)))</f>
        <v/>
      </c>
      <c r="S290" s="14" t="str">
        <f aca="false">IF(O290="","",O290-R290)</f>
        <v/>
      </c>
      <c r="T290" s="11"/>
      <c r="U290" s="18" t="str">
        <f aca="false">IF(T290="","",IFERROR(VLOOKUP(T290,REPS!$A$2:$D$40,2,0),""))</f>
        <v/>
      </c>
      <c r="V290" s="14" t="str">
        <f aca="false">IF(O290="","",IF(U290="",0,O290*IF(U290&gt;1,U290/100,U290)))</f>
        <v/>
      </c>
      <c r="W290" s="11"/>
      <c r="X290" s="18" t="str">
        <f aca="false">IF(W290="","",IFERROR(VLOOKUP(W290,REPS!$A$2:$D$40,3,0),""))</f>
        <v/>
      </c>
      <c r="Y290" s="14" t="str">
        <f aca="false">IF(O290="","",IF(X290="",0,O290*IF(X290&gt;1,X290/100,X290)))</f>
        <v/>
      </c>
      <c r="Z290" s="11"/>
      <c r="AA290" s="18" t="str">
        <f aca="false">IF(Z290="","",IFERROR(VLOOKUP(Z290,REPS!$A$2:$D$40,4,0),""))</f>
        <v/>
      </c>
      <c r="AB290" s="14" t="str">
        <f aca="false">IF(O290="","",IF(AA290="",0,O290*IF(AA290&gt;1,AA290/100,AA290)))</f>
        <v/>
      </c>
      <c r="AC290" s="14" t="str">
        <f aca="false">IF(O290="","",V290+Y290+AB290)</f>
        <v/>
      </c>
      <c r="AD290" s="19" t="str">
        <f aca="false">IF(O290="","",O290-R290-AC290)</f>
        <v/>
      </c>
      <c r="AE290" s="20"/>
      <c r="AF290" s="10"/>
      <c r="AG290" s="21" t="n">
        <f aca="false">IF(OR(AE290="",AE290=0),0,AE290*IF(U290="",0,IF(U290&gt;1,U290/100,U290)))</f>
        <v>0</v>
      </c>
      <c r="AH290" s="21" t="n">
        <f aca="false">IF(OR(AE290="",AE290=0),0,AE290*IF(X290="",0,IF(X290&gt;1,X290/100,X290)))</f>
        <v>0</v>
      </c>
      <c r="AI290" s="21" t="n">
        <f aca="false">IF(OR(AE290="",AE290=0),0,AE290*IF(AA290="",0,IF(AA290&gt;1,AA290/100,AA290)))</f>
        <v>0</v>
      </c>
      <c r="AJ290" s="21" t="n">
        <f aca="false">AG290+AH290+AI290</f>
        <v>0</v>
      </c>
      <c r="AK290" s="21" t="n">
        <f aca="false">IF(OR(AE290="",AE290=0),0,AE290-AJ290)</f>
        <v>0</v>
      </c>
      <c r="AL290" s="19" t="str">
        <f aca="false">IF(AD290="","",AD290-AK290)</f>
        <v/>
      </c>
      <c r="AM290" s="9" t="str">
        <f aca="false">IF(C290="","","Waiting for payment")</f>
        <v/>
      </c>
      <c r="AN290" s="10"/>
      <c r="AO290" s="10"/>
      <c r="AP290" s="22" t="str">
        <f aca="false">IF(OR(C290="",I290="",K290=""),"",IF(K290="Monthly",EDATE(C290,ROUND(I290*SETTINGS!$I$8,0)),WORKDAY(C290,ROUND(I290*SETTINGS!$I$8,0))))</f>
        <v/>
      </c>
      <c r="AQ290" s="9" t="str">
        <f aca="true">IF(C290="","",IF(AND(AP290&lt;&gt;"",TODAY()&gt;=AP290),"Refi Ready",IF(TODAY()-C290&gt;=SETTINGS!$I$11,"Prospecting","Performing")))</f>
        <v/>
      </c>
      <c r="AR290" s="22" t="str">
        <f aca="false">IF(OR(C290="",I290="",K290=""),"",IF(K290="Monthly",EDATE(C290,I290),WORKDAY(C290,I290)))</f>
        <v/>
      </c>
      <c r="AS290" s="11"/>
      <c r="AT290" s="23" t="str">
        <f aca="true">IF(C290="","",IF(AM290="Clawed Back","CLAWED",IF(TODAY()&lt;=C290+SETTINGS!$I$2,"⚠ AT RISK","SAFE")))</f>
        <v/>
      </c>
      <c r="AU290" s="11"/>
      <c r="AW290" s="24" t="n">
        <f aca="false">AW289+IF(AND(C290&lt;&gt;"",AO290&lt;&gt;"",OR('REP COMMISSION'!$B$3="",T290='REP COMMISSION'!$B$3,W290='REP COMMISSION'!$B$3,Z290='REP COMMISSION'!$B$3)),1,0)</f>
        <v>0</v>
      </c>
      <c r="AX290" s="24" t="n">
        <f aca="false">AX289+IF(AND(C290&lt;&gt;"",OR(F290="LOC - INITIAL",F290="CONSOLIDATION - UPFRONT COMM",F290="REVERSE - TOTAL FUNDING")),1,0)</f>
        <v>0</v>
      </c>
    </row>
    <row r="291" customFormat="false" ht="15" hidden="false" customHeight="false" outlineLevel="0" collapsed="false">
      <c r="A291" s="25" t="str">
        <f aca="false">IF(C291&lt;&gt;"","F"&amp;COUNT($C$4:C291),"")</f>
        <v/>
      </c>
      <c r="B291" s="26" t="str">
        <f aca="false">IF(OR(F291="LOC - INITIAL",F291="CONSOLIDATION - UPFRONT COMM",F291="REVERSE - TOTAL FUNDING"),A291,"")</f>
        <v/>
      </c>
      <c r="C291" s="27"/>
      <c r="D291" s="28"/>
      <c r="E291" s="28"/>
      <c r="F291" s="28"/>
      <c r="G291" s="29"/>
      <c r="H291" s="30"/>
      <c r="I291" s="28"/>
      <c r="J291" s="31" t="str">
        <f aca="false">IF(AND(G291&lt;&gt;"",H291&lt;&gt;""),G291*H291,"")</f>
        <v/>
      </c>
      <c r="K291" s="28"/>
      <c r="L291" s="32"/>
      <c r="M291" s="32"/>
      <c r="N291" s="31" t="n">
        <f aca="false">IF(OR(G291="",M291=""),0,IF(M291&gt;100,M291,G291*IF(M291&gt;1,M291/100,M291)))</f>
        <v>0</v>
      </c>
      <c r="O291" s="31" t="str">
        <f aca="false">IF(G291="","",G291*IF(L291="",0,IF(L291&gt;1,L291/100,L291))+N291)</f>
        <v/>
      </c>
      <c r="P291" s="28"/>
      <c r="Q291" s="33" t="str">
        <f aca="false">IF(P291="","",IFERROR(VLOOKUP(P291,PARTNERS!$A$2:$B$30,2,0),""))</f>
        <v/>
      </c>
      <c r="R291" s="17" t="str">
        <f aca="false">IF(O291="","",IF(OR(P291="",Q291=""),0,(O291-N291)*IF(Q291&gt;1,Q291/100,Q291)))</f>
        <v/>
      </c>
      <c r="S291" s="31" t="str">
        <f aca="false">IF(O291="","",O291-R291)</f>
        <v/>
      </c>
      <c r="T291" s="28"/>
      <c r="U291" s="34" t="str">
        <f aca="false">IF(T291="","",IFERROR(VLOOKUP(T291,REPS!$A$2:$D$40,2,0),""))</f>
        <v/>
      </c>
      <c r="V291" s="31" t="str">
        <f aca="false">IF(O291="","",IF(U291="",0,O291*IF(U291&gt;1,U291/100,U291)))</f>
        <v/>
      </c>
      <c r="W291" s="28"/>
      <c r="X291" s="34" t="str">
        <f aca="false">IF(W291="","",IFERROR(VLOOKUP(W291,REPS!$A$2:$D$40,3,0),""))</f>
        <v/>
      </c>
      <c r="Y291" s="31" t="str">
        <f aca="false">IF(O291="","",IF(X291="",0,O291*IF(X291&gt;1,X291/100,X291)))</f>
        <v/>
      </c>
      <c r="Z291" s="28"/>
      <c r="AA291" s="34" t="str">
        <f aca="false">IF(Z291="","",IFERROR(VLOOKUP(Z291,REPS!$A$2:$D$40,4,0),""))</f>
        <v/>
      </c>
      <c r="AB291" s="31" t="str">
        <f aca="false">IF(O291="","",IF(AA291="",0,O291*IF(AA291&gt;1,AA291/100,AA291)))</f>
        <v/>
      </c>
      <c r="AC291" s="31" t="str">
        <f aca="false">IF(O291="","",V291+Y291+AB291)</f>
        <v/>
      </c>
      <c r="AD291" s="19" t="str">
        <f aca="false">IF(O291="","",O291-R291-AC291)</f>
        <v/>
      </c>
      <c r="AE291" s="20"/>
      <c r="AF291" s="27"/>
      <c r="AG291" s="21" t="n">
        <f aca="false">IF(OR(AE291="",AE291=0),0,AE291*IF(U291="",0,IF(U291&gt;1,U291/100,U291)))</f>
        <v>0</v>
      </c>
      <c r="AH291" s="21" t="n">
        <f aca="false">IF(OR(AE291="",AE291=0),0,AE291*IF(X291="",0,IF(X291&gt;1,X291/100,X291)))</f>
        <v>0</v>
      </c>
      <c r="AI291" s="21" t="n">
        <f aca="false">IF(OR(AE291="",AE291=0),0,AE291*IF(AA291="",0,IF(AA291&gt;1,AA291/100,AA291)))</f>
        <v>0</v>
      </c>
      <c r="AJ291" s="21" t="n">
        <f aca="false">AG291+AH291+AI291</f>
        <v>0</v>
      </c>
      <c r="AK291" s="21" t="n">
        <f aca="false">IF(OR(AE291="",AE291=0),0,AE291-AJ291)</f>
        <v>0</v>
      </c>
      <c r="AL291" s="19" t="str">
        <f aca="false">IF(AD291="","",AD291-AK291)</f>
        <v/>
      </c>
      <c r="AM291" s="26" t="str">
        <f aca="false">IF(C291="","","Waiting for payment")</f>
        <v/>
      </c>
      <c r="AN291" s="27"/>
      <c r="AO291" s="27"/>
      <c r="AP291" s="35" t="str">
        <f aca="false">IF(OR(C291="",I291="",K291=""),"",IF(K291="Monthly",EDATE(C291,ROUND(I291*SETTINGS!$I$8,0)),WORKDAY(C291,ROUND(I291*SETTINGS!$I$8,0))))</f>
        <v/>
      </c>
      <c r="AQ291" s="26" t="str">
        <f aca="true">IF(C291="","",IF(AND(AP291&lt;&gt;"",TODAY()&gt;=AP291),"Refi Ready",IF(TODAY()-C291&gt;=SETTINGS!$I$11,"Prospecting","Performing")))</f>
        <v/>
      </c>
      <c r="AR291" s="35" t="str">
        <f aca="false">IF(OR(C291="",I291="",K291=""),"",IF(K291="Monthly",EDATE(C291,I291),WORKDAY(C291,I291)))</f>
        <v/>
      </c>
      <c r="AS291" s="28"/>
      <c r="AT291" s="36" t="str">
        <f aca="true">IF(C291="","",IF(AM291="Clawed Back","CLAWED",IF(TODAY()&lt;=C291+SETTINGS!$I$2,"⚠ AT RISK","SAFE")))</f>
        <v/>
      </c>
      <c r="AU291" s="28"/>
      <c r="AW291" s="24" t="n">
        <f aca="false">AW290+IF(AND(C291&lt;&gt;"",AO291&lt;&gt;"",OR('REP COMMISSION'!$B$3="",T291='REP COMMISSION'!$B$3,W291='REP COMMISSION'!$B$3,Z291='REP COMMISSION'!$B$3)),1,0)</f>
        <v>0</v>
      </c>
      <c r="AX291" s="24" t="n">
        <f aca="false">AX290+IF(AND(C291&lt;&gt;"",OR(F291="LOC - INITIAL",F291="CONSOLIDATION - UPFRONT COMM",F291="REVERSE - TOTAL FUNDING")),1,0)</f>
        <v>0</v>
      </c>
    </row>
    <row r="292" customFormat="false" ht="15" hidden="false" customHeight="false" outlineLevel="0" collapsed="false">
      <c r="A292" s="8" t="str">
        <f aca="false">IF(C292&lt;&gt;"","F"&amp;COUNT($C$4:C292),"")</f>
        <v/>
      </c>
      <c r="B292" s="9" t="str">
        <f aca="false">IF(OR(F292="LOC - INITIAL",F292="CONSOLIDATION - UPFRONT COMM",F292="REVERSE - TOTAL FUNDING"),A292,"")</f>
        <v/>
      </c>
      <c r="C292" s="10"/>
      <c r="D292" s="11"/>
      <c r="E292" s="11"/>
      <c r="F292" s="11"/>
      <c r="G292" s="12"/>
      <c r="H292" s="13"/>
      <c r="I292" s="11"/>
      <c r="J292" s="14" t="str">
        <f aca="false">IF(AND(G292&lt;&gt;"",H292&lt;&gt;""),G292*H292,"")</f>
        <v/>
      </c>
      <c r="K292" s="11"/>
      <c r="L292" s="15"/>
      <c r="M292" s="15"/>
      <c r="N292" s="14" t="n">
        <f aca="false">IF(OR(G292="",M292=""),0,IF(M292&gt;100,M292,G292*IF(M292&gt;1,M292/100,M292)))</f>
        <v>0</v>
      </c>
      <c r="O292" s="14" t="str">
        <f aca="false">IF(G292="","",G292*IF(L292="",0,IF(L292&gt;1,L292/100,L292))+N292)</f>
        <v/>
      </c>
      <c r="P292" s="11"/>
      <c r="Q292" s="16" t="str">
        <f aca="false">IF(P292="","",IFERROR(VLOOKUP(P292,PARTNERS!$A$2:$B$30,2,0),""))</f>
        <v/>
      </c>
      <c r="R292" s="17" t="str">
        <f aca="false">IF(O292="","",IF(OR(P292="",Q292=""),0,(O292-N292)*IF(Q292&gt;1,Q292/100,Q292)))</f>
        <v/>
      </c>
      <c r="S292" s="14" t="str">
        <f aca="false">IF(O292="","",O292-R292)</f>
        <v/>
      </c>
      <c r="T292" s="11"/>
      <c r="U292" s="18" t="str">
        <f aca="false">IF(T292="","",IFERROR(VLOOKUP(T292,REPS!$A$2:$D$40,2,0),""))</f>
        <v/>
      </c>
      <c r="V292" s="14" t="str">
        <f aca="false">IF(O292="","",IF(U292="",0,O292*IF(U292&gt;1,U292/100,U292)))</f>
        <v/>
      </c>
      <c r="W292" s="11"/>
      <c r="X292" s="18" t="str">
        <f aca="false">IF(W292="","",IFERROR(VLOOKUP(W292,REPS!$A$2:$D$40,3,0),""))</f>
        <v/>
      </c>
      <c r="Y292" s="14" t="str">
        <f aca="false">IF(O292="","",IF(X292="",0,O292*IF(X292&gt;1,X292/100,X292)))</f>
        <v/>
      </c>
      <c r="Z292" s="11"/>
      <c r="AA292" s="18" t="str">
        <f aca="false">IF(Z292="","",IFERROR(VLOOKUP(Z292,REPS!$A$2:$D$40,4,0),""))</f>
        <v/>
      </c>
      <c r="AB292" s="14" t="str">
        <f aca="false">IF(O292="","",IF(AA292="",0,O292*IF(AA292&gt;1,AA292/100,AA292)))</f>
        <v/>
      </c>
      <c r="AC292" s="14" t="str">
        <f aca="false">IF(O292="","",V292+Y292+AB292)</f>
        <v/>
      </c>
      <c r="AD292" s="19" t="str">
        <f aca="false">IF(O292="","",O292-R292-AC292)</f>
        <v/>
      </c>
      <c r="AE292" s="20"/>
      <c r="AF292" s="10"/>
      <c r="AG292" s="21" t="n">
        <f aca="false">IF(OR(AE292="",AE292=0),0,AE292*IF(U292="",0,IF(U292&gt;1,U292/100,U292)))</f>
        <v>0</v>
      </c>
      <c r="AH292" s="21" t="n">
        <f aca="false">IF(OR(AE292="",AE292=0),0,AE292*IF(X292="",0,IF(X292&gt;1,X292/100,X292)))</f>
        <v>0</v>
      </c>
      <c r="AI292" s="21" t="n">
        <f aca="false">IF(OR(AE292="",AE292=0),0,AE292*IF(AA292="",0,IF(AA292&gt;1,AA292/100,AA292)))</f>
        <v>0</v>
      </c>
      <c r="AJ292" s="21" t="n">
        <f aca="false">AG292+AH292+AI292</f>
        <v>0</v>
      </c>
      <c r="AK292" s="21" t="n">
        <f aca="false">IF(OR(AE292="",AE292=0),0,AE292-AJ292)</f>
        <v>0</v>
      </c>
      <c r="AL292" s="19" t="str">
        <f aca="false">IF(AD292="","",AD292-AK292)</f>
        <v/>
      </c>
      <c r="AM292" s="9" t="str">
        <f aca="false">IF(C292="","","Waiting for payment")</f>
        <v/>
      </c>
      <c r="AN292" s="10"/>
      <c r="AO292" s="10"/>
      <c r="AP292" s="22" t="str">
        <f aca="false">IF(OR(C292="",I292="",K292=""),"",IF(K292="Monthly",EDATE(C292,ROUND(I292*SETTINGS!$I$8,0)),WORKDAY(C292,ROUND(I292*SETTINGS!$I$8,0))))</f>
        <v/>
      </c>
      <c r="AQ292" s="9" t="str">
        <f aca="true">IF(C292="","",IF(AND(AP292&lt;&gt;"",TODAY()&gt;=AP292),"Refi Ready",IF(TODAY()-C292&gt;=SETTINGS!$I$11,"Prospecting","Performing")))</f>
        <v/>
      </c>
      <c r="AR292" s="22" t="str">
        <f aca="false">IF(OR(C292="",I292="",K292=""),"",IF(K292="Monthly",EDATE(C292,I292),WORKDAY(C292,I292)))</f>
        <v/>
      </c>
      <c r="AS292" s="11"/>
      <c r="AT292" s="23" t="str">
        <f aca="true">IF(C292="","",IF(AM292="Clawed Back","CLAWED",IF(TODAY()&lt;=C292+SETTINGS!$I$2,"⚠ AT RISK","SAFE")))</f>
        <v/>
      </c>
      <c r="AU292" s="11"/>
      <c r="AW292" s="24" t="n">
        <f aca="false">AW291+IF(AND(C292&lt;&gt;"",AO292&lt;&gt;"",OR('REP COMMISSION'!$B$3="",T292='REP COMMISSION'!$B$3,W292='REP COMMISSION'!$B$3,Z292='REP COMMISSION'!$B$3)),1,0)</f>
        <v>0</v>
      </c>
      <c r="AX292" s="24" t="n">
        <f aca="false">AX291+IF(AND(C292&lt;&gt;"",OR(F292="LOC - INITIAL",F292="CONSOLIDATION - UPFRONT COMM",F292="REVERSE - TOTAL FUNDING")),1,0)</f>
        <v>0</v>
      </c>
    </row>
    <row r="293" customFormat="false" ht="15" hidden="false" customHeight="false" outlineLevel="0" collapsed="false">
      <c r="A293" s="25" t="str">
        <f aca="false">IF(C293&lt;&gt;"","F"&amp;COUNT($C$4:C293),"")</f>
        <v/>
      </c>
      <c r="B293" s="26" t="str">
        <f aca="false">IF(OR(F293="LOC - INITIAL",F293="CONSOLIDATION - UPFRONT COMM",F293="REVERSE - TOTAL FUNDING"),A293,"")</f>
        <v/>
      </c>
      <c r="C293" s="27"/>
      <c r="D293" s="28"/>
      <c r="E293" s="28"/>
      <c r="F293" s="28"/>
      <c r="G293" s="29"/>
      <c r="H293" s="30"/>
      <c r="I293" s="28"/>
      <c r="J293" s="31" t="str">
        <f aca="false">IF(AND(G293&lt;&gt;"",H293&lt;&gt;""),G293*H293,"")</f>
        <v/>
      </c>
      <c r="K293" s="28"/>
      <c r="L293" s="32"/>
      <c r="M293" s="32"/>
      <c r="N293" s="31" t="n">
        <f aca="false">IF(OR(G293="",M293=""),0,IF(M293&gt;100,M293,G293*IF(M293&gt;1,M293/100,M293)))</f>
        <v>0</v>
      </c>
      <c r="O293" s="31" t="str">
        <f aca="false">IF(G293="","",G293*IF(L293="",0,IF(L293&gt;1,L293/100,L293))+N293)</f>
        <v/>
      </c>
      <c r="P293" s="28"/>
      <c r="Q293" s="33" t="str">
        <f aca="false">IF(P293="","",IFERROR(VLOOKUP(P293,PARTNERS!$A$2:$B$30,2,0),""))</f>
        <v/>
      </c>
      <c r="R293" s="17" t="str">
        <f aca="false">IF(O293="","",IF(OR(P293="",Q293=""),0,(O293-N293)*IF(Q293&gt;1,Q293/100,Q293)))</f>
        <v/>
      </c>
      <c r="S293" s="31" t="str">
        <f aca="false">IF(O293="","",O293-R293)</f>
        <v/>
      </c>
      <c r="T293" s="28"/>
      <c r="U293" s="34" t="str">
        <f aca="false">IF(T293="","",IFERROR(VLOOKUP(T293,REPS!$A$2:$D$40,2,0),""))</f>
        <v/>
      </c>
      <c r="V293" s="31" t="str">
        <f aca="false">IF(O293="","",IF(U293="",0,O293*IF(U293&gt;1,U293/100,U293)))</f>
        <v/>
      </c>
      <c r="W293" s="28"/>
      <c r="X293" s="34" t="str">
        <f aca="false">IF(W293="","",IFERROR(VLOOKUP(W293,REPS!$A$2:$D$40,3,0),""))</f>
        <v/>
      </c>
      <c r="Y293" s="31" t="str">
        <f aca="false">IF(O293="","",IF(X293="",0,O293*IF(X293&gt;1,X293/100,X293)))</f>
        <v/>
      </c>
      <c r="Z293" s="28"/>
      <c r="AA293" s="34" t="str">
        <f aca="false">IF(Z293="","",IFERROR(VLOOKUP(Z293,REPS!$A$2:$D$40,4,0),""))</f>
        <v/>
      </c>
      <c r="AB293" s="31" t="str">
        <f aca="false">IF(O293="","",IF(AA293="",0,O293*IF(AA293&gt;1,AA293/100,AA293)))</f>
        <v/>
      </c>
      <c r="AC293" s="31" t="str">
        <f aca="false">IF(O293="","",V293+Y293+AB293)</f>
        <v/>
      </c>
      <c r="AD293" s="19" t="str">
        <f aca="false">IF(O293="","",O293-R293-AC293)</f>
        <v/>
      </c>
      <c r="AE293" s="20"/>
      <c r="AF293" s="27"/>
      <c r="AG293" s="21" t="n">
        <f aca="false">IF(OR(AE293="",AE293=0),0,AE293*IF(U293="",0,IF(U293&gt;1,U293/100,U293)))</f>
        <v>0</v>
      </c>
      <c r="AH293" s="21" t="n">
        <f aca="false">IF(OR(AE293="",AE293=0),0,AE293*IF(X293="",0,IF(X293&gt;1,X293/100,X293)))</f>
        <v>0</v>
      </c>
      <c r="AI293" s="21" t="n">
        <f aca="false">IF(OR(AE293="",AE293=0),0,AE293*IF(AA293="",0,IF(AA293&gt;1,AA293/100,AA293)))</f>
        <v>0</v>
      </c>
      <c r="AJ293" s="21" t="n">
        <f aca="false">AG293+AH293+AI293</f>
        <v>0</v>
      </c>
      <c r="AK293" s="21" t="n">
        <f aca="false">IF(OR(AE293="",AE293=0),0,AE293-AJ293)</f>
        <v>0</v>
      </c>
      <c r="AL293" s="19" t="str">
        <f aca="false">IF(AD293="","",AD293-AK293)</f>
        <v/>
      </c>
      <c r="AM293" s="26" t="str">
        <f aca="false">IF(C293="","","Waiting for payment")</f>
        <v/>
      </c>
      <c r="AN293" s="27"/>
      <c r="AO293" s="27"/>
      <c r="AP293" s="35" t="str">
        <f aca="false">IF(OR(C293="",I293="",K293=""),"",IF(K293="Monthly",EDATE(C293,ROUND(I293*SETTINGS!$I$8,0)),WORKDAY(C293,ROUND(I293*SETTINGS!$I$8,0))))</f>
        <v/>
      </c>
      <c r="AQ293" s="26" t="str">
        <f aca="true">IF(C293="","",IF(AND(AP293&lt;&gt;"",TODAY()&gt;=AP293),"Refi Ready",IF(TODAY()-C293&gt;=SETTINGS!$I$11,"Prospecting","Performing")))</f>
        <v/>
      </c>
      <c r="AR293" s="35" t="str">
        <f aca="false">IF(OR(C293="",I293="",K293=""),"",IF(K293="Monthly",EDATE(C293,I293),WORKDAY(C293,I293)))</f>
        <v/>
      </c>
      <c r="AS293" s="28"/>
      <c r="AT293" s="36" t="str">
        <f aca="true">IF(C293="","",IF(AM293="Clawed Back","CLAWED",IF(TODAY()&lt;=C293+SETTINGS!$I$2,"⚠ AT RISK","SAFE")))</f>
        <v/>
      </c>
      <c r="AU293" s="28"/>
      <c r="AW293" s="24" t="n">
        <f aca="false">AW292+IF(AND(C293&lt;&gt;"",AO293&lt;&gt;"",OR('REP COMMISSION'!$B$3="",T293='REP COMMISSION'!$B$3,W293='REP COMMISSION'!$B$3,Z293='REP COMMISSION'!$B$3)),1,0)</f>
        <v>0</v>
      </c>
      <c r="AX293" s="24" t="n">
        <f aca="false">AX292+IF(AND(C293&lt;&gt;"",OR(F293="LOC - INITIAL",F293="CONSOLIDATION - UPFRONT COMM",F293="REVERSE - TOTAL FUNDING")),1,0)</f>
        <v>0</v>
      </c>
    </row>
    <row r="294" customFormat="false" ht="15" hidden="false" customHeight="false" outlineLevel="0" collapsed="false">
      <c r="A294" s="8" t="str">
        <f aca="false">IF(C294&lt;&gt;"","F"&amp;COUNT($C$4:C294),"")</f>
        <v/>
      </c>
      <c r="B294" s="9" t="str">
        <f aca="false">IF(OR(F294="LOC - INITIAL",F294="CONSOLIDATION - UPFRONT COMM",F294="REVERSE - TOTAL FUNDING"),A294,"")</f>
        <v/>
      </c>
      <c r="C294" s="10"/>
      <c r="D294" s="11"/>
      <c r="E294" s="11"/>
      <c r="F294" s="11"/>
      <c r="G294" s="12"/>
      <c r="H294" s="13"/>
      <c r="I294" s="11"/>
      <c r="J294" s="14" t="str">
        <f aca="false">IF(AND(G294&lt;&gt;"",H294&lt;&gt;""),G294*H294,"")</f>
        <v/>
      </c>
      <c r="K294" s="11"/>
      <c r="L294" s="15"/>
      <c r="M294" s="15"/>
      <c r="N294" s="14" t="n">
        <f aca="false">IF(OR(G294="",M294=""),0,IF(M294&gt;100,M294,G294*IF(M294&gt;1,M294/100,M294)))</f>
        <v>0</v>
      </c>
      <c r="O294" s="14" t="str">
        <f aca="false">IF(G294="","",G294*IF(L294="",0,IF(L294&gt;1,L294/100,L294))+N294)</f>
        <v/>
      </c>
      <c r="P294" s="11"/>
      <c r="Q294" s="16" t="str">
        <f aca="false">IF(P294="","",IFERROR(VLOOKUP(P294,PARTNERS!$A$2:$B$30,2,0),""))</f>
        <v/>
      </c>
      <c r="R294" s="17" t="str">
        <f aca="false">IF(O294="","",IF(OR(P294="",Q294=""),0,(O294-N294)*IF(Q294&gt;1,Q294/100,Q294)))</f>
        <v/>
      </c>
      <c r="S294" s="14" t="str">
        <f aca="false">IF(O294="","",O294-R294)</f>
        <v/>
      </c>
      <c r="T294" s="11"/>
      <c r="U294" s="18" t="str">
        <f aca="false">IF(T294="","",IFERROR(VLOOKUP(T294,REPS!$A$2:$D$40,2,0),""))</f>
        <v/>
      </c>
      <c r="V294" s="14" t="str">
        <f aca="false">IF(O294="","",IF(U294="",0,O294*IF(U294&gt;1,U294/100,U294)))</f>
        <v/>
      </c>
      <c r="W294" s="11"/>
      <c r="X294" s="18" t="str">
        <f aca="false">IF(W294="","",IFERROR(VLOOKUP(W294,REPS!$A$2:$D$40,3,0),""))</f>
        <v/>
      </c>
      <c r="Y294" s="14" t="str">
        <f aca="false">IF(O294="","",IF(X294="",0,O294*IF(X294&gt;1,X294/100,X294)))</f>
        <v/>
      </c>
      <c r="Z294" s="11"/>
      <c r="AA294" s="18" t="str">
        <f aca="false">IF(Z294="","",IFERROR(VLOOKUP(Z294,REPS!$A$2:$D$40,4,0),""))</f>
        <v/>
      </c>
      <c r="AB294" s="14" t="str">
        <f aca="false">IF(O294="","",IF(AA294="",0,O294*IF(AA294&gt;1,AA294/100,AA294)))</f>
        <v/>
      </c>
      <c r="AC294" s="14" t="str">
        <f aca="false">IF(O294="","",V294+Y294+AB294)</f>
        <v/>
      </c>
      <c r="AD294" s="19" t="str">
        <f aca="false">IF(O294="","",O294-R294-AC294)</f>
        <v/>
      </c>
      <c r="AE294" s="20"/>
      <c r="AF294" s="10"/>
      <c r="AG294" s="21" t="n">
        <f aca="false">IF(OR(AE294="",AE294=0),0,AE294*IF(U294="",0,IF(U294&gt;1,U294/100,U294)))</f>
        <v>0</v>
      </c>
      <c r="AH294" s="21" t="n">
        <f aca="false">IF(OR(AE294="",AE294=0),0,AE294*IF(X294="",0,IF(X294&gt;1,X294/100,X294)))</f>
        <v>0</v>
      </c>
      <c r="AI294" s="21" t="n">
        <f aca="false">IF(OR(AE294="",AE294=0),0,AE294*IF(AA294="",0,IF(AA294&gt;1,AA294/100,AA294)))</f>
        <v>0</v>
      </c>
      <c r="AJ294" s="21" t="n">
        <f aca="false">AG294+AH294+AI294</f>
        <v>0</v>
      </c>
      <c r="AK294" s="21" t="n">
        <f aca="false">IF(OR(AE294="",AE294=0),0,AE294-AJ294)</f>
        <v>0</v>
      </c>
      <c r="AL294" s="19" t="str">
        <f aca="false">IF(AD294="","",AD294-AK294)</f>
        <v/>
      </c>
      <c r="AM294" s="9" t="str">
        <f aca="false">IF(C294="","","Waiting for payment")</f>
        <v/>
      </c>
      <c r="AN294" s="10"/>
      <c r="AO294" s="10"/>
      <c r="AP294" s="22" t="str">
        <f aca="false">IF(OR(C294="",I294="",K294=""),"",IF(K294="Monthly",EDATE(C294,ROUND(I294*SETTINGS!$I$8,0)),WORKDAY(C294,ROUND(I294*SETTINGS!$I$8,0))))</f>
        <v/>
      </c>
      <c r="AQ294" s="9" t="str">
        <f aca="true">IF(C294="","",IF(AND(AP294&lt;&gt;"",TODAY()&gt;=AP294),"Refi Ready",IF(TODAY()-C294&gt;=SETTINGS!$I$11,"Prospecting","Performing")))</f>
        <v/>
      </c>
      <c r="AR294" s="22" t="str">
        <f aca="false">IF(OR(C294="",I294="",K294=""),"",IF(K294="Monthly",EDATE(C294,I294),WORKDAY(C294,I294)))</f>
        <v/>
      </c>
      <c r="AS294" s="11"/>
      <c r="AT294" s="23" t="str">
        <f aca="true">IF(C294="","",IF(AM294="Clawed Back","CLAWED",IF(TODAY()&lt;=C294+SETTINGS!$I$2,"⚠ AT RISK","SAFE")))</f>
        <v/>
      </c>
      <c r="AU294" s="11"/>
      <c r="AW294" s="24" t="n">
        <f aca="false">AW293+IF(AND(C294&lt;&gt;"",AO294&lt;&gt;"",OR('REP COMMISSION'!$B$3="",T294='REP COMMISSION'!$B$3,W294='REP COMMISSION'!$B$3,Z294='REP COMMISSION'!$B$3)),1,0)</f>
        <v>0</v>
      </c>
      <c r="AX294" s="24" t="n">
        <f aca="false">AX293+IF(AND(C294&lt;&gt;"",OR(F294="LOC - INITIAL",F294="CONSOLIDATION - UPFRONT COMM",F294="REVERSE - TOTAL FUNDING")),1,0)</f>
        <v>0</v>
      </c>
    </row>
    <row r="295" customFormat="false" ht="15" hidden="false" customHeight="false" outlineLevel="0" collapsed="false">
      <c r="A295" s="25" t="str">
        <f aca="false">IF(C295&lt;&gt;"","F"&amp;COUNT($C$4:C295),"")</f>
        <v/>
      </c>
      <c r="B295" s="26" t="str">
        <f aca="false">IF(OR(F295="LOC - INITIAL",F295="CONSOLIDATION - UPFRONT COMM",F295="REVERSE - TOTAL FUNDING"),A295,"")</f>
        <v/>
      </c>
      <c r="C295" s="27"/>
      <c r="D295" s="28"/>
      <c r="E295" s="28"/>
      <c r="F295" s="28"/>
      <c r="G295" s="29"/>
      <c r="H295" s="30"/>
      <c r="I295" s="28"/>
      <c r="J295" s="31" t="str">
        <f aca="false">IF(AND(G295&lt;&gt;"",H295&lt;&gt;""),G295*H295,"")</f>
        <v/>
      </c>
      <c r="K295" s="28"/>
      <c r="L295" s="32"/>
      <c r="M295" s="32"/>
      <c r="N295" s="31" t="n">
        <f aca="false">IF(OR(G295="",M295=""),0,IF(M295&gt;100,M295,G295*IF(M295&gt;1,M295/100,M295)))</f>
        <v>0</v>
      </c>
      <c r="O295" s="31" t="str">
        <f aca="false">IF(G295="","",G295*IF(L295="",0,IF(L295&gt;1,L295/100,L295))+N295)</f>
        <v/>
      </c>
      <c r="P295" s="28"/>
      <c r="Q295" s="33" t="str">
        <f aca="false">IF(P295="","",IFERROR(VLOOKUP(P295,PARTNERS!$A$2:$B$30,2,0),""))</f>
        <v/>
      </c>
      <c r="R295" s="17" t="str">
        <f aca="false">IF(O295="","",IF(OR(P295="",Q295=""),0,(O295-N295)*IF(Q295&gt;1,Q295/100,Q295)))</f>
        <v/>
      </c>
      <c r="S295" s="31" t="str">
        <f aca="false">IF(O295="","",O295-R295)</f>
        <v/>
      </c>
      <c r="T295" s="28"/>
      <c r="U295" s="34" t="str">
        <f aca="false">IF(T295="","",IFERROR(VLOOKUP(T295,REPS!$A$2:$D$40,2,0),""))</f>
        <v/>
      </c>
      <c r="V295" s="31" t="str">
        <f aca="false">IF(O295="","",IF(U295="",0,O295*IF(U295&gt;1,U295/100,U295)))</f>
        <v/>
      </c>
      <c r="W295" s="28"/>
      <c r="X295" s="34" t="str">
        <f aca="false">IF(W295="","",IFERROR(VLOOKUP(W295,REPS!$A$2:$D$40,3,0),""))</f>
        <v/>
      </c>
      <c r="Y295" s="31" t="str">
        <f aca="false">IF(O295="","",IF(X295="",0,O295*IF(X295&gt;1,X295/100,X295)))</f>
        <v/>
      </c>
      <c r="Z295" s="28"/>
      <c r="AA295" s="34" t="str">
        <f aca="false">IF(Z295="","",IFERROR(VLOOKUP(Z295,REPS!$A$2:$D$40,4,0),""))</f>
        <v/>
      </c>
      <c r="AB295" s="31" t="str">
        <f aca="false">IF(O295="","",IF(AA295="",0,O295*IF(AA295&gt;1,AA295/100,AA295)))</f>
        <v/>
      </c>
      <c r="AC295" s="31" t="str">
        <f aca="false">IF(O295="","",V295+Y295+AB295)</f>
        <v/>
      </c>
      <c r="AD295" s="19" t="str">
        <f aca="false">IF(O295="","",O295-R295-AC295)</f>
        <v/>
      </c>
      <c r="AE295" s="20"/>
      <c r="AF295" s="27"/>
      <c r="AG295" s="21" t="n">
        <f aca="false">IF(OR(AE295="",AE295=0),0,AE295*IF(U295="",0,IF(U295&gt;1,U295/100,U295)))</f>
        <v>0</v>
      </c>
      <c r="AH295" s="21" t="n">
        <f aca="false">IF(OR(AE295="",AE295=0),0,AE295*IF(X295="",0,IF(X295&gt;1,X295/100,X295)))</f>
        <v>0</v>
      </c>
      <c r="AI295" s="21" t="n">
        <f aca="false">IF(OR(AE295="",AE295=0),0,AE295*IF(AA295="",0,IF(AA295&gt;1,AA295/100,AA295)))</f>
        <v>0</v>
      </c>
      <c r="AJ295" s="21" t="n">
        <f aca="false">AG295+AH295+AI295</f>
        <v>0</v>
      </c>
      <c r="AK295" s="21" t="n">
        <f aca="false">IF(OR(AE295="",AE295=0),0,AE295-AJ295)</f>
        <v>0</v>
      </c>
      <c r="AL295" s="19" t="str">
        <f aca="false">IF(AD295="","",AD295-AK295)</f>
        <v/>
      </c>
      <c r="AM295" s="26" t="str">
        <f aca="false">IF(C295="","","Waiting for payment")</f>
        <v/>
      </c>
      <c r="AN295" s="27"/>
      <c r="AO295" s="27"/>
      <c r="AP295" s="35" t="str">
        <f aca="false">IF(OR(C295="",I295="",K295=""),"",IF(K295="Monthly",EDATE(C295,ROUND(I295*SETTINGS!$I$8,0)),WORKDAY(C295,ROUND(I295*SETTINGS!$I$8,0))))</f>
        <v/>
      </c>
      <c r="AQ295" s="26" t="str">
        <f aca="true">IF(C295="","",IF(AND(AP295&lt;&gt;"",TODAY()&gt;=AP295),"Refi Ready",IF(TODAY()-C295&gt;=SETTINGS!$I$11,"Prospecting","Performing")))</f>
        <v/>
      </c>
      <c r="AR295" s="35" t="str">
        <f aca="false">IF(OR(C295="",I295="",K295=""),"",IF(K295="Monthly",EDATE(C295,I295),WORKDAY(C295,I295)))</f>
        <v/>
      </c>
      <c r="AS295" s="28"/>
      <c r="AT295" s="36" t="str">
        <f aca="true">IF(C295="","",IF(AM295="Clawed Back","CLAWED",IF(TODAY()&lt;=C295+SETTINGS!$I$2,"⚠ AT RISK","SAFE")))</f>
        <v/>
      </c>
      <c r="AU295" s="28"/>
      <c r="AW295" s="24" t="n">
        <f aca="false">AW294+IF(AND(C295&lt;&gt;"",AO295&lt;&gt;"",OR('REP COMMISSION'!$B$3="",T295='REP COMMISSION'!$B$3,W295='REP COMMISSION'!$B$3,Z295='REP COMMISSION'!$B$3)),1,0)</f>
        <v>0</v>
      </c>
      <c r="AX295" s="24" t="n">
        <f aca="false">AX294+IF(AND(C295&lt;&gt;"",OR(F295="LOC - INITIAL",F295="CONSOLIDATION - UPFRONT COMM",F295="REVERSE - TOTAL FUNDING")),1,0)</f>
        <v>0</v>
      </c>
    </row>
    <row r="296" customFormat="false" ht="15" hidden="false" customHeight="false" outlineLevel="0" collapsed="false">
      <c r="A296" s="8" t="str">
        <f aca="false">IF(C296&lt;&gt;"","F"&amp;COUNT($C$4:C296),"")</f>
        <v/>
      </c>
      <c r="B296" s="9" t="str">
        <f aca="false">IF(OR(F296="LOC - INITIAL",F296="CONSOLIDATION - UPFRONT COMM",F296="REVERSE - TOTAL FUNDING"),A296,"")</f>
        <v/>
      </c>
      <c r="C296" s="10"/>
      <c r="D296" s="11"/>
      <c r="E296" s="11"/>
      <c r="F296" s="11"/>
      <c r="G296" s="12"/>
      <c r="H296" s="13"/>
      <c r="I296" s="11"/>
      <c r="J296" s="14" t="str">
        <f aca="false">IF(AND(G296&lt;&gt;"",H296&lt;&gt;""),G296*H296,"")</f>
        <v/>
      </c>
      <c r="K296" s="11"/>
      <c r="L296" s="15"/>
      <c r="M296" s="15"/>
      <c r="N296" s="14" t="n">
        <f aca="false">IF(OR(G296="",M296=""),0,IF(M296&gt;100,M296,G296*IF(M296&gt;1,M296/100,M296)))</f>
        <v>0</v>
      </c>
      <c r="O296" s="14" t="str">
        <f aca="false">IF(G296="","",G296*IF(L296="",0,IF(L296&gt;1,L296/100,L296))+N296)</f>
        <v/>
      </c>
      <c r="P296" s="11"/>
      <c r="Q296" s="16" t="str">
        <f aca="false">IF(P296="","",IFERROR(VLOOKUP(P296,PARTNERS!$A$2:$B$30,2,0),""))</f>
        <v/>
      </c>
      <c r="R296" s="17" t="str">
        <f aca="false">IF(O296="","",IF(OR(P296="",Q296=""),0,(O296-N296)*IF(Q296&gt;1,Q296/100,Q296)))</f>
        <v/>
      </c>
      <c r="S296" s="14" t="str">
        <f aca="false">IF(O296="","",O296-R296)</f>
        <v/>
      </c>
      <c r="T296" s="11"/>
      <c r="U296" s="18" t="str">
        <f aca="false">IF(T296="","",IFERROR(VLOOKUP(T296,REPS!$A$2:$D$40,2,0),""))</f>
        <v/>
      </c>
      <c r="V296" s="14" t="str">
        <f aca="false">IF(O296="","",IF(U296="",0,O296*IF(U296&gt;1,U296/100,U296)))</f>
        <v/>
      </c>
      <c r="W296" s="11"/>
      <c r="X296" s="18" t="str">
        <f aca="false">IF(W296="","",IFERROR(VLOOKUP(W296,REPS!$A$2:$D$40,3,0),""))</f>
        <v/>
      </c>
      <c r="Y296" s="14" t="str">
        <f aca="false">IF(O296="","",IF(X296="",0,O296*IF(X296&gt;1,X296/100,X296)))</f>
        <v/>
      </c>
      <c r="Z296" s="11"/>
      <c r="AA296" s="18" t="str">
        <f aca="false">IF(Z296="","",IFERROR(VLOOKUP(Z296,REPS!$A$2:$D$40,4,0),""))</f>
        <v/>
      </c>
      <c r="AB296" s="14" t="str">
        <f aca="false">IF(O296="","",IF(AA296="",0,O296*IF(AA296&gt;1,AA296/100,AA296)))</f>
        <v/>
      </c>
      <c r="AC296" s="14" t="str">
        <f aca="false">IF(O296="","",V296+Y296+AB296)</f>
        <v/>
      </c>
      <c r="AD296" s="19" t="str">
        <f aca="false">IF(O296="","",O296-R296-AC296)</f>
        <v/>
      </c>
      <c r="AE296" s="20"/>
      <c r="AF296" s="10"/>
      <c r="AG296" s="21" t="n">
        <f aca="false">IF(OR(AE296="",AE296=0),0,AE296*IF(U296="",0,IF(U296&gt;1,U296/100,U296)))</f>
        <v>0</v>
      </c>
      <c r="AH296" s="21" t="n">
        <f aca="false">IF(OR(AE296="",AE296=0),0,AE296*IF(X296="",0,IF(X296&gt;1,X296/100,X296)))</f>
        <v>0</v>
      </c>
      <c r="AI296" s="21" t="n">
        <f aca="false">IF(OR(AE296="",AE296=0),0,AE296*IF(AA296="",0,IF(AA296&gt;1,AA296/100,AA296)))</f>
        <v>0</v>
      </c>
      <c r="AJ296" s="21" t="n">
        <f aca="false">AG296+AH296+AI296</f>
        <v>0</v>
      </c>
      <c r="AK296" s="21" t="n">
        <f aca="false">IF(OR(AE296="",AE296=0),0,AE296-AJ296)</f>
        <v>0</v>
      </c>
      <c r="AL296" s="19" t="str">
        <f aca="false">IF(AD296="","",AD296-AK296)</f>
        <v/>
      </c>
      <c r="AM296" s="9" t="str">
        <f aca="false">IF(C296="","","Waiting for payment")</f>
        <v/>
      </c>
      <c r="AN296" s="10"/>
      <c r="AO296" s="10"/>
      <c r="AP296" s="22" t="str">
        <f aca="false">IF(OR(C296="",I296="",K296=""),"",IF(K296="Monthly",EDATE(C296,ROUND(I296*SETTINGS!$I$8,0)),WORKDAY(C296,ROUND(I296*SETTINGS!$I$8,0))))</f>
        <v/>
      </c>
      <c r="AQ296" s="9" t="str">
        <f aca="true">IF(C296="","",IF(AND(AP296&lt;&gt;"",TODAY()&gt;=AP296),"Refi Ready",IF(TODAY()-C296&gt;=SETTINGS!$I$11,"Prospecting","Performing")))</f>
        <v/>
      </c>
      <c r="AR296" s="22" t="str">
        <f aca="false">IF(OR(C296="",I296="",K296=""),"",IF(K296="Monthly",EDATE(C296,I296),WORKDAY(C296,I296)))</f>
        <v/>
      </c>
      <c r="AS296" s="11"/>
      <c r="AT296" s="23" t="str">
        <f aca="true">IF(C296="","",IF(AM296="Clawed Back","CLAWED",IF(TODAY()&lt;=C296+SETTINGS!$I$2,"⚠ AT RISK","SAFE")))</f>
        <v/>
      </c>
      <c r="AU296" s="11"/>
      <c r="AW296" s="24" t="n">
        <f aca="false">AW295+IF(AND(C296&lt;&gt;"",AO296&lt;&gt;"",OR('REP COMMISSION'!$B$3="",T296='REP COMMISSION'!$B$3,W296='REP COMMISSION'!$B$3,Z296='REP COMMISSION'!$B$3)),1,0)</f>
        <v>0</v>
      </c>
      <c r="AX296" s="24" t="n">
        <f aca="false">AX295+IF(AND(C296&lt;&gt;"",OR(F296="LOC - INITIAL",F296="CONSOLIDATION - UPFRONT COMM",F296="REVERSE - TOTAL FUNDING")),1,0)</f>
        <v>0</v>
      </c>
    </row>
    <row r="297" customFormat="false" ht="15" hidden="false" customHeight="false" outlineLevel="0" collapsed="false">
      <c r="A297" s="25" t="str">
        <f aca="false">IF(C297&lt;&gt;"","F"&amp;COUNT($C$4:C297),"")</f>
        <v/>
      </c>
      <c r="B297" s="26" t="str">
        <f aca="false">IF(OR(F297="LOC - INITIAL",F297="CONSOLIDATION - UPFRONT COMM",F297="REVERSE - TOTAL FUNDING"),A297,"")</f>
        <v/>
      </c>
      <c r="C297" s="27"/>
      <c r="D297" s="28"/>
      <c r="E297" s="28"/>
      <c r="F297" s="28"/>
      <c r="G297" s="29"/>
      <c r="H297" s="30"/>
      <c r="I297" s="28"/>
      <c r="J297" s="31" t="str">
        <f aca="false">IF(AND(G297&lt;&gt;"",H297&lt;&gt;""),G297*H297,"")</f>
        <v/>
      </c>
      <c r="K297" s="28"/>
      <c r="L297" s="32"/>
      <c r="M297" s="32"/>
      <c r="N297" s="31" t="n">
        <f aca="false">IF(OR(G297="",M297=""),0,IF(M297&gt;100,M297,G297*IF(M297&gt;1,M297/100,M297)))</f>
        <v>0</v>
      </c>
      <c r="O297" s="31" t="str">
        <f aca="false">IF(G297="","",G297*IF(L297="",0,IF(L297&gt;1,L297/100,L297))+N297)</f>
        <v/>
      </c>
      <c r="P297" s="28"/>
      <c r="Q297" s="33" t="str">
        <f aca="false">IF(P297="","",IFERROR(VLOOKUP(P297,PARTNERS!$A$2:$B$30,2,0),""))</f>
        <v/>
      </c>
      <c r="R297" s="17" t="str">
        <f aca="false">IF(O297="","",IF(OR(P297="",Q297=""),0,(O297-N297)*IF(Q297&gt;1,Q297/100,Q297)))</f>
        <v/>
      </c>
      <c r="S297" s="31" t="str">
        <f aca="false">IF(O297="","",O297-R297)</f>
        <v/>
      </c>
      <c r="T297" s="28"/>
      <c r="U297" s="34" t="str">
        <f aca="false">IF(T297="","",IFERROR(VLOOKUP(T297,REPS!$A$2:$D$40,2,0),""))</f>
        <v/>
      </c>
      <c r="V297" s="31" t="str">
        <f aca="false">IF(O297="","",IF(U297="",0,O297*IF(U297&gt;1,U297/100,U297)))</f>
        <v/>
      </c>
      <c r="W297" s="28"/>
      <c r="X297" s="34" t="str">
        <f aca="false">IF(W297="","",IFERROR(VLOOKUP(W297,REPS!$A$2:$D$40,3,0),""))</f>
        <v/>
      </c>
      <c r="Y297" s="31" t="str">
        <f aca="false">IF(O297="","",IF(X297="",0,O297*IF(X297&gt;1,X297/100,X297)))</f>
        <v/>
      </c>
      <c r="Z297" s="28"/>
      <c r="AA297" s="34" t="str">
        <f aca="false">IF(Z297="","",IFERROR(VLOOKUP(Z297,REPS!$A$2:$D$40,4,0),""))</f>
        <v/>
      </c>
      <c r="AB297" s="31" t="str">
        <f aca="false">IF(O297="","",IF(AA297="",0,O297*IF(AA297&gt;1,AA297/100,AA297)))</f>
        <v/>
      </c>
      <c r="AC297" s="31" t="str">
        <f aca="false">IF(O297="","",V297+Y297+AB297)</f>
        <v/>
      </c>
      <c r="AD297" s="19" t="str">
        <f aca="false">IF(O297="","",O297-R297-AC297)</f>
        <v/>
      </c>
      <c r="AE297" s="20"/>
      <c r="AF297" s="27"/>
      <c r="AG297" s="21" t="n">
        <f aca="false">IF(OR(AE297="",AE297=0),0,AE297*IF(U297="",0,IF(U297&gt;1,U297/100,U297)))</f>
        <v>0</v>
      </c>
      <c r="AH297" s="21" t="n">
        <f aca="false">IF(OR(AE297="",AE297=0),0,AE297*IF(X297="",0,IF(X297&gt;1,X297/100,X297)))</f>
        <v>0</v>
      </c>
      <c r="AI297" s="21" t="n">
        <f aca="false">IF(OR(AE297="",AE297=0),0,AE297*IF(AA297="",0,IF(AA297&gt;1,AA297/100,AA297)))</f>
        <v>0</v>
      </c>
      <c r="AJ297" s="21" t="n">
        <f aca="false">AG297+AH297+AI297</f>
        <v>0</v>
      </c>
      <c r="AK297" s="21" t="n">
        <f aca="false">IF(OR(AE297="",AE297=0),0,AE297-AJ297)</f>
        <v>0</v>
      </c>
      <c r="AL297" s="19" t="str">
        <f aca="false">IF(AD297="","",AD297-AK297)</f>
        <v/>
      </c>
      <c r="AM297" s="26" t="str">
        <f aca="false">IF(C297="","","Waiting for payment")</f>
        <v/>
      </c>
      <c r="AN297" s="27"/>
      <c r="AO297" s="27"/>
      <c r="AP297" s="35" t="str">
        <f aca="false">IF(OR(C297="",I297="",K297=""),"",IF(K297="Monthly",EDATE(C297,ROUND(I297*SETTINGS!$I$8,0)),WORKDAY(C297,ROUND(I297*SETTINGS!$I$8,0))))</f>
        <v/>
      </c>
      <c r="AQ297" s="26" t="str">
        <f aca="true">IF(C297="","",IF(AND(AP297&lt;&gt;"",TODAY()&gt;=AP297),"Refi Ready",IF(TODAY()-C297&gt;=SETTINGS!$I$11,"Prospecting","Performing")))</f>
        <v/>
      </c>
      <c r="AR297" s="35" t="str">
        <f aca="false">IF(OR(C297="",I297="",K297=""),"",IF(K297="Monthly",EDATE(C297,I297),WORKDAY(C297,I297)))</f>
        <v/>
      </c>
      <c r="AS297" s="28"/>
      <c r="AT297" s="36" t="str">
        <f aca="true">IF(C297="","",IF(AM297="Clawed Back","CLAWED",IF(TODAY()&lt;=C297+SETTINGS!$I$2,"⚠ AT RISK","SAFE")))</f>
        <v/>
      </c>
      <c r="AU297" s="28"/>
      <c r="AW297" s="24" t="n">
        <f aca="false">AW296+IF(AND(C297&lt;&gt;"",AO297&lt;&gt;"",OR('REP COMMISSION'!$B$3="",T297='REP COMMISSION'!$B$3,W297='REP COMMISSION'!$B$3,Z297='REP COMMISSION'!$B$3)),1,0)</f>
        <v>0</v>
      </c>
      <c r="AX297" s="24" t="n">
        <f aca="false">AX296+IF(AND(C297&lt;&gt;"",OR(F297="LOC - INITIAL",F297="CONSOLIDATION - UPFRONT COMM",F297="REVERSE - TOTAL FUNDING")),1,0)</f>
        <v>0</v>
      </c>
    </row>
    <row r="298" customFormat="false" ht="15" hidden="false" customHeight="false" outlineLevel="0" collapsed="false">
      <c r="A298" s="8" t="str">
        <f aca="false">IF(C298&lt;&gt;"","F"&amp;COUNT($C$4:C298),"")</f>
        <v/>
      </c>
      <c r="B298" s="9" t="str">
        <f aca="false">IF(OR(F298="LOC - INITIAL",F298="CONSOLIDATION - UPFRONT COMM",F298="REVERSE - TOTAL FUNDING"),A298,"")</f>
        <v/>
      </c>
      <c r="C298" s="10"/>
      <c r="D298" s="11"/>
      <c r="E298" s="11"/>
      <c r="F298" s="11"/>
      <c r="G298" s="12"/>
      <c r="H298" s="13"/>
      <c r="I298" s="11"/>
      <c r="J298" s="14" t="str">
        <f aca="false">IF(AND(G298&lt;&gt;"",H298&lt;&gt;""),G298*H298,"")</f>
        <v/>
      </c>
      <c r="K298" s="11"/>
      <c r="L298" s="15"/>
      <c r="M298" s="15"/>
      <c r="N298" s="14" t="n">
        <f aca="false">IF(OR(G298="",M298=""),0,IF(M298&gt;100,M298,G298*IF(M298&gt;1,M298/100,M298)))</f>
        <v>0</v>
      </c>
      <c r="O298" s="14" t="str">
        <f aca="false">IF(G298="","",G298*IF(L298="",0,IF(L298&gt;1,L298/100,L298))+N298)</f>
        <v/>
      </c>
      <c r="P298" s="11"/>
      <c r="Q298" s="16" t="str">
        <f aca="false">IF(P298="","",IFERROR(VLOOKUP(P298,PARTNERS!$A$2:$B$30,2,0),""))</f>
        <v/>
      </c>
      <c r="R298" s="17" t="str">
        <f aca="false">IF(O298="","",IF(OR(P298="",Q298=""),0,(O298-N298)*IF(Q298&gt;1,Q298/100,Q298)))</f>
        <v/>
      </c>
      <c r="S298" s="14" t="str">
        <f aca="false">IF(O298="","",O298-R298)</f>
        <v/>
      </c>
      <c r="T298" s="11"/>
      <c r="U298" s="18" t="str">
        <f aca="false">IF(T298="","",IFERROR(VLOOKUP(T298,REPS!$A$2:$D$40,2,0),""))</f>
        <v/>
      </c>
      <c r="V298" s="14" t="str">
        <f aca="false">IF(O298="","",IF(U298="",0,O298*IF(U298&gt;1,U298/100,U298)))</f>
        <v/>
      </c>
      <c r="W298" s="11"/>
      <c r="X298" s="18" t="str">
        <f aca="false">IF(W298="","",IFERROR(VLOOKUP(W298,REPS!$A$2:$D$40,3,0),""))</f>
        <v/>
      </c>
      <c r="Y298" s="14" t="str">
        <f aca="false">IF(O298="","",IF(X298="",0,O298*IF(X298&gt;1,X298/100,X298)))</f>
        <v/>
      </c>
      <c r="Z298" s="11"/>
      <c r="AA298" s="18" t="str">
        <f aca="false">IF(Z298="","",IFERROR(VLOOKUP(Z298,REPS!$A$2:$D$40,4,0),""))</f>
        <v/>
      </c>
      <c r="AB298" s="14" t="str">
        <f aca="false">IF(O298="","",IF(AA298="",0,O298*IF(AA298&gt;1,AA298/100,AA298)))</f>
        <v/>
      </c>
      <c r="AC298" s="14" t="str">
        <f aca="false">IF(O298="","",V298+Y298+AB298)</f>
        <v/>
      </c>
      <c r="AD298" s="19" t="str">
        <f aca="false">IF(O298="","",O298-R298-AC298)</f>
        <v/>
      </c>
      <c r="AE298" s="20"/>
      <c r="AF298" s="10"/>
      <c r="AG298" s="21" t="n">
        <f aca="false">IF(OR(AE298="",AE298=0),0,AE298*IF(U298="",0,IF(U298&gt;1,U298/100,U298)))</f>
        <v>0</v>
      </c>
      <c r="AH298" s="21" t="n">
        <f aca="false">IF(OR(AE298="",AE298=0),0,AE298*IF(X298="",0,IF(X298&gt;1,X298/100,X298)))</f>
        <v>0</v>
      </c>
      <c r="AI298" s="21" t="n">
        <f aca="false">IF(OR(AE298="",AE298=0),0,AE298*IF(AA298="",0,IF(AA298&gt;1,AA298/100,AA298)))</f>
        <v>0</v>
      </c>
      <c r="AJ298" s="21" t="n">
        <f aca="false">AG298+AH298+AI298</f>
        <v>0</v>
      </c>
      <c r="AK298" s="21" t="n">
        <f aca="false">IF(OR(AE298="",AE298=0),0,AE298-AJ298)</f>
        <v>0</v>
      </c>
      <c r="AL298" s="19" t="str">
        <f aca="false">IF(AD298="","",AD298-AK298)</f>
        <v/>
      </c>
      <c r="AM298" s="9" t="str">
        <f aca="false">IF(C298="","","Waiting for payment")</f>
        <v/>
      </c>
      <c r="AN298" s="10"/>
      <c r="AO298" s="10"/>
      <c r="AP298" s="22" t="str">
        <f aca="false">IF(OR(C298="",I298="",K298=""),"",IF(K298="Monthly",EDATE(C298,ROUND(I298*SETTINGS!$I$8,0)),WORKDAY(C298,ROUND(I298*SETTINGS!$I$8,0))))</f>
        <v/>
      </c>
      <c r="AQ298" s="9" t="str">
        <f aca="true">IF(C298="","",IF(AND(AP298&lt;&gt;"",TODAY()&gt;=AP298),"Refi Ready",IF(TODAY()-C298&gt;=SETTINGS!$I$11,"Prospecting","Performing")))</f>
        <v/>
      </c>
      <c r="AR298" s="22" t="str">
        <f aca="false">IF(OR(C298="",I298="",K298=""),"",IF(K298="Monthly",EDATE(C298,I298),WORKDAY(C298,I298)))</f>
        <v/>
      </c>
      <c r="AS298" s="11"/>
      <c r="AT298" s="23" t="str">
        <f aca="true">IF(C298="","",IF(AM298="Clawed Back","CLAWED",IF(TODAY()&lt;=C298+SETTINGS!$I$2,"⚠ AT RISK","SAFE")))</f>
        <v/>
      </c>
      <c r="AU298" s="11"/>
      <c r="AW298" s="24" t="n">
        <f aca="false">AW297+IF(AND(C298&lt;&gt;"",AO298&lt;&gt;"",OR('REP COMMISSION'!$B$3="",T298='REP COMMISSION'!$B$3,W298='REP COMMISSION'!$B$3,Z298='REP COMMISSION'!$B$3)),1,0)</f>
        <v>0</v>
      </c>
      <c r="AX298" s="24" t="n">
        <f aca="false">AX297+IF(AND(C298&lt;&gt;"",OR(F298="LOC - INITIAL",F298="CONSOLIDATION - UPFRONT COMM",F298="REVERSE - TOTAL FUNDING")),1,0)</f>
        <v>0</v>
      </c>
    </row>
    <row r="299" customFormat="false" ht="15" hidden="false" customHeight="false" outlineLevel="0" collapsed="false">
      <c r="A299" s="25" t="str">
        <f aca="false">IF(C299&lt;&gt;"","F"&amp;COUNT($C$4:C299),"")</f>
        <v/>
      </c>
      <c r="B299" s="26" t="str">
        <f aca="false">IF(OR(F299="LOC - INITIAL",F299="CONSOLIDATION - UPFRONT COMM",F299="REVERSE - TOTAL FUNDING"),A299,"")</f>
        <v/>
      </c>
      <c r="C299" s="27"/>
      <c r="D299" s="28"/>
      <c r="E299" s="28"/>
      <c r="F299" s="28"/>
      <c r="G299" s="29"/>
      <c r="H299" s="30"/>
      <c r="I299" s="28"/>
      <c r="J299" s="31" t="str">
        <f aca="false">IF(AND(G299&lt;&gt;"",H299&lt;&gt;""),G299*H299,"")</f>
        <v/>
      </c>
      <c r="K299" s="28"/>
      <c r="L299" s="32"/>
      <c r="M299" s="32"/>
      <c r="N299" s="31" t="n">
        <f aca="false">IF(OR(G299="",M299=""),0,IF(M299&gt;100,M299,G299*IF(M299&gt;1,M299/100,M299)))</f>
        <v>0</v>
      </c>
      <c r="O299" s="31" t="str">
        <f aca="false">IF(G299="","",G299*IF(L299="",0,IF(L299&gt;1,L299/100,L299))+N299)</f>
        <v/>
      </c>
      <c r="P299" s="28"/>
      <c r="Q299" s="33" t="str">
        <f aca="false">IF(P299="","",IFERROR(VLOOKUP(P299,PARTNERS!$A$2:$B$30,2,0),""))</f>
        <v/>
      </c>
      <c r="R299" s="17" t="str">
        <f aca="false">IF(O299="","",IF(OR(P299="",Q299=""),0,(O299-N299)*IF(Q299&gt;1,Q299/100,Q299)))</f>
        <v/>
      </c>
      <c r="S299" s="31" t="str">
        <f aca="false">IF(O299="","",O299-R299)</f>
        <v/>
      </c>
      <c r="T299" s="28"/>
      <c r="U299" s="34" t="str">
        <f aca="false">IF(T299="","",IFERROR(VLOOKUP(T299,REPS!$A$2:$D$40,2,0),""))</f>
        <v/>
      </c>
      <c r="V299" s="31" t="str">
        <f aca="false">IF(O299="","",IF(U299="",0,O299*IF(U299&gt;1,U299/100,U299)))</f>
        <v/>
      </c>
      <c r="W299" s="28"/>
      <c r="X299" s="34" t="str">
        <f aca="false">IF(W299="","",IFERROR(VLOOKUP(W299,REPS!$A$2:$D$40,3,0),""))</f>
        <v/>
      </c>
      <c r="Y299" s="31" t="str">
        <f aca="false">IF(O299="","",IF(X299="",0,O299*IF(X299&gt;1,X299/100,X299)))</f>
        <v/>
      </c>
      <c r="Z299" s="28"/>
      <c r="AA299" s="34" t="str">
        <f aca="false">IF(Z299="","",IFERROR(VLOOKUP(Z299,REPS!$A$2:$D$40,4,0),""))</f>
        <v/>
      </c>
      <c r="AB299" s="31" t="str">
        <f aca="false">IF(O299="","",IF(AA299="",0,O299*IF(AA299&gt;1,AA299/100,AA299)))</f>
        <v/>
      </c>
      <c r="AC299" s="31" t="str">
        <f aca="false">IF(O299="","",V299+Y299+AB299)</f>
        <v/>
      </c>
      <c r="AD299" s="19" t="str">
        <f aca="false">IF(O299="","",O299-R299-AC299)</f>
        <v/>
      </c>
      <c r="AE299" s="20"/>
      <c r="AF299" s="27"/>
      <c r="AG299" s="21" t="n">
        <f aca="false">IF(OR(AE299="",AE299=0),0,AE299*IF(U299="",0,IF(U299&gt;1,U299/100,U299)))</f>
        <v>0</v>
      </c>
      <c r="AH299" s="21" t="n">
        <f aca="false">IF(OR(AE299="",AE299=0),0,AE299*IF(X299="",0,IF(X299&gt;1,X299/100,X299)))</f>
        <v>0</v>
      </c>
      <c r="AI299" s="21" t="n">
        <f aca="false">IF(OR(AE299="",AE299=0),0,AE299*IF(AA299="",0,IF(AA299&gt;1,AA299/100,AA299)))</f>
        <v>0</v>
      </c>
      <c r="AJ299" s="21" t="n">
        <f aca="false">AG299+AH299+AI299</f>
        <v>0</v>
      </c>
      <c r="AK299" s="21" t="n">
        <f aca="false">IF(OR(AE299="",AE299=0),0,AE299-AJ299)</f>
        <v>0</v>
      </c>
      <c r="AL299" s="19" t="str">
        <f aca="false">IF(AD299="","",AD299-AK299)</f>
        <v/>
      </c>
      <c r="AM299" s="26" t="str">
        <f aca="false">IF(C299="","","Waiting for payment")</f>
        <v/>
      </c>
      <c r="AN299" s="27"/>
      <c r="AO299" s="27"/>
      <c r="AP299" s="35" t="str">
        <f aca="false">IF(OR(C299="",I299="",K299=""),"",IF(K299="Monthly",EDATE(C299,ROUND(I299*SETTINGS!$I$8,0)),WORKDAY(C299,ROUND(I299*SETTINGS!$I$8,0))))</f>
        <v/>
      </c>
      <c r="AQ299" s="26" t="str">
        <f aca="true">IF(C299="","",IF(AND(AP299&lt;&gt;"",TODAY()&gt;=AP299),"Refi Ready",IF(TODAY()-C299&gt;=SETTINGS!$I$11,"Prospecting","Performing")))</f>
        <v/>
      </c>
      <c r="AR299" s="35" t="str">
        <f aca="false">IF(OR(C299="",I299="",K299=""),"",IF(K299="Monthly",EDATE(C299,I299),WORKDAY(C299,I299)))</f>
        <v/>
      </c>
      <c r="AS299" s="28"/>
      <c r="AT299" s="36" t="str">
        <f aca="true">IF(C299="","",IF(AM299="Clawed Back","CLAWED",IF(TODAY()&lt;=C299+SETTINGS!$I$2,"⚠ AT RISK","SAFE")))</f>
        <v/>
      </c>
      <c r="AU299" s="28"/>
      <c r="AW299" s="24" t="n">
        <f aca="false">AW298+IF(AND(C299&lt;&gt;"",AO299&lt;&gt;"",OR('REP COMMISSION'!$B$3="",T299='REP COMMISSION'!$B$3,W299='REP COMMISSION'!$B$3,Z299='REP COMMISSION'!$B$3)),1,0)</f>
        <v>0</v>
      </c>
      <c r="AX299" s="24" t="n">
        <f aca="false">AX298+IF(AND(C299&lt;&gt;"",OR(F299="LOC - INITIAL",F299="CONSOLIDATION - UPFRONT COMM",F299="REVERSE - TOTAL FUNDING")),1,0)</f>
        <v>0</v>
      </c>
    </row>
    <row r="300" customFormat="false" ht="15" hidden="false" customHeight="false" outlineLevel="0" collapsed="false">
      <c r="A300" s="8" t="str">
        <f aca="false">IF(C300&lt;&gt;"","F"&amp;COUNT($C$4:C300),"")</f>
        <v/>
      </c>
      <c r="B300" s="9" t="str">
        <f aca="false">IF(OR(F300="LOC - INITIAL",F300="CONSOLIDATION - UPFRONT COMM",F300="REVERSE - TOTAL FUNDING"),A300,"")</f>
        <v/>
      </c>
      <c r="C300" s="10"/>
      <c r="D300" s="11"/>
      <c r="E300" s="11"/>
      <c r="F300" s="11"/>
      <c r="G300" s="12"/>
      <c r="H300" s="13"/>
      <c r="I300" s="11"/>
      <c r="J300" s="14" t="str">
        <f aca="false">IF(AND(G300&lt;&gt;"",H300&lt;&gt;""),G300*H300,"")</f>
        <v/>
      </c>
      <c r="K300" s="11"/>
      <c r="L300" s="15"/>
      <c r="M300" s="15"/>
      <c r="N300" s="14" t="n">
        <f aca="false">IF(OR(G300="",M300=""),0,IF(M300&gt;100,M300,G300*IF(M300&gt;1,M300/100,M300)))</f>
        <v>0</v>
      </c>
      <c r="O300" s="14" t="str">
        <f aca="false">IF(G300="","",G300*IF(L300="",0,IF(L300&gt;1,L300/100,L300))+N300)</f>
        <v/>
      </c>
      <c r="P300" s="11"/>
      <c r="Q300" s="16" t="str">
        <f aca="false">IF(P300="","",IFERROR(VLOOKUP(P300,PARTNERS!$A$2:$B$30,2,0),""))</f>
        <v/>
      </c>
      <c r="R300" s="17" t="str">
        <f aca="false">IF(O300="","",IF(OR(P300="",Q300=""),0,(O300-N300)*IF(Q300&gt;1,Q300/100,Q300)))</f>
        <v/>
      </c>
      <c r="S300" s="14" t="str">
        <f aca="false">IF(O300="","",O300-R300)</f>
        <v/>
      </c>
      <c r="T300" s="11"/>
      <c r="U300" s="18" t="str">
        <f aca="false">IF(T300="","",IFERROR(VLOOKUP(T300,REPS!$A$2:$D$40,2,0),""))</f>
        <v/>
      </c>
      <c r="V300" s="14" t="str">
        <f aca="false">IF(O300="","",IF(U300="",0,O300*IF(U300&gt;1,U300/100,U300)))</f>
        <v/>
      </c>
      <c r="W300" s="11"/>
      <c r="X300" s="18" t="str">
        <f aca="false">IF(W300="","",IFERROR(VLOOKUP(W300,REPS!$A$2:$D$40,3,0),""))</f>
        <v/>
      </c>
      <c r="Y300" s="14" t="str">
        <f aca="false">IF(O300="","",IF(X300="",0,O300*IF(X300&gt;1,X300/100,X300)))</f>
        <v/>
      </c>
      <c r="Z300" s="11"/>
      <c r="AA300" s="18" t="str">
        <f aca="false">IF(Z300="","",IFERROR(VLOOKUP(Z300,REPS!$A$2:$D$40,4,0),""))</f>
        <v/>
      </c>
      <c r="AB300" s="14" t="str">
        <f aca="false">IF(O300="","",IF(AA300="",0,O300*IF(AA300&gt;1,AA300/100,AA300)))</f>
        <v/>
      </c>
      <c r="AC300" s="14" t="str">
        <f aca="false">IF(O300="","",V300+Y300+AB300)</f>
        <v/>
      </c>
      <c r="AD300" s="19" t="str">
        <f aca="false">IF(O300="","",O300-R300-AC300)</f>
        <v/>
      </c>
      <c r="AE300" s="20"/>
      <c r="AF300" s="10"/>
      <c r="AG300" s="21" t="n">
        <f aca="false">IF(OR(AE300="",AE300=0),0,AE300*IF(U300="",0,IF(U300&gt;1,U300/100,U300)))</f>
        <v>0</v>
      </c>
      <c r="AH300" s="21" t="n">
        <f aca="false">IF(OR(AE300="",AE300=0),0,AE300*IF(X300="",0,IF(X300&gt;1,X300/100,X300)))</f>
        <v>0</v>
      </c>
      <c r="AI300" s="21" t="n">
        <f aca="false">IF(OR(AE300="",AE300=0),0,AE300*IF(AA300="",0,IF(AA300&gt;1,AA300/100,AA300)))</f>
        <v>0</v>
      </c>
      <c r="AJ300" s="21" t="n">
        <f aca="false">AG300+AH300+AI300</f>
        <v>0</v>
      </c>
      <c r="AK300" s="21" t="n">
        <f aca="false">IF(OR(AE300="",AE300=0),0,AE300-AJ300)</f>
        <v>0</v>
      </c>
      <c r="AL300" s="19" t="str">
        <f aca="false">IF(AD300="","",AD300-AK300)</f>
        <v/>
      </c>
      <c r="AM300" s="9" t="str">
        <f aca="false">IF(C300="","","Waiting for payment")</f>
        <v/>
      </c>
      <c r="AN300" s="10"/>
      <c r="AO300" s="10"/>
      <c r="AP300" s="22" t="str">
        <f aca="false">IF(OR(C300="",I300="",K300=""),"",IF(K300="Monthly",EDATE(C300,ROUND(I300*SETTINGS!$I$8,0)),WORKDAY(C300,ROUND(I300*SETTINGS!$I$8,0))))</f>
        <v/>
      </c>
      <c r="AQ300" s="9" t="str">
        <f aca="true">IF(C300="","",IF(AND(AP300&lt;&gt;"",TODAY()&gt;=AP300),"Refi Ready",IF(TODAY()-C300&gt;=SETTINGS!$I$11,"Prospecting","Performing")))</f>
        <v/>
      </c>
      <c r="AR300" s="22" t="str">
        <f aca="false">IF(OR(C300="",I300="",K300=""),"",IF(K300="Monthly",EDATE(C300,I300),WORKDAY(C300,I300)))</f>
        <v/>
      </c>
      <c r="AS300" s="11"/>
      <c r="AT300" s="23" t="str">
        <f aca="true">IF(C300="","",IF(AM300="Clawed Back","CLAWED",IF(TODAY()&lt;=C300+SETTINGS!$I$2,"⚠ AT RISK","SAFE")))</f>
        <v/>
      </c>
      <c r="AU300" s="11"/>
      <c r="AW300" s="24" t="n">
        <f aca="false">AW299+IF(AND(C300&lt;&gt;"",AO300&lt;&gt;"",OR('REP COMMISSION'!$B$3="",T300='REP COMMISSION'!$B$3,W300='REP COMMISSION'!$B$3,Z300='REP COMMISSION'!$B$3)),1,0)</f>
        <v>0</v>
      </c>
      <c r="AX300" s="24" t="n">
        <f aca="false">AX299+IF(AND(C300&lt;&gt;"",OR(F300="LOC - INITIAL",F300="CONSOLIDATION - UPFRONT COMM",F300="REVERSE - TOTAL FUNDING")),1,0)</f>
        <v>0</v>
      </c>
    </row>
    <row r="301" customFormat="false" ht="15" hidden="false" customHeight="false" outlineLevel="0" collapsed="false">
      <c r="A301" s="25" t="str">
        <f aca="false">IF(C301&lt;&gt;"","F"&amp;COUNT($C$4:C301),"")</f>
        <v/>
      </c>
      <c r="B301" s="26" t="str">
        <f aca="false">IF(OR(F301="LOC - INITIAL",F301="CONSOLIDATION - UPFRONT COMM",F301="REVERSE - TOTAL FUNDING"),A301,"")</f>
        <v/>
      </c>
      <c r="C301" s="27"/>
      <c r="D301" s="28"/>
      <c r="E301" s="28"/>
      <c r="F301" s="28"/>
      <c r="G301" s="29"/>
      <c r="H301" s="30"/>
      <c r="I301" s="28"/>
      <c r="J301" s="31" t="str">
        <f aca="false">IF(AND(G301&lt;&gt;"",H301&lt;&gt;""),G301*H301,"")</f>
        <v/>
      </c>
      <c r="K301" s="28"/>
      <c r="L301" s="32"/>
      <c r="M301" s="32"/>
      <c r="N301" s="31" t="n">
        <f aca="false">IF(OR(G301="",M301=""),0,IF(M301&gt;100,M301,G301*IF(M301&gt;1,M301/100,M301)))</f>
        <v>0</v>
      </c>
      <c r="O301" s="31" t="str">
        <f aca="false">IF(G301="","",G301*IF(L301="",0,IF(L301&gt;1,L301/100,L301))+N301)</f>
        <v/>
      </c>
      <c r="P301" s="28"/>
      <c r="Q301" s="33" t="str">
        <f aca="false">IF(P301="","",IFERROR(VLOOKUP(P301,PARTNERS!$A$2:$B$30,2,0),""))</f>
        <v/>
      </c>
      <c r="R301" s="17" t="str">
        <f aca="false">IF(O301="","",IF(OR(P301="",Q301=""),0,(O301-N301)*IF(Q301&gt;1,Q301/100,Q301)))</f>
        <v/>
      </c>
      <c r="S301" s="31" t="str">
        <f aca="false">IF(O301="","",O301-R301)</f>
        <v/>
      </c>
      <c r="T301" s="28"/>
      <c r="U301" s="34" t="str">
        <f aca="false">IF(T301="","",IFERROR(VLOOKUP(T301,REPS!$A$2:$D$40,2,0),""))</f>
        <v/>
      </c>
      <c r="V301" s="31" t="str">
        <f aca="false">IF(O301="","",IF(U301="",0,O301*IF(U301&gt;1,U301/100,U301)))</f>
        <v/>
      </c>
      <c r="W301" s="28"/>
      <c r="X301" s="34" t="str">
        <f aca="false">IF(W301="","",IFERROR(VLOOKUP(W301,REPS!$A$2:$D$40,3,0),""))</f>
        <v/>
      </c>
      <c r="Y301" s="31" t="str">
        <f aca="false">IF(O301="","",IF(X301="",0,O301*IF(X301&gt;1,X301/100,X301)))</f>
        <v/>
      </c>
      <c r="Z301" s="28"/>
      <c r="AA301" s="34" t="str">
        <f aca="false">IF(Z301="","",IFERROR(VLOOKUP(Z301,REPS!$A$2:$D$40,4,0),""))</f>
        <v/>
      </c>
      <c r="AB301" s="31" t="str">
        <f aca="false">IF(O301="","",IF(AA301="",0,O301*IF(AA301&gt;1,AA301/100,AA301)))</f>
        <v/>
      </c>
      <c r="AC301" s="31" t="str">
        <f aca="false">IF(O301="","",V301+Y301+AB301)</f>
        <v/>
      </c>
      <c r="AD301" s="19" t="str">
        <f aca="false">IF(O301="","",O301-R301-AC301)</f>
        <v/>
      </c>
      <c r="AE301" s="20"/>
      <c r="AF301" s="27"/>
      <c r="AG301" s="21" t="n">
        <f aca="false">IF(OR(AE301="",AE301=0),0,AE301*IF(U301="",0,IF(U301&gt;1,U301/100,U301)))</f>
        <v>0</v>
      </c>
      <c r="AH301" s="21" t="n">
        <f aca="false">IF(OR(AE301="",AE301=0),0,AE301*IF(X301="",0,IF(X301&gt;1,X301/100,X301)))</f>
        <v>0</v>
      </c>
      <c r="AI301" s="21" t="n">
        <f aca="false">IF(OR(AE301="",AE301=0),0,AE301*IF(AA301="",0,IF(AA301&gt;1,AA301/100,AA301)))</f>
        <v>0</v>
      </c>
      <c r="AJ301" s="21" t="n">
        <f aca="false">AG301+AH301+AI301</f>
        <v>0</v>
      </c>
      <c r="AK301" s="21" t="n">
        <f aca="false">IF(OR(AE301="",AE301=0),0,AE301-AJ301)</f>
        <v>0</v>
      </c>
      <c r="AL301" s="19" t="str">
        <f aca="false">IF(AD301="","",AD301-AK301)</f>
        <v/>
      </c>
      <c r="AM301" s="26" t="str">
        <f aca="false">IF(C301="","","Waiting for payment")</f>
        <v/>
      </c>
      <c r="AN301" s="27"/>
      <c r="AO301" s="27"/>
      <c r="AP301" s="35" t="str">
        <f aca="false">IF(OR(C301="",I301="",K301=""),"",IF(K301="Monthly",EDATE(C301,ROUND(I301*SETTINGS!$I$8,0)),WORKDAY(C301,ROUND(I301*SETTINGS!$I$8,0))))</f>
        <v/>
      </c>
      <c r="AQ301" s="26" t="str">
        <f aca="true">IF(C301="","",IF(AND(AP301&lt;&gt;"",TODAY()&gt;=AP301),"Refi Ready",IF(TODAY()-C301&gt;=SETTINGS!$I$11,"Prospecting","Performing")))</f>
        <v/>
      </c>
      <c r="AR301" s="35" t="str">
        <f aca="false">IF(OR(C301="",I301="",K301=""),"",IF(K301="Monthly",EDATE(C301,I301),WORKDAY(C301,I301)))</f>
        <v/>
      </c>
      <c r="AS301" s="28"/>
      <c r="AT301" s="36" t="str">
        <f aca="true">IF(C301="","",IF(AM301="Clawed Back","CLAWED",IF(TODAY()&lt;=C301+SETTINGS!$I$2,"⚠ AT RISK","SAFE")))</f>
        <v/>
      </c>
      <c r="AU301" s="28"/>
      <c r="AW301" s="24" t="n">
        <f aca="false">AW300+IF(AND(C301&lt;&gt;"",AO301&lt;&gt;"",OR('REP COMMISSION'!$B$3="",T301='REP COMMISSION'!$B$3,W301='REP COMMISSION'!$B$3,Z301='REP COMMISSION'!$B$3)),1,0)</f>
        <v>0</v>
      </c>
      <c r="AX301" s="24" t="n">
        <f aca="false">AX300+IF(AND(C301&lt;&gt;"",OR(F301="LOC - INITIAL",F301="CONSOLIDATION - UPFRONT COMM",F301="REVERSE - TOTAL FUNDING")),1,0)</f>
        <v>0</v>
      </c>
    </row>
    <row r="302" customFormat="false" ht="15" hidden="false" customHeight="false" outlineLevel="0" collapsed="false">
      <c r="A302" s="8" t="str">
        <f aca="false">IF(C302&lt;&gt;"","F"&amp;COUNT($C$4:C302),"")</f>
        <v/>
      </c>
      <c r="B302" s="9" t="str">
        <f aca="false">IF(OR(F302="LOC - INITIAL",F302="CONSOLIDATION - UPFRONT COMM",F302="REVERSE - TOTAL FUNDING"),A302,"")</f>
        <v/>
      </c>
      <c r="C302" s="10"/>
      <c r="D302" s="11"/>
      <c r="E302" s="11"/>
      <c r="F302" s="11"/>
      <c r="G302" s="12"/>
      <c r="H302" s="13"/>
      <c r="I302" s="11"/>
      <c r="J302" s="14" t="str">
        <f aca="false">IF(AND(G302&lt;&gt;"",H302&lt;&gt;""),G302*H302,"")</f>
        <v/>
      </c>
      <c r="K302" s="11"/>
      <c r="L302" s="15"/>
      <c r="M302" s="15"/>
      <c r="N302" s="14" t="n">
        <f aca="false">IF(OR(G302="",M302=""),0,IF(M302&gt;100,M302,G302*IF(M302&gt;1,M302/100,M302)))</f>
        <v>0</v>
      </c>
      <c r="O302" s="14" t="str">
        <f aca="false">IF(G302="","",G302*IF(L302="",0,IF(L302&gt;1,L302/100,L302))+N302)</f>
        <v/>
      </c>
      <c r="P302" s="11"/>
      <c r="Q302" s="16" t="str">
        <f aca="false">IF(P302="","",IFERROR(VLOOKUP(P302,PARTNERS!$A$2:$B$30,2,0),""))</f>
        <v/>
      </c>
      <c r="R302" s="17" t="str">
        <f aca="false">IF(O302="","",IF(OR(P302="",Q302=""),0,(O302-N302)*IF(Q302&gt;1,Q302/100,Q302)))</f>
        <v/>
      </c>
      <c r="S302" s="14" t="str">
        <f aca="false">IF(O302="","",O302-R302)</f>
        <v/>
      </c>
      <c r="T302" s="11"/>
      <c r="U302" s="18" t="str">
        <f aca="false">IF(T302="","",IFERROR(VLOOKUP(T302,REPS!$A$2:$D$40,2,0),""))</f>
        <v/>
      </c>
      <c r="V302" s="14" t="str">
        <f aca="false">IF(O302="","",IF(U302="",0,O302*IF(U302&gt;1,U302/100,U302)))</f>
        <v/>
      </c>
      <c r="W302" s="11"/>
      <c r="X302" s="18" t="str">
        <f aca="false">IF(W302="","",IFERROR(VLOOKUP(W302,REPS!$A$2:$D$40,3,0),""))</f>
        <v/>
      </c>
      <c r="Y302" s="14" t="str">
        <f aca="false">IF(O302="","",IF(X302="",0,O302*IF(X302&gt;1,X302/100,X302)))</f>
        <v/>
      </c>
      <c r="Z302" s="11"/>
      <c r="AA302" s="18" t="str">
        <f aca="false">IF(Z302="","",IFERROR(VLOOKUP(Z302,REPS!$A$2:$D$40,4,0),""))</f>
        <v/>
      </c>
      <c r="AB302" s="14" t="str">
        <f aca="false">IF(O302="","",IF(AA302="",0,O302*IF(AA302&gt;1,AA302/100,AA302)))</f>
        <v/>
      </c>
      <c r="AC302" s="14" t="str">
        <f aca="false">IF(O302="","",V302+Y302+AB302)</f>
        <v/>
      </c>
      <c r="AD302" s="19" t="str">
        <f aca="false">IF(O302="","",O302-R302-AC302)</f>
        <v/>
      </c>
      <c r="AE302" s="20"/>
      <c r="AF302" s="10"/>
      <c r="AG302" s="21" t="n">
        <f aca="false">IF(OR(AE302="",AE302=0),0,AE302*IF(U302="",0,IF(U302&gt;1,U302/100,U302)))</f>
        <v>0</v>
      </c>
      <c r="AH302" s="21" t="n">
        <f aca="false">IF(OR(AE302="",AE302=0),0,AE302*IF(X302="",0,IF(X302&gt;1,X302/100,X302)))</f>
        <v>0</v>
      </c>
      <c r="AI302" s="21" t="n">
        <f aca="false">IF(OR(AE302="",AE302=0),0,AE302*IF(AA302="",0,IF(AA302&gt;1,AA302/100,AA302)))</f>
        <v>0</v>
      </c>
      <c r="AJ302" s="21" t="n">
        <f aca="false">AG302+AH302+AI302</f>
        <v>0</v>
      </c>
      <c r="AK302" s="21" t="n">
        <f aca="false">IF(OR(AE302="",AE302=0),0,AE302-AJ302)</f>
        <v>0</v>
      </c>
      <c r="AL302" s="19" t="str">
        <f aca="false">IF(AD302="","",AD302-AK302)</f>
        <v/>
      </c>
      <c r="AM302" s="9" t="str">
        <f aca="false">IF(C302="","","Waiting for payment")</f>
        <v/>
      </c>
      <c r="AN302" s="10"/>
      <c r="AO302" s="10"/>
      <c r="AP302" s="22" t="str">
        <f aca="false">IF(OR(C302="",I302="",K302=""),"",IF(K302="Monthly",EDATE(C302,ROUND(I302*SETTINGS!$I$8,0)),WORKDAY(C302,ROUND(I302*SETTINGS!$I$8,0))))</f>
        <v/>
      </c>
      <c r="AQ302" s="9" t="str">
        <f aca="true">IF(C302="","",IF(AND(AP302&lt;&gt;"",TODAY()&gt;=AP302),"Refi Ready",IF(TODAY()-C302&gt;=SETTINGS!$I$11,"Prospecting","Performing")))</f>
        <v/>
      </c>
      <c r="AR302" s="22" t="str">
        <f aca="false">IF(OR(C302="",I302="",K302=""),"",IF(K302="Monthly",EDATE(C302,I302),WORKDAY(C302,I302)))</f>
        <v/>
      </c>
      <c r="AS302" s="11"/>
      <c r="AT302" s="23" t="str">
        <f aca="true">IF(C302="","",IF(AM302="Clawed Back","CLAWED",IF(TODAY()&lt;=C302+SETTINGS!$I$2,"⚠ AT RISK","SAFE")))</f>
        <v/>
      </c>
      <c r="AU302" s="11"/>
      <c r="AW302" s="24" t="n">
        <f aca="false">AW301+IF(AND(C302&lt;&gt;"",AO302&lt;&gt;"",OR('REP COMMISSION'!$B$3="",T302='REP COMMISSION'!$B$3,W302='REP COMMISSION'!$B$3,Z302='REP COMMISSION'!$B$3)),1,0)</f>
        <v>0</v>
      </c>
      <c r="AX302" s="24" t="n">
        <f aca="false">AX301+IF(AND(C302&lt;&gt;"",OR(F302="LOC - INITIAL",F302="CONSOLIDATION - UPFRONT COMM",F302="REVERSE - TOTAL FUNDING")),1,0)</f>
        <v>0</v>
      </c>
    </row>
    <row r="303" customFormat="false" ht="15" hidden="false" customHeight="false" outlineLevel="0" collapsed="false">
      <c r="A303" s="25" t="str">
        <f aca="false">IF(C303&lt;&gt;"","F"&amp;COUNT($C$4:C303),"")</f>
        <v/>
      </c>
      <c r="B303" s="26" t="str">
        <f aca="false">IF(OR(F303="LOC - INITIAL",F303="CONSOLIDATION - UPFRONT COMM",F303="REVERSE - TOTAL FUNDING"),A303,"")</f>
        <v/>
      </c>
      <c r="C303" s="27"/>
      <c r="D303" s="28"/>
      <c r="E303" s="28"/>
      <c r="F303" s="28"/>
      <c r="G303" s="29"/>
      <c r="H303" s="30"/>
      <c r="I303" s="28"/>
      <c r="J303" s="31" t="str">
        <f aca="false">IF(AND(G303&lt;&gt;"",H303&lt;&gt;""),G303*H303,"")</f>
        <v/>
      </c>
      <c r="K303" s="28"/>
      <c r="L303" s="32"/>
      <c r="M303" s="32"/>
      <c r="N303" s="31" t="n">
        <f aca="false">IF(OR(G303="",M303=""),0,IF(M303&gt;100,M303,G303*IF(M303&gt;1,M303/100,M303)))</f>
        <v>0</v>
      </c>
      <c r="O303" s="31" t="str">
        <f aca="false">IF(G303="","",G303*IF(L303="",0,IF(L303&gt;1,L303/100,L303))+N303)</f>
        <v/>
      </c>
      <c r="P303" s="28"/>
      <c r="Q303" s="33" t="str">
        <f aca="false">IF(P303="","",IFERROR(VLOOKUP(P303,PARTNERS!$A$2:$B$30,2,0),""))</f>
        <v/>
      </c>
      <c r="R303" s="17" t="str">
        <f aca="false">IF(O303="","",IF(OR(P303="",Q303=""),0,(O303-N303)*IF(Q303&gt;1,Q303/100,Q303)))</f>
        <v/>
      </c>
      <c r="S303" s="31" t="str">
        <f aca="false">IF(O303="","",O303-R303)</f>
        <v/>
      </c>
      <c r="T303" s="28"/>
      <c r="U303" s="34" t="str">
        <f aca="false">IF(T303="","",IFERROR(VLOOKUP(T303,REPS!$A$2:$D$40,2,0),""))</f>
        <v/>
      </c>
      <c r="V303" s="31" t="str">
        <f aca="false">IF(O303="","",IF(U303="",0,O303*IF(U303&gt;1,U303/100,U303)))</f>
        <v/>
      </c>
      <c r="W303" s="28"/>
      <c r="X303" s="34" t="str">
        <f aca="false">IF(W303="","",IFERROR(VLOOKUP(W303,REPS!$A$2:$D$40,3,0),""))</f>
        <v/>
      </c>
      <c r="Y303" s="31" t="str">
        <f aca="false">IF(O303="","",IF(X303="",0,O303*IF(X303&gt;1,X303/100,X303)))</f>
        <v/>
      </c>
      <c r="Z303" s="28"/>
      <c r="AA303" s="34" t="str">
        <f aca="false">IF(Z303="","",IFERROR(VLOOKUP(Z303,REPS!$A$2:$D$40,4,0),""))</f>
        <v/>
      </c>
      <c r="AB303" s="31" t="str">
        <f aca="false">IF(O303="","",IF(AA303="",0,O303*IF(AA303&gt;1,AA303/100,AA303)))</f>
        <v/>
      </c>
      <c r="AC303" s="31" t="str">
        <f aca="false">IF(O303="","",V303+Y303+AB303)</f>
        <v/>
      </c>
      <c r="AD303" s="19" t="str">
        <f aca="false">IF(O303="","",O303-R303-AC303)</f>
        <v/>
      </c>
      <c r="AE303" s="20"/>
      <c r="AF303" s="27"/>
      <c r="AG303" s="21" t="n">
        <f aca="false">IF(OR(AE303="",AE303=0),0,AE303*IF(U303="",0,IF(U303&gt;1,U303/100,U303)))</f>
        <v>0</v>
      </c>
      <c r="AH303" s="21" t="n">
        <f aca="false">IF(OR(AE303="",AE303=0),0,AE303*IF(X303="",0,IF(X303&gt;1,X303/100,X303)))</f>
        <v>0</v>
      </c>
      <c r="AI303" s="21" t="n">
        <f aca="false">IF(OR(AE303="",AE303=0),0,AE303*IF(AA303="",0,IF(AA303&gt;1,AA303/100,AA303)))</f>
        <v>0</v>
      </c>
      <c r="AJ303" s="21" t="n">
        <f aca="false">AG303+AH303+AI303</f>
        <v>0</v>
      </c>
      <c r="AK303" s="21" t="n">
        <f aca="false">IF(OR(AE303="",AE303=0),0,AE303-AJ303)</f>
        <v>0</v>
      </c>
      <c r="AL303" s="19" t="str">
        <f aca="false">IF(AD303="","",AD303-AK303)</f>
        <v/>
      </c>
      <c r="AM303" s="26" t="str">
        <f aca="false">IF(C303="","","Waiting for payment")</f>
        <v/>
      </c>
      <c r="AN303" s="27"/>
      <c r="AO303" s="27"/>
      <c r="AP303" s="35" t="str">
        <f aca="false">IF(OR(C303="",I303="",K303=""),"",IF(K303="Monthly",EDATE(C303,ROUND(I303*SETTINGS!$I$8,0)),WORKDAY(C303,ROUND(I303*SETTINGS!$I$8,0))))</f>
        <v/>
      </c>
      <c r="AQ303" s="26" t="str">
        <f aca="true">IF(C303="","",IF(AND(AP303&lt;&gt;"",TODAY()&gt;=AP303),"Refi Ready",IF(TODAY()-C303&gt;=SETTINGS!$I$11,"Prospecting","Performing")))</f>
        <v/>
      </c>
      <c r="AR303" s="35" t="str">
        <f aca="false">IF(OR(C303="",I303="",K303=""),"",IF(K303="Monthly",EDATE(C303,I303),WORKDAY(C303,I303)))</f>
        <v/>
      </c>
      <c r="AS303" s="28"/>
      <c r="AT303" s="36" t="str">
        <f aca="true">IF(C303="","",IF(AM303="Clawed Back","CLAWED",IF(TODAY()&lt;=C303+SETTINGS!$I$2,"⚠ AT RISK","SAFE")))</f>
        <v/>
      </c>
      <c r="AU303" s="28"/>
      <c r="AW303" s="24" t="n">
        <f aca="false">AW302+IF(AND(C303&lt;&gt;"",AO303&lt;&gt;"",OR('REP COMMISSION'!$B$3="",T303='REP COMMISSION'!$B$3,W303='REP COMMISSION'!$B$3,Z303='REP COMMISSION'!$B$3)),1,0)</f>
        <v>0</v>
      </c>
      <c r="AX303" s="24" t="n">
        <f aca="false">AX302+IF(AND(C303&lt;&gt;"",OR(F303="LOC - INITIAL",F303="CONSOLIDATION - UPFRONT COMM",F303="REVERSE - TOTAL FUNDING")),1,0)</f>
        <v>0</v>
      </c>
    </row>
    <row r="304" customFormat="false" ht="15" hidden="false" customHeight="false" outlineLevel="0" collapsed="false">
      <c r="A304" s="8" t="str">
        <f aca="false">IF(C304&lt;&gt;"","F"&amp;COUNT($C$4:C304),"")</f>
        <v/>
      </c>
      <c r="B304" s="9" t="str">
        <f aca="false">IF(OR(F304="LOC - INITIAL",F304="CONSOLIDATION - UPFRONT COMM",F304="REVERSE - TOTAL FUNDING"),A304,"")</f>
        <v/>
      </c>
      <c r="C304" s="10"/>
      <c r="D304" s="11"/>
      <c r="E304" s="11"/>
      <c r="F304" s="11"/>
      <c r="G304" s="12"/>
      <c r="H304" s="13"/>
      <c r="I304" s="11"/>
      <c r="J304" s="14" t="str">
        <f aca="false">IF(AND(G304&lt;&gt;"",H304&lt;&gt;""),G304*H304,"")</f>
        <v/>
      </c>
      <c r="K304" s="11"/>
      <c r="L304" s="15"/>
      <c r="M304" s="15"/>
      <c r="N304" s="14" t="n">
        <f aca="false">IF(OR(G304="",M304=""),0,IF(M304&gt;100,M304,G304*IF(M304&gt;1,M304/100,M304)))</f>
        <v>0</v>
      </c>
      <c r="O304" s="14" t="str">
        <f aca="false">IF(G304="","",G304*IF(L304="",0,IF(L304&gt;1,L304/100,L304))+N304)</f>
        <v/>
      </c>
      <c r="P304" s="11"/>
      <c r="Q304" s="16" t="str">
        <f aca="false">IF(P304="","",IFERROR(VLOOKUP(P304,PARTNERS!$A$2:$B$30,2,0),""))</f>
        <v/>
      </c>
      <c r="R304" s="17" t="str">
        <f aca="false">IF(O304="","",IF(OR(P304="",Q304=""),0,(O304-N304)*IF(Q304&gt;1,Q304/100,Q304)))</f>
        <v/>
      </c>
      <c r="S304" s="14" t="str">
        <f aca="false">IF(O304="","",O304-R304)</f>
        <v/>
      </c>
      <c r="T304" s="11"/>
      <c r="U304" s="18" t="str">
        <f aca="false">IF(T304="","",IFERROR(VLOOKUP(T304,REPS!$A$2:$D$40,2,0),""))</f>
        <v/>
      </c>
      <c r="V304" s="14" t="str">
        <f aca="false">IF(O304="","",IF(U304="",0,O304*IF(U304&gt;1,U304/100,U304)))</f>
        <v/>
      </c>
      <c r="W304" s="11"/>
      <c r="X304" s="18" t="str">
        <f aca="false">IF(W304="","",IFERROR(VLOOKUP(W304,REPS!$A$2:$D$40,3,0),""))</f>
        <v/>
      </c>
      <c r="Y304" s="14" t="str">
        <f aca="false">IF(O304="","",IF(X304="",0,O304*IF(X304&gt;1,X304/100,X304)))</f>
        <v/>
      </c>
      <c r="Z304" s="11"/>
      <c r="AA304" s="18" t="str">
        <f aca="false">IF(Z304="","",IFERROR(VLOOKUP(Z304,REPS!$A$2:$D$40,4,0),""))</f>
        <v/>
      </c>
      <c r="AB304" s="14" t="str">
        <f aca="false">IF(O304="","",IF(AA304="",0,O304*IF(AA304&gt;1,AA304/100,AA304)))</f>
        <v/>
      </c>
      <c r="AC304" s="14" t="str">
        <f aca="false">IF(O304="","",V304+Y304+AB304)</f>
        <v/>
      </c>
      <c r="AD304" s="19" t="str">
        <f aca="false">IF(O304="","",O304-R304-AC304)</f>
        <v/>
      </c>
      <c r="AE304" s="20"/>
      <c r="AF304" s="10"/>
      <c r="AG304" s="21" t="n">
        <f aca="false">IF(OR(AE304="",AE304=0),0,AE304*IF(U304="",0,IF(U304&gt;1,U304/100,U304)))</f>
        <v>0</v>
      </c>
      <c r="AH304" s="21" t="n">
        <f aca="false">IF(OR(AE304="",AE304=0),0,AE304*IF(X304="",0,IF(X304&gt;1,X304/100,X304)))</f>
        <v>0</v>
      </c>
      <c r="AI304" s="21" t="n">
        <f aca="false">IF(OR(AE304="",AE304=0),0,AE304*IF(AA304="",0,IF(AA304&gt;1,AA304/100,AA304)))</f>
        <v>0</v>
      </c>
      <c r="AJ304" s="21" t="n">
        <f aca="false">AG304+AH304+AI304</f>
        <v>0</v>
      </c>
      <c r="AK304" s="21" t="n">
        <f aca="false">IF(OR(AE304="",AE304=0),0,AE304-AJ304)</f>
        <v>0</v>
      </c>
      <c r="AL304" s="19" t="str">
        <f aca="false">IF(AD304="","",AD304-AK304)</f>
        <v/>
      </c>
      <c r="AM304" s="9" t="str">
        <f aca="false">IF(C304="","","Waiting for payment")</f>
        <v/>
      </c>
      <c r="AN304" s="10"/>
      <c r="AO304" s="10"/>
      <c r="AP304" s="22" t="str">
        <f aca="false">IF(OR(C304="",I304="",K304=""),"",IF(K304="Monthly",EDATE(C304,ROUND(I304*SETTINGS!$I$8,0)),WORKDAY(C304,ROUND(I304*SETTINGS!$I$8,0))))</f>
        <v/>
      </c>
      <c r="AQ304" s="9" t="str">
        <f aca="true">IF(C304="","",IF(AND(AP304&lt;&gt;"",TODAY()&gt;=AP304),"Refi Ready",IF(TODAY()-C304&gt;=SETTINGS!$I$11,"Prospecting","Performing")))</f>
        <v/>
      </c>
      <c r="AR304" s="22" t="str">
        <f aca="false">IF(OR(C304="",I304="",K304=""),"",IF(K304="Monthly",EDATE(C304,I304),WORKDAY(C304,I304)))</f>
        <v/>
      </c>
      <c r="AS304" s="11"/>
      <c r="AT304" s="23" t="str">
        <f aca="true">IF(C304="","",IF(AM304="Clawed Back","CLAWED",IF(TODAY()&lt;=C304+SETTINGS!$I$2,"⚠ AT RISK","SAFE")))</f>
        <v/>
      </c>
      <c r="AU304" s="11"/>
      <c r="AW304" s="24" t="n">
        <f aca="false">AW303+IF(AND(C304&lt;&gt;"",AO304&lt;&gt;"",OR('REP COMMISSION'!$B$3="",T304='REP COMMISSION'!$B$3,W304='REP COMMISSION'!$B$3,Z304='REP COMMISSION'!$B$3)),1,0)</f>
        <v>0</v>
      </c>
      <c r="AX304" s="24" t="n">
        <f aca="false">AX303+IF(AND(C304&lt;&gt;"",OR(F304="LOC - INITIAL",F304="CONSOLIDATION - UPFRONT COMM",F304="REVERSE - TOTAL FUNDING")),1,0)</f>
        <v>0</v>
      </c>
    </row>
    <row r="305" customFormat="false" ht="15" hidden="false" customHeight="false" outlineLevel="0" collapsed="false">
      <c r="A305" s="25" t="str">
        <f aca="false">IF(C305&lt;&gt;"","F"&amp;COUNT($C$4:C305),"")</f>
        <v/>
      </c>
      <c r="B305" s="26" t="str">
        <f aca="false">IF(OR(F305="LOC - INITIAL",F305="CONSOLIDATION - UPFRONT COMM",F305="REVERSE - TOTAL FUNDING"),A305,"")</f>
        <v/>
      </c>
      <c r="C305" s="27"/>
      <c r="D305" s="28"/>
      <c r="E305" s="28"/>
      <c r="F305" s="28"/>
      <c r="G305" s="29"/>
      <c r="H305" s="30"/>
      <c r="I305" s="28"/>
      <c r="J305" s="31" t="str">
        <f aca="false">IF(AND(G305&lt;&gt;"",H305&lt;&gt;""),G305*H305,"")</f>
        <v/>
      </c>
      <c r="K305" s="28"/>
      <c r="L305" s="32"/>
      <c r="M305" s="32"/>
      <c r="N305" s="31" t="n">
        <f aca="false">IF(OR(G305="",M305=""),0,IF(M305&gt;100,M305,G305*IF(M305&gt;1,M305/100,M305)))</f>
        <v>0</v>
      </c>
      <c r="O305" s="31" t="str">
        <f aca="false">IF(G305="","",G305*IF(L305="",0,IF(L305&gt;1,L305/100,L305))+N305)</f>
        <v/>
      </c>
      <c r="P305" s="28"/>
      <c r="Q305" s="33" t="str">
        <f aca="false">IF(P305="","",IFERROR(VLOOKUP(P305,PARTNERS!$A$2:$B$30,2,0),""))</f>
        <v/>
      </c>
      <c r="R305" s="17" t="str">
        <f aca="false">IF(O305="","",IF(OR(P305="",Q305=""),0,(O305-N305)*IF(Q305&gt;1,Q305/100,Q305)))</f>
        <v/>
      </c>
      <c r="S305" s="31" t="str">
        <f aca="false">IF(O305="","",O305-R305)</f>
        <v/>
      </c>
      <c r="T305" s="28"/>
      <c r="U305" s="34" t="str">
        <f aca="false">IF(T305="","",IFERROR(VLOOKUP(T305,REPS!$A$2:$D$40,2,0),""))</f>
        <v/>
      </c>
      <c r="V305" s="31" t="str">
        <f aca="false">IF(O305="","",IF(U305="",0,O305*IF(U305&gt;1,U305/100,U305)))</f>
        <v/>
      </c>
      <c r="W305" s="28"/>
      <c r="X305" s="34" t="str">
        <f aca="false">IF(W305="","",IFERROR(VLOOKUP(W305,REPS!$A$2:$D$40,3,0),""))</f>
        <v/>
      </c>
      <c r="Y305" s="31" t="str">
        <f aca="false">IF(O305="","",IF(X305="",0,O305*IF(X305&gt;1,X305/100,X305)))</f>
        <v/>
      </c>
      <c r="Z305" s="28"/>
      <c r="AA305" s="34" t="str">
        <f aca="false">IF(Z305="","",IFERROR(VLOOKUP(Z305,REPS!$A$2:$D$40,4,0),""))</f>
        <v/>
      </c>
      <c r="AB305" s="31" t="str">
        <f aca="false">IF(O305="","",IF(AA305="",0,O305*IF(AA305&gt;1,AA305/100,AA305)))</f>
        <v/>
      </c>
      <c r="AC305" s="31" t="str">
        <f aca="false">IF(O305="","",V305+Y305+AB305)</f>
        <v/>
      </c>
      <c r="AD305" s="19" t="str">
        <f aca="false">IF(O305="","",O305-R305-AC305)</f>
        <v/>
      </c>
      <c r="AE305" s="20"/>
      <c r="AF305" s="27"/>
      <c r="AG305" s="21" t="n">
        <f aca="false">IF(OR(AE305="",AE305=0),0,AE305*IF(U305="",0,IF(U305&gt;1,U305/100,U305)))</f>
        <v>0</v>
      </c>
      <c r="AH305" s="21" t="n">
        <f aca="false">IF(OR(AE305="",AE305=0),0,AE305*IF(X305="",0,IF(X305&gt;1,X305/100,X305)))</f>
        <v>0</v>
      </c>
      <c r="AI305" s="21" t="n">
        <f aca="false">IF(OR(AE305="",AE305=0),0,AE305*IF(AA305="",0,IF(AA305&gt;1,AA305/100,AA305)))</f>
        <v>0</v>
      </c>
      <c r="AJ305" s="21" t="n">
        <f aca="false">AG305+AH305+AI305</f>
        <v>0</v>
      </c>
      <c r="AK305" s="21" t="n">
        <f aca="false">IF(OR(AE305="",AE305=0),0,AE305-AJ305)</f>
        <v>0</v>
      </c>
      <c r="AL305" s="19" t="str">
        <f aca="false">IF(AD305="","",AD305-AK305)</f>
        <v/>
      </c>
      <c r="AM305" s="26" t="str">
        <f aca="false">IF(C305="","","Waiting for payment")</f>
        <v/>
      </c>
      <c r="AN305" s="27"/>
      <c r="AO305" s="27"/>
      <c r="AP305" s="35" t="str">
        <f aca="false">IF(OR(C305="",I305="",K305=""),"",IF(K305="Monthly",EDATE(C305,ROUND(I305*SETTINGS!$I$8,0)),WORKDAY(C305,ROUND(I305*SETTINGS!$I$8,0))))</f>
        <v/>
      </c>
      <c r="AQ305" s="26" t="str">
        <f aca="true">IF(C305="","",IF(AND(AP305&lt;&gt;"",TODAY()&gt;=AP305),"Refi Ready",IF(TODAY()-C305&gt;=SETTINGS!$I$11,"Prospecting","Performing")))</f>
        <v/>
      </c>
      <c r="AR305" s="35" t="str">
        <f aca="false">IF(OR(C305="",I305="",K305=""),"",IF(K305="Monthly",EDATE(C305,I305),WORKDAY(C305,I305)))</f>
        <v/>
      </c>
      <c r="AS305" s="28"/>
      <c r="AT305" s="36" t="str">
        <f aca="true">IF(C305="","",IF(AM305="Clawed Back","CLAWED",IF(TODAY()&lt;=C305+SETTINGS!$I$2,"⚠ AT RISK","SAFE")))</f>
        <v/>
      </c>
      <c r="AU305" s="28"/>
      <c r="AW305" s="24" t="n">
        <f aca="false">AW304+IF(AND(C305&lt;&gt;"",AO305&lt;&gt;"",OR('REP COMMISSION'!$B$3="",T305='REP COMMISSION'!$B$3,W305='REP COMMISSION'!$B$3,Z305='REP COMMISSION'!$B$3)),1,0)</f>
        <v>0</v>
      </c>
      <c r="AX305" s="24" t="n">
        <f aca="false">AX304+IF(AND(C305&lt;&gt;"",OR(F305="LOC - INITIAL",F305="CONSOLIDATION - UPFRONT COMM",F305="REVERSE - TOTAL FUNDING")),1,0)</f>
        <v>0</v>
      </c>
    </row>
    <row r="306" customFormat="false" ht="15" hidden="false" customHeight="false" outlineLevel="0" collapsed="false">
      <c r="A306" s="8" t="str">
        <f aca="false">IF(C306&lt;&gt;"","F"&amp;COUNT($C$4:C306),"")</f>
        <v/>
      </c>
      <c r="B306" s="9" t="str">
        <f aca="false">IF(OR(F306="LOC - INITIAL",F306="CONSOLIDATION - UPFRONT COMM",F306="REVERSE - TOTAL FUNDING"),A306,"")</f>
        <v/>
      </c>
      <c r="C306" s="10"/>
      <c r="D306" s="11"/>
      <c r="E306" s="11"/>
      <c r="F306" s="11"/>
      <c r="G306" s="12"/>
      <c r="H306" s="13"/>
      <c r="I306" s="11"/>
      <c r="J306" s="14" t="str">
        <f aca="false">IF(AND(G306&lt;&gt;"",H306&lt;&gt;""),G306*H306,"")</f>
        <v/>
      </c>
      <c r="K306" s="11"/>
      <c r="L306" s="15"/>
      <c r="M306" s="15"/>
      <c r="N306" s="14" t="n">
        <f aca="false">IF(OR(G306="",M306=""),0,IF(M306&gt;100,M306,G306*IF(M306&gt;1,M306/100,M306)))</f>
        <v>0</v>
      </c>
      <c r="O306" s="14" t="str">
        <f aca="false">IF(G306="","",G306*IF(L306="",0,IF(L306&gt;1,L306/100,L306))+N306)</f>
        <v/>
      </c>
      <c r="P306" s="11"/>
      <c r="Q306" s="16" t="str">
        <f aca="false">IF(P306="","",IFERROR(VLOOKUP(P306,PARTNERS!$A$2:$B$30,2,0),""))</f>
        <v/>
      </c>
      <c r="R306" s="17" t="str">
        <f aca="false">IF(O306="","",IF(OR(P306="",Q306=""),0,(O306-N306)*IF(Q306&gt;1,Q306/100,Q306)))</f>
        <v/>
      </c>
      <c r="S306" s="14" t="str">
        <f aca="false">IF(O306="","",O306-R306)</f>
        <v/>
      </c>
      <c r="T306" s="11"/>
      <c r="U306" s="18" t="str">
        <f aca="false">IF(T306="","",IFERROR(VLOOKUP(T306,REPS!$A$2:$D$40,2,0),""))</f>
        <v/>
      </c>
      <c r="V306" s="14" t="str">
        <f aca="false">IF(O306="","",IF(U306="",0,O306*IF(U306&gt;1,U306/100,U306)))</f>
        <v/>
      </c>
      <c r="W306" s="11"/>
      <c r="X306" s="18" t="str">
        <f aca="false">IF(W306="","",IFERROR(VLOOKUP(W306,REPS!$A$2:$D$40,3,0),""))</f>
        <v/>
      </c>
      <c r="Y306" s="14" t="str">
        <f aca="false">IF(O306="","",IF(X306="",0,O306*IF(X306&gt;1,X306/100,X306)))</f>
        <v/>
      </c>
      <c r="Z306" s="11"/>
      <c r="AA306" s="18" t="str">
        <f aca="false">IF(Z306="","",IFERROR(VLOOKUP(Z306,REPS!$A$2:$D$40,4,0),""))</f>
        <v/>
      </c>
      <c r="AB306" s="14" t="str">
        <f aca="false">IF(O306="","",IF(AA306="",0,O306*IF(AA306&gt;1,AA306/100,AA306)))</f>
        <v/>
      </c>
      <c r="AC306" s="14" t="str">
        <f aca="false">IF(O306="","",V306+Y306+AB306)</f>
        <v/>
      </c>
      <c r="AD306" s="19" t="str">
        <f aca="false">IF(O306="","",O306-R306-AC306)</f>
        <v/>
      </c>
      <c r="AE306" s="20"/>
      <c r="AF306" s="10"/>
      <c r="AG306" s="21" t="n">
        <f aca="false">IF(OR(AE306="",AE306=0),0,AE306*IF(U306="",0,IF(U306&gt;1,U306/100,U306)))</f>
        <v>0</v>
      </c>
      <c r="AH306" s="21" t="n">
        <f aca="false">IF(OR(AE306="",AE306=0),0,AE306*IF(X306="",0,IF(X306&gt;1,X306/100,X306)))</f>
        <v>0</v>
      </c>
      <c r="AI306" s="21" t="n">
        <f aca="false">IF(OR(AE306="",AE306=0),0,AE306*IF(AA306="",0,IF(AA306&gt;1,AA306/100,AA306)))</f>
        <v>0</v>
      </c>
      <c r="AJ306" s="21" t="n">
        <f aca="false">AG306+AH306+AI306</f>
        <v>0</v>
      </c>
      <c r="AK306" s="21" t="n">
        <f aca="false">IF(OR(AE306="",AE306=0),0,AE306-AJ306)</f>
        <v>0</v>
      </c>
      <c r="AL306" s="19" t="str">
        <f aca="false">IF(AD306="","",AD306-AK306)</f>
        <v/>
      </c>
      <c r="AM306" s="9" t="str">
        <f aca="false">IF(C306="","","Waiting for payment")</f>
        <v/>
      </c>
      <c r="AN306" s="10"/>
      <c r="AO306" s="10"/>
      <c r="AP306" s="22" t="str">
        <f aca="false">IF(OR(C306="",I306="",K306=""),"",IF(K306="Monthly",EDATE(C306,ROUND(I306*SETTINGS!$I$8,0)),WORKDAY(C306,ROUND(I306*SETTINGS!$I$8,0))))</f>
        <v/>
      </c>
      <c r="AQ306" s="9" t="str">
        <f aca="true">IF(C306="","",IF(AND(AP306&lt;&gt;"",TODAY()&gt;=AP306),"Refi Ready",IF(TODAY()-C306&gt;=SETTINGS!$I$11,"Prospecting","Performing")))</f>
        <v/>
      </c>
      <c r="AR306" s="22" t="str">
        <f aca="false">IF(OR(C306="",I306="",K306=""),"",IF(K306="Monthly",EDATE(C306,I306),WORKDAY(C306,I306)))</f>
        <v/>
      </c>
      <c r="AS306" s="11"/>
      <c r="AT306" s="23" t="str">
        <f aca="true">IF(C306="","",IF(AM306="Clawed Back","CLAWED",IF(TODAY()&lt;=C306+SETTINGS!$I$2,"⚠ AT RISK","SAFE")))</f>
        <v/>
      </c>
      <c r="AU306" s="11"/>
      <c r="AW306" s="24" t="n">
        <f aca="false">AW305+IF(AND(C306&lt;&gt;"",AO306&lt;&gt;"",OR('REP COMMISSION'!$B$3="",T306='REP COMMISSION'!$B$3,W306='REP COMMISSION'!$B$3,Z306='REP COMMISSION'!$B$3)),1,0)</f>
        <v>0</v>
      </c>
      <c r="AX306" s="24" t="n">
        <f aca="false">AX305+IF(AND(C306&lt;&gt;"",OR(F306="LOC - INITIAL",F306="CONSOLIDATION - UPFRONT COMM",F306="REVERSE - TOTAL FUNDING")),1,0)</f>
        <v>0</v>
      </c>
    </row>
    <row r="307" customFormat="false" ht="15" hidden="false" customHeight="false" outlineLevel="0" collapsed="false">
      <c r="A307" s="25" t="str">
        <f aca="false">IF(C307&lt;&gt;"","F"&amp;COUNT($C$4:C307),"")</f>
        <v/>
      </c>
      <c r="B307" s="26" t="str">
        <f aca="false">IF(OR(F307="LOC - INITIAL",F307="CONSOLIDATION - UPFRONT COMM",F307="REVERSE - TOTAL FUNDING"),A307,"")</f>
        <v/>
      </c>
      <c r="C307" s="27"/>
      <c r="D307" s="28"/>
      <c r="E307" s="28"/>
      <c r="F307" s="28"/>
      <c r="G307" s="29"/>
      <c r="H307" s="30"/>
      <c r="I307" s="28"/>
      <c r="J307" s="31" t="str">
        <f aca="false">IF(AND(G307&lt;&gt;"",H307&lt;&gt;""),G307*H307,"")</f>
        <v/>
      </c>
      <c r="K307" s="28"/>
      <c r="L307" s="32"/>
      <c r="M307" s="32"/>
      <c r="N307" s="31" t="n">
        <f aca="false">IF(OR(G307="",M307=""),0,IF(M307&gt;100,M307,G307*IF(M307&gt;1,M307/100,M307)))</f>
        <v>0</v>
      </c>
      <c r="O307" s="31" t="str">
        <f aca="false">IF(G307="","",G307*IF(L307="",0,IF(L307&gt;1,L307/100,L307))+N307)</f>
        <v/>
      </c>
      <c r="P307" s="28"/>
      <c r="Q307" s="33" t="str">
        <f aca="false">IF(P307="","",IFERROR(VLOOKUP(P307,PARTNERS!$A$2:$B$30,2,0),""))</f>
        <v/>
      </c>
      <c r="R307" s="17" t="str">
        <f aca="false">IF(O307="","",IF(OR(P307="",Q307=""),0,(O307-N307)*IF(Q307&gt;1,Q307/100,Q307)))</f>
        <v/>
      </c>
      <c r="S307" s="31" t="str">
        <f aca="false">IF(O307="","",O307-R307)</f>
        <v/>
      </c>
      <c r="T307" s="28"/>
      <c r="U307" s="34" t="str">
        <f aca="false">IF(T307="","",IFERROR(VLOOKUP(T307,REPS!$A$2:$D$40,2,0),""))</f>
        <v/>
      </c>
      <c r="V307" s="31" t="str">
        <f aca="false">IF(O307="","",IF(U307="",0,O307*IF(U307&gt;1,U307/100,U307)))</f>
        <v/>
      </c>
      <c r="W307" s="28"/>
      <c r="X307" s="34" t="str">
        <f aca="false">IF(W307="","",IFERROR(VLOOKUP(W307,REPS!$A$2:$D$40,3,0),""))</f>
        <v/>
      </c>
      <c r="Y307" s="31" t="str">
        <f aca="false">IF(O307="","",IF(X307="",0,O307*IF(X307&gt;1,X307/100,X307)))</f>
        <v/>
      </c>
      <c r="Z307" s="28"/>
      <c r="AA307" s="34" t="str">
        <f aca="false">IF(Z307="","",IFERROR(VLOOKUP(Z307,REPS!$A$2:$D$40,4,0),""))</f>
        <v/>
      </c>
      <c r="AB307" s="31" t="str">
        <f aca="false">IF(O307="","",IF(AA307="",0,O307*IF(AA307&gt;1,AA307/100,AA307)))</f>
        <v/>
      </c>
      <c r="AC307" s="31" t="str">
        <f aca="false">IF(O307="","",V307+Y307+AB307)</f>
        <v/>
      </c>
      <c r="AD307" s="19" t="str">
        <f aca="false">IF(O307="","",O307-R307-AC307)</f>
        <v/>
      </c>
      <c r="AE307" s="20"/>
      <c r="AF307" s="27"/>
      <c r="AG307" s="21" t="n">
        <f aca="false">IF(OR(AE307="",AE307=0),0,AE307*IF(U307="",0,IF(U307&gt;1,U307/100,U307)))</f>
        <v>0</v>
      </c>
      <c r="AH307" s="21" t="n">
        <f aca="false">IF(OR(AE307="",AE307=0),0,AE307*IF(X307="",0,IF(X307&gt;1,X307/100,X307)))</f>
        <v>0</v>
      </c>
      <c r="AI307" s="21" t="n">
        <f aca="false">IF(OR(AE307="",AE307=0),0,AE307*IF(AA307="",0,IF(AA307&gt;1,AA307/100,AA307)))</f>
        <v>0</v>
      </c>
      <c r="AJ307" s="21" t="n">
        <f aca="false">AG307+AH307+AI307</f>
        <v>0</v>
      </c>
      <c r="AK307" s="21" t="n">
        <f aca="false">IF(OR(AE307="",AE307=0),0,AE307-AJ307)</f>
        <v>0</v>
      </c>
      <c r="AL307" s="19" t="str">
        <f aca="false">IF(AD307="","",AD307-AK307)</f>
        <v/>
      </c>
      <c r="AM307" s="26" t="str">
        <f aca="false">IF(C307="","","Waiting for payment")</f>
        <v/>
      </c>
      <c r="AN307" s="27"/>
      <c r="AO307" s="27"/>
      <c r="AP307" s="35" t="str">
        <f aca="false">IF(OR(C307="",I307="",K307=""),"",IF(K307="Monthly",EDATE(C307,ROUND(I307*SETTINGS!$I$8,0)),WORKDAY(C307,ROUND(I307*SETTINGS!$I$8,0))))</f>
        <v/>
      </c>
      <c r="AQ307" s="26" t="str">
        <f aca="true">IF(C307="","",IF(AND(AP307&lt;&gt;"",TODAY()&gt;=AP307),"Refi Ready",IF(TODAY()-C307&gt;=SETTINGS!$I$11,"Prospecting","Performing")))</f>
        <v/>
      </c>
      <c r="AR307" s="35" t="str">
        <f aca="false">IF(OR(C307="",I307="",K307=""),"",IF(K307="Monthly",EDATE(C307,I307),WORKDAY(C307,I307)))</f>
        <v/>
      </c>
      <c r="AS307" s="28"/>
      <c r="AT307" s="36" t="str">
        <f aca="true">IF(C307="","",IF(AM307="Clawed Back","CLAWED",IF(TODAY()&lt;=C307+SETTINGS!$I$2,"⚠ AT RISK","SAFE")))</f>
        <v/>
      </c>
      <c r="AU307" s="28"/>
      <c r="AW307" s="24" t="n">
        <f aca="false">AW306+IF(AND(C307&lt;&gt;"",AO307&lt;&gt;"",OR('REP COMMISSION'!$B$3="",T307='REP COMMISSION'!$B$3,W307='REP COMMISSION'!$B$3,Z307='REP COMMISSION'!$B$3)),1,0)</f>
        <v>0</v>
      </c>
      <c r="AX307" s="24" t="n">
        <f aca="false">AX306+IF(AND(C307&lt;&gt;"",OR(F307="LOC - INITIAL",F307="CONSOLIDATION - UPFRONT COMM",F307="REVERSE - TOTAL FUNDING")),1,0)</f>
        <v>0</v>
      </c>
    </row>
    <row r="308" customFormat="false" ht="18" hidden="false" customHeight="true" outlineLevel="0" collapsed="false">
      <c r="A308" s="37" t="s">
        <v>53</v>
      </c>
      <c r="B308" s="38"/>
      <c r="C308" s="38"/>
      <c r="D308" s="37" t="str">
        <f aca="false">COUNT(C208:C307)&amp;" units"</f>
        <v>0 units</v>
      </c>
      <c r="E308" s="38"/>
      <c r="F308" s="38"/>
      <c r="G308" s="39" t="n">
        <f aca="false">SUM(G208:G307)</f>
        <v>0</v>
      </c>
      <c r="H308" s="38"/>
      <c r="I308" s="38"/>
      <c r="J308" s="38"/>
      <c r="K308" s="38"/>
      <c r="L308" s="38"/>
      <c r="M308" s="38"/>
      <c r="N308" s="39" t="n">
        <f aca="false">SUM(N208:N307)</f>
        <v>0</v>
      </c>
      <c r="O308" s="39" t="n">
        <f aca="false">SUM(O208:O307)</f>
        <v>0</v>
      </c>
      <c r="P308" s="38"/>
      <c r="Q308" s="38"/>
      <c r="R308" s="39" t="n">
        <f aca="false">SUM(R208:R307)</f>
        <v>0</v>
      </c>
      <c r="S308" s="39" t="n">
        <f aca="false">SUM(S208:S307)</f>
        <v>0</v>
      </c>
      <c r="T308" s="38"/>
      <c r="U308" s="38"/>
      <c r="V308" s="38"/>
      <c r="W308" s="38"/>
      <c r="X308" s="38"/>
      <c r="Y308" s="38"/>
      <c r="Z308" s="38"/>
      <c r="AA308" s="38"/>
      <c r="AB308" s="38"/>
      <c r="AC308" s="39" t="n">
        <f aca="false">SUM(AC208:AC307)</f>
        <v>0</v>
      </c>
      <c r="AD308" s="39" t="n">
        <f aca="false">SUM(AD208:AD307)</f>
        <v>0</v>
      </c>
      <c r="AE308" s="39" t="n">
        <f aca="false">SUM(AE208:AE307)</f>
        <v>0</v>
      </c>
      <c r="AF308" s="38"/>
      <c r="AG308" s="38"/>
      <c r="AH308" s="38"/>
      <c r="AI308" s="38"/>
      <c r="AJ308" s="39" t="n">
        <f aca="false">SUM(AJ208:AJ307)</f>
        <v>0</v>
      </c>
      <c r="AK308" s="39" t="n">
        <f aca="false">SUM(AK208:AK307)</f>
        <v>0</v>
      </c>
      <c r="AL308" s="39" t="n">
        <f aca="false">SUM(AL208:AL307)</f>
        <v>0</v>
      </c>
      <c r="AM308" s="38"/>
      <c r="AN308" s="38"/>
      <c r="AO308" s="38"/>
      <c r="AP308" s="38"/>
      <c r="AQ308" s="38"/>
      <c r="AR308" s="38"/>
      <c r="AS308" s="38"/>
      <c r="AT308" s="38"/>
      <c r="AU308" s="38"/>
      <c r="AW308" s="24" t="n">
        <f aca="false">AW307</f>
        <v>0</v>
      </c>
      <c r="AX308" s="24" t="n">
        <f aca="false">AX307</f>
        <v>0</v>
      </c>
    </row>
    <row r="309" customFormat="false" ht="19.5" hidden="false" customHeight="true" outlineLevel="0" collapsed="false">
      <c r="A309" s="6" t="s">
        <v>54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W309" s="24" t="n">
        <f aca="false">AW308</f>
        <v>0</v>
      </c>
      <c r="AX309" s="24" t="n">
        <f aca="false">AX308</f>
        <v>0</v>
      </c>
    </row>
    <row r="310" customFormat="false" ht="15" hidden="false" customHeight="false" outlineLevel="0" collapsed="false">
      <c r="A310" s="8" t="str">
        <f aca="false">IF(C310&lt;&gt;"","F"&amp;COUNT($C$4:C310),"")</f>
        <v/>
      </c>
      <c r="B310" s="9" t="str">
        <f aca="false">IF(OR(F310="LOC - INITIAL",F310="CONSOLIDATION - UPFRONT COMM",F310="REVERSE - TOTAL FUNDING"),A310,"")</f>
        <v/>
      </c>
      <c r="C310" s="10"/>
      <c r="D310" s="11"/>
      <c r="E310" s="11"/>
      <c r="F310" s="11"/>
      <c r="G310" s="12"/>
      <c r="H310" s="13"/>
      <c r="I310" s="11"/>
      <c r="J310" s="14" t="str">
        <f aca="false">IF(AND(G310&lt;&gt;"",H310&lt;&gt;""),G310*H310,"")</f>
        <v/>
      </c>
      <c r="K310" s="11"/>
      <c r="L310" s="15"/>
      <c r="M310" s="15"/>
      <c r="N310" s="14" t="n">
        <f aca="false">IF(OR(G310="",M310=""),0,IF(M310&gt;100,M310,G310*IF(M310&gt;1,M310/100,M310)))</f>
        <v>0</v>
      </c>
      <c r="O310" s="14" t="str">
        <f aca="false">IF(G310="","",G310*IF(L310="",0,IF(L310&gt;1,L310/100,L310))+N310)</f>
        <v/>
      </c>
      <c r="P310" s="11"/>
      <c r="Q310" s="16" t="str">
        <f aca="false">IF(P310="","",IFERROR(VLOOKUP(P310,PARTNERS!$A$2:$B$30,2,0),""))</f>
        <v/>
      </c>
      <c r="R310" s="17" t="str">
        <f aca="false">IF(O310="","",IF(OR(P310="",Q310=""),0,(O310-N310)*IF(Q310&gt;1,Q310/100,Q310)))</f>
        <v/>
      </c>
      <c r="S310" s="14" t="str">
        <f aca="false">IF(O310="","",O310-R310)</f>
        <v/>
      </c>
      <c r="T310" s="11"/>
      <c r="U310" s="18" t="str">
        <f aca="false">IF(T310="","",IFERROR(VLOOKUP(T310,REPS!$A$2:$D$40,2,0),""))</f>
        <v/>
      </c>
      <c r="V310" s="14" t="str">
        <f aca="false">IF(O310="","",IF(U310="",0,O310*IF(U310&gt;1,U310/100,U310)))</f>
        <v/>
      </c>
      <c r="W310" s="11"/>
      <c r="X310" s="18" t="str">
        <f aca="false">IF(W310="","",IFERROR(VLOOKUP(W310,REPS!$A$2:$D$40,3,0),""))</f>
        <v/>
      </c>
      <c r="Y310" s="14" t="str">
        <f aca="false">IF(O310="","",IF(X310="",0,O310*IF(X310&gt;1,X310/100,X310)))</f>
        <v/>
      </c>
      <c r="Z310" s="11"/>
      <c r="AA310" s="18" t="str">
        <f aca="false">IF(Z310="","",IFERROR(VLOOKUP(Z310,REPS!$A$2:$D$40,4,0),""))</f>
        <v/>
      </c>
      <c r="AB310" s="14" t="str">
        <f aca="false">IF(O310="","",IF(AA310="",0,O310*IF(AA310&gt;1,AA310/100,AA310)))</f>
        <v/>
      </c>
      <c r="AC310" s="14" t="str">
        <f aca="false">IF(O310="","",V310+Y310+AB310)</f>
        <v/>
      </c>
      <c r="AD310" s="19" t="str">
        <f aca="false">IF(O310="","",O310-R310-AC310)</f>
        <v/>
      </c>
      <c r="AE310" s="20"/>
      <c r="AF310" s="10"/>
      <c r="AG310" s="21" t="n">
        <f aca="false">IF(OR(AE310="",AE310=0),0,AE310*IF(U310="",0,IF(U310&gt;1,U310/100,U310)))</f>
        <v>0</v>
      </c>
      <c r="AH310" s="21" t="n">
        <f aca="false">IF(OR(AE310="",AE310=0),0,AE310*IF(X310="",0,IF(X310&gt;1,X310/100,X310)))</f>
        <v>0</v>
      </c>
      <c r="AI310" s="21" t="n">
        <f aca="false">IF(OR(AE310="",AE310=0),0,AE310*IF(AA310="",0,IF(AA310&gt;1,AA310/100,AA310)))</f>
        <v>0</v>
      </c>
      <c r="AJ310" s="21" t="n">
        <f aca="false">AG310+AH310+AI310</f>
        <v>0</v>
      </c>
      <c r="AK310" s="21" t="n">
        <f aca="false">IF(OR(AE310="",AE310=0),0,AE310-AJ310)</f>
        <v>0</v>
      </c>
      <c r="AL310" s="19" t="str">
        <f aca="false">IF(AD310="","",AD310-AK310)</f>
        <v/>
      </c>
      <c r="AM310" s="9" t="str">
        <f aca="false">IF(C310="","","Waiting for payment")</f>
        <v/>
      </c>
      <c r="AN310" s="10"/>
      <c r="AO310" s="10"/>
      <c r="AP310" s="22" t="str">
        <f aca="false">IF(OR(C310="",I310="",K310=""),"",IF(K310="Monthly",EDATE(C310,ROUND(I310*SETTINGS!$I$8,0)),WORKDAY(C310,ROUND(I310*SETTINGS!$I$8,0))))</f>
        <v/>
      </c>
      <c r="AQ310" s="9" t="str">
        <f aca="true">IF(C310="","",IF(AND(AP310&lt;&gt;"",TODAY()&gt;=AP310),"Refi Ready",IF(TODAY()-C310&gt;=SETTINGS!$I$11,"Prospecting","Performing")))</f>
        <v/>
      </c>
      <c r="AR310" s="22" t="str">
        <f aca="false">IF(OR(C310="",I310="",K310=""),"",IF(K310="Monthly",EDATE(C310,I310),WORKDAY(C310,I310)))</f>
        <v/>
      </c>
      <c r="AS310" s="11"/>
      <c r="AT310" s="23" t="str">
        <f aca="true">IF(C310="","",IF(AM310="Clawed Back","CLAWED",IF(TODAY()&lt;=C310+SETTINGS!$I$2,"⚠ AT RISK","SAFE")))</f>
        <v/>
      </c>
      <c r="AU310" s="11"/>
      <c r="AW310" s="24" t="n">
        <f aca="false">AW309+IF(AND(C310&lt;&gt;"",AO310&lt;&gt;"",OR('REP COMMISSION'!$B$3="",T310='REP COMMISSION'!$B$3,W310='REP COMMISSION'!$B$3,Z310='REP COMMISSION'!$B$3)),1,0)</f>
        <v>0</v>
      </c>
      <c r="AX310" s="24" t="n">
        <f aca="false">AX309+IF(AND(C310&lt;&gt;"",OR(F310="LOC - INITIAL",F310="CONSOLIDATION - UPFRONT COMM",F310="REVERSE - TOTAL FUNDING")),1,0)</f>
        <v>0</v>
      </c>
    </row>
    <row r="311" customFormat="false" ht="15" hidden="false" customHeight="false" outlineLevel="0" collapsed="false">
      <c r="A311" s="25" t="str">
        <f aca="false">IF(C311&lt;&gt;"","F"&amp;COUNT($C$4:C311),"")</f>
        <v/>
      </c>
      <c r="B311" s="26" t="str">
        <f aca="false">IF(OR(F311="LOC - INITIAL",F311="CONSOLIDATION - UPFRONT COMM",F311="REVERSE - TOTAL FUNDING"),A311,"")</f>
        <v/>
      </c>
      <c r="C311" s="27"/>
      <c r="D311" s="28"/>
      <c r="E311" s="28"/>
      <c r="F311" s="28"/>
      <c r="G311" s="29"/>
      <c r="H311" s="30"/>
      <c r="I311" s="28"/>
      <c r="J311" s="31" t="str">
        <f aca="false">IF(AND(G311&lt;&gt;"",H311&lt;&gt;""),G311*H311,"")</f>
        <v/>
      </c>
      <c r="K311" s="28"/>
      <c r="L311" s="32"/>
      <c r="M311" s="32"/>
      <c r="N311" s="31" t="n">
        <f aca="false">IF(OR(G311="",M311=""),0,IF(M311&gt;100,M311,G311*IF(M311&gt;1,M311/100,M311)))</f>
        <v>0</v>
      </c>
      <c r="O311" s="31" t="str">
        <f aca="false">IF(G311="","",G311*IF(L311="",0,IF(L311&gt;1,L311/100,L311))+N311)</f>
        <v/>
      </c>
      <c r="P311" s="28"/>
      <c r="Q311" s="33" t="str">
        <f aca="false">IF(P311="","",IFERROR(VLOOKUP(P311,PARTNERS!$A$2:$B$30,2,0),""))</f>
        <v/>
      </c>
      <c r="R311" s="17" t="str">
        <f aca="false">IF(O311="","",IF(OR(P311="",Q311=""),0,(O311-N311)*IF(Q311&gt;1,Q311/100,Q311)))</f>
        <v/>
      </c>
      <c r="S311" s="31" t="str">
        <f aca="false">IF(O311="","",O311-R311)</f>
        <v/>
      </c>
      <c r="T311" s="28"/>
      <c r="U311" s="34" t="str">
        <f aca="false">IF(T311="","",IFERROR(VLOOKUP(T311,REPS!$A$2:$D$40,2,0),""))</f>
        <v/>
      </c>
      <c r="V311" s="31" t="str">
        <f aca="false">IF(O311="","",IF(U311="",0,O311*IF(U311&gt;1,U311/100,U311)))</f>
        <v/>
      </c>
      <c r="W311" s="28"/>
      <c r="X311" s="34" t="str">
        <f aca="false">IF(W311="","",IFERROR(VLOOKUP(W311,REPS!$A$2:$D$40,3,0),""))</f>
        <v/>
      </c>
      <c r="Y311" s="31" t="str">
        <f aca="false">IF(O311="","",IF(X311="",0,O311*IF(X311&gt;1,X311/100,X311)))</f>
        <v/>
      </c>
      <c r="Z311" s="28"/>
      <c r="AA311" s="34" t="str">
        <f aca="false">IF(Z311="","",IFERROR(VLOOKUP(Z311,REPS!$A$2:$D$40,4,0),""))</f>
        <v/>
      </c>
      <c r="AB311" s="31" t="str">
        <f aca="false">IF(O311="","",IF(AA311="",0,O311*IF(AA311&gt;1,AA311/100,AA311)))</f>
        <v/>
      </c>
      <c r="AC311" s="31" t="str">
        <f aca="false">IF(O311="","",V311+Y311+AB311)</f>
        <v/>
      </c>
      <c r="AD311" s="19" t="str">
        <f aca="false">IF(O311="","",O311-R311-AC311)</f>
        <v/>
      </c>
      <c r="AE311" s="20"/>
      <c r="AF311" s="27"/>
      <c r="AG311" s="21" t="n">
        <f aca="false">IF(OR(AE311="",AE311=0),0,AE311*IF(U311="",0,IF(U311&gt;1,U311/100,U311)))</f>
        <v>0</v>
      </c>
      <c r="AH311" s="21" t="n">
        <f aca="false">IF(OR(AE311="",AE311=0),0,AE311*IF(X311="",0,IF(X311&gt;1,X311/100,X311)))</f>
        <v>0</v>
      </c>
      <c r="AI311" s="21" t="n">
        <f aca="false">IF(OR(AE311="",AE311=0),0,AE311*IF(AA311="",0,IF(AA311&gt;1,AA311/100,AA311)))</f>
        <v>0</v>
      </c>
      <c r="AJ311" s="21" t="n">
        <f aca="false">AG311+AH311+AI311</f>
        <v>0</v>
      </c>
      <c r="AK311" s="21" t="n">
        <f aca="false">IF(OR(AE311="",AE311=0),0,AE311-AJ311)</f>
        <v>0</v>
      </c>
      <c r="AL311" s="19" t="str">
        <f aca="false">IF(AD311="","",AD311-AK311)</f>
        <v/>
      </c>
      <c r="AM311" s="26" t="str">
        <f aca="false">IF(C311="","","Waiting for payment")</f>
        <v/>
      </c>
      <c r="AN311" s="27"/>
      <c r="AO311" s="27"/>
      <c r="AP311" s="35" t="str">
        <f aca="false">IF(OR(C311="",I311="",K311=""),"",IF(K311="Monthly",EDATE(C311,ROUND(I311*SETTINGS!$I$8,0)),WORKDAY(C311,ROUND(I311*SETTINGS!$I$8,0))))</f>
        <v/>
      </c>
      <c r="AQ311" s="26" t="str">
        <f aca="true">IF(C311="","",IF(AND(AP311&lt;&gt;"",TODAY()&gt;=AP311),"Refi Ready",IF(TODAY()-C311&gt;=SETTINGS!$I$11,"Prospecting","Performing")))</f>
        <v/>
      </c>
      <c r="AR311" s="35" t="str">
        <f aca="false">IF(OR(C311="",I311="",K311=""),"",IF(K311="Monthly",EDATE(C311,I311),WORKDAY(C311,I311)))</f>
        <v/>
      </c>
      <c r="AS311" s="28"/>
      <c r="AT311" s="36" t="str">
        <f aca="true">IF(C311="","",IF(AM311="Clawed Back","CLAWED",IF(TODAY()&lt;=C311+SETTINGS!$I$2,"⚠ AT RISK","SAFE")))</f>
        <v/>
      </c>
      <c r="AU311" s="28"/>
      <c r="AW311" s="24" t="n">
        <f aca="false">AW310+IF(AND(C311&lt;&gt;"",AO311&lt;&gt;"",OR('REP COMMISSION'!$B$3="",T311='REP COMMISSION'!$B$3,W311='REP COMMISSION'!$B$3,Z311='REP COMMISSION'!$B$3)),1,0)</f>
        <v>0</v>
      </c>
      <c r="AX311" s="24" t="n">
        <f aca="false">AX310+IF(AND(C311&lt;&gt;"",OR(F311="LOC - INITIAL",F311="CONSOLIDATION - UPFRONT COMM",F311="REVERSE - TOTAL FUNDING")),1,0)</f>
        <v>0</v>
      </c>
    </row>
    <row r="312" customFormat="false" ht="15" hidden="false" customHeight="false" outlineLevel="0" collapsed="false">
      <c r="A312" s="8" t="str">
        <f aca="false">IF(C312&lt;&gt;"","F"&amp;COUNT($C$4:C312),"")</f>
        <v/>
      </c>
      <c r="B312" s="9" t="str">
        <f aca="false">IF(OR(F312="LOC - INITIAL",F312="CONSOLIDATION - UPFRONT COMM",F312="REVERSE - TOTAL FUNDING"),A312,"")</f>
        <v/>
      </c>
      <c r="C312" s="10"/>
      <c r="D312" s="11"/>
      <c r="E312" s="11"/>
      <c r="F312" s="11"/>
      <c r="G312" s="12"/>
      <c r="H312" s="13"/>
      <c r="I312" s="11"/>
      <c r="J312" s="14" t="str">
        <f aca="false">IF(AND(G312&lt;&gt;"",H312&lt;&gt;""),G312*H312,"")</f>
        <v/>
      </c>
      <c r="K312" s="11"/>
      <c r="L312" s="15"/>
      <c r="M312" s="15"/>
      <c r="N312" s="14" t="n">
        <f aca="false">IF(OR(G312="",M312=""),0,IF(M312&gt;100,M312,G312*IF(M312&gt;1,M312/100,M312)))</f>
        <v>0</v>
      </c>
      <c r="O312" s="14" t="str">
        <f aca="false">IF(G312="","",G312*IF(L312="",0,IF(L312&gt;1,L312/100,L312))+N312)</f>
        <v/>
      </c>
      <c r="P312" s="11"/>
      <c r="Q312" s="16" t="str">
        <f aca="false">IF(P312="","",IFERROR(VLOOKUP(P312,PARTNERS!$A$2:$B$30,2,0),""))</f>
        <v/>
      </c>
      <c r="R312" s="17" t="str">
        <f aca="false">IF(O312="","",IF(OR(P312="",Q312=""),0,(O312-N312)*IF(Q312&gt;1,Q312/100,Q312)))</f>
        <v/>
      </c>
      <c r="S312" s="14" t="str">
        <f aca="false">IF(O312="","",O312-R312)</f>
        <v/>
      </c>
      <c r="T312" s="11"/>
      <c r="U312" s="18" t="str">
        <f aca="false">IF(T312="","",IFERROR(VLOOKUP(T312,REPS!$A$2:$D$40,2,0),""))</f>
        <v/>
      </c>
      <c r="V312" s="14" t="str">
        <f aca="false">IF(O312="","",IF(U312="",0,O312*IF(U312&gt;1,U312/100,U312)))</f>
        <v/>
      </c>
      <c r="W312" s="11"/>
      <c r="X312" s="18" t="str">
        <f aca="false">IF(W312="","",IFERROR(VLOOKUP(W312,REPS!$A$2:$D$40,3,0),""))</f>
        <v/>
      </c>
      <c r="Y312" s="14" t="str">
        <f aca="false">IF(O312="","",IF(X312="",0,O312*IF(X312&gt;1,X312/100,X312)))</f>
        <v/>
      </c>
      <c r="Z312" s="11"/>
      <c r="AA312" s="18" t="str">
        <f aca="false">IF(Z312="","",IFERROR(VLOOKUP(Z312,REPS!$A$2:$D$40,4,0),""))</f>
        <v/>
      </c>
      <c r="AB312" s="14" t="str">
        <f aca="false">IF(O312="","",IF(AA312="",0,O312*IF(AA312&gt;1,AA312/100,AA312)))</f>
        <v/>
      </c>
      <c r="AC312" s="14" t="str">
        <f aca="false">IF(O312="","",V312+Y312+AB312)</f>
        <v/>
      </c>
      <c r="AD312" s="19" t="str">
        <f aca="false">IF(O312="","",O312-R312-AC312)</f>
        <v/>
      </c>
      <c r="AE312" s="20"/>
      <c r="AF312" s="10"/>
      <c r="AG312" s="21" t="n">
        <f aca="false">IF(OR(AE312="",AE312=0),0,AE312*IF(U312="",0,IF(U312&gt;1,U312/100,U312)))</f>
        <v>0</v>
      </c>
      <c r="AH312" s="21" t="n">
        <f aca="false">IF(OR(AE312="",AE312=0),0,AE312*IF(X312="",0,IF(X312&gt;1,X312/100,X312)))</f>
        <v>0</v>
      </c>
      <c r="AI312" s="21" t="n">
        <f aca="false">IF(OR(AE312="",AE312=0),0,AE312*IF(AA312="",0,IF(AA312&gt;1,AA312/100,AA312)))</f>
        <v>0</v>
      </c>
      <c r="AJ312" s="21" t="n">
        <f aca="false">AG312+AH312+AI312</f>
        <v>0</v>
      </c>
      <c r="AK312" s="21" t="n">
        <f aca="false">IF(OR(AE312="",AE312=0),0,AE312-AJ312)</f>
        <v>0</v>
      </c>
      <c r="AL312" s="19" t="str">
        <f aca="false">IF(AD312="","",AD312-AK312)</f>
        <v/>
      </c>
      <c r="AM312" s="9" t="str">
        <f aca="false">IF(C312="","","Waiting for payment")</f>
        <v/>
      </c>
      <c r="AN312" s="10"/>
      <c r="AO312" s="10"/>
      <c r="AP312" s="22" t="str">
        <f aca="false">IF(OR(C312="",I312="",K312=""),"",IF(K312="Monthly",EDATE(C312,ROUND(I312*SETTINGS!$I$8,0)),WORKDAY(C312,ROUND(I312*SETTINGS!$I$8,0))))</f>
        <v/>
      </c>
      <c r="AQ312" s="9" t="str">
        <f aca="true">IF(C312="","",IF(AND(AP312&lt;&gt;"",TODAY()&gt;=AP312),"Refi Ready",IF(TODAY()-C312&gt;=SETTINGS!$I$11,"Prospecting","Performing")))</f>
        <v/>
      </c>
      <c r="AR312" s="22" t="str">
        <f aca="false">IF(OR(C312="",I312="",K312=""),"",IF(K312="Monthly",EDATE(C312,I312),WORKDAY(C312,I312)))</f>
        <v/>
      </c>
      <c r="AS312" s="11"/>
      <c r="AT312" s="23" t="str">
        <f aca="true">IF(C312="","",IF(AM312="Clawed Back","CLAWED",IF(TODAY()&lt;=C312+SETTINGS!$I$2,"⚠ AT RISK","SAFE")))</f>
        <v/>
      </c>
      <c r="AU312" s="11"/>
      <c r="AW312" s="24" t="n">
        <f aca="false">AW311+IF(AND(C312&lt;&gt;"",AO312&lt;&gt;"",OR('REP COMMISSION'!$B$3="",T312='REP COMMISSION'!$B$3,W312='REP COMMISSION'!$B$3,Z312='REP COMMISSION'!$B$3)),1,0)</f>
        <v>0</v>
      </c>
      <c r="AX312" s="24" t="n">
        <f aca="false">AX311+IF(AND(C312&lt;&gt;"",OR(F312="LOC - INITIAL",F312="CONSOLIDATION - UPFRONT COMM",F312="REVERSE - TOTAL FUNDING")),1,0)</f>
        <v>0</v>
      </c>
    </row>
    <row r="313" customFormat="false" ht="15" hidden="false" customHeight="false" outlineLevel="0" collapsed="false">
      <c r="A313" s="25" t="str">
        <f aca="false">IF(C313&lt;&gt;"","F"&amp;COUNT($C$4:C313),"")</f>
        <v/>
      </c>
      <c r="B313" s="26" t="str">
        <f aca="false">IF(OR(F313="LOC - INITIAL",F313="CONSOLIDATION - UPFRONT COMM",F313="REVERSE - TOTAL FUNDING"),A313,"")</f>
        <v/>
      </c>
      <c r="C313" s="27"/>
      <c r="D313" s="28"/>
      <c r="E313" s="28"/>
      <c r="F313" s="28"/>
      <c r="G313" s="29"/>
      <c r="H313" s="30"/>
      <c r="I313" s="28"/>
      <c r="J313" s="31" t="str">
        <f aca="false">IF(AND(G313&lt;&gt;"",H313&lt;&gt;""),G313*H313,"")</f>
        <v/>
      </c>
      <c r="K313" s="28"/>
      <c r="L313" s="32"/>
      <c r="M313" s="32"/>
      <c r="N313" s="31" t="n">
        <f aca="false">IF(OR(G313="",M313=""),0,IF(M313&gt;100,M313,G313*IF(M313&gt;1,M313/100,M313)))</f>
        <v>0</v>
      </c>
      <c r="O313" s="31" t="str">
        <f aca="false">IF(G313="","",G313*IF(L313="",0,IF(L313&gt;1,L313/100,L313))+N313)</f>
        <v/>
      </c>
      <c r="P313" s="28"/>
      <c r="Q313" s="33" t="str">
        <f aca="false">IF(P313="","",IFERROR(VLOOKUP(P313,PARTNERS!$A$2:$B$30,2,0),""))</f>
        <v/>
      </c>
      <c r="R313" s="17" t="str">
        <f aca="false">IF(O313="","",IF(OR(P313="",Q313=""),0,(O313-N313)*IF(Q313&gt;1,Q313/100,Q313)))</f>
        <v/>
      </c>
      <c r="S313" s="31" t="str">
        <f aca="false">IF(O313="","",O313-R313)</f>
        <v/>
      </c>
      <c r="T313" s="28"/>
      <c r="U313" s="34" t="str">
        <f aca="false">IF(T313="","",IFERROR(VLOOKUP(T313,REPS!$A$2:$D$40,2,0),""))</f>
        <v/>
      </c>
      <c r="V313" s="31" t="str">
        <f aca="false">IF(O313="","",IF(U313="",0,O313*IF(U313&gt;1,U313/100,U313)))</f>
        <v/>
      </c>
      <c r="W313" s="28"/>
      <c r="X313" s="34" t="str">
        <f aca="false">IF(W313="","",IFERROR(VLOOKUP(W313,REPS!$A$2:$D$40,3,0),""))</f>
        <v/>
      </c>
      <c r="Y313" s="31" t="str">
        <f aca="false">IF(O313="","",IF(X313="",0,O313*IF(X313&gt;1,X313/100,X313)))</f>
        <v/>
      </c>
      <c r="Z313" s="28"/>
      <c r="AA313" s="34" t="str">
        <f aca="false">IF(Z313="","",IFERROR(VLOOKUP(Z313,REPS!$A$2:$D$40,4,0),""))</f>
        <v/>
      </c>
      <c r="AB313" s="31" t="str">
        <f aca="false">IF(O313="","",IF(AA313="",0,O313*IF(AA313&gt;1,AA313/100,AA313)))</f>
        <v/>
      </c>
      <c r="AC313" s="31" t="str">
        <f aca="false">IF(O313="","",V313+Y313+AB313)</f>
        <v/>
      </c>
      <c r="AD313" s="19" t="str">
        <f aca="false">IF(O313="","",O313-R313-AC313)</f>
        <v/>
      </c>
      <c r="AE313" s="20"/>
      <c r="AF313" s="27"/>
      <c r="AG313" s="21" t="n">
        <f aca="false">IF(OR(AE313="",AE313=0),0,AE313*IF(U313="",0,IF(U313&gt;1,U313/100,U313)))</f>
        <v>0</v>
      </c>
      <c r="AH313" s="21" t="n">
        <f aca="false">IF(OR(AE313="",AE313=0),0,AE313*IF(X313="",0,IF(X313&gt;1,X313/100,X313)))</f>
        <v>0</v>
      </c>
      <c r="AI313" s="21" t="n">
        <f aca="false">IF(OR(AE313="",AE313=0),0,AE313*IF(AA313="",0,IF(AA313&gt;1,AA313/100,AA313)))</f>
        <v>0</v>
      </c>
      <c r="AJ313" s="21" t="n">
        <f aca="false">AG313+AH313+AI313</f>
        <v>0</v>
      </c>
      <c r="AK313" s="21" t="n">
        <f aca="false">IF(OR(AE313="",AE313=0),0,AE313-AJ313)</f>
        <v>0</v>
      </c>
      <c r="AL313" s="19" t="str">
        <f aca="false">IF(AD313="","",AD313-AK313)</f>
        <v/>
      </c>
      <c r="AM313" s="26" t="str">
        <f aca="false">IF(C313="","","Waiting for payment")</f>
        <v/>
      </c>
      <c r="AN313" s="27"/>
      <c r="AO313" s="27"/>
      <c r="AP313" s="35" t="str">
        <f aca="false">IF(OR(C313="",I313="",K313=""),"",IF(K313="Monthly",EDATE(C313,ROUND(I313*SETTINGS!$I$8,0)),WORKDAY(C313,ROUND(I313*SETTINGS!$I$8,0))))</f>
        <v/>
      </c>
      <c r="AQ313" s="26" t="str">
        <f aca="true">IF(C313="","",IF(AND(AP313&lt;&gt;"",TODAY()&gt;=AP313),"Refi Ready",IF(TODAY()-C313&gt;=SETTINGS!$I$11,"Prospecting","Performing")))</f>
        <v/>
      </c>
      <c r="AR313" s="35" t="str">
        <f aca="false">IF(OR(C313="",I313="",K313=""),"",IF(K313="Monthly",EDATE(C313,I313),WORKDAY(C313,I313)))</f>
        <v/>
      </c>
      <c r="AS313" s="28"/>
      <c r="AT313" s="36" t="str">
        <f aca="true">IF(C313="","",IF(AM313="Clawed Back","CLAWED",IF(TODAY()&lt;=C313+SETTINGS!$I$2,"⚠ AT RISK","SAFE")))</f>
        <v/>
      </c>
      <c r="AU313" s="28"/>
      <c r="AW313" s="24" t="n">
        <f aca="false">AW312+IF(AND(C313&lt;&gt;"",AO313&lt;&gt;"",OR('REP COMMISSION'!$B$3="",T313='REP COMMISSION'!$B$3,W313='REP COMMISSION'!$B$3,Z313='REP COMMISSION'!$B$3)),1,0)</f>
        <v>0</v>
      </c>
      <c r="AX313" s="24" t="n">
        <f aca="false">AX312+IF(AND(C313&lt;&gt;"",OR(F313="LOC - INITIAL",F313="CONSOLIDATION - UPFRONT COMM",F313="REVERSE - TOTAL FUNDING")),1,0)</f>
        <v>0</v>
      </c>
    </row>
    <row r="314" customFormat="false" ht="15" hidden="false" customHeight="false" outlineLevel="0" collapsed="false">
      <c r="A314" s="8" t="str">
        <f aca="false">IF(C314&lt;&gt;"","F"&amp;COUNT($C$4:C314),"")</f>
        <v/>
      </c>
      <c r="B314" s="9" t="str">
        <f aca="false">IF(OR(F314="LOC - INITIAL",F314="CONSOLIDATION - UPFRONT COMM",F314="REVERSE - TOTAL FUNDING"),A314,"")</f>
        <v/>
      </c>
      <c r="C314" s="10"/>
      <c r="D314" s="11"/>
      <c r="E314" s="11"/>
      <c r="F314" s="11"/>
      <c r="G314" s="12"/>
      <c r="H314" s="13"/>
      <c r="I314" s="11"/>
      <c r="J314" s="14" t="str">
        <f aca="false">IF(AND(G314&lt;&gt;"",H314&lt;&gt;""),G314*H314,"")</f>
        <v/>
      </c>
      <c r="K314" s="11"/>
      <c r="L314" s="15"/>
      <c r="M314" s="15"/>
      <c r="N314" s="14" t="n">
        <f aca="false">IF(OR(G314="",M314=""),0,IF(M314&gt;100,M314,G314*IF(M314&gt;1,M314/100,M314)))</f>
        <v>0</v>
      </c>
      <c r="O314" s="14" t="str">
        <f aca="false">IF(G314="","",G314*IF(L314="",0,IF(L314&gt;1,L314/100,L314))+N314)</f>
        <v/>
      </c>
      <c r="P314" s="11"/>
      <c r="Q314" s="16" t="str">
        <f aca="false">IF(P314="","",IFERROR(VLOOKUP(P314,PARTNERS!$A$2:$B$30,2,0),""))</f>
        <v/>
      </c>
      <c r="R314" s="17" t="str">
        <f aca="false">IF(O314="","",IF(OR(P314="",Q314=""),0,(O314-N314)*IF(Q314&gt;1,Q314/100,Q314)))</f>
        <v/>
      </c>
      <c r="S314" s="14" t="str">
        <f aca="false">IF(O314="","",O314-R314)</f>
        <v/>
      </c>
      <c r="T314" s="11"/>
      <c r="U314" s="18" t="str">
        <f aca="false">IF(T314="","",IFERROR(VLOOKUP(T314,REPS!$A$2:$D$40,2,0),""))</f>
        <v/>
      </c>
      <c r="V314" s="14" t="str">
        <f aca="false">IF(O314="","",IF(U314="",0,O314*IF(U314&gt;1,U314/100,U314)))</f>
        <v/>
      </c>
      <c r="W314" s="11"/>
      <c r="X314" s="18" t="str">
        <f aca="false">IF(W314="","",IFERROR(VLOOKUP(W314,REPS!$A$2:$D$40,3,0),""))</f>
        <v/>
      </c>
      <c r="Y314" s="14" t="str">
        <f aca="false">IF(O314="","",IF(X314="",0,O314*IF(X314&gt;1,X314/100,X314)))</f>
        <v/>
      </c>
      <c r="Z314" s="11"/>
      <c r="AA314" s="18" t="str">
        <f aca="false">IF(Z314="","",IFERROR(VLOOKUP(Z314,REPS!$A$2:$D$40,4,0),""))</f>
        <v/>
      </c>
      <c r="AB314" s="14" t="str">
        <f aca="false">IF(O314="","",IF(AA314="",0,O314*IF(AA314&gt;1,AA314/100,AA314)))</f>
        <v/>
      </c>
      <c r="AC314" s="14" t="str">
        <f aca="false">IF(O314="","",V314+Y314+AB314)</f>
        <v/>
      </c>
      <c r="AD314" s="19" t="str">
        <f aca="false">IF(O314="","",O314-R314-AC314)</f>
        <v/>
      </c>
      <c r="AE314" s="20"/>
      <c r="AF314" s="10"/>
      <c r="AG314" s="21" t="n">
        <f aca="false">IF(OR(AE314="",AE314=0),0,AE314*IF(U314="",0,IF(U314&gt;1,U314/100,U314)))</f>
        <v>0</v>
      </c>
      <c r="AH314" s="21" t="n">
        <f aca="false">IF(OR(AE314="",AE314=0),0,AE314*IF(X314="",0,IF(X314&gt;1,X314/100,X314)))</f>
        <v>0</v>
      </c>
      <c r="AI314" s="21" t="n">
        <f aca="false">IF(OR(AE314="",AE314=0),0,AE314*IF(AA314="",0,IF(AA314&gt;1,AA314/100,AA314)))</f>
        <v>0</v>
      </c>
      <c r="AJ314" s="21" t="n">
        <f aca="false">AG314+AH314+AI314</f>
        <v>0</v>
      </c>
      <c r="AK314" s="21" t="n">
        <f aca="false">IF(OR(AE314="",AE314=0),0,AE314-AJ314)</f>
        <v>0</v>
      </c>
      <c r="AL314" s="19" t="str">
        <f aca="false">IF(AD314="","",AD314-AK314)</f>
        <v/>
      </c>
      <c r="AM314" s="9" t="str">
        <f aca="false">IF(C314="","","Waiting for payment")</f>
        <v/>
      </c>
      <c r="AN314" s="10"/>
      <c r="AO314" s="10"/>
      <c r="AP314" s="22" t="str">
        <f aca="false">IF(OR(C314="",I314="",K314=""),"",IF(K314="Monthly",EDATE(C314,ROUND(I314*SETTINGS!$I$8,0)),WORKDAY(C314,ROUND(I314*SETTINGS!$I$8,0))))</f>
        <v/>
      </c>
      <c r="AQ314" s="9" t="str">
        <f aca="true">IF(C314="","",IF(AND(AP314&lt;&gt;"",TODAY()&gt;=AP314),"Refi Ready",IF(TODAY()-C314&gt;=SETTINGS!$I$11,"Prospecting","Performing")))</f>
        <v/>
      </c>
      <c r="AR314" s="22" t="str">
        <f aca="false">IF(OR(C314="",I314="",K314=""),"",IF(K314="Monthly",EDATE(C314,I314),WORKDAY(C314,I314)))</f>
        <v/>
      </c>
      <c r="AS314" s="11"/>
      <c r="AT314" s="23" t="str">
        <f aca="true">IF(C314="","",IF(AM314="Clawed Back","CLAWED",IF(TODAY()&lt;=C314+SETTINGS!$I$2,"⚠ AT RISK","SAFE")))</f>
        <v/>
      </c>
      <c r="AU314" s="11"/>
      <c r="AW314" s="24" t="n">
        <f aca="false">AW313+IF(AND(C314&lt;&gt;"",AO314&lt;&gt;"",OR('REP COMMISSION'!$B$3="",T314='REP COMMISSION'!$B$3,W314='REP COMMISSION'!$B$3,Z314='REP COMMISSION'!$B$3)),1,0)</f>
        <v>0</v>
      </c>
      <c r="AX314" s="24" t="n">
        <f aca="false">AX313+IF(AND(C314&lt;&gt;"",OR(F314="LOC - INITIAL",F314="CONSOLIDATION - UPFRONT COMM",F314="REVERSE - TOTAL FUNDING")),1,0)</f>
        <v>0</v>
      </c>
    </row>
    <row r="315" customFormat="false" ht="15" hidden="false" customHeight="false" outlineLevel="0" collapsed="false">
      <c r="A315" s="25" t="str">
        <f aca="false">IF(C315&lt;&gt;"","F"&amp;COUNT($C$4:C315),"")</f>
        <v/>
      </c>
      <c r="B315" s="26" t="str">
        <f aca="false">IF(OR(F315="LOC - INITIAL",F315="CONSOLIDATION - UPFRONT COMM",F315="REVERSE - TOTAL FUNDING"),A315,"")</f>
        <v/>
      </c>
      <c r="C315" s="27"/>
      <c r="D315" s="28"/>
      <c r="E315" s="28"/>
      <c r="F315" s="28"/>
      <c r="G315" s="29"/>
      <c r="H315" s="30"/>
      <c r="I315" s="28"/>
      <c r="J315" s="31" t="str">
        <f aca="false">IF(AND(G315&lt;&gt;"",H315&lt;&gt;""),G315*H315,"")</f>
        <v/>
      </c>
      <c r="K315" s="28"/>
      <c r="L315" s="32"/>
      <c r="M315" s="32"/>
      <c r="N315" s="31" t="n">
        <f aca="false">IF(OR(G315="",M315=""),0,IF(M315&gt;100,M315,G315*IF(M315&gt;1,M315/100,M315)))</f>
        <v>0</v>
      </c>
      <c r="O315" s="31" t="str">
        <f aca="false">IF(G315="","",G315*IF(L315="",0,IF(L315&gt;1,L315/100,L315))+N315)</f>
        <v/>
      </c>
      <c r="P315" s="28"/>
      <c r="Q315" s="33" t="str">
        <f aca="false">IF(P315="","",IFERROR(VLOOKUP(P315,PARTNERS!$A$2:$B$30,2,0),""))</f>
        <v/>
      </c>
      <c r="R315" s="17" t="str">
        <f aca="false">IF(O315="","",IF(OR(P315="",Q315=""),0,(O315-N315)*IF(Q315&gt;1,Q315/100,Q315)))</f>
        <v/>
      </c>
      <c r="S315" s="31" t="str">
        <f aca="false">IF(O315="","",O315-R315)</f>
        <v/>
      </c>
      <c r="T315" s="28"/>
      <c r="U315" s="34" t="str">
        <f aca="false">IF(T315="","",IFERROR(VLOOKUP(T315,REPS!$A$2:$D$40,2,0),""))</f>
        <v/>
      </c>
      <c r="V315" s="31" t="str">
        <f aca="false">IF(O315="","",IF(U315="",0,O315*IF(U315&gt;1,U315/100,U315)))</f>
        <v/>
      </c>
      <c r="W315" s="28"/>
      <c r="X315" s="34" t="str">
        <f aca="false">IF(W315="","",IFERROR(VLOOKUP(W315,REPS!$A$2:$D$40,3,0),""))</f>
        <v/>
      </c>
      <c r="Y315" s="31" t="str">
        <f aca="false">IF(O315="","",IF(X315="",0,O315*IF(X315&gt;1,X315/100,X315)))</f>
        <v/>
      </c>
      <c r="Z315" s="28"/>
      <c r="AA315" s="34" t="str">
        <f aca="false">IF(Z315="","",IFERROR(VLOOKUP(Z315,REPS!$A$2:$D$40,4,0),""))</f>
        <v/>
      </c>
      <c r="AB315" s="31" t="str">
        <f aca="false">IF(O315="","",IF(AA315="",0,O315*IF(AA315&gt;1,AA315/100,AA315)))</f>
        <v/>
      </c>
      <c r="AC315" s="31" t="str">
        <f aca="false">IF(O315="","",V315+Y315+AB315)</f>
        <v/>
      </c>
      <c r="AD315" s="19" t="str">
        <f aca="false">IF(O315="","",O315-R315-AC315)</f>
        <v/>
      </c>
      <c r="AE315" s="20"/>
      <c r="AF315" s="27"/>
      <c r="AG315" s="21" t="n">
        <f aca="false">IF(OR(AE315="",AE315=0),0,AE315*IF(U315="",0,IF(U315&gt;1,U315/100,U315)))</f>
        <v>0</v>
      </c>
      <c r="AH315" s="21" t="n">
        <f aca="false">IF(OR(AE315="",AE315=0),0,AE315*IF(X315="",0,IF(X315&gt;1,X315/100,X315)))</f>
        <v>0</v>
      </c>
      <c r="AI315" s="21" t="n">
        <f aca="false">IF(OR(AE315="",AE315=0),0,AE315*IF(AA315="",0,IF(AA315&gt;1,AA315/100,AA315)))</f>
        <v>0</v>
      </c>
      <c r="AJ315" s="21" t="n">
        <f aca="false">AG315+AH315+AI315</f>
        <v>0</v>
      </c>
      <c r="AK315" s="21" t="n">
        <f aca="false">IF(OR(AE315="",AE315=0),0,AE315-AJ315)</f>
        <v>0</v>
      </c>
      <c r="AL315" s="19" t="str">
        <f aca="false">IF(AD315="","",AD315-AK315)</f>
        <v/>
      </c>
      <c r="AM315" s="26" t="str">
        <f aca="false">IF(C315="","","Waiting for payment")</f>
        <v/>
      </c>
      <c r="AN315" s="27"/>
      <c r="AO315" s="27"/>
      <c r="AP315" s="35" t="str">
        <f aca="false">IF(OR(C315="",I315="",K315=""),"",IF(K315="Monthly",EDATE(C315,ROUND(I315*SETTINGS!$I$8,0)),WORKDAY(C315,ROUND(I315*SETTINGS!$I$8,0))))</f>
        <v/>
      </c>
      <c r="AQ315" s="26" t="str">
        <f aca="true">IF(C315="","",IF(AND(AP315&lt;&gt;"",TODAY()&gt;=AP315),"Refi Ready",IF(TODAY()-C315&gt;=SETTINGS!$I$11,"Prospecting","Performing")))</f>
        <v/>
      </c>
      <c r="AR315" s="35" t="str">
        <f aca="false">IF(OR(C315="",I315="",K315=""),"",IF(K315="Monthly",EDATE(C315,I315),WORKDAY(C315,I315)))</f>
        <v/>
      </c>
      <c r="AS315" s="28"/>
      <c r="AT315" s="36" t="str">
        <f aca="true">IF(C315="","",IF(AM315="Clawed Back","CLAWED",IF(TODAY()&lt;=C315+SETTINGS!$I$2,"⚠ AT RISK","SAFE")))</f>
        <v/>
      </c>
      <c r="AU315" s="28"/>
      <c r="AW315" s="24" t="n">
        <f aca="false">AW314+IF(AND(C315&lt;&gt;"",AO315&lt;&gt;"",OR('REP COMMISSION'!$B$3="",T315='REP COMMISSION'!$B$3,W315='REP COMMISSION'!$B$3,Z315='REP COMMISSION'!$B$3)),1,0)</f>
        <v>0</v>
      </c>
      <c r="AX315" s="24" t="n">
        <f aca="false">AX314+IF(AND(C315&lt;&gt;"",OR(F315="LOC - INITIAL",F315="CONSOLIDATION - UPFRONT COMM",F315="REVERSE - TOTAL FUNDING")),1,0)</f>
        <v>0</v>
      </c>
    </row>
    <row r="316" customFormat="false" ht="15" hidden="false" customHeight="false" outlineLevel="0" collapsed="false">
      <c r="A316" s="8" t="str">
        <f aca="false">IF(C316&lt;&gt;"","F"&amp;COUNT($C$4:C316),"")</f>
        <v/>
      </c>
      <c r="B316" s="9" t="str">
        <f aca="false">IF(OR(F316="LOC - INITIAL",F316="CONSOLIDATION - UPFRONT COMM",F316="REVERSE - TOTAL FUNDING"),A316,"")</f>
        <v/>
      </c>
      <c r="C316" s="10"/>
      <c r="D316" s="11"/>
      <c r="E316" s="11"/>
      <c r="F316" s="11"/>
      <c r="G316" s="12"/>
      <c r="H316" s="13"/>
      <c r="I316" s="11"/>
      <c r="J316" s="14" t="str">
        <f aca="false">IF(AND(G316&lt;&gt;"",H316&lt;&gt;""),G316*H316,"")</f>
        <v/>
      </c>
      <c r="K316" s="11"/>
      <c r="L316" s="15"/>
      <c r="M316" s="15"/>
      <c r="N316" s="14" t="n">
        <f aca="false">IF(OR(G316="",M316=""),0,IF(M316&gt;100,M316,G316*IF(M316&gt;1,M316/100,M316)))</f>
        <v>0</v>
      </c>
      <c r="O316" s="14" t="str">
        <f aca="false">IF(G316="","",G316*IF(L316="",0,IF(L316&gt;1,L316/100,L316))+N316)</f>
        <v/>
      </c>
      <c r="P316" s="11"/>
      <c r="Q316" s="16" t="str">
        <f aca="false">IF(P316="","",IFERROR(VLOOKUP(P316,PARTNERS!$A$2:$B$30,2,0),""))</f>
        <v/>
      </c>
      <c r="R316" s="17" t="str">
        <f aca="false">IF(O316="","",IF(OR(P316="",Q316=""),0,(O316-N316)*IF(Q316&gt;1,Q316/100,Q316)))</f>
        <v/>
      </c>
      <c r="S316" s="14" t="str">
        <f aca="false">IF(O316="","",O316-R316)</f>
        <v/>
      </c>
      <c r="T316" s="11"/>
      <c r="U316" s="18" t="str">
        <f aca="false">IF(T316="","",IFERROR(VLOOKUP(T316,REPS!$A$2:$D$40,2,0),""))</f>
        <v/>
      </c>
      <c r="V316" s="14" t="str">
        <f aca="false">IF(O316="","",IF(U316="",0,O316*IF(U316&gt;1,U316/100,U316)))</f>
        <v/>
      </c>
      <c r="W316" s="11"/>
      <c r="X316" s="18" t="str">
        <f aca="false">IF(W316="","",IFERROR(VLOOKUP(W316,REPS!$A$2:$D$40,3,0),""))</f>
        <v/>
      </c>
      <c r="Y316" s="14" t="str">
        <f aca="false">IF(O316="","",IF(X316="",0,O316*IF(X316&gt;1,X316/100,X316)))</f>
        <v/>
      </c>
      <c r="Z316" s="11"/>
      <c r="AA316" s="18" t="str">
        <f aca="false">IF(Z316="","",IFERROR(VLOOKUP(Z316,REPS!$A$2:$D$40,4,0),""))</f>
        <v/>
      </c>
      <c r="AB316" s="14" t="str">
        <f aca="false">IF(O316="","",IF(AA316="",0,O316*IF(AA316&gt;1,AA316/100,AA316)))</f>
        <v/>
      </c>
      <c r="AC316" s="14" t="str">
        <f aca="false">IF(O316="","",V316+Y316+AB316)</f>
        <v/>
      </c>
      <c r="AD316" s="19" t="str">
        <f aca="false">IF(O316="","",O316-R316-AC316)</f>
        <v/>
      </c>
      <c r="AE316" s="20"/>
      <c r="AF316" s="10"/>
      <c r="AG316" s="21" t="n">
        <f aca="false">IF(OR(AE316="",AE316=0),0,AE316*IF(U316="",0,IF(U316&gt;1,U316/100,U316)))</f>
        <v>0</v>
      </c>
      <c r="AH316" s="21" t="n">
        <f aca="false">IF(OR(AE316="",AE316=0),0,AE316*IF(X316="",0,IF(X316&gt;1,X316/100,X316)))</f>
        <v>0</v>
      </c>
      <c r="AI316" s="21" t="n">
        <f aca="false">IF(OR(AE316="",AE316=0),0,AE316*IF(AA316="",0,IF(AA316&gt;1,AA316/100,AA316)))</f>
        <v>0</v>
      </c>
      <c r="AJ316" s="21" t="n">
        <f aca="false">AG316+AH316+AI316</f>
        <v>0</v>
      </c>
      <c r="AK316" s="21" t="n">
        <f aca="false">IF(OR(AE316="",AE316=0),0,AE316-AJ316)</f>
        <v>0</v>
      </c>
      <c r="AL316" s="19" t="str">
        <f aca="false">IF(AD316="","",AD316-AK316)</f>
        <v/>
      </c>
      <c r="AM316" s="9" t="str">
        <f aca="false">IF(C316="","","Waiting for payment")</f>
        <v/>
      </c>
      <c r="AN316" s="10"/>
      <c r="AO316" s="10"/>
      <c r="AP316" s="22" t="str">
        <f aca="false">IF(OR(C316="",I316="",K316=""),"",IF(K316="Monthly",EDATE(C316,ROUND(I316*SETTINGS!$I$8,0)),WORKDAY(C316,ROUND(I316*SETTINGS!$I$8,0))))</f>
        <v/>
      </c>
      <c r="AQ316" s="9" t="str">
        <f aca="true">IF(C316="","",IF(AND(AP316&lt;&gt;"",TODAY()&gt;=AP316),"Refi Ready",IF(TODAY()-C316&gt;=SETTINGS!$I$11,"Prospecting","Performing")))</f>
        <v/>
      </c>
      <c r="AR316" s="22" t="str">
        <f aca="false">IF(OR(C316="",I316="",K316=""),"",IF(K316="Monthly",EDATE(C316,I316),WORKDAY(C316,I316)))</f>
        <v/>
      </c>
      <c r="AS316" s="11"/>
      <c r="AT316" s="23" t="str">
        <f aca="true">IF(C316="","",IF(AM316="Clawed Back","CLAWED",IF(TODAY()&lt;=C316+SETTINGS!$I$2,"⚠ AT RISK","SAFE")))</f>
        <v/>
      </c>
      <c r="AU316" s="11"/>
      <c r="AW316" s="24" t="n">
        <f aca="false">AW315+IF(AND(C316&lt;&gt;"",AO316&lt;&gt;"",OR('REP COMMISSION'!$B$3="",T316='REP COMMISSION'!$B$3,W316='REP COMMISSION'!$B$3,Z316='REP COMMISSION'!$B$3)),1,0)</f>
        <v>0</v>
      </c>
      <c r="AX316" s="24" t="n">
        <f aca="false">AX315+IF(AND(C316&lt;&gt;"",OR(F316="LOC - INITIAL",F316="CONSOLIDATION - UPFRONT COMM",F316="REVERSE - TOTAL FUNDING")),1,0)</f>
        <v>0</v>
      </c>
    </row>
    <row r="317" customFormat="false" ht="15" hidden="false" customHeight="false" outlineLevel="0" collapsed="false">
      <c r="A317" s="25" t="str">
        <f aca="false">IF(C317&lt;&gt;"","F"&amp;COUNT($C$4:C317),"")</f>
        <v/>
      </c>
      <c r="B317" s="26" t="str">
        <f aca="false">IF(OR(F317="LOC - INITIAL",F317="CONSOLIDATION - UPFRONT COMM",F317="REVERSE - TOTAL FUNDING"),A317,"")</f>
        <v/>
      </c>
      <c r="C317" s="27"/>
      <c r="D317" s="28"/>
      <c r="E317" s="28"/>
      <c r="F317" s="28"/>
      <c r="G317" s="29"/>
      <c r="H317" s="30"/>
      <c r="I317" s="28"/>
      <c r="J317" s="31" t="str">
        <f aca="false">IF(AND(G317&lt;&gt;"",H317&lt;&gt;""),G317*H317,"")</f>
        <v/>
      </c>
      <c r="K317" s="28"/>
      <c r="L317" s="32"/>
      <c r="M317" s="32"/>
      <c r="N317" s="31" t="n">
        <f aca="false">IF(OR(G317="",M317=""),0,IF(M317&gt;100,M317,G317*IF(M317&gt;1,M317/100,M317)))</f>
        <v>0</v>
      </c>
      <c r="O317" s="31" t="str">
        <f aca="false">IF(G317="","",G317*IF(L317="",0,IF(L317&gt;1,L317/100,L317))+N317)</f>
        <v/>
      </c>
      <c r="P317" s="28"/>
      <c r="Q317" s="33" t="str">
        <f aca="false">IF(P317="","",IFERROR(VLOOKUP(P317,PARTNERS!$A$2:$B$30,2,0),""))</f>
        <v/>
      </c>
      <c r="R317" s="17" t="str">
        <f aca="false">IF(O317="","",IF(OR(P317="",Q317=""),0,(O317-N317)*IF(Q317&gt;1,Q317/100,Q317)))</f>
        <v/>
      </c>
      <c r="S317" s="31" t="str">
        <f aca="false">IF(O317="","",O317-R317)</f>
        <v/>
      </c>
      <c r="T317" s="28"/>
      <c r="U317" s="34" t="str">
        <f aca="false">IF(T317="","",IFERROR(VLOOKUP(T317,REPS!$A$2:$D$40,2,0),""))</f>
        <v/>
      </c>
      <c r="V317" s="31" t="str">
        <f aca="false">IF(O317="","",IF(U317="",0,O317*IF(U317&gt;1,U317/100,U317)))</f>
        <v/>
      </c>
      <c r="W317" s="28"/>
      <c r="X317" s="34" t="str">
        <f aca="false">IF(W317="","",IFERROR(VLOOKUP(W317,REPS!$A$2:$D$40,3,0),""))</f>
        <v/>
      </c>
      <c r="Y317" s="31" t="str">
        <f aca="false">IF(O317="","",IF(X317="",0,O317*IF(X317&gt;1,X317/100,X317)))</f>
        <v/>
      </c>
      <c r="Z317" s="28"/>
      <c r="AA317" s="34" t="str">
        <f aca="false">IF(Z317="","",IFERROR(VLOOKUP(Z317,REPS!$A$2:$D$40,4,0),""))</f>
        <v/>
      </c>
      <c r="AB317" s="31" t="str">
        <f aca="false">IF(O317="","",IF(AA317="",0,O317*IF(AA317&gt;1,AA317/100,AA317)))</f>
        <v/>
      </c>
      <c r="AC317" s="31" t="str">
        <f aca="false">IF(O317="","",V317+Y317+AB317)</f>
        <v/>
      </c>
      <c r="AD317" s="19" t="str">
        <f aca="false">IF(O317="","",O317-R317-AC317)</f>
        <v/>
      </c>
      <c r="AE317" s="20"/>
      <c r="AF317" s="27"/>
      <c r="AG317" s="21" t="n">
        <f aca="false">IF(OR(AE317="",AE317=0),0,AE317*IF(U317="",0,IF(U317&gt;1,U317/100,U317)))</f>
        <v>0</v>
      </c>
      <c r="AH317" s="21" t="n">
        <f aca="false">IF(OR(AE317="",AE317=0),0,AE317*IF(X317="",0,IF(X317&gt;1,X317/100,X317)))</f>
        <v>0</v>
      </c>
      <c r="AI317" s="21" t="n">
        <f aca="false">IF(OR(AE317="",AE317=0),0,AE317*IF(AA317="",0,IF(AA317&gt;1,AA317/100,AA317)))</f>
        <v>0</v>
      </c>
      <c r="AJ317" s="21" t="n">
        <f aca="false">AG317+AH317+AI317</f>
        <v>0</v>
      </c>
      <c r="AK317" s="21" t="n">
        <f aca="false">IF(OR(AE317="",AE317=0),0,AE317-AJ317)</f>
        <v>0</v>
      </c>
      <c r="AL317" s="19" t="str">
        <f aca="false">IF(AD317="","",AD317-AK317)</f>
        <v/>
      </c>
      <c r="AM317" s="26" t="str">
        <f aca="false">IF(C317="","","Waiting for payment")</f>
        <v/>
      </c>
      <c r="AN317" s="27"/>
      <c r="AO317" s="27"/>
      <c r="AP317" s="35" t="str">
        <f aca="false">IF(OR(C317="",I317="",K317=""),"",IF(K317="Monthly",EDATE(C317,ROUND(I317*SETTINGS!$I$8,0)),WORKDAY(C317,ROUND(I317*SETTINGS!$I$8,0))))</f>
        <v/>
      </c>
      <c r="AQ317" s="26" t="str">
        <f aca="true">IF(C317="","",IF(AND(AP317&lt;&gt;"",TODAY()&gt;=AP317),"Refi Ready",IF(TODAY()-C317&gt;=SETTINGS!$I$11,"Prospecting","Performing")))</f>
        <v/>
      </c>
      <c r="AR317" s="35" t="str">
        <f aca="false">IF(OR(C317="",I317="",K317=""),"",IF(K317="Monthly",EDATE(C317,I317),WORKDAY(C317,I317)))</f>
        <v/>
      </c>
      <c r="AS317" s="28"/>
      <c r="AT317" s="36" t="str">
        <f aca="true">IF(C317="","",IF(AM317="Clawed Back","CLAWED",IF(TODAY()&lt;=C317+SETTINGS!$I$2,"⚠ AT RISK","SAFE")))</f>
        <v/>
      </c>
      <c r="AU317" s="28"/>
      <c r="AW317" s="24" t="n">
        <f aca="false">AW316+IF(AND(C317&lt;&gt;"",AO317&lt;&gt;"",OR('REP COMMISSION'!$B$3="",T317='REP COMMISSION'!$B$3,W317='REP COMMISSION'!$B$3,Z317='REP COMMISSION'!$B$3)),1,0)</f>
        <v>0</v>
      </c>
      <c r="AX317" s="24" t="n">
        <f aca="false">AX316+IF(AND(C317&lt;&gt;"",OR(F317="LOC - INITIAL",F317="CONSOLIDATION - UPFRONT COMM",F317="REVERSE - TOTAL FUNDING")),1,0)</f>
        <v>0</v>
      </c>
    </row>
    <row r="318" customFormat="false" ht="15" hidden="false" customHeight="false" outlineLevel="0" collapsed="false">
      <c r="A318" s="8" t="str">
        <f aca="false">IF(C318&lt;&gt;"","F"&amp;COUNT($C$4:C318),"")</f>
        <v/>
      </c>
      <c r="B318" s="9" t="str">
        <f aca="false">IF(OR(F318="LOC - INITIAL",F318="CONSOLIDATION - UPFRONT COMM",F318="REVERSE - TOTAL FUNDING"),A318,"")</f>
        <v/>
      </c>
      <c r="C318" s="10"/>
      <c r="D318" s="11"/>
      <c r="E318" s="11"/>
      <c r="F318" s="11"/>
      <c r="G318" s="12"/>
      <c r="H318" s="13"/>
      <c r="I318" s="11"/>
      <c r="J318" s="14" t="str">
        <f aca="false">IF(AND(G318&lt;&gt;"",H318&lt;&gt;""),G318*H318,"")</f>
        <v/>
      </c>
      <c r="K318" s="11"/>
      <c r="L318" s="15"/>
      <c r="M318" s="15"/>
      <c r="N318" s="14" t="n">
        <f aca="false">IF(OR(G318="",M318=""),0,IF(M318&gt;100,M318,G318*IF(M318&gt;1,M318/100,M318)))</f>
        <v>0</v>
      </c>
      <c r="O318" s="14" t="str">
        <f aca="false">IF(G318="","",G318*IF(L318="",0,IF(L318&gt;1,L318/100,L318))+N318)</f>
        <v/>
      </c>
      <c r="P318" s="11"/>
      <c r="Q318" s="16" t="str">
        <f aca="false">IF(P318="","",IFERROR(VLOOKUP(P318,PARTNERS!$A$2:$B$30,2,0),""))</f>
        <v/>
      </c>
      <c r="R318" s="17" t="str">
        <f aca="false">IF(O318="","",IF(OR(P318="",Q318=""),0,(O318-N318)*IF(Q318&gt;1,Q318/100,Q318)))</f>
        <v/>
      </c>
      <c r="S318" s="14" t="str">
        <f aca="false">IF(O318="","",O318-R318)</f>
        <v/>
      </c>
      <c r="T318" s="11"/>
      <c r="U318" s="18" t="str">
        <f aca="false">IF(T318="","",IFERROR(VLOOKUP(T318,REPS!$A$2:$D$40,2,0),""))</f>
        <v/>
      </c>
      <c r="V318" s="14" t="str">
        <f aca="false">IF(O318="","",IF(U318="",0,O318*IF(U318&gt;1,U318/100,U318)))</f>
        <v/>
      </c>
      <c r="W318" s="11"/>
      <c r="X318" s="18" t="str">
        <f aca="false">IF(W318="","",IFERROR(VLOOKUP(W318,REPS!$A$2:$D$40,3,0),""))</f>
        <v/>
      </c>
      <c r="Y318" s="14" t="str">
        <f aca="false">IF(O318="","",IF(X318="",0,O318*IF(X318&gt;1,X318/100,X318)))</f>
        <v/>
      </c>
      <c r="Z318" s="11"/>
      <c r="AA318" s="18" t="str">
        <f aca="false">IF(Z318="","",IFERROR(VLOOKUP(Z318,REPS!$A$2:$D$40,4,0),""))</f>
        <v/>
      </c>
      <c r="AB318" s="14" t="str">
        <f aca="false">IF(O318="","",IF(AA318="",0,O318*IF(AA318&gt;1,AA318/100,AA318)))</f>
        <v/>
      </c>
      <c r="AC318" s="14" t="str">
        <f aca="false">IF(O318="","",V318+Y318+AB318)</f>
        <v/>
      </c>
      <c r="AD318" s="19" t="str">
        <f aca="false">IF(O318="","",O318-R318-AC318)</f>
        <v/>
      </c>
      <c r="AE318" s="20"/>
      <c r="AF318" s="10"/>
      <c r="AG318" s="21" t="n">
        <f aca="false">IF(OR(AE318="",AE318=0),0,AE318*IF(U318="",0,IF(U318&gt;1,U318/100,U318)))</f>
        <v>0</v>
      </c>
      <c r="AH318" s="21" t="n">
        <f aca="false">IF(OR(AE318="",AE318=0),0,AE318*IF(X318="",0,IF(X318&gt;1,X318/100,X318)))</f>
        <v>0</v>
      </c>
      <c r="AI318" s="21" t="n">
        <f aca="false">IF(OR(AE318="",AE318=0),0,AE318*IF(AA318="",0,IF(AA318&gt;1,AA318/100,AA318)))</f>
        <v>0</v>
      </c>
      <c r="AJ318" s="21" t="n">
        <f aca="false">AG318+AH318+AI318</f>
        <v>0</v>
      </c>
      <c r="AK318" s="21" t="n">
        <f aca="false">IF(OR(AE318="",AE318=0),0,AE318-AJ318)</f>
        <v>0</v>
      </c>
      <c r="AL318" s="19" t="str">
        <f aca="false">IF(AD318="","",AD318-AK318)</f>
        <v/>
      </c>
      <c r="AM318" s="9" t="str">
        <f aca="false">IF(C318="","","Waiting for payment")</f>
        <v/>
      </c>
      <c r="AN318" s="10"/>
      <c r="AO318" s="10"/>
      <c r="AP318" s="22" t="str">
        <f aca="false">IF(OR(C318="",I318="",K318=""),"",IF(K318="Monthly",EDATE(C318,ROUND(I318*SETTINGS!$I$8,0)),WORKDAY(C318,ROUND(I318*SETTINGS!$I$8,0))))</f>
        <v/>
      </c>
      <c r="AQ318" s="9" t="str">
        <f aca="true">IF(C318="","",IF(AND(AP318&lt;&gt;"",TODAY()&gt;=AP318),"Refi Ready",IF(TODAY()-C318&gt;=SETTINGS!$I$11,"Prospecting","Performing")))</f>
        <v/>
      </c>
      <c r="AR318" s="22" t="str">
        <f aca="false">IF(OR(C318="",I318="",K318=""),"",IF(K318="Monthly",EDATE(C318,I318),WORKDAY(C318,I318)))</f>
        <v/>
      </c>
      <c r="AS318" s="11"/>
      <c r="AT318" s="23" t="str">
        <f aca="true">IF(C318="","",IF(AM318="Clawed Back","CLAWED",IF(TODAY()&lt;=C318+SETTINGS!$I$2,"⚠ AT RISK","SAFE")))</f>
        <v/>
      </c>
      <c r="AU318" s="11"/>
      <c r="AW318" s="24" t="n">
        <f aca="false">AW317+IF(AND(C318&lt;&gt;"",AO318&lt;&gt;"",OR('REP COMMISSION'!$B$3="",T318='REP COMMISSION'!$B$3,W318='REP COMMISSION'!$B$3,Z318='REP COMMISSION'!$B$3)),1,0)</f>
        <v>0</v>
      </c>
      <c r="AX318" s="24" t="n">
        <f aca="false">AX317+IF(AND(C318&lt;&gt;"",OR(F318="LOC - INITIAL",F318="CONSOLIDATION - UPFRONT COMM",F318="REVERSE - TOTAL FUNDING")),1,0)</f>
        <v>0</v>
      </c>
    </row>
    <row r="319" customFormat="false" ht="15" hidden="false" customHeight="false" outlineLevel="0" collapsed="false">
      <c r="A319" s="25" t="str">
        <f aca="false">IF(C319&lt;&gt;"","F"&amp;COUNT($C$4:C319),"")</f>
        <v/>
      </c>
      <c r="B319" s="26" t="str">
        <f aca="false">IF(OR(F319="LOC - INITIAL",F319="CONSOLIDATION - UPFRONT COMM",F319="REVERSE - TOTAL FUNDING"),A319,"")</f>
        <v/>
      </c>
      <c r="C319" s="27"/>
      <c r="D319" s="28"/>
      <c r="E319" s="28"/>
      <c r="F319" s="28"/>
      <c r="G319" s="29"/>
      <c r="H319" s="30"/>
      <c r="I319" s="28"/>
      <c r="J319" s="31" t="str">
        <f aca="false">IF(AND(G319&lt;&gt;"",H319&lt;&gt;""),G319*H319,"")</f>
        <v/>
      </c>
      <c r="K319" s="28"/>
      <c r="L319" s="32"/>
      <c r="M319" s="32"/>
      <c r="N319" s="31" t="n">
        <f aca="false">IF(OR(G319="",M319=""),0,IF(M319&gt;100,M319,G319*IF(M319&gt;1,M319/100,M319)))</f>
        <v>0</v>
      </c>
      <c r="O319" s="31" t="str">
        <f aca="false">IF(G319="","",G319*IF(L319="",0,IF(L319&gt;1,L319/100,L319))+N319)</f>
        <v/>
      </c>
      <c r="P319" s="28"/>
      <c r="Q319" s="33" t="str">
        <f aca="false">IF(P319="","",IFERROR(VLOOKUP(P319,PARTNERS!$A$2:$B$30,2,0),""))</f>
        <v/>
      </c>
      <c r="R319" s="17" t="str">
        <f aca="false">IF(O319="","",IF(OR(P319="",Q319=""),0,(O319-N319)*IF(Q319&gt;1,Q319/100,Q319)))</f>
        <v/>
      </c>
      <c r="S319" s="31" t="str">
        <f aca="false">IF(O319="","",O319-R319)</f>
        <v/>
      </c>
      <c r="T319" s="28"/>
      <c r="U319" s="34" t="str">
        <f aca="false">IF(T319="","",IFERROR(VLOOKUP(T319,REPS!$A$2:$D$40,2,0),""))</f>
        <v/>
      </c>
      <c r="V319" s="31" t="str">
        <f aca="false">IF(O319="","",IF(U319="",0,O319*IF(U319&gt;1,U319/100,U319)))</f>
        <v/>
      </c>
      <c r="W319" s="28"/>
      <c r="X319" s="34" t="str">
        <f aca="false">IF(W319="","",IFERROR(VLOOKUP(W319,REPS!$A$2:$D$40,3,0),""))</f>
        <v/>
      </c>
      <c r="Y319" s="31" t="str">
        <f aca="false">IF(O319="","",IF(X319="",0,O319*IF(X319&gt;1,X319/100,X319)))</f>
        <v/>
      </c>
      <c r="Z319" s="28"/>
      <c r="AA319" s="34" t="str">
        <f aca="false">IF(Z319="","",IFERROR(VLOOKUP(Z319,REPS!$A$2:$D$40,4,0),""))</f>
        <v/>
      </c>
      <c r="AB319" s="31" t="str">
        <f aca="false">IF(O319="","",IF(AA319="",0,O319*IF(AA319&gt;1,AA319/100,AA319)))</f>
        <v/>
      </c>
      <c r="AC319" s="31" t="str">
        <f aca="false">IF(O319="","",V319+Y319+AB319)</f>
        <v/>
      </c>
      <c r="AD319" s="19" t="str">
        <f aca="false">IF(O319="","",O319-R319-AC319)</f>
        <v/>
      </c>
      <c r="AE319" s="20"/>
      <c r="AF319" s="27"/>
      <c r="AG319" s="21" t="n">
        <f aca="false">IF(OR(AE319="",AE319=0),0,AE319*IF(U319="",0,IF(U319&gt;1,U319/100,U319)))</f>
        <v>0</v>
      </c>
      <c r="AH319" s="21" t="n">
        <f aca="false">IF(OR(AE319="",AE319=0),0,AE319*IF(X319="",0,IF(X319&gt;1,X319/100,X319)))</f>
        <v>0</v>
      </c>
      <c r="AI319" s="21" t="n">
        <f aca="false">IF(OR(AE319="",AE319=0),0,AE319*IF(AA319="",0,IF(AA319&gt;1,AA319/100,AA319)))</f>
        <v>0</v>
      </c>
      <c r="AJ319" s="21" t="n">
        <f aca="false">AG319+AH319+AI319</f>
        <v>0</v>
      </c>
      <c r="AK319" s="21" t="n">
        <f aca="false">IF(OR(AE319="",AE319=0),0,AE319-AJ319)</f>
        <v>0</v>
      </c>
      <c r="AL319" s="19" t="str">
        <f aca="false">IF(AD319="","",AD319-AK319)</f>
        <v/>
      </c>
      <c r="AM319" s="26" t="str">
        <f aca="false">IF(C319="","","Waiting for payment")</f>
        <v/>
      </c>
      <c r="AN319" s="27"/>
      <c r="AO319" s="27"/>
      <c r="AP319" s="35" t="str">
        <f aca="false">IF(OR(C319="",I319="",K319=""),"",IF(K319="Monthly",EDATE(C319,ROUND(I319*SETTINGS!$I$8,0)),WORKDAY(C319,ROUND(I319*SETTINGS!$I$8,0))))</f>
        <v/>
      </c>
      <c r="AQ319" s="26" t="str">
        <f aca="true">IF(C319="","",IF(AND(AP319&lt;&gt;"",TODAY()&gt;=AP319),"Refi Ready",IF(TODAY()-C319&gt;=SETTINGS!$I$11,"Prospecting","Performing")))</f>
        <v/>
      </c>
      <c r="AR319" s="35" t="str">
        <f aca="false">IF(OR(C319="",I319="",K319=""),"",IF(K319="Monthly",EDATE(C319,I319),WORKDAY(C319,I319)))</f>
        <v/>
      </c>
      <c r="AS319" s="28"/>
      <c r="AT319" s="36" t="str">
        <f aca="true">IF(C319="","",IF(AM319="Clawed Back","CLAWED",IF(TODAY()&lt;=C319+SETTINGS!$I$2,"⚠ AT RISK","SAFE")))</f>
        <v/>
      </c>
      <c r="AU319" s="28"/>
      <c r="AW319" s="24" t="n">
        <f aca="false">AW318+IF(AND(C319&lt;&gt;"",AO319&lt;&gt;"",OR('REP COMMISSION'!$B$3="",T319='REP COMMISSION'!$B$3,W319='REP COMMISSION'!$B$3,Z319='REP COMMISSION'!$B$3)),1,0)</f>
        <v>0</v>
      </c>
      <c r="AX319" s="24" t="n">
        <f aca="false">AX318+IF(AND(C319&lt;&gt;"",OR(F319="LOC - INITIAL",F319="CONSOLIDATION - UPFRONT COMM",F319="REVERSE - TOTAL FUNDING")),1,0)</f>
        <v>0</v>
      </c>
    </row>
    <row r="320" customFormat="false" ht="15" hidden="false" customHeight="false" outlineLevel="0" collapsed="false">
      <c r="A320" s="8" t="str">
        <f aca="false">IF(C320&lt;&gt;"","F"&amp;COUNT($C$4:C320),"")</f>
        <v/>
      </c>
      <c r="B320" s="9" t="str">
        <f aca="false">IF(OR(F320="LOC - INITIAL",F320="CONSOLIDATION - UPFRONT COMM",F320="REVERSE - TOTAL FUNDING"),A320,"")</f>
        <v/>
      </c>
      <c r="C320" s="10"/>
      <c r="D320" s="11"/>
      <c r="E320" s="11"/>
      <c r="F320" s="11"/>
      <c r="G320" s="12"/>
      <c r="H320" s="13"/>
      <c r="I320" s="11"/>
      <c r="J320" s="14" t="str">
        <f aca="false">IF(AND(G320&lt;&gt;"",H320&lt;&gt;""),G320*H320,"")</f>
        <v/>
      </c>
      <c r="K320" s="11"/>
      <c r="L320" s="15"/>
      <c r="M320" s="15"/>
      <c r="N320" s="14" t="n">
        <f aca="false">IF(OR(G320="",M320=""),0,IF(M320&gt;100,M320,G320*IF(M320&gt;1,M320/100,M320)))</f>
        <v>0</v>
      </c>
      <c r="O320" s="14" t="str">
        <f aca="false">IF(G320="","",G320*IF(L320="",0,IF(L320&gt;1,L320/100,L320))+N320)</f>
        <v/>
      </c>
      <c r="P320" s="11"/>
      <c r="Q320" s="16" t="str">
        <f aca="false">IF(P320="","",IFERROR(VLOOKUP(P320,PARTNERS!$A$2:$B$30,2,0),""))</f>
        <v/>
      </c>
      <c r="R320" s="17" t="str">
        <f aca="false">IF(O320="","",IF(OR(P320="",Q320=""),0,(O320-N320)*IF(Q320&gt;1,Q320/100,Q320)))</f>
        <v/>
      </c>
      <c r="S320" s="14" t="str">
        <f aca="false">IF(O320="","",O320-R320)</f>
        <v/>
      </c>
      <c r="T320" s="11"/>
      <c r="U320" s="18" t="str">
        <f aca="false">IF(T320="","",IFERROR(VLOOKUP(T320,REPS!$A$2:$D$40,2,0),""))</f>
        <v/>
      </c>
      <c r="V320" s="14" t="str">
        <f aca="false">IF(O320="","",IF(U320="",0,O320*IF(U320&gt;1,U320/100,U320)))</f>
        <v/>
      </c>
      <c r="W320" s="11"/>
      <c r="X320" s="18" t="str">
        <f aca="false">IF(W320="","",IFERROR(VLOOKUP(W320,REPS!$A$2:$D$40,3,0),""))</f>
        <v/>
      </c>
      <c r="Y320" s="14" t="str">
        <f aca="false">IF(O320="","",IF(X320="",0,O320*IF(X320&gt;1,X320/100,X320)))</f>
        <v/>
      </c>
      <c r="Z320" s="11"/>
      <c r="AA320" s="18" t="str">
        <f aca="false">IF(Z320="","",IFERROR(VLOOKUP(Z320,REPS!$A$2:$D$40,4,0),""))</f>
        <v/>
      </c>
      <c r="AB320" s="14" t="str">
        <f aca="false">IF(O320="","",IF(AA320="",0,O320*IF(AA320&gt;1,AA320/100,AA320)))</f>
        <v/>
      </c>
      <c r="AC320" s="14" t="str">
        <f aca="false">IF(O320="","",V320+Y320+AB320)</f>
        <v/>
      </c>
      <c r="AD320" s="19" t="str">
        <f aca="false">IF(O320="","",O320-R320-AC320)</f>
        <v/>
      </c>
      <c r="AE320" s="20"/>
      <c r="AF320" s="10"/>
      <c r="AG320" s="21" t="n">
        <f aca="false">IF(OR(AE320="",AE320=0),0,AE320*IF(U320="",0,IF(U320&gt;1,U320/100,U320)))</f>
        <v>0</v>
      </c>
      <c r="AH320" s="21" t="n">
        <f aca="false">IF(OR(AE320="",AE320=0),0,AE320*IF(X320="",0,IF(X320&gt;1,X320/100,X320)))</f>
        <v>0</v>
      </c>
      <c r="AI320" s="21" t="n">
        <f aca="false">IF(OR(AE320="",AE320=0),0,AE320*IF(AA320="",0,IF(AA320&gt;1,AA320/100,AA320)))</f>
        <v>0</v>
      </c>
      <c r="AJ320" s="21" t="n">
        <f aca="false">AG320+AH320+AI320</f>
        <v>0</v>
      </c>
      <c r="AK320" s="21" t="n">
        <f aca="false">IF(OR(AE320="",AE320=0),0,AE320-AJ320)</f>
        <v>0</v>
      </c>
      <c r="AL320" s="19" t="str">
        <f aca="false">IF(AD320="","",AD320-AK320)</f>
        <v/>
      </c>
      <c r="AM320" s="9" t="str">
        <f aca="false">IF(C320="","","Waiting for payment")</f>
        <v/>
      </c>
      <c r="AN320" s="10"/>
      <c r="AO320" s="10"/>
      <c r="AP320" s="22" t="str">
        <f aca="false">IF(OR(C320="",I320="",K320=""),"",IF(K320="Monthly",EDATE(C320,ROUND(I320*SETTINGS!$I$8,0)),WORKDAY(C320,ROUND(I320*SETTINGS!$I$8,0))))</f>
        <v/>
      </c>
      <c r="AQ320" s="9" t="str">
        <f aca="true">IF(C320="","",IF(AND(AP320&lt;&gt;"",TODAY()&gt;=AP320),"Refi Ready",IF(TODAY()-C320&gt;=SETTINGS!$I$11,"Prospecting","Performing")))</f>
        <v/>
      </c>
      <c r="AR320" s="22" t="str">
        <f aca="false">IF(OR(C320="",I320="",K320=""),"",IF(K320="Monthly",EDATE(C320,I320),WORKDAY(C320,I320)))</f>
        <v/>
      </c>
      <c r="AS320" s="11"/>
      <c r="AT320" s="23" t="str">
        <f aca="true">IF(C320="","",IF(AM320="Clawed Back","CLAWED",IF(TODAY()&lt;=C320+SETTINGS!$I$2,"⚠ AT RISK","SAFE")))</f>
        <v/>
      </c>
      <c r="AU320" s="11"/>
      <c r="AW320" s="24" t="n">
        <f aca="false">AW319+IF(AND(C320&lt;&gt;"",AO320&lt;&gt;"",OR('REP COMMISSION'!$B$3="",T320='REP COMMISSION'!$B$3,W320='REP COMMISSION'!$B$3,Z320='REP COMMISSION'!$B$3)),1,0)</f>
        <v>0</v>
      </c>
      <c r="AX320" s="24" t="n">
        <f aca="false">AX319+IF(AND(C320&lt;&gt;"",OR(F320="LOC - INITIAL",F320="CONSOLIDATION - UPFRONT COMM",F320="REVERSE - TOTAL FUNDING")),1,0)</f>
        <v>0</v>
      </c>
    </row>
    <row r="321" customFormat="false" ht="15" hidden="false" customHeight="false" outlineLevel="0" collapsed="false">
      <c r="A321" s="25" t="str">
        <f aca="false">IF(C321&lt;&gt;"","F"&amp;COUNT($C$4:C321),"")</f>
        <v/>
      </c>
      <c r="B321" s="26" t="str">
        <f aca="false">IF(OR(F321="LOC - INITIAL",F321="CONSOLIDATION - UPFRONT COMM",F321="REVERSE - TOTAL FUNDING"),A321,"")</f>
        <v/>
      </c>
      <c r="C321" s="27"/>
      <c r="D321" s="28"/>
      <c r="E321" s="28"/>
      <c r="F321" s="28"/>
      <c r="G321" s="29"/>
      <c r="H321" s="30"/>
      <c r="I321" s="28"/>
      <c r="J321" s="31" t="str">
        <f aca="false">IF(AND(G321&lt;&gt;"",H321&lt;&gt;""),G321*H321,"")</f>
        <v/>
      </c>
      <c r="K321" s="28"/>
      <c r="L321" s="32"/>
      <c r="M321" s="32"/>
      <c r="N321" s="31" t="n">
        <f aca="false">IF(OR(G321="",M321=""),0,IF(M321&gt;100,M321,G321*IF(M321&gt;1,M321/100,M321)))</f>
        <v>0</v>
      </c>
      <c r="O321" s="31" t="str">
        <f aca="false">IF(G321="","",G321*IF(L321="",0,IF(L321&gt;1,L321/100,L321))+N321)</f>
        <v/>
      </c>
      <c r="P321" s="28"/>
      <c r="Q321" s="33" t="str">
        <f aca="false">IF(P321="","",IFERROR(VLOOKUP(P321,PARTNERS!$A$2:$B$30,2,0),""))</f>
        <v/>
      </c>
      <c r="R321" s="17" t="str">
        <f aca="false">IF(O321="","",IF(OR(P321="",Q321=""),0,(O321-N321)*IF(Q321&gt;1,Q321/100,Q321)))</f>
        <v/>
      </c>
      <c r="S321" s="31" t="str">
        <f aca="false">IF(O321="","",O321-R321)</f>
        <v/>
      </c>
      <c r="T321" s="28"/>
      <c r="U321" s="34" t="str">
        <f aca="false">IF(T321="","",IFERROR(VLOOKUP(T321,REPS!$A$2:$D$40,2,0),""))</f>
        <v/>
      </c>
      <c r="V321" s="31" t="str">
        <f aca="false">IF(O321="","",IF(U321="",0,O321*IF(U321&gt;1,U321/100,U321)))</f>
        <v/>
      </c>
      <c r="W321" s="28"/>
      <c r="X321" s="34" t="str">
        <f aca="false">IF(W321="","",IFERROR(VLOOKUP(W321,REPS!$A$2:$D$40,3,0),""))</f>
        <v/>
      </c>
      <c r="Y321" s="31" t="str">
        <f aca="false">IF(O321="","",IF(X321="",0,O321*IF(X321&gt;1,X321/100,X321)))</f>
        <v/>
      </c>
      <c r="Z321" s="28"/>
      <c r="AA321" s="34" t="str">
        <f aca="false">IF(Z321="","",IFERROR(VLOOKUP(Z321,REPS!$A$2:$D$40,4,0),""))</f>
        <v/>
      </c>
      <c r="AB321" s="31" t="str">
        <f aca="false">IF(O321="","",IF(AA321="",0,O321*IF(AA321&gt;1,AA321/100,AA321)))</f>
        <v/>
      </c>
      <c r="AC321" s="31" t="str">
        <f aca="false">IF(O321="","",V321+Y321+AB321)</f>
        <v/>
      </c>
      <c r="AD321" s="19" t="str">
        <f aca="false">IF(O321="","",O321-R321-AC321)</f>
        <v/>
      </c>
      <c r="AE321" s="20"/>
      <c r="AF321" s="27"/>
      <c r="AG321" s="21" t="n">
        <f aca="false">IF(OR(AE321="",AE321=0),0,AE321*IF(U321="",0,IF(U321&gt;1,U321/100,U321)))</f>
        <v>0</v>
      </c>
      <c r="AH321" s="21" t="n">
        <f aca="false">IF(OR(AE321="",AE321=0),0,AE321*IF(X321="",0,IF(X321&gt;1,X321/100,X321)))</f>
        <v>0</v>
      </c>
      <c r="AI321" s="21" t="n">
        <f aca="false">IF(OR(AE321="",AE321=0),0,AE321*IF(AA321="",0,IF(AA321&gt;1,AA321/100,AA321)))</f>
        <v>0</v>
      </c>
      <c r="AJ321" s="21" t="n">
        <f aca="false">AG321+AH321+AI321</f>
        <v>0</v>
      </c>
      <c r="AK321" s="21" t="n">
        <f aca="false">IF(OR(AE321="",AE321=0),0,AE321-AJ321)</f>
        <v>0</v>
      </c>
      <c r="AL321" s="19" t="str">
        <f aca="false">IF(AD321="","",AD321-AK321)</f>
        <v/>
      </c>
      <c r="AM321" s="26" t="str">
        <f aca="false">IF(C321="","","Waiting for payment")</f>
        <v/>
      </c>
      <c r="AN321" s="27"/>
      <c r="AO321" s="27"/>
      <c r="AP321" s="35" t="str">
        <f aca="false">IF(OR(C321="",I321="",K321=""),"",IF(K321="Monthly",EDATE(C321,ROUND(I321*SETTINGS!$I$8,0)),WORKDAY(C321,ROUND(I321*SETTINGS!$I$8,0))))</f>
        <v/>
      </c>
      <c r="AQ321" s="26" t="str">
        <f aca="true">IF(C321="","",IF(AND(AP321&lt;&gt;"",TODAY()&gt;=AP321),"Refi Ready",IF(TODAY()-C321&gt;=SETTINGS!$I$11,"Prospecting","Performing")))</f>
        <v/>
      </c>
      <c r="AR321" s="35" t="str">
        <f aca="false">IF(OR(C321="",I321="",K321=""),"",IF(K321="Monthly",EDATE(C321,I321),WORKDAY(C321,I321)))</f>
        <v/>
      </c>
      <c r="AS321" s="28"/>
      <c r="AT321" s="36" t="str">
        <f aca="true">IF(C321="","",IF(AM321="Clawed Back","CLAWED",IF(TODAY()&lt;=C321+SETTINGS!$I$2,"⚠ AT RISK","SAFE")))</f>
        <v/>
      </c>
      <c r="AU321" s="28"/>
      <c r="AW321" s="24" t="n">
        <f aca="false">AW320+IF(AND(C321&lt;&gt;"",AO321&lt;&gt;"",OR('REP COMMISSION'!$B$3="",T321='REP COMMISSION'!$B$3,W321='REP COMMISSION'!$B$3,Z321='REP COMMISSION'!$B$3)),1,0)</f>
        <v>0</v>
      </c>
      <c r="AX321" s="24" t="n">
        <f aca="false">AX320+IF(AND(C321&lt;&gt;"",OR(F321="LOC - INITIAL",F321="CONSOLIDATION - UPFRONT COMM",F321="REVERSE - TOTAL FUNDING")),1,0)</f>
        <v>0</v>
      </c>
    </row>
    <row r="322" customFormat="false" ht="15" hidden="false" customHeight="false" outlineLevel="0" collapsed="false">
      <c r="A322" s="8" t="str">
        <f aca="false">IF(C322&lt;&gt;"","F"&amp;COUNT($C$4:C322),"")</f>
        <v/>
      </c>
      <c r="B322" s="9" t="str">
        <f aca="false">IF(OR(F322="LOC - INITIAL",F322="CONSOLIDATION - UPFRONT COMM",F322="REVERSE - TOTAL FUNDING"),A322,"")</f>
        <v/>
      </c>
      <c r="C322" s="10"/>
      <c r="D322" s="11"/>
      <c r="E322" s="11"/>
      <c r="F322" s="11"/>
      <c r="G322" s="12"/>
      <c r="H322" s="13"/>
      <c r="I322" s="11"/>
      <c r="J322" s="14" t="str">
        <f aca="false">IF(AND(G322&lt;&gt;"",H322&lt;&gt;""),G322*H322,"")</f>
        <v/>
      </c>
      <c r="K322" s="11"/>
      <c r="L322" s="15"/>
      <c r="M322" s="15"/>
      <c r="N322" s="14" t="n">
        <f aca="false">IF(OR(G322="",M322=""),0,IF(M322&gt;100,M322,G322*IF(M322&gt;1,M322/100,M322)))</f>
        <v>0</v>
      </c>
      <c r="O322" s="14" t="str">
        <f aca="false">IF(G322="","",G322*IF(L322="",0,IF(L322&gt;1,L322/100,L322))+N322)</f>
        <v/>
      </c>
      <c r="P322" s="11"/>
      <c r="Q322" s="16" t="str">
        <f aca="false">IF(P322="","",IFERROR(VLOOKUP(P322,PARTNERS!$A$2:$B$30,2,0),""))</f>
        <v/>
      </c>
      <c r="R322" s="17" t="str">
        <f aca="false">IF(O322="","",IF(OR(P322="",Q322=""),0,(O322-N322)*IF(Q322&gt;1,Q322/100,Q322)))</f>
        <v/>
      </c>
      <c r="S322" s="14" t="str">
        <f aca="false">IF(O322="","",O322-R322)</f>
        <v/>
      </c>
      <c r="T322" s="11"/>
      <c r="U322" s="18" t="str">
        <f aca="false">IF(T322="","",IFERROR(VLOOKUP(T322,REPS!$A$2:$D$40,2,0),""))</f>
        <v/>
      </c>
      <c r="V322" s="14" t="str">
        <f aca="false">IF(O322="","",IF(U322="",0,O322*IF(U322&gt;1,U322/100,U322)))</f>
        <v/>
      </c>
      <c r="W322" s="11"/>
      <c r="X322" s="18" t="str">
        <f aca="false">IF(W322="","",IFERROR(VLOOKUP(W322,REPS!$A$2:$D$40,3,0),""))</f>
        <v/>
      </c>
      <c r="Y322" s="14" t="str">
        <f aca="false">IF(O322="","",IF(X322="",0,O322*IF(X322&gt;1,X322/100,X322)))</f>
        <v/>
      </c>
      <c r="Z322" s="11"/>
      <c r="AA322" s="18" t="str">
        <f aca="false">IF(Z322="","",IFERROR(VLOOKUP(Z322,REPS!$A$2:$D$40,4,0),""))</f>
        <v/>
      </c>
      <c r="AB322" s="14" t="str">
        <f aca="false">IF(O322="","",IF(AA322="",0,O322*IF(AA322&gt;1,AA322/100,AA322)))</f>
        <v/>
      </c>
      <c r="AC322" s="14" t="str">
        <f aca="false">IF(O322="","",V322+Y322+AB322)</f>
        <v/>
      </c>
      <c r="AD322" s="19" t="str">
        <f aca="false">IF(O322="","",O322-R322-AC322)</f>
        <v/>
      </c>
      <c r="AE322" s="20"/>
      <c r="AF322" s="10"/>
      <c r="AG322" s="21" t="n">
        <f aca="false">IF(OR(AE322="",AE322=0),0,AE322*IF(U322="",0,IF(U322&gt;1,U322/100,U322)))</f>
        <v>0</v>
      </c>
      <c r="AH322" s="21" t="n">
        <f aca="false">IF(OR(AE322="",AE322=0),0,AE322*IF(X322="",0,IF(X322&gt;1,X322/100,X322)))</f>
        <v>0</v>
      </c>
      <c r="AI322" s="21" t="n">
        <f aca="false">IF(OR(AE322="",AE322=0),0,AE322*IF(AA322="",0,IF(AA322&gt;1,AA322/100,AA322)))</f>
        <v>0</v>
      </c>
      <c r="AJ322" s="21" t="n">
        <f aca="false">AG322+AH322+AI322</f>
        <v>0</v>
      </c>
      <c r="AK322" s="21" t="n">
        <f aca="false">IF(OR(AE322="",AE322=0),0,AE322-AJ322)</f>
        <v>0</v>
      </c>
      <c r="AL322" s="19" t="str">
        <f aca="false">IF(AD322="","",AD322-AK322)</f>
        <v/>
      </c>
      <c r="AM322" s="9" t="str">
        <f aca="false">IF(C322="","","Waiting for payment")</f>
        <v/>
      </c>
      <c r="AN322" s="10"/>
      <c r="AO322" s="10"/>
      <c r="AP322" s="22" t="str">
        <f aca="false">IF(OR(C322="",I322="",K322=""),"",IF(K322="Monthly",EDATE(C322,ROUND(I322*SETTINGS!$I$8,0)),WORKDAY(C322,ROUND(I322*SETTINGS!$I$8,0))))</f>
        <v/>
      </c>
      <c r="AQ322" s="9" t="str">
        <f aca="true">IF(C322="","",IF(AND(AP322&lt;&gt;"",TODAY()&gt;=AP322),"Refi Ready",IF(TODAY()-C322&gt;=SETTINGS!$I$11,"Prospecting","Performing")))</f>
        <v/>
      </c>
      <c r="AR322" s="22" t="str">
        <f aca="false">IF(OR(C322="",I322="",K322=""),"",IF(K322="Monthly",EDATE(C322,I322),WORKDAY(C322,I322)))</f>
        <v/>
      </c>
      <c r="AS322" s="11"/>
      <c r="AT322" s="23" t="str">
        <f aca="true">IF(C322="","",IF(AM322="Clawed Back","CLAWED",IF(TODAY()&lt;=C322+SETTINGS!$I$2,"⚠ AT RISK","SAFE")))</f>
        <v/>
      </c>
      <c r="AU322" s="11"/>
      <c r="AW322" s="24" t="n">
        <f aca="false">AW321+IF(AND(C322&lt;&gt;"",AO322&lt;&gt;"",OR('REP COMMISSION'!$B$3="",T322='REP COMMISSION'!$B$3,W322='REP COMMISSION'!$B$3,Z322='REP COMMISSION'!$B$3)),1,0)</f>
        <v>0</v>
      </c>
      <c r="AX322" s="24" t="n">
        <f aca="false">AX321+IF(AND(C322&lt;&gt;"",OR(F322="LOC - INITIAL",F322="CONSOLIDATION - UPFRONT COMM",F322="REVERSE - TOTAL FUNDING")),1,0)</f>
        <v>0</v>
      </c>
    </row>
    <row r="323" customFormat="false" ht="15" hidden="false" customHeight="false" outlineLevel="0" collapsed="false">
      <c r="A323" s="25" t="str">
        <f aca="false">IF(C323&lt;&gt;"","F"&amp;COUNT($C$4:C323),"")</f>
        <v/>
      </c>
      <c r="B323" s="26" t="str">
        <f aca="false">IF(OR(F323="LOC - INITIAL",F323="CONSOLIDATION - UPFRONT COMM",F323="REVERSE - TOTAL FUNDING"),A323,"")</f>
        <v/>
      </c>
      <c r="C323" s="27"/>
      <c r="D323" s="28"/>
      <c r="E323" s="28"/>
      <c r="F323" s="28"/>
      <c r="G323" s="29"/>
      <c r="H323" s="30"/>
      <c r="I323" s="28"/>
      <c r="J323" s="31" t="str">
        <f aca="false">IF(AND(G323&lt;&gt;"",H323&lt;&gt;""),G323*H323,"")</f>
        <v/>
      </c>
      <c r="K323" s="28"/>
      <c r="L323" s="32"/>
      <c r="M323" s="32"/>
      <c r="N323" s="31" t="n">
        <f aca="false">IF(OR(G323="",M323=""),0,IF(M323&gt;100,M323,G323*IF(M323&gt;1,M323/100,M323)))</f>
        <v>0</v>
      </c>
      <c r="O323" s="31" t="str">
        <f aca="false">IF(G323="","",G323*IF(L323="",0,IF(L323&gt;1,L323/100,L323))+N323)</f>
        <v/>
      </c>
      <c r="P323" s="28"/>
      <c r="Q323" s="33" t="str">
        <f aca="false">IF(P323="","",IFERROR(VLOOKUP(P323,PARTNERS!$A$2:$B$30,2,0),""))</f>
        <v/>
      </c>
      <c r="R323" s="17" t="str">
        <f aca="false">IF(O323="","",IF(OR(P323="",Q323=""),0,(O323-N323)*IF(Q323&gt;1,Q323/100,Q323)))</f>
        <v/>
      </c>
      <c r="S323" s="31" t="str">
        <f aca="false">IF(O323="","",O323-R323)</f>
        <v/>
      </c>
      <c r="T323" s="28"/>
      <c r="U323" s="34" t="str">
        <f aca="false">IF(T323="","",IFERROR(VLOOKUP(T323,REPS!$A$2:$D$40,2,0),""))</f>
        <v/>
      </c>
      <c r="V323" s="31" t="str">
        <f aca="false">IF(O323="","",IF(U323="",0,O323*IF(U323&gt;1,U323/100,U323)))</f>
        <v/>
      </c>
      <c r="W323" s="28"/>
      <c r="X323" s="34" t="str">
        <f aca="false">IF(W323="","",IFERROR(VLOOKUP(W323,REPS!$A$2:$D$40,3,0),""))</f>
        <v/>
      </c>
      <c r="Y323" s="31" t="str">
        <f aca="false">IF(O323="","",IF(X323="",0,O323*IF(X323&gt;1,X323/100,X323)))</f>
        <v/>
      </c>
      <c r="Z323" s="28"/>
      <c r="AA323" s="34" t="str">
        <f aca="false">IF(Z323="","",IFERROR(VLOOKUP(Z323,REPS!$A$2:$D$40,4,0),""))</f>
        <v/>
      </c>
      <c r="AB323" s="31" t="str">
        <f aca="false">IF(O323="","",IF(AA323="",0,O323*IF(AA323&gt;1,AA323/100,AA323)))</f>
        <v/>
      </c>
      <c r="AC323" s="31" t="str">
        <f aca="false">IF(O323="","",V323+Y323+AB323)</f>
        <v/>
      </c>
      <c r="AD323" s="19" t="str">
        <f aca="false">IF(O323="","",O323-R323-AC323)</f>
        <v/>
      </c>
      <c r="AE323" s="20"/>
      <c r="AF323" s="27"/>
      <c r="AG323" s="21" t="n">
        <f aca="false">IF(OR(AE323="",AE323=0),0,AE323*IF(U323="",0,IF(U323&gt;1,U323/100,U323)))</f>
        <v>0</v>
      </c>
      <c r="AH323" s="21" t="n">
        <f aca="false">IF(OR(AE323="",AE323=0),0,AE323*IF(X323="",0,IF(X323&gt;1,X323/100,X323)))</f>
        <v>0</v>
      </c>
      <c r="AI323" s="21" t="n">
        <f aca="false">IF(OR(AE323="",AE323=0),0,AE323*IF(AA323="",0,IF(AA323&gt;1,AA323/100,AA323)))</f>
        <v>0</v>
      </c>
      <c r="AJ323" s="21" t="n">
        <f aca="false">AG323+AH323+AI323</f>
        <v>0</v>
      </c>
      <c r="AK323" s="21" t="n">
        <f aca="false">IF(OR(AE323="",AE323=0),0,AE323-AJ323)</f>
        <v>0</v>
      </c>
      <c r="AL323" s="19" t="str">
        <f aca="false">IF(AD323="","",AD323-AK323)</f>
        <v/>
      </c>
      <c r="AM323" s="26" t="str">
        <f aca="false">IF(C323="","","Waiting for payment")</f>
        <v/>
      </c>
      <c r="AN323" s="27"/>
      <c r="AO323" s="27"/>
      <c r="AP323" s="35" t="str">
        <f aca="false">IF(OR(C323="",I323="",K323=""),"",IF(K323="Monthly",EDATE(C323,ROUND(I323*SETTINGS!$I$8,0)),WORKDAY(C323,ROUND(I323*SETTINGS!$I$8,0))))</f>
        <v/>
      </c>
      <c r="AQ323" s="26" t="str">
        <f aca="true">IF(C323="","",IF(AND(AP323&lt;&gt;"",TODAY()&gt;=AP323),"Refi Ready",IF(TODAY()-C323&gt;=SETTINGS!$I$11,"Prospecting","Performing")))</f>
        <v/>
      </c>
      <c r="AR323" s="35" t="str">
        <f aca="false">IF(OR(C323="",I323="",K323=""),"",IF(K323="Monthly",EDATE(C323,I323),WORKDAY(C323,I323)))</f>
        <v/>
      </c>
      <c r="AS323" s="28"/>
      <c r="AT323" s="36" t="str">
        <f aca="true">IF(C323="","",IF(AM323="Clawed Back","CLAWED",IF(TODAY()&lt;=C323+SETTINGS!$I$2,"⚠ AT RISK","SAFE")))</f>
        <v/>
      </c>
      <c r="AU323" s="28"/>
      <c r="AW323" s="24" t="n">
        <f aca="false">AW322+IF(AND(C323&lt;&gt;"",AO323&lt;&gt;"",OR('REP COMMISSION'!$B$3="",T323='REP COMMISSION'!$B$3,W323='REP COMMISSION'!$B$3,Z323='REP COMMISSION'!$B$3)),1,0)</f>
        <v>0</v>
      </c>
      <c r="AX323" s="24" t="n">
        <f aca="false">AX322+IF(AND(C323&lt;&gt;"",OR(F323="LOC - INITIAL",F323="CONSOLIDATION - UPFRONT COMM",F323="REVERSE - TOTAL FUNDING")),1,0)</f>
        <v>0</v>
      </c>
    </row>
    <row r="324" customFormat="false" ht="15" hidden="false" customHeight="false" outlineLevel="0" collapsed="false">
      <c r="A324" s="8" t="str">
        <f aca="false">IF(C324&lt;&gt;"","F"&amp;COUNT($C$4:C324),"")</f>
        <v/>
      </c>
      <c r="B324" s="9" t="str">
        <f aca="false">IF(OR(F324="LOC - INITIAL",F324="CONSOLIDATION - UPFRONT COMM",F324="REVERSE - TOTAL FUNDING"),A324,"")</f>
        <v/>
      </c>
      <c r="C324" s="10"/>
      <c r="D324" s="11"/>
      <c r="E324" s="11"/>
      <c r="F324" s="11"/>
      <c r="G324" s="12"/>
      <c r="H324" s="13"/>
      <c r="I324" s="11"/>
      <c r="J324" s="14" t="str">
        <f aca="false">IF(AND(G324&lt;&gt;"",H324&lt;&gt;""),G324*H324,"")</f>
        <v/>
      </c>
      <c r="K324" s="11"/>
      <c r="L324" s="15"/>
      <c r="M324" s="15"/>
      <c r="N324" s="14" t="n">
        <f aca="false">IF(OR(G324="",M324=""),0,IF(M324&gt;100,M324,G324*IF(M324&gt;1,M324/100,M324)))</f>
        <v>0</v>
      </c>
      <c r="O324" s="14" t="str">
        <f aca="false">IF(G324="","",G324*IF(L324="",0,IF(L324&gt;1,L324/100,L324))+N324)</f>
        <v/>
      </c>
      <c r="P324" s="11"/>
      <c r="Q324" s="16" t="str">
        <f aca="false">IF(P324="","",IFERROR(VLOOKUP(P324,PARTNERS!$A$2:$B$30,2,0),""))</f>
        <v/>
      </c>
      <c r="R324" s="17" t="str">
        <f aca="false">IF(O324="","",IF(OR(P324="",Q324=""),0,(O324-N324)*IF(Q324&gt;1,Q324/100,Q324)))</f>
        <v/>
      </c>
      <c r="S324" s="14" t="str">
        <f aca="false">IF(O324="","",O324-R324)</f>
        <v/>
      </c>
      <c r="T324" s="11"/>
      <c r="U324" s="18" t="str">
        <f aca="false">IF(T324="","",IFERROR(VLOOKUP(T324,REPS!$A$2:$D$40,2,0),""))</f>
        <v/>
      </c>
      <c r="V324" s="14" t="str">
        <f aca="false">IF(O324="","",IF(U324="",0,O324*IF(U324&gt;1,U324/100,U324)))</f>
        <v/>
      </c>
      <c r="W324" s="11"/>
      <c r="X324" s="18" t="str">
        <f aca="false">IF(W324="","",IFERROR(VLOOKUP(W324,REPS!$A$2:$D$40,3,0),""))</f>
        <v/>
      </c>
      <c r="Y324" s="14" t="str">
        <f aca="false">IF(O324="","",IF(X324="",0,O324*IF(X324&gt;1,X324/100,X324)))</f>
        <v/>
      </c>
      <c r="Z324" s="11"/>
      <c r="AA324" s="18" t="str">
        <f aca="false">IF(Z324="","",IFERROR(VLOOKUP(Z324,REPS!$A$2:$D$40,4,0),""))</f>
        <v/>
      </c>
      <c r="AB324" s="14" t="str">
        <f aca="false">IF(O324="","",IF(AA324="",0,O324*IF(AA324&gt;1,AA324/100,AA324)))</f>
        <v/>
      </c>
      <c r="AC324" s="14" t="str">
        <f aca="false">IF(O324="","",V324+Y324+AB324)</f>
        <v/>
      </c>
      <c r="AD324" s="19" t="str">
        <f aca="false">IF(O324="","",O324-R324-AC324)</f>
        <v/>
      </c>
      <c r="AE324" s="20"/>
      <c r="AF324" s="10"/>
      <c r="AG324" s="21" t="n">
        <f aca="false">IF(OR(AE324="",AE324=0),0,AE324*IF(U324="",0,IF(U324&gt;1,U324/100,U324)))</f>
        <v>0</v>
      </c>
      <c r="AH324" s="21" t="n">
        <f aca="false">IF(OR(AE324="",AE324=0),0,AE324*IF(X324="",0,IF(X324&gt;1,X324/100,X324)))</f>
        <v>0</v>
      </c>
      <c r="AI324" s="21" t="n">
        <f aca="false">IF(OR(AE324="",AE324=0),0,AE324*IF(AA324="",0,IF(AA324&gt;1,AA324/100,AA324)))</f>
        <v>0</v>
      </c>
      <c r="AJ324" s="21" t="n">
        <f aca="false">AG324+AH324+AI324</f>
        <v>0</v>
      </c>
      <c r="AK324" s="21" t="n">
        <f aca="false">IF(OR(AE324="",AE324=0),0,AE324-AJ324)</f>
        <v>0</v>
      </c>
      <c r="AL324" s="19" t="str">
        <f aca="false">IF(AD324="","",AD324-AK324)</f>
        <v/>
      </c>
      <c r="AM324" s="9" t="str">
        <f aca="false">IF(C324="","","Waiting for payment")</f>
        <v/>
      </c>
      <c r="AN324" s="10"/>
      <c r="AO324" s="10"/>
      <c r="AP324" s="22" t="str">
        <f aca="false">IF(OR(C324="",I324="",K324=""),"",IF(K324="Monthly",EDATE(C324,ROUND(I324*SETTINGS!$I$8,0)),WORKDAY(C324,ROUND(I324*SETTINGS!$I$8,0))))</f>
        <v/>
      </c>
      <c r="AQ324" s="9" t="str">
        <f aca="true">IF(C324="","",IF(AND(AP324&lt;&gt;"",TODAY()&gt;=AP324),"Refi Ready",IF(TODAY()-C324&gt;=SETTINGS!$I$11,"Prospecting","Performing")))</f>
        <v/>
      </c>
      <c r="AR324" s="22" t="str">
        <f aca="false">IF(OR(C324="",I324="",K324=""),"",IF(K324="Monthly",EDATE(C324,I324),WORKDAY(C324,I324)))</f>
        <v/>
      </c>
      <c r="AS324" s="11"/>
      <c r="AT324" s="23" t="str">
        <f aca="true">IF(C324="","",IF(AM324="Clawed Back","CLAWED",IF(TODAY()&lt;=C324+SETTINGS!$I$2,"⚠ AT RISK","SAFE")))</f>
        <v/>
      </c>
      <c r="AU324" s="11"/>
      <c r="AW324" s="24" t="n">
        <f aca="false">AW323+IF(AND(C324&lt;&gt;"",AO324&lt;&gt;"",OR('REP COMMISSION'!$B$3="",T324='REP COMMISSION'!$B$3,W324='REP COMMISSION'!$B$3,Z324='REP COMMISSION'!$B$3)),1,0)</f>
        <v>0</v>
      </c>
      <c r="AX324" s="24" t="n">
        <f aca="false">AX323+IF(AND(C324&lt;&gt;"",OR(F324="LOC - INITIAL",F324="CONSOLIDATION - UPFRONT COMM",F324="REVERSE - TOTAL FUNDING")),1,0)</f>
        <v>0</v>
      </c>
    </row>
    <row r="325" customFormat="false" ht="15" hidden="false" customHeight="false" outlineLevel="0" collapsed="false">
      <c r="A325" s="25" t="str">
        <f aca="false">IF(C325&lt;&gt;"","F"&amp;COUNT($C$4:C325),"")</f>
        <v/>
      </c>
      <c r="B325" s="26" t="str">
        <f aca="false">IF(OR(F325="LOC - INITIAL",F325="CONSOLIDATION - UPFRONT COMM",F325="REVERSE - TOTAL FUNDING"),A325,"")</f>
        <v/>
      </c>
      <c r="C325" s="27"/>
      <c r="D325" s="28"/>
      <c r="E325" s="28"/>
      <c r="F325" s="28"/>
      <c r="G325" s="29"/>
      <c r="H325" s="30"/>
      <c r="I325" s="28"/>
      <c r="J325" s="31" t="str">
        <f aca="false">IF(AND(G325&lt;&gt;"",H325&lt;&gt;""),G325*H325,"")</f>
        <v/>
      </c>
      <c r="K325" s="28"/>
      <c r="L325" s="32"/>
      <c r="M325" s="32"/>
      <c r="N325" s="31" t="n">
        <f aca="false">IF(OR(G325="",M325=""),0,IF(M325&gt;100,M325,G325*IF(M325&gt;1,M325/100,M325)))</f>
        <v>0</v>
      </c>
      <c r="O325" s="31" t="str">
        <f aca="false">IF(G325="","",G325*IF(L325="",0,IF(L325&gt;1,L325/100,L325))+N325)</f>
        <v/>
      </c>
      <c r="P325" s="28"/>
      <c r="Q325" s="33" t="str">
        <f aca="false">IF(P325="","",IFERROR(VLOOKUP(P325,PARTNERS!$A$2:$B$30,2,0),""))</f>
        <v/>
      </c>
      <c r="R325" s="17" t="str">
        <f aca="false">IF(O325="","",IF(OR(P325="",Q325=""),0,(O325-N325)*IF(Q325&gt;1,Q325/100,Q325)))</f>
        <v/>
      </c>
      <c r="S325" s="31" t="str">
        <f aca="false">IF(O325="","",O325-R325)</f>
        <v/>
      </c>
      <c r="T325" s="28"/>
      <c r="U325" s="34" t="str">
        <f aca="false">IF(T325="","",IFERROR(VLOOKUP(T325,REPS!$A$2:$D$40,2,0),""))</f>
        <v/>
      </c>
      <c r="V325" s="31" t="str">
        <f aca="false">IF(O325="","",IF(U325="",0,O325*IF(U325&gt;1,U325/100,U325)))</f>
        <v/>
      </c>
      <c r="W325" s="28"/>
      <c r="X325" s="34" t="str">
        <f aca="false">IF(W325="","",IFERROR(VLOOKUP(W325,REPS!$A$2:$D$40,3,0),""))</f>
        <v/>
      </c>
      <c r="Y325" s="31" t="str">
        <f aca="false">IF(O325="","",IF(X325="",0,O325*IF(X325&gt;1,X325/100,X325)))</f>
        <v/>
      </c>
      <c r="Z325" s="28"/>
      <c r="AA325" s="34" t="str">
        <f aca="false">IF(Z325="","",IFERROR(VLOOKUP(Z325,REPS!$A$2:$D$40,4,0),""))</f>
        <v/>
      </c>
      <c r="AB325" s="31" t="str">
        <f aca="false">IF(O325="","",IF(AA325="",0,O325*IF(AA325&gt;1,AA325/100,AA325)))</f>
        <v/>
      </c>
      <c r="AC325" s="31" t="str">
        <f aca="false">IF(O325="","",V325+Y325+AB325)</f>
        <v/>
      </c>
      <c r="AD325" s="19" t="str">
        <f aca="false">IF(O325="","",O325-R325-AC325)</f>
        <v/>
      </c>
      <c r="AE325" s="20"/>
      <c r="AF325" s="27"/>
      <c r="AG325" s="21" t="n">
        <f aca="false">IF(OR(AE325="",AE325=0),0,AE325*IF(U325="",0,IF(U325&gt;1,U325/100,U325)))</f>
        <v>0</v>
      </c>
      <c r="AH325" s="21" t="n">
        <f aca="false">IF(OR(AE325="",AE325=0),0,AE325*IF(X325="",0,IF(X325&gt;1,X325/100,X325)))</f>
        <v>0</v>
      </c>
      <c r="AI325" s="21" t="n">
        <f aca="false">IF(OR(AE325="",AE325=0),0,AE325*IF(AA325="",0,IF(AA325&gt;1,AA325/100,AA325)))</f>
        <v>0</v>
      </c>
      <c r="AJ325" s="21" t="n">
        <f aca="false">AG325+AH325+AI325</f>
        <v>0</v>
      </c>
      <c r="AK325" s="21" t="n">
        <f aca="false">IF(OR(AE325="",AE325=0),0,AE325-AJ325)</f>
        <v>0</v>
      </c>
      <c r="AL325" s="19" t="str">
        <f aca="false">IF(AD325="","",AD325-AK325)</f>
        <v/>
      </c>
      <c r="AM325" s="26" t="str">
        <f aca="false">IF(C325="","","Waiting for payment")</f>
        <v/>
      </c>
      <c r="AN325" s="27"/>
      <c r="AO325" s="27"/>
      <c r="AP325" s="35" t="str">
        <f aca="false">IF(OR(C325="",I325="",K325=""),"",IF(K325="Monthly",EDATE(C325,ROUND(I325*SETTINGS!$I$8,0)),WORKDAY(C325,ROUND(I325*SETTINGS!$I$8,0))))</f>
        <v/>
      </c>
      <c r="AQ325" s="26" t="str">
        <f aca="true">IF(C325="","",IF(AND(AP325&lt;&gt;"",TODAY()&gt;=AP325),"Refi Ready",IF(TODAY()-C325&gt;=SETTINGS!$I$11,"Prospecting","Performing")))</f>
        <v/>
      </c>
      <c r="AR325" s="35" t="str">
        <f aca="false">IF(OR(C325="",I325="",K325=""),"",IF(K325="Monthly",EDATE(C325,I325),WORKDAY(C325,I325)))</f>
        <v/>
      </c>
      <c r="AS325" s="28"/>
      <c r="AT325" s="36" t="str">
        <f aca="true">IF(C325="","",IF(AM325="Clawed Back","CLAWED",IF(TODAY()&lt;=C325+SETTINGS!$I$2,"⚠ AT RISK","SAFE")))</f>
        <v/>
      </c>
      <c r="AU325" s="28"/>
      <c r="AW325" s="24" t="n">
        <f aca="false">AW324+IF(AND(C325&lt;&gt;"",AO325&lt;&gt;"",OR('REP COMMISSION'!$B$3="",T325='REP COMMISSION'!$B$3,W325='REP COMMISSION'!$B$3,Z325='REP COMMISSION'!$B$3)),1,0)</f>
        <v>0</v>
      </c>
      <c r="AX325" s="24" t="n">
        <f aca="false">AX324+IF(AND(C325&lt;&gt;"",OR(F325="LOC - INITIAL",F325="CONSOLIDATION - UPFRONT COMM",F325="REVERSE - TOTAL FUNDING")),1,0)</f>
        <v>0</v>
      </c>
    </row>
    <row r="326" customFormat="false" ht="15" hidden="false" customHeight="false" outlineLevel="0" collapsed="false">
      <c r="A326" s="8" t="str">
        <f aca="false">IF(C326&lt;&gt;"","F"&amp;COUNT($C$4:C326),"")</f>
        <v/>
      </c>
      <c r="B326" s="9" t="str">
        <f aca="false">IF(OR(F326="LOC - INITIAL",F326="CONSOLIDATION - UPFRONT COMM",F326="REVERSE - TOTAL FUNDING"),A326,"")</f>
        <v/>
      </c>
      <c r="C326" s="10"/>
      <c r="D326" s="11"/>
      <c r="E326" s="11"/>
      <c r="F326" s="11"/>
      <c r="G326" s="12"/>
      <c r="H326" s="13"/>
      <c r="I326" s="11"/>
      <c r="J326" s="14" t="str">
        <f aca="false">IF(AND(G326&lt;&gt;"",H326&lt;&gt;""),G326*H326,"")</f>
        <v/>
      </c>
      <c r="K326" s="11"/>
      <c r="L326" s="15"/>
      <c r="M326" s="15"/>
      <c r="N326" s="14" t="n">
        <f aca="false">IF(OR(G326="",M326=""),0,IF(M326&gt;100,M326,G326*IF(M326&gt;1,M326/100,M326)))</f>
        <v>0</v>
      </c>
      <c r="O326" s="14" t="str">
        <f aca="false">IF(G326="","",G326*IF(L326="",0,IF(L326&gt;1,L326/100,L326))+N326)</f>
        <v/>
      </c>
      <c r="P326" s="11"/>
      <c r="Q326" s="16" t="str">
        <f aca="false">IF(P326="","",IFERROR(VLOOKUP(P326,PARTNERS!$A$2:$B$30,2,0),""))</f>
        <v/>
      </c>
      <c r="R326" s="17" t="str">
        <f aca="false">IF(O326="","",IF(OR(P326="",Q326=""),0,(O326-N326)*IF(Q326&gt;1,Q326/100,Q326)))</f>
        <v/>
      </c>
      <c r="S326" s="14" t="str">
        <f aca="false">IF(O326="","",O326-R326)</f>
        <v/>
      </c>
      <c r="T326" s="11"/>
      <c r="U326" s="18" t="str">
        <f aca="false">IF(T326="","",IFERROR(VLOOKUP(T326,REPS!$A$2:$D$40,2,0),""))</f>
        <v/>
      </c>
      <c r="V326" s="14" t="str">
        <f aca="false">IF(O326="","",IF(U326="",0,O326*IF(U326&gt;1,U326/100,U326)))</f>
        <v/>
      </c>
      <c r="W326" s="11"/>
      <c r="X326" s="18" t="str">
        <f aca="false">IF(W326="","",IFERROR(VLOOKUP(W326,REPS!$A$2:$D$40,3,0),""))</f>
        <v/>
      </c>
      <c r="Y326" s="14" t="str">
        <f aca="false">IF(O326="","",IF(X326="",0,O326*IF(X326&gt;1,X326/100,X326)))</f>
        <v/>
      </c>
      <c r="Z326" s="11"/>
      <c r="AA326" s="18" t="str">
        <f aca="false">IF(Z326="","",IFERROR(VLOOKUP(Z326,REPS!$A$2:$D$40,4,0),""))</f>
        <v/>
      </c>
      <c r="AB326" s="14" t="str">
        <f aca="false">IF(O326="","",IF(AA326="",0,O326*IF(AA326&gt;1,AA326/100,AA326)))</f>
        <v/>
      </c>
      <c r="AC326" s="14" t="str">
        <f aca="false">IF(O326="","",V326+Y326+AB326)</f>
        <v/>
      </c>
      <c r="AD326" s="19" t="str">
        <f aca="false">IF(O326="","",O326-R326-AC326)</f>
        <v/>
      </c>
      <c r="AE326" s="20"/>
      <c r="AF326" s="10"/>
      <c r="AG326" s="21" t="n">
        <f aca="false">IF(OR(AE326="",AE326=0),0,AE326*IF(U326="",0,IF(U326&gt;1,U326/100,U326)))</f>
        <v>0</v>
      </c>
      <c r="AH326" s="21" t="n">
        <f aca="false">IF(OR(AE326="",AE326=0),0,AE326*IF(X326="",0,IF(X326&gt;1,X326/100,X326)))</f>
        <v>0</v>
      </c>
      <c r="AI326" s="21" t="n">
        <f aca="false">IF(OR(AE326="",AE326=0),0,AE326*IF(AA326="",0,IF(AA326&gt;1,AA326/100,AA326)))</f>
        <v>0</v>
      </c>
      <c r="AJ326" s="21" t="n">
        <f aca="false">AG326+AH326+AI326</f>
        <v>0</v>
      </c>
      <c r="AK326" s="21" t="n">
        <f aca="false">IF(OR(AE326="",AE326=0),0,AE326-AJ326)</f>
        <v>0</v>
      </c>
      <c r="AL326" s="19" t="str">
        <f aca="false">IF(AD326="","",AD326-AK326)</f>
        <v/>
      </c>
      <c r="AM326" s="9" t="str">
        <f aca="false">IF(C326="","","Waiting for payment")</f>
        <v/>
      </c>
      <c r="AN326" s="10"/>
      <c r="AO326" s="10"/>
      <c r="AP326" s="22" t="str">
        <f aca="false">IF(OR(C326="",I326="",K326=""),"",IF(K326="Monthly",EDATE(C326,ROUND(I326*SETTINGS!$I$8,0)),WORKDAY(C326,ROUND(I326*SETTINGS!$I$8,0))))</f>
        <v/>
      </c>
      <c r="AQ326" s="9" t="str">
        <f aca="true">IF(C326="","",IF(AND(AP326&lt;&gt;"",TODAY()&gt;=AP326),"Refi Ready",IF(TODAY()-C326&gt;=SETTINGS!$I$11,"Prospecting","Performing")))</f>
        <v/>
      </c>
      <c r="AR326" s="22" t="str">
        <f aca="false">IF(OR(C326="",I326="",K326=""),"",IF(K326="Monthly",EDATE(C326,I326),WORKDAY(C326,I326)))</f>
        <v/>
      </c>
      <c r="AS326" s="11"/>
      <c r="AT326" s="23" t="str">
        <f aca="true">IF(C326="","",IF(AM326="Clawed Back","CLAWED",IF(TODAY()&lt;=C326+SETTINGS!$I$2,"⚠ AT RISK","SAFE")))</f>
        <v/>
      </c>
      <c r="AU326" s="11"/>
      <c r="AW326" s="24" t="n">
        <f aca="false">AW325+IF(AND(C326&lt;&gt;"",AO326&lt;&gt;"",OR('REP COMMISSION'!$B$3="",T326='REP COMMISSION'!$B$3,W326='REP COMMISSION'!$B$3,Z326='REP COMMISSION'!$B$3)),1,0)</f>
        <v>0</v>
      </c>
      <c r="AX326" s="24" t="n">
        <f aca="false">AX325+IF(AND(C326&lt;&gt;"",OR(F326="LOC - INITIAL",F326="CONSOLIDATION - UPFRONT COMM",F326="REVERSE - TOTAL FUNDING")),1,0)</f>
        <v>0</v>
      </c>
    </row>
    <row r="327" customFormat="false" ht="15" hidden="false" customHeight="false" outlineLevel="0" collapsed="false">
      <c r="A327" s="25" t="str">
        <f aca="false">IF(C327&lt;&gt;"","F"&amp;COUNT($C$4:C327),"")</f>
        <v/>
      </c>
      <c r="B327" s="26" t="str">
        <f aca="false">IF(OR(F327="LOC - INITIAL",F327="CONSOLIDATION - UPFRONT COMM",F327="REVERSE - TOTAL FUNDING"),A327,"")</f>
        <v/>
      </c>
      <c r="C327" s="27"/>
      <c r="D327" s="28"/>
      <c r="E327" s="28"/>
      <c r="F327" s="28"/>
      <c r="G327" s="29"/>
      <c r="H327" s="30"/>
      <c r="I327" s="28"/>
      <c r="J327" s="31" t="str">
        <f aca="false">IF(AND(G327&lt;&gt;"",H327&lt;&gt;""),G327*H327,"")</f>
        <v/>
      </c>
      <c r="K327" s="28"/>
      <c r="L327" s="32"/>
      <c r="M327" s="32"/>
      <c r="N327" s="31" t="n">
        <f aca="false">IF(OR(G327="",M327=""),0,IF(M327&gt;100,M327,G327*IF(M327&gt;1,M327/100,M327)))</f>
        <v>0</v>
      </c>
      <c r="O327" s="31" t="str">
        <f aca="false">IF(G327="","",G327*IF(L327="",0,IF(L327&gt;1,L327/100,L327))+N327)</f>
        <v/>
      </c>
      <c r="P327" s="28"/>
      <c r="Q327" s="33" t="str">
        <f aca="false">IF(P327="","",IFERROR(VLOOKUP(P327,PARTNERS!$A$2:$B$30,2,0),""))</f>
        <v/>
      </c>
      <c r="R327" s="17" t="str">
        <f aca="false">IF(O327="","",IF(OR(P327="",Q327=""),0,(O327-N327)*IF(Q327&gt;1,Q327/100,Q327)))</f>
        <v/>
      </c>
      <c r="S327" s="31" t="str">
        <f aca="false">IF(O327="","",O327-R327)</f>
        <v/>
      </c>
      <c r="T327" s="28"/>
      <c r="U327" s="34" t="str">
        <f aca="false">IF(T327="","",IFERROR(VLOOKUP(T327,REPS!$A$2:$D$40,2,0),""))</f>
        <v/>
      </c>
      <c r="V327" s="31" t="str">
        <f aca="false">IF(O327="","",IF(U327="",0,O327*IF(U327&gt;1,U327/100,U327)))</f>
        <v/>
      </c>
      <c r="W327" s="28"/>
      <c r="X327" s="34" t="str">
        <f aca="false">IF(W327="","",IFERROR(VLOOKUP(W327,REPS!$A$2:$D$40,3,0),""))</f>
        <v/>
      </c>
      <c r="Y327" s="31" t="str">
        <f aca="false">IF(O327="","",IF(X327="",0,O327*IF(X327&gt;1,X327/100,X327)))</f>
        <v/>
      </c>
      <c r="Z327" s="28"/>
      <c r="AA327" s="34" t="str">
        <f aca="false">IF(Z327="","",IFERROR(VLOOKUP(Z327,REPS!$A$2:$D$40,4,0),""))</f>
        <v/>
      </c>
      <c r="AB327" s="31" t="str">
        <f aca="false">IF(O327="","",IF(AA327="",0,O327*IF(AA327&gt;1,AA327/100,AA327)))</f>
        <v/>
      </c>
      <c r="AC327" s="31" t="str">
        <f aca="false">IF(O327="","",V327+Y327+AB327)</f>
        <v/>
      </c>
      <c r="AD327" s="19" t="str">
        <f aca="false">IF(O327="","",O327-R327-AC327)</f>
        <v/>
      </c>
      <c r="AE327" s="20"/>
      <c r="AF327" s="27"/>
      <c r="AG327" s="21" t="n">
        <f aca="false">IF(OR(AE327="",AE327=0),0,AE327*IF(U327="",0,IF(U327&gt;1,U327/100,U327)))</f>
        <v>0</v>
      </c>
      <c r="AH327" s="21" t="n">
        <f aca="false">IF(OR(AE327="",AE327=0),0,AE327*IF(X327="",0,IF(X327&gt;1,X327/100,X327)))</f>
        <v>0</v>
      </c>
      <c r="AI327" s="21" t="n">
        <f aca="false">IF(OR(AE327="",AE327=0),0,AE327*IF(AA327="",0,IF(AA327&gt;1,AA327/100,AA327)))</f>
        <v>0</v>
      </c>
      <c r="AJ327" s="21" t="n">
        <f aca="false">AG327+AH327+AI327</f>
        <v>0</v>
      </c>
      <c r="AK327" s="21" t="n">
        <f aca="false">IF(OR(AE327="",AE327=0),0,AE327-AJ327)</f>
        <v>0</v>
      </c>
      <c r="AL327" s="19" t="str">
        <f aca="false">IF(AD327="","",AD327-AK327)</f>
        <v/>
      </c>
      <c r="AM327" s="26" t="str">
        <f aca="false">IF(C327="","","Waiting for payment")</f>
        <v/>
      </c>
      <c r="AN327" s="27"/>
      <c r="AO327" s="27"/>
      <c r="AP327" s="35" t="str">
        <f aca="false">IF(OR(C327="",I327="",K327=""),"",IF(K327="Monthly",EDATE(C327,ROUND(I327*SETTINGS!$I$8,0)),WORKDAY(C327,ROUND(I327*SETTINGS!$I$8,0))))</f>
        <v/>
      </c>
      <c r="AQ327" s="26" t="str">
        <f aca="true">IF(C327="","",IF(AND(AP327&lt;&gt;"",TODAY()&gt;=AP327),"Refi Ready",IF(TODAY()-C327&gt;=SETTINGS!$I$11,"Prospecting","Performing")))</f>
        <v/>
      </c>
      <c r="AR327" s="35" t="str">
        <f aca="false">IF(OR(C327="",I327="",K327=""),"",IF(K327="Monthly",EDATE(C327,I327),WORKDAY(C327,I327)))</f>
        <v/>
      </c>
      <c r="AS327" s="28"/>
      <c r="AT327" s="36" t="str">
        <f aca="true">IF(C327="","",IF(AM327="Clawed Back","CLAWED",IF(TODAY()&lt;=C327+SETTINGS!$I$2,"⚠ AT RISK","SAFE")))</f>
        <v/>
      </c>
      <c r="AU327" s="28"/>
      <c r="AW327" s="24" t="n">
        <f aca="false">AW326+IF(AND(C327&lt;&gt;"",AO327&lt;&gt;"",OR('REP COMMISSION'!$B$3="",T327='REP COMMISSION'!$B$3,W327='REP COMMISSION'!$B$3,Z327='REP COMMISSION'!$B$3)),1,0)</f>
        <v>0</v>
      </c>
      <c r="AX327" s="24" t="n">
        <f aca="false">AX326+IF(AND(C327&lt;&gt;"",OR(F327="LOC - INITIAL",F327="CONSOLIDATION - UPFRONT COMM",F327="REVERSE - TOTAL FUNDING")),1,0)</f>
        <v>0</v>
      </c>
    </row>
    <row r="328" customFormat="false" ht="15" hidden="false" customHeight="false" outlineLevel="0" collapsed="false">
      <c r="A328" s="8" t="str">
        <f aca="false">IF(C328&lt;&gt;"","F"&amp;COUNT($C$4:C328),"")</f>
        <v/>
      </c>
      <c r="B328" s="9" t="str">
        <f aca="false">IF(OR(F328="LOC - INITIAL",F328="CONSOLIDATION - UPFRONT COMM",F328="REVERSE - TOTAL FUNDING"),A328,"")</f>
        <v/>
      </c>
      <c r="C328" s="10"/>
      <c r="D328" s="11"/>
      <c r="E328" s="11"/>
      <c r="F328" s="11"/>
      <c r="G328" s="12"/>
      <c r="H328" s="13"/>
      <c r="I328" s="11"/>
      <c r="J328" s="14" t="str">
        <f aca="false">IF(AND(G328&lt;&gt;"",H328&lt;&gt;""),G328*H328,"")</f>
        <v/>
      </c>
      <c r="K328" s="11"/>
      <c r="L328" s="15"/>
      <c r="M328" s="15"/>
      <c r="N328" s="14" t="n">
        <f aca="false">IF(OR(G328="",M328=""),0,IF(M328&gt;100,M328,G328*IF(M328&gt;1,M328/100,M328)))</f>
        <v>0</v>
      </c>
      <c r="O328" s="14" t="str">
        <f aca="false">IF(G328="","",G328*IF(L328="",0,IF(L328&gt;1,L328/100,L328))+N328)</f>
        <v/>
      </c>
      <c r="P328" s="11"/>
      <c r="Q328" s="16" t="str">
        <f aca="false">IF(P328="","",IFERROR(VLOOKUP(P328,PARTNERS!$A$2:$B$30,2,0),""))</f>
        <v/>
      </c>
      <c r="R328" s="17" t="str">
        <f aca="false">IF(O328="","",IF(OR(P328="",Q328=""),0,(O328-N328)*IF(Q328&gt;1,Q328/100,Q328)))</f>
        <v/>
      </c>
      <c r="S328" s="14" t="str">
        <f aca="false">IF(O328="","",O328-R328)</f>
        <v/>
      </c>
      <c r="T328" s="11"/>
      <c r="U328" s="18" t="str">
        <f aca="false">IF(T328="","",IFERROR(VLOOKUP(T328,REPS!$A$2:$D$40,2,0),""))</f>
        <v/>
      </c>
      <c r="V328" s="14" t="str">
        <f aca="false">IF(O328="","",IF(U328="",0,O328*IF(U328&gt;1,U328/100,U328)))</f>
        <v/>
      </c>
      <c r="W328" s="11"/>
      <c r="X328" s="18" t="str">
        <f aca="false">IF(W328="","",IFERROR(VLOOKUP(W328,REPS!$A$2:$D$40,3,0),""))</f>
        <v/>
      </c>
      <c r="Y328" s="14" t="str">
        <f aca="false">IF(O328="","",IF(X328="",0,O328*IF(X328&gt;1,X328/100,X328)))</f>
        <v/>
      </c>
      <c r="Z328" s="11"/>
      <c r="AA328" s="18" t="str">
        <f aca="false">IF(Z328="","",IFERROR(VLOOKUP(Z328,REPS!$A$2:$D$40,4,0),""))</f>
        <v/>
      </c>
      <c r="AB328" s="14" t="str">
        <f aca="false">IF(O328="","",IF(AA328="",0,O328*IF(AA328&gt;1,AA328/100,AA328)))</f>
        <v/>
      </c>
      <c r="AC328" s="14" t="str">
        <f aca="false">IF(O328="","",V328+Y328+AB328)</f>
        <v/>
      </c>
      <c r="AD328" s="19" t="str">
        <f aca="false">IF(O328="","",O328-R328-AC328)</f>
        <v/>
      </c>
      <c r="AE328" s="20"/>
      <c r="AF328" s="10"/>
      <c r="AG328" s="21" t="n">
        <f aca="false">IF(OR(AE328="",AE328=0),0,AE328*IF(U328="",0,IF(U328&gt;1,U328/100,U328)))</f>
        <v>0</v>
      </c>
      <c r="AH328" s="21" t="n">
        <f aca="false">IF(OR(AE328="",AE328=0),0,AE328*IF(X328="",0,IF(X328&gt;1,X328/100,X328)))</f>
        <v>0</v>
      </c>
      <c r="AI328" s="21" t="n">
        <f aca="false">IF(OR(AE328="",AE328=0),0,AE328*IF(AA328="",0,IF(AA328&gt;1,AA328/100,AA328)))</f>
        <v>0</v>
      </c>
      <c r="AJ328" s="21" t="n">
        <f aca="false">AG328+AH328+AI328</f>
        <v>0</v>
      </c>
      <c r="AK328" s="21" t="n">
        <f aca="false">IF(OR(AE328="",AE328=0),0,AE328-AJ328)</f>
        <v>0</v>
      </c>
      <c r="AL328" s="19" t="str">
        <f aca="false">IF(AD328="","",AD328-AK328)</f>
        <v/>
      </c>
      <c r="AM328" s="9" t="str">
        <f aca="false">IF(C328="","","Waiting for payment")</f>
        <v/>
      </c>
      <c r="AN328" s="10"/>
      <c r="AO328" s="10"/>
      <c r="AP328" s="22" t="str">
        <f aca="false">IF(OR(C328="",I328="",K328=""),"",IF(K328="Monthly",EDATE(C328,ROUND(I328*SETTINGS!$I$8,0)),WORKDAY(C328,ROUND(I328*SETTINGS!$I$8,0))))</f>
        <v/>
      </c>
      <c r="AQ328" s="9" t="str">
        <f aca="true">IF(C328="","",IF(AND(AP328&lt;&gt;"",TODAY()&gt;=AP328),"Refi Ready",IF(TODAY()-C328&gt;=SETTINGS!$I$11,"Prospecting","Performing")))</f>
        <v/>
      </c>
      <c r="AR328" s="22" t="str">
        <f aca="false">IF(OR(C328="",I328="",K328=""),"",IF(K328="Monthly",EDATE(C328,I328),WORKDAY(C328,I328)))</f>
        <v/>
      </c>
      <c r="AS328" s="11"/>
      <c r="AT328" s="23" t="str">
        <f aca="true">IF(C328="","",IF(AM328="Clawed Back","CLAWED",IF(TODAY()&lt;=C328+SETTINGS!$I$2,"⚠ AT RISK","SAFE")))</f>
        <v/>
      </c>
      <c r="AU328" s="11"/>
      <c r="AW328" s="24" t="n">
        <f aca="false">AW327+IF(AND(C328&lt;&gt;"",AO328&lt;&gt;"",OR('REP COMMISSION'!$B$3="",T328='REP COMMISSION'!$B$3,W328='REP COMMISSION'!$B$3,Z328='REP COMMISSION'!$B$3)),1,0)</f>
        <v>0</v>
      </c>
      <c r="AX328" s="24" t="n">
        <f aca="false">AX327+IF(AND(C328&lt;&gt;"",OR(F328="LOC - INITIAL",F328="CONSOLIDATION - UPFRONT COMM",F328="REVERSE - TOTAL FUNDING")),1,0)</f>
        <v>0</v>
      </c>
    </row>
    <row r="329" customFormat="false" ht="15" hidden="false" customHeight="false" outlineLevel="0" collapsed="false">
      <c r="A329" s="25" t="str">
        <f aca="false">IF(C329&lt;&gt;"","F"&amp;COUNT($C$4:C329),"")</f>
        <v/>
      </c>
      <c r="B329" s="26" t="str">
        <f aca="false">IF(OR(F329="LOC - INITIAL",F329="CONSOLIDATION - UPFRONT COMM",F329="REVERSE - TOTAL FUNDING"),A329,"")</f>
        <v/>
      </c>
      <c r="C329" s="27"/>
      <c r="D329" s="28"/>
      <c r="E329" s="28"/>
      <c r="F329" s="28"/>
      <c r="G329" s="29"/>
      <c r="H329" s="30"/>
      <c r="I329" s="28"/>
      <c r="J329" s="31" t="str">
        <f aca="false">IF(AND(G329&lt;&gt;"",H329&lt;&gt;""),G329*H329,"")</f>
        <v/>
      </c>
      <c r="K329" s="28"/>
      <c r="L329" s="32"/>
      <c r="M329" s="32"/>
      <c r="N329" s="31" t="n">
        <f aca="false">IF(OR(G329="",M329=""),0,IF(M329&gt;100,M329,G329*IF(M329&gt;1,M329/100,M329)))</f>
        <v>0</v>
      </c>
      <c r="O329" s="31" t="str">
        <f aca="false">IF(G329="","",G329*IF(L329="",0,IF(L329&gt;1,L329/100,L329))+N329)</f>
        <v/>
      </c>
      <c r="P329" s="28"/>
      <c r="Q329" s="33" t="str">
        <f aca="false">IF(P329="","",IFERROR(VLOOKUP(P329,PARTNERS!$A$2:$B$30,2,0),""))</f>
        <v/>
      </c>
      <c r="R329" s="17" t="str">
        <f aca="false">IF(O329="","",IF(OR(P329="",Q329=""),0,(O329-N329)*IF(Q329&gt;1,Q329/100,Q329)))</f>
        <v/>
      </c>
      <c r="S329" s="31" t="str">
        <f aca="false">IF(O329="","",O329-R329)</f>
        <v/>
      </c>
      <c r="T329" s="28"/>
      <c r="U329" s="34" t="str">
        <f aca="false">IF(T329="","",IFERROR(VLOOKUP(T329,REPS!$A$2:$D$40,2,0),""))</f>
        <v/>
      </c>
      <c r="V329" s="31" t="str">
        <f aca="false">IF(O329="","",IF(U329="",0,O329*IF(U329&gt;1,U329/100,U329)))</f>
        <v/>
      </c>
      <c r="W329" s="28"/>
      <c r="X329" s="34" t="str">
        <f aca="false">IF(W329="","",IFERROR(VLOOKUP(W329,REPS!$A$2:$D$40,3,0),""))</f>
        <v/>
      </c>
      <c r="Y329" s="31" t="str">
        <f aca="false">IF(O329="","",IF(X329="",0,O329*IF(X329&gt;1,X329/100,X329)))</f>
        <v/>
      </c>
      <c r="Z329" s="28"/>
      <c r="AA329" s="34" t="str">
        <f aca="false">IF(Z329="","",IFERROR(VLOOKUP(Z329,REPS!$A$2:$D$40,4,0),""))</f>
        <v/>
      </c>
      <c r="AB329" s="31" t="str">
        <f aca="false">IF(O329="","",IF(AA329="",0,O329*IF(AA329&gt;1,AA329/100,AA329)))</f>
        <v/>
      </c>
      <c r="AC329" s="31" t="str">
        <f aca="false">IF(O329="","",V329+Y329+AB329)</f>
        <v/>
      </c>
      <c r="AD329" s="19" t="str">
        <f aca="false">IF(O329="","",O329-R329-AC329)</f>
        <v/>
      </c>
      <c r="AE329" s="20"/>
      <c r="AF329" s="27"/>
      <c r="AG329" s="21" t="n">
        <f aca="false">IF(OR(AE329="",AE329=0),0,AE329*IF(U329="",0,IF(U329&gt;1,U329/100,U329)))</f>
        <v>0</v>
      </c>
      <c r="AH329" s="21" t="n">
        <f aca="false">IF(OR(AE329="",AE329=0),0,AE329*IF(X329="",0,IF(X329&gt;1,X329/100,X329)))</f>
        <v>0</v>
      </c>
      <c r="AI329" s="21" t="n">
        <f aca="false">IF(OR(AE329="",AE329=0),0,AE329*IF(AA329="",0,IF(AA329&gt;1,AA329/100,AA329)))</f>
        <v>0</v>
      </c>
      <c r="AJ329" s="21" t="n">
        <f aca="false">AG329+AH329+AI329</f>
        <v>0</v>
      </c>
      <c r="AK329" s="21" t="n">
        <f aca="false">IF(OR(AE329="",AE329=0),0,AE329-AJ329)</f>
        <v>0</v>
      </c>
      <c r="AL329" s="19" t="str">
        <f aca="false">IF(AD329="","",AD329-AK329)</f>
        <v/>
      </c>
      <c r="AM329" s="26" t="str">
        <f aca="false">IF(C329="","","Waiting for payment")</f>
        <v/>
      </c>
      <c r="AN329" s="27"/>
      <c r="AO329" s="27"/>
      <c r="AP329" s="35" t="str">
        <f aca="false">IF(OR(C329="",I329="",K329=""),"",IF(K329="Monthly",EDATE(C329,ROUND(I329*SETTINGS!$I$8,0)),WORKDAY(C329,ROUND(I329*SETTINGS!$I$8,0))))</f>
        <v/>
      </c>
      <c r="AQ329" s="26" t="str">
        <f aca="true">IF(C329="","",IF(AND(AP329&lt;&gt;"",TODAY()&gt;=AP329),"Refi Ready",IF(TODAY()-C329&gt;=SETTINGS!$I$11,"Prospecting","Performing")))</f>
        <v/>
      </c>
      <c r="AR329" s="35" t="str">
        <f aca="false">IF(OR(C329="",I329="",K329=""),"",IF(K329="Monthly",EDATE(C329,I329),WORKDAY(C329,I329)))</f>
        <v/>
      </c>
      <c r="AS329" s="28"/>
      <c r="AT329" s="36" t="str">
        <f aca="true">IF(C329="","",IF(AM329="Clawed Back","CLAWED",IF(TODAY()&lt;=C329+SETTINGS!$I$2,"⚠ AT RISK","SAFE")))</f>
        <v/>
      </c>
      <c r="AU329" s="28"/>
      <c r="AW329" s="24" t="n">
        <f aca="false">AW328+IF(AND(C329&lt;&gt;"",AO329&lt;&gt;"",OR('REP COMMISSION'!$B$3="",T329='REP COMMISSION'!$B$3,W329='REP COMMISSION'!$B$3,Z329='REP COMMISSION'!$B$3)),1,0)</f>
        <v>0</v>
      </c>
      <c r="AX329" s="24" t="n">
        <f aca="false">AX328+IF(AND(C329&lt;&gt;"",OR(F329="LOC - INITIAL",F329="CONSOLIDATION - UPFRONT COMM",F329="REVERSE - TOTAL FUNDING")),1,0)</f>
        <v>0</v>
      </c>
    </row>
    <row r="330" customFormat="false" ht="15" hidden="false" customHeight="false" outlineLevel="0" collapsed="false">
      <c r="A330" s="8" t="str">
        <f aca="false">IF(C330&lt;&gt;"","F"&amp;COUNT($C$4:C330),"")</f>
        <v/>
      </c>
      <c r="B330" s="9" t="str">
        <f aca="false">IF(OR(F330="LOC - INITIAL",F330="CONSOLIDATION - UPFRONT COMM",F330="REVERSE - TOTAL FUNDING"),A330,"")</f>
        <v/>
      </c>
      <c r="C330" s="10"/>
      <c r="D330" s="11"/>
      <c r="E330" s="11"/>
      <c r="F330" s="11"/>
      <c r="G330" s="12"/>
      <c r="H330" s="13"/>
      <c r="I330" s="11"/>
      <c r="J330" s="14" t="str">
        <f aca="false">IF(AND(G330&lt;&gt;"",H330&lt;&gt;""),G330*H330,"")</f>
        <v/>
      </c>
      <c r="K330" s="11"/>
      <c r="L330" s="15"/>
      <c r="M330" s="15"/>
      <c r="N330" s="14" t="n">
        <f aca="false">IF(OR(G330="",M330=""),0,IF(M330&gt;100,M330,G330*IF(M330&gt;1,M330/100,M330)))</f>
        <v>0</v>
      </c>
      <c r="O330" s="14" t="str">
        <f aca="false">IF(G330="","",G330*IF(L330="",0,IF(L330&gt;1,L330/100,L330))+N330)</f>
        <v/>
      </c>
      <c r="P330" s="11"/>
      <c r="Q330" s="16" t="str">
        <f aca="false">IF(P330="","",IFERROR(VLOOKUP(P330,PARTNERS!$A$2:$B$30,2,0),""))</f>
        <v/>
      </c>
      <c r="R330" s="17" t="str">
        <f aca="false">IF(O330="","",IF(OR(P330="",Q330=""),0,(O330-N330)*IF(Q330&gt;1,Q330/100,Q330)))</f>
        <v/>
      </c>
      <c r="S330" s="14" t="str">
        <f aca="false">IF(O330="","",O330-R330)</f>
        <v/>
      </c>
      <c r="T330" s="11"/>
      <c r="U330" s="18" t="str">
        <f aca="false">IF(T330="","",IFERROR(VLOOKUP(T330,REPS!$A$2:$D$40,2,0),""))</f>
        <v/>
      </c>
      <c r="V330" s="14" t="str">
        <f aca="false">IF(O330="","",IF(U330="",0,O330*IF(U330&gt;1,U330/100,U330)))</f>
        <v/>
      </c>
      <c r="W330" s="11"/>
      <c r="X330" s="18" t="str">
        <f aca="false">IF(W330="","",IFERROR(VLOOKUP(W330,REPS!$A$2:$D$40,3,0),""))</f>
        <v/>
      </c>
      <c r="Y330" s="14" t="str">
        <f aca="false">IF(O330="","",IF(X330="",0,O330*IF(X330&gt;1,X330/100,X330)))</f>
        <v/>
      </c>
      <c r="Z330" s="11"/>
      <c r="AA330" s="18" t="str">
        <f aca="false">IF(Z330="","",IFERROR(VLOOKUP(Z330,REPS!$A$2:$D$40,4,0),""))</f>
        <v/>
      </c>
      <c r="AB330" s="14" t="str">
        <f aca="false">IF(O330="","",IF(AA330="",0,O330*IF(AA330&gt;1,AA330/100,AA330)))</f>
        <v/>
      </c>
      <c r="AC330" s="14" t="str">
        <f aca="false">IF(O330="","",V330+Y330+AB330)</f>
        <v/>
      </c>
      <c r="AD330" s="19" t="str">
        <f aca="false">IF(O330="","",O330-R330-AC330)</f>
        <v/>
      </c>
      <c r="AE330" s="20"/>
      <c r="AF330" s="10"/>
      <c r="AG330" s="21" t="n">
        <f aca="false">IF(OR(AE330="",AE330=0),0,AE330*IF(U330="",0,IF(U330&gt;1,U330/100,U330)))</f>
        <v>0</v>
      </c>
      <c r="AH330" s="21" t="n">
        <f aca="false">IF(OR(AE330="",AE330=0),0,AE330*IF(X330="",0,IF(X330&gt;1,X330/100,X330)))</f>
        <v>0</v>
      </c>
      <c r="AI330" s="21" t="n">
        <f aca="false">IF(OR(AE330="",AE330=0),0,AE330*IF(AA330="",0,IF(AA330&gt;1,AA330/100,AA330)))</f>
        <v>0</v>
      </c>
      <c r="AJ330" s="21" t="n">
        <f aca="false">AG330+AH330+AI330</f>
        <v>0</v>
      </c>
      <c r="AK330" s="21" t="n">
        <f aca="false">IF(OR(AE330="",AE330=0),0,AE330-AJ330)</f>
        <v>0</v>
      </c>
      <c r="AL330" s="19" t="str">
        <f aca="false">IF(AD330="","",AD330-AK330)</f>
        <v/>
      </c>
      <c r="AM330" s="9" t="str">
        <f aca="false">IF(C330="","","Waiting for payment")</f>
        <v/>
      </c>
      <c r="AN330" s="10"/>
      <c r="AO330" s="10"/>
      <c r="AP330" s="22" t="str">
        <f aca="false">IF(OR(C330="",I330="",K330=""),"",IF(K330="Monthly",EDATE(C330,ROUND(I330*SETTINGS!$I$8,0)),WORKDAY(C330,ROUND(I330*SETTINGS!$I$8,0))))</f>
        <v/>
      </c>
      <c r="AQ330" s="9" t="str">
        <f aca="true">IF(C330="","",IF(AND(AP330&lt;&gt;"",TODAY()&gt;=AP330),"Refi Ready",IF(TODAY()-C330&gt;=SETTINGS!$I$11,"Prospecting","Performing")))</f>
        <v/>
      </c>
      <c r="AR330" s="22" t="str">
        <f aca="false">IF(OR(C330="",I330="",K330=""),"",IF(K330="Monthly",EDATE(C330,I330),WORKDAY(C330,I330)))</f>
        <v/>
      </c>
      <c r="AS330" s="11"/>
      <c r="AT330" s="23" t="str">
        <f aca="true">IF(C330="","",IF(AM330="Clawed Back","CLAWED",IF(TODAY()&lt;=C330+SETTINGS!$I$2,"⚠ AT RISK","SAFE")))</f>
        <v/>
      </c>
      <c r="AU330" s="11"/>
      <c r="AW330" s="24" t="n">
        <f aca="false">AW329+IF(AND(C330&lt;&gt;"",AO330&lt;&gt;"",OR('REP COMMISSION'!$B$3="",T330='REP COMMISSION'!$B$3,W330='REP COMMISSION'!$B$3,Z330='REP COMMISSION'!$B$3)),1,0)</f>
        <v>0</v>
      </c>
      <c r="AX330" s="24" t="n">
        <f aca="false">AX329+IF(AND(C330&lt;&gt;"",OR(F330="LOC - INITIAL",F330="CONSOLIDATION - UPFRONT COMM",F330="REVERSE - TOTAL FUNDING")),1,0)</f>
        <v>0</v>
      </c>
    </row>
    <row r="331" customFormat="false" ht="15" hidden="false" customHeight="false" outlineLevel="0" collapsed="false">
      <c r="A331" s="25" t="str">
        <f aca="false">IF(C331&lt;&gt;"","F"&amp;COUNT($C$4:C331),"")</f>
        <v/>
      </c>
      <c r="B331" s="26" t="str">
        <f aca="false">IF(OR(F331="LOC - INITIAL",F331="CONSOLIDATION - UPFRONT COMM",F331="REVERSE - TOTAL FUNDING"),A331,"")</f>
        <v/>
      </c>
      <c r="C331" s="27"/>
      <c r="D331" s="28"/>
      <c r="E331" s="28"/>
      <c r="F331" s="28"/>
      <c r="G331" s="29"/>
      <c r="H331" s="30"/>
      <c r="I331" s="28"/>
      <c r="J331" s="31" t="str">
        <f aca="false">IF(AND(G331&lt;&gt;"",H331&lt;&gt;""),G331*H331,"")</f>
        <v/>
      </c>
      <c r="K331" s="28"/>
      <c r="L331" s="32"/>
      <c r="M331" s="32"/>
      <c r="N331" s="31" t="n">
        <f aca="false">IF(OR(G331="",M331=""),0,IF(M331&gt;100,M331,G331*IF(M331&gt;1,M331/100,M331)))</f>
        <v>0</v>
      </c>
      <c r="O331" s="31" t="str">
        <f aca="false">IF(G331="","",G331*IF(L331="",0,IF(L331&gt;1,L331/100,L331))+N331)</f>
        <v/>
      </c>
      <c r="P331" s="28"/>
      <c r="Q331" s="33" t="str">
        <f aca="false">IF(P331="","",IFERROR(VLOOKUP(P331,PARTNERS!$A$2:$B$30,2,0),""))</f>
        <v/>
      </c>
      <c r="R331" s="17" t="str">
        <f aca="false">IF(O331="","",IF(OR(P331="",Q331=""),0,(O331-N331)*IF(Q331&gt;1,Q331/100,Q331)))</f>
        <v/>
      </c>
      <c r="S331" s="31" t="str">
        <f aca="false">IF(O331="","",O331-R331)</f>
        <v/>
      </c>
      <c r="T331" s="28"/>
      <c r="U331" s="34" t="str">
        <f aca="false">IF(T331="","",IFERROR(VLOOKUP(T331,REPS!$A$2:$D$40,2,0),""))</f>
        <v/>
      </c>
      <c r="V331" s="31" t="str">
        <f aca="false">IF(O331="","",IF(U331="",0,O331*IF(U331&gt;1,U331/100,U331)))</f>
        <v/>
      </c>
      <c r="W331" s="28"/>
      <c r="X331" s="34" t="str">
        <f aca="false">IF(W331="","",IFERROR(VLOOKUP(W331,REPS!$A$2:$D$40,3,0),""))</f>
        <v/>
      </c>
      <c r="Y331" s="31" t="str">
        <f aca="false">IF(O331="","",IF(X331="",0,O331*IF(X331&gt;1,X331/100,X331)))</f>
        <v/>
      </c>
      <c r="Z331" s="28"/>
      <c r="AA331" s="34" t="str">
        <f aca="false">IF(Z331="","",IFERROR(VLOOKUP(Z331,REPS!$A$2:$D$40,4,0),""))</f>
        <v/>
      </c>
      <c r="AB331" s="31" t="str">
        <f aca="false">IF(O331="","",IF(AA331="",0,O331*IF(AA331&gt;1,AA331/100,AA331)))</f>
        <v/>
      </c>
      <c r="AC331" s="31" t="str">
        <f aca="false">IF(O331="","",V331+Y331+AB331)</f>
        <v/>
      </c>
      <c r="AD331" s="19" t="str">
        <f aca="false">IF(O331="","",O331-R331-AC331)</f>
        <v/>
      </c>
      <c r="AE331" s="20"/>
      <c r="AF331" s="27"/>
      <c r="AG331" s="21" t="n">
        <f aca="false">IF(OR(AE331="",AE331=0),0,AE331*IF(U331="",0,IF(U331&gt;1,U331/100,U331)))</f>
        <v>0</v>
      </c>
      <c r="AH331" s="21" t="n">
        <f aca="false">IF(OR(AE331="",AE331=0),0,AE331*IF(X331="",0,IF(X331&gt;1,X331/100,X331)))</f>
        <v>0</v>
      </c>
      <c r="AI331" s="21" t="n">
        <f aca="false">IF(OR(AE331="",AE331=0),0,AE331*IF(AA331="",0,IF(AA331&gt;1,AA331/100,AA331)))</f>
        <v>0</v>
      </c>
      <c r="AJ331" s="21" t="n">
        <f aca="false">AG331+AH331+AI331</f>
        <v>0</v>
      </c>
      <c r="AK331" s="21" t="n">
        <f aca="false">IF(OR(AE331="",AE331=0),0,AE331-AJ331)</f>
        <v>0</v>
      </c>
      <c r="AL331" s="19" t="str">
        <f aca="false">IF(AD331="","",AD331-AK331)</f>
        <v/>
      </c>
      <c r="AM331" s="26" t="str">
        <f aca="false">IF(C331="","","Waiting for payment")</f>
        <v/>
      </c>
      <c r="AN331" s="27"/>
      <c r="AO331" s="27"/>
      <c r="AP331" s="35" t="str">
        <f aca="false">IF(OR(C331="",I331="",K331=""),"",IF(K331="Monthly",EDATE(C331,ROUND(I331*SETTINGS!$I$8,0)),WORKDAY(C331,ROUND(I331*SETTINGS!$I$8,0))))</f>
        <v/>
      </c>
      <c r="AQ331" s="26" t="str">
        <f aca="true">IF(C331="","",IF(AND(AP331&lt;&gt;"",TODAY()&gt;=AP331),"Refi Ready",IF(TODAY()-C331&gt;=SETTINGS!$I$11,"Prospecting","Performing")))</f>
        <v/>
      </c>
      <c r="AR331" s="35" t="str">
        <f aca="false">IF(OR(C331="",I331="",K331=""),"",IF(K331="Monthly",EDATE(C331,I331),WORKDAY(C331,I331)))</f>
        <v/>
      </c>
      <c r="AS331" s="28"/>
      <c r="AT331" s="36" t="str">
        <f aca="true">IF(C331="","",IF(AM331="Clawed Back","CLAWED",IF(TODAY()&lt;=C331+SETTINGS!$I$2,"⚠ AT RISK","SAFE")))</f>
        <v/>
      </c>
      <c r="AU331" s="28"/>
      <c r="AW331" s="24" t="n">
        <f aca="false">AW330+IF(AND(C331&lt;&gt;"",AO331&lt;&gt;"",OR('REP COMMISSION'!$B$3="",T331='REP COMMISSION'!$B$3,W331='REP COMMISSION'!$B$3,Z331='REP COMMISSION'!$B$3)),1,0)</f>
        <v>0</v>
      </c>
      <c r="AX331" s="24" t="n">
        <f aca="false">AX330+IF(AND(C331&lt;&gt;"",OR(F331="LOC - INITIAL",F331="CONSOLIDATION - UPFRONT COMM",F331="REVERSE - TOTAL FUNDING")),1,0)</f>
        <v>0</v>
      </c>
    </row>
    <row r="332" customFormat="false" ht="15" hidden="false" customHeight="false" outlineLevel="0" collapsed="false">
      <c r="A332" s="8" t="str">
        <f aca="false">IF(C332&lt;&gt;"","F"&amp;COUNT($C$4:C332),"")</f>
        <v/>
      </c>
      <c r="B332" s="9" t="str">
        <f aca="false">IF(OR(F332="LOC - INITIAL",F332="CONSOLIDATION - UPFRONT COMM",F332="REVERSE - TOTAL FUNDING"),A332,"")</f>
        <v/>
      </c>
      <c r="C332" s="10"/>
      <c r="D332" s="11"/>
      <c r="E332" s="11"/>
      <c r="F332" s="11"/>
      <c r="G332" s="12"/>
      <c r="H332" s="13"/>
      <c r="I332" s="11"/>
      <c r="J332" s="14" t="str">
        <f aca="false">IF(AND(G332&lt;&gt;"",H332&lt;&gt;""),G332*H332,"")</f>
        <v/>
      </c>
      <c r="K332" s="11"/>
      <c r="L332" s="15"/>
      <c r="M332" s="15"/>
      <c r="N332" s="14" t="n">
        <f aca="false">IF(OR(G332="",M332=""),0,IF(M332&gt;100,M332,G332*IF(M332&gt;1,M332/100,M332)))</f>
        <v>0</v>
      </c>
      <c r="O332" s="14" t="str">
        <f aca="false">IF(G332="","",G332*IF(L332="",0,IF(L332&gt;1,L332/100,L332))+N332)</f>
        <v/>
      </c>
      <c r="P332" s="11"/>
      <c r="Q332" s="16" t="str">
        <f aca="false">IF(P332="","",IFERROR(VLOOKUP(P332,PARTNERS!$A$2:$B$30,2,0),""))</f>
        <v/>
      </c>
      <c r="R332" s="17" t="str">
        <f aca="false">IF(O332="","",IF(OR(P332="",Q332=""),0,(O332-N332)*IF(Q332&gt;1,Q332/100,Q332)))</f>
        <v/>
      </c>
      <c r="S332" s="14" t="str">
        <f aca="false">IF(O332="","",O332-R332)</f>
        <v/>
      </c>
      <c r="T332" s="11"/>
      <c r="U332" s="18" t="str">
        <f aca="false">IF(T332="","",IFERROR(VLOOKUP(T332,REPS!$A$2:$D$40,2,0),""))</f>
        <v/>
      </c>
      <c r="V332" s="14" t="str">
        <f aca="false">IF(O332="","",IF(U332="",0,O332*IF(U332&gt;1,U332/100,U332)))</f>
        <v/>
      </c>
      <c r="W332" s="11"/>
      <c r="X332" s="18" t="str">
        <f aca="false">IF(W332="","",IFERROR(VLOOKUP(W332,REPS!$A$2:$D$40,3,0),""))</f>
        <v/>
      </c>
      <c r="Y332" s="14" t="str">
        <f aca="false">IF(O332="","",IF(X332="",0,O332*IF(X332&gt;1,X332/100,X332)))</f>
        <v/>
      </c>
      <c r="Z332" s="11"/>
      <c r="AA332" s="18" t="str">
        <f aca="false">IF(Z332="","",IFERROR(VLOOKUP(Z332,REPS!$A$2:$D$40,4,0),""))</f>
        <v/>
      </c>
      <c r="AB332" s="14" t="str">
        <f aca="false">IF(O332="","",IF(AA332="",0,O332*IF(AA332&gt;1,AA332/100,AA332)))</f>
        <v/>
      </c>
      <c r="AC332" s="14" t="str">
        <f aca="false">IF(O332="","",V332+Y332+AB332)</f>
        <v/>
      </c>
      <c r="AD332" s="19" t="str">
        <f aca="false">IF(O332="","",O332-R332-AC332)</f>
        <v/>
      </c>
      <c r="AE332" s="20"/>
      <c r="AF332" s="10"/>
      <c r="AG332" s="21" t="n">
        <f aca="false">IF(OR(AE332="",AE332=0),0,AE332*IF(U332="",0,IF(U332&gt;1,U332/100,U332)))</f>
        <v>0</v>
      </c>
      <c r="AH332" s="21" t="n">
        <f aca="false">IF(OR(AE332="",AE332=0),0,AE332*IF(X332="",0,IF(X332&gt;1,X332/100,X332)))</f>
        <v>0</v>
      </c>
      <c r="AI332" s="21" t="n">
        <f aca="false">IF(OR(AE332="",AE332=0),0,AE332*IF(AA332="",0,IF(AA332&gt;1,AA332/100,AA332)))</f>
        <v>0</v>
      </c>
      <c r="AJ332" s="21" t="n">
        <f aca="false">AG332+AH332+AI332</f>
        <v>0</v>
      </c>
      <c r="AK332" s="21" t="n">
        <f aca="false">IF(OR(AE332="",AE332=0),0,AE332-AJ332)</f>
        <v>0</v>
      </c>
      <c r="AL332" s="19" t="str">
        <f aca="false">IF(AD332="","",AD332-AK332)</f>
        <v/>
      </c>
      <c r="AM332" s="9" t="str">
        <f aca="false">IF(C332="","","Waiting for payment")</f>
        <v/>
      </c>
      <c r="AN332" s="10"/>
      <c r="AO332" s="10"/>
      <c r="AP332" s="22" t="str">
        <f aca="false">IF(OR(C332="",I332="",K332=""),"",IF(K332="Monthly",EDATE(C332,ROUND(I332*SETTINGS!$I$8,0)),WORKDAY(C332,ROUND(I332*SETTINGS!$I$8,0))))</f>
        <v/>
      </c>
      <c r="AQ332" s="9" t="str">
        <f aca="true">IF(C332="","",IF(AND(AP332&lt;&gt;"",TODAY()&gt;=AP332),"Refi Ready",IF(TODAY()-C332&gt;=SETTINGS!$I$11,"Prospecting","Performing")))</f>
        <v/>
      </c>
      <c r="AR332" s="22" t="str">
        <f aca="false">IF(OR(C332="",I332="",K332=""),"",IF(K332="Monthly",EDATE(C332,I332),WORKDAY(C332,I332)))</f>
        <v/>
      </c>
      <c r="AS332" s="11"/>
      <c r="AT332" s="23" t="str">
        <f aca="true">IF(C332="","",IF(AM332="Clawed Back","CLAWED",IF(TODAY()&lt;=C332+SETTINGS!$I$2,"⚠ AT RISK","SAFE")))</f>
        <v/>
      </c>
      <c r="AU332" s="11"/>
      <c r="AW332" s="24" t="n">
        <f aca="false">AW331+IF(AND(C332&lt;&gt;"",AO332&lt;&gt;"",OR('REP COMMISSION'!$B$3="",T332='REP COMMISSION'!$B$3,W332='REP COMMISSION'!$B$3,Z332='REP COMMISSION'!$B$3)),1,0)</f>
        <v>0</v>
      </c>
      <c r="AX332" s="24" t="n">
        <f aca="false">AX331+IF(AND(C332&lt;&gt;"",OR(F332="LOC - INITIAL",F332="CONSOLIDATION - UPFRONT COMM",F332="REVERSE - TOTAL FUNDING")),1,0)</f>
        <v>0</v>
      </c>
    </row>
    <row r="333" customFormat="false" ht="15" hidden="false" customHeight="false" outlineLevel="0" collapsed="false">
      <c r="A333" s="25" t="str">
        <f aca="false">IF(C333&lt;&gt;"","F"&amp;COUNT($C$4:C333),"")</f>
        <v/>
      </c>
      <c r="B333" s="26" t="str">
        <f aca="false">IF(OR(F333="LOC - INITIAL",F333="CONSOLIDATION - UPFRONT COMM",F333="REVERSE - TOTAL FUNDING"),A333,"")</f>
        <v/>
      </c>
      <c r="C333" s="27"/>
      <c r="D333" s="28"/>
      <c r="E333" s="28"/>
      <c r="F333" s="28"/>
      <c r="G333" s="29"/>
      <c r="H333" s="30"/>
      <c r="I333" s="28"/>
      <c r="J333" s="31" t="str">
        <f aca="false">IF(AND(G333&lt;&gt;"",H333&lt;&gt;""),G333*H333,"")</f>
        <v/>
      </c>
      <c r="K333" s="28"/>
      <c r="L333" s="32"/>
      <c r="M333" s="32"/>
      <c r="N333" s="31" t="n">
        <f aca="false">IF(OR(G333="",M333=""),0,IF(M333&gt;100,M333,G333*IF(M333&gt;1,M333/100,M333)))</f>
        <v>0</v>
      </c>
      <c r="O333" s="31" t="str">
        <f aca="false">IF(G333="","",G333*IF(L333="",0,IF(L333&gt;1,L333/100,L333))+N333)</f>
        <v/>
      </c>
      <c r="P333" s="28"/>
      <c r="Q333" s="33" t="str">
        <f aca="false">IF(P333="","",IFERROR(VLOOKUP(P333,PARTNERS!$A$2:$B$30,2,0),""))</f>
        <v/>
      </c>
      <c r="R333" s="17" t="str">
        <f aca="false">IF(O333="","",IF(OR(P333="",Q333=""),0,(O333-N333)*IF(Q333&gt;1,Q333/100,Q333)))</f>
        <v/>
      </c>
      <c r="S333" s="31" t="str">
        <f aca="false">IF(O333="","",O333-R333)</f>
        <v/>
      </c>
      <c r="T333" s="28"/>
      <c r="U333" s="34" t="str">
        <f aca="false">IF(T333="","",IFERROR(VLOOKUP(T333,REPS!$A$2:$D$40,2,0),""))</f>
        <v/>
      </c>
      <c r="V333" s="31" t="str">
        <f aca="false">IF(O333="","",IF(U333="",0,O333*IF(U333&gt;1,U333/100,U333)))</f>
        <v/>
      </c>
      <c r="W333" s="28"/>
      <c r="X333" s="34" t="str">
        <f aca="false">IF(W333="","",IFERROR(VLOOKUP(W333,REPS!$A$2:$D$40,3,0),""))</f>
        <v/>
      </c>
      <c r="Y333" s="31" t="str">
        <f aca="false">IF(O333="","",IF(X333="",0,O333*IF(X333&gt;1,X333/100,X333)))</f>
        <v/>
      </c>
      <c r="Z333" s="28"/>
      <c r="AA333" s="34" t="str">
        <f aca="false">IF(Z333="","",IFERROR(VLOOKUP(Z333,REPS!$A$2:$D$40,4,0),""))</f>
        <v/>
      </c>
      <c r="AB333" s="31" t="str">
        <f aca="false">IF(O333="","",IF(AA333="",0,O333*IF(AA333&gt;1,AA333/100,AA333)))</f>
        <v/>
      </c>
      <c r="AC333" s="31" t="str">
        <f aca="false">IF(O333="","",V333+Y333+AB333)</f>
        <v/>
      </c>
      <c r="AD333" s="19" t="str">
        <f aca="false">IF(O333="","",O333-R333-AC333)</f>
        <v/>
      </c>
      <c r="AE333" s="20"/>
      <c r="AF333" s="27"/>
      <c r="AG333" s="21" t="n">
        <f aca="false">IF(OR(AE333="",AE333=0),0,AE333*IF(U333="",0,IF(U333&gt;1,U333/100,U333)))</f>
        <v>0</v>
      </c>
      <c r="AH333" s="21" t="n">
        <f aca="false">IF(OR(AE333="",AE333=0),0,AE333*IF(X333="",0,IF(X333&gt;1,X333/100,X333)))</f>
        <v>0</v>
      </c>
      <c r="AI333" s="21" t="n">
        <f aca="false">IF(OR(AE333="",AE333=0),0,AE333*IF(AA333="",0,IF(AA333&gt;1,AA333/100,AA333)))</f>
        <v>0</v>
      </c>
      <c r="AJ333" s="21" t="n">
        <f aca="false">AG333+AH333+AI333</f>
        <v>0</v>
      </c>
      <c r="AK333" s="21" t="n">
        <f aca="false">IF(OR(AE333="",AE333=0),0,AE333-AJ333)</f>
        <v>0</v>
      </c>
      <c r="AL333" s="19" t="str">
        <f aca="false">IF(AD333="","",AD333-AK333)</f>
        <v/>
      </c>
      <c r="AM333" s="26" t="str">
        <f aca="false">IF(C333="","","Waiting for payment")</f>
        <v/>
      </c>
      <c r="AN333" s="27"/>
      <c r="AO333" s="27"/>
      <c r="AP333" s="35" t="str">
        <f aca="false">IF(OR(C333="",I333="",K333=""),"",IF(K333="Monthly",EDATE(C333,ROUND(I333*SETTINGS!$I$8,0)),WORKDAY(C333,ROUND(I333*SETTINGS!$I$8,0))))</f>
        <v/>
      </c>
      <c r="AQ333" s="26" t="str">
        <f aca="true">IF(C333="","",IF(AND(AP333&lt;&gt;"",TODAY()&gt;=AP333),"Refi Ready",IF(TODAY()-C333&gt;=SETTINGS!$I$11,"Prospecting","Performing")))</f>
        <v/>
      </c>
      <c r="AR333" s="35" t="str">
        <f aca="false">IF(OR(C333="",I333="",K333=""),"",IF(K333="Monthly",EDATE(C333,I333),WORKDAY(C333,I333)))</f>
        <v/>
      </c>
      <c r="AS333" s="28"/>
      <c r="AT333" s="36" t="str">
        <f aca="true">IF(C333="","",IF(AM333="Clawed Back","CLAWED",IF(TODAY()&lt;=C333+SETTINGS!$I$2,"⚠ AT RISK","SAFE")))</f>
        <v/>
      </c>
      <c r="AU333" s="28"/>
      <c r="AW333" s="24" t="n">
        <f aca="false">AW332+IF(AND(C333&lt;&gt;"",AO333&lt;&gt;"",OR('REP COMMISSION'!$B$3="",T333='REP COMMISSION'!$B$3,W333='REP COMMISSION'!$B$3,Z333='REP COMMISSION'!$B$3)),1,0)</f>
        <v>0</v>
      </c>
      <c r="AX333" s="24" t="n">
        <f aca="false">AX332+IF(AND(C333&lt;&gt;"",OR(F333="LOC - INITIAL",F333="CONSOLIDATION - UPFRONT COMM",F333="REVERSE - TOTAL FUNDING")),1,0)</f>
        <v>0</v>
      </c>
    </row>
    <row r="334" customFormat="false" ht="15" hidden="false" customHeight="false" outlineLevel="0" collapsed="false">
      <c r="A334" s="8" t="str">
        <f aca="false">IF(C334&lt;&gt;"","F"&amp;COUNT($C$4:C334),"")</f>
        <v/>
      </c>
      <c r="B334" s="9" t="str">
        <f aca="false">IF(OR(F334="LOC - INITIAL",F334="CONSOLIDATION - UPFRONT COMM",F334="REVERSE - TOTAL FUNDING"),A334,"")</f>
        <v/>
      </c>
      <c r="C334" s="10"/>
      <c r="D334" s="11"/>
      <c r="E334" s="11"/>
      <c r="F334" s="11"/>
      <c r="G334" s="12"/>
      <c r="H334" s="13"/>
      <c r="I334" s="11"/>
      <c r="J334" s="14" t="str">
        <f aca="false">IF(AND(G334&lt;&gt;"",H334&lt;&gt;""),G334*H334,"")</f>
        <v/>
      </c>
      <c r="K334" s="11"/>
      <c r="L334" s="15"/>
      <c r="M334" s="15"/>
      <c r="N334" s="14" t="n">
        <f aca="false">IF(OR(G334="",M334=""),0,IF(M334&gt;100,M334,G334*IF(M334&gt;1,M334/100,M334)))</f>
        <v>0</v>
      </c>
      <c r="O334" s="14" t="str">
        <f aca="false">IF(G334="","",G334*IF(L334="",0,IF(L334&gt;1,L334/100,L334))+N334)</f>
        <v/>
      </c>
      <c r="P334" s="11"/>
      <c r="Q334" s="16" t="str">
        <f aca="false">IF(P334="","",IFERROR(VLOOKUP(P334,PARTNERS!$A$2:$B$30,2,0),""))</f>
        <v/>
      </c>
      <c r="R334" s="17" t="str">
        <f aca="false">IF(O334="","",IF(OR(P334="",Q334=""),0,(O334-N334)*IF(Q334&gt;1,Q334/100,Q334)))</f>
        <v/>
      </c>
      <c r="S334" s="14" t="str">
        <f aca="false">IF(O334="","",O334-R334)</f>
        <v/>
      </c>
      <c r="T334" s="11"/>
      <c r="U334" s="18" t="str">
        <f aca="false">IF(T334="","",IFERROR(VLOOKUP(T334,REPS!$A$2:$D$40,2,0),""))</f>
        <v/>
      </c>
      <c r="V334" s="14" t="str">
        <f aca="false">IF(O334="","",IF(U334="",0,O334*IF(U334&gt;1,U334/100,U334)))</f>
        <v/>
      </c>
      <c r="W334" s="11"/>
      <c r="X334" s="18" t="str">
        <f aca="false">IF(W334="","",IFERROR(VLOOKUP(W334,REPS!$A$2:$D$40,3,0),""))</f>
        <v/>
      </c>
      <c r="Y334" s="14" t="str">
        <f aca="false">IF(O334="","",IF(X334="",0,O334*IF(X334&gt;1,X334/100,X334)))</f>
        <v/>
      </c>
      <c r="Z334" s="11"/>
      <c r="AA334" s="18" t="str">
        <f aca="false">IF(Z334="","",IFERROR(VLOOKUP(Z334,REPS!$A$2:$D$40,4,0),""))</f>
        <v/>
      </c>
      <c r="AB334" s="14" t="str">
        <f aca="false">IF(O334="","",IF(AA334="",0,O334*IF(AA334&gt;1,AA334/100,AA334)))</f>
        <v/>
      </c>
      <c r="AC334" s="14" t="str">
        <f aca="false">IF(O334="","",V334+Y334+AB334)</f>
        <v/>
      </c>
      <c r="AD334" s="19" t="str">
        <f aca="false">IF(O334="","",O334-R334-AC334)</f>
        <v/>
      </c>
      <c r="AE334" s="20"/>
      <c r="AF334" s="10"/>
      <c r="AG334" s="21" t="n">
        <f aca="false">IF(OR(AE334="",AE334=0),0,AE334*IF(U334="",0,IF(U334&gt;1,U334/100,U334)))</f>
        <v>0</v>
      </c>
      <c r="AH334" s="21" t="n">
        <f aca="false">IF(OR(AE334="",AE334=0),0,AE334*IF(X334="",0,IF(X334&gt;1,X334/100,X334)))</f>
        <v>0</v>
      </c>
      <c r="AI334" s="21" t="n">
        <f aca="false">IF(OR(AE334="",AE334=0),0,AE334*IF(AA334="",0,IF(AA334&gt;1,AA334/100,AA334)))</f>
        <v>0</v>
      </c>
      <c r="AJ334" s="21" t="n">
        <f aca="false">AG334+AH334+AI334</f>
        <v>0</v>
      </c>
      <c r="AK334" s="21" t="n">
        <f aca="false">IF(OR(AE334="",AE334=0),0,AE334-AJ334)</f>
        <v>0</v>
      </c>
      <c r="AL334" s="19" t="str">
        <f aca="false">IF(AD334="","",AD334-AK334)</f>
        <v/>
      </c>
      <c r="AM334" s="9" t="str">
        <f aca="false">IF(C334="","","Waiting for payment")</f>
        <v/>
      </c>
      <c r="AN334" s="10"/>
      <c r="AO334" s="10"/>
      <c r="AP334" s="22" t="str">
        <f aca="false">IF(OR(C334="",I334="",K334=""),"",IF(K334="Monthly",EDATE(C334,ROUND(I334*SETTINGS!$I$8,0)),WORKDAY(C334,ROUND(I334*SETTINGS!$I$8,0))))</f>
        <v/>
      </c>
      <c r="AQ334" s="9" t="str">
        <f aca="true">IF(C334="","",IF(AND(AP334&lt;&gt;"",TODAY()&gt;=AP334),"Refi Ready",IF(TODAY()-C334&gt;=SETTINGS!$I$11,"Prospecting","Performing")))</f>
        <v/>
      </c>
      <c r="AR334" s="22" t="str">
        <f aca="false">IF(OR(C334="",I334="",K334=""),"",IF(K334="Monthly",EDATE(C334,I334),WORKDAY(C334,I334)))</f>
        <v/>
      </c>
      <c r="AS334" s="11"/>
      <c r="AT334" s="23" t="str">
        <f aca="true">IF(C334="","",IF(AM334="Clawed Back","CLAWED",IF(TODAY()&lt;=C334+SETTINGS!$I$2,"⚠ AT RISK","SAFE")))</f>
        <v/>
      </c>
      <c r="AU334" s="11"/>
      <c r="AW334" s="24" t="n">
        <f aca="false">AW333+IF(AND(C334&lt;&gt;"",AO334&lt;&gt;"",OR('REP COMMISSION'!$B$3="",T334='REP COMMISSION'!$B$3,W334='REP COMMISSION'!$B$3,Z334='REP COMMISSION'!$B$3)),1,0)</f>
        <v>0</v>
      </c>
      <c r="AX334" s="24" t="n">
        <f aca="false">AX333+IF(AND(C334&lt;&gt;"",OR(F334="LOC - INITIAL",F334="CONSOLIDATION - UPFRONT COMM",F334="REVERSE - TOTAL FUNDING")),1,0)</f>
        <v>0</v>
      </c>
    </row>
    <row r="335" customFormat="false" ht="15" hidden="false" customHeight="false" outlineLevel="0" collapsed="false">
      <c r="A335" s="25" t="str">
        <f aca="false">IF(C335&lt;&gt;"","F"&amp;COUNT($C$4:C335),"")</f>
        <v/>
      </c>
      <c r="B335" s="26" t="str">
        <f aca="false">IF(OR(F335="LOC - INITIAL",F335="CONSOLIDATION - UPFRONT COMM",F335="REVERSE - TOTAL FUNDING"),A335,"")</f>
        <v/>
      </c>
      <c r="C335" s="27"/>
      <c r="D335" s="28"/>
      <c r="E335" s="28"/>
      <c r="F335" s="28"/>
      <c r="G335" s="29"/>
      <c r="H335" s="30"/>
      <c r="I335" s="28"/>
      <c r="J335" s="31" t="str">
        <f aca="false">IF(AND(G335&lt;&gt;"",H335&lt;&gt;""),G335*H335,"")</f>
        <v/>
      </c>
      <c r="K335" s="28"/>
      <c r="L335" s="32"/>
      <c r="M335" s="32"/>
      <c r="N335" s="31" t="n">
        <f aca="false">IF(OR(G335="",M335=""),0,IF(M335&gt;100,M335,G335*IF(M335&gt;1,M335/100,M335)))</f>
        <v>0</v>
      </c>
      <c r="O335" s="31" t="str">
        <f aca="false">IF(G335="","",G335*IF(L335="",0,IF(L335&gt;1,L335/100,L335))+N335)</f>
        <v/>
      </c>
      <c r="P335" s="28"/>
      <c r="Q335" s="33" t="str">
        <f aca="false">IF(P335="","",IFERROR(VLOOKUP(P335,PARTNERS!$A$2:$B$30,2,0),""))</f>
        <v/>
      </c>
      <c r="R335" s="17" t="str">
        <f aca="false">IF(O335="","",IF(OR(P335="",Q335=""),0,(O335-N335)*IF(Q335&gt;1,Q335/100,Q335)))</f>
        <v/>
      </c>
      <c r="S335" s="31" t="str">
        <f aca="false">IF(O335="","",O335-R335)</f>
        <v/>
      </c>
      <c r="T335" s="28"/>
      <c r="U335" s="34" t="str">
        <f aca="false">IF(T335="","",IFERROR(VLOOKUP(T335,REPS!$A$2:$D$40,2,0),""))</f>
        <v/>
      </c>
      <c r="V335" s="31" t="str">
        <f aca="false">IF(O335="","",IF(U335="",0,O335*IF(U335&gt;1,U335/100,U335)))</f>
        <v/>
      </c>
      <c r="W335" s="28"/>
      <c r="X335" s="34" t="str">
        <f aca="false">IF(W335="","",IFERROR(VLOOKUP(W335,REPS!$A$2:$D$40,3,0),""))</f>
        <v/>
      </c>
      <c r="Y335" s="31" t="str">
        <f aca="false">IF(O335="","",IF(X335="",0,O335*IF(X335&gt;1,X335/100,X335)))</f>
        <v/>
      </c>
      <c r="Z335" s="28"/>
      <c r="AA335" s="34" t="str">
        <f aca="false">IF(Z335="","",IFERROR(VLOOKUP(Z335,REPS!$A$2:$D$40,4,0),""))</f>
        <v/>
      </c>
      <c r="AB335" s="31" t="str">
        <f aca="false">IF(O335="","",IF(AA335="",0,O335*IF(AA335&gt;1,AA335/100,AA335)))</f>
        <v/>
      </c>
      <c r="AC335" s="31" t="str">
        <f aca="false">IF(O335="","",V335+Y335+AB335)</f>
        <v/>
      </c>
      <c r="AD335" s="19" t="str">
        <f aca="false">IF(O335="","",O335-R335-AC335)</f>
        <v/>
      </c>
      <c r="AE335" s="20"/>
      <c r="AF335" s="27"/>
      <c r="AG335" s="21" t="n">
        <f aca="false">IF(OR(AE335="",AE335=0),0,AE335*IF(U335="",0,IF(U335&gt;1,U335/100,U335)))</f>
        <v>0</v>
      </c>
      <c r="AH335" s="21" t="n">
        <f aca="false">IF(OR(AE335="",AE335=0),0,AE335*IF(X335="",0,IF(X335&gt;1,X335/100,X335)))</f>
        <v>0</v>
      </c>
      <c r="AI335" s="21" t="n">
        <f aca="false">IF(OR(AE335="",AE335=0),0,AE335*IF(AA335="",0,IF(AA335&gt;1,AA335/100,AA335)))</f>
        <v>0</v>
      </c>
      <c r="AJ335" s="21" t="n">
        <f aca="false">AG335+AH335+AI335</f>
        <v>0</v>
      </c>
      <c r="AK335" s="21" t="n">
        <f aca="false">IF(OR(AE335="",AE335=0),0,AE335-AJ335)</f>
        <v>0</v>
      </c>
      <c r="AL335" s="19" t="str">
        <f aca="false">IF(AD335="","",AD335-AK335)</f>
        <v/>
      </c>
      <c r="AM335" s="26" t="str">
        <f aca="false">IF(C335="","","Waiting for payment")</f>
        <v/>
      </c>
      <c r="AN335" s="27"/>
      <c r="AO335" s="27"/>
      <c r="AP335" s="35" t="str">
        <f aca="false">IF(OR(C335="",I335="",K335=""),"",IF(K335="Monthly",EDATE(C335,ROUND(I335*SETTINGS!$I$8,0)),WORKDAY(C335,ROUND(I335*SETTINGS!$I$8,0))))</f>
        <v/>
      </c>
      <c r="AQ335" s="26" t="str">
        <f aca="true">IF(C335="","",IF(AND(AP335&lt;&gt;"",TODAY()&gt;=AP335),"Refi Ready",IF(TODAY()-C335&gt;=SETTINGS!$I$11,"Prospecting","Performing")))</f>
        <v/>
      </c>
      <c r="AR335" s="35" t="str">
        <f aca="false">IF(OR(C335="",I335="",K335=""),"",IF(K335="Monthly",EDATE(C335,I335),WORKDAY(C335,I335)))</f>
        <v/>
      </c>
      <c r="AS335" s="28"/>
      <c r="AT335" s="36" t="str">
        <f aca="true">IF(C335="","",IF(AM335="Clawed Back","CLAWED",IF(TODAY()&lt;=C335+SETTINGS!$I$2,"⚠ AT RISK","SAFE")))</f>
        <v/>
      </c>
      <c r="AU335" s="28"/>
      <c r="AW335" s="24" t="n">
        <f aca="false">AW334+IF(AND(C335&lt;&gt;"",AO335&lt;&gt;"",OR('REP COMMISSION'!$B$3="",T335='REP COMMISSION'!$B$3,W335='REP COMMISSION'!$B$3,Z335='REP COMMISSION'!$B$3)),1,0)</f>
        <v>0</v>
      </c>
      <c r="AX335" s="24" t="n">
        <f aca="false">AX334+IF(AND(C335&lt;&gt;"",OR(F335="LOC - INITIAL",F335="CONSOLIDATION - UPFRONT COMM",F335="REVERSE - TOTAL FUNDING")),1,0)</f>
        <v>0</v>
      </c>
    </row>
    <row r="336" customFormat="false" ht="15" hidden="false" customHeight="false" outlineLevel="0" collapsed="false">
      <c r="A336" s="8" t="str">
        <f aca="false">IF(C336&lt;&gt;"","F"&amp;COUNT($C$4:C336),"")</f>
        <v/>
      </c>
      <c r="B336" s="9" t="str">
        <f aca="false">IF(OR(F336="LOC - INITIAL",F336="CONSOLIDATION - UPFRONT COMM",F336="REVERSE - TOTAL FUNDING"),A336,"")</f>
        <v/>
      </c>
      <c r="C336" s="10"/>
      <c r="D336" s="11"/>
      <c r="E336" s="11"/>
      <c r="F336" s="11"/>
      <c r="G336" s="12"/>
      <c r="H336" s="13"/>
      <c r="I336" s="11"/>
      <c r="J336" s="14" t="str">
        <f aca="false">IF(AND(G336&lt;&gt;"",H336&lt;&gt;""),G336*H336,"")</f>
        <v/>
      </c>
      <c r="K336" s="11"/>
      <c r="L336" s="15"/>
      <c r="M336" s="15"/>
      <c r="N336" s="14" t="n">
        <f aca="false">IF(OR(G336="",M336=""),0,IF(M336&gt;100,M336,G336*IF(M336&gt;1,M336/100,M336)))</f>
        <v>0</v>
      </c>
      <c r="O336" s="14" t="str">
        <f aca="false">IF(G336="","",G336*IF(L336="",0,IF(L336&gt;1,L336/100,L336))+N336)</f>
        <v/>
      </c>
      <c r="P336" s="11"/>
      <c r="Q336" s="16" t="str">
        <f aca="false">IF(P336="","",IFERROR(VLOOKUP(P336,PARTNERS!$A$2:$B$30,2,0),""))</f>
        <v/>
      </c>
      <c r="R336" s="17" t="str">
        <f aca="false">IF(O336="","",IF(OR(P336="",Q336=""),0,(O336-N336)*IF(Q336&gt;1,Q336/100,Q336)))</f>
        <v/>
      </c>
      <c r="S336" s="14" t="str">
        <f aca="false">IF(O336="","",O336-R336)</f>
        <v/>
      </c>
      <c r="T336" s="11"/>
      <c r="U336" s="18" t="str">
        <f aca="false">IF(T336="","",IFERROR(VLOOKUP(T336,REPS!$A$2:$D$40,2,0),""))</f>
        <v/>
      </c>
      <c r="V336" s="14" t="str">
        <f aca="false">IF(O336="","",IF(U336="",0,O336*IF(U336&gt;1,U336/100,U336)))</f>
        <v/>
      </c>
      <c r="W336" s="11"/>
      <c r="X336" s="18" t="str">
        <f aca="false">IF(W336="","",IFERROR(VLOOKUP(W336,REPS!$A$2:$D$40,3,0),""))</f>
        <v/>
      </c>
      <c r="Y336" s="14" t="str">
        <f aca="false">IF(O336="","",IF(X336="",0,O336*IF(X336&gt;1,X336/100,X336)))</f>
        <v/>
      </c>
      <c r="Z336" s="11"/>
      <c r="AA336" s="18" t="str">
        <f aca="false">IF(Z336="","",IFERROR(VLOOKUP(Z336,REPS!$A$2:$D$40,4,0),""))</f>
        <v/>
      </c>
      <c r="AB336" s="14" t="str">
        <f aca="false">IF(O336="","",IF(AA336="",0,O336*IF(AA336&gt;1,AA336/100,AA336)))</f>
        <v/>
      </c>
      <c r="AC336" s="14" t="str">
        <f aca="false">IF(O336="","",V336+Y336+AB336)</f>
        <v/>
      </c>
      <c r="AD336" s="19" t="str">
        <f aca="false">IF(O336="","",O336-R336-AC336)</f>
        <v/>
      </c>
      <c r="AE336" s="20"/>
      <c r="AF336" s="10"/>
      <c r="AG336" s="21" t="n">
        <f aca="false">IF(OR(AE336="",AE336=0),0,AE336*IF(U336="",0,IF(U336&gt;1,U336/100,U336)))</f>
        <v>0</v>
      </c>
      <c r="AH336" s="21" t="n">
        <f aca="false">IF(OR(AE336="",AE336=0),0,AE336*IF(X336="",0,IF(X336&gt;1,X336/100,X336)))</f>
        <v>0</v>
      </c>
      <c r="AI336" s="21" t="n">
        <f aca="false">IF(OR(AE336="",AE336=0),0,AE336*IF(AA336="",0,IF(AA336&gt;1,AA336/100,AA336)))</f>
        <v>0</v>
      </c>
      <c r="AJ336" s="21" t="n">
        <f aca="false">AG336+AH336+AI336</f>
        <v>0</v>
      </c>
      <c r="AK336" s="21" t="n">
        <f aca="false">IF(OR(AE336="",AE336=0),0,AE336-AJ336)</f>
        <v>0</v>
      </c>
      <c r="AL336" s="19" t="str">
        <f aca="false">IF(AD336="","",AD336-AK336)</f>
        <v/>
      </c>
      <c r="AM336" s="9" t="str">
        <f aca="false">IF(C336="","","Waiting for payment")</f>
        <v/>
      </c>
      <c r="AN336" s="10"/>
      <c r="AO336" s="10"/>
      <c r="AP336" s="22" t="str">
        <f aca="false">IF(OR(C336="",I336="",K336=""),"",IF(K336="Monthly",EDATE(C336,ROUND(I336*SETTINGS!$I$8,0)),WORKDAY(C336,ROUND(I336*SETTINGS!$I$8,0))))</f>
        <v/>
      </c>
      <c r="AQ336" s="9" t="str">
        <f aca="true">IF(C336="","",IF(AND(AP336&lt;&gt;"",TODAY()&gt;=AP336),"Refi Ready",IF(TODAY()-C336&gt;=SETTINGS!$I$11,"Prospecting","Performing")))</f>
        <v/>
      </c>
      <c r="AR336" s="22" t="str">
        <f aca="false">IF(OR(C336="",I336="",K336=""),"",IF(K336="Monthly",EDATE(C336,I336),WORKDAY(C336,I336)))</f>
        <v/>
      </c>
      <c r="AS336" s="11"/>
      <c r="AT336" s="23" t="str">
        <f aca="true">IF(C336="","",IF(AM336="Clawed Back","CLAWED",IF(TODAY()&lt;=C336+SETTINGS!$I$2,"⚠ AT RISK","SAFE")))</f>
        <v/>
      </c>
      <c r="AU336" s="11"/>
      <c r="AW336" s="24" t="n">
        <f aca="false">AW335+IF(AND(C336&lt;&gt;"",AO336&lt;&gt;"",OR('REP COMMISSION'!$B$3="",T336='REP COMMISSION'!$B$3,W336='REP COMMISSION'!$B$3,Z336='REP COMMISSION'!$B$3)),1,0)</f>
        <v>0</v>
      </c>
      <c r="AX336" s="24" t="n">
        <f aca="false">AX335+IF(AND(C336&lt;&gt;"",OR(F336="LOC - INITIAL",F336="CONSOLIDATION - UPFRONT COMM",F336="REVERSE - TOTAL FUNDING")),1,0)</f>
        <v>0</v>
      </c>
    </row>
    <row r="337" customFormat="false" ht="15" hidden="false" customHeight="false" outlineLevel="0" collapsed="false">
      <c r="A337" s="25" t="str">
        <f aca="false">IF(C337&lt;&gt;"","F"&amp;COUNT($C$4:C337),"")</f>
        <v/>
      </c>
      <c r="B337" s="26" t="str">
        <f aca="false">IF(OR(F337="LOC - INITIAL",F337="CONSOLIDATION - UPFRONT COMM",F337="REVERSE - TOTAL FUNDING"),A337,"")</f>
        <v/>
      </c>
      <c r="C337" s="27"/>
      <c r="D337" s="28"/>
      <c r="E337" s="28"/>
      <c r="F337" s="28"/>
      <c r="G337" s="29"/>
      <c r="H337" s="30"/>
      <c r="I337" s="28"/>
      <c r="J337" s="31" t="str">
        <f aca="false">IF(AND(G337&lt;&gt;"",H337&lt;&gt;""),G337*H337,"")</f>
        <v/>
      </c>
      <c r="K337" s="28"/>
      <c r="L337" s="32"/>
      <c r="M337" s="32"/>
      <c r="N337" s="31" t="n">
        <f aca="false">IF(OR(G337="",M337=""),0,IF(M337&gt;100,M337,G337*IF(M337&gt;1,M337/100,M337)))</f>
        <v>0</v>
      </c>
      <c r="O337" s="31" t="str">
        <f aca="false">IF(G337="","",G337*IF(L337="",0,IF(L337&gt;1,L337/100,L337))+N337)</f>
        <v/>
      </c>
      <c r="P337" s="28"/>
      <c r="Q337" s="33" t="str">
        <f aca="false">IF(P337="","",IFERROR(VLOOKUP(P337,PARTNERS!$A$2:$B$30,2,0),""))</f>
        <v/>
      </c>
      <c r="R337" s="17" t="str">
        <f aca="false">IF(O337="","",IF(OR(P337="",Q337=""),0,(O337-N337)*IF(Q337&gt;1,Q337/100,Q337)))</f>
        <v/>
      </c>
      <c r="S337" s="31" t="str">
        <f aca="false">IF(O337="","",O337-R337)</f>
        <v/>
      </c>
      <c r="T337" s="28"/>
      <c r="U337" s="34" t="str">
        <f aca="false">IF(T337="","",IFERROR(VLOOKUP(T337,REPS!$A$2:$D$40,2,0),""))</f>
        <v/>
      </c>
      <c r="V337" s="31" t="str">
        <f aca="false">IF(O337="","",IF(U337="",0,O337*IF(U337&gt;1,U337/100,U337)))</f>
        <v/>
      </c>
      <c r="W337" s="28"/>
      <c r="X337" s="34" t="str">
        <f aca="false">IF(W337="","",IFERROR(VLOOKUP(W337,REPS!$A$2:$D$40,3,0),""))</f>
        <v/>
      </c>
      <c r="Y337" s="31" t="str">
        <f aca="false">IF(O337="","",IF(X337="",0,O337*IF(X337&gt;1,X337/100,X337)))</f>
        <v/>
      </c>
      <c r="Z337" s="28"/>
      <c r="AA337" s="34" t="str">
        <f aca="false">IF(Z337="","",IFERROR(VLOOKUP(Z337,REPS!$A$2:$D$40,4,0),""))</f>
        <v/>
      </c>
      <c r="AB337" s="31" t="str">
        <f aca="false">IF(O337="","",IF(AA337="",0,O337*IF(AA337&gt;1,AA337/100,AA337)))</f>
        <v/>
      </c>
      <c r="AC337" s="31" t="str">
        <f aca="false">IF(O337="","",V337+Y337+AB337)</f>
        <v/>
      </c>
      <c r="AD337" s="19" t="str">
        <f aca="false">IF(O337="","",O337-R337-AC337)</f>
        <v/>
      </c>
      <c r="AE337" s="20"/>
      <c r="AF337" s="27"/>
      <c r="AG337" s="21" t="n">
        <f aca="false">IF(OR(AE337="",AE337=0),0,AE337*IF(U337="",0,IF(U337&gt;1,U337/100,U337)))</f>
        <v>0</v>
      </c>
      <c r="AH337" s="21" t="n">
        <f aca="false">IF(OR(AE337="",AE337=0),0,AE337*IF(X337="",0,IF(X337&gt;1,X337/100,X337)))</f>
        <v>0</v>
      </c>
      <c r="AI337" s="21" t="n">
        <f aca="false">IF(OR(AE337="",AE337=0),0,AE337*IF(AA337="",0,IF(AA337&gt;1,AA337/100,AA337)))</f>
        <v>0</v>
      </c>
      <c r="AJ337" s="21" t="n">
        <f aca="false">AG337+AH337+AI337</f>
        <v>0</v>
      </c>
      <c r="AK337" s="21" t="n">
        <f aca="false">IF(OR(AE337="",AE337=0),0,AE337-AJ337)</f>
        <v>0</v>
      </c>
      <c r="AL337" s="19" t="str">
        <f aca="false">IF(AD337="","",AD337-AK337)</f>
        <v/>
      </c>
      <c r="AM337" s="26" t="str">
        <f aca="false">IF(C337="","","Waiting for payment")</f>
        <v/>
      </c>
      <c r="AN337" s="27"/>
      <c r="AO337" s="27"/>
      <c r="AP337" s="35" t="str">
        <f aca="false">IF(OR(C337="",I337="",K337=""),"",IF(K337="Monthly",EDATE(C337,ROUND(I337*SETTINGS!$I$8,0)),WORKDAY(C337,ROUND(I337*SETTINGS!$I$8,0))))</f>
        <v/>
      </c>
      <c r="AQ337" s="26" t="str">
        <f aca="true">IF(C337="","",IF(AND(AP337&lt;&gt;"",TODAY()&gt;=AP337),"Refi Ready",IF(TODAY()-C337&gt;=SETTINGS!$I$11,"Prospecting","Performing")))</f>
        <v/>
      </c>
      <c r="AR337" s="35" t="str">
        <f aca="false">IF(OR(C337="",I337="",K337=""),"",IF(K337="Monthly",EDATE(C337,I337),WORKDAY(C337,I337)))</f>
        <v/>
      </c>
      <c r="AS337" s="28"/>
      <c r="AT337" s="36" t="str">
        <f aca="true">IF(C337="","",IF(AM337="Clawed Back","CLAWED",IF(TODAY()&lt;=C337+SETTINGS!$I$2,"⚠ AT RISK","SAFE")))</f>
        <v/>
      </c>
      <c r="AU337" s="28"/>
      <c r="AW337" s="24" t="n">
        <f aca="false">AW336+IF(AND(C337&lt;&gt;"",AO337&lt;&gt;"",OR('REP COMMISSION'!$B$3="",T337='REP COMMISSION'!$B$3,W337='REP COMMISSION'!$B$3,Z337='REP COMMISSION'!$B$3)),1,0)</f>
        <v>0</v>
      </c>
      <c r="AX337" s="24" t="n">
        <f aca="false">AX336+IF(AND(C337&lt;&gt;"",OR(F337="LOC - INITIAL",F337="CONSOLIDATION - UPFRONT COMM",F337="REVERSE - TOTAL FUNDING")),1,0)</f>
        <v>0</v>
      </c>
    </row>
    <row r="338" customFormat="false" ht="15" hidden="false" customHeight="false" outlineLevel="0" collapsed="false">
      <c r="A338" s="8" t="str">
        <f aca="false">IF(C338&lt;&gt;"","F"&amp;COUNT($C$4:C338),"")</f>
        <v/>
      </c>
      <c r="B338" s="9" t="str">
        <f aca="false">IF(OR(F338="LOC - INITIAL",F338="CONSOLIDATION - UPFRONT COMM",F338="REVERSE - TOTAL FUNDING"),A338,"")</f>
        <v/>
      </c>
      <c r="C338" s="10"/>
      <c r="D338" s="11"/>
      <c r="E338" s="11"/>
      <c r="F338" s="11"/>
      <c r="G338" s="12"/>
      <c r="H338" s="13"/>
      <c r="I338" s="11"/>
      <c r="J338" s="14" t="str">
        <f aca="false">IF(AND(G338&lt;&gt;"",H338&lt;&gt;""),G338*H338,"")</f>
        <v/>
      </c>
      <c r="K338" s="11"/>
      <c r="L338" s="15"/>
      <c r="M338" s="15"/>
      <c r="N338" s="14" t="n">
        <f aca="false">IF(OR(G338="",M338=""),0,IF(M338&gt;100,M338,G338*IF(M338&gt;1,M338/100,M338)))</f>
        <v>0</v>
      </c>
      <c r="O338" s="14" t="str">
        <f aca="false">IF(G338="","",G338*IF(L338="",0,IF(L338&gt;1,L338/100,L338))+N338)</f>
        <v/>
      </c>
      <c r="P338" s="11"/>
      <c r="Q338" s="16" t="str">
        <f aca="false">IF(P338="","",IFERROR(VLOOKUP(P338,PARTNERS!$A$2:$B$30,2,0),""))</f>
        <v/>
      </c>
      <c r="R338" s="17" t="str">
        <f aca="false">IF(O338="","",IF(OR(P338="",Q338=""),0,(O338-N338)*IF(Q338&gt;1,Q338/100,Q338)))</f>
        <v/>
      </c>
      <c r="S338" s="14" t="str">
        <f aca="false">IF(O338="","",O338-R338)</f>
        <v/>
      </c>
      <c r="T338" s="11"/>
      <c r="U338" s="18" t="str">
        <f aca="false">IF(T338="","",IFERROR(VLOOKUP(T338,REPS!$A$2:$D$40,2,0),""))</f>
        <v/>
      </c>
      <c r="V338" s="14" t="str">
        <f aca="false">IF(O338="","",IF(U338="",0,O338*IF(U338&gt;1,U338/100,U338)))</f>
        <v/>
      </c>
      <c r="W338" s="11"/>
      <c r="X338" s="18" t="str">
        <f aca="false">IF(W338="","",IFERROR(VLOOKUP(W338,REPS!$A$2:$D$40,3,0),""))</f>
        <v/>
      </c>
      <c r="Y338" s="14" t="str">
        <f aca="false">IF(O338="","",IF(X338="",0,O338*IF(X338&gt;1,X338/100,X338)))</f>
        <v/>
      </c>
      <c r="Z338" s="11"/>
      <c r="AA338" s="18" t="str">
        <f aca="false">IF(Z338="","",IFERROR(VLOOKUP(Z338,REPS!$A$2:$D$40,4,0),""))</f>
        <v/>
      </c>
      <c r="AB338" s="14" t="str">
        <f aca="false">IF(O338="","",IF(AA338="",0,O338*IF(AA338&gt;1,AA338/100,AA338)))</f>
        <v/>
      </c>
      <c r="AC338" s="14" t="str">
        <f aca="false">IF(O338="","",V338+Y338+AB338)</f>
        <v/>
      </c>
      <c r="AD338" s="19" t="str">
        <f aca="false">IF(O338="","",O338-R338-AC338)</f>
        <v/>
      </c>
      <c r="AE338" s="20"/>
      <c r="AF338" s="10"/>
      <c r="AG338" s="21" t="n">
        <f aca="false">IF(OR(AE338="",AE338=0),0,AE338*IF(U338="",0,IF(U338&gt;1,U338/100,U338)))</f>
        <v>0</v>
      </c>
      <c r="AH338" s="21" t="n">
        <f aca="false">IF(OR(AE338="",AE338=0),0,AE338*IF(X338="",0,IF(X338&gt;1,X338/100,X338)))</f>
        <v>0</v>
      </c>
      <c r="AI338" s="21" t="n">
        <f aca="false">IF(OR(AE338="",AE338=0),0,AE338*IF(AA338="",0,IF(AA338&gt;1,AA338/100,AA338)))</f>
        <v>0</v>
      </c>
      <c r="AJ338" s="21" t="n">
        <f aca="false">AG338+AH338+AI338</f>
        <v>0</v>
      </c>
      <c r="AK338" s="21" t="n">
        <f aca="false">IF(OR(AE338="",AE338=0),0,AE338-AJ338)</f>
        <v>0</v>
      </c>
      <c r="AL338" s="19" t="str">
        <f aca="false">IF(AD338="","",AD338-AK338)</f>
        <v/>
      </c>
      <c r="AM338" s="9" t="str">
        <f aca="false">IF(C338="","","Waiting for payment")</f>
        <v/>
      </c>
      <c r="AN338" s="10"/>
      <c r="AO338" s="10"/>
      <c r="AP338" s="22" t="str">
        <f aca="false">IF(OR(C338="",I338="",K338=""),"",IF(K338="Monthly",EDATE(C338,ROUND(I338*SETTINGS!$I$8,0)),WORKDAY(C338,ROUND(I338*SETTINGS!$I$8,0))))</f>
        <v/>
      </c>
      <c r="AQ338" s="9" t="str">
        <f aca="true">IF(C338="","",IF(AND(AP338&lt;&gt;"",TODAY()&gt;=AP338),"Refi Ready",IF(TODAY()-C338&gt;=SETTINGS!$I$11,"Prospecting","Performing")))</f>
        <v/>
      </c>
      <c r="AR338" s="22" t="str">
        <f aca="false">IF(OR(C338="",I338="",K338=""),"",IF(K338="Monthly",EDATE(C338,I338),WORKDAY(C338,I338)))</f>
        <v/>
      </c>
      <c r="AS338" s="11"/>
      <c r="AT338" s="23" t="str">
        <f aca="true">IF(C338="","",IF(AM338="Clawed Back","CLAWED",IF(TODAY()&lt;=C338+SETTINGS!$I$2,"⚠ AT RISK","SAFE")))</f>
        <v/>
      </c>
      <c r="AU338" s="11"/>
      <c r="AW338" s="24" t="n">
        <f aca="false">AW337+IF(AND(C338&lt;&gt;"",AO338&lt;&gt;"",OR('REP COMMISSION'!$B$3="",T338='REP COMMISSION'!$B$3,W338='REP COMMISSION'!$B$3,Z338='REP COMMISSION'!$B$3)),1,0)</f>
        <v>0</v>
      </c>
      <c r="AX338" s="24" t="n">
        <f aca="false">AX337+IF(AND(C338&lt;&gt;"",OR(F338="LOC - INITIAL",F338="CONSOLIDATION - UPFRONT COMM",F338="REVERSE - TOTAL FUNDING")),1,0)</f>
        <v>0</v>
      </c>
    </row>
    <row r="339" customFormat="false" ht="15" hidden="false" customHeight="false" outlineLevel="0" collapsed="false">
      <c r="A339" s="25" t="str">
        <f aca="false">IF(C339&lt;&gt;"","F"&amp;COUNT($C$4:C339),"")</f>
        <v/>
      </c>
      <c r="B339" s="26" t="str">
        <f aca="false">IF(OR(F339="LOC - INITIAL",F339="CONSOLIDATION - UPFRONT COMM",F339="REVERSE - TOTAL FUNDING"),A339,"")</f>
        <v/>
      </c>
      <c r="C339" s="27"/>
      <c r="D339" s="28"/>
      <c r="E339" s="28"/>
      <c r="F339" s="28"/>
      <c r="G339" s="29"/>
      <c r="H339" s="30"/>
      <c r="I339" s="28"/>
      <c r="J339" s="31" t="str">
        <f aca="false">IF(AND(G339&lt;&gt;"",H339&lt;&gt;""),G339*H339,"")</f>
        <v/>
      </c>
      <c r="K339" s="28"/>
      <c r="L339" s="32"/>
      <c r="M339" s="32"/>
      <c r="N339" s="31" t="n">
        <f aca="false">IF(OR(G339="",M339=""),0,IF(M339&gt;100,M339,G339*IF(M339&gt;1,M339/100,M339)))</f>
        <v>0</v>
      </c>
      <c r="O339" s="31" t="str">
        <f aca="false">IF(G339="","",G339*IF(L339="",0,IF(L339&gt;1,L339/100,L339))+N339)</f>
        <v/>
      </c>
      <c r="P339" s="28"/>
      <c r="Q339" s="33" t="str">
        <f aca="false">IF(P339="","",IFERROR(VLOOKUP(P339,PARTNERS!$A$2:$B$30,2,0),""))</f>
        <v/>
      </c>
      <c r="R339" s="17" t="str">
        <f aca="false">IF(O339="","",IF(OR(P339="",Q339=""),0,(O339-N339)*IF(Q339&gt;1,Q339/100,Q339)))</f>
        <v/>
      </c>
      <c r="S339" s="31" t="str">
        <f aca="false">IF(O339="","",O339-R339)</f>
        <v/>
      </c>
      <c r="T339" s="28"/>
      <c r="U339" s="34" t="str">
        <f aca="false">IF(T339="","",IFERROR(VLOOKUP(T339,REPS!$A$2:$D$40,2,0),""))</f>
        <v/>
      </c>
      <c r="V339" s="31" t="str">
        <f aca="false">IF(O339="","",IF(U339="",0,O339*IF(U339&gt;1,U339/100,U339)))</f>
        <v/>
      </c>
      <c r="W339" s="28"/>
      <c r="X339" s="34" t="str">
        <f aca="false">IF(W339="","",IFERROR(VLOOKUP(W339,REPS!$A$2:$D$40,3,0),""))</f>
        <v/>
      </c>
      <c r="Y339" s="31" t="str">
        <f aca="false">IF(O339="","",IF(X339="",0,O339*IF(X339&gt;1,X339/100,X339)))</f>
        <v/>
      </c>
      <c r="Z339" s="28"/>
      <c r="AA339" s="34" t="str">
        <f aca="false">IF(Z339="","",IFERROR(VLOOKUP(Z339,REPS!$A$2:$D$40,4,0),""))</f>
        <v/>
      </c>
      <c r="AB339" s="31" t="str">
        <f aca="false">IF(O339="","",IF(AA339="",0,O339*IF(AA339&gt;1,AA339/100,AA339)))</f>
        <v/>
      </c>
      <c r="AC339" s="31" t="str">
        <f aca="false">IF(O339="","",V339+Y339+AB339)</f>
        <v/>
      </c>
      <c r="AD339" s="19" t="str">
        <f aca="false">IF(O339="","",O339-R339-AC339)</f>
        <v/>
      </c>
      <c r="AE339" s="20"/>
      <c r="AF339" s="27"/>
      <c r="AG339" s="21" t="n">
        <f aca="false">IF(OR(AE339="",AE339=0),0,AE339*IF(U339="",0,IF(U339&gt;1,U339/100,U339)))</f>
        <v>0</v>
      </c>
      <c r="AH339" s="21" t="n">
        <f aca="false">IF(OR(AE339="",AE339=0),0,AE339*IF(X339="",0,IF(X339&gt;1,X339/100,X339)))</f>
        <v>0</v>
      </c>
      <c r="AI339" s="21" t="n">
        <f aca="false">IF(OR(AE339="",AE339=0),0,AE339*IF(AA339="",0,IF(AA339&gt;1,AA339/100,AA339)))</f>
        <v>0</v>
      </c>
      <c r="AJ339" s="21" t="n">
        <f aca="false">AG339+AH339+AI339</f>
        <v>0</v>
      </c>
      <c r="AK339" s="21" t="n">
        <f aca="false">IF(OR(AE339="",AE339=0),0,AE339-AJ339)</f>
        <v>0</v>
      </c>
      <c r="AL339" s="19" t="str">
        <f aca="false">IF(AD339="","",AD339-AK339)</f>
        <v/>
      </c>
      <c r="AM339" s="26" t="str">
        <f aca="false">IF(C339="","","Waiting for payment")</f>
        <v/>
      </c>
      <c r="AN339" s="27"/>
      <c r="AO339" s="27"/>
      <c r="AP339" s="35" t="str">
        <f aca="false">IF(OR(C339="",I339="",K339=""),"",IF(K339="Monthly",EDATE(C339,ROUND(I339*SETTINGS!$I$8,0)),WORKDAY(C339,ROUND(I339*SETTINGS!$I$8,0))))</f>
        <v/>
      </c>
      <c r="AQ339" s="26" t="str">
        <f aca="true">IF(C339="","",IF(AND(AP339&lt;&gt;"",TODAY()&gt;=AP339),"Refi Ready",IF(TODAY()-C339&gt;=SETTINGS!$I$11,"Prospecting","Performing")))</f>
        <v/>
      </c>
      <c r="AR339" s="35" t="str">
        <f aca="false">IF(OR(C339="",I339="",K339=""),"",IF(K339="Monthly",EDATE(C339,I339),WORKDAY(C339,I339)))</f>
        <v/>
      </c>
      <c r="AS339" s="28"/>
      <c r="AT339" s="36" t="str">
        <f aca="true">IF(C339="","",IF(AM339="Clawed Back","CLAWED",IF(TODAY()&lt;=C339+SETTINGS!$I$2,"⚠ AT RISK","SAFE")))</f>
        <v/>
      </c>
      <c r="AU339" s="28"/>
      <c r="AW339" s="24" t="n">
        <f aca="false">AW338+IF(AND(C339&lt;&gt;"",AO339&lt;&gt;"",OR('REP COMMISSION'!$B$3="",T339='REP COMMISSION'!$B$3,W339='REP COMMISSION'!$B$3,Z339='REP COMMISSION'!$B$3)),1,0)</f>
        <v>0</v>
      </c>
      <c r="AX339" s="24" t="n">
        <f aca="false">AX338+IF(AND(C339&lt;&gt;"",OR(F339="LOC - INITIAL",F339="CONSOLIDATION - UPFRONT COMM",F339="REVERSE - TOTAL FUNDING")),1,0)</f>
        <v>0</v>
      </c>
    </row>
    <row r="340" customFormat="false" ht="15" hidden="false" customHeight="false" outlineLevel="0" collapsed="false">
      <c r="A340" s="8" t="str">
        <f aca="false">IF(C340&lt;&gt;"","F"&amp;COUNT($C$4:C340),"")</f>
        <v/>
      </c>
      <c r="B340" s="9" t="str">
        <f aca="false">IF(OR(F340="LOC - INITIAL",F340="CONSOLIDATION - UPFRONT COMM",F340="REVERSE - TOTAL FUNDING"),A340,"")</f>
        <v/>
      </c>
      <c r="C340" s="10"/>
      <c r="D340" s="11"/>
      <c r="E340" s="11"/>
      <c r="F340" s="11"/>
      <c r="G340" s="12"/>
      <c r="H340" s="13"/>
      <c r="I340" s="11"/>
      <c r="J340" s="14" t="str">
        <f aca="false">IF(AND(G340&lt;&gt;"",H340&lt;&gt;""),G340*H340,"")</f>
        <v/>
      </c>
      <c r="K340" s="11"/>
      <c r="L340" s="15"/>
      <c r="M340" s="15"/>
      <c r="N340" s="14" t="n">
        <f aca="false">IF(OR(G340="",M340=""),0,IF(M340&gt;100,M340,G340*IF(M340&gt;1,M340/100,M340)))</f>
        <v>0</v>
      </c>
      <c r="O340" s="14" t="str">
        <f aca="false">IF(G340="","",G340*IF(L340="",0,IF(L340&gt;1,L340/100,L340))+N340)</f>
        <v/>
      </c>
      <c r="P340" s="11"/>
      <c r="Q340" s="16" t="str">
        <f aca="false">IF(P340="","",IFERROR(VLOOKUP(P340,PARTNERS!$A$2:$B$30,2,0),""))</f>
        <v/>
      </c>
      <c r="R340" s="17" t="str">
        <f aca="false">IF(O340="","",IF(OR(P340="",Q340=""),0,(O340-N340)*IF(Q340&gt;1,Q340/100,Q340)))</f>
        <v/>
      </c>
      <c r="S340" s="14" t="str">
        <f aca="false">IF(O340="","",O340-R340)</f>
        <v/>
      </c>
      <c r="T340" s="11"/>
      <c r="U340" s="18" t="str">
        <f aca="false">IF(T340="","",IFERROR(VLOOKUP(T340,REPS!$A$2:$D$40,2,0),""))</f>
        <v/>
      </c>
      <c r="V340" s="14" t="str">
        <f aca="false">IF(O340="","",IF(U340="",0,O340*IF(U340&gt;1,U340/100,U340)))</f>
        <v/>
      </c>
      <c r="W340" s="11"/>
      <c r="X340" s="18" t="str">
        <f aca="false">IF(W340="","",IFERROR(VLOOKUP(W340,REPS!$A$2:$D$40,3,0),""))</f>
        <v/>
      </c>
      <c r="Y340" s="14" t="str">
        <f aca="false">IF(O340="","",IF(X340="",0,O340*IF(X340&gt;1,X340/100,X340)))</f>
        <v/>
      </c>
      <c r="Z340" s="11"/>
      <c r="AA340" s="18" t="str">
        <f aca="false">IF(Z340="","",IFERROR(VLOOKUP(Z340,REPS!$A$2:$D$40,4,0),""))</f>
        <v/>
      </c>
      <c r="AB340" s="14" t="str">
        <f aca="false">IF(O340="","",IF(AA340="",0,O340*IF(AA340&gt;1,AA340/100,AA340)))</f>
        <v/>
      </c>
      <c r="AC340" s="14" t="str">
        <f aca="false">IF(O340="","",V340+Y340+AB340)</f>
        <v/>
      </c>
      <c r="AD340" s="19" t="str">
        <f aca="false">IF(O340="","",O340-R340-AC340)</f>
        <v/>
      </c>
      <c r="AE340" s="20"/>
      <c r="AF340" s="10"/>
      <c r="AG340" s="21" t="n">
        <f aca="false">IF(OR(AE340="",AE340=0),0,AE340*IF(U340="",0,IF(U340&gt;1,U340/100,U340)))</f>
        <v>0</v>
      </c>
      <c r="AH340" s="21" t="n">
        <f aca="false">IF(OR(AE340="",AE340=0),0,AE340*IF(X340="",0,IF(X340&gt;1,X340/100,X340)))</f>
        <v>0</v>
      </c>
      <c r="AI340" s="21" t="n">
        <f aca="false">IF(OR(AE340="",AE340=0),0,AE340*IF(AA340="",0,IF(AA340&gt;1,AA340/100,AA340)))</f>
        <v>0</v>
      </c>
      <c r="AJ340" s="21" t="n">
        <f aca="false">AG340+AH340+AI340</f>
        <v>0</v>
      </c>
      <c r="AK340" s="21" t="n">
        <f aca="false">IF(OR(AE340="",AE340=0),0,AE340-AJ340)</f>
        <v>0</v>
      </c>
      <c r="AL340" s="19" t="str">
        <f aca="false">IF(AD340="","",AD340-AK340)</f>
        <v/>
      </c>
      <c r="AM340" s="9" t="str">
        <f aca="false">IF(C340="","","Waiting for payment")</f>
        <v/>
      </c>
      <c r="AN340" s="10"/>
      <c r="AO340" s="10"/>
      <c r="AP340" s="22" t="str">
        <f aca="false">IF(OR(C340="",I340="",K340=""),"",IF(K340="Monthly",EDATE(C340,ROUND(I340*SETTINGS!$I$8,0)),WORKDAY(C340,ROUND(I340*SETTINGS!$I$8,0))))</f>
        <v/>
      </c>
      <c r="AQ340" s="9" t="str">
        <f aca="true">IF(C340="","",IF(AND(AP340&lt;&gt;"",TODAY()&gt;=AP340),"Refi Ready",IF(TODAY()-C340&gt;=SETTINGS!$I$11,"Prospecting","Performing")))</f>
        <v/>
      </c>
      <c r="AR340" s="22" t="str">
        <f aca="false">IF(OR(C340="",I340="",K340=""),"",IF(K340="Monthly",EDATE(C340,I340),WORKDAY(C340,I340)))</f>
        <v/>
      </c>
      <c r="AS340" s="11"/>
      <c r="AT340" s="23" t="str">
        <f aca="true">IF(C340="","",IF(AM340="Clawed Back","CLAWED",IF(TODAY()&lt;=C340+SETTINGS!$I$2,"⚠ AT RISK","SAFE")))</f>
        <v/>
      </c>
      <c r="AU340" s="11"/>
      <c r="AW340" s="24" t="n">
        <f aca="false">AW339+IF(AND(C340&lt;&gt;"",AO340&lt;&gt;"",OR('REP COMMISSION'!$B$3="",T340='REP COMMISSION'!$B$3,W340='REP COMMISSION'!$B$3,Z340='REP COMMISSION'!$B$3)),1,0)</f>
        <v>0</v>
      </c>
      <c r="AX340" s="24" t="n">
        <f aca="false">AX339+IF(AND(C340&lt;&gt;"",OR(F340="LOC - INITIAL",F340="CONSOLIDATION - UPFRONT COMM",F340="REVERSE - TOTAL FUNDING")),1,0)</f>
        <v>0</v>
      </c>
    </row>
    <row r="341" customFormat="false" ht="15" hidden="false" customHeight="false" outlineLevel="0" collapsed="false">
      <c r="A341" s="25" t="str">
        <f aca="false">IF(C341&lt;&gt;"","F"&amp;COUNT($C$4:C341),"")</f>
        <v/>
      </c>
      <c r="B341" s="26" t="str">
        <f aca="false">IF(OR(F341="LOC - INITIAL",F341="CONSOLIDATION - UPFRONT COMM",F341="REVERSE - TOTAL FUNDING"),A341,"")</f>
        <v/>
      </c>
      <c r="C341" s="27"/>
      <c r="D341" s="28"/>
      <c r="E341" s="28"/>
      <c r="F341" s="28"/>
      <c r="G341" s="29"/>
      <c r="H341" s="30"/>
      <c r="I341" s="28"/>
      <c r="J341" s="31" t="str">
        <f aca="false">IF(AND(G341&lt;&gt;"",H341&lt;&gt;""),G341*H341,"")</f>
        <v/>
      </c>
      <c r="K341" s="28"/>
      <c r="L341" s="32"/>
      <c r="M341" s="32"/>
      <c r="N341" s="31" t="n">
        <f aca="false">IF(OR(G341="",M341=""),0,IF(M341&gt;100,M341,G341*IF(M341&gt;1,M341/100,M341)))</f>
        <v>0</v>
      </c>
      <c r="O341" s="31" t="str">
        <f aca="false">IF(G341="","",G341*IF(L341="",0,IF(L341&gt;1,L341/100,L341))+N341)</f>
        <v/>
      </c>
      <c r="P341" s="28"/>
      <c r="Q341" s="33" t="str">
        <f aca="false">IF(P341="","",IFERROR(VLOOKUP(P341,PARTNERS!$A$2:$B$30,2,0),""))</f>
        <v/>
      </c>
      <c r="R341" s="17" t="str">
        <f aca="false">IF(O341="","",IF(OR(P341="",Q341=""),0,(O341-N341)*IF(Q341&gt;1,Q341/100,Q341)))</f>
        <v/>
      </c>
      <c r="S341" s="31" t="str">
        <f aca="false">IF(O341="","",O341-R341)</f>
        <v/>
      </c>
      <c r="T341" s="28"/>
      <c r="U341" s="34" t="str">
        <f aca="false">IF(T341="","",IFERROR(VLOOKUP(T341,REPS!$A$2:$D$40,2,0),""))</f>
        <v/>
      </c>
      <c r="V341" s="31" t="str">
        <f aca="false">IF(O341="","",IF(U341="",0,O341*IF(U341&gt;1,U341/100,U341)))</f>
        <v/>
      </c>
      <c r="W341" s="28"/>
      <c r="X341" s="34" t="str">
        <f aca="false">IF(W341="","",IFERROR(VLOOKUP(W341,REPS!$A$2:$D$40,3,0),""))</f>
        <v/>
      </c>
      <c r="Y341" s="31" t="str">
        <f aca="false">IF(O341="","",IF(X341="",0,O341*IF(X341&gt;1,X341/100,X341)))</f>
        <v/>
      </c>
      <c r="Z341" s="28"/>
      <c r="AA341" s="34" t="str">
        <f aca="false">IF(Z341="","",IFERROR(VLOOKUP(Z341,REPS!$A$2:$D$40,4,0),""))</f>
        <v/>
      </c>
      <c r="AB341" s="31" t="str">
        <f aca="false">IF(O341="","",IF(AA341="",0,O341*IF(AA341&gt;1,AA341/100,AA341)))</f>
        <v/>
      </c>
      <c r="AC341" s="31" t="str">
        <f aca="false">IF(O341="","",V341+Y341+AB341)</f>
        <v/>
      </c>
      <c r="AD341" s="19" t="str">
        <f aca="false">IF(O341="","",O341-R341-AC341)</f>
        <v/>
      </c>
      <c r="AE341" s="20"/>
      <c r="AF341" s="27"/>
      <c r="AG341" s="21" t="n">
        <f aca="false">IF(OR(AE341="",AE341=0),0,AE341*IF(U341="",0,IF(U341&gt;1,U341/100,U341)))</f>
        <v>0</v>
      </c>
      <c r="AH341" s="21" t="n">
        <f aca="false">IF(OR(AE341="",AE341=0),0,AE341*IF(X341="",0,IF(X341&gt;1,X341/100,X341)))</f>
        <v>0</v>
      </c>
      <c r="AI341" s="21" t="n">
        <f aca="false">IF(OR(AE341="",AE341=0),0,AE341*IF(AA341="",0,IF(AA341&gt;1,AA341/100,AA341)))</f>
        <v>0</v>
      </c>
      <c r="AJ341" s="21" t="n">
        <f aca="false">AG341+AH341+AI341</f>
        <v>0</v>
      </c>
      <c r="AK341" s="21" t="n">
        <f aca="false">IF(OR(AE341="",AE341=0),0,AE341-AJ341)</f>
        <v>0</v>
      </c>
      <c r="AL341" s="19" t="str">
        <f aca="false">IF(AD341="","",AD341-AK341)</f>
        <v/>
      </c>
      <c r="AM341" s="26" t="str">
        <f aca="false">IF(C341="","","Waiting for payment")</f>
        <v/>
      </c>
      <c r="AN341" s="27"/>
      <c r="AO341" s="27"/>
      <c r="AP341" s="35" t="str">
        <f aca="false">IF(OR(C341="",I341="",K341=""),"",IF(K341="Monthly",EDATE(C341,ROUND(I341*SETTINGS!$I$8,0)),WORKDAY(C341,ROUND(I341*SETTINGS!$I$8,0))))</f>
        <v/>
      </c>
      <c r="AQ341" s="26" t="str">
        <f aca="true">IF(C341="","",IF(AND(AP341&lt;&gt;"",TODAY()&gt;=AP341),"Refi Ready",IF(TODAY()-C341&gt;=SETTINGS!$I$11,"Prospecting","Performing")))</f>
        <v/>
      </c>
      <c r="AR341" s="35" t="str">
        <f aca="false">IF(OR(C341="",I341="",K341=""),"",IF(K341="Monthly",EDATE(C341,I341),WORKDAY(C341,I341)))</f>
        <v/>
      </c>
      <c r="AS341" s="28"/>
      <c r="AT341" s="36" t="str">
        <f aca="true">IF(C341="","",IF(AM341="Clawed Back","CLAWED",IF(TODAY()&lt;=C341+SETTINGS!$I$2,"⚠ AT RISK","SAFE")))</f>
        <v/>
      </c>
      <c r="AU341" s="28"/>
      <c r="AW341" s="24" t="n">
        <f aca="false">AW340+IF(AND(C341&lt;&gt;"",AO341&lt;&gt;"",OR('REP COMMISSION'!$B$3="",T341='REP COMMISSION'!$B$3,W341='REP COMMISSION'!$B$3,Z341='REP COMMISSION'!$B$3)),1,0)</f>
        <v>0</v>
      </c>
      <c r="AX341" s="24" t="n">
        <f aca="false">AX340+IF(AND(C341&lt;&gt;"",OR(F341="LOC - INITIAL",F341="CONSOLIDATION - UPFRONT COMM",F341="REVERSE - TOTAL FUNDING")),1,0)</f>
        <v>0</v>
      </c>
    </row>
    <row r="342" customFormat="false" ht="15" hidden="false" customHeight="false" outlineLevel="0" collapsed="false">
      <c r="A342" s="8" t="str">
        <f aca="false">IF(C342&lt;&gt;"","F"&amp;COUNT($C$4:C342),"")</f>
        <v/>
      </c>
      <c r="B342" s="9" t="str">
        <f aca="false">IF(OR(F342="LOC - INITIAL",F342="CONSOLIDATION - UPFRONT COMM",F342="REVERSE - TOTAL FUNDING"),A342,"")</f>
        <v/>
      </c>
      <c r="C342" s="10"/>
      <c r="D342" s="11"/>
      <c r="E342" s="11"/>
      <c r="F342" s="11"/>
      <c r="G342" s="12"/>
      <c r="H342" s="13"/>
      <c r="I342" s="11"/>
      <c r="J342" s="14" t="str">
        <f aca="false">IF(AND(G342&lt;&gt;"",H342&lt;&gt;""),G342*H342,"")</f>
        <v/>
      </c>
      <c r="K342" s="11"/>
      <c r="L342" s="15"/>
      <c r="M342" s="15"/>
      <c r="N342" s="14" t="n">
        <f aca="false">IF(OR(G342="",M342=""),0,IF(M342&gt;100,M342,G342*IF(M342&gt;1,M342/100,M342)))</f>
        <v>0</v>
      </c>
      <c r="O342" s="14" t="str">
        <f aca="false">IF(G342="","",G342*IF(L342="",0,IF(L342&gt;1,L342/100,L342))+N342)</f>
        <v/>
      </c>
      <c r="P342" s="11"/>
      <c r="Q342" s="16" t="str">
        <f aca="false">IF(P342="","",IFERROR(VLOOKUP(P342,PARTNERS!$A$2:$B$30,2,0),""))</f>
        <v/>
      </c>
      <c r="R342" s="17" t="str">
        <f aca="false">IF(O342="","",IF(OR(P342="",Q342=""),0,(O342-N342)*IF(Q342&gt;1,Q342/100,Q342)))</f>
        <v/>
      </c>
      <c r="S342" s="14" t="str">
        <f aca="false">IF(O342="","",O342-R342)</f>
        <v/>
      </c>
      <c r="T342" s="11"/>
      <c r="U342" s="18" t="str">
        <f aca="false">IF(T342="","",IFERROR(VLOOKUP(T342,REPS!$A$2:$D$40,2,0),""))</f>
        <v/>
      </c>
      <c r="V342" s="14" t="str">
        <f aca="false">IF(O342="","",IF(U342="",0,O342*IF(U342&gt;1,U342/100,U342)))</f>
        <v/>
      </c>
      <c r="W342" s="11"/>
      <c r="X342" s="18" t="str">
        <f aca="false">IF(W342="","",IFERROR(VLOOKUP(W342,REPS!$A$2:$D$40,3,0),""))</f>
        <v/>
      </c>
      <c r="Y342" s="14" t="str">
        <f aca="false">IF(O342="","",IF(X342="",0,O342*IF(X342&gt;1,X342/100,X342)))</f>
        <v/>
      </c>
      <c r="Z342" s="11"/>
      <c r="AA342" s="18" t="str">
        <f aca="false">IF(Z342="","",IFERROR(VLOOKUP(Z342,REPS!$A$2:$D$40,4,0),""))</f>
        <v/>
      </c>
      <c r="AB342" s="14" t="str">
        <f aca="false">IF(O342="","",IF(AA342="",0,O342*IF(AA342&gt;1,AA342/100,AA342)))</f>
        <v/>
      </c>
      <c r="AC342" s="14" t="str">
        <f aca="false">IF(O342="","",V342+Y342+AB342)</f>
        <v/>
      </c>
      <c r="AD342" s="19" t="str">
        <f aca="false">IF(O342="","",O342-R342-AC342)</f>
        <v/>
      </c>
      <c r="AE342" s="20"/>
      <c r="AF342" s="10"/>
      <c r="AG342" s="21" t="n">
        <f aca="false">IF(OR(AE342="",AE342=0),0,AE342*IF(U342="",0,IF(U342&gt;1,U342/100,U342)))</f>
        <v>0</v>
      </c>
      <c r="AH342" s="21" t="n">
        <f aca="false">IF(OR(AE342="",AE342=0),0,AE342*IF(X342="",0,IF(X342&gt;1,X342/100,X342)))</f>
        <v>0</v>
      </c>
      <c r="AI342" s="21" t="n">
        <f aca="false">IF(OR(AE342="",AE342=0),0,AE342*IF(AA342="",0,IF(AA342&gt;1,AA342/100,AA342)))</f>
        <v>0</v>
      </c>
      <c r="AJ342" s="21" t="n">
        <f aca="false">AG342+AH342+AI342</f>
        <v>0</v>
      </c>
      <c r="AK342" s="21" t="n">
        <f aca="false">IF(OR(AE342="",AE342=0),0,AE342-AJ342)</f>
        <v>0</v>
      </c>
      <c r="AL342" s="19" t="str">
        <f aca="false">IF(AD342="","",AD342-AK342)</f>
        <v/>
      </c>
      <c r="AM342" s="9" t="str">
        <f aca="false">IF(C342="","","Waiting for payment")</f>
        <v/>
      </c>
      <c r="AN342" s="10"/>
      <c r="AO342" s="10"/>
      <c r="AP342" s="22" t="str">
        <f aca="false">IF(OR(C342="",I342="",K342=""),"",IF(K342="Monthly",EDATE(C342,ROUND(I342*SETTINGS!$I$8,0)),WORKDAY(C342,ROUND(I342*SETTINGS!$I$8,0))))</f>
        <v/>
      </c>
      <c r="AQ342" s="9" t="str">
        <f aca="true">IF(C342="","",IF(AND(AP342&lt;&gt;"",TODAY()&gt;=AP342),"Refi Ready",IF(TODAY()-C342&gt;=SETTINGS!$I$11,"Prospecting","Performing")))</f>
        <v/>
      </c>
      <c r="AR342" s="22" t="str">
        <f aca="false">IF(OR(C342="",I342="",K342=""),"",IF(K342="Monthly",EDATE(C342,I342),WORKDAY(C342,I342)))</f>
        <v/>
      </c>
      <c r="AS342" s="11"/>
      <c r="AT342" s="23" t="str">
        <f aca="true">IF(C342="","",IF(AM342="Clawed Back","CLAWED",IF(TODAY()&lt;=C342+SETTINGS!$I$2,"⚠ AT RISK","SAFE")))</f>
        <v/>
      </c>
      <c r="AU342" s="11"/>
      <c r="AW342" s="24" t="n">
        <f aca="false">AW341+IF(AND(C342&lt;&gt;"",AO342&lt;&gt;"",OR('REP COMMISSION'!$B$3="",T342='REP COMMISSION'!$B$3,W342='REP COMMISSION'!$B$3,Z342='REP COMMISSION'!$B$3)),1,0)</f>
        <v>0</v>
      </c>
      <c r="AX342" s="24" t="n">
        <f aca="false">AX341+IF(AND(C342&lt;&gt;"",OR(F342="LOC - INITIAL",F342="CONSOLIDATION - UPFRONT COMM",F342="REVERSE - TOTAL FUNDING")),1,0)</f>
        <v>0</v>
      </c>
    </row>
    <row r="343" customFormat="false" ht="15" hidden="false" customHeight="false" outlineLevel="0" collapsed="false">
      <c r="A343" s="25" t="str">
        <f aca="false">IF(C343&lt;&gt;"","F"&amp;COUNT($C$4:C343),"")</f>
        <v/>
      </c>
      <c r="B343" s="26" t="str">
        <f aca="false">IF(OR(F343="LOC - INITIAL",F343="CONSOLIDATION - UPFRONT COMM",F343="REVERSE - TOTAL FUNDING"),A343,"")</f>
        <v/>
      </c>
      <c r="C343" s="27"/>
      <c r="D343" s="28"/>
      <c r="E343" s="28"/>
      <c r="F343" s="28"/>
      <c r="G343" s="29"/>
      <c r="H343" s="30"/>
      <c r="I343" s="28"/>
      <c r="J343" s="31" t="str">
        <f aca="false">IF(AND(G343&lt;&gt;"",H343&lt;&gt;""),G343*H343,"")</f>
        <v/>
      </c>
      <c r="K343" s="28"/>
      <c r="L343" s="32"/>
      <c r="M343" s="32"/>
      <c r="N343" s="31" t="n">
        <f aca="false">IF(OR(G343="",M343=""),0,IF(M343&gt;100,M343,G343*IF(M343&gt;1,M343/100,M343)))</f>
        <v>0</v>
      </c>
      <c r="O343" s="31" t="str">
        <f aca="false">IF(G343="","",G343*IF(L343="",0,IF(L343&gt;1,L343/100,L343))+N343)</f>
        <v/>
      </c>
      <c r="P343" s="28"/>
      <c r="Q343" s="33" t="str">
        <f aca="false">IF(P343="","",IFERROR(VLOOKUP(P343,PARTNERS!$A$2:$B$30,2,0),""))</f>
        <v/>
      </c>
      <c r="R343" s="17" t="str">
        <f aca="false">IF(O343="","",IF(OR(P343="",Q343=""),0,(O343-N343)*IF(Q343&gt;1,Q343/100,Q343)))</f>
        <v/>
      </c>
      <c r="S343" s="31" t="str">
        <f aca="false">IF(O343="","",O343-R343)</f>
        <v/>
      </c>
      <c r="T343" s="28"/>
      <c r="U343" s="34" t="str">
        <f aca="false">IF(T343="","",IFERROR(VLOOKUP(T343,REPS!$A$2:$D$40,2,0),""))</f>
        <v/>
      </c>
      <c r="V343" s="31" t="str">
        <f aca="false">IF(O343="","",IF(U343="",0,O343*IF(U343&gt;1,U343/100,U343)))</f>
        <v/>
      </c>
      <c r="W343" s="28"/>
      <c r="X343" s="34" t="str">
        <f aca="false">IF(W343="","",IFERROR(VLOOKUP(W343,REPS!$A$2:$D$40,3,0),""))</f>
        <v/>
      </c>
      <c r="Y343" s="31" t="str">
        <f aca="false">IF(O343="","",IF(X343="",0,O343*IF(X343&gt;1,X343/100,X343)))</f>
        <v/>
      </c>
      <c r="Z343" s="28"/>
      <c r="AA343" s="34" t="str">
        <f aca="false">IF(Z343="","",IFERROR(VLOOKUP(Z343,REPS!$A$2:$D$40,4,0),""))</f>
        <v/>
      </c>
      <c r="AB343" s="31" t="str">
        <f aca="false">IF(O343="","",IF(AA343="",0,O343*IF(AA343&gt;1,AA343/100,AA343)))</f>
        <v/>
      </c>
      <c r="AC343" s="31" t="str">
        <f aca="false">IF(O343="","",V343+Y343+AB343)</f>
        <v/>
      </c>
      <c r="AD343" s="19" t="str">
        <f aca="false">IF(O343="","",O343-R343-AC343)</f>
        <v/>
      </c>
      <c r="AE343" s="20"/>
      <c r="AF343" s="27"/>
      <c r="AG343" s="21" t="n">
        <f aca="false">IF(OR(AE343="",AE343=0),0,AE343*IF(U343="",0,IF(U343&gt;1,U343/100,U343)))</f>
        <v>0</v>
      </c>
      <c r="AH343" s="21" t="n">
        <f aca="false">IF(OR(AE343="",AE343=0),0,AE343*IF(X343="",0,IF(X343&gt;1,X343/100,X343)))</f>
        <v>0</v>
      </c>
      <c r="AI343" s="21" t="n">
        <f aca="false">IF(OR(AE343="",AE343=0),0,AE343*IF(AA343="",0,IF(AA343&gt;1,AA343/100,AA343)))</f>
        <v>0</v>
      </c>
      <c r="AJ343" s="21" t="n">
        <f aca="false">AG343+AH343+AI343</f>
        <v>0</v>
      </c>
      <c r="AK343" s="21" t="n">
        <f aca="false">IF(OR(AE343="",AE343=0),0,AE343-AJ343)</f>
        <v>0</v>
      </c>
      <c r="AL343" s="19" t="str">
        <f aca="false">IF(AD343="","",AD343-AK343)</f>
        <v/>
      </c>
      <c r="AM343" s="26" t="str">
        <f aca="false">IF(C343="","","Waiting for payment")</f>
        <v/>
      </c>
      <c r="AN343" s="27"/>
      <c r="AO343" s="27"/>
      <c r="AP343" s="35" t="str">
        <f aca="false">IF(OR(C343="",I343="",K343=""),"",IF(K343="Monthly",EDATE(C343,ROUND(I343*SETTINGS!$I$8,0)),WORKDAY(C343,ROUND(I343*SETTINGS!$I$8,0))))</f>
        <v/>
      </c>
      <c r="AQ343" s="26" t="str">
        <f aca="true">IF(C343="","",IF(AND(AP343&lt;&gt;"",TODAY()&gt;=AP343),"Refi Ready",IF(TODAY()-C343&gt;=SETTINGS!$I$11,"Prospecting","Performing")))</f>
        <v/>
      </c>
      <c r="AR343" s="35" t="str">
        <f aca="false">IF(OR(C343="",I343="",K343=""),"",IF(K343="Monthly",EDATE(C343,I343),WORKDAY(C343,I343)))</f>
        <v/>
      </c>
      <c r="AS343" s="28"/>
      <c r="AT343" s="36" t="str">
        <f aca="true">IF(C343="","",IF(AM343="Clawed Back","CLAWED",IF(TODAY()&lt;=C343+SETTINGS!$I$2,"⚠ AT RISK","SAFE")))</f>
        <v/>
      </c>
      <c r="AU343" s="28"/>
      <c r="AW343" s="24" t="n">
        <f aca="false">AW342+IF(AND(C343&lt;&gt;"",AO343&lt;&gt;"",OR('REP COMMISSION'!$B$3="",T343='REP COMMISSION'!$B$3,W343='REP COMMISSION'!$B$3,Z343='REP COMMISSION'!$B$3)),1,0)</f>
        <v>0</v>
      </c>
      <c r="AX343" s="24" t="n">
        <f aca="false">AX342+IF(AND(C343&lt;&gt;"",OR(F343="LOC - INITIAL",F343="CONSOLIDATION - UPFRONT COMM",F343="REVERSE - TOTAL FUNDING")),1,0)</f>
        <v>0</v>
      </c>
    </row>
    <row r="344" customFormat="false" ht="15" hidden="false" customHeight="false" outlineLevel="0" collapsed="false">
      <c r="A344" s="8" t="str">
        <f aca="false">IF(C344&lt;&gt;"","F"&amp;COUNT($C$4:C344),"")</f>
        <v/>
      </c>
      <c r="B344" s="9" t="str">
        <f aca="false">IF(OR(F344="LOC - INITIAL",F344="CONSOLIDATION - UPFRONT COMM",F344="REVERSE - TOTAL FUNDING"),A344,"")</f>
        <v/>
      </c>
      <c r="C344" s="10"/>
      <c r="D344" s="11"/>
      <c r="E344" s="11"/>
      <c r="F344" s="11"/>
      <c r="G344" s="12"/>
      <c r="H344" s="13"/>
      <c r="I344" s="11"/>
      <c r="J344" s="14" t="str">
        <f aca="false">IF(AND(G344&lt;&gt;"",H344&lt;&gt;""),G344*H344,"")</f>
        <v/>
      </c>
      <c r="K344" s="11"/>
      <c r="L344" s="15"/>
      <c r="M344" s="15"/>
      <c r="N344" s="14" t="n">
        <f aca="false">IF(OR(G344="",M344=""),0,IF(M344&gt;100,M344,G344*IF(M344&gt;1,M344/100,M344)))</f>
        <v>0</v>
      </c>
      <c r="O344" s="14" t="str">
        <f aca="false">IF(G344="","",G344*IF(L344="",0,IF(L344&gt;1,L344/100,L344))+N344)</f>
        <v/>
      </c>
      <c r="P344" s="11"/>
      <c r="Q344" s="16" t="str">
        <f aca="false">IF(P344="","",IFERROR(VLOOKUP(P344,PARTNERS!$A$2:$B$30,2,0),""))</f>
        <v/>
      </c>
      <c r="R344" s="17" t="str">
        <f aca="false">IF(O344="","",IF(OR(P344="",Q344=""),0,(O344-N344)*IF(Q344&gt;1,Q344/100,Q344)))</f>
        <v/>
      </c>
      <c r="S344" s="14" t="str">
        <f aca="false">IF(O344="","",O344-R344)</f>
        <v/>
      </c>
      <c r="T344" s="11"/>
      <c r="U344" s="18" t="str">
        <f aca="false">IF(T344="","",IFERROR(VLOOKUP(T344,REPS!$A$2:$D$40,2,0),""))</f>
        <v/>
      </c>
      <c r="V344" s="14" t="str">
        <f aca="false">IF(O344="","",IF(U344="",0,O344*IF(U344&gt;1,U344/100,U344)))</f>
        <v/>
      </c>
      <c r="W344" s="11"/>
      <c r="X344" s="18" t="str">
        <f aca="false">IF(W344="","",IFERROR(VLOOKUP(W344,REPS!$A$2:$D$40,3,0),""))</f>
        <v/>
      </c>
      <c r="Y344" s="14" t="str">
        <f aca="false">IF(O344="","",IF(X344="",0,O344*IF(X344&gt;1,X344/100,X344)))</f>
        <v/>
      </c>
      <c r="Z344" s="11"/>
      <c r="AA344" s="18" t="str">
        <f aca="false">IF(Z344="","",IFERROR(VLOOKUP(Z344,REPS!$A$2:$D$40,4,0),""))</f>
        <v/>
      </c>
      <c r="AB344" s="14" t="str">
        <f aca="false">IF(O344="","",IF(AA344="",0,O344*IF(AA344&gt;1,AA344/100,AA344)))</f>
        <v/>
      </c>
      <c r="AC344" s="14" t="str">
        <f aca="false">IF(O344="","",V344+Y344+AB344)</f>
        <v/>
      </c>
      <c r="AD344" s="19" t="str">
        <f aca="false">IF(O344="","",O344-R344-AC344)</f>
        <v/>
      </c>
      <c r="AE344" s="20"/>
      <c r="AF344" s="10"/>
      <c r="AG344" s="21" t="n">
        <f aca="false">IF(OR(AE344="",AE344=0),0,AE344*IF(U344="",0,IF(U344&gt;1,U344/100,U344)))</f>
        <v>0</v>
      </c>
      <c r="AH344" s="21" t="n">
        <f aca="false">IF(OR(AE344="",AE344=0),0,AE344*IF(X344="",0,IF(X344&gt;1,X344/100,X344)))</f>
        <v>0</v>
      </c>
      <c r="AI344" s="21" t="n">
        <f aca="false">IF(OR(AE344="",AE344=0),0,AE344*IF(AA344="",0,IF(AA344&gt;1,AA344/100,AA344)))</f>
        <v>0</v>
      </c>
      <c r="AJ344" s="21" t="n">
        <f aca="false">AG344+AH344+AI344</f>
        <v>0</v>
      </c>
      <c r="AK344" s="21" t="n">
        <f aca="false">IF(OR(AE344="",AE344=0),0,AE344-AJ344)</f>
        <v>0</v>
      </c>
      <c r="AL344" s="19" t="str">
        <f aca="false">IF(AD344="","",AD344-AK344)</f>
        <v/>
      </c>
      <c r="AM344" s="9" t="str">
        <f aca="false">IF(C344="","","Waiting for payment")</f>
        <v/>
      </c>
      <c r="AN344" s="10"/>
      <c r="AO344" s="10"/>
      <c r="AP344" s="22" t="str">
        <f aca="false">IF(OR(C344="",I344="",K344=""),"",IF(K344="Monthly",EDATE(C344,ROUND(I344*SETTINGS!$I$8,0)),WORKDAY(C344,ROUND(I344*SETTINGS!$I$8,0))))</f>
        <v/>
      </c>
      <c r="AQ344" s="9" t="str">
        <f aca="true">IF(C344="","",IF(AND(AP344&lt;&gt;"",TODAY()&gt;=AP344),"Refi Ready",IF(TODAY()-C344&gt;=SETTINGS!$I$11,"Prospecting","Performing")))</f>
        <v/>
      </c>
      <c r="AR344" s="22" t="str">
        <f aca="false">IF(OR(C344="",I344="",K344=""),"",IF(K344="Monthly",EDATE(C344,I344),WORKDAY(C344,I344)))</f>
        <v/>
      </c>
      <c r="AS344" s="11"/>
      <c r="AT344" s="23" t="str">
        <f aca="true">IF(C344="","",IF(AM344="Clawed Back","CLAWED",IF(TODAY()&lt;=C344+SETTINGS!$I$2,"⚠ AT RISK","SAFE")))</f>
        <v/>
      </c>
      <c r="AU344" s="11"/>
      <c r="AW344" s="24" t="n">
        <f aca="false">AW343+IF(AND(C344&lt;&gt;"",AO344&lt;&gt;"",OR('REP COMMISSION'!$B$3="",T344='REP COMMISSION'!$B$3,W344='REP COMMISSION'!$B$3,Z344='REP COMMISSION'!$B$3)),1,0)</f>
        <v>0</v>
      </c>
      <c r="AX344" s="24" t="n">
        <f aca="false">AX343+IF(AND(C344&lt;&gt;"",OR(F344="LOC - INITIAL",F344="CONSOLIDATION - UPFRONT COMM",F344="REVERSE - TOTAL FUNDING")),1,0)</f>
        <v>0</v>
      </c>
    </row>
    <row r="345" customFormat="false" ht="15" hidden="false" customHeight="false" outlineLevel="0" collapsed="false">
      <c r="A345" s="25" t="str">
        <f aca="false">IF(C345&lt;&gt;"","F"&amp;COUNT($C$4:C345),"")</f>
        <v/>
      </c>
      <c r="B345" s="26" t="str">
        <f aca="false">IF(OR(F345="LOC - INITIAL",F345="CONSOLIDATION - UPFRONT COMM",F345="REVERSE - TOTAL FUNDING"),A345,"")</f>
        <v/>
      </c>
      <c r="C345" s="27"/>
      <c r="D345" s="28"/>
      <c r="E345" s="28"/>
      <c r="F345" s="28"/>
      <c r="G345" s="29"/>
      <c r="H345" s="30"/>
      <c r="I345" s="28"/>
      <c r="J345" s="31" t="str">
        <f aca="false">IF(AND(G345&lt;&gt;"",H345&lt;&gt;""),G345*H345,"")</f>
        <v/>
      </c>
      <c r="K345" s="28"/>
      <c r="L345" s="32"/>
      <c r="M345" s="32"/>
      <c r="N345" s="31" t="n">
        <f aca="false">IF(OR(G345="",M345=""),0,IF(M345&gt;100,M345,G345*IF(M345&gt;1,M345/100,M345)))</f>
        <v>0</v>
      </c>
      <c r="O345" s="31" t="str">
        <f aca="false">IF(G345="","",G345*IF(L345="",0,IF(L345&gt;1,L345/100,L345))+N345)</f>
        <v/>
      </c>
      <c r="P345" s="28"/>
      <c r="Q345" s="33" t="str">
        <f aca="false">IF(P345="","",IFERROR(VLOOKUP(P345,PARTNERS!$A$2:$B$30,2,0),""))</f>
        <v/>
      </c>
      <c r="R345" s="17" t="str">
        <f aca="false">IF(O345="","",IF(OR(P345="",Q345=""),0,(O345-N345)*IF(Q345&gt;1,Q345/100,Q345)))</f>
        <v/>
      </c>
      <c r="S345" s="31" t="str">
        <f aca="false">IF(O345="","",O345-R345)</f>
        <v/>
      </c>
      <c r="T345" s="28"/>
      <c r="U345" s="34" t="str">
        <f aca="false">IF(T345="","",IFERROR(VLOOKUP(T345,REPS!$A$2:$D$40,2,0),""))</f>
        <v/>
      </c>
      <c r="V345" s="31" t="str">
        <f aca="false">IF(O345="","",IF(U345="",0,O345*IF(U345&gt;1,U345/100,U345)))</f>
        <v/>
      </c>
      <c r="W345" s="28"/>
      <c r="X345" s="34" t="str">
        <f aca="false">IF(W345="","",IFERROR(VLOOKUP(W345,REPS!$A$2:$D$40,3,0),""))</f>
        <v/>
      </c>
      <c r="Y345" s="31" t="str">
        <f aca="false">IF(O345="","",IF(X345="",0,O345*IF(X345&gt;1,X345/100,X345)))</f>
        <v/>
      </c>
      <c r="Z345" s="28"/>
      <c r="AA345" s="34" t="str">
        <f aca="false">IF(Z345="","",IFERROR(VLOOKUP(Z345,REPS!$A$2:$D$40,4,0),""))</f>
        <v/>
      </c>
      <c r="AB345" s="31" t="str">
        <f aca="false">IF(O345="","",IF(AA345="",0,O345*IF(AA345&gt;1,AA345/100,AA345)))</f>
        <v/>
      </c>
      <c r="AC345" s="31" t="str">
        <f aca="false">IF(O345="","",V345+Y345+AB345)</f>
        <v/>
      </c>
      <c r="AD345" s="19" t="str">
        <f aca="false">IF(O345="","",O345-R345-AC345)</f>
        <v/>
      </c>
      <c r="AE345" s="20"/>
      <c r="AF345" s="27"/>
      <c r="AG345" s="21" t="n">
        <f aca="false">IF(OR(AE345="",AE345=0),0,AE345*IF(U345="",0,IF(U345&gt;1,U345/100,U345)))</f>
        <v>0</v>
      </c>
      <c r="AH345" s="21" t="n">
        <f aca="false">IF(OR(AE345="",AE345=0),0,AE345*IF(X345="",0,IF(X345&gt;1,X345/100,X345)))</f>
        <v>0</v>
      </c>
      <c r="AI345" s="21" t="n">
        <f aca="false">IF(OR(AE345="",AE345=0),0,AE345*IF(AA345="",0,IF(AA345&gt;1,AA345/100,AA345)))</f>
        <v>0</v>
      </c>
      <c r="AJ345" s="21" t="n">
        <f aca="false">AG345+AH345+AI345</f>
        <v>0</v>
      </c>
      <c r="AK345" s="21" t="n">
        <f aca="false">IF(OR(AE345="",AE345=0),0,AE345-AJ345)</f>
        <v>0</v>
      </c>
      <c r="AL345" s="19" t="str">
        <f aca="false">IF(AD345="","",AD345-AK345)</f>
        <v/>
      </c>
      <c r="AM345" s="26" t="str">
        <f aca="false">IF(C345="","","Waiting for payment")</f>
        <v/>
      </c>
      <c r="AN345" s="27"/>
      <c r="AO345" s="27"/>
      <c r="AP345" s="35" t="str">
        <f aca="false">IF(OR(C345="",I345="",K345=""),"",IF(K345="Monthly",EDATE(C345,ROUND(I345*SETTINGS!$I$8,0)),WORKDAY(C345,ROUND(I345*SETTINGS!$I$8,0))))</f>
        <v/>
      </c>
      <c r="AQ345" s="26" t="str">
        <f aca="true">IF(C345="","",IF(AND(AP345&lt;&gt;"",TODAY()&gt;=AP345),"Refi Ready",IF(TODAY()-C345&gt;=SETTINGS!$I$11,"Prospecting","Performing")))</f>
        <v/>
      </c>
      <c r="AR345" s="35" t="str">
        <f aca="false">IF(OR(C345="",I345="",K345=""),"",IF(K345="Monthly",EDATE(C345,I345),WORKDAY(C345,I345)))</f>
        <v/>
      </c>
      <c r="AS345" s="28"/>
      <c r="AT345" s="36" t="str">
        <f aca="true">IF(C345="","",IF(AM345="Clawed Back","CLAWED",IF(TODAY()&lt;=C345+SETTINGS!$I$2,"⚠ AT RISK","SAFE")))</f>
        <v/>
      </c>
      <c r="AU345" s="28"/>
      <c r="AW345" s="24" t="n">
        <f aca="false">AW344+IF(AND(C345&lt;&gt;"",AO345&lt;&gt;"",OR('REP COMMISSION'!$B$3="",T345='REP COMMISSION'!$B$3,W345='REP COMMISSION'!$B$3,Z345='REP COMMISSION'!$B$3)),1,0)</f>
        <v>0</v>
      </c>
      <c r="AX345" s="24" t="n">
        <f aca="false">AX344+IF(AND(C345&lt;&gt;"",OR(F345="LOC - INITIAL",F345="CONSOLIDATION - UPFRONT COMM",F345="REVERSE - TOTAL FUNDING")),1,0)</f>
        <v>0</v>
      </c>
    </row>
    <row r="346" customFormat="false" ht="15" hidden="false" customHeight="false" outlineLevel="0" collapsed="false">
      <c r="A346" s="8" t="str">
        <f aca="false">IF(C346&lt;&gt;"","F"&amp;COUNT($C$4:C346),"")</f>
        <v/>
      </c>
      <c r="B346" s="9" t="str">
        <f aca="false">IF(OR(F346="LOC - INITIAL",F346="CONSOLIDATION - UPFRONT COMM",F346="REVERSE - TOTAL FUNDING"),A346,"")</f>
        <v/>
      </c>
      <c r="C346" s="10"/>
      <c r="D346" s="11"/>
      <c r="E346" s="11"/>
      <c r="F346" s="11"/>
      <c r="G346" s="12"/>
      <c r="H346" s="13"/>
      <c r="I346" s="11"/>
      <c r="J346" s="14" t="str">
        <f aca="false">IF(AND(G346&lt;&gt;"",H346&lt;&gt;""),G346*H346,"")</f>
        <v/>
      </c>
      <c r="K346" s="11"/>
      <c r="L346" s="15"/>
      <c r="M346" s="15"/>
      <c r="N346" s="14" t="n">
        <f aca="false">IF(OR(G346="",M346=""),0,IF(M346&gt;100,M346,G346*IF(M346&gt;1,M346/100,M346)))</f>
        <v>0</v>
      </c>
      <c r="O346" s="14" t="str">
        <f aca="false">IF(G346="","",G346*IF(L346="",0,IF(L346&gt;1,L346/100,L346))+N346)</f>
        <v/>
      </c>
      <c r="P346" s="11"/>
      <c r="Q346" s="16" t="str">
        <f aca="false">IF(P346="","",IFERROR(VLOOKUP(P346,PARTNERS!$A$2:$B$30,2,0),""))</f>
        <v/>
      </c>
      <c r="R346" s="17" t="str">
        <f aca="false">IF(O346="","",IF(OR(P346="",Q346=""),0,(O346-N346)*IF(Q346&gt;1,Q346/100,Q346)))</f>
        <v/>
      </c>
      <c r="S346" s="14" t="str">
        <f aca="false">IF(O346="","",O346-R346)</f>
        <v/>
      </c>
      <c r="T346" s="11"/>
      <c r="U346" s="18" t="str">
        <f aca="false">IF(T346="","",IFERROR(VLOOKUP(T346,REPS!$A$2:$D$40,2,0),""))</f>
        <v/>
      </c>
      <c r="V346" s="14" t="str">
        <f aca="false">IF(O346="","",IF(U346="",0,O346*IF(U346&gt;1,U346/100,U346)))</f>
        <v/>
      </c>
      <c r="W346" s="11"/>
      <c r="X346" s="18" t="str">
        <f aca="false">IF(W346="","",IFERROR(VLOOKUP(W346,REPS!$A$2:$D$40,3,0),""))</f>
        <v/>
      </c>
      <c r="Y346" s="14" t="str">
        <f aca="false">IF(O346="","",IF(X346="",0,O346*IF(X346&gt;1,X346/100,X346)))</f>
        <v/>
      </c>
      <c r="Z346" s="11"/>
      <c r="AA346" s="18" t="str">
        <f aca="false">IF(Z346="","",IFERROR(VLOOKUP(Z346,REPS!$A$2:$D$40,4,0),""))</f>
        <v/>
      </c>
      <c r="AB346" s="14" t="str">
        <f aca="false">IF(O346="","",IF(AA346="",0,O346*IF(AA346&gt;1,AA346/100,AA346)))</f>
        <v/>
      </c>
      <c r="AC346" s="14" t="str">
        <f aca="false">IF(O346="","",V346+Y346+AB346)</f>
        <v/>
      </c>
      <c r="AD346" s="19" t="str">
        <f aca="false">IF(O346="","",O346-R346-AC346)</f>
        <v/>
      </c>
      <c r="AE346" s="20"/>
      <c r="AF346" s="10"/>
      <c r="AG346" s="21" t="n">
        <f aca="false">IF(OR(AE346="",AE346=0),0,AE346*IF(U346="",0,IF(U346&gt;1,U346/100,U346)))</f>
        <v>0</v>
      </c>
      <c r="AH346" s="21" t="n">
        <f aca="false">IF(OR(AE346="",AE346=0),0,AE346*IF(X346="",0,IF(X346&gt;1,X346/100,X346)))</f>
        <v>0</v>
      </c>
      <c r="AI346" s="21" t="n">
        <f aca="false">IF(OR(AE346="",AE346=0),0,AE346*IF(AA346="",0,IF(AA346&gt;1,AA346/100,AA346)))</f>
        <v>0</v>
      </c>
      <c r="AJ346" s="21" t="n">
        <f aca="false">AG346+AH346+AI346</f>
        <v>0</v>
      </c>
      <c r="AK346" s="21" t="n">
        <f aca="false">IF(OR(AE346="",AE346=0),0,AE346-AJ346)</f>
        <v>0</v>
      </c>
      <c r="AL346" s="19" t="str">
        <f aca="false">IF(AD346="","",AD346-AK346)</f>
        <v/>
      </c>
      <c r="AM346" s="9" t="str">
        <f aca="false">IF(C346="","","Waiting for payment")</f>
        <v/>
      </c>
      <c r="AN346" s="10"/>
      <c r="AO346" s="10"/>
      <c r="AP346" s="22" t="str">
        <f aca="false">IF(OR(C346="",I346="",K346=""),"",IF(K346="Monthly",EDATE(C346,ROUND(I346*SETTINGS!$I$8,0)),WORKDAY(C346,ROUND(I346*SETTINGS!$I$8,0))))</f>
        <v/>
      </c>
      <c r="AQ346" s="9" t="str">
        <f aca="true">IF(C346="","",IF(AND(AP346&lt;&gt;"",TODAY()&gt;=AP346),"Refi Ready",IF(TODAY()-C346&gt;=SETTINGS!$I$11,"Prospecting","Performing")))</f>
        <v/>
      </c>
      <c r="AR346" s="22" t="str">
        <f aca="false">IF(OR(C346="",I346="",K346=""),"",IF(K346="Monthly",EDATE(C346,I346),WORKDAY(C346,I346)))</f>
        <v/>
      </c>
      <c r="AS346" s="11"/>
      <c r="AT346" s="23" t="str">
        <f aca="true">IF(C346="","",IF(AM346="Clawed Back","CLAWED",IF(TODAY()&lt;=C346+SETTINGS!$I$2,"⚠ AT RISK","SAFE")))</f>
        <v/>
      </c>
      <c r="AU346" s="11"/>
      <c r="AW346" s="24" t="n">
        <f aca="false">AW345+IF(AND(C346&lt;&gt;"",AO346&lt;&gt;"",OR('REP COMMISSION'!$B$3="",T346='REP COMMISSION'!$B$3,W346='REP COMMISSION'!$B$3,Z346='REP COMMISSION'!$B$3)),1,0)</f>
        <v>0</v>
      </c>
      <c r="AX346" s="24" t="n">
        <f aca="false">AX345+IF(AND(C346&lt;&gt;"",OR(F346="LOC - INITIAL",F346="CONSOLIDATION - UPFRONT COMM",F346="REVERSE - TOTAL FUNDING")),1,0)</f>
        <v>0</v>
      </c>
    </row>
    <row r="347" customFormat="false" ht="15" hidden="false" customHeight="false" outlineLevel="0" collapsed="false">
      <c r="A347" s="25" t="str">
        <f aca="false">IF(C347&lt;&gt;"","F"&amp;COUNT($C$4:C347),"")</f>
        <v/>
      </c>
      <c r="B347" s="26" t="str">
        <f aca="false">IF(OR(F347="LOC - INITIAL",F347="CONSOLIDATION - UPFRONT COMM",F347="REVERSE - TOTAL FUNDING"),A347,"")</f>
        <v/>
      </c>
      <c r="C347" s="27"/>
      <c r="D347" s="28"/>
      <c r="E347" s="28"/>
      <c r="F347" s="28"/>
      <c r="G347" s="29"/>
      <c r="H347" s="30"/>
      <c r="I347" s="28"/>
      <c r="J347" s="31" t="str">
        <f aca="false">IF(AND(G347&lt;&gt;"",H347&lt;&gt;""),G347*H347,"")</f>
        <v/>
      </c>
      <c r="K347" s="28"/>
      <c r="L347" s="32"/>
      <c r="M347" s="32"/>
      <c r="N347" s="31" t="n">
        <f aca="false">IF(OR(G347="",M347=""),0,IF(M347&gt;100,M347,G347*IF(M347&gt;1,M347/100,M347)))</f>
        <v>0</v>
      </c>
      <c r="O347" s="31" t="str">
        <f aca="false">IF(G347="","",G347*IF(L347="",0,IF(L347&gt;1,L347/100,L347))+N347)</f>
        <v/>
      </c>
      <c r="P347" s="28"/>
      <c r="Q347" s="33" t="str">
        <f aca="false">IF(P347="","",IFERROR(VLOOKUP(P347,PARTNERS!$A$2:$B$30,2,0),""))</f>
        <v/>
      </c>
      <c r="R347" s="17" t="str">
        <f aca="false">IF(O347="","",IF(OR(P347="",Q347=""),0,(O347-N347)*IF(Q347&gt;1,Q347/100,Q347)))</f>
        <v/>
      </c>
      <c r="S347" s="31" t="str">
        <f aca="false">IF(O347="","",O347-R347)</f>
        <v/>
      </c>
      <c r="T347" s="28"/>
      <c r="U347" s="34" t="str">
        <f aca="false">IF(T347="","",IFERROR(VLOOKUP(T347,REPS!$A$2:$D$40,2,0),""))</f>
        <v/>
      </c>
      <c r="V347" s="31" t="str">
        <f aca="false">IF(O347="","",IF(U347="",0,O347*IF(U347&gt;1,U347/100,U347)))</f>
        <v/>
      </c>
      <c r="W347" s="28"/>
      <c r="X347" s="34" t="str">
        <f aca="false">IF(W347="","",IFERROR(VLOOKUP(W347,REPS!$A$2:$D$40,3,0),""))</f>
        <v/>
      </c>
      <c r="Y347" s="31" t="str">
        <f aca="false">IF(O347="","",IF(X347="",0,O347*IF(X347&gt;1,X347/100,X347)))</f>
        <v/>
      </c>
      <c r="Z347" s="28"/>
      <c r="AA347" s="34" t="str">
        <f aca="false">IF(Z347="","",IFERROR(VLOOKUP(Z347,REPS!$A$2:$D$40,4,0),""))</f>
        <v/>
      </c>
      <c r="AB347" s="31" t="str">
        <f aca="false">IF(O347="","",IF(AA347="",0,O347*IF(AA347&gt;1,AA347/100,AA347)))</f>
        <v/>
      </c>
      <c r="AC347" s="31" t="str">
        <f aca="false">IF(O347="","",V347+Y347+AB347)</f>
        <v/>
      </c>
      <c r="AD347" s="19" t="str">
        <f aca="false">IF(O347="","",O347-R347-AC347)</f>
        <v/>
      </c>
      <c r="AE347" s="20"/>
      <c r="AF347" s="27"/>
      <c r="AG347" s="21" t="n">
        <f aca="false">IF(OR(AE347="",AE347=0),0,AE347*IF(U347="",0,IF(U347&gt;1,U347/100,U347)))</f>
        <v>0</v>
      </c>
      <c r="AH347" s="21" t="n">
        <f aca="false">IF(OR(AE347="",AE347=0),0,AE347*IF(X347="",0,IF(X347&gt;1,X347/100,X347)))</f>
        <v>0</v>
      </c>
      <c r="AI347" s="21" t="n">
        <f aca="false">IF(OR(AE347="",AE347=0),0,AE347*IF(AA347="",0,IF(AA347&gt;1,AA347/100,AA347)))</f>
        <v>0</v>
      </c>
      <c r="AJ347" s="21" t="n">
        <f aca="false">AG347+AH347+AI347</f>
        <v>0</v>
      </c>
      <c r="AK347" s="21" t="n">
        <f aca="false">IF(OR(AE347="",AE347=0),0,AE347-AJ347)</f>
        <v>0</v>
      </c>
      <c r="AL347" s="19" t="str">
        <f aca="false">IF(AD347="","",AD347-AK347)</f>
        <v/>
      </c>
      <c r="AM347" s="26" t="str">
        <f aca="false">IF(C347="","","Waiting for payment")</f>
        <v/>
      </c>
      <c r="AN347" s="27"/>
      <c r="AO347" s="27"/>
      <c r="AP347" s="35" t="str">
        <f aca="false">IF(OR(C347="",I347="",K347=""),"",IF(K347="Monthly",EDATE(C347,ROUND(I347*SETTINGS!$I$8,0)),WORKDAY(C347,ROUND(I347*SETTINGS!$I$8,0))))</f>
        <v/>
      </c>
      <c r="AQ347" s="26" t="str">
        <f aca="true">IF(C347="","",IF(AND(AP347&lt;&gt;"",TODAY()&gt;=AP347),"Refi Ready",IF(TODAY()-C347&gt;=SETTINGS!$I$11,"Prospecting","Performing")))</f>
        <v/>
      </c>
      <c r="AR347" s="35" t="str">
        <f aca="false">IF(OR(C347="",I347="",K347=""),"",IF(K347="Monthly",EDATE(C347,I347),WORKDAY(C347,I347)))</f>
        <v/>
      </c>
      <c r="AS347" s="28"/>
      <c r="AT347" s="36" t="str">
        <f aca="true">IF(C347="","",IF(AM347="Clawed Back","CLAWED",IF(TODAY()&lt;=C347+SETTINGS!$I$2,"⚠ AT RISK","SAFE")))</f>
        <v/>
      </c>
      <c r="AU347" s="28"/>
      <c r="AW347" s="24" t="n">
        <f aca="false">AW346+IF(AND(C347&lt;&gt;"",AO347&lt;&gt;"",OR('REP COMMISSION'!$B$3="",T347='REP COMMISSION'!$B$3,W347='REP COMMISSION'!$B$3,Z347='REP COMMISSION'!$B$3)),1,0)</f>
        <v>0</v>
      </c>
      <c r="AX347" s="24" t="n">
        <f aca="false">AX346+IF(AND(C347&lt;&gt;"",OR(F347="LOC - INITIAL",F347="CONSOLIDATION - UPFRONT COMM",F347="REVERSE - TOTAL FUNDING")),1,0)</f>
        <v>0</v>
      </c>
    </row>
    <row r="348" customFormat="false" ht="15" hidden="false" customHeight="false" outlineLevel="0" collapsed="false">
      <c r="A348" s="8" t="str">
        <f aca="false">IF(C348&lt;&gt;"","F"&amp;COUNT($C$4:C348),"")</f>
        <v/>
      </c>
      <c r="B348" s="9" t="str">
        <f aca="false">IF(OR(F348="LOC - INITIAL",F348="CONSOLIDATION - UPFRONT COMM",F348="REVERSE - TOTAL FUNDING"),A348,"")</f>
        <v/>
      </c>
      <c r="C348" s="10"/>
      <c r="D348" s="11"/>
      <c r="E348" s="11"/>
      <c r="F348" s="11"/>
      <c r="G348" s="12"/>
      <c r="H348" s="13"/>
      <c r="I348" s="11"/>
      <c r="J348" s="14" t="str">
        <f aca="false">IF(AND(G348&lt;&gt;"",H348&lt;&gt;""),G348*H348,"")</f>
        <v/>
      </c>
      <c r="K348" s="11"/>
      <c r="L348" s="15"/>
      <c r="M348" s="15"/>
      <c r="N348" s="14" t="n">
        <f aca="false">IF(OR(G348="",M348=""),0,IF(M348&gt;100,M348,G348*IF(M348&gt;1,M348/100,M348)))</f>
        <v>0</v>
      </c>
      <c r="O348" s="14" t="str">
        <f aca="false">IF(G348="","",G348*IF(L348="",0,IF(L348&gt;1,L348/100,L348))+N348)</f>
        <v/>
      </c>
      <c r="P348" s="11"/>
      <c r="Q348" s="16" t="str">
        <f aca="false">IF(P348="","",IFERROR(VLOOKUP(P348,PARTNERS!$A$2:$B$30,2,0),""))</f>
        <v/>
      </c>
      <c r="R348" s="17" t="str">
        <f aca="false">IF(O348="","",IF(OR(P348="",Q348=""),0,(O348-N348)*IF(Q348&gt;1,Q348/100,Q348)))</f>
        <v/>
      </c>
      <c r="S348" s="14" t="str">
        <f aca="false">IF(O348="","",O348-R348)</f>
        <v/>
      </c>
      <c r="T348" s="11"/>
      <c r="U348" s="18" t="str">
        <f aca="false">IF(T348="","",IFERROR(VLOOKUP(T348,REPS!$A$2:$D$40,2,0),""))</f>
        <v/>
      </c>
      <c r="V348" s="14" t="str">
        <f aca="false">IF(O348="","",IF(U348="",0,O348*IF(U348&gt;1,U348/100,U348)))</f>
        <v/>
      </c>
      <c r="W348" s="11"/>
      <c r="X348" s="18" t="str">
        <f aca="false">IF(W348="","",IFERROR(VLOOKUP(W348,REPS!$A$2:$D$40,3,0),""))</f>
        <v/>
      </c>
      <c r="Y348" s="14" t="str">
        <f aca="false">IF(O348="","",IF(X348="",0,O348*IF(X348&gt;1,X348/100,X348)))</f>
        <v/>
      </c>
      <c r="Z348" s="11"/>
      <c r="AA348" s="18" t="str">
        <f aca="false">IF(Z348="","",IFERROR(VLOOKUP(Z348,REPS!$A$2:$D$40,4,0),""))</f>
        <v/>
      </c>
      <c r="AB348" s="14" t="str">
        <f aca="false">IF(O348="","",IF(AA348="",0,O348*IF(AA348&gt;1,AA348/100,AA348)))</f>
        <v/>
      </c>
      <c r="AC348" s="14" t="str">
        <f aca="false">IF(O348="","",V348+Y348+AB348)</f>
        <v/>
      </c>
      <c r="AD348" s="19" t="str">
        <f aca="false">IF(O348="","",O348-R348-AC348)</f>
        <v/>
      </c>
      <c r="AE348" s="20"/>
      <c r="AF348" s="10"/>
      <c r="AG348" s="21" t="n">
        <f aca="false">IF(OR(AE348="",AE348=0),0,AE348*IF(U348="",0,IF(U348&gt;1,U348/100,U348)))</f>
        <v>0</v>
      </c>
      <c r="AH348" s="21" t="n">
        <f aca="false">IF(OR(AE348="",AE348=0),0,AE348*IF(X348="",0,IF(X348&gt;1,X348/100,X348)))</f>
        <v>0</v>
      </c>
      <c r="AI348" s="21" t="n">
        <f aca="false">IF(OR(AE348="",AE348=0),0,AE348*IF(AA348="",0,IF(AA348&gt;1,AA348/100,AA348)))</f>
        <v>0</v>
      </c>
      <c r="AJ348" s="21" t="n">
        <f aca="false">AG348+AH348+AI348</f>
        <v>0</v>
      </c>
      <c r="AK348" s="21" t="n">
        <f aca="false">IF(OR(AE348="",AE348=0),0,AE348-AJ348)</f>
        <v>0</v>
      </c>
      <c r="AL348" s="19" t="str">
        <f aca="false">IF(AD348="","",AD348-AK348)</f>
        <v/>
      </c>
      <c r="AM348" s="9" t="str">
        <f aca="false">IF(C348="","","Waiting for payment")</f>
        <v/>
      </c>
      <c r="AN348" s="10"/>
      <c r="AO348" s="10"/>
      <c r="AP348" s="22" t="str">
        <f aca="false">IF(OR(C348="",I348="",K348=""),"",IF(K348="Monthly",EDATE(C348,ROUND(I348*SETTINGS!$I$8,0)),WORKDAY(C348,ROUND(I348*SETTINGS!$I$8,0))))</f>
        <v/>
      </c>
      <c r="AQ348" s="9" t="str">
        <f aca="true">IF(C348="","",IF(AND(AP348&lt;&gt;"",TODAY()&gt;=AP348),"Refi Ready",IF(TODAY()-C348&gt;=SETTINGS!$I$11,"Prospecting","Performing")))</f>
        <v/>
      </c>
      <c r="AR348" s="22" t="str">
        <f aca="false">IF(OR(C348="",I348="",K348=""),"",IF(K348="Monthly",EDATE(C348,I348),WORKDAY(C348,I348)))</f>
        <v/>
      </c>
      <c r="AS348" s="11"/>
      <c r="AT348" s="23" t="str">
        <f aca="true">IF(C348="","",IF(AM348="Clawed Back","CLAWED",IF(TODAY()&lt;=C348+SETTINGS!$I$2,"⚠ AT RISK","SAFE")))</f>
        <v/>
      </c>
      <c r="AU348" s="11"/>
      <c r="AW348" s="24" t="n">
        <f aca="false">AW347+IF(AND(C348&lt;&gt;"",AO348&lt;&gt;"",OR('REP COMMISSION'!$B$3="",T348='REP COMMISSION'!$B$3,W348='REP COMMISSION'!$B$3,Z348='REP COMMISSION'!$B$3)),1,0)</f>
        <v>0</v>
      </c>
      <c r="AX348" s="24" t="n">
        <f aca="false">AX347+IF(AND(C348&lt;&gt;"",OR(F348="LOC - INITIAL",F348="CONSOLIDATION - UPFRONT COMM",F348="REVERSE - TOTAL FUNDING")),1,0)</f>
        <v>0</v>
      </c>
    </row>
    <row r="349" customFormat="false" ht="15" hidden="false" customHeight="false" outlineLevel="0" collapsed="false">
      <c r="A349" s="25" t="str">
        <f aca="false">IF(C349&lt;&gt;"","F"&amp;COUNT($C$4:C349),"")</f>
        <v/>
      </c>
      <c r="B349" s="26" t="str">
        <f aca="false">IF(OR(F349="LOC - INITIAL",F349="CONSOLIDATION - UPFRONT COMM",F349="REVERSE - TOTAL FUNDING"),A349,"")</f>
        <v/>
      </c>
      <c r="C349" s="27"/>
      <c r="D349" s="28"/>
      <c r="E349" s="28"/>
      <c r="F349" s="28"/>
      <c r="G349" s="29"/>
      <c r="H349" s="30"/>
      <c r="I349" s="28"/>
      <c r="J349" s="31" t="str">
        <f aca="false">IF(AND(G349&lt;&gt;"",H349&lt;&gt;""),G349*H349,"")</f>
        <v/>
      </c>
      <c r="K349" s="28"/>
      <c r="L349" s="32"/>
      <c r="M349" s="32"/>
      <c r="N349" s="31" t="n">
        <f aca="false">IF(OR(G349="",M349=""),0,IF(M349&gt;100,M349,G349*IF(M349&gt;1,M349/100,M349)))</f>
        <v>0</v>
      </c>
      <c r="O349" s="31" t="str">
        <f aca="false">IF(G349="","",G349*IF(L349="",0,IF(L349&gt;1,L349/100,L349))+N349)</f>
        <v/>
      </c>
      <c r="P349" s="28"/>
      <c r="Q349" s="33" t="str">
        <f aca="false">IF(P349="","",IFERROR(VLOOKUP(P349,PARTNERS!$A$2:$B$30,2,0),""))</f>
        <v/>
      </c>
      <c r="R349" s="17" t="str">
        <f aca="false">IF(O349="","",IF(OR(P349="",Q349=""),0,(O349-N349)*IF(Q349&gt;1,Q349/100,Q349)))</f>
        <v/>
      </c>
      <c r="S349" s="31" t="str">
        <f aca="false">IF(O349="","",O349-R349)</f>
        <v/>
      </c>
      <c r="T349" s="28"/>
      <c r="U349" s="34" t="str">
        <f aca="false">IF(T349="","",IFERROR(VLOOKUP(T349,REPS!$A$2:$D$40,2,0),""))</f>
        <v/>
      </c>
      <c r="V349" s="31" t="str">
        <f aca="false">IF(O349="","",IF(U349="",0,O349*IF(U349&gt;1,U349/100,U349)))</f>
        <v/>
      </c>
      <c r="W349" s="28"/>
      <c r="X349" s="34" t="str">
        <f aca="false">IF(W349="","",IFERROR(VLOOKUP(W349,REPS!$A$2:$D$40,3,0),""))</f>
        <v/>
      </c>
      <c r="Y349" s="31" t="str">
        <f aca="false">IF(O349="","",IF(X349="",0,O349*IF(X349&gt;1,X349/100,X349)))</f>
        <v/>
      </c>
      <c r="Z349" s="28"/>
      <c r="AA349" s="34" t="str">
        <f aca="false">IF(Z349="","",IFERROR(VLOOKUP(Z349,REPS!$A$2:$D$40,4,0),""))</f>
        <v/>
      </c>
      <c r="AB349" s="31" t="str">
        <f aca="false">IF(O349="","",IF(AA349="",0,O349*IF(AA349&gt;1,AA349/100,AA349)))</f>
        <v/>
      </c>
      <c r="AC349" s="31" t="str">
        <f aca="false">IF(O349="","",V349+Y349+AB349)</f>
        <v/>
      </c>
      <c r="AD349" s="19" t="str">
        <f aca="false">IF(O349="","",O349-R349-AC349)</f>
        <v/>
      </c>
      <c r="AE349" s="20"/>
      <c r="AF349" s="27"/>
      <c r="AG349" s="21" t="n">
        <f aca="false">IF(OR(AE349="",AE349=0),0,AE349*IF(U349="",0,IF(U349&gt;1,U349/100,U349)))</f>
        <v>0</v>
      </c>
      <c r="AH349" s="21" t="n">
        <f aca="false">IF(OR(AE349="",AE349=0),0,AE349*IF(X349="",0,IF(X349&gt;1,X349/100,X349)))</f>
        <v>0</v>
      </c>
      <c r="AI349" s="21" t="n">
        <f aca="false">IF(OR(AE349="",AE349=0),0,AE349*IF(AA349="",0,IF(AA349&gt;1,AA349/100,AA349)))</f>
        <v>0</v>
      </c>
      <c r="AJ349" s="21" t="n">
        <f aca="false">AG349+AH349+AI349</f>
        <v>0</v>
      </c>
      <c r="AK349" s="21" t="n">
        <f aca="false">IF(OR(AE349="",AE349=0),0,AE349-AJ349)</f>
        <v>0</v>
      </c>
      <c r="AL349" s="19" t="str">
        <f aca="false">IF(AD349="","",AD349-AK349)</f>
        <v/>
      </c>
      <c r="AM349" s="26" t="str">
        <f aca="false">IF(C349="","","Waiting for payment")</f>
        <v/>
      </c>
      <c r="AN349" s="27"/>
      <c r="AO349" s="27"/>
      <c r="AP349" s="35" t="str">
        <f aca="false">IF(OR(C349="",I349="",K349=""),"",IF(K349="Monthly",EDATE(C349,ROUND(I349*SETTINGS!$I$8,0)),WORKDAY(C349,ROUND(I349*SETTINGS!$I$8,0))))</f>
        <v/>
      </c>
      <c r="AQ349" s="26" t="str">
        <f aca="true">IF(C349="","",IF(AND(AP349&lt;&gt;"",TODAY()&gt;=AP349),"Refi Ready",IF(TODAY()-C349&gt;=SETTINGS!$I$11,"Prospecting","Performing")))</f>
        <v/>
      </c>
      <c r="AR349" s="35" t="str">
        <f aca="false">IF(OR(C349="",I349="",K349=""),"",IF(K349="Monthly",EDATE(C349,I349),WORKDAY(C349,I349)))</f>
        <v/>
      </c>
      <c r="AS349" s="28"/>
      <c r="AT349" s="36" t="str">
        <f aca="true">IF(C349="","",IF(AM349="Clawed Back","CLAWED",IF(TODAY()&lt;=C349+SETTINGS!$I$2,"⚠ AT RISK","SAFE")))</f>
        <v/>
      </c>
      <c r="AU349" s="28"/>
      <c r="AW349" s="24" t="n">
        <f aca="false">AW348+IF(AND(C349&lt;&gt;"",AO349&lt;&gt;"",OR('REP COMMISSION'!$B$3="",T349='REP COMMISSION'!$B$3,W349='REP COMMISSION'!$B$3,Z349='REP COMMISSION'!$B$3)),1,0)</f>
        <v>0</v>
      </c>
      <c r="AX349" s="24" t="n">
        <f aca="false">AX348+IF(AND(C349&lt;&gt;"",OR(F349="LOC - INITIAL",F349="CONSOLIDATION - UPFRONT COMM",F349="REVERSE - TOTAL FUNDING")),1,0)</f>
        <v>0</v>
      </c>
    </row>
    <row r="350" customFormat="false" ht="15" hidden="false" customHeight="false" outlineLevel="0" collapsed="false">
      <c r="A350" s="8" t="str">
        <f aca="false">IF(C350&lt;&gt;"","F"&amp;COUNT($C$4:C350),"")</f>
        <v/>
      </c>
      <c r="B350" s="9" t="str">
        <f aca="false">IF(OR(F350="LOC - INITIAL",F350="CONSOLIDATION - UPFRONT COMM",F350="REVERSE - TOTAL FUNDING"),A350,"")</f>
        <v/>
      </c>
      <c r="C350" s="10"/>
      <c r="D350" s="11"/>
      <c r="E350" s="11"/>
      <c r="F350" s="11"/>
      <c r="G350" s="12"/>
      <c r="H350" s="13"/>
      <c r="I350" s="11"/>
      <c r="J350" s="14" t="str">
        <f aca="false">IF(AND(G350&lt;&gt;"",H350&lt;&gt;""),G350*H350,"")</f>
        <v/>
      </c>
      <c r="K350" s="11"/>
      <c r="L350" s="15"/>
      <c r="M350" s="15"/>
      <c r="N350" s="14" t="n">
        <f aca="false">IF(OR(G350="",M350=""),0,IF(M350&gt;100,M350,G350*IF(M350&gt;1,M350/100,M350)))</f>
        <v>0</v>
      </c>
      <c r="O350" s="14" t="str">
        <f aca="false">IF(G350="","",G350*IF(L350="",0,IF(L350&gt;1,L350/100,L350))+N350)</f>
        <v/>
      </c>
      <c r="P350" s="11"/>
      <c r="Q350" s="16" t="str">
        <f aca="false">IF(P350="","",IFERROR(VLOOKUP(P350,PARTNERS!$A$2:$B$30,2,0),""))</f>
        <v/>
      </c>
      <c r="R350" s="17" t="str">
        <f aca="false">IF(O350="","",IF(OR(P350="",Q350=""),0,(O350-N350)*IF(Q350&gt;1,Q350/100,Q350)))</f>
        <v/>
      </c>
      <c r="S350" s="14" t="str">
        <f aca="false">IF(O350="","",O350-R350)</f>
        <v/>
      </c>
      <c r="T350" s="11"/>
      <c r="U350" s="18" t="str">
        <f aca="false">IF(T350="","",IFERROR(VLOOKUP(T350,REPS!$A$2:$D$40,2,0),""))</f>
        <v/>
      </c>
      <c r="V350" s="14" t="str">
        <f aca="false">IF(O350="","",IF(U350="",0,O350*IF(U350&gt;1,U350/100,U350)))</f>
        <v/>
      </c>
      <c r="W350" s="11"/>
      <c r="X350" s="18" t="str">
        <f aca="false">IF(W350="","",IFERROR(VLOOKUP(W350,REPS!$A$2:$D$40,3,0),""))</f>
        <v/>
      </c>
      <c r="Y350" s="14" t="str">
        <f aca="false">IF(O350="","",IF(X350="",0,O350*IF(X350&gt;1,X350/100,X350)))</f>
        <v/>
      </c>
      <c r="Z350" s="11"/>
      <c r="AA350" s="18" t="str">
        <f aca="false">IF(Z350="","",IFERROR(VLOOKUP(Z350,REPS!$A$2:$D$40,4,0),""))</f>
        <v/>
      </c>
      <c r="AB350" s="14" t="str">
        <f aca="false">IF(O350="","",IF(AA350="",0,O350*IF(AA350&gt;1,AA350/100,AA350)))</f>
        <v/>
      </c>
      <c r="AC350" s="14" t="str">
        <f aca="false">IF(O350="","",V350+Y350+AB350)</f>
        <v/>
      </c>
      <c r="AD350" s="19" t="str">
        <f aca="false">IF(O350="","",O350-R350-AC350)</f>
        <v/>
      </c>
      <c r="AE350" s="20"/>
      <c r="AF350" s="10"/>
      <c r="AG350" s="21" t="n">
        <f aca="false">IF(OR(AE350="",AE350=0),0,AE350*IF(U350="",0,IF(U350&gt;1,U350/100,U350)))</f>
        <v>0</v>
      </c>
      <c r="AH350" s="21" t="n">
        <f aca="false">IF(OR(AE350="",AE350=0),0,AE350*IF(X350="",0,IF(X350&gt;1,X350/100,X350)))</f>
        <v>0</v>
      </c>
      <c r="AI350" s="21" t="n">
        <f aca="false">IF(OR(AE350="",AE350=0),0,AE350*IF(AA350="",0,IF(AA350&gt;1,AA350/100,AA350)))</f>
        <v>0</v>
      </c>
      <c r="AJ350" s="21" t="n">
        <f aca="false">AG350+AH350+AI350</f>
        <v>0</v>
      </c>
      <c r="AK350" s="21" t="n">
        <f aca="false">IF(OR(AE350="",AE350=0),0,AE350-AJ350)</f>
        <v>0</v>
      </c>
      <c r="AL350" s="19" t="str">
        <f aca="false">IF(AD350="","",AD350-AK350)</f>
        <v/>
      </c>
      <c r="AM350" s="9" t="str">
        <f aca="false">IF(C350="","","Waiting for payment")</f>
        <v/>
      </c>
      <c r="AN350" s="10"/>
      <c r="AO350" s="10"/>
      <c r="AP350" s="22" t="str">
        <f aca="false">IF(OR(C350="",I350="",K350=""),"",IF(K350="Monthly",EDATE(C350,ROUND(I350*SETTINGS!$I$8,0)),WORKDAY(C350,ROUND(I350*SETTINGS!$I$8,0))))</f>
        <v/>
      </c>
      <c r="AQ350" s="9" t="str">
        <f aca="true">IF(C350="","",IF(AND(AP350&lt;&gt;"",TODAY()&gt;=AP350),"Refi Ready",IF(TODAY()-C350&gt;=SETTINGS!$I$11,"Prospecting","Performing")))</f>
        <v/>
      </c>
      <c r="AR350" s="22" t="str">
        <f aca="false">IF(OR(C350="",I350="",K350=""),"",IF(K350="Monthly",EDATE(C350,I350),WORKDAY(C350,I350)))</f>
        <v/>
      </c>
      <c r="AS350" s="11"/>
      <c r="AT350" s="23" t="str">
        <f aca="true">IF(C350="","",IF(AM350="Clawed Back","CLAWED",IF(TODAY()&lt;=C350+SETTINGS!$I$2,"⚠ AT RISK","SAFE")))</f>
        <v/>
      </c>
      <c r="AU350" s="11"/>
      <c r="AW350" s="24" t="n">
        <f aca="false">AW349+IF(AND(C350&lt;&gt;"",AO350&lt;&gt;"",OR('REP COMMISSION'!$B$3="",T350='REP COMMISSION'!$B$3,W350='REP COMMISSION'!$B$3,Z350='REP COMMISSION'!$B$3)),1,0)</f>
        <v>0</v>
      </c>
      <c r="AX350" s="24" t="n">
        <f aca="false">AX349+IF(AND(C350&lt;&gt;"",OR(F350="LOC - INITIAL",F350="CONSOLIDATION - UPFRONT COMM",F350="REVERSE - TOTAL FUNDING")),1,0)</f>
        <v>0</v>
      </c>
    </row>
    <row r="351" customFormat="false" ht="15" hidden="false" customHeight="false" outlineLevel="0" collapsed="false">
      <c r="A351" s="25" t="str">
        <f aca="false">IF(C351&lt;&gt;"","F"&amp;COUNT($C$4:C351),"")</f>
        <v/>
      </c>
      <c r="B351" s="26" t="str">
        <f aca="false">IF(OR(F351="LOC - INITIAL",F351="CONSOLIDATION - UPFRONT COMM",F351="REVERSE - TOTAL FUNDING"),A351,"")</f>
        <v/>
      </c>
      <c r="C351" s="27"/>
      <c r="D351" s="28"/>
      <c r="E351" s="28"/>
      <c r="F351" s="28"/>
      <c r="G351" s="29"/>
      <c r="H351" s="30"/>
      <c r="I351" s="28"/>
      <c r="J351" s="31" t="str">
        <f aca="false">IF(AND(G351&lt;&gt;"",H351&lt;&gt;""),G351*H351,"")</f>
        <v/>
      </c>
      <c r="K351" s="28"/>
      <c r="L351" s="32"/>
      <c r="M351" s="32"/>
      <c r="N351" s="31" t="n">
        <f aca="false">IF(OR(G351="",M351=""),0,IF(M351&gt;100,M351,G351*IF(M351&gt;1,M351/100,M351)))</f>
        <v>0</v>
      </c>
      <c r="O351" s="31" t="str">
        <f aca="false">IF(G351="","",G351*IF(L351="",0,IF(L351&gt;1,L351/100,L351))+N351)</f>
        <v/>
      </c>
      <c r="P351" s="28"/>
      <c r="Q351" s="33" t="str">
        <f aca="false">IF(P351="","",IFERROR(VLOOKUP(P351,PARTNERS!$A$2:$B$30,2,0),""))</f>
        <v/>
      </c>
      <c r="R351" s="17" t="str">
        <f aca="false">IF(O351="","",IF(OR(P351="",Q351=""),0,(O351-N351)*IF(Q351&gt;1,Q351/100,Q351)))</f>
        <v/>
      </c>
      <c r="S351" s="31" t="str">
        <f aca="false">IF(O351="","",O351-R351)</f>
        <v/>
      </c>
      <c r="T351" s="28"/>
      <c r="U351" s="34" t="str">
        <f aca="false">IF(T351="","",IFERROR(VLOOKUP(T351,REPS!$A$2:$D$40,2,0),""))</f>
        <v/>
      </c>
      <c r="V351" s="31" t="str">
        <f aca="false">IF(O351="","",IF(U351="",0,O351*IF(U351&gt;1,U351/100,U351)))</f>
        <v/>
      </c>
      <c r="W351" s="28"/>
      <c r="X351" s="34" t="str">
        <f aca="false">IF(W351="","",IFERROR(VLOOKUP(W351,REPS!$A$2:$D$40,3,0),""))</f>
        <v/>
      </c>
      <c r="Y351" s="31" t="str">
        <f aca="false">IF(O351="","",IF(X351="",0,O351*IF(X351&gt;1,X351/100,X351)))</f>
        <v/>
      </c>
      <c r="Z351" s="28"/>
      <c r="AA351" s="34" t="str">
        <f aca="false">IF(Z351="","",IFERROR(VLOOKUP(Z351,REPS!$A$2:$D$40,4,0),""))</f>
        <v/>
      </c>
      <c r="AB351" s="31" t="str">
        <f aca="false">IF(O351="","",IF(AA351="",0,O351*IF(AA351&gt;1,AA351/100,AA351)))</f>
        <v/>
      </c>
      <c r="AC351" s="31" t="str">
        <f aca="false">IF(O351="","",V351+Y351+AB351)</f>
        <v/>
      </c>
      <c r="AD351" s="19" t="str">
        <f aca="false">IF(O351="","",O351-R351-AC351)</f>
        <v/>
      </c>
      <c r="AE351" s="20"/>
      <c r="AF351" s="27"/>
      <c r="AG351" s="21" t="n">
        <f aca="false">IF(OR(AE351="",AE351=0),0,AE351*IF(U351="",0,IF(U351&gt;1,U351/100,U351)))</f>
        <v>0</v>
      </c>
      <c r="AH351" s="21" t="n">
        <f aca="false">IF(OR(AE351="",AE351=0),0,AE351*IF(X351="",0,IF(X351&gt;1,X351/100,X351)))</f>
        <v>0</v>
      </c>
      <c r="AI351" s="21" t="n">
        <f aca="false">IF(OR(AE351="",AE351=0),0,AE351*IF(AA351="",0,IF(AA351&gt;1,AA351/100,AA351)))</f>
        <v>0</v>
      </c>
      <c r="AJ351" s="21" t="n">
        <f aca="false">AG351+AH351+AI351</f>
        <v>0</v>
      </c>
      <c r="AK351" s="21" t="n">
        <f aca="false">IF(OR(AE351="",AE351=0),0,AE351-AJ351)</f>
        <v>0</v>
      </c>
      <c r="AL351" s="19" t="str">
        <f aca="false">IF(AD351="","",AD351-AK351)</f>
        <v/>
      </c>
      <c r="AM351" s="26" t="str">
        <f aca="false">IF(C351="","","Waiting for payment")</f>
        <v/>
      </c>
      <c r="AN351" s="27"/>
      <c r="AO351" s="27"/>
      <c r="AP351" s="35" t="str">
        <f aca="false">IF(OR(C351="",I351="",K351=""),"",IF(K351="Monthly",EDATE(C351,ROUND(I351*SETTINGS!$I$8,0)),WORKDAY(C351,ROUND(I351*SETTINGS!$I$8,0))))</f>
        <v/>
      </c>
      <c r="AQ351" s="26" t="str">
        <f aca="true">IF(C351="","",IF(AND(AP351&lt;&gt;"",TODAY()&gt;=AP351),"Refi Ready",IF(TODAY()-C351&gt;=SETTINGS!$I$11,"Prospecting","Performing")))</f>
        <v/>
      </c>
      <c r="AR351" s="35" t="str">
        <f aca="false">IF(OR(C351="",I351="",K351=""),"",IF(K351="Monthly",EDATE(C351,I351),WORKDAY(C351,I351)))</f>
        <v/>
      </c>
      <c r="AS351" s="28"/>
      <c r="AT351" s="36" t="str">
        <f aca="true">IF(C351="","",IF(AM351="Clawed Back","CLAWED",IF(TODAY()&lt;=C351+SETTINGS!$I$2,"⚠ AT RISK","SAFE")))</f>
        <v/>
      </c>
      <c r="AU351" s="28"/>
      <c r="AW351" s="24" t="n">
        <f aca="false">AW350+IF(AND(C351&lt;&gt;"",AO351&lt;&gt;"",OR('REP COMMISSION'!$B$3="",T351='REP COMMISSION'!$B$3,W351='REP COMMISSION'!$B$3,Z351='REP COMMISSION'!$B$3)),1,0)</f>
        <v>0</v>
      </c>
      <c r="AX351" s="24" t="n">
        <f aca="false">AX350+IF(AND(C351&lt;&gt;"",OR(F351="LOC - INITIAL",F351="CONSOLIDATION - UPFRONT COMM",F351="REVERSE - TOTAL FUNDING")),1,0)</f>
        <v>0</v>
      </c>
    </row>
    <row r="352" customFormat="false" ht="15" hidden="false" customHeight="false" outlineLevel="0" collapsed="false">
      <c r="A352" s="8" t="str">
        <f aca="false">IF(C352&lt;&gt;"","F"&amp;COUNT($C$4:C352),"")</f>
        <v/>
      </c>
      <c r="B352" s="9" t="str">
        <f aca="false">IF(OR(F352="LOC - INITIAL",F352="CONSOLIDATION - UPFRONT COMM",F352="REVERSE - TOTAL FUNDING"),A352,"")</f>
        <v/>
      </c>
      <c r="C352" s="10"/>
      <c r="D352" s="11"/>
      <c r="E352" s="11"/>
      <c r="F352" s="11"/>
      <c r="G352" s="12"/>
      <c r="H352" s="13"/>
      <c r="I352" s="11"/>
      <c r="J352" s="14" t="str">
        <f aca="false">IF(AND(G352&lt;&gt;"",H352&lt;&gt;""),G352*H352,"")</f>
        <v/>
      </c>
      <c r="K352" s="11"/>
      <c r="L352" s="15"/>
      <c r="M352" s="15"/>
      <c r="N352" s="14" t="n">
        <f aca="false">IF(OR(G352="",M352=""),0,IF(M352&gt;100,M352,G352*IF(M352&gt;1,M352/100,M352)))</f>
        <v>0</v>
      </c>
      <c r="O352" s="14" t="str">
        <f aca="false">IF(G352="","",G352*IF(L352="",0,IF(L352&gt;1,L352/100,L352))+N352)</f>
        <v/>
      </c>
      <c r="P352" s="11"/>
      <c r="Q352" s="16" t="str">
        <f aca="false">IF(P352="","",IFERROR(VLOOKUP(P352,PARTNERS!$A$2:$B$30,2,0),""))</f>
        <v/>
      </c>
      <c r="R352" s="17" t="str">
        <f aca="false">IF(O352="","",IF(OR(P352="",Q352=""),0,(O352-N352)*IF(Q352&gt;1,Q352/100,Q352)))</f>
        <v/>
      </c>
      <c r="S352" s="14" t="str">
        <f aca="false">IF(O352="","",O352-R352)</f>
        <v/>
      </c>
      <c r="T352" s="11"/>
      <c r="U352" s="18" t="str">
        <f aca="false">IF(T352="","",IFERROR(VLOOKUP(T352,REPS!$A$2:$D$40,2,0),""))</f>
        <v/>
      </c>
      <c r="V352" s="14" t="str">
        <f aca="false">IF(O352="","",IF(U352="",0,O352*IF(U352&gt;1,U352/100,U352)))</f>
        <v/>
      </c>
      <c r="W352" s="11"/>
      <c r="X352" s="18" t="str">
        <f aca="false">IF(W352="","",IFERROR(VLOOKUP(W352,REPS!$A$2:$D$40,3,0),""))</f>
        <v/>
      </c>
      <c r="Y352" s="14" t="str">
        <f aca="false">IF(O352="","",IF(X352="",0,O352*IF(X352&gt;1,X352/100,X352)))</f>
        <v/>
      </c>
      <c r="Z352" s="11"/>
      <c r="AA352" s="18" t="str">
        <f aca="false">IF(Z352="","",IFERROR(VLOOKUP(Z352,REPS!$A$2:$D$40,4,0),""))</f>
        <v/>
      </c>
      <c r="AB352" s="14" t="str">
        <f aca="false">IF(O352="","",IF(AA352="",0,O352*IF(AA352&gt;1,AA352/100,AA352)))</f>
        <v/>
      </c>
      <c r="AC352" s="14" t="str">
        <f aca="false">IF(O352="","",V352+Y352+AB352)</f>
        <v/>
      </c>
      <c r="AD352" s="19" t="str">
        <f aca="false">IF(O352="","",O352-R352-AC352)</f>
        <v/>
      </c>
      <c r="AE352" s="20"/>
      <c r="AF352" s="10"/>
      <c r="AG352" s="21" t="n">
        <f aca="false">IF(OR(AE352="",AE352=0),0,AE352*IF(U352="",0,IF(U352&gt;1,U352/100,U352)))</f>
        <v>0</v>
      </c>
      <c r="AH352" s="21" t="n">
        <f aca="false">IF(OR(AE352="",AE352=0),0,AE352*IF(X352="",0,IF(X352&gt;1,X352/100,X352)))</f>
        <v>0</v>
      </c>
      <c r="AI352" s="21" t="n">
        <f aca="false">IF(OR(AE352="",AE352=0),0,AE352*IF(AA352="",0,IF(AA352&gt;1,AA352/100,AA352)))</f>
        <v>0</v>
      </c>
      <c r="AJ352" s="21" t="n">
        <f aca="false">AG352+AH352+AI352</f>
        <v>0</v>
      </c>
      <c r="AK352" s="21" t="n">
        <f aca="false">IF(OR(AE352="",AE352=0),0,AE352-AJ352)</f>
        <v>0</v>
      </c>
      <c r="AL352" s="19" t="str">
        <f aca="false">IF(AD352="","",AD352-AK352)</f>
        <v/>
      </c>
      <c r="AM352" s="9" t="str">
        <f aca="false">IF(C352="","","Waiting for payment")</f>
        <v/>
      </c>
      <c r="AN352" s="10"/>
      <c r="AO352" s="10"/>
      <c r="AP352" s="22" t="str">
        <f aca="false">IF(OR(C352="",I352="",K352=""),"",IF(K352="Monthly",EDATE(C352,ROUND(I352*SETTINGS!$I$8,0)),WORKDAY(C352,ROUND(I352*SETTINGS!$I$8,0))))</f>
        <v/>
      </c>
      <c r="AQ352" s="9" t="str">
        <f aca="true">IF(C352="","",IF(AND(AP352&lt;&gt;"",TODAY()&gt;=AP352),"Refi Ready",IF(TODAY()-C352&gt;=SETTINGS!$I$11,"Prospecting","Performing")))</f>
        <v/>
      </c>
      <c r="AR352" s="22" t="str">
        <f aca="false">IF(OR(C352="",I352="",K352=""),"",IF(K352="Monthly",EDATE(C352,I352),WORKDAY(C352,I352)))</f>
        <v/>
      </c>
      <c r="AS352" s="11"/>
      <c r="AT352" s="23" t="str">
        <f aca="true">IF(C352="","",IF(AM352="Clawed Back","CLAWED",IF(TODAY()&lt;=C352+SETTINGS!$I$2,"⚠ AT RISK","SAFE")))</f>
        <v/>
      </c>
      <c r="AU352" s="11"/>
      <c r="AW352" s="24" t="n">
        <f aca="false">AW351+IF(AND(C352&lt;&gt;"",AO352&lt;&gt;"",OR('REP COMMISSION'!$B$3="",T352='REP COMMISSION'!$B$3,W352='REP COMMISSION'!$B$3,Z352='REP COMMISSION'!$B$3)),1,0)</f>
        <v>0</v>
      </c>
      <c r="AX352" s="24" t="n">
        <f aca="false">AX351+IF(AND(C352&lt;&gt;"",OR(F352="LOC - INITIAL",F352="CONSOLIDATION - UPFRONT COMM",F352="REVERSE - TOTAL FUNDING")),1,0)</f>
        <v>0</v>
      </c>
    </row>
    <row r="353" customFormat="false" ht="15" hidden="false" customHeight="false" outlineLevel="0" collapsed="false">
      <c r="A353" s="25" t="str">
        <f aca="false">IF(C353&lt;&gt;"","F"&amp;COUNT($C$4:C353),"")</f>
        <v/>
      </c>
      <c r="B353" s="26" t="str">
        <f aca="false">IF(OR(F353="LOC - INITIAL",F353="CONSOLIDATION - UPFRONT COMM",F353="REVERSE - TOTAL FUNDING"),A353,"")</f>
        <v/>
      </c>
      <c r="C353" s="27"/>
      <c r="D353" s="28"/>
      <c r="E353" s="28"/>
      <c r="F353" s="28"/>
      <c r="G353" s="29"/>
      <c r="H353" s="30"/>
      <c r="I353" s="28"/>
      <c r="J353" s="31" t="str">
        <f aca="false">IF(AND(G353&lt;&gt;"",H353&lt;&gt;""),G353*H353,"")</f>
        <v/>
      </c>
      <c r="K353" s="28"/>
      <c r="L353" s="32"/>
      <c r="M353" s="32"/>
      <c r="N353" s="31" t="n">
        <f aca="false">IF(OR(G353="",M353=""),0,IF(M353&gt;100,M353,G353*IF(M353&gt;1,M353/100,M353)))</f>
        <v>0</v>
      </c>
      <c r="O353" s="31" t="str">
        <f aca="false">IF(G353="","",G353*IF(L353="",0,IF(L353&gt;1,L353/100,L353))+N353)</f>
        <v/>
      </c>
      <c r="P353" s="28"/>
      <c r="Q353" s="33" t="str">
        <f aca="false">IF(P353="","",IFERROR(VLOOKUP(P353,PARTNERS!$A$2:$B$30,2,0),""))</f>
        <v/>
      </c>
      <c r="R353" s="17" t="str">
        <f aca="false">IF(O353="","",IF(OR(P353="",Q353=""),0,(O353-N353)*IF(Q353&gt;1,Q353/100,Q353)))</f>
        <v/>
      </c>
      <c r="S353" s="31" t="str">
        <f aca="false">IF(O353="","",O353-R353)</f>
        <v/>
      </c>
      <c r="T353" s="28"/>
      <c r="U353" s="34" t="str">
        <f aca="false">IF(T353="","",IFERROR(VLOOKUP(T353,REPS!$A$2:$D$40,2,0),""))</f>
        <v/>
      </c>
      <c r="V353" s="31" t="str">
        <f aca="false">IF(O353="","",IF(U353="",0,O353*IF(U353&gt;1,U353/100,U353)))</f>
        <v/>
      </c>
      <c r="W353" s="28"/>
      <c r="X353" s="34" t="str">
        <f aca="false">IF(W353="","",IFERROR(VLOOKUP(W353,REPS!$A$2:$D$40,3,0),""))</f>
        <v/>
      </c>
      <c r="Y353" s="31" t="str">
        <f aca="false">IF(O353="","",IF(X353="",0,O353*IF(X353&gt;1,X353/100,X353)))</f>
        <v/>
      </c>
      <c r="Z353" s="28"/>
      <c r="AA353" s="34" t="str">
        <f aca="false">IF(Z353="","",IFERROR(VLOOKUP(Z353,REPS!$A$2:$D$40,4,0),""))</f>
        <v/>
      </c>
      <c r="AB353" s="31" t="str">
        <f aca="false">IF(O353="","",IF(AA353="",0,O353*IF(AA353&gt;1,AA353/100,AA353)))</f>
        <v/>
      </c>
      <c r="AC353" s="31" t="str">
        <f aca="false">IF(O353="","",V353+Y353+AB353)</f>
        <v/>
      </c>
      <c r="AD353" s="19" t="str">
        <f aca="false">IF(O353="","",O353-R353-AC353)</f>
        <v/>
      </c>
      <c r="AE353" s="20"/>
      <c r="AF353" s="27"/>
      <c r="AG353" s="21" t="n">
        <f aca="false">IF(OR(AE353="",AE353=0),0,AE353*IF(U353="",0,IF(U353&gt;1,U353/100,U353)))</f>
        <v>0</v>
      </c>
      <c r="AH353" s="21" t="n">
        <f aca="false">IF(OR(AE353="",AE353=0),0,AE353*IF(X353="",0,IF(X353&gt;1,X353/100,X353)))</f>
        <v>0</v>
      </c>
      <c r="AI353" s="21" t="n">
        <f aca="false">IF(OR(AE353="",AE353=0),0,AE353*IF(AA353="",0,IF(AA353&gt;1,AA353/100,AA353)))</f>
        <v>0</v>
      </c>
      <c r="AJ353" s="21" t="n">
        <f aca="false">AG353+AH353+AI353</f>
        <v>0</v>
      </c>
      <c r="AK353" s="21" t="n">
        <f aca="false">IF(OR(AE353="",AE353=0),0,AE353-AJ353)</f>
        <v>0</v>
      </c>
      <c r="AL353" s="19" t="str">
        <f aca="false">IF(AD353="","",AD353-AK353)</f>
        <v/>
      </c>
      <c r="AM353" s="26" t="str">
        <f aca="false">IF(C353="","","Waiting for payment")</f>
        <v/>
      </c>
      <c r="AN353" s="27"/>
      <c r="AO353" s="27"/>
      <c r="AP353" s="35" t="str">
        <f aca="false">IF(OR(C353="",I353="",K353=""),"",IF(K353="Monthly",EDATE(C353,ROUND(I353*SETTINGS!$I$8,0)),WORKDAY(C353,ROUND(I353*SETTINGS!$I$8,0))))</f>
        <v/>
      </c>
      <c r="AQ353" s="26" t="str">
        <f aca="true">IF(C353="","",IF(AND(AP353&lt;&gt;"",TODAY()&gt;=AP353),"Refi Ready",IF(TODAY()-C353&gt;=SETTINGS!$I$11,"Prospecting","Performing")))</f>
        <v/>
      </c>
      <c r="AR353" s="35" t="str">
        <f aca="false">IF(OR(C353="",I353="",K353=""),"",IF(K353="Monthly",EDATE(C353,I353),WORKDAY(C353,I353)))</f>
        <v/>
      </c>
      <c r="AS353" s="28"/>
      <c r="AT353" s="36" t="str">
        <f aca="true">IF(C353="","",IF(AM353="Clawed Back","CLAWED",IF(TODAY()&lt;=C353+SETTINGS!$I$2,"⚠ AT RISK","SAFE")))</f>
        <v/>
      </c>
      <c r="AU353" s="28"/>
      <c r="AW353" s="24" t="n">
        <f aca="false">AW352+IF(AND(C353&lt;&gt;"",AO353&lt;&gt;"",OR('REP COMMISSION'!$B$3="",T353='REP COMMISSION'!$B$3,W353='REP COMMISSION'!$B$3,Z353='REP COMMISSION'!$B$3)),1,0)</f>
        <v>0</v>
      </c>
      <c r="AX353" s="24" t="n">
        <f aca="false">AX352+IF(AND(C353&lt;&gt;"",OR(F353="LOC - INITIAL",F353="CONSOLIDATION - UPFRONT COMM",F353="REVERSE - TOTAL FUNDING")),1,0)</f>
        <v>0</v>
      </c>
    </row>
    <row r="354" customFormat="false" ht="15" hidden="false" customHeight="false" outlineLevel="0" collapsed="false">
      <c r="A354" s="8" t="str">
        <f aca="false">IF(C354&lt;&gt;"","F"&amp;COUNT($C$4:C354),"")</f>
        <v/>
      </c>
      <c r="B354" s="9" t="str">
        <f aca="false">IF(OR(F354="LOC - INITIAL",F354="CONSOLIDATION - UPFRONT COMM",F354="REVERSE - TOTAL FUNDING"),A354,"")</f>
        <v/>
      </c>
      <c r="C354" s="10"/>
      <c r="D354" s="11"/>
      <c r="E354" s="11"/>
      <c r="F354" s="11"/>
      <c r="G354" s="12"/>
      <c r="H354" s="13"/>
      <c r="I354" s="11"/>
      <c r="J354" s="14" t="str">
        <f aca="false">IF(AND(G354&lt;&gt;"",H354&lt;&gt;""),G354*H354,"")</f>
        <v/>
      </c>
      <c r="K354" s="11"/>
      <c r="L354" s="15"/>
      <c r="M354" s="15"/>
      <c r="N354" s="14" t="n">
        <f aca="false">IF(OR(G354="",M354=""),0,IF(M354&gt;100,M354,G354*IF(M354&gt;1,M354/100,M354)))</f>
        <v>0</v>
      </c>
      <c r="O354" s="14" t="str">
        <f aca="false">IF(G354="","",G354*IF(L354="",0,IF(L354&gt;1,L354/100,L354))+N354)</f>
        <v/>
      </c>
      <c r="P354" s="11"/>
      <c r="Q354" s="16" t="str">
        <f aca="false">IF(P354="","",IFERROR(VLOOKUP(P354,PARTNERS!$A$2:$B$30,2,0),""))</f>
        <v/>
      </c>
      <c r="R354" s="17" t="str">
        <f aca="false">IF(O354="","",IF(OR(P354="",Q354=""),0,(O354-N354)*IF(Q354&gt;1,Q354/100,Q354)))</f>
        <v/>
      </c>
      <c r="S354" s="14" t="str">
        <f aca="false">IF(O354="","",O354-R354)</f>
        <v/>
      </c>
      <c r="T354" s="11"/>
      <c r="U354" s="18" t="str">
        <f aca="false">IF(T354="","",IFERROR(VLOOKUP(T354,REPS!$A$2:$D$40,2,0),""))</f>
        <v/>
      </c>
      <c r="V354" s="14" t="str">
        <f aca="false">IF(O354="","",IF(U354="",0,O354*IF(U354&gt;1,U354/100,U354)))</f>
        <v/>
      </c>
      <c r="W354" s="11"/>
      <c r="X354" s="18" t="str">
        <f aca="false">IF(W354="","",IFERROR(VLOOKUP(W354,REPS!$A$2:$D$40,3,0),""))</f>
        <v/>
      </c>
      <c r="Y354" s="14" t="str">
        <f aca="false">IF(O354="","",IF(X354="",0,O354*IF(X354&gt;1,X354/100,X354)))</f>
        <v/>
      </c>
      <c r="Z354" s="11"/>
      <c r="AA354" s="18" t="str">
        <f aca="false">IF(Z354="","",IFERROR(VLOOKUP(Z354,REPS!$A$2:$D$40,4,0),""))</f>
        <v/>
      </c>
      <c r="AB354" s="14" t="str">
        <f aca="false">IF(O354="","",IF(AA354="",0,O354*IF(AA354&gt;1,AA354/100,AA354)))</f>
        <v/>
      </c>
      <c r="AC354" s="14" t="str">
        <f aca="false">IF(O354="","",V354+Y354+AB354)</f>
        <v/>
      </c>
      <c r="AD354" s="19" t="str">
        <f aca="false">IF(O354="","",O354-R354-AC354)</f>
        <v/>
      </c>
      <c r="AE354" s="20"/>
      <c r="AF354" s="10"/>
      <c r="AG354" s="21" t="n">
        <f aca="false">IF(OR(AE354="",AE354=0),0,AE354*IF(U354="",0,IF(U354&gt;1,U354/100,U354)))</f>
        <v>0</v>
      </c>
      <c r="AH354" s="21" t="n">
        <f aca="false">IF(OR(AE354="",AE354=0),0,AE354*IF(X354="",0,IF(X354&gt;1,X354/100,X354)))</f>
        <v>0</v>
      </c>
      <c r="AI354" s="21" t="n">
        <f aca="false">IF(OR(AE354="",AE354=0),0,AE354*IF(AA354="",0,IF(AA354&gt;1,AA354/100,AA354)))</f>
        <v>0</v>
      </c>
      <c r="AJ354" s="21" t="n">
        <f aca="false">AG354+AH354+AI354</f>
        <v>0</v>
      </c>
      <c r="AK354" s="21" t="n">
        <f aca="false">IF(OR(AE354="",AE354=0),0,AE354-AJ354)</f>
        <v>0</v>
      </c>
      <c r="AL354" s="19" t="str">
        <f aca="false">IF(AD354="","",AD354-AK354)</f>
        <v/>
      </c>
      <c r="AM354" s="9" t="str">
        <f aca="false">IF(C354="","","Waiting for payment")</f>
        <v/>
      </c>
      <c r="AN354" s="10"/>
      <c r="AO354" s="10"/>
      <c r="AP354" s="22" t="str">
        <f aca="false">IF(OR(C354="",I354="",K354=""),"",IF(K354="Monthly",EDATE(C354,ROUND(I354*SETTINGS!$I$8,0)),WORKDAY(C354,ROUND(I354*SETTINGS!$I$8,0))))</f>
        <v/>
      </c>
      <c r="AQ354" s="9" t="str">
        <f aca="true">IF(C354="","",IF(AND(AP354&lt;&gt;"",TODAY()&gt;=AP354),"Refi Ready",IF(TODAY()-C354&gt;=SETTINGS!$I$11,"Prospecting","Performing")))</f>
        <v/>
      </c>
      <c r="AR354" s="22" t="str">
        <f aca="false">IF(OR(C354="",I354="",K354=""),"",IF(K354="Monthly",EDATE(C354,I354),WORKDAY(C354,I354)))</f>
        <v/>
      </c>
      <c r="AS354" s="11"/>
      <c r="AT354" s="23" t="str">
        <f aca="true">IF(C354="","",IF(AM354="Clawed Back","CLAWED",IF(TODAY()&lt;=C354+SETTINGS!$I$2,"⚠ AT RISK","SAFE")))</f>
        <v/>
      </c>
      <c r="AU354" s="11"/>
      <c r="AW354" s="24" t="n">
        <f aca="false">AW353+IF(AND(C354&lt;&gt;"",AO354&lt;&gt;"",OR('REP COMMISSION'!$B$3="",T354='REP COMMISSION'!$B$3,W354='REP COMMISSION'!$B$3,Z354='REP COMMISSION'!$B$3)),1,0)</f>
        <v>0</v>
      </c>
      <c r="AX354" s="24" t="n">
        <f aca="false">AX353+IF(AND(C354&lt;&gt;"",OR(F354="LOC - INITIAL",F354="CONSOLIDATION - UPFRONT COMM",F354="REVERSE - TOTAL FUNDING")),1,0)</f>
        <v>0</v>
      </c>
    </row>
    <row r="355" customFormat="false" ht="15" hidden="false" customHeight="false" outlineLevel="0" collapsed="false">
      <c r="A355" s="25" t="str">
        <f aca="false">IF(C355&lt;&gt;"","F"&amp;COUNT($C$4:C355),"")</f>
        <v/>
      </c>
      <c r="B355" s="26" t="str">
        <f aca="false">IF(OR(F355="LOC - INITIAL",F355="CONSOLIDATION - UPFRONT COMM",F355="REVERSE - TOTAL FUNDING"),A355,"")</f>
        <v/>
      </c>
      <c r="C355" s="27"/>
      <c r="D355" s="28"/>
      <c r="E355" s="28"/>
      <c r="F355" s="28"/>
      <c r="G355" s="29"/>
      <c r="H355" s="30"/>
      <c r="I355" s="28"/>
      <c r="J355" s="31" t="str">
        <f aca="false">IF(AND(G355&lt;&gt;"",H355&lt;&gt;""),G355*H355,"")</f>
        <v/>
      </c>
      <c r="K355" s="28"/>
      <c r="L355" s="32"/>
      <c r="M355" s="32"/>
      <c r="N355" s="31" t="n">
        <f aca="false">IF(OR(G355="",M355=""),0,IF(M355&gt;100,M355,G355*IF(M355&gt;1,M355/100,M355)))</f>
        <v>0</v>
      </c>
      <c r="O355" s="31" t="str">
        <f aca="false">IF(G355="","",G355*IF(L355="",0,IF(L355&gt;1,L355/100,L355))+N355)</f>
        <v/>
      </c>
      <c r="P355" s="28"/>
      <c r="Q355" s="33" t="str">
        <f aca="false">IF(P355="","",IFERROR(VLOOKUP(P355,PARTNERS!$A$2:$B$30,2,0),""))</f>
        <v/>
      </c>
      <c r="R355" s="17" t="str">
        <f aca="false">IF(O355="","",IF(OR(P355="",Q355=""),0,(O355-N355)*IF(Q355&gt;1,Q355/100,Q355)))</f>
        <v/>
      </c>
      <c r="S355" s="31" t="str">
        <f aca="false">IF(O355="","",O355-R355)</f>
        <v/>
      </c>
      <c r="T355" s="28"/>
      <c r="U355" s="34" t="str">
        <f aca="false">IF(T355="","",IFERROR(VLOOKUP(T355,REPS!$A$2:$D$40,2,0),""))</f>
        <v/>
      </c>
      <c r="V355" s="31" t="str">
        <f aca="false">IF(O355="","",IF(U355="",0,O355*IF(U355&gt;1,U355/100,U355)))</f>
        <v/>
      </c>
      <c r="W355" s="28"/>
      <c r="X355" s="34" t="str">
        <f aca="false">IF(W355="","",IFERROR(VLOOKUP(W355,REPS!$A$2:$D$40,3,0),""))</f>
        <v/>
      </c>
      <c r="Y355" s="31" t="str">
        <f aca="false">IF(O355="","",IF(X355="",0,O355*IF(X355&gt;1,X355/100,X355)))</f>
        <v/>
      </c>
      <c r="Z355" s="28"/>
      <c r="AA355" s="34" t="str">
        <f aca="false">IF(Z355="","",IFERROR(VLOOKUP(Z355,REPS!$A$2:$D$40,4,0),""))</f>
        <v/>
      </c>
      <c r="AB355" s="31" t="str">
        <f aca="false">IF(O355="","",IF(AA355="",0,O355*IF(AA355&gt;1,AA355/100,AA355)))</f>
        <v/>
      </c>
      <c r="AC355" s="31" t="str">
        <f aca="false">IF(O355="","",V355+Y355+AB355)</f>
        <v/>
      </c>
      <c r="AD355" s="19" t="str">
        <f aca="false">IF(O355="","",O355-R355-AC355)</f>
        <v/>
      </c>
      <c r="AE355" s="20"/>
      <c r="AF355" s="27"/>
      <c r="AG355" s="21" t="n">
        <f aca="false">IF(OR(AE355="",AE355=0),0,AE355*IF(U355="",0,IF(U355&gt;1,U355/100,U355)))</f>
        <v>0</v>
      </c>
      <c r="AH355" s="21" t="n">
        <f aca="false">IF(OR(AE355="",AE355=0),0,AE355*IF(X355="",0,IF(X355&gt;1,X355/100,X355)))</f>
        <v>0</v>
      </c>
      <c r="AI355" s="21" t="n">
        <f aca="false">IF(OR(AE355="",AE355=0),0,AE355*IF(AA355="",0,IF(AA355&gt;1,AA355/100,AA355)))</f>
        <v>0</v>
      </c>
      <c r="AJ355" s="21" t="n">
        <f aca="false">AG355+AH355+AI355</f>
        <v>0</v>
      </c>
      <c r="AK355" s="21" t="n">
        <f aca="false">IF(OR(AE355="",AE355=0),0,AE355-AJ355)</f>
        <v>0</v>
      </c>
      <c r="AL355" s="19" t="str">
        <f aca="false">IF(AD355="","",AD355-AK355)</f>
        <v/>
      </c>
      <c r="AM355" s="26" t="str">
        <f aca="false">IF(C355="","","Waiting for payment")</f>
        <v/>
      </c>
      <c r="AN355" s="27"/>
      <c r="AO355" s="27"/>
      <c r="AP355" s="35" t="str">
        <f aca="false">IF(OR(C355="",I355="",K355=""),"",IF(K355="Monthly",EDATE(C355,ROUND(I355*SETTINGS!$I$8,0)),WORKDAY(C355,ROUND(I355*SETTINGS!$I$8,0))))</f>
        <v/>
      </c>
      <c r="AQ355" s="26" t="str">
        <f aca="true">IF(C355="","",IF(AND(AP355&lt;&gt;"",TODAY()&gt;=AP355),"Refi Ready",IF(TODAY()-C355&gt;=SETTINGS!$I$11,"Prospecting","Performing")))</f>
        <v/>
      </c>
      <c r="AR355" s="35" t="str">
        <f aca="false">IF(OR(C355="",I355="",K355=""),"",IF(K355="Monthly",EDATE(C355,I355),WORKDAY(C355,I355)))</f>
        <v/>
      </c>
      <c r="AS355" s="28"/>
      <c r="AT355" s="36" t="str">
        <f aca="true">IF(C355="","",IF(AM355="Clawed Back","CLAWED",IF(TODAY()&lt;=C355+SETTINGS!$I$2,"⚠ AT RISK","SAFE")))</f>
        <v/>
      </c>
      <c r="AU355" s="28"/>
      <c r="AW355" s="24" t="n">
        <f aca="false">AW354+IF(AND(C355&lt;&gt;"",AO355&lt;&gt;"",OR('REP COMMISSION'!$B$3="",T355='REP COMMISSION'!$B$3,W355='REP COMMISSION'!$B$3,Z355='REP COMMISSION'!$B$3)),1,0)</f>
        <v>0</v>
      </c>
      <c r="AX355" s="24" t="n">
        <f aca="false">AX354+IF(AND(C355&lt;&gt;"",OR(F355="LOC - INITIAL",F355="CONSOLIDATION - UPFRONT COMM",F355="REVERSE - TOTAL FUNDING")),1,0)</f>
        <v>0</v>
      </c>
    </row>
    <row r="356" customFormat="false" ht="15" hidden="false" customHeight="false" outlineLevel="0" collapsed="false">
      <c r="A356" s="8" t="str">
        <f aca="false">IF(C356&lt;&gt;"","F"&amp;COUNT($C$4:C356),"")</f>
        <v/>
      </c>
      <c r="B356" s="9" t="str">
        <f aca="false">IF(OR(F356="LOC - INITIAL",F356="CONSOLIDATION - UPFRONT COMM",F356="REVERSE - TOTAL FUNDING"),A356,"")</f>
        <v/>
      </c>
      <c r="C356" s="10"/>
      <c r="D356" s="11"/>
      <c r="E356" s="11"/>
      <c r="F356" s="11"/>
      <c r="G356" s="12"/>
      <c r="H356" s="13"/>
      <c r="I356" s="11"/>
      <c r="J356" s="14" t="str">
        <f aca="false">IF(AND(G356&lt;&gt;"",H356&lt;&gt;""),G356*H356,"")</f>
        <v/>
      </c>
      <c r="K356" s="11"/>
      <c r="L356" s="15"/>
      <c r="M356" s="15"/>
      <c r="N356" s="14" t="n">
        <f aca="false">IF(OR(G356="",M356=""),0,IF(M356&gt;100,M356,G356*IF(M356&gt;1,M356/100,M356)))</f>
        <v>0</v>
      </c>
      <c r="O356" s="14" t="str">
        <f aca="false">IF(G356="","",G356*IF(L356="",0,IF(L356&gt;1,L356/100,L356))+N356)</f>
        <v/>
      </c>
      <c r="P356" s="11"/>
      <c r="Q356" s="16" t="str">
        <f aca="false">IF(P356="","",IFERROR(VLOOKUP(P356,PARTNERS!$A$2:$B$30,2,0),""))</f>
        <v/>
      </c>
      <c r="R356" s="17" t="str">
        <f aca="false">IF(O356="","",IF(OR(P356="",Q356=""),0,(O356-N356)*IF(Q356&gt;1,Q356/100,Q356)))</f>
        <v/>
      </c>
      <c r="S356" s="14" t="str">
        <f aca="false">IF(O356="","",O356-R356)</f>
        <v/>
      </c>
      <c r="T356" s="11"/>
      <c r="U356" s="18" t="str">
        <f aca="false">IF(T356="","",IFERROR(VLOOKUP(T356,REPS!$A$2:$D$40,2,0),""))</f>
        <v/>
      </c>
      <c r="V356" s="14" t="str">
        <f aca="false">IF(O356="","",IF(U356="",0,O356*IF(U356&gt;1,U356/100,U356)))</f>
        <v/>
      </c>
      <c r="W356" s="11"/>
      <c r="X356" s="18" t="str">
        <f aca="false">IF(W356="","",IFERROR(VLOOKUP(W356,REPS!$A$2:$D$40,3,0),""))</f>
        <v/>
      </c>
      <c r="Y356" s="14" t="str">
        <f aca="false">IF(O356="","",IF(X356="",0,O356*IF(X356&gt;1,X356/100,X356)))</f>
        <v/>
      </c>
      <c r="Z356" s="11"/>
      <c r="AA356" s="18" t="str">
        <f aca="false">IF(Z356="","",IFERROR(VLOOKUP(Z356,REPS!$A$2:$D$40,4,0),""))</f>
        <v/>
      </c>
      <c r="AB356" s="14" t="str">
        <f aca="false">IF(O356="","",IF(AA356="",0,O356*IF(AA356&gt;1,AA356/100,AA356)))</f>
        <v/>
      </c>
      <c r="AC356" s="14" t="str">
        <f aca="false">IF(O356="","",V356+Y356+AB356)</f>
        <v/>
      </c>
      <c r="AD356" s="19" t="str">
        <f aca="false">IF(O356="","",O356-R356-AC356)</f>
        <v/>
      </c>
      <c r="AE356" s="20"/>
      <c r="AF356" s="10"/>
      <c r="AG356" s="21" t="n">
        <f aca="false">IF(OR(AE356="",AE356=0),0,AE356*IF(U356="",0,IF(U356&gt;1,U356/100,U356)))</f>
        <v>0</v>
      </c>
      <c r="AH356" s="21" t="n">
        <f aca="false">IF(OR(AE356="",AE356=0),0,AE356*IF(X356="",0,IF(X356&gt;1,X356/100,X356)))</f>
        <v>0</v>
      </c>
      <c r="AI356" s="21" t="n">
        <f aca="false">IF(OR(AE356="",AE356=0),0,AE356*IF(AA356="",0,IF(AA356&gt;1,AA356/100,AA356)))</f>
        <v>0</v>
      </c>
      <c r="AJ356" s="21" t="n">
        <f aca="false">AG356+AH356+AI356</f>
        <v>0</v>
      </c>
      <c r="AK356" s="21" t="n">
        <f aca="false">IF(OR(AE356="",AE356=0),0,AE356-AJ356)</f>
        <v>0</v>
      </c>
      <c r="AL356" s="19" t="str">
        <f aca="false">IF(AD356="","",AD356-AK356)</f>
        <v/>
      </c>
      <c r="AM356" s="9" t="str">
        <f aca="false">IF(C356="","","Waiting for payment")</f>
        <v/>
      </c>
      <c r="AN356" s="10"/>
      <c r="AO356" s="10"/>
      <c r="AP356" s="22" t="str">
        <f aca="false">IF(OR(C356="",I356="",K356=""),"",IF(K356="Monthly",EDATE(C356,ROUND(I356*SETTINGS!$I$8,0)),WORKDAY(C356,ROUND(I356*SETTINGS!$I$8,0))))</f>
        <v/>
      </c>
      <c r="AQ356" s="9" t="str">
        <f aca="true">IF(C356="","",IF(AND(AP356&lt;&gt;"",TODAY()&gt;=AP356),"Refi Ready",IF(TODAY()-C356&gt;=SETTINGS!$I$11,"Prospecting","Performing")))</f>
        <v/>
      </c>
      <c r="AR356" s="22" t="str">
        <f aca="false">IF(OR(C356="",I356="",K356=""),"",IF(K356="Monthly",EDATE(C356,I356),WORKDAY(C356,I356)))</f>
        <v/>
      </c>
      <c r="AS356" s="11"/>
      <c r="AT356" s="23" t="str">
        <f aca="true">IF(C356="","",IF(AM356="Clawed Back","CLAWED",IF(TODAY()&lt;=C356+SETTINGS!$I$2,"⚠ AT RISK","SAFE")))</f>
        <v/>
      </c>
      <c r="AU356" s="11"/>
      <c r="AW356" s="24" t="n">
        <f aca="false">AW355+IF(AND(C356&lt;&gt;"",AO356&lt;&gt;"",OR('REP COMMISSION'!$B$3="",T356='REP COMMISSION'!$B$3,W356='REP COMMISSION'!$B$3,Z356='REP COMMISSION'!$B$3)),1,0)</f>
        <v>0</v>
      </c>
      <c r="AX356" s="24" t="n">
        <f aca="false">AX355+IF(AND(C356&lt;&gt;"",OR(F356="LOC - INITIAL",F356="CONSOLIDATION - UPFRONT COMM",F356="REVERSE - TOTAL FUNDING")),1,0)</f>
        <v>0</v>
      </c>
    </row>
    <row r="357" customFormat="false" ht="15" hidden="false" customHeight="false" outlineLevel="0" collapsed="false">
      <c r="A357" s="25" t="str">
        <f aca="false">IF(C357&lt;&gt;"","F"&amp;COUNT($C$4:C357),"")</f>
        <v/>
      </c>
      <c r="B357" s="26" t="str">
        <f aca="false">IF(OR(F357="LOC - INITIAL",F357="CONSOLIDATION - UPFRONT COMM",F357="REVERSE - TOTAL FUNDING"),A357,"")</f>
        <v/>
      </c>
      <c r="C357" s="27"/>
      <c r="D357" s="28"/>
      <c r="E357" s="28"/>
      <c r="F357" s="28"/>
      <c r="G357" s="29"/>
      <c r="H357" s="30"/>
      <c r="I357" s="28"/>
      <c r="J357" s="31" t="str">
        <f aca="false">IF(AND(G357&lt;&gt;"",H357&lt;&gt;""),G357*H357,"")</f>
        <v/>
      </c>
      <c r="K357" s="28"/>
      <c r="L357" s="32"/>
      <c r="M357" s="32"/>
      <c r="N357" s="31" t="n">
        <f aca="false">IF(OR(G357="",M357=""),0,IF(M357&gt;100,M357,G357*IF(M357&gt;1,M357/100,M357)))</f>
        <v>0</v>
      </c>
      <c r="O357" s="31" t="str">
        <f aca="false">IF(G357="","",G357*IF(L357="",0,IF(L357&gt;1,L357/100,L357))+N357)</f>
        <v/>
      </c>
      <c r="P357" s="28"/>
      <c r="Q357" s="33" t="str">
        <f aca="false">IF(P357="","",IFERROR(VLOOKUP(P357,PARTNERS!$A$2:$B$30,2,0),""))</f>
        <v/>
      </c>
      <c r="R357" s="17" t="str">
        <f aca="false">IF(O357="","",IF(OR(P357="",Q357=""),0,(O357-N357)*IF(Q357&gt;1,Q357/100,Q357)))</f>
        <v/>
      </c>
      <c r="S357" s="31" t="str">
        <f aca="false">IF(O357="","",O357-R357)</f>
        <v/>
      </c>
      <c r="T357" s="28"/>
      <c r="U357" s="34" t="str">
        <f aca="false">IF(T357="","",IFERROR(VLOOKUP(T357,REPS!$A$2:$D$40,2,0),""))</f>
        <v/>
      </c>
      <c r="V357" s="31" t="str">
        <f aca="false">IF(O357="","",IF(U357="",0,O357*IF(U357&gt;1,U357/100,U357)))</f>
        <v/>
      </c>
      <c r="W357" s="28"/>
      <c r="X357" s="34" t="str">
        <f aca="false">IF(W357="","",IFERROR(VLOOKUP(W357,REPS!$A$2:$D$40,3,0),""))</f>
        <v/>
      </c>
      <c r="Y357" s="31" t="str">
        <f aca="false">IF(O357="","",IF(X357="",0,O357*IF(X357&gt;1,X357/100,X357)))</f>
        <v/>
      </c>
      <c r="Z357" s="28"/>
      <c r="AA357" s="34" t="str">
        <f aca="false">IF(Z357="","",IFERROR(VLOOKUP(Z357,REPS!$A$2:$D$40,4,0),""))</f>
        <v/>
      </c>
      <c r="AB357" s="31" t="str">
        <f aca="false">IF(O357="","",IF(AA357="",0,O357*IF(AA357&gt;1,AA357/100,AA357)))</f>
        <v/>
      </c>
      <c r="AC357" s="31" t="str">
        <f aca="false">IF(O357="","",V357+Y357+AB357)</f>
        <v/>
      </c>
      <c r="AD357" s="19" t="str">
        <f aca="false">IF(O357="","",O357-R357-AC357)</f>
        <v/>
      </c>
      <c r="AE357" s="20"/>
      <c r="AF357" s="27"/>
      <c r="AG357" s="21" t="n">
        <f aca="false">IF(OR(AE357="",AE357=0),0,AE357*IF(U357="",0,IF(U357&gt;1,U357/100,U357)))</f>
        <v>0</v>
      </c>
      <c r="AH357" s="21" t="n">
        <f aca="false">IF(OR(AE357="",AE357=0),0,AE357*IF(X357="",0,IF(X357&gt;1,X357/100,X357)))</f>
        <v>0</v>
      </c>
      <c r="AI357" s="21" t="n">
        <f aca="false">IF(OR(AE357="",AE357=0),0,AE357*IF(AA357="",0,IF(AA357&gt;1,AA357/100,AA357)))</f>
        <v>0</v>
      </c>
      <c r="AJ357" s="21" t="n">
        <f aca="false">AG357+AH357+AI357</f>
        <v>0</v>
      </c>
      <c r="AK357" s="21" t="n">
        <f aca="false">IF(OR(AE357="",AE357=0),0,AE357-AJ357)</f>
        <v>0</v>
      </c>
      <c r="AL357" s="19" t="str">
        <f aca="false">IF(AD357="","",AD357-AK357)</f>
        <v/>
      </c>
      <c r="AM357" s="26" t="str">
        <f aca="false">IF(C357="","","Waiting for payment")</f>
        <v/>
      </c>
      <c r="AN357" s="27"/>
      <c r="AO357" s="27"/>
      <c r="AP357" s="35" t="str">
        <f aca="false">IF(OR(C357="",I357="",K357=""),"",IF(K357="Monthly",EDATE(C357,ROUND(I357*SETTINGS!$I$8,0)),WORKDAY(C357,ROUND(I357*SETTINGS!$I$8,0))))</f>
        <v/>
      </c>
      <c r="AQ357" s="26" t="str">
        <f aca="true">IF(C357="","",IF(AND(AP357&lt;&gt;"",TODAY()&gt;=AP357),"Refi Ready",IF(TODAY()-C357&gt;=SETTINGS!$I$11,"Prospecting","Performing")))</f>
        <v/>
      </c>
      <c r="AR357" s="35" t="str">
        <f aca="false">IF(OR(C357="",I357="",K357=""),"",IF(K357="Monthly",EDATE(C357,I357),WORKDAY(C357,I357)))</f>
        <v/>
      </c>
      <c r="AS357" s="28"/>
      <c r="AT357" s="36" t="str">
        <f aca="true">IF(C357="","",IF(AM357="Clawed Back","CLAWED",IF(TODAY()&lt;=C357+SETTINGS!$I$2,"⚠ AT RISK","SAFE")))</f>
        <v/>
      </c>
      <c r="AU357" s="28"/>
      <c r="AW357" s="24" t="n">
        <f aca="false">AW356+IF(AND(C357&lt;&gt;"",AO357&lt;&gt;"",OR('REP COMMISSION'!$B$3="",T357='REP COMMISSION'!$B$3,W357='REP COMMISSION'!$B$3,Z357='REP COMMISSION'!$B$3)),1,0)</f>
        <v>0</v>
      </c>
      <c r="AX357" s="24" t="n">
        <f aca="false">AX356+IF(AND(C357&lt;&gt;"",OR(F357="LOC - INITIAL",F357="CONSOLIDATION - UPFRONT COMM",F357="REVERSE - TOTAL FUNDING")),1,0)</f>
        <v>0</v>
      </c>
    </row>
    <row r="358" customFormat="false" ht="15" hidden="false" customHeight="false" outlineLevel="0" collapsed="false">
      <c r="A358" s="8" t="str">
        <f aca="false">IF(C358&lt;&gt;"","F"&amp;COUNT($C$4:C358),"")</f>
        <v/>
      </c>
      <c r="B358" s="9" t="str">
        <f aca="false">IF(OR(F358="LOC - INITIAL",F358="CONSOLIDATION - UPFRONT COMM",F358="REVERSE - TOTAL FUNDING"),A358,"")</f>
        <v/>
      </c>
      <c r="C358" s="10"/>
      <c r="D358" s="11"/>
      <c r="E358" s="11"/>
      <c r="F358" s="11"/>
      <c r="G358" s="12"/>
      <c r="H358" s="13"/>
      <c r="I358" s="11"/>
      <c r="J358" s="14" t="str">
        <f aca="false">IF(AND(G358&lt;&gt;"",H358&lt;&gt;""),G358*H358,"")</f>
        <v/>
      </c>
      <c r="K358" s="11"/>
      <c r="L358" s="15"/>
      <c r="M358" s="15"/>
      <c r="N358" s="14" t="n">
        <f aca="false">IF(OR(G358="",M358=""),0,IF(M358&gt;100,M358,G358*IF(M358&gt;1,M358/100,M358)))</f>
        <v>0</v>
      </c>
      <c r="O358" s="14" t="str">
        <f aca="false">IF(G358="","",G358*IF(L358="",0,IF(L358&gt;1,L358/100,L358))+N358)</f>
        <v/>
      </c>
      <c r="P358" s="11"/>
      <c r="Q358" s="16" t="str">
        <f aca="false">IF(P358="","",IFERROR(VLOOKUP(P358,PARTNERS!$A$2:$B$30,2,0),""))</f>
        <v/>
      </c>
      <c r="R358" s="17" t="str">
        <f aca="false">IF(O358="","",IF(OR(P358="",Q358=""),0,(O358-N358)*IF(Q358&gt;1,Q358/100,Q358)))</f>
        <v/>
      </c>
      <c r="S358" s="14" t="str">
        <f aca="false">IF(O358="","",O358-R358)</f>
        <v/>
      </c>
      <c r="T358" s="11"/>
      <c r="U358" s="18" t="str">
        <f aca="false">IF(T358="","",IFERROR(VLOOKUP(T358,REPS!$A$2:$D$40,2,0),""))</f>
        <v/>
      </c>
      <c r="V358" s="14" t="str">
        <f aca="false">IF(O358="","",IF(U358="",0,O358*IF(U358&gt;1,U358/100,U358)))</f>
        <v/>
      </c>
      <c r="W358" s="11"/>
      <c r="X358" s="18" t="str">
        <f aca="false">IF(W358="","",IFERROR(VLOOKUP(W358,REPS!$A$2:$D$40,3,0),""))</f>
        <v/>
      </c>
      <c r="Y358" s="14" t="str">
        <f aca="false">IF(O358="","",IF(X358="",0,O358*IF(X358&gt;1,X358/100,X358)))</f>
        <v/>
      </c>
      <c r="Z358" s="11"/>
      <c r="AA358" s="18" t="str">
        <f aca="false">IF(Z358="","",IFERROR(VLOOKUP(Z358,REPS!$A$2:$D$40,4,0),""))</f>
        <v/>
      </c>
      <c r="AB358" s="14" t="str">
        <f aca="false">IF(O358="","",IF(AA358="",0,O358*IF(AA358&gt;1,AA358/100,AA358)))</f>
        <v/>
      </c>
      <c r="AC358" s="14" t="str">
        <f aca="false">IF(O358="","",V358+Y358+AB358)</f>
        <v/>
      </c>
      <c r="AD358" s="19" t="str">
        <f aca="false">IF(O358="","",O358-R358-AC358)</f>
        <v/>
      </c>
      <c r="AE358" s="20"/>
      <c r="AF358" s="10"/>
      <c r="AG358" s="21" t="n">
        <f aca="false">IF(OR(AE358="",AE358=0),0,AE358*IF(U358="",0,IF(U358&gt;1,U358/100,U358)))</f>
        <v>0</v>
      </c>
      <c r="AH358" s="21" t="n">
        <f aca="false">IF(OR(AE358="",AE358=0),0,AE358*IF(X358="",0,IF(X358&gt;1,X358/100,X358)))</f>
        <v>0</v>
      </c>
      <c r="AI358" s="21" t="n">
        <f aca="false">IF(OR(AE358="",AE358=0),0,AE358*IF(AA358="",0,IF(AA358&gt;1,AA358/100,AA358)))</f>
        <v>0</v>
      </c>
      <c r="AJ358" s="21" t="n">
        <f aca="false">AG358+AH358+AI358</f>
        <v>0</v>
      </c>
      <c r="AK358" s="21" t="n">
        <f aca="false">IF(OR(AE358="",AE358=0),0,AE358-AJ358)</f>
        <v>0</v>
      </c>
      <c r="AL358" s="19" t="str">
        <f aca="false">IF(AD358="","",AD358-AK358)</f>
        <v/>
      </c>
      <c r="AM358" s="9" t="str">
        <f aca="false">IF(C358="","","Waiting for payment")</f>
        <v/>
      </c>
      <c r="AN358" s="10"/>
      <c r="AO358" s="10"/>
      <c r="AP358" s="22" t="str">
        <f aca="false">IF(OR(C358="",I358="",K358=""),"",IF(K358="Monthly",EDATE(C358,ROUND(I358*SETTINGS!$I$8,0)),WORKDAY(C358,ROUND(I358*SETTINGS!$I$8,0))))</f>
        <v/>
      </c>
      <c r="AQ358" s="9" t="str">
        <f aca="true">IF(C358="","",IF(AND(AP358&lt;&gt;"",TODAY()&gt;=AP358),"Refi Ready",IF(TODAY()-C358&gt;=SETTINGS!$I$11,"Prospecting","Performing")))</f>
        <v/>
      </c>
      <c r="AR358" s="22" t="str">
        <f aca="false">IF(OR(C358="",I358="",K358=""),"",IF(K358="Monthly",EDATE(C358,I358),WORKDAY(C358,I358)))</f>
        <v/>
      </c>
      <c r="AS358" s="11"/>
      <c r="AT358" s="23" t="str">
        <f aca="true">IF(C358="","",IF(AM358="Clawed Back","CLAWED",IF(TODAY()&lt;=C358+SETTINGS!$I$2,"⚠ AT RISK","SAFE")))</f>
        <v/>
      </c>
      <c r="AU358" s="11"/>
      <c r="AW358" s="24" t="n">
        <f aca="false">AW357+IF(AND(C358&lt;&gt;"",AO358&lt;&gt;"",OR('REP COMMISSION'!$B$3="",T358='REP COMMISSION'!$B$3,W358='REP COMMISSION'!$B$3,Z358='REP COMMISSION'!$B$3)),1,0)</f>
        <v>0</v>
      </c>
      <c r="AX358" s="24" t="n">
        <f aca="false">AX357+IF(AND(C358&lt;&gt;"",OR(F358="LOC - INITIAL",F358="CONSOLIDATION - UPFRONT COMM",F358="REVERSE - TOTAL FUNDING")),1,0)</f>
        <v>0</v>
      </c>
    </row>
    <row r="359" customFormat="false" ht="15" hidden="false" customHeight="false" outlineLevel="0" collapsed="false">
      <c r="A359" s="25" t="str">
        <f aca="false">IF(C359&lt;&gt;"","F"&amp;COUNT($C$4:C359),"")</f>
        <v/>
      </c>
      <c r="B359" s="26" t="str">
        <f aca="false">IF(OR(F359="LOC - INITIAL",F359="CONSOLIDATION - UPFRONT COMM",F359="REVERSE - TOTAL FUNDING"),A359,"")</f>
        <v/>
      </c>
      <c r="C359" s="27"/>
      <c r="D359" s="28"/>
      <c r="E359" s="28"/>
      <c r="F359" s="28"/>
      <c r="G359" s="29"/>
      <c r="H359" s="30"/>
      <c r="I359" s="28"/>
      <c r="J359" s="31" t="str">
        <f aca="false">IF(AND(G359&lt;&gt;"",H359&lt;&gt;""),G359*H359,"")</f>
        <v/>
      </c>
      <c r="K359" s="28"/>
      <c r="L359" s="32"/>
      <c r="M359" s="32"/>
      <c r="N359" s="31" t="n">
        <f aca="false">IF(OR(G359="",M359=""),0,IF(M359&gt;100,M359,G359*IF(M359&gt;1,M359/100,M359)))</f>
        <v>0</v>
      </c>
      <c r="O359" s="31" t="str">
        <f aca="false">IF(G359="","",G359*IF(L359="",0,IF(L359&gt;1,L359/100,L359))+N359)</f>
        <v/>
      </c>
      <c r="P359" s="28"/>
      <c r="Q359" s="33" t="str">
        <f aca="false">IF(P359="","",IFERROR(VLOOKUP(P359,PARTNERS!$A$2:$B$30,2,0),""))</f>
        <v/>
      </c>
      <c r="R359" s="17" t="str">
        <f aca="false">IF(O359="","",IF(OR(P359="",Q359=""),0,(O359-N359)*IF(Q359&gt;1,Q359/100,Q359)))</f>
        <v/>
      </c>
      <c r="S359" s="31" t="str">
        <f aca="false">IF(O359="","",O359-R359)</f>
        <v/>
      </c>
      <c r="T359" s="28"/>
      <c r="U359" s="34" t="str">
        <f aca="false">IF(T359="","",IFERROR(VLOOKUP(T359,REPS!$A$2:$D$40,2,0),""))</f>
        <v/>
      </c>
      <c r="V359" s="31" t="str">
        <f aca="false">IF(O359="","",IF(U359="",0,O359*IF(U359&gt;1,U359/100,U359)))</f>
        <v/>
      </c>
      <c r="W359" s="28"/>
      <c r="X359" s="34" t="str">
        <f aca="false">IF(W359="","",IFERROR(VLOOKUP(W359,REPS!$A$2:$D$40,3,0),""))</f>
        <v/>
      </c>
      <c r="Y359" s="31" t="str">
        <f aca="false">IF(O359="","",IF(X359="",0,O359*IF(X359&gt;1,X359/100,X359)))</f>
        <v/>
      </c>
      <c r="Z359" s="28"/>
      <c r="AA359" s="34" t="str">
        <f aca="false">IF(Z359="","",IFERROR(VLOOKUP(Z359,REPS!$A$2:$D$40,4,0),""))</f>
        <v/>
      </c>
      <c r="AB359" s="31" t="str">
        <f aca="false">IF(O359="","",IF(AA359="",0,O359*IF(AA359&gt;1,AA359/100,AA359)))</f>
        <v/>
      </c>
      <c r="AC359" s="31" t="str">
        <f aca="false">IF(O359="","",V359+Y359+AB359)</f>
        <v/>
      </c>
      <c r="AD359" s="19" t="str">
        <f aca="false">IF(O359="","",O359-R359-AC359)</f>
        <v/>
      </c>
      <c r="AE359" s="20"/>
      <c r="AF359" s="27"/>
      <c r="AG359" s="21" t="n">
        <f aca="false">IF(OR(AE359="",AE359=0),0,AE359*IF(U359="",0,IF(U359&gt;1,U359/100,U359)))</f>
        <v>0</v>
      </c>
      <c r="AH359" s="21" t="n">
        <f aca="false">IF(OR(AE359="",AE359=0),0,AE359*IF(X359="",0,IF(X359&gt;1,X359/100,X359)))</f>
        <v>0</v>
      </c>
      <c r="AI359" s="21" t="n">
        <f aca="false">IF(OR(AE359="",AE359=0),0,AE359*IF(AA359="",0,IF(AA359&gt;1,AA359/100,AA359)))</f>
        <v>0</v>
      </c>
      <c r="AJ359" s="21" t="n">
        <f aca="false">AG359+AH359+AI359</f>
        <v>0</v>
      </c>
      <c r="AK359" s="21" t="n">
        <f aca="false">IF(OR(AE359="",AE359=0),0,AE359-AJ359)</f>
        <v>0</v>
      </c>
      <c r="AL359" s="19" t="str">
        <f aca="false">IF(AD359="","",AD359-AK359)</f>
        <v/>
      </c>
      <c r="AM359" s="26" t="str">
        <f aca="false">IF(C359="","","Waiting for payment")</f>
        <v/>
      </c>
      <c r="AN359" s="27"/>
      <c r="AO359" s="27"/>
      <c r="AP359" s="35" t="str">
        <f aca="false">IF(OR(C359="",I359="",K359=""),"",IF(K359="Monthly",EDATE(C359,ROUND(I359*SETTINGS!$I$8,0)),WORKDAY(C359,ROUND(I359*SETTINGS!$I$8,0))))</f>
        <v/>
      </c>
      <c r="AQ359" s="26" t="str">
        <f aca="true">IF(C359="","",IF(AND(AP359&lt;&gt;"",TODAY()&gt;=AP359),"Refi Ready",IF(TODAY()-C359&gt;=SETTINGS!$I$11,"Prospecting","Performing")))</f>
        <v/>
      </c>
      <c r="AR359" s="35" t="str">
        <f aca="false">IF(OR(C359="",I359="",K359=""),"",IF(K359="Monthly",EDATE(C359,I359),WORKDAY(C359,I359)))</f>
        <v/>
      </c>
      <c r="AS359" s="28"/>
      <c r="AT359" s="36" t="str">
        <f aca="true">IF(C359="","",IF(AM359="Clawed Back","CLAWED",IF(TODAY()&lt;=C359+SETTINGS!$I$2,"⚠ AT RISK","SAFE")))</f>
        <v/>
      </c>
      <c r="AU359" s="28"/>
      <c r="AW359" s="24" t="n">
        <f aca="false">AW358+IF(AND(C359&lt;&gt;"",AO359&lt;&gt;"",OR('REP COMMISSION'!$B$3="",T359='REP COMMISSION'!$B$3,W359='REP COMMISSION'!$B$3,Z359='REP COMMISSION'!$B$3)),1,0)</f>
        <v>0</v>
      </c>
      <c r="AX359" s="24" t="n">
        <f aca="false">AX358+IF(AND(C359&lt;&gt;"",OR(F359="LOC - INITIAL",F359="CONSOLIDATION - UPFRONT COMM",F359="REVERSE - TOTAL FUNDING")),1,0)</f>
        <v>0</v>
      </c>
    </row>
    <row r="360" customFormat="false" ht="15" hidden="false" customHeight="false" outlineLevel="0" collapsed="false">
      <c r="A360" s="8" t="str">
        <f aca="false">IF(C360&lt;&gt;"","F"&amp;COUNT($C$4:C360),"")</f>
        <v/>
      </c>
      <c r="B360" s="9" t="str">
        <f aca="false">IF(OR(F360="LOC - INITIAL",F360="CONSOLIDATION - UPFRONT COMM",F360="REVERSE - TOTAL FUNDING"),A360,"")</f>
        <v/>
      </c>
      <c r="C360" s="10"/>
      <c r="D360" s="11"/>
      <c r="E360" s="11"/>
      <c r="F360" s="11"/>
      <c r="G360" s="12"/>
      <c r="H360" s="13"/>
      <c r="I360" s="11"/>
      <c r="J360" s="14" t="str">
        <f aca="false">IF(AND(G360&lt;&gt;"",H360&lt;&gt;""),G360*H360,"")</f>
        <v/>
      </c>
      <c r="K360" s="11"/>
      <c r="L360" s="15"/>
      <c r="M360" s="15"/>
      <c r="N360" s="14" t="n">
        <f aca="false">IF(OR(G360="",M360=""),0,IF(M360&gt;100,M360,G360*IF(M360&gt;1,M360/100,M360)))</f>
        <v>0</v>
      </c>
      <c r="O360" s="14" t="str">
        <f aca="false">IF(G360="","",G360*IF(L360="",0,IF(L360&gt;1,L360/100,L360))+N360)</f>
        <v/>
      </c>
      <c r="P360" s="11"/>
      <c r="Q360" s="16" t="str">
        <f aca="false">IF(P360="","",IFERROR(VLOOKUP(P360,PARTNERS!$A$2:$B$30,2,0),""))</f>
        <v/>
      </c>
      <c r="R360" s="17" t="str">
        <f aca="false">IF(O360="","",IF(OR(P360="",Q360=""),0,(O360-N360)*IF(Q360&gt;1,Q360/100,Q360)))</f>
        <v/>
      </c>
      <c r="S360" s="14" t="str">
        <f aca="false">IF(O360="","",O360-R360)</f>
        <v/>
      </c>
      <c r="T360" s="11"/>
      <c r="U360" s="18" t="str">
        <f aca="false">IF(T360="","",IFERROR(VLOOKUP(T360,REPS!$A$2:$D$40,2,0),""))</f>
        <v/>
      </c>
      <c r="V360" s="14" t="str">
        <f aca="false">IF(O360="","",IF(U360="",0,O360*IF(U360&gt;1,U360/100,U360)))</f>
        <v/>
      </c>
      <c r="W360" s="11"/>
      <c r="X360" s="18" t="str">
        <f aca="false">IF(W360="","",IFERROR(VLOOKUP(W360,REPS!$A$2:$D$40,3,0),""))</f>
        <v/>
      </c>
      <c r="Y360" s="14" t="str">
        <f aca="false">IF(O360="","",IF(X360="",0,O360*IF(X360&gt;1,X360/100,X360)))</f>
        <v/>
      </c>
      <c r="Z360" s="11"/>
      <c r="AA360" s="18" t="str">
        <f aca="false">IF(Z360="","",IFERROR(VLOOKUP(Z360,REPS!$A$2:$D$40,4,0),""))</f>
        <v/>
      </c>
      <c r="AB360" s="14" t="str">
        <f aca="false">IF(O360="","",IF(AA360="",0,O360*IF(AA360&gt;1,AA360/100,AA360)))</f>
        <v/>
      </c>
      <c r="AC360" s="14" t="str">
        <f aca="false">IF(O360="","",V360+Y360+AB360)</f>
        <v/>
      </c>
      <c r="AD360" s="19" t="str">
        <f aca="false">IF(O360="","",O360-R360-AC360)</f>
        <v/>
      </c>
      <c r="AE360" s="20"/>
      <c r="AF360" s="10"/>
      <c r="AG360" s="21" t="n">
        <f aca="false">IF(OR(AE360="",AE360=0),0,AE360*IF(U360="",0,IF(U360&gt;1,U360/100,U360)))</f>
        <v>0</v>
      </c>
      <c r="AH360" s="21" t="n">
        <f aca="false">IF(OR(AE360="",AE360=0),0,AE360*IF(X360="",0,IF(X360&gt;1,X360/100,X360)))</f>
        <v>0</v>
      </c>
      <c r="AI360" s="21" t="n">
        <f aca="false">IF(OR(AE360="",AE360=0),0,AE360*IF(AA360="",0,IF(AA360&gt;1,AA360/100,AA360)))</f>
        <v>0</v>
      </c>
      <c r="AJ360" s="21" t="n">
        <f aca="false">AG360+AH360+AI360</f>
        <v>0</v>
      </c>
      <c r="AK360" s="21" t="n">
        <f aca="false">IF(OR(AE360="",AE360=0),0,AE360-AJ360)</f>
        <v>0</v>
      </c>
      <c r="AL360" s="19" t="str">
        <f aca="false">IF(AD360="","",AD360-AK360)</f>
        <v/>
      </c>
      <c r="AM360" s="9" t="str">
        <f aca="false">IF(C360="","","Waiting for payment")</f>
        <v/>
      </c>
      <c r="AN360" s="10"/>
      <c r="AO360" s="10"/>
      <c r="AP360" s="22" t="str">
        <f aca="false">IF(OR(C360="",I360="",K360=""),"",IF(K360="Monthly",EDATE(C360,ROUND(I360*SETTINGS!$I$8,0)),WORKDAY(C360,ROUND(I360*SETTINGS!$I$8,0))))</f>
        <v/>
      </c>
      <c r="AQ360" s="9" t="str">
        <f aca="true">IF(C360="","",IF(AND(AP360&lt;&gt;"",TODAY()&gt;=AP360),"Refi Ready",IF(TODAY()-C360&gt;=SETTINGS!$I$11,"Prospecting","Performing")))</f>
        <v/>
      </c>
      <c r="AR360" s="22" t="str">
        <f aca="false">IF(OR(C360="",I360="",K360=""),"",IF(K360="Monthly",EDATE(C360,I360),WORKDAY(C360,I360)))</f>
        <v/>
      </c>
      <c r="AS360" s="11"/>
      <c r="AT360" s="23" t="str">
        <f aca="true">IF(C360="","",IF(AM360="Clawed Back","CLAWED",IF(TODAY()&lt;=C360+SETTINGS!$I$2,"⚠ AT RISK","SAFE")))</f>
        <v/>
      </c>
      <c r="AU360" s="11"/>
      <c r="AW360" s="24" t="n">
        <f aca="false">AW359+IF(AND(C360&lt;&gt;"",AO360&lt;&gt;"",OR('REP COMMISSION'!$B$3="",T360='REP COMMISSION'!$B$3,W360='REP COMMISSION'!$B$3,Z360='REP COMMISSION'!$B$3)),1,0)</f>
        <v>0</v>
      </c>
      <c r="AX360" s="24" t="n">
        <f aca="false">AX359+IF(AND(C360&lt;&gt;"",OR(F360="LOC - INITIAL",F360="CONSOLIDATION - UPFRONT COMM",F360="REVERSE - TOTAL FUNDING")),1,0)</f>
        <v>0</v>
      </c>
    </row>
    <row r="361" customFormat="false" ht="15" hidden="false" customHeight="false" outlineLevel="0" collapsed="false">
      <c r="A361" s="25" t="str">
        <f aca="false">IF(C361&lt;&gt;"","F"&amp;COUNT($C$4:C361),"")</f>
        <v/>
      </c>
      <c r="B361" s="26" t="str">
        <f aca="false">IF(OR(F361="LOC - INITIAL",F361="CONSOLIDATION - UPFRONT COMM",F361="REVERSE - TOTAL FUNDING"),A361,"")</f>
        <v/>
      </c>
      <c r="C361" s="27"/>
      <c r="D361" s="28"/>
      <c r="E361" s="28"/>
      <c r="F361" s="28"/>
      <c r="G361" s="29"/>
      <c r="H361" s="30"/>
      <c r="I361" s="28"/>
      <c r="J361" s="31" t="str">
        <f aca="false">IF(AND(G361&lt;&gt;"",H361&lt;&gt;""),G361*H361,"")</f>
        <v/>
      </c>
      <c r="K361" s="28"/>
      <c r="L361" s="32"/>
      <c r="M361" s="32"/>
      <c r="N361" s="31" t="n">
        <f aca="false">IF(OR(G361="",M361=""),0,IF(M361&gt;100,M361,G361*IF(M361&gt;1,M361/100,M361)))</f>
        <v>0</v>
      </c>
      <c r="O361" s="31" t="str">
        <f aca="false">IF(G361="","",G361*IF(L361="",0,IF(L361&gt;1,L361/100,L361))+N361)</f>
        <v/>
      </c>
      <c r="P361" s="28"/>
      <c r="Q361" s="33" t="str">
        <f aca="false">IF(P361="","",IFERROR(VLOOKUP(P361,PARTNERS!$A$2:$B$30,2,0),""))</f>
        <v/>
      </c>
      <c r="R361" s="17" t="str">
        <f aca="false">IF(O361="","",IF(OR(P361="",Q361=""),0,(O361-N361)*IF(Q361&gt;1,Q361/100,Q361)))</f>
        <v/>
      </c>
      <c r="S361" s="31" t="str">
        <f aca="false">IF(O361="","",O361-R361)</f>
        <v/>
      </c>
      <c r="T361" s="28"/>
      <c r="U361" s="34" t="str">
        <f aca="false">IF(T361="","",IFERROR(VLOOKUP(T361,REPS!$A$2:$D$40,2,0),""))</f>
        <v/>
      </c>
      <c r="V361" s="31" t="str">
        <f aca="false">IF(O361="","",IF(U361="",0,O361*IF(U361&gt;1,U361/100,U361)))</f>
        <v/>
      </c>
      <c r="W361" s="28"/>
      <c r="X361" s="34" t="str">
        <f aca="false">IF(W361="","",IFERROR(VLOOKUP(W361,REPS!$A$2:$D$40,3,0),""))</f>
        <v/>
      </c>
      <c r="Y361" s="31" t="str">
        <f aca="false">IF(O361="","",IF(X361="",0,O361*IF(X361&gt;1,X361/100,X361)))</f>
        <v/>
      </c>
      <c r="Z361" s="28"/>
      <c r="AA361" s="34" t="str">
        <f aca="false">IF(Z361="","",IFERROR(VLOOKUP(Z361,REPS!$A$2:$D$40,4,0),""))</f>
        <v/>
      </c>
      <c r="AB361" s="31" t="str">
        <f aca="false">IF(O361="","",IF(AA361="",0,O361*IF(AA361&gt;1,AA361/100,AA361)))</f>
        <v/>
      </c>
      <c r="AC361" s="31" t="str">
        <f aca="false">IF(O361="","",V361+Y361+AB361)</f>
        <v/>
      </c>
      <c r="AD361" s="19" t="str">
        <f aca="false">IF(O361="","",O361-R361-AC361)</f>
        <v/>
      </c>
      <c r="AE361" s="20"/>
      <c r="AF361" s="27"/>
      <c r="AG361" s="21" t="n">
        <f aca="false">IF(OR(AE361="",AE361=0),0,AE361*IF(U361="",0,IF(U361&gt;1,U361/100,U361)))</f>
        <v>0</v>
      </c>
      <c r="AH361" s="21" t="n">
        <f aca="false">IF(OR(AE361="",AE361=0),0,AE361*IF(X361="",0,IF(X361&gt;1,X361/100,X361)))</f>
        <v>0</v>
      </c>
      <c r="AI361" s="21" t="n">
        <f aca="false">IF(OR(AE361="",AE361=0),0,AE361*IF(AA361="",0,IF(AA361&gt;1,AA361/100,AA361)))</f>
        <v>0</v>
      </c>
      <c r="AJ361" s="21" t="n">
        <f aca="false">AG361+AH361+AI361</f>
        <v>0</v>
      </c>
      <c r="AK361" s="21" t="n">
        <f aca="false">IF(OR(AE361="",AE361=0),0,AE361-AJ361)</f>
        <v>0</v>
      </c>
      <c r="AL361" s="19" t="str">
        <f aca="false">IF(AD361="","",AD361-AK361)</f>
        <v/>
      </c>
      <c r="AM361" s="26" t="str">
        <f aca="false">IF(C361="","","Waiting for payment")</f>
        <v/>
      </c>
      <c r="AN361" s="27"/>
      <c r="AO361" s="27"/>
      <c r="AP361" s="35" t="str">
        <f aca="false">IF(OR(C361="",I361="",K361=""),"",IF(K361="Monthly",EDATE(C361,ROUND(I361*SETTINGS!$I$8,0)),WORKDAY(C361,ROUND(I361*SETTINGS!$I$8,0))))</f>
        <v/>
      </c>
      <c r="AQ361" s="26" t="str">
        <f aca="true">IF(C361="","",IF(AND(AP361&lt;&gt;"",TODAY()&gt;=AP361),"Refi Ready",IF(TODAY()-C361&gt;=SETTINGS!$I$11,"Prospecting","Performing")))</f>
        <v/>
      </c>
      <c r="AR361" s="35" t="str">
        <f aca="false">IF(OR(C361="",I361="",K361=""),"",IF(K361="Monthly",EDATE(C361,I361),WORKDAY(C361,I361)))</f>
        <v/>
      </c>
      <c r="AS361" s="28"/>
      <c r="AT361" s="36" t="str">
        <f aca="true">IF(C361="","",IF(AM361="Clawed Back","CLAWED",IF(TODAY()&lt;=C361+SETTINGS!$I$2,"⚠ AT RISK","SAFE")))</f>
        <v/>
      </c>
      <c r="AU361" s="28"/>
      <c r="AW361" s="24" t="n">
        <f aca="false">AW360+IF(AND(C361&lt;&gt;"",AO361&lt;&gt;"",OR('REP COMMISSION'!$B$3="",T361='REP COMMISSION'!$B$3,W361='REP COMMISSION'!$B$3,Z361='REP COMMISSION'!$B$3)),1,0)</f>
        <v>0</v>
      </c>
      <c r="AX361" s="24" t="n">
        <f aca="false">AX360+IF(AND(C361&lt;&gt;"",OR(F361="LOC - INITIAL",F361="CONSOLIDATION - UPFRONT COMM",F361="REVERSE - TOTAL FUNDING")),1,0)</f>
        <v>0</v>
      </c>
    </row>
    <row r="362" customFormat="false" ht="15" hidden="false" customHeight="false" outlineLevel="0" collapsed="false">
      <c r="A362" s="8" t="str">
        <f aca="false">IF(C362&lt;&gt;"","F"&amp;COUNT($C$4:C362),"")</f>
        <v/>
      </c>
      <c r="B362" s="9" t="str">
        <f aca="false">IF(OR(F362="LOC - INITIAL",F362="CONSOLIDATION - UPFRONT COMM",F362="REVERSE - TOTAL FUNDING"),A362,"")</f>
        <v/>
      </c>
      <c r="C362" s="10"/>
      <c r="D362" s="11"/>
      <c r="E362" s="11"/>
      <c r="F362" s="11"/>
      <c r="G362" s="12"/>
      <c r="H362" s="13"/>
      <c r="I362" s="11"/>
      <c r="J362" s="14" t="str">
        <f aca="false">IF(AND(G362&lt;&gt;"",H362&lt;&gt;""),G362*H362,"")</f>
        <v/>
      </c>
      <c r="K362" s="11"/>
      <c r="L362" s="15"/>
      <c r="M362" s="15"/>
      <c r="N362" s="14" t="n">
        <f aca="false">IF(OR(G362="",M362=""),0,IF(M362&gt;100,M362,G362*IF(M362&gt;1,M362/100,M362)))</f>
        <v>0</v>
      </c>
      <c r="O362" s="14" t="str">
        <f aca="false">IF(G362="","",G362*IF(L362="",0,IF(L362&gt;1,L362/100,L362))+N362)</f>
        <v/>
      </c>
      <c r="P362" s="11"/>
      <c r="Q362" s="16" t="str">
        <f aca="false">IF(P362="","",IFERROR(VLOOKUP(P362,PARTNERS!$A$2:$B$30,2,0),""))</f>
        <v/>
      </c>
      <c r="R362" s="17" t="str">
        <f aca="false">IF(O362="","",IF(OR(P362="",Q362=""),0,(O362-N362)*IF(Q362&gt;1,Q362/100,Q362)))</f>
        <v/>
      </c>
      <c r="S362" s="14" t="str">
        <f aca="false">IF(O362="","",O362-R362)</f>
        <v/>
      </c>
      <c r="T362" s="11"/>
      <c r="U362" s="18" t="str">
        <f aca="false">IF(T362="","",IFERROR(VLOOKUP(T362,REPS!$A$2:$D$40,2,0),""))</f>
        <v/>
      </c>
      <c r="V362" s="14" t="str">
        <f aca="false">IF(O362="","",IF(U362="",0,O362*IF(U362&gt;1,U362/100,U362)))</f>
        <v/>
      </c>
      <c r="W362" s="11"/>
      <c r="X362" s="18" t="str">
        <f aca="false">IF(W362="","",IFERROR(VLOOKUP(W362,REPS!$A$2:$D$40,3,0),""))</f>
        <v/>
      </c>
      <c r="Y362" s="14" t="str">
        <f aca="false">IF(O362="","",IF(X362="",0,O362*IF(X362&gt;1,X362/100,X362)))</f>
        <v/>
      </c>
      <c r="Z362" s="11"/>
      <c r="AA362" s="18" t="str">
        <f aca="false">IF(Z362="","",IFERROR(VLOOKUP(Z362,REPS!$A$2:$D$40,4,0),""))</f>
        <v/>
      </c>
      <c r="AB362" s="14" t="str">
        <f aca="false">IF(O362="","",IF(AA362="",0,O362*IF(AA362&gt;1,AA362/100,AA362)))</f>
        <v/>
      </c>
      <c r="AC362" s="14" t="str">
        <f aca="false">IF(O362="","",V362+Y362+AB362)</f>
        <v/>
      </c>
      <c r="AD362" s="19" t="str">
        <f aca="false">IF(O362="","",O362-R362-AC362)</f>
        <v/>
      </c>
      <c r="AE362" s="20"/>
      <c r="AF362" s="10"/>
      <c r="AG362" s="21" t="n">
        <f aca="false">IF(OR(AE362="",AE362=0),0,AE362*IF(U362="",0,IF(U362&gt;1,U362/100,U362)))</f>
        <v>0</v>
      </c>
      <c r="AH362" s="21" t="n">
        <f aca="false">IF(OR(AE362="",AE362=0),0,AE362*IF(X362="",0,IF(X362&gt;1,X362/100,X362)))</f>
        <v>0</v>
      </c>
      <c r="AI362" s="21" t="n">
        <f aca="false">IF(OR(AE362="",AE362=0),0,AE362*IF(AA362="",0,IF(AA362&gt;1,AA362/100,AA362)))</f>
        <v>0</v>
      </c>
      <c r="AJ362" s="21" t="n">
        <f aca="false">AG362+AH362+AI362</f>
        <v>0</v>
      </c>
      <c r="AK362" s="21" t="n">
        <f aca="false">IF(OR(AE362="",AE362=0),0,AE362-AJ362)</f>
        <v>0</v>
      </c>
      <c r="AL362" s="19" t="str">
        <f aca="false">IF(AD362="","",AD362-AK362)</f>
        <v/>
      </c>
      <c r="AM362" s="9" t="str">
        <f aca="false">IF(C362="","","Waiting for payment")</f>
        <v/>
      </c>
      <c r="AN362" s="10"/>
      <c r="AO362" s="10"/>
      <c r="AP362" s="22" t="str">
        <f aca="false">IF(OR(C362="",I362="",K362=""),"",IF(K362="Monthly",EDATE(C362,ROUND(I362*SETTINGS!$I$8,0)),WORKDAY(C362,ROUND(I362*SETTINGS!$I$8,0))))</f>
        <v/>
      </c>
      <c r="AQ362" s="9" t="str">
        <f aca="true">IF(C362="","",IF(AND(AP362&lt;&gt;"",TODAY()&gt;=AP362),"Refi Ready",IF(TODAY()-C362&gt;=SETTINGS!$I$11,"Prospecting","Performing")))</f>
        <v/>
      </c>
      <c r="AR362" s="22" t="str">
        <f aca="false">IF(OR(C362="",I362="",K362=""),"",IF(K362="Monthly",EDATE(C362,I362),WORKDAY(C362,I362)))</f>
        <v/>
      </c>
      <c r="AS362" s="11"/>
      <c r="AT362" s="23" t="str">
        <f aca="true">IF(C362="","",IF(AM362="Clawed Back","CLAWED",IF(TODAY()&lt;=C362+SETTINGS!$I$2,"⚠ AT RISK","SAFE")))</f>
        <v/>
      </c>
      <c r="AU362" s="11"/>
      <c r="AW362" s="24" t="n">
        <f aca="false">AW361+IF(AND(C362&lt;&gt;"",AO362&lt;&gt;"",OR('REP COMMISSION'!$B$3="",T362='REP COMMISSION'!$B$3,W362='REP COMMISSION'!$B$3,Z362='REP COMMISSION'!$B$3)),1,0)</f>
        <v>0</v>
      </c>
      <c r="AX362" s="24" t="n">
        <f aca="false">AX361+IF(AND(C362&lt;&gt;"",OR(F362="LOC - INITIAL",F362="CONSOLIDATION - UPFRONT COMM",F362="REVERSE - TOTAL FUNDING")),1,0)</f>
        <v>0</v>
      </c>
    </row>
    <row r="363" customFormat="false" ht="15" hidden="false" customHeight="false" outlineLevel="0" collapsed="false">
      <c r="A363" s="25" t="str">
        <f aca="false">IF(C363&lt;&gt;"","F"&amp;COUNT($C$4:C363),"")</f>
        <v/>
      </c>
      <c r="B363" s="26" t="str">
        <f aca="false">IF(OR(F363="LOC - INITIAL",F363="CONSOLIDATION - UPFRONT COMM",F363="REVERSE - TOTAL FUNDING"),A363,"")</f>
        <v/>
      </c>
      <c r="C363" s="27"/>
      <c r="D363" s="28"/>
      <c r="E363" s="28"/>
      <c r="F363" s="28"/>
      <c r="G363" s="29"/>
      <c r="H363" s="30"/>
      <c r="I363" s="28"/>
      <c r="J363" s="31" t="str">
        <f aca="false">IF(AND(G363&lt;&gt;"",H363&lt;&gt;""),G363*H363,"")</f>
        <v/>
      </c>
      <c r="K363" s="28"/>
      <c r="L363" s="32"/>
      <c r="M363" s="32"/>
      <c r="N363" s="31" t="n">
        <f aca="false">IF(OR(G363="",M363=""),0,IF(M363&gt;100,M363,G363*IF(M363&gt;1,M363/100,M363)))</f>
        <v>0</v>
      </c>
      <c r="O363" s="31" t="str">
        <f aca="false">IF(G363="","",G363*IF(L363="",0,IF(L363&gt;1,L363/100,L363))+N363)</f>
        <v/>
      </c>
      <c r="P363" s="28"/>
      <c r="Q363" s="33" t="str">
        <f aca="false">IF(P363="","",IFERROR(VLOOKUP(P363,PARTNERS!$A$2:$B$30,2,0),""))</f>
        <v/>
      </c>
      <c r="R363" s="17" t="str">
        <f aca="false">IF(O363="","",IF(OR(P363="",Q363=""),0,(O363-N363)*IF(Q363&gt;1,Q363/100,Q363)))</f>
        <v/>
      </c>
      <c r="S363" s="31" t="str">
        <f aca="false">IF(O363="","",O363-R363)</f>
        <v/>
      </c>
      <c r="T363" s="28"/>
      <c r="U363" s="34" t="str">
        <f aca="false">IF(T363="","",IFERROR(VLOOKUP(T363,REPS!$A$2:$D$40,2,0),""))</f>
        <v/>
      </c>
      <c r="V363" s="31" t="str">
        <f aca="false">IF(O363="","",IF(U363="",0,O363*IF(U363&gt;1,U363/100,U363)))</f>
        <v/>
      </c>
      <c r="W363" s="28"/>
      <c r="X363" s="34" t="str">
        <f aca="false">IF(W363="","",IFERROR(VLOOKUP(W363,REPS!$A$2:$D$40,3,0),""))</f>
        <v/>
      </c>
      <c r="Y363" s="31" t="str">
        <f aca="false">IF(O363="","",IF(X363="",0,O363*IF(X363&gt;1,X363/100,X363)))</f>
        <v/>
      </c>
      <c r="Z363" s="28"/>
      <c r="AA363" s="34" t="str">
        <f aca="false">IF(Z363="","",IFERROR(VLOOKUP(Z363,REPS!$A$2:$D$40,4,0),""))</f>
        <v/>
      </c>
      <c r="AB363" s="31" t="str">
        <f aca="false">IF(O363="","",IF(AA363="",0,O363*IF(AA363&gt;1,AA363/100,AA363)))</f>
        <v/>
      </c>
      <c r="AC363" s="31" t="str">
        <f aca="false">IF(O363="","",V363+Y363+AB363)</f>
        <v/>
      </c>
      <c r="AD363" s="19" t="str">
        <f aca="false">IF(O363="","",O363-R363-AC363)</f>
        <v/>
      </c>
      <c r="AE363" s="20"/>
      <c r="AF363" s="27"/>
      <c r="AG363" s="21" t="n">
        <f aca="false">IF(OR(AE363="",AE363=0),0,AE363*IF(U363="",0,IF(U363&gt;1,U363/100,U363)))</f>
        <v>0</v>
      </c>
      <c r="AH363" s="21" t="n">
        <f aca="false">IF(OR(AE363="",AE363=0),0,AE363*IF(X363="",0,IF(X363&gt;1,X363/100,X363)))</f>
        <v>0</v>
      </c>
      <c r="AI363" s="21" t="n">
        <f aca="false">IF(OR(AE363="",AE363=0),0,AE363*IF(AA363="",0,IF(AA363&gt;1,AA363/100,AA363)))</f>
        <v>0</v>
      </c>
      <c r="AJ363" s="21" t="n">
        <f aca="false">AG363+AH363+AI363</f>
        <v>0</v>
      </c>
      <c r="AK363" s="21" t="n">
        <f aca="false">IF(OR(AE363="",AE363=0),0,AE363-AJ363)</f>
        <v>0</v>
      </c>
      <c r="AL363" s="19" t="str">
        <f aca="false">IF(AD363="","",AD363-AK363)</f>
        <v/>
      </c>
      <c r="AM363" s="26" t="str">
        <f aca="false">IF(C363="","","Waiting for payment")</f>
        <v/>
      </c>
      <c r="AN363" s="27"/>
      <c r="AO363" s="27"/>
      <c r="AP363" s="35" t="str">
        <f aca="false">IF(OR(C363="",I363="",K363=""),"",IF(K363="Monthly",EDATE(C363,ROUND(I363*SETTINGS!$I$8,0)),WORKDAY(C363,ROUND(I363*SETTINGS!$I$8,0))))</f>
        <v/>
      </c>
      <c r="AQ363" s="26" t="str">
        <f aca="true">IF(C363="","",IF(AND(AP363&lt;&gt;"",TODAY()&gt;=AP363),"Refi Ready",IF(TODAY()-C363&gt;=SETTINGS!$I$11,"Prospecting","Performing")))</f>
        <v/>
      </c>
      <c r="AR363" s="35" t="str">
        <f aca="false">IF(OR(C363="",I363="",K363=""),"",IF(K363="Monthly",EDATE(C363,I363),WORKDAY(C363,I363)))</f>
        <v/>
      </c>
      <c r="AS363" s="28"/>
      <c r="AT363" s="36" t="str">
        <f aca="true">IF(C363="","",IF(AM363="Clawed Back","CLAWED",IF(TODAY()&lt;=C363+SETTINGS!$I$2,"⚠ AT RISK","SAFE")))</f>
        <v/>
      </c>
      <c r="AU363" s="28"/>
      <c r="AW363" s="24" t="n">
        <f aca="false">AW362+IF(AND(C363&lt;&gt;"",AO363&lt;&gt;"",OR('REP COMMISSION'!$B$3="",T363='REP COMMISSION'!$B$3,W363='REP COMMISSION'!$B$3,Z363='REP COMMISSION'!$B$3)),1,0)</f>
        <v>0</v>
      </c>
      <c r="AX363" s="24" t="n">
        <f aca="false">AX362+IF(AND(C363&lt;&gt;"",OR(F363="LOC - INITIAL",F363="CONSOLIDATION - UPFRONT COMM",F363="REVERSE - TOTAL FUNDING")),1,0)</f>
        <v>0</v>
      </c>
    </row>
    <row r="364" customFormat="false" ht="15" hidden="false" customHeight="false" outlineLevel="0" collapsed="false">
      <c r="A364" s="8" t="str">
        <f aca="false">IF(C364&lt;&gt;"","F"&amp;COUNT($C$4:C364),"")</f>
        <v/>
      </c>
      <c r="B364" s="9" t="str">
        <f aca="false">IF(OR(F364="LOC - INITIAL",F364="CONSOLIDATION - UPFRONT COMM",F364="REVERSE - TOTAL FUNDING"),A364,"")</f>
        <v/>
      </c>
      <c r="C364" s="10"/>
      <c r="D364" s="11"/>
      <c r="E364" s="11"/>
      <c r="F364" s="11"/>
      <c r="G364" s="12"/>
      <c r="H364" s="13"/>
      <c r="I364" s="11"/>
      <c r="J364" s="14" t="str">
        <f aca="false">IF(AND(G364&lt;&gt;"",H364&lt;&gt;""),G364*H364,"")</f>
        <v/>
      </c>
      <c r="K364" s="11"/>
      <c r="L364" s="15"/>
      <c r="M364" s="15"/>
      <c r="N364" s="14" t="n">
        <f aca="false">IF(OR(G364="",M364=""),0,IF(M364&gt;100,M364,G364*IF(M364&gt;1,M364/100,M364)))</f>
        <v>0</v>
      </c>
      <c r="O364" s="14" t="str">
        <f aca="false">IF(G364="","",G364*IF(L364="",0,IF(L364&gt;1,L364/100,L364))+N364)</f>
        <v/>
      </c>
      <c r="P364" s="11"/>
      <c r="Q364" s="16" t="str">
        <f aca="false">IF(P364="","",IFERROR(VLOOKUP(P364,PARTNERS!$A$2:$B$30,2,0),""))</f>
        <v/>
      </c>
      <c r="R364" s="17" t="str">
        <f aca="false">IF(O364="","",IF(OR(P364="",Q364=""),0,(O364-N364)*IF(Q364&gt;1,Q364/100,Q364)))</f>
        <v/>
      </c>
      <c r="S364" s="14" t="str">
        <f aca="false">IF(O364="","",O364-R364)</f>
        <v/>
      </c>
      <c r="T364" s="11"/>
      <c r="U364" s="18" t="str">
        <f aca="false">IF(T364="","",IFERROR(VLOOKUP(T364,REPS!$A$2:$D$40,2,0),""))</f>
        <v/>
      </c>
      <c r="V364" s="14" t="str">
        <f aca="false">IF(O364="","",IF(U364="",0,O364*IF(U364&gt;1,U364/100,U364)))</f>
        <v/>
      </c>
      <c r="W364" s="11"/>
      <c r="X364" s="18" t="str">
        <f aca="false">IF(W364="","",IFERROR(VLOOKUP(W364,REPS!$A$2:$D$40,3,0),""))</f>
        <v/>
      </c>
      <c r="Y364" s="14" t="str">
        <f aca="false">IF(O364="","",IF(X364="",0,O364*IF(X364&gt;1,X364/100,X364)))</f>
        <v/>
      </c>
      <c r="Z364" s="11"/>
      <c r="AA364" s="18" t="str">
        <f aca="false">IF(Z364="","",IFERROR(VLOOKUP(Z364,REPS!$A$2:$D$40,4,0),""))</f>
        <v/>
      </c>
      <c r="AB364" s="14" t="str">
        <f aca="false">IF(O364="","",IF(AA364="",0,O364*IF(AA364&gt;1,AA364/100,AA364)))</f>
        <v/>
      </c>
      <c r="AC364" s="14" t="str">
        <f aca="false">IF(O364="","",V364+Y364+AB364)</f>
        <v/>
      </c>
      <c r="AD364" s="19" t="str">
        <f aca="false">IF(O364="","",O364-R364-AC364)</f>
        <v/>
      </c>
      <c r="AE364" s="20"/>
      <c r="AF364" s="10"/>
      <c r="AG364" s="21" t="n">
        <f aca="false">IF(OR(AE364="",AE364=0),0,AE364*IF(U364="",0,IF(U364&gt;1,U364/100,U364)))</f>
        <v>0</v>
      </c>
      <c r="AH364" s="21" t="n">
        <f aca="false">IF(OR(AE364="",AE364=0),0,AE364*IF(X364="",0,IF(X364&gt;1,X364/100,X364)))</f>
        <v>0</v>
      </c>
      <c r="AI364" s="21" t="n">
        <f aca="false">IF(OR(AE364="",AE364=0),0,AE364*IF(AA364="",0,IF(AA364&gt;1,AA364/100,AA364)))</f>
        <v>0</v>
      </c>
      <c r="AJ364" s="21" t="n">
        <f aca="false">AG364+AH364+AI364</f>
        <v>0</v>
      </c>
      <c r="AK364" s="21" t="n">
        <f aca="false">IF(OR(AE364="",AE364=0),0,AE364-AJ364)</f>
        <v>0</v>
      </c>
      <c r="AL364" s="19" t="str">
        <f aca="false">IF(AD364="","",AD364-AK364)</f>
        <v/>
      </c>
      <c r="AM364" s="9" t="str">
        <f aca="false">IF(C364="","","Waiting for payment")</f>
        <v/>
      </c>
      <c r="AN364" s="10"/>
      <c r="AO364" s="10"/>
      <c r="AP364" s="22" t="str">
        <f aca="false">IF(OR(C364="",I364="",K364=""),"",IF(K364="Monthly",EDATE(C364,ROUND(I364*SETTINGS!$I$8,0)),WORKDAY(C364,ROUND(I364*SETTINGS!$I$8,0))))</f>
        <v/>
      </c>
      <c r="AQ364" s="9" t="str">
        <f aca="true">IF(C364="","",IF(AND(AP364&lt;&gt;"",TODAY()&gt;=AP364),"Refi Ready",IF(TODAY()-C364&gt;=SETTINGS!$I$11,"Prospecting","Performing")))</f>
        <v/>
      </c>
      <c r="AR364" s="22" t="str">
        <f aca="false">IF(OR(C364="",I364="",K364=""),"",IF(K364="Monthly",EDATE(C364,I364),WORKDAY(C364,I364)))</f>
        <v/>
      </c>
      <c r="AS364" s="11"/>
      <c r="AT364" s="23" t="str">
        <f aca="true">IF(C364="","",IF(AM364="Clawed Back","CLAWED",IF(TODAY()&lt;=C364+SETTINGS!$I$2,"⚠ AT RISK","SAFE")))</f>
        <v/>
      </c>
      <c r="AU364" s="11"/>
      <c r="AW364" s="24" t="n">
        <f aca="false">AW363+IF(AND(C364&lt;&gt;"",AO364&lt;&gt;"",OR('REP COMMISSION'!$B$3="",T364='REP COMMISSION'!$B$3,W364='REP COMMISSION'!$B$3,Z364='REP COMMISSION'!$B$3)),1,0)</f>
        <v>0</v>
      </c>
      <c r="AX364" s="24" t="n">
        <f aca="false">AX363+IF(AND(C364&lt;&gt;"",OR(F364="LOC - INITIAL",F364="CONSOLIDATION - UPFRONT COMM",F364="REVERSE - TOTAL FUNDING")),1,0)</f>
        <v>0</v>
      </c>
    </row>
    <row r="365" customFormat="false" ht="15" hidden="false" customHeight="false" outlineLevel="0" collapsed="false">
      <c r="A365" s="25" t="str">
        <f aca="false">IF(C365&lt;&gt;"","F"&amp;COUNT($C$4:C365),"")</f>
        <v/>
      </c>
      <c r="B365" s="26" t="str">
        <f aca="false">IF(OR(F365="LOC - INITIAL",F365="CONSOLIDATION - UPFRONT COMM",F365="REVERSE - TOTAL FUNDING"),A365,"")</f>
        <v/>
      </c>
      <c r="C365" s="27"/>
      <c r="D365" s="28"/>
      <c r="E365" s="28"/>
      <c r="F365" s="28"/>
      <c r="G365" s="29"/>
      <c r="H365" s="30"/>
      <c r="I365" s="28"/>
      <c r="J365" s="31" t="str">
        <f aca="false">IF(AND(G365&lt;&gt;"",H365&lt;&gt;""),G365*H365,"")</f>
        <v/>
      </c>
      <c r="K365" s="28"/>
      <c r="L365" s="32"/>
      <c r="M365" s="32"/>
      <c r="N365" s="31" t="n">
        <f aca="false">IF(OR(G365="",M365=""),0,IF(M365&gt;100,M365,G365*IF(M365&gt;1,M365/100,M365)))</f>
        <v>0</v>
      </c>
      <c r="O365" s="31" t="str">
        <f aca="false">IF(G365="","",G365*IF(L365="",0,IF(L365&gt;1,L365/100,L365))+N365)</f>
        <v/>
      </c>
      <c r="P365" s="28"/>
      <c r="Q365" s="33" t="str">
        <f aca="false">IF(P365="","",IFERROR(VLOOKUP(P365,PARTNERS!$A$2:$B$30,2,0),""))</f>
        <v/>
      </c>
      <c r="R365" s="17" t="str">
        <f aca="false">IF(O365="","",IF(OR(P365="",Q365=""),0,(O365-N365)*IF(Q365&gt;1,Q365/100,Q365)))</f>
        <v/>
      </c>
      <c r="S365" s="31" t="str">
        <f aca="false">IF(O365="","",O365-R365)</f>
        <v/>
      </c>
      <c r="T365" s="28"/>
      <c r="U365" s="34" t="str">
        <f aca="false">IF(T365="","",IFERROR(VLOOKUP(T365,REPS!$A$2:$D$40,2,0),""))</f>
        <v/>
      </c>
      <c r="V365" s="31" t="str">
        <f aca="false">IF(O365="","",IF(U365="",0,O365*IF(U365&gt;1,U365/100,U365)))</f>
        <v/>
      </c>
      <c r="W365" s="28"/>
      <c r="X365" s="34" t="str">
        <f aca="false">IF(W365="","",IFERROR(VLOOKUP(W365,REPS!$A$2:$D$40,3,0),""))</f>
        <v/>
      </c>
      <c r="Y365" s="31" t="str">
        <f aca="false">IF(O365="","",IF(X365="",0,O365*IF(X365&gt;1,X365/100,X365)))</f>
        <v/>
      </c>
      <c r="Z365" s="28"/>
      <c r="AA365" s="34" t="str">
        <f aca="false">IF(Z365="","",IFERROR(VLOOKUP(Z365,REPS!$A$2:$D$40,4,0),""))</f>
        <v/>
      </c>
      <c r="AB365" s="31" t="str">
        <f aca="false">IF(O365="","",IF(AA365="",0,O365*IF(AA365&gt;1,AA365/100,AA365)))</f>
        <v/>
      </c>
      <c r="AC365" s="31" t="str">
        <f aca="false">IF(O365="","",V365+Y365+AB365)</f>
        <v/>
      </c>
      <c r="AD365" s="19" t="str">
        <f aca="false">IF(O365="","",O365-R365-AC365)</f>
        <v/>
      </c>
      <c r="AE365" s="20"/>
      <c r="AF365" s="27"/>
      <c r="AG365" s="21" t="n">
        <f aca="false">IF(OR(AE365="",AE365=0),0,AE365*IF(U365="",0,IF(U365&gt;1,U365/100,U365)))</f>
        <v>0</v>
      </c>
      <c r="AH365" s="21" t="n">
        <f aca="false">IF(OR(AE365="",AE365=0),0,AE365*IF(X365="",0,IF(X365&gt;1,X365/100,X365)))</f>
        <v>0</v>
      </c>
      <c r="AI365" s="21" t="n">
        <f aca="false">IF(OR(AE365="",AE365=0),0,AE365*IF(AA365="",0,IF(AA365&gt;1,AA365/100,AA365)))</f>
        <v>0</v>
      </c>
      <c r="AJ365" s="21" t="n">
        <f aca="false">AG365+AH365+AI365</f>
        <v>0</v>
      </c>
      <c r="AK365" s="21" t="n">
        <f aca="false">IF(OR(AE365="",AE365=0),0,AE365-AJ365)</f>
        <v>0</v>
      </c>
      <c r="AL365" s="19" t="str">
        <f aca="false">IF(AD365="","",AD365-AK365)</f>
        <v/>
      </c>
      <c r="AM365" s="26" t="str">
        <f aca="false">IF(C365="","","Waiting for payment")</f>
        <v/>
      </c>
      <c r="AN365" s="27"/>
      <c r="AO365" s="27"/>
      <c r="AP365" s="35" t="str">
        <f aca="false">IF(OR(C365="",I365="",K365=""),"",IF(K365="Monthly",EDATE(C365,ROUND(I365*SETTINGS!$I$8,0)),WORKDAY(C365,ROUND(I365*SETTINGS!$I$8,0))))</f>
        <v/>
      </c>
      <c r="AQ365" s="26" t="str">
        <f aca="true">IF(C365="","",IF(AND(AP365&lt;&gt;"",TODAY()&gt;=AP365),"Refi Ready",IF(TODAY()-C365&gt;=SETTINGS!$I$11,"Prospecting","Performing")))</f>
        <v/>
      </c>
      <c r="AR365" s="35" t="str">
        <f aca="false">IF(OR(C365="",I365="",K365=""),"",IF(K365="Monthly",EDATE(C365,I365),WORKDAY(C365,I365)))</f>
        <v/>
      </c>
      <c r="AS365" s="28"/>
      <c r="AT365" s="36" t="str">
        <f aca="true">IF(C365="","",IF(AM365="Clawed Back","CLAWED",IF(TODAY()&lt;=C365+SETTINGS!$I$2,"⚠ AT RISK","SAFE")))</f>
        <v/>
      </c>
      <c r="AU365" s="28"/>
      <c r="AW365" s="24" t="n">
        <f aca="false">AW364+IF(AND(C365&lt;&gt;"",AO365&lt;&gt;"",OR('REP COMMISSION'!$B$3="",T365='REP COMMISSION'!$B$3,W365='REP COMMISSION'!$B$3,Z365='REP COMMISSION'!$B$3)),1,0)</f>
        <v>0</v>
      </c>
      <c r="AX365" s="24" t="n">
        <f aca="false">AX364+IF(AND(C365&lt;&gt;"",OR(F365="LOC - INITIAL",F365="CONSOLIDATION - UPFRONT COMM",F365="REVERSE - TOTAL FUNDING")),1,0)</f>
        <v>0</v>
      </c>
    </row>
    <row r="366" customFormat="false" ht="15" hidden="false" customHeight="false" outlineLevel="0" collapsed="false">
      <c r="A366" s="8" t="str">
        <f aca="false">IF(C366&lt;&gt;"","F"&amp;COUNT($C$4:C366),"")</f>
        <v/>
      </c>
      <c r="B366" s="9" t="str">
        <f aca="false">IF(OR(F366="LOC - INITIAL",F366="CONSOLIDATION - UPFRONT COMM",F366="REVERSE - TOTAL FUNDING"),A366,"")</f>
        <v/>
      </c>
      <c r="C366" s="10"/>
      <c r="D366" s="11"/>
      <c r="E366" s="11"/>
      <c r="F366" s="11"/>
      <c r="G366" s="12"/>
      <c r="H366" s="13"/>
      <c r="I366" s="11"/>
      <c r="J366" s="14" t="str">
        <f aca="false">IF(AND(G366&lt;&gt;"",H366&lt;&gt;""),G366*H366,"")</f>
        <v/>
      </c>
      <c r="K366" s="11"/>
      <c r="L366" s="15"/>
      <c r="M366" s="15"/>
      <c r="N366" s="14" t="n">
        <f aca="false">IF(OR(G366="",M366=""),0,IF(M366&gt;100,M366,G366*IF(M366&gt;1,M366/100,M366)))</f>
        <v>0</v>
      </c>
      <c r="O366" s="14" t="str">
        <f aca="false">IF(G366="","",G366*IF(L366="",0,IF(L366&gt;1,L366/100,L366))+N366)</f>
        <v/>
      </c>
      <c r="P366" s="11"/>
      <c r="Q366" s="16" t="str">
        <f aca="false">IF(P366="","",IFERROR(VLOOKUP(P366,PARTNERS!$A$2:$B$30,2,0),""))</f>
        <v/>
      </c>
      <c r="R366" s="17" t="str">
        <f aca="false">IF(O366="","",IF(OR(P366="",Q366=""),0,(O366-N366)*IF(Q366&gt;1,Q366/100,Q366)))</f>
        <v/>
      </c>
      <c r="S366" s="14" t="str">
        <f aca="false">IF(O366="","",O366-R366)</f>
        <v/>
      </c>
      <c r="T366" s="11"/>
      <c r="U366" s="18" t="str">
        <f aca="false">IF(T366="","",IFERROR(VLOOKUP(T366,REPS!$A$2:$D$40,2,0),""))</f>
        <v/>
      </c>
      <c r="V366" s="14" t="str">
        <f aca="false">IF(O366="","",IF(U366="",0,O366*IF(U366&gt;1,U366/100,U366)))</f>
        <v/>
      </c>
      <c r="W366" s="11"/>
      <c r="X366" s="18" t="str">
        <f aca="false">IF(W366="","",IFERROR(VLOOKUP(W366,REPS!$A$2:$D$40,3,0),""))</f>
        <v/>
      </c>
      <c r="Y366" s="14" t="str">
        <f aca="false">IF(O366="","",IF(X366="",0,O366*IF(X366&gt;1,X366/100,X366)))</f>
        <v/>
      </c>
      <c r="Z366" s="11"/>
      <c r="AA366" s="18" t="str">
        <f aca="false">IF(Z366="","",IFERROR(VLOOKUP(Z366,REPS!$A$2:$D$40,4,0),""))</f>
        <v/>
      </c>
      <c r="AB366" s="14" t="str">
        <f aca="false">IF(O366="","",IF(AA366="",0,O366*IF(AA366&gt;1,AA366/100,AA366)))</f>
        <v/>
      </c>
      <c r="AC366" s="14" t="str">
        <f aca="false">IF(O366="","",V366+Y366+AB366)</f>
        <v/>
      </c>
      <c r="AD366" s="19" t="str">
        <f aca="false">IF(O366="","",O366-R366-AC366)</f>
        <v/>
      </c>
      <c r="AE366" s="20"/>
      <c r="AF366" s="10"/>
      <c r="AG366" s="21" t="n">
        <f aca="false">IF(OR(AE366="",AE366=0),0,AE366*IF(U366="",0,IF(U366&gt;1,U366/100,U366)))</f>
        <v>0</v>
      </c>
      <c r="AH366" s="21" t="n">
        <f aca="false">IF(OR(AE366="",AE366=0),0,AE366*IF(X366="",0,IF(X366&gt;1,X366/100,X366)))</f>
        <v>0</v>
      </c>
      <c r="AI366" s="21" t="n">
        <f aca="false">IF(OR(AE366="",AE366=0),0,AE366*IF(AA366="",0,IF(AA366&gt;1,AA366/100,AA366)))</f>
        <v>0</v>
      </c>
      <c r="AJ366" s="21" t="n">
        <f aca="false">AG366+AH366+AI366</f>
        <v>0</v>
      </c>
      <c r="AK366" s="21" t="n">
        <f aca="false">IF(OR(AE366="",AE366=0),0,AE366-AJ366)</f>
        <v>0</v>
      </c>
      <c r="AL366" s="19" t="str">
        <f aca="false">IF(AD366="","",AD366-AK366)</f>
        <v/>
      </c>
      <c r="AM366" s="9" t="str">
        <f aca="false">IF(C366="","","Waiting for payment")</f>
        <v/>
      </c>
      <c r="AN366" s="10"/>
      <c r="AO366" s="10"/>
      <c r="AP366" s="22" t="str">
        <f aca="false">IF(OR(C366="",I366="",K366=""),"",IF(K366="Monthly",EDATE(C366,ROUND(I366*SETTINGS!$I$8,0)),WORKDAY(C366,ROUND(I366*SETTINGS!$I$8,0))))</f>
        <v/>
      </c>
      <c r="AQ366" s="9" t="str">
        <f aca="true">IF(C366="","",IF(AND(AP366&lt;&gt;"",TODAY()&gt;=AP366),"Refi Ready",IF(TODAY()-C366&gt;=SETTINGS!$I$11,"Prospecting","Performing")))</f>
        <v/>
      </c>
      <c r="AR366" s="22" t="str">
        <f aca="false">IF(OR(C366="",I366="",K366=""),"",IF(K366="Monthly",EDATE(C366,I366),WORKDAY(C366,I366)))</f>
        <v/>
      </c>
      <c r="AS366" s="11"/>
      <c r="AT366" s="23" t="str">
        <f aca="true">IF(C366="","",IF(AM366="Clawed Back","CLAWED",IF(TODAY()&lt;=C366+SETTINGS!$I$2,"⚠ AT RISK","SAFE")))</f>
        <v/>
      </c>
      <c r="AU366" s="11"/>
      <c r="AW366" s="24" t="n">
        <f aca="false">AW365+IF(AND(C366&lt;&gt;"",AO366&lt;&gt;"",OR('REP COMMISSION'!$B$3="",T366='REP COMMISSION'!$B$3,W366='REP COMMISSION'!$B$3,Z366='REP COMMISSION'!$B$3)),1,0)</f>
        <v>0</v>
      </c>
      <c r="AX366" s="24" t="n">
        <f aca="false">AX365+IF(AND(C366&lt;&gt;"",OR(F366="LOC - INITIAL",F366="CONSOLIDATION - UPFRONT COMM",F366="REVERSE - TOTAL FUNDING")),1,0)</f>
        <v>0</v>
      </c>
    </row>
    <row r="367" customFormat="false" ht="15" hidden="false" customHeight="false" outlineLevel="0" collapsed="false">
      <c r="A367" s="25" t="str">
        <f aca="false">IF(C367&lt;&gt;"","F"&amp;COUNT($C$4:C367),"")</f>
        <v/>
      </c>
      <c r="B367" s="26" t="str">
        <f aca="false">IF(OR(F367="LOC - INITIAL",F367="CONSOLIDATION - UPFRONT COMM",F367="REVERSE - TOTAL FUNDING"),A367,"")</f>
        <v/>
      </c>
      <c r="C367" s="27"/>
      <c r="D367" s="28"/>
      <c r="E367" s="28"/>
      <c r="F367" s="28"/>
      <c r="G367" s="29"/>
      <c r="H367" s="30"/>
      <c r="I367" s="28"/>
      <c r="J367" s="31" t="str">
        <f aca="false">IF(AND(G367&lt;&gt;"",H367&lt;&gt;""),G367*H367,"")</f>
        <v/>
      </c>
      <c r="K367" s="28"/>
      <c r="L367" s="32"/>
      <c r="M367" s="32"/>
      <c r="N367" s="31" t="n">
        <f aca="false">IF(OR(G367="",M367=""),0,IF(M367&gt;100,M367,G367*IF(M367&gt;1,M367/100,M367)))</f>
        <v>0</v>
      </c>
      <c r="O367" s="31" t="str">
        <f aca="false">IF(G367="","",G367*IF(L367="",0,IF(L367&gt;1,L367/100,L367))+N367)</f>
        <v/>
      </c>
      <c r="P367" s="28"/>
      <c r="Q367" s="33" t="str">
        <f aca="false">IF(P367="","",IFERROR(VLOOKUP(P367,PARTNERS!$A$2:$B$30,2,0),""))</f>
        <v/>
      </c>
      <c r="R367" s="17" t="str">
        <f aca="false">IF(O367="","",IF(OR(P367="",Q367=""),0,(O367-N367)*IF(Q367&gt;1,Q367/100,Q367)))</f>
        <v/>
      </c>
      <c r="S367" s="31" t="str">
        <f aca="false">IF(O367="","",O367-R367)</f>
        <v/>
      </c>
      <c r="T367" s="28"/>
      <c r="U367" s="34" t="str">
        <f aca="false">IF(T367="","",IFERROR(VLOOKUP(T367,REPS!$A$2:$D$40,2,0),""))</f>
        <v/>
      </c>
      <c r="V367" s="31" t="str">
        <f aca="false">IF(O367="","",IF(U367="",0,O367*IF(U367&gt;1,U367/100,U367)))</f>
        <v/>
      </c>
      <c r="W367" s="28"/>
      <c r="X367" s="34" t="str">
        <f aca="false">IF(W367="","",IFERROR(VLOOKUP(W367,REPS!$A$2:$D$40,3,0),""))</f>
        <v/>
      </c>
      <c r="Y367" s="31" t="str">
        <f aca="false">IF(O367="","",IF(X367="",0,O367*IF(X367&gt;1,X367/100,X367)))</f>
        <v/>
      </c>
      <c r="Z367" s="28"/>
      <c r="AA367" s="34" t="str">
        <f aca="false">IF(Z367="","",IFERROR(VLOOKUP(Z367,REPS!$A$2:$D$40,4,0),""))</f>
        <v/>
      </c>
      <c r="AB367" s="31" t="str">
        <f aca="false">IF(O367="","",IF(AA367="",0,O367*IF(AA367&gt;1,AA367/100,AA367)))</f>
        <v/>
      </c>
      <c r="AC367" s="31" t="str">
        <f aca="false">IF(O367="","",V367+Y367+AB367)</f>
        <v/>
      </c>
      <c r="AD367" s="19" t="str">
        <f aca="false">IF(O367="","",O367-R367-AC367)</f>
        <v/>
      </c>
      <c r="AE367" s="20"/>
      <c r="AF367" s="27"/>
      <c r="AG367" s="21" t="n">
        <f aca="false">IF(OR(AE367="",AE367=0),0,AE367*IF(U367="",0,IF(U367&gt;1,U367/100,U367)))</f>
        <v>0</v>
      </c>
      <c r="AH367" s="21" t="n">
        <f aca="false">IF(OR(AE367="",AE367=0),0,AE367*IF(X367="",0,IF(X367&gt;1,X367/100,X367)))</f>
        <v>0</v>
      </c>
      <c r="AI367" s="21" t="n">
        <f aca="false">IF(OR(AE367="",AE367=0),0,AE367*IF(AA367="",0,IF(AA367&gt;1,AA367/100,AA367)))</f>
        <v>0</v>
      </c>
      <c r="AJ367" s="21" t="n">
        <f aca="false">AG367+AH367+AI367</f>
        <v>0</v>
      </c>
      <c r="AK367" s="21" t="n">
        <f aca="false">IF(OR(AE367="",AE367=0),0,AE367-AJ367)</f>
        <v>0</v>
      </c>
      <c r="AL367" s="19" t="str">
        <f aca="false">IF(AD367="","",AD367-AK367)</f>
        <v/>
      </c>
      <c r="AM367" s="26" t="str">
        <f aca="false">IF(C367="","","Waiting for payment")</f>
        <v/>
      </c>
      <c r="AN367" s="27"/>
      <c r="AO367" s="27"/>
      <c r="AP367" s="35" t="str">
        <f aca="false">IF(OR(C367="",I367="",K367=""),"",IF(K367="Monthly",EDATE(C367,ROUND(I367*SETTINGS!$I$8,0)),WORKDAY(C367,ROUND(I367*SETTINGS!$I$8,0))))</f>
        <v/>
      </c>
      <c r="AQ367" s="26" t="str">
        <f aca="true">IF(C367="","",IF(AND(AP367&lt;&gt;"",TODAY()&gt;=AP367),"Refi Ready",IF(TODAY()-C367&gt;=SETTINGS!$I$11,"Prospecting","Performing")))</f>
        <v/>
      </c>
      <c r="AR367" s="35" t="str">
        <f aca="false">IF(OR(C367="",I367="",K367=""),"",IF(K367="Monthly",EDATE(C367,I367),WORKDAY(C367,I367)))</f>
        <v/>
      </c>
      <c r="AS367" s="28"/>
      <c r="AT367" s="36" t="str">
        <f aca="true">IF(C367="","",IF(AM367="Clawed Back","CLAWED",IF(TODAY()&lt;=C367+SETTINGS!$I$2,"⚠ AT RISK","SAFE")))</f>
        <v/>
      </c>
      <c r="AU367" s="28"/>
      <c r="AW367" s="24" t="n">
        <f aca="false">AW366+IF(AND(C367&lt;&gt;"",AO367&lt;&gt;"",OR('REP COMMISSION'!$B$3="",T367='REP COMMISSION'!$B$3,W367='REP COMMISSION'!$B$3,Z367='REP COMMISSION'!$B$3)),1,0)</f>
        <v>0</v>
      </c>
      <c r="AX367" s="24" t="n">
        <f aca="false">AX366+IF(AND(C367&lt;&gt;"",OR(F367="LOC - INITIAL",F367="CONSOLIDATION - UPFRONT COMM",F367="REVERSE - TOTAL FUNDING")),1,0)</f>
        <v>0</v>
      </c>
    </row>
    <row r="368" customFormat="false" ht="15" hidden="false" customHeight="false" outlineLevel="0" collapsed="false">
      <c r="A368" s="8" t="str">
        <f aca="false">IF(C368&lt;&gt;"","F"&amp;COUNT($C$4:C368),"")</f>
        <v/>
      </c>
      <c r="B368" s="9" t="str">
        <f aca="false">IF(OR(F368="LOC - INITIAL",F368="CONSOLIDATION - UPFRONT COMM",F368="REVERSE - TOTAL FUNDING"),A368,"")</f>
        <v/>
      </c>
      <c r="C368" s="10"/>
      <c r="D368" s="11"/>
      <c r="E368" s="11"/>
      <c r="F368" s="11"/>
      <c r="G368" s="12"/>
      <c r="H368" s="13"/>
      <c r="I368" s="11"/>
      <c r="J368" s="14" t="str">
        <f aca="false">IF(AND(G368&lt;&gt;"",H368&lt;&gt;""),G368*H368,"")</f>
        <v/>
      </c>
      <c r="K368" s="11"/>
      <c r="L368" s="15"/>
      <c r="M368" s="15"/>
      <c r="N368" s="14" t="n">
        <f aca="false">IF(OR(G368="",M368=""),0,IF(M368&gt;100,M368,G368*IF(M368&gt;1,M368/100,M368)))</f>
        <v>0</v>
      </c>
      <c r="O368" s="14" t="str">
        <f aca="false">IF(G368="","",G368*IF(L368="",0,IF(L368&gt;1,L368/100,L368))+N368)</f>
        <v/>
      </c>
      <c r="P368" s="11"/>
      <c r="Q368" s="16" t="str">
        <f aca="false">IF(P368="","",IFERROR(VLOOKUP(P368,PARTNERS!$A$2:$B$30,2,0),""))</f>
        <v/>
      </c>
      <c r="R368" s="17" t="str">
        <f aca="false">IF(O368="","",IF(OR(P368="",Q368=""),0,(O368-N368)*IF(Q368&gt;1,Q368/100,Q368)))</f>
        <v/>
      </c>
      <c r="S368" s="14" t="str">
        <f aca="false">IF(O368="","",O368-R368)</f>
        <v/>
      </c>
      <c r="T368" s="11"/>
      <c r="U368" s="18" t="str">
        <f aca="false">IF(T368="","",IFERROR(VLOOKUP(T368,REPS!$A$2:$D$40,2,0),""))</f>
        <v/>
      </c>
      <c r="V368" s="14" t="str">
        <f aca="false">IF(O368="","",IF(U368="",0,O368*IF(U368&gt;1,U368/100,U368)))</f>
        <v/>
      </c>
      <c r="W368" s="11"/>
      <c r="X368" s="18" t="str">
        <f aca="false">IF(W368="","",IFERROR(VLOOKUP(W368,REPS!$A$2:$D$40,3,0),""))</f>
        <v/>
      </c>
      <c r="Y368" s="14" t="str">
        <f aca="false">IF(O368="","",IF(X368="",0,O368*IF(X368&gt;1,X368/100,X368)))</f>
        <v/>
      </c>
      <c r="Z368" s="11"/>
      <c r="AA368" s="18" t="str">
        <f aca="false">IF(Z368="","",IFERROR(VLOOKUP(Z368,REPS!$A$2:$D$40,4,0),""))</f>
        <v/>
      </c>
      <c r="AB368" s="14" t="str">
        <f aca="false">IF(O368="","",IF(AA368="",0,O368*IF(AA368&gt;1,AA368/100,AA368)))</f>
        <v/>
      </c>
      <c r="AC368" s="14" t="str">
        <f aca="false">IF(O368="","",V368+Y368+AB368)</f>
        <v/>
      </c>
      <c r="AD368" s="19" t="str">
        <f aca="false">IF(O368="","",O368-R368-AC368)</f>
        <v/>
      </c>
      <c r="AE368" s="20"/>
      <c r="AF368" s="10"/>
      <c r="AG368" s="21" t="n">
        <f aca="false">IF(OR(AE368="",AE368=0),0,AE368*IF(U368="",0,IF(U368&gt;1,U368/100,U368)))</f>
        <v>0</v>
      </c>
      <c r="AH368" s="21" t="n">
        <f aca="false">IF(OR(AE368="",AE368=0),0,AE368*IF(X368="",0,IF(X368&gt;1,X368/100,X368)))</f>
        <v>0</v>
      </c>
      <c r="AI368" s="21" t="n">
        <f aca="false">IF(OR(AE368="",AE368=0),0,AE368*IF(AA368="",0,IF(AA368&gt;1,AA368/100,AA368)))</f>
        <v>0</v>
      </c>
      <c r="AJ368" s="21" t="n">
        <f aca="false">AG368+AH368+AI368</f>
        <v>0</v>
      </c>
      <c r="AK368" s="21" t="n">
        <f aca="false">IF(OR(AE368="",AE368=0),0,AE368-AJ368)</f>
        <v>0</v>
      </c>
      <c r="AL368" s="19" t="str">
        <f aca="false">IF(AD368="","",AD368-AK368)</f>
        <v/>
      </c>
      <c r="AM368" s="9" t="str">
        <f aca="false">IF(C368="","","Waiting for payment")</f>
        <v/>
      </c>
      <c r="AN368" s="10"/>
      <c r="AO368" s="10"/>
      <c r="AP368" s="22" t="str">
        <f aca="false">IF(OR(C368="",I368="",K368=""),"",IF(K368="Monthly",EDATE(C368,ROUND(I368*SETTINGS!$I$8,0)),WORKDAY(C368,ROUND(I368*SETTINGS!$I$8,0))))</f>
        <v/>
      </c>
      <c r="AQ368" s="9" t="str">
        <f aca="true">IF(C368="","",IF(AND(AP368&lt;&gt;"",TODAY()&gt;=AP368),"Refi Ready",IF(TODAY()-C368&gt;=SETTINGS!$I$11,"Prospecting","Performing")))</f>
        <v/>
      </c>
      <c r="AR368" s="22" t="str">
        <f aca="false">IF(OR(C368="",I368="",K368=""),"",IF(K368="Monthly",EDATE(C368,I368),WORKDAY(C368,I368)))</f>
        <v/>
      </c>
      <c r="AS368" s="11"/>
      <c r="AT368" s="23" t="str">
        <f aca="true">IF(C368="","",IF(AM368="Clawed Back","CLAWED",IF(TODAY()&lt;=C368+SETTINGS!$I$2,"⚠ AT RISK","SAFE")))</f>
        <v/>
      </c>
      <c r="AU368" s="11"/>
      <c r="AW368" s="24" t="n">
        <f aca="false">AW367+IF(AND(C368&lt;&gt;"",AO368&lt;&gt;"",OR('REP COMMISSION'!$B$3="",T368='REP COMMISSION'!$B$3,W368='REP COMMISSION'!$B$3,Z368='REP COMMISSION'!$B$3)),1,0)</f>
        <v>0</v>
      </c>
      <c r="AX368" s="24" t="n">
        <f aca="false">AX367+IF(AND(C368&lt;&gt;"",OR(F368="LOC - INITIAL",F368="CONSOLIDATION - UPFRONT COMM",F368="REVERSE - TOTAL FUNDING")),1,0)</f>
        <v>0</v>
      </c>
    </row>
    <row r="369" customFormat="false" ht="15" hidden="false" customHeight="false" outlineLevel="0" collapsed="false">
      <c r="A369" s="25" t="str">
        <f aca="false">IF(C369&lt;&gt;"","F"&amp;COUNT($C$4:C369),"")</f>
        <v/>
      </c>
      <c r="B369" s="26" t="str">
        <f aca="false">IF(OR(F369="LOC - INITIAL",F369="CONSOLIDATION - UPFRONT COMM",F369="REVERSE - TOTAL FUNDING"),A369,"")</f>
        <v/>
      </c>
      <c r="C369" s="27"/>
      <c r="D369" s="28"/>
      <c r="E369" s="28"/>
      <c r="F369" s="28"/>
      <c r="G369" s="29"/>
      <c r="H369" s="30"/>
      <c r="I369" s="28"/>
      <c r="J369" s="31" t="str">
        <f aca="false">IF(AND(G369&lt;&gt;"",H369&lt;&gt;""),G369*H369,"")</f>
        <v/>
      </c>
      <c r="K369" s="28"/>
      <c r="L369" s="32"/>
      <c r="M369" s="32"/>
      <c r="N369" s="31" t="n">
        <f aca="false">IF(OR(G369="",M369=""),0,IF(M369&gt;100,M369,G369*IF(M369&gt;1,M369/100,M369)))</f>
        <v>0</v>
      </c>
      <c r="O369" s="31" t="str">
        <f aca="false">IF(G369="","",G369*IF(L369="",0,IF(L369&gt;1,L369/100,L369))+N369)</f>
        <v/>
      </c>
      <c r="P369" s="28"/>
      <c r="Q369" s="33" t="str">
        <f aca="false">IF(P369="","",IFERROR(VLOOKUP(P369,PARTNERS!$A$2:$B$30,2,0),""))</f>
        <v/>
      </c>
      <c r="R369" s="17" t="str">
        <f aca="false">IF(O369="","",IF(OR(P369="",Q369=""),0,(O369-N369)*IF(Q369&gt;1,Q369/100,Q369)))</f>
        <v/>
      </c>
      <c r="S369" s="31" t="str">
        <f aca="false">IF(O369="","",O369-R369)</f>
        <v/>
      </c>
      <c r="T369" s="28"/>
      <c r="U369" s="34" t="str">
        <f aca="false">IF(T369="","",IFERROR(VLOOKUP(T369,REPS!$A$2:$D$40,2,0),""))</f>
        <v/>
      </c>
      <c r="V369" s="31" t="str">
        <f aca="false">IF(O369="","",IF(U369="",0,O369*IF(U369&gt;1,U369/100,U369)))</f>
        <v/>
      </c>
      <c r="W369" s="28"/>
      <c r="X369" s="34" t="str">
        <f aca="false">IF(W369="","",IFERROR(VLOOKUP(W369,REPS!$A$2:$D$40,3,0),""))</f>
        <v/>
      </c>
      <c r="Y369" s="31" t="str">
        <f aca="false">IF(O369="","",IF(X369="",0,O369*IF(X369&gt;1,X369/100,X369)))</f>
        <v/>
      </c>
      <c r="Z369" s="28"/>
      <c r="AA369" s="34" t="str">
        <f aca="false">IF(Z369="","",IFERROR(VLOOKUP(Z369,REPS!$A$2:$D$40,4,0),""))</f>
        <v/>
      </c>
      <c r="AB369" s="31" t="str">
        <f aca="false">IF(O369="","",IF(AA369="",0,O369*IF(AA369&gt;1,AA369/100,AA369)))</f>
        <v/>
      </c>
      <c r="AC369" s="31" t="str">
        <f aca="false">IF(O369="","",V369+Y369+AB369)</f>
        <v/>
      </c>
      <c r="AD369" s="19" t="str">
        <f aca="false">IF(O369="","",O369-R369-AC369)</f>
        <v/>
      </c>
      <c r="AE369" s="20"/>
      <c r="AF369" s="27"/>
      <c r="AG369" s="21" t="n">
        <f aca="false">IF(OR(AE369="",AE369=0),0,AE369*IF(U369="",0,IF(U369&gt;1,U369/100,U369)))</f>
        <v>0</v>
      </c>
      <c r="AH369" s="21" t="n">
        <f aca="false">IF(OR(AE369="",AE369=0),0,AE369*IF(X369="",0,IF(X369&gt;1,X369/100,X369)))</f>
        <v>0</v>
      </c>
      <c r="AI369" s="21" t="n">
        <f aca="false">IF(OR(AE369="",AE369=0),0,AE369*IF(AA369="",0,IF(AA369&gt;1,AA369/100,AA369)))</f>
        <v>0</v>
      </c>
      <c r="AJ369" s="21" t="n">
        <f aca="false">AG369+AH369+AI369</f>
        <v>0</v>
      </c>
      <c r="AK369" s="21" t="n">
        <f aca="false">IF(OR(AE369="",AE369=0),0,AE369-AJ369)</f>
        <v>0</v>
      </c>
      <c r="AL369" s="19" t="str">
        <f aca="false">IF(AD369="","",AD369-AK369)</f>
        <v/>
      </c>
      <c r="AM369" s="26" t="str">
        <f aca="false">IF(C369="","","Waiting for payment")</f>
        <v/>
      </c>
      <c r="AN369" s="27"/>
      <c r="AO369" s="27"/>
      <c r="AP369" s="35" t="str">
        <f aca="false">IF(OR(C369="",I369="",K369=""),"",IF(K369="Monthly",EDATE(C369,ROUND(I369*SETTINGS!$I$8,0)),WORKDAY(C369,ROUND(I369*SETTINGS!$I$8,0))))</f>
        <v/>
      </c>
      <c r="AQ369" s="26" t="str">
        <f aca="true">IF(C369="","",IF(AND(AP369&lt;&gt;"",TODAY()&gt;=AP369),"Refi Ready",IF(TODAY()-C369&gt;=SETTINGS!$I$11,"Prospecting","Performing")))</f>
        <v/>
      </c>
      <c r="AR369" s="35" t="str">
        <f aca="false">IF(OR(C369="",I369="",K369=""),"",IF(K369="Monthly",EDATE(C369,I369),WORKDAY(C369,I369)))</f>
        <v/>
      </c>
      <c r="AS369" s="28"/>
      <c r="AT369" s="36" t="str">
        <f aca="true">IF(C369="","",IF(AM369="Clawed Back","CLAWED",IF(TODAY()&lt;=C369+SETTINGS!$I$2,"⚠ AT RISK","SAFE")))</f>
        <v/>
      </c>
      <c r="AU369" s="28"/>
      <c r="AW369" s="24" t="n">
        <f aca="false">AW368+IF(AND(C369&lt;&gt;"",AO369&lt;&gt;"",OR('REP COMMISSION'!$B$3="",T369='REP COMMISSION'!$B$3,W369='REP COMMISSION'!$B$3,Z369='REP COMMISSION'!$B$3)),1,0)</f>
        <v>0</v>
      </c>
      <c r="AX369" s="24" t="n">
        <f aca="false">AX368+IF(AND(C369&lt;&gt;"",OR(F369="LOC - INITIAL",F369="CONSOLIDATION - UPFRONT COMM",F369="REVERSE - TOTAL FUNDING")),1,0)</f>
        <v>0</v>
      </c>
    </row>
    <row r="370" customFormat="false" ht="15" hidden="false" customHeight="false" outlineLevel="0" collapsed="false">
      <c r="A370" s="8" t="str">
        <f aca="false">IF(C370&lt;&gt;"","F"&amp;COUNT($C$4:C370),"")</f>
        <v/>
      </c>
      <c r="B370" s="9" t="str">
        <f aca="false">IF(OR(F370="LOC - INITIAL",F370="CONSOLIDATION - UPFRONT COMM",F370="REVERSE - TOTAL FUNDING"),A370,"")</f>
        <v/>
      </c>
      <c r="C370" s="10"/>
      <c r="D370" s="11"/>
      <c r="E370" s="11"/>
      <c r="F370" s="11"/>
      <c r="G370" s="12"/>
      <c r="H370" s="13"/>
      <c r="I370" s="11"/>
      <c r="J370" s="14" t="str">
        <f aca="false">IF(AND(G370&lt;&gt;"",H370&lt;&gt;""),G370*H370,"")</f>
        <v/>
      </c>
      <c r="K370" s="11"/>
      <c r="L370" s="15"/>
      <c r="M370" s="15"/>
      <c r="N370" s="14" t="n">
        <f aca="false">IF(OR(G370="",M370=""),0,IF(M370&gt;100,M370,G370*IF(M370&gt;1,M370/100,M370)))</f>
        <v>0</v>
      </c>
      <c r="O370" s="14" t="str">
        <f aca="false">IF(G370="","",G370*IF(L370="",0,IF(L370&gt;1,L370/100,L370))+N370)</f>
        <v/>
      </c>
      <c r="P370" s="11"/>
      <c r="Q370" s="16" t="str">
        <f aca="false">IF(P370="","",IFERROR(VLOOKUP(P370,PARTNERS!$A$2:$B$30,2,0),""))</f>
        <v/>
      </c>
      <c r="R370" s="17" t="str">
        <f aca="false">IF(O370="","",IF(OR(P370="",Q370=""),0,(O370-N370)*IF(Q370&gt;1,Q370/100,Q370)))</f>
        <v/>
      </c>
      <c r="S370" s="14" t="str">
        <f aca="false">IF(O370="","",O370-R370)</f>
        <v/>
      </c>
      <c r="T370" s="11"/>
      <c r="U370" s="18" t="str">
        <f aca="false">IF(T370="","",IFERROR(VLOOKUP(T370,REPS!$A$2:$D$40,2,0),""))</f>
        <v/>
      </c>
      <c r="V370" s="14" t="str">
        <f aca="false">IF(O370="","",IF(U370="",0,O370*IF(U370&gt;1,U370/100,U370)))</f>
        <v/>
      </c>
      <c r="W370" s="11"/>
      <c r="X370" s="18" t="str">
        <f aca="false">IF(W370="","",IFERROR(VLOOKUP(W370,REPS!$A$2:$D$40,3,0),""))</f>
        <v/>
      </c>
      <c r="Y370" s="14" t="str">
        <f aca="false">IF(O370="","",IF(X370="",0,O370*IF(X370&gt;1,X370/100,X370)))</f>
        <v/>
      </c>
      <c r="Z370" s="11"/>
      <c r="AA370" s="18" t="str">
        <f aca="false">IF(Z370="","",IFERROR(VLOOKUP(Z370,REPS!$A$2:$D$40,4,0),""))</f>
        <v/>
      </c>
      <c r="AB370" s="14" t="str">
        <f aca="false">IF(O370="","",IF(AA370="",0,O370*IF(AA370&gt;1,AA370/100,AA370)))</f>
        <v/>
      </c>
      <c r="AC370" s="14" t="str">
        <f aca="false">IF(O370="","",V370+Y370+AB370)</f>
        <v/>
      </c>
      <c r="AD370" s="19" t="str">
        <f aca="false">IF(O370="","",O370-R370-AC370)</f>
        <v/>
      </c>
      <c r="AE370" s="20"/>
      <c r="AF370" s="10"/>
      <c r="AG370" s="21" t="n">
        <f aca="false">IF(OR(AE370="",AE370=0),0,AE370*IF(U370="",0,IF(U370&gt;1,U370/100,U370)))</f>
        <v>0</v>
      </c>
      <c r="AH370" s="21" t="n">
        <f aca="false">IF(OR(AE370="",AE370=0),0,AE370*IF(X370="",0,IF(X370&gt;1,X370/100,X370)))</f>
        <v>0</v>
      </c>
      <c r="AI370" s="21" t="n">
        <f aca="false">IF(OR(AE370="",AE370=0),0,AE370*IF(AA370="",0,IF(AA370&gt;1,AA370/100,AA370)))</f>
        <v>0</v>
      </c>
      <c r="AJ370" s="21" t="n">
        <f aca="false">AG370+AH370+AI370</f>
        <v>0</v>
      </c>
      <c r="AK370" s="21" t="n">
        <f aca="false">IF(OR(AE370="",AE370=0),0,AE370-AJ370)</f>
        <v>0</v>
      </c>
      <c r="AL370" s="19" t="str">
        <f aca="false">IF(AD370="","",AD370-AK370)</f>
        <v/>
      </c>
      <c r="AM370" s="9" t="str">
        <f aca="false">IF(C370="","","Waiting for payment")</f>
        <v/>
      </c>
      <c r="AN370" s="10"/>
      <c r="AO370" s="10"/>
      <c r="AP370" s="22" t="str">
        <f aca="false">IF(OR(C370="",I370="",K370=""),"",IF(K370="Monthly",EDATE(C370,ROUND(I370*SETTINGS!$I$8,0)),WORKDAY(C370,ROUND(I370*SETTINGS!$I$8,0))))</f>
        <v/>
      </c>
      <c r="AQ370" s="9" t="str">
        <f aca="true">IF(C370="","",IF(AND(AP370&lt;&gt;"",TODAY()&gt;=AP370),"Refi Ready",IF(TODAY()-C370&gt;=SETTINGS!$I$11,"Prospecting","Performing")))</f>
        <v/>
      </c>
      <c r="AR370" s="22" t="str">
        <f aca="false">IF(OR(C370="",I370="",K370=""),"",IF(K370="Monthly",EDATE(C370,I370),WORKDAY(C370,I370)))</f>
        <v/>
      </c>
      <c r="AS370" s="11"/>
      <c r="AT370" s="23" t="str">
        <f aca="true">IF(C370="","",IF(AM370="Clawed Back","CLAWED",IF(TODAY()&lt;=C370+SETTINGS!$I$2,"⚠ AT RISK","SAFE")))</f>
        <v/>
      </c>
      <c r="AU370" s="11"/>
      <c r="AW370" s="24" t="n">
        <f aca="false">AW369+IF(AND(C370&lt;&gt;"",AO370&lt;&gt;"",OR('REP COMMISSION'!$B$3="",T370='REP COMMISSION'!$B$3,W370='REP COMMISSION'!$B$3,Z370='REP COMMISSION'!$B$3)),1,0)</f>
        <v>0</v>
      </c>
      <c r="AX370" s="24" t="n">
        <f aca="false">AX369+IF(AND(C370&lt;&gt;"",OR(F370="LOC - INITIAL",F370="CONSOLIDATION - UPFRONT COMM",F370="REVERSE - TOTAL FUNDING")),1,0)</f>
        <v>0</v>
      </c>
    </row>
    <row r="371" customFormat="false" ht="15" hidden="false" customHeight="false" outlineLevel="0" collapsed="false">
      <c r="A371" s="25" t="str">
        <f aca="false">IF(C371&lt;&gt;"","F"&amp;COUNT($C$4:C371),"")</f>
        <v/>
      </c>
      <c r="B371" s="26" t="str">
        <f aca="false">IF(OR(F371="LOC - INITIAL",F371="CONSOLIDATION - UPFRONT COMM",F371="REVERSE - TOTAL FUNDING"),A371,"")</f>
        <v/>
      </c>
      <c r="C371" s="27"/>
      <c r="D371" s="28"/>
      <c r="E371" s="28"/>
      <c r="F371" s="28"/>
      <c r="G371" s="29"/>
      <c r="H371" s="30"/>
      <c r="I371" s="28"/>
      <c r="J371" s="31" t="str">
        <f aca="false">IF(AND(G371&lt;&gt;"",H371&lt;&gt;""),G371*H371,"")</f>
        <v/>
      </c>
      <c r="K371" s="28"/>
      <c r="L371" s="32"/>
      <c r="M371" s="32"/>
      <c r="N371" s="31" t="n">
        <f aca="false">IF(OR(G371="",M371=""),0,IF(M371&gt;100,M371,G371*IF(M371&gt;1,M371/100,M371)))</f>
        <v>0</v>
      </c>
      <c r="O371" s="31" t="str">
        <f aca="false">IF(G371="","",G371*IF(L371="",0,IF(L371&gt;1,L371/100,L371))+N371)</f>
        <v/>
      </c>
      <c r="P371" s="28"/>
      <c r="Q371" s="33" t="str">
        <f aca="false">IF(P371="","",IFERROR(VLOOKUP(P371,PARTNERS!$A$2:$B$30,2,0),""))</f>
        <v/>
      </c>
      <c r="R371" s="17" t="str">
        <f aca="false">IF(O371="","",IF(OR(P371="",Q371=""),0,(O371-N371)*IF(Q371&gt;1,Q371/100,Q371)))</f>
        <v/>
      </c>
      <c r="S371" s="31" t="str">
        <f aca="false">IF(O371="","",O371-R371)</f>
        <v/>
      </c>
      <c r="T371" s="28"/>
      <c r="U371" s="34" t="str">
        <f aca="false">IF(T371="","",IFERROR(VLOOKUP(T371,REPS!$A$2:$D$40,2,0),""))</f>
        <v/>
      </c>
      <c r="V371" s="31" t="str">
        <f aca="false">IF(O371="","",IF(U371="",0,O371*IF(U371&gt;1,U371/100,U371)))</f>
        <v/>
      </c>
      <c r="W371" s="28"/>
      <c r="X371" s="34" t="str">
        <f aca="false">IF(W371="","",IFERROR(VLOOKUP(W371,REPS!$A$2:$D$40,3,0),""))</f>
        <v/>
      </c>
      <c r="Y371" s="31" t="str">
        <f aca="false">IF(O371="","",IF(X371="",0,O371*IF(X371&gt;1,X371/100,X371)))</f>
        <v/>
      </c>
      <c r="Z371" s="28"/>
      <c r="AA371" s="34" t="str">
        <f aca="false">IF(Z371="","",IFERROR(VLOOKUP(Z371,REPS!$A$2:$D$40,4,0),""))</f>
        <v/>
      </c>
      <c r="AB371" s="31" t="str">
        <f aca="false">IF(O371="","",IF(AA371="",0,O371*IF(AA371&gt;1,AA371/100,AA371)))</f>
        <v/>
      </c>
      <c r="AC371" s="31" t="str">
        <f aca="false">IF(O371="","",V371+Y371+AB371)</f>
        <v/>
      </c>
      <c r="AD371" s="19" t="str">
        <f aca="false">IF(O371="","",O371-R371-AC371)</f>
        <v/>
      </c>
      <c r="AE371" s="20"/>
      <c r="AF371" s="27"/>
      <c r="AG371" s="21" t="n">
        <f aca="false">IF(OR(AE371="",AE371=0),0,AE371*IF(U371="",0,IF(U371&gt;1,U371/100,U371)))</f>
        <v>0</v>
      </c>
      <c r="AH371" s="21" t="n">
        <f aca="false">IF(OR(AE371="",AE371=0),0,AE371*IF(X371="",0,IF(X371&gt;1,X371/100,X371)))</f>
        <v>0</v>
      </c>
      <c r="AI371" s="21" t="n">
        <f aca="false">IF(OR(AE371="",AE371=0),0,AE371*IF(AA371="",0,IF(AA371&gt;1,AA371/100,AA371)))</f>
        <v>0</v>
      </c>
      <c r="AJ371" s="21" t="n">
        <f aca="false">AG371+AH371+AI371</f>
        <v>0</v>
      </c>
      <c r="AK371" s="21" t="n">
        <f aca="false">IF(OR(AE371="",AE371=0),0,AE371-AJ371)</f>
        <v>0</v>
      </c>
      <c r="AL371" s="19" t="str">
        <f aca="false">IF(AD371="","",AD371-AK371)</f>
        <v/>
      </c>
      <c r="AM371" s="26" t="str">
        <f aca="false">IF(C371="","","Waiting for payment")</f>
        <v/>
      </c>
      <c r="AN371" s="27"/>
      <c r="AO371" s="27"/>
      <c r="AP371" s="35" t="str">
        <f aca="false">IF(OR(C371="",I371="",K371=""),"",IF(K371="Monthly",EDATE(C371,ROUND(I371*SETTINGS!$I$8,0)),WORKDAY(C371,ROUND(I371*SETTINGS!$I$8,0))))</f>
        <v/>
      </c>
      <c r="AQ371" s="26" t="str">
        <f aca="true">IF(C371="","",IF(AND(AP371&lt;&gt;"",TODAY()&gt;=AP371),"Refi Ready",IF(TODAY()-C371&gt;=SETTINGS!$I$11,"Prospecting","Performing")))</f>
        <v/>
      </c>
      <c r="AR371" s="35" t="str">
        <f aca="false">IF(OR(C371="",I371="",K371=""),"",IF(K371="Monthly",EDATE(C371,I371),WORKDAY(C371,I371)))</f>
        <v/>
      </c>
      <c r="AS371" s="28"/>
      <c r="AT371" s="36" t="str">
        <f aca="true">IF(C371="","",IF(AM371="Clawed Back","CLAWED",IF(TODAY()&lt;=C371+SETTINGS!$I$2,"⚠ AT RISK","SAFE")))</f>
        <v/>
      </c>
      <c r="AU371" s="28"/>
      <c r="AW371" s="24" t="n">
        <f aca="false">AW370+IF(AND(C371&lt;&gt;"",AO371&lt;&gt;"",OR('REP COMMISSION'!$B$3="",T371='REP COMMISSION'!$B$3,W371='REP COMMISSION'!$B$3,Z371='REP COMMISSION'!$B$3)),1,0)</f>
        <v>0</v>
      </c>
      <c r="AX371" s="24" t="n">
        <f aca="false">AX370+IF(AND(C371&lt;&gt;"",OR(F371="LOC - INITIAL",F371="CONSOLIDATION - UPFRONT COMM",F371="REVERSE - TOTAL FUNDING")),1,0)</f>
        <v>0</v>
      </c>
    </row>
    <row r="372" customFormat="false" ht="15" hidden="false" customHeight="false" outlineLevel="0" collapsed="false">
      <c r="A372" s="8" t="str">
        <f aca="false">IF(C372&lt;&gt;"","F"&amp;COUNT($C$4:C372),"")</f>
        <v/>
      </c>
      <c r="B372" s="9" t="str">
        <f aca="false">IF(OR(F372="LOC - INITIAL",F372="CONSOLIDATION - UPFRONT COMM",F372="REVERSE - TOTAL FUNDING"),A372,"")</f>
        <v/>
      </c>
      <c r="C372" s="10"/>
      <c r="D372" s="11"/>
      <c r="E372" s="11"/>
      <c r="F372" s="11"/>
      <c r="G372" s="12"/>
      <c r="H372" s="13"/>
      <c r="I372" s="11"/>
      <c r="J372" s="14" t="str">
        <f aca="false">IF(AND(G372&lt;&gt;"",H372&lt;&gt;""),G372*H372,"")</f>
        <v/>
      </c>
      <c r="K372" s="11"/>
      <c r="L372" s="15"/>
      <c r="M372" s="15"/>
      <c r="N372" s="14" t="n">
        <f aca="false">IF(OR(G372="",M372=""),0,IF(M372&gt;100,M372,G372*IF(M372&gt;1,M372/100,M372)))</f>
        <v>0</v>
      </c>
      <c r="O372" s="14" t="str">
        <f aca="false">IF(G372="","",G372*IF(L372="",0,IF(L372&gt;1,L372/100,L372))+N372)</f>
        <v/>
      </c>
      <c r="P372" s="11"/>
      <c r="Q372" s="16" t="str">
        <f aca="false">IF(P372="","",IFERROR(VLOOKUP(P372,PARTNERS!$A$2:$B$30,2,0),""))</f>
        <v/>
      </c>
      <c r="R372" s="17" t="str">
        <f aca="false">IF(O372="","",IF(OR(P372="",Q372=""),0,(O372-N372)*IF(Q372&gt;1,Q372/100,Q372)))</f>
        <v/>
      </c>
      <c r="S372" s="14" t="str">
        <f aca="false">IF(O372="","",O372-R372)</f>
        <v/>
      </c>
      <c r="T372" s="11"/>
      <c r="U372" s="18" t="str">
        <f aca="false">IF(T372="","",IFERROR(VLOOKUP(T372,REPS!$A$2:$D$40,2,0),""))</f>
        <v/>
      </c>
      <c r="V372" s="14" t="str">
        <f aca="false">IF(O372="","",IF(U372="",0,O372*IF(U372&gt;1,U372/100,U372)))</f>
        <v/>
      </c>
      <c r="W372" s="11"/>
      <c r="X372" s="18" t="str">
        <f aca="false">IF(W372="","",IFERROR(VLOOKUP(W372,REPS!$A$2:$D$40,3,0),""))</f>
        <v/>
      </c>
      <c r="Y372" s="14" t="str">
        <f aca="false">IF(O372="","",IF(X372="",0,O372*IF(X372&gt;1,X372/100,X372)))</f>
        <v/>
      </c>
      <c r="Z372" s="11"/>
      <c r="AA372" s="18" t="str">
        <f aca="false">IF(Z372="","",IFERROR(VLOOKUP(Z372,REPS!$A$2:$D$40,4,0),""))</f>
        <v/>
      </c>
      <c r="AB372" s="14" t="str">
        <f aca="false">IF(O372="","",IF(AA372="",0,O372*IF(AA372&gt;1,AA372/100,AA372)))</f>
        <v/>
      </c>
      <c r="AC372" s="14" t="str">
        <f aca="false">IF(O372="","",V372+Y372+AB372)</f>
        <v/>
      </c>
      <c r="AD372" s="19" t="str">
        <f aca="false">IF(O372="","",O372-R372-AC372)</f>
        <v/>
      </c>
      <c r="AE372" s="20"/>
      <c r="AF372" s="10"/>
      <c r="AG372" s="21" t="n">
        <f aca="false">IF(OR(AE372="",AE372=0),0,AE372*IF(U372="",0,IF(U372&gt;1,U372/100,U372)))</f>
        <v>0</v>
      </c>
      <c r="AH372" s="21" t="n">
        <f aca="false">IF(OR(AE372="",AE372=0),0,AE372*IF(X372="",0,IF(X372&gt;1,X372/100,X372)))</f>
        <v>0</v>
      </c>
      <c r="AI372" s="21" t="n">
        <f aca="false">IF(OR(AE372="",AE372=0),0,AE372*IF(AA372="",0,IF(AA372&gt;1,AA372/100,AA372)))</f>
        <v>0</v>
      </c>
      <c r="AJ372" s="21" t="n">
        <f aca="false">AG372+AH372+AI372</f>
        <v>0</v>
      </c>
      <c r="AK372" s="21" t="n">
        <f aca="false">IF(OR(AE372="",AE372=0),0,AE372-AJ372)</f>
        <v>0</v>
      </c>
      <c r="AL372" s="19" t="str">
        <f aca="false">IF(AD372="","",AD372-AK372)</f>
        <v/>
      </c>
      <c r="AM372" s="9" t="str">
        <f aca="false">IF(C372="","","Waiting for payment")</f>
        <v/>
      </c>
      <c r="AN372" s="10"/>
      <c r="AO372" s="10"/>
      <c r="AP372" s="22" t="str">
        <f aca="false">IF(OR(C372="",I372="",K372=""),"",IF(K372="Monthly",EDATE(C372,ROUND(I372*SETTINGS!$I$8,0)),WORKDAY(C372,ROUND(I372*SETTINGS!$I$8,0))))</f>
        <v/>
      </c>
      <c r="AQ372" s="9" t="str">
        <f aca="true">IF(C372="","",IF(AND(AP372&lt;&gt;"",TODAY()&gt;=AP372),"Refi Ready",IF(TODAY()-C372&gt;=SETTINGS!$I$11,"Prospecting","Performing")))</f>
        <v/>
      </c>
      <c r="AR372" s="22" t="str">
        <f aca="false">IF(OR(C372="",I372="",K372=""),"",IF(K372="Monthly",EDATE(C372,I372),WORKDAY(C372,I372)))</f>
        <v/>
      </c>
      <c r="AS372" s="11"/>
      <c r="AT372" s="23" t="str">
        <f aca="true">IF(C372="","",IF(AM372="Clawed Back","CLAWED",IF(TODAY()&lt;=C372+SETTINGS!$I$2,"⚠ AT RISK","SAFE")))</f>
        <v/>
      </c>
      <c r="AU372" s="11"/>
      <c r="AW372" s="24" t="n">
        <f aca="false">AW371+IF(AND(C372&lt;&gt;"",AO372&lt;&gt;"",OR('REP COMMISSION'!$B$3="",T372='REP COMMISSION'!$B$3,W372='REP COMMISSION'!$B$3,Z372='REP COMMISSION'!$B$3)),1,0)</f>
        <v>0</v>
      </c>
      <c r="AX372" s="24" t="n">
        <f aca="false">AX371+IF(AND(C372&lt;&gt;"",OR(F372="LOC - INITIAL",F372="CONSOLIDATION - UPFRONT COMM",F372="REVERSE - TOTAL FUNDING")),1,0)</f>
        <v>0</v>
      </c>
    </row>
    <row r="373" customFormat="false" ht="15" hidden="false" customHeight="false" outlineLevel="0" collapsed="false">
      <c r="A373" s="25" t="str">
        <f aca="false">IF(C373&lt;&gt;"","F"&amp;COUNT($C$4:C373),"")</f>
        <v/>
      </c>
      <c r="B373" s="26" t="str">
        <f aca="false">IF(OR(F373="LOC - INITIAL",F373="CONSOLIDATION - UPFRONT COMM",F373="REVERSE - TOTAL FUNDING"),A373,"")</f>
        <v/>
      </c>
      <c r="C373" s="27"/>
      <c r="D373" s="28"/>
      <c r="E373" s="28"/>
      <c r="F373" s="28"/>
      <c r="G373" s="29"/>
      <c r="H373" s="30"/>
      <c r="I373" s="28"/>
      <c r="J373" s="31" t="str">
        <f aca="false">IF(AND(G373&lt;&gt;"",H373&lt;&gt;""),G373*H373,"")</f>
        <v/>
      </c>
      <c r="K373" s="28"/>
      <c r="L373" s="32"/>
      <c r="M373" s="32"/>
      <c r="N373" s="31" t="n">
        <f aca="false">IF(OR(G373="",M373=""),0,IF(M373&gt;100,M373,G373*IF(M373&gt;1,M373/100,M373)))</f>
        <v>0</v>
      </c>
      <c r="O373" s="31" t="str">
        <f aca="false">IF(G373="","",G373*IF(L373="",0,IF(L373&gt;1,L373/100,L373))+N373)</f>
        <v/>
      </c>
      <c r="P373" s="28"/>
      <c r="Q373" s="33" t="str">
        <f aca="false">IF(P373="","",IFERROR(VLOOKUP(P373,PARTNERS!$A$2:$B$30,2,0),""))</f>
        <v/>
      </c>
      <c r="R373" s="17" t="str">
        <f aca="false">IF(O373="","",IF(OR(P373="",Q373=""),0,(O373-N373)*IF(Q373&gt;1,Q373/100,Q373)))</f>
        <v/>
      </c>
      <c r="S373" s="31" t="str">
        <f aca="false">IF(O373="","",O373-R373)</f>
        <v/>
      </c>
      <c r="T373" s="28"/>
      <c r="U373" s="34" t="str">
        <f aca="false">IF(T373="","",IFERROR(VLOOKUP(T373,REPS!$A$2:$D$40,2,0),""))</f>
        <v/>
      </c>
      <c r="V373" s="31" t="str">
        <f aca="false">IF(O373="","",IF(U373="",0,O373*IF(U373&gt;1,U373/100,U373)))</f>
        <v/>
      </c>
      <c r="W373" s="28"/>
      <c r="X373" s="34" t="str">
        <f aca="false">IF(W373="","",IFERROR(VLOOKUP(W373,REPS!$A$2:$D$40,3,0),""))</f>
        <v/>
      </c>
      <c r="Y373" s="31" t="str">
        <f aca="false">IF(O373="","",IF(X373="",0,O373*IF(X373&gt;1,X373/100,X373)))</f>
        <v/>
      </c>
      <c r="Z373" s="28"/>
      <c r="AA373" s="34" t="str">
        <f aca="false">IF(Z373="","",IFERROR(VLOOKUP(Z373,REPS!$A$2:$D$40,4,0),""))</f>
        <v/>
      </c>
      <c r="AB373" s="31" t="str">
        <f aca="false">IF(O373="","",IF(AA373="",0,O373*IF(AA373&gt;1,AA373/100,AA373)))</f>
        <v/>
      </c>
      <c r="AC373" s="31" t="str">
        <f aca="false">IF(O373="","",V373+Y373+AB373)</f>
        <v/>
      </c>
      <c r="AD373" s="19" t="str">
        <f aca="false">IF(O373="","",O373-R373-AC373)</f>
        <v/>
      </c>
      <c r="AE373" s="20"/>
      <c r="AF373" s="27"/>
      <c r="AG373" s="21" t="n">
        <f aca="false">IF(OR(AE373="",AE373=0),0,AE373*IF(U373="",0,IF(U373&gt;1,U373/100,U373)))</f>
        <v>0</v>
      </c>
      <c r="AH373" s="21" t="n">
        <f aca="false">IF(OR(AE373="",AE373=0),0,AE373*IF(X373="",0,IF(X373&gt;1,X373/100,X373)))</f>
        <v>0</v>
      </c>
      <c r="AI373" s="21" t="n">
        <f aca="false">IF(OR(AE373="",AE373=0),0,AE373*IF(AA373="",0,IF(AA373&gt;1,AA373/100,AA373)))</f>
        <v>0</v>
      </c>
      <c r="AJ373" s="21" t="n">
        <f aca="false">AG373+AH373+AI373</f>
        <v>0</v>
      </c>
      <c r="AK373" s="21" t="n">
        <f aca="false">IF(OR(AE373="",AE373=0),0,AE373-AJ373)</f>
        <v>0</v>
      </c>
      <c r="AL373" s="19" t="str">
        <f aca="false">IF(AD373="","",AD373-AK373)</f>
        <v/>
      </c>
      <c r="AM373" s="26" t="str">
        <f aca="false">IF(C373="","","Waiting for payment")</f>
        <v/>
      </c>
      <c r="AN373" s="27"/>
      <c r="AO373" s="27"/>
      <c r="AP373" s="35" t="str">
        <f aca="false">IF(OR(C373="",I373="",K373=""),"",IF(K373="Monthly",EDATE(C373,ROUND(I373*SETTINGS!$I$8,0)),WORKDAY(C373,ROUND(I373*SETTINGS!$I$8,0))))</f>
        <v/>
      </c>
      <c r="AQ373" s="26" t="str">
        <f aca="true">IF(C373="","",IF(AND(AP373&lt;&gt;"",TODAY()&gt;=AP373),"Refi Ready",IF(TODAY()-C373&gt;=SETTINGS!$I$11,"Prospecting","Performing")))</f>
        <v/>
      </c>
      <c r="AR373" s="35" t="str">
        <f aca="false">IF(OR(C373="",I373="",K373=""),"",IF(K373="Monthly",EDATE(C373,I373),WORKDAY(C373,I373)))</f>
        <v/>
      </c>
      <c r="AS373" s="28"/>
      <c r="AT373" s="36" t="str">
        <f aca="true">IF(C373="","",IF(AM373="Clawed Back","CLAWED",IF(TODAY()&lt;=C373+SETTINGS!$I$2,"⚠ AT RISK","SAFE")))</f>
        <v/>
      </c>
      <c r="AU373" s="28"/>
      <c r="AW373" s="24" t="n">
        <f aca="false">AW372+IF(AND(C373&lt;&gt;"",AO373&lt;&gt;"",OR('REP COMMISSION'!$B$3="",T373='REP COMMISSION'!$B$3,W373='REP COMMISSION'!$B$3,Z373='REP COMMISSION'!$B$3)),1,0)</f>
        <v>0</v>
      </c>
      <c r="AX373" s="24" t="n">
        <f aca="false">AX372+IF(AND(C373&lt;&gt;"",OR(F373="LOC - INITIAL",F373="CONSOLIDATION - UPFRONT COMM",F373="REVERSE - TOTAL FUNDING")),1,0)</f>
        <v>0</v>
      </c>
    </row>
    <row r="374" customFormat="false" ht="15" hidden="false" customHeight="false" outlineLevel="0" collapsed="false">
      <c r="A374" s="8" t="str">
        <f aca="false">IF(C374&lt;&gt;"","F"&amp;COUNT($C$4:C374),"")</f>
        <v/>
      </c>
      <c r="B374" s="9" t="str">
        <f aca="false">IF(OR(F374="LOC - INITIAL",F374="CONSOLIDATION - UPFRONT COMM",F374="REVERSE - TOTAL FUNDING"),A374,"")</f>
        <v/>
      </c>
      <c r="C374" s="10"/>
      <c r="D374" s="11"/>
      <c r="E374" s="11"/>
      <c r="F374" s="11"/>
      <c r="G374" s="12"/>
      <c r="H374" s="13"/>
      <c r="I374" s="11"/>
      <c r="J374" s="14" t="str">
        <f aca="false">IF(AND(G374&lt;&gt;"",H374&lt;&gt;""),G374*H374,"")</f>
        <v/>
      </c>
      <c r="K374" s="11"/>
      <c r="L374" s="15"/>
      <c r="M374" s="15"/>
      <c r="N374" s="14" t="n">
        <f aca="false">IF(OR(G374="",M374=""),0,IF(M374&gt;100,M374,G374*IF(M374&gt;1,M374/100,M374)))</f>
        <v>0</v>
      </c>
      <c r="O374" s="14" t="str">
        <f aca="false">IF(G374="","",G374*IF(L374="",0,IF(L374&gt;1,L374/100,L374))+N374)</f>
        <v/>
      </c>
      <c r="P374" s="11"/>
      <c r="Q374" s="16" t="str">
        <f aca="false">IF(P374="","",IFERROR(VLOOKUP(P374,PARTNERS!$A$2:$B$30,2,0),""))</f>
        <v/>
      </c>
      <c r="R374" s="17" t="str">
        <f aca="false">IF(O374="","",IF(OR(P374="",Q374=""),0,(O374-N374)*IF(Q374&gt;1,Q374/100,Q374)))</f>
        <v/>
      </c>
      <c r="S374" s="14" t="str">
        <f aca="false">IF(O374="","",O374-R374)</f>
        <v/>
      </c>
      <c r="T374" s="11"/>
      <c r="U374" s="18" t="str">
        <f aca="false">IF(T374="","",IFERROR(VLOOKUP(T374,REPS!$A$2:$D$40,2,0),""))</f>
        <v/>
      </c>
      <c r="V374" s="14" t="str">
        <f aca="false">IF(O374="","",IF(U374="",0,O374*IF(U374&gt;1,U374/100,U374)))</f>
        <v/>
      </c>
      <c r="W374" s="11"/>
      <c r="X374" s="18" t="str">
        <f aca="false">IF(W374="","",IFERROR(VLOOKUP(W374,REPS!$A$2:$D$40,3,0),""))</f>
        <v/>
      </c>
      <c r="Y374" s="14" t="str">
        <f aca="false">IF(O374="","",IF(X374="",0,O374*IF(X374&gt;1,X374/100,X374)))</f>
        <v/>
      </c>
      <c r="Z374" s="11"/>
      <c r="AA374" s="18" t="str">
        <f aca="false">IF(Z374="","",IFERROR(VLOOKUP(Z374,REPS!$A$2:$D$40,4,0),""))</f>
        <v/>
      </c>
      <c r="AB374" s="14" t="str">
        <f aca="false">IF(O374="","",IF(AA374="",0,O374*IF(AA374&gt;1,AA374/100,AA374)))</f>
        <v/>
      </c>
      <c r="AC374" s="14" t="str">
        <f aca="false">IF(O374="","",V374+Y374+AB374)</f>
        <v/>
      </c>
      <c r="AD374" s="19" t="str">
        <f aca="false">IF(O374="","",O374-R374-AC374)</f>
        <v/>
      </c>
      <c r="AE374" s="20"/>
      <c r="AF374" s="10"/>
      <c r="AG374" s="21" t="n">
        <f aca="false">IF(OR(AE374="",AE374=0),0,AE374*IF(U374="",0,IF(U374&gt;1,U374/100,U374)))</f>
        <v>0</v>
      </c>
      <c r="AH374" s="21" t="n">
        <f aca="false">IF(OR(AE374="",AE374=0),0,AE374*IF(X374="",0,IF(X374&gt;1,X374/100,X374)))</f>
        <v>0</v>
      </c>
      <c r="AI374" s="21" t="n">
        <f aca="false">IF(OR(AE374="",AE374=0),0,AE374*IF(AA374="",0,IF(AA374&gt;1,AA374/100,AA374)))</f>
        <v>0</v>
      </c>
      <c r="AJ374" s="21" t="n">
        <f aca="false">AG374+AH374+AI374</f>
        <v>0</v>
      </c>
      <c r="AK374" s="21" t="n">
        <f aca="false">IF(OR(AE374="",AE374=0),0,AE374-AJ374)</f>
        <v>0</v>
      </c>
      <c r="AL374" s="19" t="str">
        <f aca="false">IF(AD374="","",AD374-AK374)</f>
        <v/>
      </c>
      <c r="AM374" s="9" t="str">
        <f aca="false">IF(C374="","","Waiting for payment")</f>
        <v/>
      </c>
      <c r="AN374" s="10"/>
      <c r="AO374" s="10"/>
      <c r="AP374" s="22" t="str">
        <f aca="false">IF(OR(C374="",I374="",K374=""),"",IF(K374="Monthly",EDATE(C374,ROUND(I374*SETTINGS!$I$8,0)),WORKDAY(C374,ROUND(I374*SETTINGS!$I$8,0))))</f>
        <v/>
      </c>
      <c r="AQ374" s="9" t="str">
        <f aca="true">IF(C374="","",IF(AND(AP374&lt;&gt;"",TODAY()&gt;=AP374),"Refi Ready",IF(TODAY()-C374&gt;=SETTINGS!$I$11,"Prospecting","Performing")))</f>
        <v/>
      </c>
      <c r="AR374" s="22" t="str">
        <f aca="false">IF(OR(C374="",I374="",K374=""),"",IF(K374="Monthly",EDATE(C374,I374),WORKDAY(C374,I374)))</f>
        <v/>
      </c>
      <c r="AS374" s="11"/>
      <c r="AT374" s="23" t="str">
        <f aca="true">IF(C374="","",IF(AM374="Clawed Back","CLAWED",IF(TODAY()&lt;=C374+SETTINGS!$I$2,"⚠ AT RISK","SAFE")))</f>
        <v/>
      </c>
      <c r="AU374" s="11"/>
      <c r="AW374" s="24" t="n">
        <f aca="false">AW373+IF(AND(C374&lt;&gt;"",AO374&lt;&gt;"",OR('REP COMMISSION'!$B$3="",T374='REP COMMISSION'!$B$3,W374='REP COMMISSION'!$B$3,Z374='REP COMMISSION'!$B$3)),1,0)</f>
        <v>0</v>
      </c>
      <c r="AX374" s="24" t="n">
        <f aca="false">AX373+IF(AND(C374&lt;&gt;"",OR(F374="LOC - INITIAL",F374="CONSOLIDATION - UPFRONT COMM",F374="REVERSE - TOTAL FUNDING")),1,0)</f>
        <v>0</v>
      </c>
    </row>
    <row r="375" customFormat="false" ht="15" hidden="false" customHeight="false" outlineLevel="0" collapsed="false">
      <c r="A375" s="25" t="str">
        <f aca="false">IF(C375&lt;&gt;"","F"&amp;COUNT($C$4:C375),"")</f>
        <v/>
      </c>
      <c r="B375" s="26" t="str">
        <f aca="false">IF(OR(F375="LOC - INITIAL",F375="CONSOLIDATION - UPFRONT COMM",F375="REVERSE - TOTAL FUNDING"),A375,"")</f>
        <v/>
      </c>
      <c r="C375" s="27"/>
      <c r="D375" s="28"/>
      <c r="E375" s="28"/>
      <c r="F375" s="28"/>
      <c r="G375" s="29"/>
      <c r="H375" s="30"/>
      <c r="I375" s="28"/>
      <c r="J375" s="31" t="str">
        <f aca="false">IF(AND(G375&lt;&gt;"",H375&lt;&gt;""),G375*H375,"")</f>
        <v/>
      </c>
      <c r="K375" s="28"/>
      <c r="L375" s="32"/>
      <c r="M375" s="32"/>
      <c r="N375" s="31" t="n">
        <f aca="false">IF(OR(G375="",M375=""),0,IF(M375&gt;100,M375,G375*IF(M375&gt;1,M375/100,M375)))</f>
        <v>0</v>
      </c>
      <c r="O375" s="31" t="str">
        <f aca="false">IF(G375="","",G375*IF(L375="",0,IF(L375&gt;1,L375/100,L375))+N375)</f>
        <v/>
      </c>
      <c r="P375" s="28"/>
      <c r="Q375" s="33" t="str">
        <f aca="false">IF(P375="","",IFERROR(VLOOKUP(P375,PARTNERS!$A$2:$B$30,2,0),""))</f>
        <v/>
      </c>
      <c r="R375" s="17" t="str">
        <f aca="false">IF(O375="","",IF(OR(P375="",Q375=""),0,(O375-N375)*IF(Q375&gt;1,Q375/100,Q375)))</f>
        <v/>
      </c>
      <c r="S375" s="31" t="str">
        <f aca="false">IF(O375="","",O375-R375)</f>
        <v/>
      </c>
      <c r="T375" s="28"/>
      <c r="U375" s="34" t="str">
        <f aca="false">IF(T375="","",IFERROR(VLOOKUP(T375,REPS!$A$2:$D$40,2,0),""))</f>
        <v/>
      </c>
      <c r="V375" s="31" t="str">
        <f aca="false">IF(O375="","",IF(U375="",0,O375*IF(U375&gt;1,U375/100,U375)))</f>
        <v/>
      </c>
      <c r="W375" s="28"/>
      <c r="X375" s="34" t="str">
        <f aca="false">IF(W375="","",IFERROR(VLOOKUP(W375,REPS!$A$2:$D$40,3,0),""))</f>
        <v/>
      </c>
      <c r="Y375" s="31" t="str">
        <f aca="false">IF(O375="","",IF(X375="",0,O375*IF(X375&gt;1,X375/100,X375)))</f>
        <v/>
      </c>
      <c r="Z375" s="28"/>
      <c r="AA375" s="34" t="str">
        <f aca="false">IF(Z375="","",IFERROR(VLOOKUP(Z375,REPS!$A$2:$D$40,4,0),""))</f>
        <v/>
      </c>
      <c r="AB375" s="31" t="str">
        <f aca="false">IF(O375="","",IF(AA375="",0,O375*IF(AA375&gt;1,AA375/100,AA375)))</f>
        <v/>
      </c>
      <c r="AC375" s="31" t="str">
        <f aca="false">IF(O375="","",V375+Y375+AB375)</f>
        <v/>
      </c>
      <c r="AD375" s="19" t="str">
        <f aca="false">IF(O375="","",O375-R375-AC375)</f>
        <v/>
      </c>
      <c r="AE375" s="20"/>
      <c r="AF375" s="27"/>
      <c r="AG375" s="21" t="n">
        <f aca="false">IF(OR(AE375="",AE375=0),0,AE375*IF(U375="",0,IF(U375&gt;1,U375/100,U375)))</f>
        <v>0</v>
      </c>
      <c r="AH375" s="21" t="n">
        <f aca="false">IF(OR(AE375="",AE375=0),0,AE375*IF(X375="",0,IF(X375&gt;1,X375/100,X375)))</f>
        <v>0</v>
      </c>
      <c r="AI375" s="21" t="n">
        <f aca="false">IF(OR(AE375="",AE375=0),0,AE375*IF(AA375="",0,IF(AA375&gt;1,AA375/100,AA375)))</f>
        <v>0</v>
      </c>
      <c r="AJ375" s="21" t="n">
        <f aca="false">AG375+AH375+AI375</f>
        <v>0</v>
      </c>
      <c r="AK375" s="21" t="n">
        <f aca="false">IF(OR(AE375="",AE375=0),0,AE375-AJ375)</f>
        <v>0</v>
      </c>
      <c r="AL375" s="19" t="str">
        <f aca="false">IF(AD375="","",AD375-AK375)</f>
        <v/>
      </c>
      <c r="AM375" s="26" t="str">
        <f aca="false">IF(C375="","","Waiting for payment")</f>
        <v/>
      </c>
      <c r="AN375" s="27"/>
      <c r="AO375" s="27"/>
      <c r="AP375" s="35" t="str">
        <f aca="false">IF(OR(C375="",I375="",K375=""),"",IF(K375="Monthly",EDATE(C375,ROUND(I375*SETTINGS!$I$8,0)),WORKDAY(C375,ROUND(I375*SETTINGS!$I$8,0))))</f>
        <v/>
      </c>
      <c r="AQ375" s="26" t="str">
        <f aca="true">IF(C375="","",IF(AND(AP375&lt;&gt;"",TODAY()&gt;=AP375),"Refi Ready",IF(TODAY()-C375&gt;=SETTINGS!$I$11,"Prospecting","Performing")))</f>
        <v/>
      </c>
      <c r="AR375" s="35" t="str">
        <f aca="false">IF(OR(C375="",I375="",K375=""),"",IF(K375="Monthly",EDATE(C375,I375),WORKDAY(C375,I375)))</f>
        <v/>
      </c>
      <c r="AS375" s="28"/>
      <c r="AT375" s="36" t="str">
        <f aca="true">IF(C375="","",IF(AM375="Clawed Back","CLAWED",IF(TODAY()&lt;=C375+SETTINGS!$I$2,"⚠ AT RISK","SAFE")))</f>
        <v/>
      </c>
      <c r="AU375" s="28"/>
      <c r="AW375" s="24" t="n">
        <f aca="false">AW374+IF(AND(C375&lt;&gt;"",AO375&lt;&gt;"",OR('REP COMMISSION'!$B$3="",T375='REP COMMISSION'!$B$3,W375='REP COMMISSION'!$B$3,Z375='REP COMMISSION'!$B$3)),1,0)</f>
        <v>0</v>
      </c>
      <c r="AX375" s="24" t="n">
        <f aca="false">AX374+IF(AND(C375&lt;&gt;"",OR(F375="LOC - INITIAL",F375="CONSOLIDATION - UPFRONT COMM",F375="REVERSE - TOTAL FUNDING")),1,0)</f>
        <v>0</v>
      </c>
    </row>
    <row r="376" customFormat="false" ht="15" hidden="false" customHeight="false" outlineLevel="0" collapsed="false">
      <c r="A376" s="8" t="str">
        <f aca="false">IF(C376&lt;&gt;"","F"&amp;COUNT($C$4:C376),"")</f>
        <v/>
      </c>
      <c r="B376" s="9" t="str">
        <f aca="false">IF(OR(F376="LOC - INITIAL",F376="CONSOLIDATION - UPFRONT COMM",F376="REVERSE - TOTAL FUNDING"),A376,"")</f>
        <v/>
      </c>
      <c r="C376" s="10"/>
      <c r="D376" s="11"/>
      <c r="E376" s="11"/>
      <c r="F376" s="11"/>
      <c r="G376" s="12"/>
      <c r="H376" s="13"/>
      <c r="I376" s="11"/>
      <c r="J376" s="14" t="str">
        <f aca="false">IF(AND(G376&lt;&gt;"",H376&lt;&gt;""),G376*H376,"")</f>
        <v/>
      </c>
      <c r="K376" s="11"/>
      <c r="L376" s="15"/>
      <c r="M376" s="15"/>
      <c r="N376" s="14" t="n">
        <f aca="false">IF(OR(G376="",M376=""),0,IF(M376&gt;100,M376,G376*IF(M376&gt;1,M376/100,M376)))</f>
        <v>0</v>
      </c>
      <c r="O376" s="14" t="str">
        <f aca="false">IF(G376="","",G376*IF(L376="",0,IF(L376&gt;1,L376/100,L376))+N376)</f>
        <v/>
      </c>
      <c r="P376" s="11"/>
      <c r="Q376" s="16" t="str">
        <f aca="false">IF(P376="","",IFERROR(VLOOKUP(P376,PARTNERS!$A$2:$B$30,2,0),""))</f>
        <v/>
      </c>
      <c r="R376" s="17" t="str">
        <f aca="false">IF(O376="","",IF(OR(P376="",Q376=""),0,(O376-N376)*IF(Q376&gt;1,Q376/100,Q376)))</f>
        <v/>
      </c>
      <c r="S376" s="14" t="str">
        <f aca="false">IF(O376="","",O376-R376)</f>
        <v/>
      </c>
      <c r="T376" s="11"/>
      <c r="U376" s="18" t="str">
        <f aca="false">IF(T376="","",IFERROR(VLOOKUP(T376,REPS!$A$2:$D$40,2,0),""))</f>
        <v/>
      </c>
      <c r="V376" s="14" t="str">
        <f aca="false">IF(O376="","",IF(U376="",0,O376*IF(U376&gt;1,U376/100,U376)))</f>
        <v/>
      </c>
      <c r="W376" s="11"/>
      <c r="X376" s="18" t="str">
        <f aca="false">IF(W376="","",IFERROR(VLOOKUP(W376,REPS!$A$2:$D$40,3,0),""))</f>
        <v/>
      </c>
      <c r="Y376" s="14" t="str">
        <f aca="false">IF(O376="","",IF(X376="",0,O376*IF(X376&gt;1,X376/100,X376)))</f>
        <v/>
      </c>
      <c r="Z376" s="11"/>
      <c r="AA376" s="18" t="str">
        <f aca="false">IF(Z376="","",IFERROR(VLOOKUP(Z376,REPS!$A$2:$D$40,4,0),""))</f>
        <v/>
      </c>
      <c r="AB376" s="14" t="str">
        <f aca="false">IF(O376="","",IF(AA376="",0,O376*IF(AA376&gt;1,AA376/100,AA376)))</f>
        <v/>
      </c>
      <c r="AC376" s="14" t="str">
        <f aca="false">IF(O376="","",V376+Y376+AB376)</f>
        <v/>
      </c>
      <c r="AD376" s="19" t="str">
        <f aca="false">IF(O376="","",O376-R376-AC376)</f>
        <v/>
      </c>
      <c r="AE376" s="20"/>
      <c r="AF376" s="10"/>
      <c r="AG376" s="21" t="n">
        <f aca="false">IF(OR(AE376="",AE376=0),0,AE376*IF(U376="",0,IF(U376&gt;1,U376/100,U376)))</f>
        <v>0</v>
      </c>
      <c r="AH376" s="21" t="n">
        <f aca="false">IF(OR(AE376="",AE376=0),0,AE376*IF(X376="",0,IF(X376&gt;1,X376/100,X376)))</f>
        <v>0</v>
      </c>
      <c r="AI376" s="21" t="n">
        <f aca="false">IF(OR(AE376="",AE376=0),0,AE376*IF(AA376="",0,IF(AA376&gt;1,AA376/100,AA376)))</f>
        <v>0</v>
      </c>
      <c r="AJ376" s="21" t="n">
        <f aca="false">AG376+AH376+AI376</f>
        <v>0</v>
      </c>
      <c r="AK376" s="21" t="n">
        <f aca="false">IF(OR(AE376="",AE376=0),0,AE376-AJ376)</f>
        <v>0</v>
      </c>
      <c r="AL376" s="19" t="str">
        <f aca="false">IF(AD376="","",AD376-AK376)</f>
        <v/>
      </c>
      <c r="AM376" s="9" t="str">
        <f aca="false">IF(C376="","","Waiting for payment")</f>
        <v/>
      </c>
      <c r="AN376" s="10"/>
      <c r="AO376" s="10"/>
      <c r="AP376" s="22" t="str">
        <f aca="false">IF(OR(C376="",I376="",K376=""),"",IF(K376="Monthly",EDATE(C376,ROUND(I376*SETTINGS!$I$8,0)),WORKDAY(C376,ROUND(I376*SETTINGS!$I$8,0))))</f>
        <v/>
      </c>
      <c r="AQ376" s="9" t="str">
        <f aca="true">IF(C376="","",IF(AND(AP376&lt;&gt;"",TODAY()&gt;=AP376),"Refi Ready",IF(TODAY()-C376&gt;=SETTINGS!$I$11,"Prospecting","Performing")))</f>
        <v/>
      </c>
      <c r="AR376" s="22" t="str">
        <f aca="false">IF(OR(C376="",I376="",K376=""),"",IF(K376="Monthly",EDATE(C376,I376),WORKDAY(C376,I376)))</f>
        <v/>
      </c>
      <c r="AS376" s="11"/>
      <c r="AT376" s="23" t="str">
        <f aca="true">IF(C376="","",IF(AM376="Clawed Back","CLAWED",IF(TODAY()&lt;=C376+SETTINGS!$I$2,"⚠ AT RISK","SAFE")))</f>
        <v/>
      </c>
      <c r="AU376" s="11"/>
      <c r="AW376" s="24" t="n">
        <f aca="false">AW375+IF(AND(C376&lt;&gt;"",AO376&lt;&gt;"",OR('REP COMMISSION'!$B$3="",T376='REP COMMISSION'!$B$3,W376='REP COMMISSION'!$B$3,Z376='REP COMMISSION'!$B$3)),1,0)</f>
        <v>0</v>
      </c>
      <c r="AX376" s="24" t="n">
        <f aca="false">AX375+IF(AND(C376&lt;&gt;"",OR(F376="LOC - INITIAL",F376="CONSOLIDATION - UPFRONT COMM",F376="REVERSE - TOTAL FUNDING")),1,0)</f>
        <v>0</v>
      </c>
    </row>
    <row r="377" customFormat="false" ht="15" hidden="false" customHeight="false" outlineLevel="0" collapsed="false">
      <c r="A377" s="25" t="str">
        <f aca="false">IF(C377&lt;&gt;"","F"&amp;COUNT($C$4:C377),"")</f>
        <v/>
      </c>
      <c r="B377" s="26" t="str">
        <f aca="false">IF(OR(F377="LOC - INITIAL",F377="CONSOLIDATION - UPFRONT COMM",F377="REVERSE - TOTAL FUNDING"),A377,"")</f>
        <v/>
      </c>
      <c r="C377" s="27"/>
      <c r="D377" s="28"/>
      <c r="E377" s="28"/>
      <c r="F377" s="28"/>
      <c r="G377" s="29"/>
      <c r="H377" s="30"/>
      <c r="I377" s="28"/>
      <c r="J377" s="31" t="str">
        <f aca="false">IF(AND(G377&lt;&gt;"",H377&lt;&gt;""),G377*H377,"")</f>
        <v/>
      </c>
      <c r="K377" s="28"/>
      <c r="L377" s="32"/>
      <c r="M377" s="32"/>
      <c r="N377" s="31" t="n">
        <f aca="false">IF(OR(G377="",M377=""),0,IF(M377&gt;100,M377,G377*IF(M377&gt;1,M377/100,M377)))</f>
        <v>0</v>
      </c>
      <c r="O377" s="31" t="str">
        <f aca="false">IF(G377="","",G377*IF(L377="",0,IF(L377&gt;1,L377/100,L377))+N377)</f>
        <v/>
      </c>
      <c r="P377" s="28"/>
      <c r="Q377" s="33" t="str">
        <f aca="false">IF(P377="","",IFERROR(VLOOKUP(P377,PARTNERS!$A$2:$B$30,2,0),""))</f>
        <v/>
      </c>
      <c r="R377" s="17" t="str">
        <f aca="false">IF(O377="","",IF(OR(P377="",Q377=""),0,(O377-N377)*IF(Q377&gt;1,Q377/100,Q377)))</f>
        <v/>
      </c>
      <c r="S377" s="31" t="str">
        <f aca="false">IF(O377="","",O377-R377)</f>
        <v/>
      </c>
      <c r="T377" s="28"/>
      <c r="U377" s="34" t="str">
        <f aca="false">IF(T377="","",IFERROR(VLOOKUP(T377,REPS!$A$2:$D$40,2,0),""))</f>
        <v/>
      </c>
      <c r="V377" s="31" t="str">
        <f aca="false">IF(O377="","",IF(U377="",0,O377*IF(U377&gt;1,U377/100,U377)))</f>
        <v/>
      </c>
      <c r="W377" s="28"/>
      <c r="X377" s="34" t="str">
        <f aca="false">IF(W377="","",IFERROR(VLOOKUP(W377,REPS!$A$2:$D$40,3,0),""))</f>
        <v/>
      </c>
      <c r="Y377" s="31" t="str">
        <f aca="false">IF(O377="","",IF(X377="",0,O377*IF(X377&gt;1,X377/100,X377)))</f>
        <v/>
      </c>
      <c r="Z377" s="28"/>
      <c r="AA377" s="34" t="str">
        <f aca="false">IF(Z377="","",IFERROR(VLOOKUP(Z377,REPS!$A$2:$D$40,4,0),""))</f>
        <v/>
      </c>
      <c r="AB377" s="31" t="str">
        <f aca="false">IF(O377="","",IF(AA377="",0,O377*IF(AA377&gt;1,AA377/100,AA377)))</f>
        <v/>
      </c>
      <c r="AC377" s="31" t="str">
        <f aca="false">IF(O377="","",V377+Y377+AB377)</f>
        <v/>
      </c>
      <c r="AD377" s="19" t="str">
        <f aca="false">IF(O377="","",O377-R377-AC377)</f>
        <v/>
      </c>
      <c r="AE377" s="20"/>
      <c r="AF377" s="27"/>
      <c r="AG377" s="21" t="n">
        <f aca="false">IF(OR(AE377="",AE377=0),0,AE377*IF(U377="",0,IF(U377&gt;1,U377/100,U377)))</f>
        <v>0</v>
      </c>
      <c r="AH377" s="21" t="n">
        <f aca="false">IF(OR(AE377="",AE377=0),0,AE377*IF(X377="",0,IF(X377&gt;1,X377/100,X377)))</f>
        <v>0</v>
      </c>
      <c r="AI377" s="21" t="n">
        <f aca="false">IF(OR(AE377="",AE377=0),0,AE377*IF(AA377="",0,IF(AA377&gt;1,AA377/100,AA377)))</f>
        <v>0</v>
      </c>
      <c r="AJ377" s="21" t="n">
        <f aca="false">AG377+AH377+AI377</f>
        <v>0</v>
      </c>
      <c r="AK377" s="21" t="n">
        <f aca="false">IF(OR(AE377="",AE377=0),0,AE377-AJ377)</f>
        <v>0</v>
      </c>
      <c r="AL377" s="19" t="str">
        <f aca="false">IF(AD377="","",AD377-AK377)</f>
        <v/>
      </c>
      <c r="AM377" s="26" t="str">
        <f aca="false">IF(C377="","","Waiting for payment")</f>
        <v/>
      </c>
      <c r="AN377" s="27"/>
      <c r="AO377" s="27"/>
      <c r="AP377" s="35" t="str">
        <f aca="false">IF(OR(C377="",I377="",K377=""),"",IF(K377="Monthly",EDATE(C377,ROUND(I377*SETTINGS!$I$8,0)),WORKDAY(C377,ROUND(I377*SETTINGS!$I$8,0))))</f>
        <v/>
      </c>
      <c r="AQ377" s="26" t="str">
        <f aca="true">IF(C377="","",IF(AND(AP377&lt;&gt;"",TODAY()&gt;=AP377),"Refi Ready",IF(TODAY()-C377&gt;=SETTINGS!$I$11,"Prospecting","Performing")))</f>
        <v/>
      </c>
      <c r="AR377" s="35" t="str">
        <f aca="false">IF(OR(C377="",I377="",K377=""),"",IF(K377="Monthly",EDATE(C377,I377),WORKDAY(C377,I377)))</f>
        <v/>
      </c>
      <c r="AS377" s="28"/>
      <c r="AT377" s="36" t="str">
        <f aca="true">IF(C377="","",IF(AM377="Clawed Back","CLAWED",IF(TODAY()&lt;=C377+SETTINGS!$I$2,"⚠ AT RISK","SAFE")))</f>
        <v/>
      </c>
      <c r="AU377" s="28"/>
      <c r="AW377" s="24" t="n">
        <f aca="false">AW376+IF(AND(C377&lt;&gt;"",AO377&lt;&gt;"",OR('REP COMMISSION'!$B$3="",T377='REP COMMISSION'!$B$3,W377='REP COMMISSION'!$B$3,Z377='REP COMMISSION'!$B$3)),1,0)</f>
        <v>0</v>
      </c>
      <c r="AX377" s="24" t="n">
        <f aca="false">AX376+IF(AND(C377&lt;&gt;"",OR(F377="LOC - INITIAL",F377="CONSOLIDATION - UPFRONT COMM",F377="REVERSE - TOTAL FUNDING")),1,0)</f>
        <v>0</v>
      </c>
    </row>
    <row r="378" customFormat="false" ht="15" hidden="false" customHeight="false" outlineLevel="0" collapsed="false">
      <c r="A378" s="8" t="str">
        <f aca="false">IF(C378&lt;&gt;"","F"&amp;COUNT($C$4:C378),"")</f>
        <v/>
      </c>
      <c r="B378" s="9" t="str">
        <f aca="false">IF(OR(F378="LOC - INITIAL",F378="CONSOLIDATION - UPFRONT COMM",F378="REVERSE - TOTAL FUNDING"),A378,"")</f>
        <v/>
      </c>
      <c r="C378" s="10"/>
      <c r="D378" s="11"/>
      <c r="E378" s="11"/>
      <c r="F378" s="11"/>
      <c r="G378" s="12"/>
      <c r="H378" s="13"/>
      <c r="I378" s="11"/>
      <c r="J378" s="14" t="str">
        <f aca="false">IF(AND(G378&lt;&gt;"",H378&lt;&gt;""),G378*H378,"")</f>
        <v/>
      </c>
      <c r="K378" s="11"/>
      <c r="L378" s="15"/>
      <c r="M378" s="15"/>
      <c r="N378" s="14" t="n">
        <f aca="false">IF(OR(G378="",M378=""),0,IF(M378&gt;100,M378,G378*IF(M378&gt;1,M378/100,M378)))</f>
        <v>0</v>
      </c>
      <c r="O378" s="14" t="str">
        <f aca="false">IF(G378="","",G378*IF(L378="",0,IF(L378&gt;1,L378/100,L378))+N378)</f>
        <v/>
      </c>
      <c r="P378" s="11"/>
      <c r="Q378" s="16" t="str">
        <f aca="false">IF(P378="","",IFERROR(VLOOKUP(P378,PARTNERS!$A$2:$B$30,2,0),""))</f>
        <v/>
      </c>
      <c r="R378" s="17" t="str">
        <f aca="false">IF(O378="","",IF(OR(P378="",Q378=""),0,(O378-N378)*IF(Q378&gt;1,Q378/100,Q378)))</f>
        <v/>
      </c>
      <c r="S378" s="14" t="str">
        <f aca="false">IF(O378="","",O378-R378)</f>
        <v/>
      </c>
      <c r="T378" s="11"/>
      <c r="U378" s="18" t="str">
        <f aca="false">IF(T378="","",IFERROR(VLOOKUP(T378,REPS!$A$2:$D$40,2,0),""))</f>
        <v/>
      </c>
      <c r="V378" s="14" t="str">
        <f aca="false">IF(O378="","",IF(U378="",0,O378*IF(U378&gt;1,U378/100,U378)))</f>
        <v/>
      </c>
      <c r="W378" s="11"/>
      <c r="X378" s="18" t="str">
        <f aca="false">IF(W378="","",IFERROR(VLOOKUP(W378,REPS!$A$2:$D$40,3,0),""))</f>
        <v/>
      </c>
      <c r="Y378" s="14" t="str">
        <f aca="false">IF(O378="","",IF(X378="",0,O378*IF(X378&gt;1,X378/100,X378)))</f>
        <v/>
      </c>
      <c r="Z378" s="11"/>
      <c r="AA378" s="18" t="str">
        <f aca="false">IF(Z378="","",IFERROR(VLOOKUP(Z378,REPS!$A$2:$D$40,4,0),""))</f>
        <v/>
      </c>
      <c r="AB378" s="14" t="str">
        <f aca="false">IF(O378="","",IF(AA378="",0,O378*IF(AA378&gt;1,AA378/100,AA378)))</f>
        <v/>
      </c>
      <c r="AC378" s="14" t="str">
        <f aca="false">IF(O378="","",V378+Y378+AB378)</f>
        <v/>
      </c>
      <c r="AD378" s="19" t="str">
        <f aca="false">IF(O378="","",O378-R378-AC378)</f>
        <v/>
      </c>
      <c r="AE378" s="20"/>
      <c r="AF378" s="10"/>
      <c r="AG378" s="21" t="n">
        <f aca="false">IF(OR(AE378="",AE378=0),0,AE378*IF(U378="",0,IF(U378&gt;1,U378/100,U378)))</f>
        <v>0</v>
      </c>
      <c r="AH378" s="21" t="n">
        <f aca="false">IF(OR(AE378="",AE378=0),0,AE378*IF(X378="",0,IF(X378&gt;1,X378/100,X378)))</f>
        <v>0</v>
      </c>
      <c r="AI378" s="21" t="n">
        <f aca="false">IF(OR(AE378="",AE378=0),0,AE378*IF(AA378="",0,IF(AA378&gt;1,AA378/100,AA378)))</f>
        <v>0</v>
      </c>
      <c r="AJ378" s="21" t="n">
        <f aca="false">AG378+AH378+AI378</f>
        <v>0</v>
      </c>
      <c r="AK378" s="21" t="n">
        <f aca="false">IF(OR(AE378="",AE378=0),0,AE378-AJ378)</f>
        <v>0</v>
      </c>
      <c r="AL378" s="19" t="str">
        <f aca="false">IF(AD378="","",AD378-AK378)</f>
        <v/>
      </c>
      <c r="AM378" s="9" t="str">
        <f aca="false">IF(C378="","","Waiting for payment")</f>
        <v/>
      </c>
      <c r="AN378" s="10"/>
      <c r="AO378" s="10"/>
      <c r="AP378" s="22" t="str">
        <f aca="false">IF(OR(C378="",I378="",K378=""),"",IF(K378="Monthly",EDATE(C378,ROUND(I378*SETTINGS!$I$8,0)),WORKDAY(C378,ROUND(I378*SETTINGS!$I$8,0))))</f>
        <v/>
      </c>
      <c r="AQ378" s="9" t="str">
        <f aca="true">IF(C378="","",IF(AND(AP378&lt;&gt;"",TODAY()&gt;=AP378),"Refi Ready",IF(TODAY()-C378&gt;=SETTINGS!$I$11,"Prospecting","Performing")))</f>
        <v/>
      </c>
      <c r="AR378" s="22" t="str">
        <f aca="false">IF(OR(C378="",I378="",K378=""),"",IF(K378="Monthly",EDATE(C378,I378),WORKDAY(C378,I378)))</f>
        <v/>
      </c>
      <c r="AS378" s="11"/>
      <c r="AT378" s="23" t="str">
        <f aca="true">IF(C378="","",IF(AM378="Clawed Back","CLAWED",IF(TODAY()&lt;=C378+SETTINGS!$I$2,"⚠ AT RISK","SAFE")))</f>
        <v/>
      </c>
      <c r="AU378" s="11"/>
      <c r="AW378" s="24" t="n">
        <f aca="false">AW377+IF(AND(C378&lt;&gt;"",AO378&lt;&gt;"",OR('REP COMMISSION'!$B$3="",T378='REP COMMISSION'!$B$3,W378='REP COMMISSION'!$B$3,Z378='REP COMMISSION'!$B$3)),1,0)</f>
        <v>0</v>
      </c>
      <c r="AX378" s="24" t="n">
        <f aca="false">AX377+IF(AND(C378&lt;&gt;"",OR(F378="LOC - INITIAL",F378="CONSOLIDATION - UPFRONT COMM",F378="REVERSE - TOTAL FUNDING")),1,0)</f>
        <v>0</v>
      </c>
    </row>
    <row r="379" customFormat="false" ht="15" hidden="false" customHeight="false" outlineLevel="0" collapsed="false">
      <c r="A379" s="25" t="str">
        <f aca="false">IF(C379&lt;&gt;"","F"&amp;COUNT($C$4:C379),"")</f>
        <v/>
      </c>
      <c r="B379" s="26" t="str">
        <f aca="false">IF(OR(F379="LOC - INITIAL",F379="CONSOLIDATION - UPFRONT COMM",F379="REVERSE - TOTAL FUNDING"),A379,"")</f>
        <v/>
      </c>
      <c r="C379" s="27"/>
      <c r="D379" s="28"/>
      <c r="E379" s="28"/>
      <c r="F379" s="28"/>
      <c r="G379" s="29"/>
      <c r="H379" s="30"/>
      <c r="I379" s="28"/>
      <c r="J379" s="31" t="str">
        <f aca="false">IF(AND(G379&lt;&gt;"",H379&lt;&gt;""),G379*H379,"")</f>
        <v/>
      </c>
      <c r="K379" s="28"/>
      <c r="L379" s="32"/>
      <c r="M379" s="32"/>
      <c r="N379" s="31" t="n">
        <f aca="false">IF(OR(G379="",M379=""),0,IF(M379&gt;100,M379,G379*IF(M379&gt;1,M379/100,M379)))</f>
        <v>0</v>
      </c>
      <c r="O379" s="31" t="str">
        <f aca="false">IF(G379="","",G379*IF(L379="",0,IF(L379&gt;1,L379/100,L379))+N379)</f>
        <v/>
      </c>
      <c r="P379" s="28"/>
      <c r="Q379" s="33" t="str">
        <f aca="false">IF(P379="","",IFERROR(VLOOKUP(P379,PARTNERS!$A$2:$B$30,2,0),""))</f>
        <v/>
      </c>
      <c r="R379" s="17" t="str">
        <f aca="false">IF(O379="","",IF(OR(P379="",Q379=""),0,(O379-N379)*IF(Q379&gt;1,Q379/100,Q379)))</f>
        <v/>
      </c>
      <c r="S379" s="31" t="str">
        <f aca="false">IF(O379="","",O379-R379)</f>
        <v/>
      </c>
      <c r="T379" s="28"/>
      <c r="U379" s="34" t="str">
        <f aca="false">IF(T379="","",IFERROR(VLOOKUP(T379,REPS!$A$2:$D$40,2,0),""))</f>
        <v/>
      </c>
      <c r="V379" s="31" t="str">
        <f aca="false">IF(O379="","",IF(U379="",0,O379*IF(U379&gt;1,U379/100,U379)))</f>
        <v/>
      </c>
      <c r="W379" s="28"/>
      <c r="X379" s="34" t="str">
        <f aca="false">IF(W379="","",IFERROR(VLOOKUP(W379,REPS!$A$2:$D$40,3,0),""))</f>
        <v/>
      </c>
      <c r="Y379" s="31" t="str">
        <f aca="false">IF(O379="","",IF(X379="",0,O379*IF(X379&gt;1,X379/100,X379)))</f>
        <v/>
      </c>
      <c r="Z379" s="28"/>
      <c r="AA379" s="34" t="str">
        <f aca="false">IF(Z379="","",IFERROR(VLOOKUP(Z379,REPS!$A$2:$D$40,4,0),""))</f>
        <v/>
      </c>
      <c r="AB379" s="31" t="str">
        <f aca="false">IF(O379="","",IF(AA379="",0,O379*IF(AA379&gt;1,AA379/100,AA379)))</f>
        <v/>
      </c>
      <c r="AC379" s="31" t="str">
        <f aca="false">IF(O379="","",V379+Y379+AB379)</f>
        <v/>
      </c>
      <c r="AD379" s="19" t="str">
        <f aca="false">IF(O379="","",O379-R379-AC379)</f>
        <v/>
      </c>
      <c r="AE379" s="20"/>
      <c r="AF379" s="27"/>
      <c r="AG379" s="21" t="n">
        <f aca="false">IF(OR(AE379="",AE379=0),0,AE379*IF(U379="",0,IF(U379&gt;1,U379/100,U379)))</f>
        <v>0</v>
      </c>
      <c r="AH379" s="21" t="n">
        <f aca="false">IF(OR(AE379="",AE379=0),0,AE379*IF(X379="",0,IF(X379&gt;1,X379/100,X379)))</f>
        <v>0</v>
      </c>
      <c r="AI379" s="21" t="n">
        <f aca="false">IF(OR(AE379="",AE379=0),0,AE379*IF(AA379="",0,IF(AA379&gt;1,AA379/100,AA379)))</f>
        <v>0</v>
      </c>
      <c r="AJ379" s="21" t="n">
        <f aca="false">AG379+AH379+AI379</f>
        <v>0</v>
      </c>
      <c r="AK379" s="21" t="n">
        <f aca="false">IF(OR(AE379="",AE379=0),0,AE379-AJ379)</f>
        <v>0</v>
      </c>
      <c r="AL379" s="19" t="str">
        <f aca="false">IF(AD379="","",AD379-AK379)</f>
        <v/>
      </c>
      <c r="AM379" s="26" t="str">
        <f aca="false">IF(C379="","","Waiting for payment")</f>
        <v/>
      </c>
      <c r="AN379" s="27"/>
      <c r="AO379" s="27"/>
      <c r="AP379" s="35" t="str">
        <f aca="false">IF(OR(C379="",I379="",K379=""),"",IF(K379="Monthly",EDATE(C379,ROUND(I379*SETTINGS!$I$8,0)),WORKDAY(C379,ROUND(I379*SETTINGS!$I$8,0))))</f>
        <v/>
      </c>
      <c r="AQ379" s="26" t="str">
        <f aca="true">IF(C379="","",IF(AND(AP379&lt;&gt;"",TODAY()&gt;=AP379),"Refi Ready",IF(TODAY()-C379&gt;=SETTINGS!$I$11,"Prospecting","Performing")))</f>
        <v/>
      </c>
      <c r="AR379" s="35" t="str">
        <f aca="false">IF(OR(C379="",I379="",K379=""),"",IF(K379="Monthly",EDATE(C379,I379),WORKDAY(C379,I379)))</f>
        <v/>
      </c>
      <c r="AS379" s="28"/>
      <c r="AT379" s="36" t="str">
        <f aca="true">IF(C379="","",IF(AM379="Clawed Back","CLAWED",IF(TODAY()&lt;=C379+SETTINGS!$I$2,"⚠ AT RISK","SAFE")))</f>
        <v/>
      </c>
      <c r="AU379" s="28"/>
      <c r="AW379" s="24" t="n">
        <f aca="false">AW378+IF(AND(C379&lt;&gt;"",AO379&lt;&gt;"",OR('REP COMMISSION'!$B$3="",T379='REP COMMISSION'!$B$3,W379='REP COMMISSION'!$B$3,Z379='REP COMMISSION'!$B$3)),1,0)</f>
        <v>0</v>
      </c>
      <c r="AX379" s="24" t="n">
        <f aca="false">AX378+IF(AND(C379&lt;&gt;"",OR(F379="LOC - INITIAL",F379="CONSOLIDATION - UPFRONT COMM",F379="REVERSE - TOTAL FUNDING")),1,0)</f>
        <v>0</v>
      </c>
    </row>
    <row r="380" customFormat="false" ht="15" hidden="false" customHeight="false" outlineLevel="0" collapsed="false">
      <c r="A380" s="8" t="str">
        <f aca="false">IF(C380&lt;&gt;"","F"&amp;COUNT($C$4:C380),"")</f>
        <v/>
      </c>
      <c r="B380" s="9" t="str">
        <f aca="false">IF(OR(F380="LOC - INITIAL",F380="CONSOLIDATION - UPFRONT COMM",F380="REVERSE - TOTAL FUNDING"),A380,"")</f>
        <v/>
      </c>
      <c r="C380" s="10"/>
      <c r="D380" s="11"/>
      <c r="E380" s="11"/>
      <c r="F380" s="11"/>
      <c r="G380" s="12"/>
      <c r="H380" s="13"/>
      <c r="I380" s="11"/>
      <c r="J380" s="14" t="str">
        <f aca="false">IF(AND(G380&lt;&gt;"",H380&lt;&gt;""),G380*H380,"")</f>
        <v/>
      </c>
      <c r="K380" s="11"/>
      <c r="L380" s="15"/>
      <c r="M380" s="15"/>
      <c r="N380" s="14" t="n">
        <f aca="false">IF(OR(G380="",M380=""),0,IF(M380&gt;100,M380,G380*IF(M380&gt;1,M380/100,M380)))</f>
        <v>0</v>
      </c>
      <c r="O380" s="14" t="str">
        <f aca="false">IF(G380="","",G380*IF(L380="",0,IF(L380&gt;1,L380/100,L380))+N380)</f>
        <v/>
      </c>
      <c r="P380" s="11"/>
      <c r="Q380" s="16" t="str">
        <f aca="false">IF(P380="","",IFERROR(VLOOKUP(P380,PARTNERS!$A$2:$B$30,2,0),""))</f>
        <v/>
      </c>
      <c r="R380" s="17" t="str">
        <f aca="false">IF(O380="","",IF(OR(P380="",Q380=""),0,(O380-N380)*IF(Q380&gt;1,Q380/100,Q380)))</f>
        <v/>
      </c>
      <c r="S380" s="14" t="str">
        <f aca="false">IF(O380="","",O380-R380)</f>
        <v/>
      </c>
      <c r="T380" s="11"/>
      <c r="U380" s="18" t="str">
        <f aca="false">IF(T380="","",IFERROR(VLOOKUP(T380,REPS!$A$2:$D$40,2,0),""))</f>
        <v/>
      </c>
      <c r="V380" s="14" t="str">
        <f aca="false">IF(O380="","",IF(U380="",0,O380*IF(U380&gt;1,U380/100,U380)))</f>
        <v/>
      </c>
      <c r="W380" s="11"/>
      <c r="X380" s="18" t="str">
        <f aca="false">IF(W380="","",IFERROR(VLOOKUP(W380,REPS!$A$2:$D$40,3,0),""))</f>
        <v/>
      </c>
      <c r="Y380" s="14" t="str">
        <f aca="false">IF(O380="","",IF(X380="",0,O380*IF(X380&gt;1,X380/100,X380)))</f>
        <v/>
      </c>
      <c r="Z380" s="11"/>
      <c r="AA380" s="18" t="str">
        <f aca="false">IF(Z380="","",IFERROR(VLOOKUP(Z380,REPS!$A$2:$D$40,4,0),""))</f>
        <v/>
      </c>
      <c r="AB380" s="14" t="str">
        <f aca="false">IF(O380="","",IF(AA380="",0,O380*IF(AA380&gt;1,AA380/100,AA380)))</f>
        <v/>
      </c>
      <c r="AC380" s="14" t="str">
        <f aca="false">IF(O380="","",V380+Y380+AB380)</f>
        <v/>
      </c>
      <c r="AD380" s="19" t="str">
        <f aca="false">IF(O380="","",O380-R380-AC380)</f>
        <v/>
      </c>
      <c r="AE380" s="20"/>
      <c r="AF380" s="10"/>
      <c r="AG380" s="21" t="n">
        <f aca="false">IF(OR(AE380="",AE380=0),0,AE380*IF(U380="",0,IF(U380&gt;1,U380/100,U380)))</f>
        <v>0</v>
      </c>
      <c r="AH380" s="21" t="n">
        <f aca="false">IF(OR(AE380="",AE380=0),0,AE380*IF(X380="",0,IF(X380&gt;1,X380/100,X380)))</f>
        <v>0</v>
      </c>
      <c r="AI380" s="21" t="n">
        <f aca="false">IF(OR(AE380="",AE380=0),0,AE380*IF(AA380="",0,IF(AA380&gt;1,AA380/100,AA380)))</f>
        <v>0</v>
      </c>
      <c r="AJ380" s="21" t="n">
        <f aca="false">AG380+AH380+AI380</f>
        <v>0</v>
      </c>
      <c r="AK380" s="21" t="n">
        <f aca="false">IF(OR(AE380="",AE380=0),0,AE380-AJ380)</f>
        <v>0</v>
      </c>
      <c r="AL380" s="19" t="str">
        <f aca="false">IF(AD380="","",AD380-AK380)</f>
        <v/>
      </c>
      <c r="AM380" s="9" t="str">
        <f aca="false">IF(C380="","","Waiting for payment")</f>
        <v/>
      </c>
      <c r="AN380" s="10"/>
      <c r="AO380" s="10"/>
      <c r="AP380" s="22" t="str">
        <f aca="false">IF(OR(C380="",I380="",K380=""),"",IF(K380="Monthly",EDATE(C380,ROUND(I380*SETTINGS!$I$8,0)),WORKDAY(C380,ROUND(I380*SETTINGS!$I$8,0))))</f>
        <v/>
      </c>
      <c r="AQ380" s="9" t="str">
        <f aca="true">IF(C380="","",IF(AND(AP380&lt;&gt;"",TODAY()&gt;=AP380),"Refi Ready",IF(TODAY()-C380&gt;=SETTINGS!$I$11,"Prospecting","Performing")))</f>
        <v/>
      </c>
      <c r="AR380" s="22" t="str">
        <f aca="false">IF(OR(C380="",I380="",K380=""),"",IF(K380="Monthly",EDATE(C380,I380),WORKDAY(C380,I380)))</f>
        <v/>
      </c>
      <c r="AS380" s="11"/>
      <c r="AT380" s="23" t="str">
        <f aca="true">IF(C380="","",IF(AM380="Clawed Back","CLAWED",IF(TODAY()&lt;=C380+SETTINGS!$I$2,"⚠ AT RISK","SAFE")))</f>
        <v/>
      </c>
      <c r="AU380" s="11"/>
      <c r="AW380" s="24" t="n">
        <f aca="false">AW379+IF(AND(C380&lt;&gt;"",AO380&lt;&gt;"",OR('REP COMMISSION'!$B$3="",T380='REP COMMISSION'!$B$3,W380='REP COMMISSION'!$B$3,Z380='REP COMMISSION'!$B$3)),1,0)</f>
        <v>0</v>
      </c>
      <c r="AX380" s="24" t="n">
        <f aca="false">AX379+IF(AND(C380&lt;&gt;"",OR(F380="LOC - INITIAL",F380="CONSOLIDATION - UPFRONT COMM",F380="REVERSE - TOTAL FUNDING")),1,0)</f>
        <v>0</v>
      </c>
    </row>
    <row r="381" customFormat="false" ht="15" hidden="false" customHeight="false" outlineLevel="0" collapsed="false">
      <c r="A381" s="25" t="str">
        <f aca="false">IF(C381&lt;&gt;"","F"&amp;COUNT($C$4:C381),"")</f>
        <v/>
      </c>
      <c r="B381" s="26" t="str">
        <f aca="false">IF(OR(F381="LOC - INITIAL",F381="CONSOLIDATION - UPFRONT COMM",F381="REVERSE - TOTAL FUNDING"),A381,"")</f>
        <v/>
      </c>
      <c r="C381" s="27"/>
      <c r="D381" s="28"/>
      <c r="E381" s="28"/>
      <c r="F381" s="28"/>
      <c r="G381" s="29"/>
      <c r="H381" s="30"/>
      <c r="I381" s="28"/>
      <c r="J381" s="31" t="str">
        <f aca="false">IF(AND(G381&lt;&gt;"",H381&lt;&gt;""),G381*H381,"")</f>
        <v/>
      </c>
      <c r="K381" s="28"/>
      <c r="L381" s="32"/>
      <c r="M381" s="32"/>
      <c r="N381" s="31" t="n">
        <f aca="false">IF(OR(G381="",M381=""),0,IF(M381&gt;100,M381,G381*IF(M381&gt;1,M381/100,M381)))</f>
        <v>0</v>
      </c>
      <c r="O381" s="31" t="str">
        <f aca="false">IF(G381="","",G381*IF(L381="",0,IF(L381&gt;1,L381/100,L381))+N381)</f>
        <v/>
      </c>
      <c r="P381" s="28"/>
      <c r="Q381" s="33" t="str">
        <f aca="false">IF(P381="","",IFERROR(VLOOKUP(P381,PARTNERS!$A$2:$B$30,2,0),""))</f>
        <v/>
      </c>
      <c r="R381" s="17" t="str">
        <f aca="false">IF(O381="","",IF(OR(P381="",Q381=""),0,(O381-N381)*IF(Q381&gt;1,Q381/100,Q381)))</f>
        <v/>
      </c>
      <c r="S381" s="31" t="str">
        <f aca="false">IF(O381="","",O381-R381)</f>
        <v/>
      </c>
      <c r="T381" s="28"/>
      <c r="U381" s="34" t="str">
        <f aca="false">IF(T381="","",IFERROR(VLOOKUP(T381,REPS!$A$2:$D$40,2,0),""))</f>
        <v/>
      </c>
      <c r="V381" s="31" t="str">
        <f aca="false">IF(O381="","",IF(U381="",0,O381*IF(U381&gt;1,U381/100,U381)))</f>
        <v/>
      </c>
      <c r="W381" s="28"/>
      <c r="X381" s="34" t="str">
        <f aca="false">IF(W381="","",IFERROR(VLOOKUP(W381,REPS!$A$2:$D$40,3,0),""))</f>
        <v/>
      </c>
      <c r="Y381" s="31" t="str">
        <f aca="false">IF(O381="","",IF(X381="",0,O381*IF(X381&gt;1,X381/100,X381)))</f>
        <v/>
      </c>
      <c r="Z381" s="28"/>
      <c r="AA381" s="34" t="str">
        <f aca="false">IF(Z381="","",IFERROR(VLOOKUP(Z381,REPS!$A$2:$D$40,4,0),""))</f>
        <v/>
      </c>
      <c r="AB381" s="31" t="str">
        <f aca="false">IF(O381="","",IF(AA381="",0,O381*IF(AA381&gt;1,AA381/100,AA381)))</f>
        <v/>
      </c>
      <c r="AC381" s="31" t="str">
        <f aca="false">IF(O381="","",V381+Y381+AB381)</f>
        <v/>
      </c>
      <c r="AD381" s="19" t="str">
        <f aca="false">IF(O381="","",O381-R381-AC381)</f>
        <v/>
      </c>
      <c r="AE381" s="20"/>
      <c r="AF381" s="27"/>
      <c r="AG381" s="21" t="n">
        <f aca="false">IF(OR(AE381="",AE381=0),0,AE381*IF(U381="",0,IF(U381&gt;1,U381/100,U381)))</f>
        <v>0</v>
      </c>
      <c r="AH381" s="21" t="n">
        <f aca="false">IF(OR(AE381="",AE381=0),0,AE381*IF(X381="",0,IF(X381&gt;1,X381/100,X381)))</f>
        <v>0</v>
      </c>
      <c r="AI381" s="21" t="n">
        <f aca="false">IF(OR(AE381="",AE381=0),0,AE381*IF(AA381="",0,IF(AA381&gt;1,AA381/100,AA381)))</f>
        <v>0</v>
      </c>
      <c r="AJ381" s="21" t="n">
        <f aca="false">AG381+AH381+AI381</f>
        <v>0</v>
      </c>
      <c r="AK381" s="21" t="n">
        <f aca="false">IF(OR(AE381="",AE381=0),0,AE381-AJ381)</f>
        <v>0</v>
      </c>
      <c r="AL381" s="19" t="str">
        <f aca="false">IF(AD381="","",AD381-AK381)</f>
        <v/>
      </c>
      <c r="AM381" s="26" t="str">
        <f aca="false">IF(C381="","","Waiting for payment")</f>
        <v/>
      </c>
      <c r="AN381" s="27"/>
      <c r="AO381" s="27"/>
      <c r="AP381" s="35" t="str">
        <f aca="false">IF(OR(C381="",I381="",K381=""),"",IF(K381="Monthly",EDATE(C381,ROUND(I381*SETTINGS!$I$8,0)),WORKDAY(C381,ROUND(I381*SETTINGS!$I$8,0))))</f>
        <v/>
      </c>
      <c r="AQ381" s="26" t="str">
        <f aca="true">IF(C381="","",IF(AND(AP381&lt;&gt;"",TODAY()&gt;=AP381),"Refi Ready",IF(TODAY()-C381&gt;=SETTINGS!$I$11,"Prospecting","Performing")))</f>
        <v/>
      </c>
      <c r="AR381" s="35" t="str">
        <f aca="false">IF(OR(C381="",I381="",K381=""),"",IF(K381="Monthly",EDATE(C381,I381),WORKDAY(C381,I381)))</f>
        <v/>
      </c>
      <c r="AS381" s="28"/>
      <c r="AT381" s="36" t="str">
        <f aca="true">IF(C381="","",IF(AM381="Clawed Back","CLAWED",IF(TODAY()&lt;=C381+SETTINGS!$I$2,"⚠ AT RISK","SAFE")))</f>
        <v/>
      </c>
      <c r="AU381" s="28"/>
      <c r="AW381" s="24" t="n">
        <f aca="false">AW380+IF(AND(C381&lt;&gt;"",AO381&lt;&gt;"",OR('REP COMMISSION'!$B$3="",T381='REP COMMISSION'!$B$3,W381='REP COMMISSION'!$B$3,Z381='REP COMMISSION'!$B$3)),1,0)</f>
        <v>0</v>
      </c>
      <c r="AX381" s="24" t="n">
        <f aca="false">AX380+IF(AND(C381&lt;&gt;"",OR(F381="LOC - INITIAL",F381="CONSOLIDATION - UPFRONT COMM",F381="REVERSE - TOTAL FUNDING")),1,0)</f>
        <v>0</v>
      </c>
    </row>
    <row r="382" customFormat="false" ht="15" hidden="false" customHeight="false" outlineLevel="0" collapsed="false">
      <c r="A382" s="8" t="str">
        <f aca="false">IF(C382&lt;&gt;"","F"&amp;COUNT($C$4:C382),"")</f>
        <v/>
      </c>
      <c r="B382" s="9" t="str">
        <f aca="false">IF(OR(F382="LOC - INITIAL",F382="CONSOLIDATION - UPFRONT COMM",F382="REVERSE - TOTAL FUNDING"),A382,"")</f>
        <v/>
      </c>
      <c r="C382" s="10"/>
      <c r="D382" s="11"/>
      <c r="E382" s="11"/>
      <c r="F382" s="11"/>
      <c r="G382" s="12"/>
      <c r="H382" s="13"/>
      <c r="I382" s="11"/>
      <c r="J382" s="14" t="str">
        <f aca="false">IF(AND(G382&lt;&gt;"",H382&lt;&gt;""),G382*H382,"")</f>
        <v/>
      </c>
      <c r="K382" s="11"/>
      <c r="L382" s="15"/>
      <c r="M382" s="15"/>
      <c r="N382" s="14" t="n">
        <f aca="false">IF(OR(G382="",M382=""),0,IF(M382&gt;100,M382,G382*IF(M382&gt;1,M382/100,M382)))</f>
        <v>0</v>
      </c>
      <c r="O382" s="14" t="str">
        <f aca="false">IF(G382="","",G382*IF(L382="",0,IF(L382&gt;1,L382/100,L382))+N382)</f>
        <v/>
      </c>
      <c r="P382" s="11"/>
      <c r="Q382" s="16" t="str">
        <f aca="false">IF(P382="","",IFERROR(VLOOKUP(P382,PARTNERS!$A$2:$B$30,2,0),""))</f>
        <v/>
      </c>
      <c r="R382" s="17" t="str">
        <f aca="false">IF(O382="","",IF(OR(P382="",Q382=""),0,(O382-N382)*IF(Q382&gt;1,Q382/100,Q382)))</f>
        <v/>
      </c>
      <c r="S382" s="14" t="str">
        <f aca="false">IF(O382="","",O382-R382)</f>
        <v/>
      </c>
      <c r="T382" s="11"/>
      <c r="U382" s="18" t="str">
        <f aca="false">IF(T382="","",IFERROR(VLOOKUP(T382,REPS!$A$2:$D$40,2,0),""))</f>
        <v/>
      </c>
      <c r="V382" s="14" t="str">
        <f aca="false">IF(O382="","",IF(U382="",0,O382*IF(U382&gt;1,U382/100,U382)))</f>
        <v/>
      </c>
      <c r="W382" s="11"/>
      <c r="X382" s="18" t="str">
        <f aca="false">IF(W382="","",IFERROR(VLOOKUP(W382,REPS!$A$2:$D$40,3,0),""))</f>
        <v/>
      </c>
      <c r="Y382" s="14" t="str">
        <f aca="false">IF(O382="","",IF(X382="",0,O382*IF(X382&gt;1,X382/100,X382)))</f>
        <v/>
      </c>
      <c r="Z382" s="11"/>
      <c r="AA382" s="18" t="str">
        <f aca="false">IF(Z382="","",IFERROR(VLOOKUP(Z382,REPS!$A$2:$D$40,4,0),""))</f>
        <v/>
      </c>
      <c r="AB382" s="14" t="str">
        <f aca="false">IF(O382="","",IF(AA382="",0,O382*IF(AA382&gt;1,AA382/100,AA382)))</f>
        <v/>
      </c>
      <c r="AC382" s="14" t="str">
        <f aca="false">IF(O382="","",V382+Y382+AB382)</f>
        <v/>
      </c>
      <c r="AD382" s="19" t="str">
        <f aca="false">IF(O382="","",O382-R382-AC382)</f>
        <v/>
      </c>
      <c r="AE382" s="20"/>
      <c r="AF382" s="10"/>
      <c r="AG382" s="21" t="n">
        <f aca="false">IF(OR(AE382="",AE382=0),0,AE382*IF(U382="",0,IF(U382&gt;1,U382/100,U382)))</f>
        <v>0</v>
      </c>
      <c r="AH382" s="21" t="n">
        <f aca="false">IF(OR(AE382="",AE382=0),0,AE382*IF(X382="",0,IF(X382&gt;1,X382/100,X382)))</f>
        <v>0</v>
      </c>
      <c r="AI382" s="21" t="n">
        <f aca="false">IF(OR(AE382="",AE382=0),0,AE382*IF(AA382="",0,IF(AA382&gt;1,AA382/100,AA382)))</f>
        <v>0</v>
      </c>
      <c r="AJ382" s="21" t="n">
        <f aca="false">AG382+AH382+AI382</f>
        <v>0</v>
      </c>
      <c r="AK382" s="21" t="n">
        <f aca="false">IF(OR(AE382="",AE382=0),0,AE382-AJ382)</f>
        <v>0</v>
      </c>
      <c r="AL382" s="19" t="str">
        <f aca="false">IF(AD382="","",AD382-AK382)</f>
        <v/>
      </c>
      <c r="AM382" s="9" t="str">
        <f aca="false">IF(C382="","","Waiting for payment")</f>
        <v/>
      </c>
      <c r="AN382" s="10"/>
      <c r="AO382" s="10"/>
      <c r="AP382" s="22" t="str">
        <f aca="false">IF(OR(C382="",I382="",K382=""),"",IF(K382="Monthly",EDATE(C382,ROUND(I382*SETTINGS!$I$8,0)),WORKDAY(C382,ROUND(I382*SETTINGS!$I$8,0))))</f>
        <v/>
      </c>
      <c r="AQ382" s="9" t="str">
        <f aca="true">IF(C382="","",IF(AND(AP382&lt;&gt;"",TODAY()&gt;=AP382),"Refi Ready",IF(TODAY()-C382&gt;=SETTINGS!$I$11,"Prospecting","Performing")))</f>
        <v/>
      </c>
      <c r="AR382" s="22" t="str">
        <f aca="false">IF(OR(C382="",I382="",K382=""),"",IF(K382="Monthly",EDATE(C382,I382),WORKDAY(C382,I382)))</f>
        <v/>
      </c>
      <c r="AS382" s="11"/>
      <c r="AT382" s="23" t="str">
        <f aca="true">IF(C382="","",IF(AM382="Clawed Back","CLAWED",IF(TODAY()&lt;=C382+SETTINGS!$I$2,"⚠ AT RISK","SAFE")))</f>
        <v/>
      </c>
      <c r="AU382" s="11"/>
      <c r="AW382" s="24" t="n">
        <f aca="false">AW381+IF(AND(C382&lt;&gt;"",AO382&lt;&gt;"",OR('REP COMMISSION'!$B$3="",T382='REP COMMISSION'!$B$3,W382='REP COMMISSION'!$B$3,Z382='REP COMMISSION'!$B$3)),1,0)</f>
        <v>0</v>
      </c>
      <c r="AX382" s="24" t="n">
        <f aca="false">AX381+IF(AND(C382&lt;&gt;"",OR(F382="LOC - INITIAL",F382="CONSOLIDATION - UPFRONT COMM",F382="REVERSE - TOTAL FUNDING")),1,0)</f>
        <v>0</v>
      </c>
    </row>
    <row r="383" customFormat="false" ht="15" hidden="false" customHeight="false" outlineLevel="0" collapsed="false">
      <c r="A383" s="25" t="str">
        <f aca="false">IF(C383&lt;&gt;"","F"&amp;COUNT($C$4:C383),"")</f>
        <v/>
      </c>
      <c r="B383" s="26" t="str">
        <f aca="false">IF(OR(F383="LOC - INITIAL",F383="CONSOLIDATION - UPFRONT COMM",F383="REVERSE - TOTAL FUNDING"),A383,"")</f>
        <v/>
      </c>
      <c r="C383" s="27"/>
      <c r="D383" s="28"/>
      <c r="E383" s="28"/>
      <c r="F383" s="28"/>
      <c r="G383" s="29"/>
      <c r="H383" s="30"/>
      <c r="I383" s="28"/>
      <c r="J383" s="31" t="str">
        <f aca="false">IF(AND(G383&lt;&gt;"",H383&lt;&gt;""),G383*H383,"")</f>
        <v/>
      </c>
      <c r="K383" s="28"/>
      <c r="L383" s="32"/>
      <c r="M383" s="32"/>
      <c r="N383" s="31" t="n">
        <f aca="false">IF(OR(G383="",M383=""),0,IF(M383&gt;100,M383,G383*IF(M383&gt;1,M383/100,M383)))</f>
        <v>0</v>
      </c>
      <c r="O383" s="31" t="str">
        <f aca="false">IF(G383="","",G383*IF(L383="",0,IF(L383&gt;1,L383/100,L383))+N383)</f>
        <v/>
      </c>
      <c r="P383" s="28"/>
      <c r="Q383" s="33" t="str">
        <f aca="false">IF(P383="","",IFERROR(VLOOKUP(P383,PARTNERS!$A$2:$B$30,2,0),""))</f>
        <v/>
      </c>
      <c r="R383" s="17" t="str">
        <f aca="false">IF(O383="","",IF(OR(P383="",Q383=""),0,(O383-N383)*IF(Q383&gt;1,Q383/100,Q383)))</f>
        <v/>
      </c>
      <c r="S383" s="31" t="str">
        <f aca="false">IF(O383="","",O383-R383)</f>
        <v/>
      </c>
      <c r="T383" s="28"/>
      <c r="U383" s="34" t="str">
        <f aca="false">IF(T383="","",IFERROR(VLOOKUP(T383,REPS!$A$2:$D$40,2,0),""))</f>
        <v/>
      </c>
      <c r="V383" s="31" t="str">
        <f aca="false">IF(O383="","",IF(U383="",0,O383*IF(U383&gt;1,U383/100,U383)))</f>
        <v/>
      </c>
      <c r="W383" s="28"/>
      <c r="X383" s="34" t="str">
        <f aca="false">IF(W383="","",IFERROR(VLOOKUP(W383,REPS!$A$2:$D$40,3,0),""))</f>
        <v/>
      </c>
      <c r="Y383" s="31" t="str">
        <f aca="false">IF(O383="","",IF(X383="",0,O383*IF(X383&gt;1,X383/100,X383)))</f>
        <v/>
      </c>
      <c r="Z383" s="28"/>
      <c r="AA383" s="34" t="str">
        <f aca="false">IF(Z383="","",IFERROR(VLOOKUP(Z383,REPS!$A$2:$D$40,4,0),""))</f>
        <v/>
      </c>
      <c r="AB383" s="31" t="str">
        <f aca="false">IF(O383="","",IF(AA383="",0,O383*IF(AA383&gt;1,AA383/100,AA383)))</f>
        <v/>
      </c>
      <c r="AC383" s="31" t="str">
        <f aca="false">IF(O383="","",V383+Y383+AB383)</f>
        <v/>
      </c>
      <c r="AD383" s="19" t="str">
        <f aca="false">IF(O383="","",O383-R383-AC383)</f>
        <v/>
      </c>
      <c r="AE383" s="20"/>
      <c r="AF383" s="27"/>
      <c r="AG383" s="21" t="n">
        <f aca="false">IF(OR(AE383="",AE383=0),0,AE383*IF(U383="",0,IF(U383&gt;1,U383/100,U383)))</f>
        <v>0</v>
      </c>
      <c r="AH383" s="21" t="n">
        <f aca="false">IF(OR(AE383="",AE383=0),0,AE383*IF(X383="",0,IF(X383&gt;1,X383/100,X383)))</f>
        <v>0</v>
      </c>
      <c r="AI383" s="21" t="n">
        <f aca="false">IF(OR(AE383="",AE383=0),0,AE383*IF(AA383="",0,IF(AA383&gt;1,AA383/100,AA383)))</f>
        <v>0</v>
      </c>
      <c r="AJ383" s="21" t="n">
        <f aca="false">AG383+AH383+AI383</f>
        <v>0</v>
      </c>
      <c r="AK383" s="21" t="n">
        <f aca="false">IF(OR(AE383="",AE383=0),0,AE383-AJ383)</f>
        <v>0</v>
      </c>
      <c r="AL383" s="19" t="str">
        <f aca="false">IF(AD383="","",AD383-AK383)</f>
        <v/>
      </c>
      <c r="AM383" s="26" t="str">
        <f aca="false">IF(C383="","","Waiting for payment")</f>
        <v/>
      </c>
      <c r="AN383" s="27"/>
      <c r="AO383" s="27"/>
      <c r="AP383" s="35" t="str">
        <f aca="false">IF(OR(C383="",I383="",K383=""),"",IF(K383="Monthly",EDATE(C383,ROUND(I383*SETTINGS!$I$8,0)),WORKDAY(C383,ROUND(I383*SETTINGS!$I$8,0))))</f>
        <v/>
      </c>
      <c r="AQ383" s="26" t="str">
        <f aca="true">IF(C383="","",IF(AND(AP383&lt;&gt;"",TODAY()&gt;=AP383),"Refi Ready",IF(TODAY()-C383&gt;=SETTINGS!$I$11,"Prospecting","Performing")))</f>
        <v/>
      </c>
      <c r="AR383" s="35" t="str">
        <f aca="false">IF(OR(C383="",I383="",K383=""),"",IF(K383="Monthly",EDATE(C383,I383),WORKDAY(C383,I383)))</f>
        <v/>
      </c>
      <c r="AS383" s="28"/>
      <c r="AT383" s="36" t="str">
        <f aca="true">IF(C383="","",IF(AM383="Clawed Back","CLAWED",IF(TODAY()&lt;=C383+SETTINGS!$I$2,"⚠ AT RISK","SAFE")))</f>
        <v/>
      </c>
      <c r="AU383" s="28"/>
      <c r="AW383" s="24" t="n">
        <f aca="false">AW382+IF(AND(C383&lt;&gt;"",AO383&lt;&gt;"",OR('REP COMMISSION'!$B$3="",T383='REP COMMISSION'!$B$3,W383='REP COMMISSION'!$B$3,Z383='REP COMMISSION'!$B$3)),1,0)</f>
        <v>0</v>
      </c>
      <c r="AX383" s="24" t="n">
        <f aca="false">AX382+IF(AND(C383&lt;&gt;"",OR(F383="LOC - INITIAL",F383="CONSOLIDATION - UPFRONT COMM",F383="REVERSE - TOTAL FUNDING")),1,0)</f>
        <v>0</v>
      </c>
    </row>
    <row r="384" customFormat="false" ht="15" hidden="false" customHeight="false" outlineLevel="0" collapsed="false">
      <c r="A384" s="8" t="str">
        <f aca="false">IF(C384&lt;&gt;"","F"&amp;COUNT($C$4:C384),"")</f>
        <v/>
      </c>
      <c r="B384" s="9" t="str">
        <f aca="false">IF(OR(F384="LOC - INITIAL",F384="CONSOLIDATION - UPFRONT COMM",F384="REVERSE - TOTAL FUNDING"),A384,"")</f>
        <v/>
      </c>
      <c r="C384" s="10"/>
      <c r="D384" s="11"/>
      <c r="E384" s="11"/>
      <c r="F384" s="11"/>
      <c r="G384" s="12"/>
      <c r="H384" s="13"/>
      <c r="I384" s="11"/>
      <c r="J384" s="14" t="str">
        <f aca="false">IF(AND(G384&lt;&gt;"",H384&lt;&gt;""),G384*H384,"")</f>
        <v/>
      </c>
      <c r="K384" s="11"/>
      <c r="L384" s="15"/>
      <c r="M384" s="15"/>
      <c r="N384" s="14" t="n">
        <f aca="false">IF(OR(G384="",M384=""),0,IF(M384&gt;100,M384,G384*IF(M384&gt;1,M384/100,M384)))</f>
        <v>0</v>
      </c>
      <c r="O384" s="14" t="str">
        <f aca="false">IF(G384="","",G384*IF(L384="",0,IF(L384&gt;1,L384/100,L384))+N384)</f>
        <v/>
      </c>
      <c r="P384" s="11"/>
      <c r="Q384" s="16" t="str">
        <f aca="false">IF(P384="","",IFERROR(VLOOKUP(P384,PARTNERS!$A$2:$B$30,2,0),""))</f>
        <v/>
      </c>
      <c r="R384" s="17" t="str">
        <f aca="false">IF(O384="","",IF(OR(P384="",Q384=""),0,(O384-N384)*IF(Q384&gt;1,Q384/100,Q384)))</f>
        <v/>
      </c>
      <c r="S384" s="14" t="str">
        <f aca="false">IF(O384="","",O384-R384)</f>
        <v/>
      </c>
      <c r="T384" s="11"/>
      <c r="U384" s="18" t="str">
        <f aca="false">IF(T384="","",IFERROR(VLOOKUP(T384,REPS!$A$2:$D$40,2,0),""))</f>
        <v/>
      </c>
      <c r="V384" s="14" t="str">
        <f aca="false">IF(O384="","",IF(U384="",0,O384*IF(U384&gt;1,U384/100,U384)))</f>
        <v/>
      </c>
      <c r="W384" s="11"/>
      <c r="X384" s="18" t="str">
        <f aca="false">IF(W384="","",IFERROR(VLOOKUP(W384,REPS!$A$2:$D$40,3,0),""))</f>
        <v/>
      </c>
      <c r="Y384" s="14" t="str">
        <f aca="false">IF(O384="","",IF(X384="",0,O384*IF(X384&gt;1,X384/100,X384)))</f>
        <v/>
      </c>
      <c r="Z384" s="11"/>
      <c r="AA384" s="18" t="str">
        <f aca="false">IF(Z384="","",IFERROR(VLOOKUP(Z384,REPS!$A$2:$D$40,4,0),""))</f>
        <v/>
      </c>
      <c r="AB384" s="14" t="str">
        <f aca="false">IF(O384="","",IF(AA384="",0,O384*IF(AA384&gt;1,AA384/100,AA384)))</f>
        <v/>
      </c>
      <c r="AC384" s="14" t="str">
        <f aca="false">IF(O384="","",V384+Y384+AB384)</f>
        <v/>
      </c>
      <c r="AD384" s="19" t="str">
        <f aca="false">IF(O384="","",O384-R384-AC384)</f>
        <v/>
      </c>
      <c r="AE384" s="20"/>
      <c r="AF384" s="10"/>
      <c r="AG384" s="21" t="n">
        <f aca="false">IF(OR(AE384="",AE384=0),0,AE384*IF(U384="",0,IF(U384&gt;1,U384/100,U384)))</f>
        <v>0</v>
      </c>
      <c r="AH384" s="21" t="n">
        <f aca="false">IF(OR(AE384="",AE384=0),0,AE384*IF(X384="",0,IF(X384&gt;1,X384/100,X384)))</f>
        <v>0</v>
      </c>
      <c r="AI384" s="21" t="n">
        <f aca="false">IF(OR(AE384="",AE384=0),0,AE384*IF(AA384="",0,IF(AA384&gt;1,AA384/100,AA384)))</f>
        <v>0</v>
      </c>
      <c r="AJ384" s="21" t="n">
        <f aca="false">AG384+AH384+AI384</f>
        <v>0</v>
      </c>
      <c r="AK384" s="21" t="n">
        <f aca="false">IF(OR(AE384="",AE384=0),0,AE384-AJ384)</f>
        <v>0</v>
      </c>
      <c r="AL384" s="19" t="str">
        <f aca="false">IF(AD384="","",AD384-AK384)</f>
        <v/>
      </c>
      <c r="AM384" s="9" t="str">
        <f aca="false">IF(C384="","","Waiting for payment")</f>
        <v/>
      </c>
      <c r="AN384" s="10"/>
      <c r="AO384" s="10"/>
      <c r="AP384" s="22" t="str">
        <f aca="false">IF(OR(C384="",I384="",K384=""),"",IF(K384="Monthly",EDATE(C384,ROUND(I384*SETTINGS!$I$8,0)),WORKDAY(C384,ROUND(I384*SETTINGS!$I$8,0))))</f>
        <v/>
      </c>
      <c r="AQ384" s="9" t="str">
        <f aca="true">IF(C384="","",IF(AND(AP384&lt;&gt;"",TODAY()&gt;=AP384),"Refi Ready",IF(TODAY()-C384&gt;=SETTINGS!$I$11,"Prospecting","Performing")))</f>
        <v/>
      </c>
      <c r="AR384" s="22" t="str">
        <f aca="false">IF(OR(C384="",I384="",K384=""),"",IF(K384="Monthly",EDATE(C384,I384),WORKDAY(C384,I384)))</f>
        <v/>
      </c>
      <c r="AS384" s="11"/>
      <c r="AT384" s="23" t="str">
        <f aca="true">IF(C384="","",IF(AM384="Clawed Back","CLAWED",IF(TODAY()&lt;=C384+SETTINGS!$I$2,"⚠ AT RISK","SAFE")))</f>
        <v/>
      </c>
      <c r="AU384" s="11"/>
      <c r="AW384" s="24" t="n">
        <f aca="false">AW383+IF(AND(C384&lt;&gt;"",AO384&lt;&gt;"",OR('REP COMMISSION'!$B$3="",T384='REP COMMISSION'!$B$3,W384='REP COMMISSION'!$B$3,Z384='REP COMMISSION'!$B$3)),1,0)</f>
        <v>0</v>
      </c>
      <c r="AX384" s="24" t="n">
        <f aca="false">AX383+IF(AND(C384&lt;&gt;"",OR(F384="LOC - INITIAL",F384="CONSOLIDATION - UPFRONT COMM",F384="REVERSE - TOTAL FUNDING")),1,0)</f>
        <v>0</v>
      </c>
    </row>
    <row r="385" customFormat="false" ht="15" hidden="false" customHeight="false" outlineLevel="0" collapsed="false">
      <c r="A385" s="25" t="str">
        <f aca="false">IF(C385&lt;&gt;"","F"&amp;COUNT($C$4:C385),"")</f>
        <v/>
      </c>
      <c r="B385" s="26" t="str">
        <f aca="false">IF(OR(F385="LOC - INITIAL",F385="CONSOLIDATION - UPFRONT COMM",F385="REVERSE - TOTAL FUNDING"),A385,"")</f>
        <v/>
      </c>
      <c r="C385" s="27"/>
      <c r="D385" s="28"/>
      <c r="E385" s="28"/>
      <c r="F385" s="28"/>
      <c r="G385" s="29"/>
      <c r="H385" s="30"/>
      <c r="I385" s="28"/>
      <c r="J385" s="31" t="str">
        <f aca="false">IF(AND(G385&lt;&gt;"",H385&lt;&gt;""),G385*H385,"")</f>
        <v/>
      </c>
      <c r="K385" s="28"/>
      <c r="L385" s="32"/>
      <c r="M385" s="32"/>
      <c r="N385" s="31" t="n">
        <f aca="false">IF(OR(G385="",M385=""),0,IF(M385&gt;100,M385,G385*IF(M385&gt;1,M385/100,M385)))</f>
        <v>0</v>
      </c>
      <c r="O385" s="31" t="str">
        <f aca="false">IF(G385="","",G385*IF(L385="",0,IF(L385&gt;1,L385/100,L385))+N385)</f>
        <v/>
      </c>
      <c r="P385" s="28"/>
      <c r="Q385" s="33" t="str">
        <f aca="false">IF(P385="","",IFERROR(VLOOKUP(P385,PARTNERS!$A$2:$B$30,2,0),""))</f>
        <v/>
      </c>
      <c r="R385" s="17" t="str">
        <f aca="false">IF(O385="","",IF(OR(P385="",Q385=""),0,(O385-N385)*IF(Q385&gt;1,Q385/100,Q385)))</f>
        <v/>
      </c>
      <c r="S385" s="31" t="str">
        <f aca="false">IF(O385="","",O385-R385)</f>
        <v/>
      </c>
      <c r="T385" s="28"/>
      <c r="U385" s="34" t="str">
        <f aca="false">IF(T385="","",IFERROR(VLOOKUP(T385,REPS!$A$2:$D$40,2,0),""))</f>
        <v/>
      </c>
      <c r="V385" s="31" t="str">
        <f aca="false">IF(O385="","",IF(U385="",0,O385*IF(U385&gt;1,U385/100,U385)))</f>
        <v/>
      </c>
      <c r="W385" s="28"/>
      <c r="X385" s="34" t="str">
        <f aca="false">IF(W385="","",IFERROR(VLOOKUP(W385,REPS!$A$2:$D$40,3,0),""))</f>
        <v/>
      </c>
      <c r="Y385" s="31" t="str">
        <f aca="false">IF(O385="","",IF(X385="",0,O385*IF(X385&gt;1,X385/100,X385)))</f>
        <v/>
      </c>
      <c r="Z385" s="28"/>
      <c r="AA385" s="34" t="str">
        <f aca="false">IF(Z385="","",IFERROR(VLOOKUP(Z385,REPS!$A$2:$D$40,4,0),""))</f>
        <v/>
      </c>
      <c r="AB385" s="31" t="str">
        <f aca="false">IF(O385="","",IF(AA385="",0,O385*IF(AA385&gt;1,AA385/100,AA385)))</f>
        <v/>
      </c>
      <c r="AC385" s="31" t="str">
        <f aca="false">IF(O385="","",V385+Y385+AB385)</f>
        <v/>
      </c>
      <c r="AD385" s="19" t="str">
        <f aca="false">IF(O385="","",O385-R385-AC385)</f>
        <v/>
      </c>
      <c r="AE385" s="20"/>
      <c r="AF385" s="27"/>
      <c r="AG385" s="21" t="n">
        <f aca="false">IF(OR(AE385="",AE385=0),0,AE385*IF(U385="",0,IF(U385&gt;1,U385/100,U385)))</f>
        <v>0</v>
      </c>
      <c r="AH385" s="21" t="n">
        <f aca="false">IF(OR(AE385="",AE385=0),0,AE385*IF(X385="",0,IF(X385&gt;1,X385/100,X385)))</f>
        <v>0</v>
      </c>
      <c r="AI385" s="21" t="n">
        <f aca="false">IF(OR(AE385="",AE385=0),0,AE385*IF(AA385="",0,IF(AA385&gt;1,AA385/100,AA385)))</f>
        <v>0</v>
      </c>
      <c r="AJ385" s="21" t="n">
        <f aca="false">AG385+AH385+AI385</f>
        <v>0</v>
      </c>
      <c r="AK385" s="21" t="n">
        <f aca="false">IF(OR(AE385="",AE385=0),0,AE385-AJ385)</f>
        <v>0</v>
      </c>
      <c r="AL385" s="19" t="str">
        <f aca="false">IF(AD385="","",AD385-AK385)</f>
        <v/>
      </c>
      <c r="AM385" s="26" t="str">
        <f aca="false">IF(C385="","","Waiting for payment")</f>
        <v/>
      </c>
      <c r="AN385" s="27"/>
      <c r="AO385" s="27"/>
      <c r="AP385" s="35" t="str">
        <f aca="false">IF(OR(C385="",I385="",K385=""),"",IF(K385="Monthly",EDATE(C385,ROUND(I385*SETTINGS!$I$8,0)),WORKDAY(C385,ROUND(I385*SETTINGS!$I$8,0))))</f>
        <v/>
      </c>
      <c r="AQ385" s="26" t="str">
        <f aca="true">IF(C385="","",IF(AND(AP385&lt;&gt;"",TODAY()&gt;=AP385),"Refi Ready",IF(TODAY()-C385&gt;=SETTINGS!$I$11,"Prospecting","Performing")))</f>
        <v/>
      </c>
      <c r="AR385" s="35" t="str">
        <f aca="false">IF(OR(C385="",I385="",K385=""),"",IF(K385="Monthly",EDATE(C385,I385),WORKDAY(C385,I385)))</f>
        <v/>
      </c>
      <c r="AS385" s="28"/>
      <c r="AT385" s="36" t="str">
        <f aca="true">IF(C385="","",IF(AM385="Clawed Back","CLAWED",IF(TODAY()&lt;=C385+SETTINGS!$I$2,"⚠ AT RISK","SAFE")))</f>
        <v/>
      </c>
      <c r="AU385" s="28"/>
      <c r="AW385" s="24" t="n">
        <f aca="false">AW384+IF(AND(C385&lt;&gt;"",AO385&lt;&gt;"",OR('REP COMMISSION'!$B$3="",T385='REP COMMISSION'!$B$3,W385='REP COMMISSION'!$B$3,Z385='REP COMMISSION'!$B$3)),1,0)</f>
        <v>0</v>
      </c>
      <c r="AX385" s="24" t="n">
        <f aca="false">AX384+IF(AND(C385&lt;&gt;"",OR(F385="LOC - INITIAL",F385="CONSOLIDATION - UPFRONT COMM",F385="REVERSE - TOTAL FUNDING")),1,0)</f>
        <v>0</v>
      </c>
    </row>
    <row r="386" customFormat="false" ht="15" hidden="false" customHeight="false" outlineLevel="0" collapsed="false">
      <c r="A386" s="8" t="str">
        <f aca="false">IF(C386&lt;&gt;"","F"&amp;COUNT($C$4:C386),"")</f>
        <v/>
      </c>
      <c r="B386" s="9" t="str">
        <f aca="false">IF(OR(F386="LOC - INITIAL",F386="CONSOLIDATION - UPFRONT COMM",F386="REVERSE - TOTAL FUNDING"),A386,"")</f>
        <v/>
      </c>
      <c r="C386" s="10"/>
      <c r="D386" s="11"/>
      <c r="E386" s="11"/>
      <c r="F386" s="11"/>
      <c r="G386" s="12"/>
      <c r="H386" s="13"/>
      <c r="I386" s="11"/>
      <c r="J386" s="14" t="str">
        <f aca="false">IF(AND(G386&lt;&gt;"",H386&lt;&gt;""),G386*H386,"")</f>
        <v/>
      </c>
      <c r="K386" s="11"/>
      <c r="L386" s="15"/>
      <c r="M386" s="15"/>
      <c r="N386" s="14" t="n">
        <f aca="false">IF(OR(G386="",M386=""),0,IF(M386&gt;100,M386,G386*IF(M386&gt;1,M386/100,M386)))</f>
        <v>0</v>
      </c>
      <c r="O386" s="14" t="str">
        <f aca="false">IF(G386="","",G386*IF(L386="",0,IF(L386&gt;1,L386/100,L386))+N386)</f>
        <v/>
      </c>
      <c r="P386" s="11"/>
      <c r="Q386" s="16" t="str">
        <f aca="false">IF(P386="","",IFERROR(VLOOKUP(P386,PARTNERS!$A$2:$B$30,2,0),""))</f>
        <v/>
      </c>
      <c r="R386" s="17" t="str">
        <f aca="false">IF(O386="","",IF(OR(P386="",Q386=""),0,(O386-N386)*IF(Q386&gt;1,Q386/100,Q386)))</f>
        <v/>
      </c>
      <c r="S386" s="14" t="str">
        <f aca="false">IF(O386="","",O386-R386)</f>
        <v/>
      </c>
      <c r="T386" s="11"/>
      <c r="U386" s="18" t="str">
        <f aca="false">IF(T386="","",IFERROR(VLOOKUP(T386,REPS!$A$2:$D$40,2,0),""))</f>
        <v/>
      </c>
      <c r="V386" s="14" t="str">
        <f aca="false">IF(O386="","",IF(U386="",0,O386*IF(U386&gt;1,U386/100,U386)))</f>
        <v/>
      </c>
      <c r="W386" s="11"/>
      <c r="X386" s="18" t="str">
        <f aca="false">IF(W386="","",IFERROR(VLOOKUP(W386,REPS!$A$2:$D$40,3,0),""))</f>
        <v/>
      </c>
      <c r="Y386" s="14" t="str">
        <f aca="false">IF(O386="","",IF(X386="",0,O386*IF(X386&gt;1,X386/100,X386)))</f>
        <v/>
      </c>
      <c r="Z386" s="11"/>
      <c r="AA386" s="18" t="str">
        <f aca="false">IF(Z386="","",IFERROR(VLOOKUP(Z386,REPS!$A$2:$D$40,4,0),""))</f>
        <v/>
      </c>
      <c r="AB386" s="14" t="str">
        <f aca="false">IF(O386="","",IF(AA386="",0,O386*IF(AA386&gt;1,AA386/100,AA386)))</f>
        <v/>
      </c>
      <c r="AC386" s="14" t="str">
        <f aca="false">IF(O386="","",V386+Y386+AB386)</f>
        <v/>
      </c>
      <c r="AD386" s="19" t="str">
        <f aca="false">IF(O386="","",O386-R386-AC386)</f>
        <v/>
      </c>
      <c r="AE386" s="20"/>
      <c r="AF386" s="10"/>
      <c r="AG386" s="21" t="n">
        <f aca="false">IF(OR(AE386="",AE386=0),0,AE386*IF(U386="",0,IF(U386&gt;1,U386/100,U386)))</f>
        <v>0</v>
      </c>
      <c r="AH386" s="21" t="n">
        <f aca="false">IF(OR(AE386="",AE386=0),0,AE386*IF(X386="",0,IF(X386&gt;1,X386/100,X386)))</f>
        <v>0</v>
      </c>
      <c r="AI386" s="21" t="n">
        <f aca="false">IF(OR(AE386="",AE386=0),0,AE386*IF(AA386="",0,IF(AA386&gt;1,AA386/100,AA386)))</f>
        <v>0</v>
      </c>
      <c r="AJ386" s="21" t="n">
        <f aca="false">AG386+AH386+AI386</f>
        <v>0</v>
      </c>
      <c r="AK386" s="21" t="n">
        <f aca="false">IF(OR(AE386="",AE386=0),0,AE386-AJ386)</f>
        <v>0</v>
      </c>
      <c r="AL386" s="19" t="str">
        <f aca="false">IF(AD386="","",AD386-AK386)</f>
        <v/>
      </c>
      <c r="AM386" s="9" t="str">
        <f aca="false">IF(C386="","","Waiting for payment")</f>
        <v/>
      </c>
      <c r="AN386" s="10"/>
      <c r="AO386" s="10"/>
      <c r="AP386" s="22" t="str">
        <f aca="false">IF(OR(C386="",I386="",K386=""),"",IF(K386="Monthly",EDATE(C386,ROUND(I386*SETTINGS!$I$8,0)),WORKDAY(C386,ROUND(I386*SETTINGS!$I$8,0))))</f>
        <v/>
      </c>
      <c r="AQ386" s="9" t="str">
        <f aca="true">IF(C386="","",IF(AND(AP386&lt;&gt;"",TODAY()&gt;=AP386),"Refi Ready",IF(TODAY()-C386&gt;=SETTINGS!$I$11,"Prospecting","Performing")))</f>
        <v/>
      </c>
      <c r="AR386" s="22" t="str">
        <f aca="false">IF(OR(C386="",I386="",K386=""),"",IF(K386="Monthly",EDATE(C386,I386),WORKDAY(C386,I386)))</f>
        <v/>
      </c>
      <c r="AS386" s="11"/>
      <c r="AT386" s="23" t="str">
        <f aca="true">IF(C386="","",IF(AM386="Clawed Back","CLAWED",IF(TODAY()&lt;=C386+SETTINGS!$I$2,"⚠ AT RISK","SAFE")))</f>
        <v/>
      </c>
      <c r="AU386" s="11"/>
      <c r="AW386" s="24" t="n">
        <f aca="false">AW385+IF(AND(C386&lt;&gt;"",AO386&lt;&gt;"",OR('REP COMMISSION'!$B$3="",T386='REP COMMISSION'!$B$3,W386='REP COMMISSION'!$B$3,Z386='REP COMMISSION'!$B$3)),1,0)</f>
        <v>0</v>
      </c>
      <c r="AX386" s="24" t="n">
        <f aca="false">AX385+IF(AND(C386&lt;&gt;"",OR(F386="LOC - INITIAL",F386="CONSOLIDATION - UPFRONT COMM",F386="REVERSE - TOTAL FUNDING")),1,0)</f>
        <v>0</v>
      </c>
    </row>
    <row r="387" customFormat="false" ht="15" hidden="false" customHeight="false" outlineLevel="0" collapsed="false">
      <c r="A387" s="25" t="str">
        <f aca="false">IF(C387&lt;&gt;"","F"&amp;COUNT($C$4:C387),"")</f>
        <v/>
      </c>
      <c r="B387" s="26" t="str">
        <f aca="false">IF(OR(F387="LOC - INITIAL",F387="CONSOLIDATION - UPFRONT COMM",F387="REVERSE - TOTAL FUNDING"),A387,"")</f>
        <v/>
      </c>
      <c r="C387" s="27"/>
      <c r="D387" s="28"/>
      <c r="E387" s="28"/>
      <c r="F387" s="28"/>
      <c r="G387" s="29"/>
      <c r="H387" s="30"/>
      <c r="I387" s="28"/>
      <c r="J387" s="31" t="str">
        <f aca="false">IF(AND(G387&lt;&gt;"",H387&lt;&gt;""),G387*H387,"")</f>
        <v/>
      </c>
      <c r="K387" s="28"/>
      <c r="L387" s="32"/>
      <c r="M387" s="32"/>
      <c r="N387" s="31" t="n">
        <f aca="false">IF(OR(G387="",M387=""),0,IF(M387&gt;100,M387,G387*IF(M387&gt;1,M387/100,M387)))</f>
        <v>0</v>
      </c>
      <c r="O387" s="31" t="str">
        <f aca="false">IF(G387="","",G387*IF(L387="",0,IF(L387&gt;1,L387/100,L387))+N387)</f>
        <v/>
      </c>
      <c r="P387" s="28"/>
      <c r="Q387" s="33" t="str">
        <f aca="false">IF(P387="","",IFERROR(VLOOKUP(P387,PARTNERS!$A$2:$B$30,2,0),""))</f>
        <v/>
      </c>
      <c r="R387" s="17" t="str">
        <f aca="false">IF(O387="","",IF(OR(P387="",Q387=""),0,(O387-N387)*IF(Q387&gt;1,Q387/100,Q387)))</f>
        <v/>
      </c>
      <c r="S387" s="31" t="str">
        <f aca="false">IF(O387="","",O387-R387)</f>
        <v/>
      </c>
      <c r="T387" s="28"/>
      <c r="U387" s="34" t="str">
        <f aca="false">IF(T387="","",IFERROR(VLOOKUP(T387,REPS!$A$2:$D$40,2,0),""))</f>
        <v/>
      </c>
      <c r="V387" s="31" t="str">
        <f aca="false">IF(O387="","",IF(U387="",0,O387*IF(U387&gt;1,U387/100,U387)))</f>
        <v/>
      </c>
      <c r="W387" s="28"/>
      <c r="X387" s="34" t="str">
        <f aca="false">IF(W387="","",IFERROR(VLOOKUP(W387,REPS!$A$2:$D$40,3,0),""))</f>
        <v/>
      </c>
      <c r="Y387" s="31" t="str">
        <f aca="false">IF(O387="","",IF(X387="",0,O387*IF(X387&gt;1,X387/100,X387)))</f>
        <v/>
      </c>
      <c r="Z387" s="28"/>
      <c r="AA387" s="34" t="str">
        <f aca="false">IF(Z387="","",IFERROR(VLOOKUP(Z387,REPS!$A$2:$D$40,4,0),""))</f>
        <v/>
      </c>
      <c r="AB387" s="31" t="str">
        <f aca="false">IF(O387="","",IF(AA387="",0,O387*IF(AA387&gt;1,AA387/100,AA387)))</f>
        <v/>
      </c>
      <c r="AC387" s="31" t="str">
        <f aca="false">IF(O387="","",V387+Y387+AB387)</f>
        <v/>
      </c>
      <c r="AD387" s="19" t="str">
        <f aca="false">IF(O387="","",O387-R387-AC387)</f>
        <v/>
      </c>
      <c r="AE387" s="20"/>
      <c r="AF387" s="27"/>
      <c r="AG387" s="21" t="n">
        <f aca="false">IF(OR(AE387="",AE387=0),0,AE387*IF(U387="",0,IF(U387&gt;1,U387/100,U387)))</f>
        <v>0</v>
      </c>
      <c r="AH387" s="21" t="n">
        <f aca="false">IF(OR(AE387="",AE387=0),0,AE387*IF(X387="",0,IF(X387&gt;1,X387/100,X387)))</f>
        <v>0</v>
      </c>
      <c r="AI387" s="21" t="n">
        <f aca="false">IF(OR(AE387="",AE387=0),0,AE387*IF(AA387="",0,IF(AA387&gt;1,AA387/100,AA387)))</f>
        <v>0</v>
      </c>
      <c r="AJ387" s="21" t="n">
        <f aca="false">AG387+AH387+AI387</f>
        <v>0</v>
      </c>
      <c r="AK387" s="21" t="n">
        <f aca="false">IF(OR(AE387="",AE387=0),0,AE387-AJ387)</f>
        <v>0</v>
      </c>
      <c r="AL387" s="19" t="str">
        <f aca="false">IF(AD387="","",AD387-AK387)</f>
        <v/>
      </c>
      <c r="AM387" s="26" t="str">
        <f aca="false">IF(C387="","","Waiting for payment")</f>
        <v/>
      </c>
      <c r="AN387" s="27"/>
      <c r="AO387" s="27"/>
      <c r="AP387" s="35" t="str">
        <f aca="false">IF(OR(C387="",I387="",K387=""),"",IF(K387="Monthly",EDATE(C387,ROUND(I387*SETTINGS!$I$8,0)),WORKDAY(C387,ROUND(I387*SETTINGS!$I$8,0))))</f>
        <v/>
      </c>
      <c r="AQ387" s="26" t="str">
        <f aca="true">IF(C387="","",IF(AND(AP387&lt;&gt;"",TODAY()&gt;=AP387),"Refi Ready",IF(TODAY()-C387&gt;=SETTINGS!$I$11,"Prospecting","Performing")))</f>
        <v/>
      </c>
      <c r="AR387" s="35" t="str">
        <f aca="false">IF(OR(C387="",I387="",K387=""),"",IF(K387="Monthly",EDATE(C387,I387),WORKDAY(C387,I387)))</f>
        <v/>
      </c>
      <c r="AS387" s="28"/>
      <c r="AT387" s="36" t="str">
        <f aca="true">IF(C387="","",IF(AM387="Clawed Back","CLAWED",IF(TODAY()&lt;=C387+SETTINGS!$I$2,"⚠ AT RISK","SAFE")))</f>
        <v/>
      </c>
      <c r="AU387" s="28"/>
      <c r="AW387" s="24" t="n">
        <f aca="false">AW386+IF(AND(C387&lt;&gt;"",AO387&lt;&gt;"",OR('REP COMMISSION'!$B$3="",T387='REP COMMISSION'!$B$3,W387='REP COMMISSION'!$B$3,Z387='REP COMMISSION'!$B$3)),1,0)</f>
        <v>0</v>
      </c>
      <c r="AX387" s="24" t="n">
        <f aca="false">AX386+IF(AND(C387&lt;&gt;"",OR(F387="LOC - INITIAL",F387="CONSOLIDATION - UPFRONT COMM",F387="REVERSE - TOTAL FUNDING")),1,0)</f>
        <v>0</v>
      </c>
    </row>
    <row r="388" customFormat="false" ht="15" hidden="false" customHeight="false" outlineLevel="0" collapsed="false">
      <c r="A388" s="8" t="str">
        <f aca="false">IF(C388&lt;&gt;"","F"&amp;COUNT($C$4:C388),"")</f>
        <v/>
      </c>
      <c r="B388" s="9" t="str">
        <f aca="false">IF(OR(F388="LOC - INITIAL",F388="CONSOLIDATION - UPFRONT COMM",F388="REVERSE - TOTAL FUNDING"),A388,"")</f>
        <v/>
      </c>
      <c r="C388" s="10"/>
      <c r="D388" s="11"/>
      <c r="E388" s="11"/>
      <c r="F388" s="11"/>
      <c r="G388" s="12"/>
      <c r="H388" s="13"/>
      <c r="I388" s="11"/>
      <c r="J388" s="14" t="str">
        <f aca="false">IF(AND(G388&lt;&gt;"",H388&lt;&gt;""),G388*H388,"")</f>
        <v/>
      </c>
      <c r="K388" s="11"/>
      <c r="L388" s="15"/>
      <c r="M388" s="15"/>
      <c r="N388" s="14" t="n">
        <f aca="false">IF(OR(G388="",M388=""),0,IF(M388&gt;100,M388,G388*IF(M388&gt;1,M388/100,M388)))</f>
        <v>0</v>
      </c>
      <c r="O388" s="14" t="str">
        <f aca="false">IF(G388="","",G388*IF(L388="",0,IF(L388&gt;1,L388/100,L388))+N388)</f>
        <v/>
      </c>
      <c r="P388" s="11"/>
      <c r="Q388" s="16" t="str">
        <f aca="false">IF(P388="","",IFERROR(VLOOKUP(P388,PARTNERS!$A$2:$B$30,2,0),""))</f>
        <v/>
      </c>
      <c r="R388" s="17" t="str">
        <f aca="false">IF(O388="","",IF(OR(P388="",Q388=""),0,(O388-N388)*IF(Q388&gt;1,Q388/100,Q388)))</f>
        <v/>
      </c>
      <c r="S388" s="14" t="str">
        <f aca="false">IF(O388="","",O388-R388)</f>
        <v/>
      </c>
      <c r="T388" s="11"/>
      <c r="U388" s="18" t="str">
        <f aca="false">IF(T388="","",IFERROR(VLOOKUP(T388,REPS!$A$2:$D$40,2,0),""))</f>
        <v/>
      </c>
      <c r="V388" s="14" t="str">
        <f aca="false">IF(O388="","",IF(U388="",0,O388*IF(U388&gt;1,U388/100,U388)))</f>
        <v/>
      </c>
      <c r="W388" s="11"/>
      <c r="X388" s="18" t="str">
        <f aca="false">IF(W388="","",IFERROR(VLOOKUP(W388,REPS!$A$2:$D$40,3,0),""))</f>
        <v/>
      </c>
      <c r="Y388" s="14" t="str">
        <f aca="false">IF(O388="","",IF(X388="",0,O388*IF(X388&gt;1,X388/100,X388)))</f>
        <v/>
      </c>
      <c r="Z388" s="11"/>
      <c r="AA388" s="18" t="str">
        <f aca="false">IF(Z388="","",IFERROR(VLOOKUP(Z388,REPS!$A$2:$D$40,4,0),""))</f>
        <v/>
      </c>
      <c r="AB388" s="14" t="str">
        <f aca="false">IF(O388="","",IF(AA388="",0,O388*IF(AA388&gt;1,AA388/100,AA388)))</f>
        <v/>
      </c>
      <c r="AC388" s="14" t="str">
        <f aca="false">IF(O388="","",V388+Y388+AB388)</f>
        <v/>
      </c>
      <c r="AD388" s="19" t="str">
        <f aca="false">IF(O388="","",O388-R388-AC388)</f>
        <v/>
      </c>
      <c r="AE388" s="20"/>
      <c r="AF388" s="10"/>
      <c r="AG388" s="21" t="n">
        <f aca="false">IF(OR(AE388="",AE388=0),0,AE388*IF(U388="",0,IF(U388&gt;1,U388/100,U388)))</f>
        <v>0</v>
      </c>
      <c r="AH388" s="21" t="n">
        <f aca="false">IF(OR(AE388="",AE388=0),0,AE388*IF(X388="",0,IF(X388&gt;1,X388/100,X388)))</f>
        <v>0</v>
      </c>
      <c r="AI388" s="21" t="n">
        <f aca="false">IF(OR(AE388="",AE388=0),0,AE388*IF(AA388="",0,IF(AA388&gt;1,AA388/100,AA388)))</f>
        <v>0</v>
      </c>
      <c r="AJ388" s="21" t="n">
        <f aca="false">AG388+AH388+AI388</f>
        <v>0</v>
      </c>
      <c r="AK388" s="21" t="n">
        <f aca="false">IF(OR(AE388="",AE388=0),0,AE388-AJ388)</f>
        <v>0</v>
      </c>
      <c r="AL388" s="19" t="str">
        <f aca="false">IF(AD388="","",AD388-AK388)</f>
        <v/>
      </c>
      <c r="AM388" s="9" t="str">
        <f aca="false">IF(C388="","","Waiting for payment")</f>
        <v/>
      </c>
      <c r="AN388" s="10"/>
      <c r="AO388" s="10"/>
      <c r="AP388" s="22" t="str">
        <f aca="false">IF(OR(C388="",I388="",K388=""),"",IF(K388="Monthly",EDATE(C388,ROUND(I388*SETTINGS!$I$8,0)),WORKDAY(C388,ROUND(I388*SETTINGS!$I$8,0))))</f>
        <v/>
      </c>
      <c r="AQ388" s="9" t="str">
        <f aca="true">IF(C388="","",IF(AND(AP388&lt;&gt;"",TODAY()&gt;=AP388),"Refi Ready",IF(TODAY()-C388&gt;=SETTINGS!$I$11,"Prospecting","Performing")))</f>
        <v/>
      </c>
      <c r="AR388" s="22" t="str">
        <f aca="false">IF(OR(C388="",I388="",K388=""),"",IF(K388="Monthly",EDATE(C388,I388),WORKDAY(C388,I388)))</f>
        <v/>
      </c>
      <c r="AS388" s="11"/>
      <c r="AT388" s="23" t="str">
        <f aca="true">IF(C388="","",IF(AM388="Clawed Back","CLAWED",IF(TODAY()&lt;=C388+SETTINGS!$I$2,"⚠ AT RISK","SAFE")))</f>
        <v/>
      </c>
      <c r="AU388" s="11"/>
      <c r="AW388" s="24" t="n">
        <f aca="false">AW387+IF(AND(C388&lt;&gt;"",AO388&lt;&gt;"",OR('REP COMMISSION'!$B$3="",T388='REP COMMISSION'!$B$3,W388='REP COMMISSION'!$B$3,Z388='REP COMMISSION'!$B$3)),1,0)</f>
        <v>0</v>
      </c>
      <c r="AX388" s="24" t="n">
        <f aca="false">AX387+IF(AND(C388&lt;&gt;"",OR(F388="LOC - INITIAL",F388="CONSOLIDATION - UPFRONT COMM",F388="REVERSE - TOTAL FUNDING")),1,0)</f>
        <v>0</v>
      </c>
    </row>
    <row r="389" customFormat="false" ht="15" hidden="false" customHeight="false" outlineLevel="0" collapsed="false">
      <c r="A389" s="25" t="str">
        <f aca="false">IF(C389&lt;&gt;"","F"&amp;COUNT($C$4:C389),"")</f>
        <v/>
      </c>
      <c r="B389" s="26" t="str">
        <f aca="false">IF(OR(F389="LOC - INITIAL",F389="CONSOLIDATION - UPFRONT COMM",F389="REVERSE - TOTAL FUNDING"),A389,"")</f>
        <v/>
      </c>
      <c r="C389" s="27"/>
      <c r="D389" s="28"/>
      <c r="E389" s="28"/>
      <c r="F389" s="28"/>
      <c r="G389" s="29"/>
      <c r="H389" s="30"/>
      <c r="I389" s="28"/>
      <c r="J389" s="31" t="str">
        <f aca="false">IF(AND(G389&lt;&gt;"",H389&lt;&gt;""),G389*H389,"")</f>
        <v/>
      </c>
      <c r="K389" s="28"/>
      <c r="L389" s="32"/>
      <c r="M389" s="32"/>
      <c r="N389" s="31" t="n">
        <f aca="false">IF(OR(G389="",M389=""),0,IF(M389&gt;100,M389,G389*IF(M389&gt;1,M389/100,M389)))</f>
        <v>0</v>
      </c>
      <c r="O389" s="31" t="str">
        <f aca="false">IF(G389="","",G389*IF(L389="",0,IF(L389&gt;1,L389/100,L389))+N389)</f>
        <v/>
      </c>
      <c r="P389" s="28"/>
      <c r="Q389" s="33" t="str">
        <f aca="false">IF(P389="","",IFERROR(VLOOKUP(P389,PARTNERS!$A$2:$B$30,2,0),""))</f>
        <v/>
      </c>
      <c r="R389" s="17" t="str">
        <f aca="false">IF(O389="","",IF(OR(P389="",Q389=""),0,(O389-N389)*IF(Q389&gt;1,Q389/100,Q389)))</f>
        <v/>
      </c>
      <c r="S389" s="31" t="str">
        <f aca="false">IF(O389="","",O389-R389)</f>
        <v/>
      </c>
      <c r="T389" s="28"/>
      <c r="U389" s="34" t="str">
        <f aca="false">IF(T389="","",IFERROR(VLOOKUP(T389,REPS!$A$2:$D$40,2,0),""))</f>
        <v/>
      </c>
      <c r="V389" s="31" t="str">
        <f aca="false">IF(O389="","",IF(U389="",0,O389*IF(U389&gt;1,U389/100,U389)))</f>
        <v/>
      </c>
      <c r="W389" s="28"/>
      <c r="X389" s="34" t="str">
        <f aca="false">IF(W389="","",IFERROR(VLOOKUP(W389,REPS!$A$2:$D$40,3,0),""))</f>
        <v/>
      </c>
      <c r="Y389" s="31" t="str">
        <f aca="false">IF(O389="","",IF(X389="",0,O389*IF(X389&gt;1,X389/100,X389)))</f>
        <v/>
      </c>
      <c r="Z389" s="28"/>
      <c r="AA389" s="34" t="str">
        <f aca="false">IF(Z389="","",IFERROR(VLOOKUP(Z389,REPS!$A$2:$D$40,4,0),""))</f>
        <v/>
      </c>
      <c r="AB389" s="31" t="str">
        <f aca="false">IF(O389="","",IF(AA389="",0,O389*IF(AA389&gt;1,AA389/100,AA389)))</f>
        <v/>
      </c>
      <c r="AC389" s="31" t="str">
        <f aca="false">IF(O389="","",V389+Y389+AB389)</f>
        <v/>
      </c>
      <c r="AD389" s="19" t="str">
        <f aca="false">IF(O389="","",O389-R389-AC389)</f>
        <v/>
      </c>
      <c r="AE389" s="20"/>
      <c r="AF389" s="27"/>
      <c r="AG389" s="21" t="n">
        <f aca="false">IF(OR(AE389="",AE389=0),0,AE389*IF(U389="",0,IF(U389&gt;1,U389/100,U389)))</f>
        <v>0</v>
      </c>
      <c r="AH389" s="21" t="n">
        <f aca="false">IF(OR(AE389="",AE389=0),0,AE389*IF(X389="",0,IF(X389&gt;1,X389/100,X389)))</f>
        <v>0</v>
      </c>
      <c r="AI389" s="21" t="n">
        <f aca="false">IF(OR(AE389="",AE389=0),0,AE389*IF(AA389="",0,IF(AA389&gt;1,AA389/100,AA389)))</f>
        <v>0</v>
      </c>
      <c r="AJ389" s="21" t="n">
        <f aca="false">AG389+AH389+AI389</f>
        <v>0</v>
      </c>
      <c r="AK389" s="21" t="n">
        <f aca="false">IF(OR(AE389="",AE389=0),0,AE389-AJ389)</f>
        <v>0</v>
      </c>
      <c r="AL389" s="19" t="str">
        <f aca="false">IF(AD389="","",AD389-AK389)</f>
        <v/>
      </c>
      <c r="AM389" s="26" t="str">
        <f aca="false">IF(C389="","","Waiting for payment")</f>
        <v/>
      </c>
      <c r="AN389" s="27"/>
      <c r="AO389" s="27"/>
      <c r="AP389" s="35" t="str">
        <f aca="false">IF(OR(C389="",I389="",K389=""),"",IF(K389="Monthly",EDATE(C389,ROUND(I389*SETTINGS!$I$8,0)),WORKDAY(C389,ROUND(I389*SETTINGS!$I$8,0))))</f>
        <v/>
      </c>
      <c r="AQ389" s="26" t="str">
        <f aca="true">IF(C389="","",IF(AND(AP389&lt;&gt;"",TODAY()&gt;=AP389),"Refi Ready",IF(TODAY()-C389&gt;=SETTINGS!$I$11,"Prospecting","Performing")))</f>
        <v/>
      </c>
      <c r="AR389" s="35" t="str">
        <f aca="false">IF(OR(C389="",I389="",K389=""),"",IF(K389="Monthly",EDATE(C389,I389),WORKDAY(C389,I389)))</f>
        <v/>
      </c>
      <c r="AS389" s="28"/>
      <c r="AT389" s="36" t="str">
        <f aca="true">IF(C389="","",IF(AM389="Clawed Back","CLAWED",IF(TODAY()&lt;=C389+SETTINGS!$I$2,"⚠ AT RISK","SAFE")))</f>
        <v/>
      </c>
      <c r="AU389" s="28"/>
      <c r="AW389" s="24" t="n">
        <f aca="false">AW388+IF(AND(C389&lt;&gt;"",AO389&lt;&gt;"",OR('REP COMMISSION'!$B$3="",T389='REP COMMISSION'!$B$3,W389='REP COMMISSION'!$B$3,Z389='REP COMMISSION'!$B$3)),1,0)</f>
        <v>0</v>
      </c>
      <c r="AX389" s="24" t="n">
        <f aca="false">AX388+IF(AND(C389&lt;&gt;"",OR(F389="LOC - INITIAL",F389="CONSOLIDATION - UPFRONT COMM",F389="REVERSE - TOTAL FUNDING")),1,0)</f>
        <v>0</v>
      </c>
    </row>
    <row r="390" customFormat="false" ht="15" hidden="false" customHeight="false" outlineLevel="0" collapsed="false">
      <c r="A390" s="8" t="str">
        <f aca="false">IF(C390&lt;&gt;"","F"&amp;COUNT($C$4:C390),"")</f>
        <v/>
      </c>
      <c r="B390" s="9" t="str">
        <f aca="false">IF(OR(F390="LOC - INITIAL",F390="CONSOLIDATION - UPFRONT COMM",F390="REVERSE - TOTAL FUNDING"),A390,"")</f>
        <v/>
      </c>
      <c r="C390" s="10"/>
      <c r="D390" s="11"/>
      <c r="E390" s="11"/>
      <c r="F390" s="11"/>
      <c r="G390" s="12"/>
      <c r="H390" s="13"/>
      <c r="I390" s="11"/>
      <c r="J390" s="14" t="str">
        <f aca="false">IF(AND(G390&lt;&gt;"",H390&lt;&gt;""),G390*H390,"")</f>
        <v/>
      </c>
      <c r="K390" s="11"/>
      <c r="L390" s="15"/>
      <c r="M390" s="15"/>
      <c r="N390" s="14" t="n">
        <f aca="false">IF(OR(G390="",M390=""),0,IF(M390&gt;100,M390,G390*IF(M390&gt;1,M390/100,M390)))</f>
        <v>0</v>
      </c>
      <c r="O390" s="14" t="str">
        <f aca="false">IF(G390="","",G390*IF(L390="",0,IF(L390&gt;1,L390/100,L390))+N390)</f>
        <v/>
      </c>
      <c r="P390" s="11"/>
      <c r="Q390" s="16" t="str">
        <f aca="false">IF(P390="","",IFERROR(VLOOKUP(P390,PARTNERS!$A$2:$B$30,2,0),""))</f>
        <v/>
      </c>
      <c r="R390" s="17" t="str">
        <f aca="false">IF(O390="","",IF(OR(P390="",Q390=""),0,(O390-N390)*IF(Q390&gt;1,Q390/100,Q390)))</f>
        <v/>
      </c>
      <c r="S390" s="14" t="str">
        <f aca="false">IF(O390="","",O390-R390)</f>
        <v/>
      </c>
      <c r="T390" s="11"/>
      <c r="U390" s="18" t="str">
        <f aca="false">IF(T390="","",IFERROR(VLOOKUP(T390,REPS!$A$2:$D$40,2,0),""))</f>
        <v/>
      </c>
      <c r="V390" s="14" t="str">
        <f aca="false">IF(O390="","",IF(U390="",0,O390*IF(U390&gt;1,U390/100,U390)))</f>
        <v/>
      </c>
      <c r="W390" s="11"/>
      <c r="X390" s="18" t="str">
        <f aca="false">IF(W390="","",IFERROR(VLOOKUP(W390,REPS!$A$2:$D$40,3,0),""))</f>
        <v/>
      </c>
      <c r="Y390" s="14" t="str">
        <f aca="false">IF(O390="","",IF(X390="",0,O390*IF(X390&gt;1,X390/100,X390)))</f>
        <v/>
      </c>
      <c r="Z390" s="11"/>
      <c r="AA390" s="18" t="str">
        <f aca="false">IF(Z390="","",IFERROR(VLOOKUP(Z390,REPS!$A$2:$D$40,4,0),""))</f>
        <v/>
      </c>
      <c r="AB390" s="14" t="str">
        <f aca="false">IF(O390="","",IF(AA390="",0,O390*IF(AA390&gt;1,AA390/100,AA390)))</f>
        <v/>
      </c>
      <c r="AC390" s="14" t="str">
        <f aca="false">IF(O390="","",V390+Y390+AB390)</f>
        <v/>
      </c>
      <c r="AD390" s="19" t="str">
        <f aca="false">IF(O390="","",O390-R390-AC390)</f>
        <v/>
      </c>
      <c r="AE390" s="20"/>
      <c r="AF390" s="10"/>
      <c r="AG390" s="21" t="n">
        <f aca="false">IF(OR(AE390="",AE390=0),0,AE390*IF(U390="",0,IF(U390&gt;1,U390/100,U390)))</f>
        <v>0</v>
      </c>
      <c r="AH390" s="21" t="n">
        <f aca="false">IF(OR(AE390="",AE390=0),0,AE390*IF(X390="",0,IF(X390&gt;1,X390/100,X390)))</f>
        <v>0</v>
      </c>
      <c r="AI390" s="21" t="n">
        <f aca="false">IF(OR(AE390="",AE390=0),0,AE390*IF(AA390="",0,IF(AA390&gt;1,AA390/100,AA390)))</f>
        <v>0</v>
      </c>
      <c r="AJ390" s="21" t="n">
        <f aca="false">AG390+AH390+AI390</f>
        <v>0</v>
      </c>
      <c r="AK390" s="21" t="n">
        <f aca="false">IF(OR(AE390="",AE390=0),0,AE390-AJ390)</f>
        <v>0</v>
      </c>
      <c r="AL390" s="19" t="str">
        <f aca="false">IF(AD390="","",AD390-AK390)</f>
        <v/>
      </c>
      <c r="AM390" s="9" t="str">
        <f aca="false">IF(C390="","","Waiting for payment")</f>
        <v/>
      </c>
      <c r="AN390" s="10"/>
      <c r="AO390" s="10"/>
      <c r="AP390" s="22" t="str">
        <f aca="false">IF(OR(C390="",I390="",K390=""),"",IF(K390="Monthly",EDATE(C390,ROUND(I390*SETTINGS!$I$8,0)),WORKDAY(C390,ROUND(I390*SETTINGS!$I$8,0))))</f>
        <v/>
      </c>
      <c r="AQ390" s="9" t="str">
        <f aca="true">IF(C390="","",IF(AND(AP390&lt;&gt;"",TODAY()&gt;=AP390),"Refi Ready",IF(TODAY()-C390&gt;=SETTINGS!$I$11,"Prospecting","Performing")))</f>
        <v/>
      </c>
      <c r="AR390" s="22" t="str">
        <f aca="false">IF(OR(C390="",I390="",K390=""),"",IF(K390="Monthly",EDATE(C390,I390),WORKDAY(C390,I390)))</f>
        <v/>
      </c>
      <c r="AS390" s="11"/>
      <c r="AT390" s="23" t="str">
        <f aca="true">IF(C390="","",IF(AM390="Clawed Back","CLAWED",IF(TODAY()&lt;=C390+SETTINGS!$I$2,"⚠ AT RISK","SAFE")))</f>
        <v/>
      </c>
      <c r="AU390" s="11"/>
      <c r="AW390" s="24" t="n">
        <f aca="false">AW389+IF(AND(C390&lt;&gt;"",AO390&lt;&gt;"",OR('REP COMMISSION'!$B$3="",T390='REP COMMISSION'!$B$3,W390='REP COMMISSION'!$B$3,Z390='REP COMMISSION'!$B$3)),1,0)</f>
        <v>0</v>
      </c>
      <c r="AX390" s="24" t="n">
        <f aca="false">AX389+IF(AND(C390&lt;&gt;"",OR(F390="LOC - INITIAL",F390="CONSOLIDATION - UPFRONT COMM",F390="REVERSE - TOTAL FUNDING")),1,0)</f>
        <v>0</v>
      </c>
    </row>
    <row r="391" customFormat="false" ht="15" hidden="false" customHeight="false" outlineLevel="0" collapsed="false">
      <c r="A391" s="25" t="str">
        <f aca="false">IF(C391&lt;&gt;"","F"&amp;COUNT($C$4:C391),"")</f>
        <v/>
      </c>
      <c r="B391" s="26" t="str">
        <f aca="false">IF(OR(F391="LOC - INITIAL",F391="CONSOLIDATION - UPFRONT COMM",F391="REVERSE - TOTAL FUNDING"),A391,"")</f>
        <v/>
      </c>
      <c r="C391" s="27"/>
      <c r="D391" s="28"/>
      <c r="E391" s="28"/>
      <c r="F391" s="28"/>
      <c r="G391" s="29"/>
      <c r="H391" s="30"/>
      <c r="I391" s="28"/>
      <c r="J391" s="31" t="str">
        <f aca="false">IF(AND(G391&lt;&gt;"",H391&lt;&gt;""),G391*H391,"")</f>
        <v/>
      </c>
      <c r="K391" s="28"/>
      <c r="L391" s="32"/>
      <c r="M391" s="32"/>
      <c r="N391" s="31" t="n">
        <f aca="false">IF(OR(G391="",M391=""),0,IF(M391&gt;100,M391,G391*IF(M391&gt;1,M391/100,M391)))</f>
        <v>0</v>
      </c>
      <c r="O391" s="31" t="str">
        <f aca="false">IF(G391="","",G391*IF(L391="",0,IF(L391&gt;1,L391/100,L391))+N391)</f>
        <v/>
      </c>
      <c r="P391" s="28"/>
      <c r="Q391" s="33" t="str">
        <f aca="false">IF(P391="","",IFERROR(VLOOKUP(P391,PARTNERS!$A$2:$B$30,2,0),""))</f>
        <v/>
      </c>
      <c r="R391" s="17" t="str">
        <f aca="false">IF(O391="","",IF(OR(P391="",Q391=""),0,(O391-N391)*IF(Q391&gt;1,Q391/100,Q391)))</f>
        <v/>
      </c>
      <c r="S391" s="31" t="str">
        <f aca="false">IF(O391="","",O391-R391)</f>
        <v/>
      </c>
      <c r="T391" s="28"/>
      <c r="U391" s="34" t="str">
        <f aca="false">IF(T391="","",IFERROR(VLOOKUP(T391,REPS!$A$2:$D$40,2,0),""))</f>
        <v/>
      </c>
      <c r="V391" s="31" t="str">
        <f aca="false">IF(O391="","",IF(U391="",0,O391*IF(U391&gt;1,U391/100,U391)))</f>
        <v/>
      </c>
      <c r="W391" s="28"/>
      <c r="X391" s="34" t="str">
        <f aca="false">IF(W391="","",IFERROR(VLOOKUP(W391,REPS!$A$2:$D$40,3,0),""))</f>
        <v/>
      </c>
      <c r="Y391" s="31" t="str">
        <f aca="false">IF(O391="","",IF(X391="",0,O391*IF(X391&gt;1,X391/100,X391)))</f>
        <v/>
      </c>
      <c r="Z391" s="28"/>
      <c r="AA391" s="34" t="str">
        <f aca="false">IF(Z391="","",IFERROR(VLOOKUP(Z391,REPS!$A$2:$D$40,4,0),""))</f>
        <v/>
      </c>
      <c r="AB391" s="31" t="str">
        <f aca="false">IF(O391="","",IF(AA391="",0,O391*IF(AA391&gt;1,AA391/100,AA391)))</f>
        <v/>
      </c>
      <c r="AC391" s="31" t="str">
        <f aca="false">IF(O391="","",V391+Y391+AB391)</f>
        <v/>
      </c>
      <c r="AD391" s="19" t="str">
        <f aca="false">IF(O391="","",O391-R391-AC391)</f>
        <v/>
      </c>
      <c r="AE391" s="20"/>
      <c r="AF391" s="27"/>
      <c r="AG391" s="21" t="n">
        <f aca="false">IF(OR(AE391="",AE391=0),0,AE391*IF(U391="",0,IF(U391&gt;1,U391/100,U391)))</f>
        <v>0</v>
      </c>
      <c r="AH391" s="21" t="n">
        <f aca="false">IF(OR(AE391="",AE391=0),0,AE391*IF(X391="",0,IF(X391&gt;1,X391/100,X391)))</f>
        <v>0</v>
      </c>
      <c r="AI391" s="21" t="n">
        <f aca="false">IF(OR(AE391="",AE391=0),0,AE391*IF(AA391="",0,IF(AA391&gt;1,AA391/100,AA391)))</f>
        <v>0</v>
      </c>
      <c r="AJ391" s="21" t="n">
        <f aca="false">AG391+AH391+AI391</f>
        <v>0</v>
      </c>
      <c r="AK391" s="21" t="n">
        <f aca="false">IF(OR(AE391="",AE391=0),0,AE391-AJ391)</f>
        <v>0</v>
      </c>
      <c r="AL391" s="19" t="str">
        <f aca="false">IF(AD391="","",AD391-AK391)</f>
        <v/>
      </c>
      <c r="AM391" s="26" t="str">
        <f aca="false">IF(C391="","","Waiting for payment")</f>
        <v/>
      </c>
      <c r="AN391" s="27"/>
      <c r="AO391" s="27"/>
      <c r="AP391" s="35" t="str">
        <f aca="false">IF(OR(C391="",I391="",K391=""),"",IF(K391="Monthly",EDATE(C391,ROUND(I391*SETTINGS!$I$8,0)),WORKDAY(C391,ROUND(I391*SETTINGS!$I$8,0))))</f>
        <v/>
      </c>
      <c r="AQ391" s="26" t="str">
        <f aca="true">IF(C391="","",IF(AND(AP391&lt;&gt;"",TODAY()&gt;=AP391),"Refi Ready",IF(TODAY()-C391&gt;=SETTINGS!$I$11,"Prospecting","Performing")))</f>
        <v/>
      </c>
      <c r="AR391" s="35" t="str">
        <f aca="false">IF(OR(C391="",I391="",K391=""),"",IF(K391="Monthly",EDATE(C391,I391),WORKDAY(C391,I391)))</f>
        <v/>
      </c>
      <c r="AS391" s="28"/>
      <c r="AT391" s="36" t="str">
        <f aca="true">IF(C391="","",IF(AM391="Clawed Back","CLAWED",IF(TODAY()&lt;=C391+SETTINGS!$I$2,"⚠ AT RISK","SAFE")))</f>
        <v/>
      </c>
      <c r="AU391" s="28"/>
      <c r="AW391" s="24" t="n">
        <f aca="false">AW390+IF(AND(C391&lt;&gt;"",AO391&lt;&gt;"",OR('REP COMMISSION'!$B$3="",T391='REP COMMISSION'!$B$3,W391='REP COMMISSION'!$B$3,Z391='REP COMMISSION'!$B$3)),1,0)</f>
        <v>0</v>
      </c>
      <c r="AX391" s="24" t="n">
        <f aca="false">AX390+IF(AND(C391&lt;&gt;"",OR(F391="LOC - INITIAL",F391="CONSOLIDATION - UPFRONT COMM",F391="REVERSE - TOTAL FUNDING")),1,0)</f>
        <v>0</v>
      </c>
    </row>
    <row r="392" customFormat="false" ht="15" hidden="false" customHeight="false" outlineLevel="0" collapsed="false">
      <c r="A392" s="8" t="str">
        <f aca="false">IF(C392&lt;&gt;"","F"&amp;COUNT($C$4:C392),"")</f>
        <v/>
      </c>
      <c r="B392" s="9" t="str">
        <f aca="false">IF(OR(F392="LOC - INITIAL",F392="CONSOLIDATION - UPFRONT COMM",F392="REVERSE - TOTAL FUNDING"),A392,"")</f>
        <v/>
      </c>
      <c r="C392" s="10"/>
      <c r="D392" s="11"/>
      <c r="E392" s="11"/>
      <c r="F392" s="11"/>
      <c r="G392" s="12"/>
      <c r="H392" s="13"/>
      <c r="I392" s="11"/>
      <c r="J392" s="14" t="str">
        <f aca="false">IF(AND(G392&lt;&gt;"",H392&lt;&gt;""),G392*H392,"")</f>
        <v/>
      </c>
      <c r="K392" s="11"/>
      <c r="L392" s="15"/>
      <c r="M392" s="15"/>
      <c r="N392" s="14" t="n">
        <f aca="false">IF(OR(G392="",M392=""),0,IF(M392&gt;100,M392,G392*IF(M392&gt;1,M392/100,M392)))</f>
        <v>0</v>
      </c>
      <c r="O392" s="14" t="str">
        <f aca="false">IF(G392="","",G392*IF(L392="",0,IF(L392&gt;1,L392/100,L392))+N392)</f>
        <v/>
      </c>
      <c r="P392" s="11"/>
      <c r="Q392" s="16" t="str">
        <f aca="false">IF(P392="","",IFERROR(VLOOKUP(P392,PARTNERS!$A$2:$B$30,2,0),""))</f>
        <v/>
      </c>
      <c r="R392" s="17" t="str">
        <f aca="false">IF(O392="","",IF(OR(P392="",Q392=""),0,(O392-N392)*IF(Q392&gt;1,Q392/100,Q392)))</f>
        <v/>
      </c>
      <c r="S392" s="14" t="str">
        <f aca="false">IF(O392="","",O392-R392)</f>
        <v/>
      </c>
      <c r="T392" s="11"/>
      <c r="U392" s="18" t="str">
        <f aca="false">IF(T392="","",IFERROR(VLOOKUP(T392,REPS!$A$2:$D$40,2,0),""))</f>
        <v/>
      </c>
      <c r="V392" s="14" t="str">
        <f aca="false">IF(O392="","",IF(U392="",0,O392*IF(U392&gt;1,U392/100,U392)))</f>
        <v/>
      </c>
      <c r="W392" s="11"/>
      <c r="X392" s="18" t="str">
        <f aca="false">IF(W392="","",IFERROR(VLOOKUP(W392,REPS!$A$2:$D$40,3,0),""))</f>
        <v/>
      </c>
      <c r="Y392" s="14" t="str">
        <f aca="false">IF(O392="","",IF(X392="",0,O392*IF(X392&gt;1,X392/100,X392)))</f>
        <v/>
      </c>
      <c r="Z392" s="11"/>
      <c r="AA392" s="18" t="str">
        <f aca="false">IF(Z392="","",IFERROR(VLOOKUP(Z392,REPS!$A$2:$D$40,4,0),""))</f>
        <v/>
      </c>
      <c r="AB392" s="14" t="str">
        <f aca="false">IF(O392="","",IF(AA392="",0,O392*IF(AA392&gt;1,AA392/100,AA392)))</f>
        <v/>
      </c>
      <c r="AC392" s="14" t="str">
        <f aca="false">IF(O392="","",V392+Y392+AB392)</f>
        <v/>
      </c>
      <c r="AD392" s="19" t="str">
        <f aca="false">IF(O392="","",O392-R392-AC392)</f>
        <v/>
      </c>
      <c r="AE392" s="20"/>
      <c r="AF392" s="10"/>
      <c r="AG392" s="21" t="n">
        <f aca="false">IF(OR(AE392="",AE392=0),0,AE392*IF(U392="",0,IF(U392&gt;1,U392/100,U392)))</f>
        <v>0</v>
      </c>
      <c r="AH392" s="21" t="n">
        <f aca="false">IF(OR(AE392="",AE392=0),0,AE392*IF(X392="",0,IF(X392&gt;1,X392/100,X392)))</f>
        <v>0</v>
      </c>
      <c r="AI392" s="21" t="n">
        <f aca="false">IF(OR(AE392="",AE392=0),0,AE392*IF(AA392="",0,IF(AA392&gt;1,AA392/100,AA392)))</f>
        <v>0</v>
      </c>
      <c r="AJ392" s="21" t="n">
        <f aca="false">AG392+AH392+AI392</f>
        <v>0</v>
      </c>
      <c r="AK392" s="21" t="n">
        <f aca="false">IF(OR(AE392="",AE392=0),0,AE392-AJ392)</f>
        <v>0</v>
      </c>
      <c r="AL392" s="19" t="str">
        <f aca="false">IF(AD392="","",AD392-AK392)</f>
        <v/>
      </c>
      <c r="AM392" s="9" t="str">
        <f aca="false">IF(C392="","","Waiting for payment")</f>
        <v/>
      </c>
      <c r="AN392" s="10"/>
      <c r="AO392" s="10"/>
      <c r="AP392" s="22" t="str">
        <f aca="false">IF(OR(C392="",I392="",K392=""),"",IF(K392="Monthly",EDATE(C392,ROUND(I392*SETTINGS!$I$8,0)),WORKDAY(C392,ROUND(I392*SETTINGS!$I$8,0))))</f>
        <v/>
      </c>
      <c r="AQ392" s="9" t="str">
        <f aca="true">IF(C392="","",IF(AND(AP392&lt;&gt;"",TODAY()&gt;=AP392),"Refi Ready",IF(TODAY()-C392&gt;=SETTINGS!$I$11,"Prospecting","Performing")))</f>
        <v/>
      </c>
      <c r="AR392" s="22" t="str">
        <f aca="false">IF(OR(C392="",I392="",K392=""),"",IF(K392="Monthly",EDATE(C392,I392),WORKDAY(C392,I392)))</f>
        <v/>
      </c>
      <c r="AS392" s="11"/>
      <c r="AT392" s="23" t="str">
        <f aca="true">IF(C392="","",IF(AM392="Clawed Back","CLAWED",IF(TODAY()&lt;=C392+SETTINGS!$I$2,"⚠ AT RISK","SAFE")))</f>
        <v/>
      </c>
      <c r="AU392" s="11"/>
      <c r="AW392" s="24" t="n">
        <f aca="false">AW391+IF(AND(C392&lt;&gt;"",AO392&lt;&gt;"",OR('REP COMMISSION'!$B$3="",T392='REP COMMISSION'!$B$3,W392='REP COMMISSION'!$B$3,Z392='REP COMMISSION'!$B$3)),1,0)</f>
        <v>0</v>
      </c>
      <c r="AX392" s="24" t="n">
        <f aca="false">AX391+IF(AND(C392&lt;&gt;"",OR(F392="LOC - INITIAL",F392="CONSOLIDATION - UPFRONT COMM",F392="REVERSE - TOTAL FUNDING")),1,0)</f>
        <v>0</v>
      </c>
    </row>
    <row r="393" customFormat="false" ht="15" hidden="false" customHeight="false" outlineLevel="0" collapsed="false">
      <c r="A393" s="25" t="str">
        <f aca="false">IF(C393&lt;&gt;"","F"&amp;COUNT($C$4:C393),"")</f>
        <v/>
      </c>
      <c r="B393" s="26" t="str">
        <f aca="false">IF(OR(F393="LOC - INITIAL",F393="CONSOLIDATION - UPFRONT COMM",F393="REVERSE - TOTAL FUNDING"),A393,"")</f>
        <v/>
      </c>
      <c r="C393" s="27"/>
      <c r="D393" s="28"/>
      <c r="E393" s="28"/>
      <c r="F393" s="28"/>
      <c r="G393" s="29"/>
      <c r="H393" s="30"/>
      <c r="I393" s="28"/>
      <c r="J393" s="31" t="str">
        <f aca="false">IF(AND(G393&lt;&gt;"",H393&lt;&gt;""),G393*H393,"")</f>
        <v/>
      </c>
      <c r="K393" s="28"/>
      <c r="L393" s="32"/>
      <c r="M393" s="32"/>
      <c r="N393" s="31" t="n">
        <f aca="false">IF(OR(G393="",M393=""),0,IF(M393&gt;100,M393,G393*IF(M393&gt;1,M393/100,M393)))</f>
        <v>0</v>
      </c>
      <c r="O393" s="31" t="str">
        <f aca="false">IF(G393="","",G393*IF(L393="",0,IF(L393&gt;1,L393/100,L393))+N393)</f>
        <v/>
      </c>
      <c r="P393" s="28"/>
      <c r="Q393" s="33" t="str">
        <f aca="false">IF(P393="","",IFERROR(VLOOKUP(P393,PARTNERS!$A$2:$B$30,2,0),""))</f>
        <v/>
      </c>
      <c r="R393" s="17" t="str">
        <f aca="false">IF(O393="","",IF(OR(P393="",Q393=""),0,(O393-N393)*IF(Q393&gt;1,Q393/100,Q393)))</f>
        <v/>
      </c>
      <c r="S393" s="31" t="str">
        <f aca="false">IF(O393="","",O393-R393)</f>
        <v/>
      </c>
      <c r="T393" s="28"/>
      <c r="U393" s="34" t="str">
        <f aca="false">IF(T393="","",IFERROR(VLOOKUP(T393,REPS!$A$2:$D$40,2,0),""))</f>
        <v/>
      </c>
      <c r="V393" s="31" t="str">
        <f aca="false">IF(O393="","",IF(U393="",0,O393*IF(U393&gt;1,U393/100,U393)))</f>
        <v/>
      </c>
      <c r="W393" s="28"/>
      <c r="X393" s="34" t="str">
        <f aca="false">IF(W393="","",IFERROR(VLOOKUP(W393,REPS!$A$2:$D$40,3,0),""))</f>
        <v/>
      </c>
      <c r="Y393" s="31" t="str">
        <f aca="false">IF(O393="","",IF(X393="",0,O393*IF(X393&gt;1,X393/100,X393)))</f>
        <v/>
      </c>
      <c r="Z393" s="28"/>
      <c r="AA393" s="34" t="str">
        <f aca="false">IF(Z393="","",IFERROR(VLOOKUP(Z393,REPS!$A$2:$D$40,4,0),""))</f>
        <v/>
      </c>
      <c r="AB393" s="31" t="str">
        <f aca="false">IF(O393="","",IF(AA393="",0,O393*IF(AA393&gt;1,AA393/100,AA393)))</f>
        <v/>
      </c>
      <c r="AC393" s="31" t="str">
        <f aca="false">IF(O393="","",V393+Y393+AB393)</f>
        <v/>
      </c>
      <c r="AD393" s="19" t="str">
        <f aca="false">IF(O393="","",O393-R393-AC393)</f>
        <v/>
      </c>
      <c r="AE393" s="20"/>
      <c r="AF393" s="27"/>
      <c r="AG393" s="21" t="n">
        <f aca="false">IF(OR(AE393="",AE393=0),0,AE393*IF(U393="",0,IF(U393&gt;1,U393/100,U393)))</f>
        <v>0</v>
      </c>
      <c r="AH393" s="21" t="n">
        <f aca="false">IF(OR(AE393="",AE393=0),0,AE393*IF(X393="",0,IF(X393&gt;1,X393/100,X393)))</f>
        <v>0</v>
      </c>
      <c r="AI393" s="21" t="n">
        <f aca="false">IF(OR(AE393="",AE393=0),0,AE393*IF(AA393="",0,IF(AA393&gt;1,AA393/100,AA393)))</f>
        <v>0</v>
      </c>
      <c r="AJ393" s="21" t="n">
        <f aca="false">AG393+AH393+AI393</f>
        <v>0</v>
      </c>
      <c r="AK393" s="21" t="n">
        <f aca="false">IF(OR(AE393="",AE393=0),0,AE393-AJ393)</f>
        <v>0</v>
      </c>
      <c r="AL393" s="19" t="str">
        <f aca="false">IF(AD393="","",AD393-AK393)</f>
        <v/>
      </c>
      <c r="AM393" s="26" t="str">
        <f aca="false">IF(C393="","","Waiting for payment")</f>
        <v/>
      </c>
      <c r="AN393" s="27"/>
      <c r="AO393" s="27"/>
      <c r="AP393" s="35" t="str">
        <f aca="false">IF(OR(C393="",I393="",K393=""),"",IF(K393="Monthly",EDATE(C393,ROUND(I393*SETTINGS!$I$8,0)),WORKDAY(C393,ROUND(I393*SETTINGS!$I$8,0))))</f>
        <v/>
      </c>
      <c r="AQ393" s="26" t="str">
        <f aca="true">IF(C393="","",IF(AND(AP393&lt;&gt;"",TODAY()&gt;=AP393),"Refi Ready",IF(TODAY()-C393&gt;=SETTINGS!$I$11,"Prospecting","Performing")))</f>
        <v/>
      </c>
      <c r="AR393" s="35" t="str">
        <f aca="false">IF(OR(C393="",I393="",K393=""),"",IF(K393="Monthly",EDATE(C393,I393),WORKDAY(C393,I393)))</f>
        <v/>
      </c>
      <c r="AS393" s="28"/>
      <c r="AT393" s="36" t="str">
        <f aca="true">IF(C393="","",IF(AM393="Clawed Back","CLAWED",IF(TODAY()&lt;=C393+SETTINGS!$I$2,"⚠ AT RISK","SAFE")))</f>
        <v/>
      </c>
      <c r="AU393" s="28"/>
      <c r="AW393" s="24" t="n">
        <f aca="false">AW392+IF(AND(C393&lt;&gt;"",AO393&lt;&gt;"",OR('REP COMMISSION'!$B$3="",T393='REP COMMISSION'!$B$3,W393='REP COMMISSION'!$B$3,Z393='REP COMMISSION'!$B$3)),1,0)</f>
        <v>0</v>
      </c>
      <c r="AX393" s="24" t="n">
        <f aca="false">AX392+IF(AND(C393&lt;&gt;"",OR(F393="LOC - INITIAL",F393="CONSOLIDATION - UPFRONT COMM",F393="REVERSE - TOTAL FUNDING")),1,0)</f>
        <v>0</v>
      </c>
    </row>
    <row r="394" customFormat="false" ht="15" hidden="false" customHeight="false" outlineLevel="0" collapsed="false">
      <c r="A394" s="8" t="str">
        <f aca="false">IF(C394&lt;&gt;"","F"&amp;COUNT($C$4:C394),"")</f>
        <v/>
      </c>
      <c r="B394" s="9" t="str">
        <f aca="false">IF(OR(F394="LOC - INITIAL",F394="CONSOLIDATION - UPFRONT COMM",F394="REVERSE - TOTAL FUNDING"),A394,"")</f>
        <v/>
      </c>
      <c r="C394" s="10"/>
      <c r="D394" s="11"/>
      <c r="E394" s="11"/>
      <c r="F394" s="11"/>
      <c r="G394" s="12"/>
      <c r="H394" s="13"/>
      <c r="I394" s="11"/>
      <c r="J394" s="14" t="str">
        <f aca="false">IF(AND(G394&lt;&gt;"",H394&lt;&gt;""),G394*H394,"")</f>
        <v/>
      </c>
      <c r="K394" s="11"/>
      <c r="L394" s="15"/>
      <c r="M394" s="15"/>
      <c r="N394" s="14" t="n">
        <f aca="false">IF(OR(G394="",M394=""),0,IF(M394&gt;100,M394,G394*IF(M394&gt;1,M394/100,M394)))</f>
        <v>0</v>
      </c>
      <c r="O394" s="14" t="str">
        <f aca="false">IF(G394="","",G394*IF(L394="",0,IF(L394&gt;1,L394/100,L394))+N394)</f>
        <v/>
      </c>
      <c r="P394" s="11"/>
      <c r="Q394" s="16" t="str">
        <f aca="false">IF(P394="","",IFERROR(VLOOKUP(P394,PARTNERS!$A$2:$B$30,2,0),""))</f>
        <v/>
      </c>
      <c r="R394" s="17" t="str">
        <f aca="false">IF(O394="","",IF(OR(P394="",Q394=""),0,(O394-N394)*IF(Q394&gt;1,Q394/100,Q394)))</f>
        <v/>
      </c>
      <c r="S394" s="14" t="str">
        <f aca="false">IF(O394="","",O394-R394)</f>
        <v/>
      </c>
      <c r="T394" s="11"/>
      <c r="U394" s="18" t="str">
        <f aca="false">IF(T394="","",IFERROR(VLOOKUP(T394,REPS!$A$2:$D$40,2,0),""))</f>
        <v/>
      </c>
      <c r="V394" s="14" t="str">
        <f aca="false">IF(O394="","",IF(U394="",0,O394*IF(U394&gt;1,U394/100,U394)))</f>
        <v/>
      </c>
      <c r="W394" s="11"/>
      <c r="X394" s="18" t="str">
        <f aca="false">IF(W394="","",IFERROR(VLOOKUP(W394,REPS!$A$2:$D$40,3,0),""))</f>
        <v/>
      </c>
      <c r="Y394" s="14" t="str">
        <f aca="false">IF(O394="","",IF(X394="",0,O394*IF(X394&gt;1,X394/100,X394)))</f>
        <v/>
      </c>
      <c r="Z394" s="11"/>
      <c r="AA394" s="18" t="str">
        <f aca="false">IF(Z394="","",IFERROR(VLOOKUP(Z394,REPS!$A$2:$D$40,4,0),""))</f>
        <v/>
      </c>
      <c r="AB394" s="14" t="str">
        <f aca="false">IF(O394="","",IF(AA394="",0,O394*IF(AA394&gt;1,AA394/100,AA394)))</f>
        <v/>
      </c>
      <c r="AC394" s="14" t="str">
        <f aca="false">IF(O394="","",V394+Y394+AB394)</f>
        <v/>
      </c>
      <c r="AD394" s="19" t="str">
        <f aca="false">IF(O394="","",O394-R394-AC394)</f>
        <v/>
      </c>
      <c r="AE394" s="20"/>
      <c r="AF394" s="10"/>
      <c r="AG394" s="21" t="n">
        <f aca="false">IF(OR(AE394="",AE394=0),0,AE394*IF(U394="",0,IF(U394&gt;1,U394/100,U394)))</f>
        <v>0</v>
      </c>
      <c r="AH394" s="21" t="n">
        <f aca="false">IF(OR(AE394="",AE394=0),0,AE394*IF(X394="",0,IF(X394&gt;1,X394/100,X394)))</f>
        <v>0</v>
      </c>
      <c r="AI394" s="21" t="n">
        <f aca="false">IF(OR(AE394="",AE394=0),0,AE394*IF(AA394="",0,IF(AA394&gt;1,AA394/100,AA394)))</f>
        <v>0</v>
      </c>
      <c r="AJ394" s="21" t="n">
        <f aca="false">AG394+AH394+AI394</f>
        <v>0</v>
      </c>
      <c r="AK394" s="21" t="n">
        <f aca="false">IF(OR(AE394="",AE394=0),0,AE394-AJ394)</f>
        <v>0</v>
      </c>
      <c r="AL394" s="19" t="str">
        <f aca="false">IF(AD394="","",AD394-AK394)</f>
        <v/>
      </c>
      <c r="AM394" s="9" t="str">
        <f aca="false">IF(C394="","","Waiting for payment")</f>
        <v/>
      </c>
      <c r="AN394" s="10"/>
      <c r="AO394" s="10"/>
      <c r="AP394" s="22" t="str">
        <f aca="false">IF(OR(C394="",I394="",K394=""),"",IF(K394="Monthly",EDATE(C394,ROUND(I394*SETTINGS!$I$8,0)),WORKDAY(C394,ROUND(I394*SETTINGS!$I$8,0))))</f>
        <v/>
      </c>
      <c r="AQ394" s="9" t="str">
        <f aca="true">IF(C394="","",IF(AND(AP394&lt;&gt;"",TODAY()&gt;=AP394),"Refi Ready",IF(TODAY()-C394&gt;=SETTINGS!$I$11,"Prospecting","Performing")))</f>
        <v/>
      </c>
      <c r="AR394" s="22" t="str">
        <f aca="false">IF(OR(C394="",I394="",K394=""),"",IF(K394="Monthly",EDATE(C394,I394),WORKDAY(C394,I394)))</f>
        <v/>
      </c>
      <c r="AS394" s="11"/>
      <c r="AT394" s="23" t="str">
        <f aca="true">IF(C394="","",IF(AM394="Clawed Back","CLAWED",IF(TODAY()&lt;=C394+SETTINGS!$I$2,"⚠ AT RISK","SAFE")))</f>
        <v/>
      </c>
      <c r="AU394" s="11"/>
      <c r="AW394" s="24" t="n">
        <f aca="false">AW393+IF(AND(C394&lt;&gt;"",AO394&lt;&gt;"",OR('REP COMMISSION'!$B$3="",T394='REP COMMISSION'!$B$3,W394='REP COMMISSION'!$B$3,Z394='REP COMMISSION'!$B$3)),1,0)</f>
        <v>0</v>
      </c>
      <c r="AX394" s="24" t="n">
        <f aca="false">AX393+IF(AND(C394&lt;&gt;"",OR(F394="LOC - INITIAL",F394="CONSOLIDATION - UPFRONT COMM",F394="REVERSE - TOTAL FUNDING")),1,0)</f>
        <v>0</v>
      </c>
    </row>
    <row r="395" customFormat="false" ht="15" hidden="false" customHeight="false" outlineLevel="0" collapsed="false">
      <c r="A395" s="25" t="str">
        <f aca="false">IF(C395&lt;&gt;"","F"&amp;COUNT($C$4:C395),"")</f>
        <v/>
      </c>
      <c r="B395" s="26" t="str">
        <f aca="false">IF(OR(F395="LOC - INITIAL",F395="CONSOLIDATION - UPFRONT COMM",F395="REVERSE - TOTAL FUNDING"),A395,"")</f>
        <v/>
      </c>
      <c r="C395" s="27"/>
      <c r="D395" s="28"/>
      <c r="E395" s="28"/>
      <c r="F395" s="28"/>
      <c r="G395" s="29"/>
      <c r="H395" s="30"/>
      <c r="I395" s="28"/>
      <c r="J395" s="31" t="str">
        <f aca="false">IF(AND(G395&lt;&gt;"",H395&lt;&gt;""),G395*H395,"")</f>
        <v/>
      </c>
      <c r="K395" s="28"/>
      <c r="L395" s="32"/>
      <c r="M395" s="32"/>
      <c r="N395" s="31" t="n">
        <f aca="false">IF(OR(G395="",M395=""),0,IF(M395&gt;100,M395,G395*IF(M395&gt;1,M395/100,M395)))</f>
        <v>0</v>
      </c>
      <c r="O395" s="31" t="str">
        <f aca="false">IF(G395="","",G395*IF(L395="",0,IF(L395&gt;1,L395/100,L395))+N395)</f>
        <v/>
      </c>
      <c r="P395" s="28"/>
      <c r="Q395" s="33" t="str">
        <f aca="false">IF(P395="","",IFERROR(VLOOKUP(P395,PARTNERS!$A$2:$B$30,2,0),""))</f>
        <v/>
      </c>
      <c r="R395" s="17" t="str">
        <f aca="false">IF(O395="","",IF(OR(P395="",Q395=""),0,(O395-N395)*IF(Q395&gt;1,Q395/100,Q395)))</f>
        <v/>
      </c>
      <c r="S395" s="31" t="str">
        <f aca="false">IF(O395="","",O395-R395)</f>
        <v/>
      </c>
      <c r="T395" s="28"/>
      <c r="U395" s="34" t="str">
        <f aca="false">IF(T395="","",IFERROR(VLOOKUP(T395,REPS!$A$2:$D$40,2,0),""))</f>
        <v/>
      </c>
      <c r="V395" s="31" t="str">
        <f aca="false">IF(O395="","",IF(U395="",0,O395*IF(U395&gt;1,U395/100,U395)))</f>
        <v/>
      </c>
      <c r="W395" s="28"/>
      <c r="X395" s="34" t="str">
        <f aca="false">IF(W395="","",IFERROR(VLOOKUP(W395,REPS!$A$2:$D$40,3,0),""))</f>
        <v/>
      </c>
      <c r="Y395" s="31" t="str">
        <f aca="false">IF(O395="","",IF(X395="",0,O395*IF(X395&gt;1,X395/100,X395)))</f>
        <v/>
      </c>
      <c r="Z395" s="28"/>
      <c r="AA395" s="34" t="str">
        <f aca="false">IF(Z395="","",IFERROR(VLOOKUP(Z395,REPS!$A$2:$D$40,4,0),""))</f>
        <v/>
      </c>
      <c r="AB395" s="31" t="str">
        <f aca="false">IF(O395="","",IF(AA395="",0,O395*IF(AA395&gt;1,AA395/100,AA395)))</f>
        <v/>
      </c>
      <c r="AC395" s="31" t="str">
        <f aca="false">IF(O395="","",V395+Y395+AB395)</f>
        <v/>
      </c>
      <c r="AD395" s="19" t="str">
        <f aca="false">IF(O395="","",O395-R395-AC395)</f>
        <v/>
      </c>
      <c r="AE395" s="20"/>
      <c r="AF395" s="27"/>
      <c r="AG395" s="21" t="n">
        <f aca="false">IF(OR(AE395="",AE395=0),0,AE395*IF(U395="",0,IF(U395&gt;1,U395/100,U395)))</f>
        <v>0</v>
      </c>
      <c r="AH395" s="21" t="n">
        <f aca="false">IF(OR(AE395="",AE395=0),0,AE395*IF(X395="",0,IF(X395&gt;1,X395/100,X395)))</f>
        <v>0</v>
      </c>
      <c r="AI395" s="21" t="n">
        <f aca="false">IF(OR(AE395="",AE395=0),0,AE395*IF(AA395="",0,IF(AA395&gt;1,AA395/100,AA395)))</f>
        <v>0</v>
      </c>
      <c r="AJ395" s="21" t="n">
        <f aca="false">AG395+AH395+AI395</f>
        <v>0</v>
      </c>
      <c r="AK395" s="21" t="n">
        <f aca="false">IF(OR(AE395="",AE395=0),0,AE395-AJ395)</f>
        <v>0</v>
      </c>
      <c r="AL395" s="19" t="str">
        <f aca="false">IF(AD395="","",AD395-AK395)</f>
        <v/>
      </c>
      <c r="AM395" s="26" t="str">
        <f aca="false">IF(C395="","","Waiting for payment")</f>
        <v/>
      </c>
      <c r="AN395" s="27"/>
      <c r="AO395" s="27"/>
      <c r="AP395" s="35" t="str">
        <f aca="false">IF(OR(C395="",I395="",K395=""),"",IF(K395="Monthly",EDATE(C395,ROUND(I395*SETTINGS!$I$8,0)),WORKDAY(C395,ROUND(I395*SETTINGS!$I$8,0))))</f>
        <v/>
      </c>
      <c r="AQ395" s="26" t="str">
        <f aca="true">IF(C395="","",IF(AND(AP395&lt;&gt;"",TODAY()&gt;=AP395),"Refi Ready",IF(TODAY()-C395&gt;=SETTINGS!$I$11,"Prospecting","Performing")))</f>
        <v/>
      </c>
      <c r="AR395" s="35" t="str">
        <f aca="false">IF(OR(C395="",I395="",K395=""),"",IF(K395="Monthly",EDATE(C395,I395),WORKDAY(C395,I395)))</f>
        <v/>
      </c>
      <c r="AS395" s="28"/>
      <c r="AT395" s="36" t="str">
        <f aca="true">IF(C395="","",IF(AM395="Clawed Back","CLAWED",IF(TODAY()&lt;=C395+SETTINGS!$I$2,"⚠ AT RISK","SAFE")))</f>
        <v/>
      </c>
      <c r="AU395" s="28"/>
      <c r="AW395" s="24" t="n">
        <f aca="false">AW394+IF(AND(C395&lt;&gt;"",AO395&lt;&gt;"",OR('REP COMMISSION'!$B$3="",T395='REP COMMISSION'!$B$3,W395='REP COMMISSION'!$B$3,Z395='REP COMMISSION'!$B$3)),1,0)</f>
        <v>0</v>
      </c>
      <c r="AX395" s="24" t="n">
        <f aca="false">AX394+IF(AND(C395&lt;&gt;"",OR(F395="LOC - INITIAL",F395="CONSOLIDATION - UPFRONT COMM",F395="REVERSE - TOTAL FUNDING")),1,0)</f>
        <v>0</v>
      </c>
    </row>
    <row r="396" customFormat="false" ht="15" hidden="false" customHeight="false" outlineLevel="0" collapsed="false">
      <c r="A396" s="8" t="str">
        <f aca="false">IF(C396&lt;&gt;"","F"&amp;COUNT($C$4:C396),"")</f>
        <v/>
      </c>
      <c r="B396" s="9" t="str">
        <f aca="false">IF(OR(F396="LOC - INITIAL",F396="CONSOLIDATION - UPFRONT COMM",F396="REVERSE - TOTAL FUNDING"),A396,"")</f>
        <v/>
      </c>
      <c r="C396" s="10"/>
      <c r="D396" s="11"/>
      <c r="E396" s="11"/>
      <c r="F396" s="11"/>
      <c r="G396" s="12"/>
      <c r="H396" s="13"/>
      <c r="I396" s="11"/>
      <c r="J396" s="14" t="str">
        <f aca="false">IF(AND(G396&lt;&gt;"",H396&lt;&gt;""),G396*H396,"")</f>
        <v/>
      </c>
      <c r="K396" s="11"/>
      <c r="L396" s="15"/>
      <c r="M396" s="15"/>
      <c r="N396" s="14" t="n">
        <f aca="false">IF(OR(G396="",M396=""),0,IF(M396&gt;100,M396,G396*IF(M396&gt;1,M396/100,M396)))</f>
        <v>0</v>
      </c>
      <c r="O396" s="14" t="str">
        <f aca="false">IF(G396="","",G396*IF(L396="",0,IF(L396&gt;1,L396/100,L396))+N396)</f>
        <v/>
      </c>
      <c r="P396" s="11"/>
      <c r="Q396" s="16" t="str">
        <f aca="false">IF(P396="","",IFERROR(VLOOKUP(P396,PARTNERS!$A$2:$B$30,2,0),""))</f>
        <v/>
      </c>
      <c r="R396" s="17" t="str">
        <f aca="false">IF(O396="","",IF(OR(P396="",Q396=""),0,(O396-N396)*IF(Q396&gt;1,Q396/100,Q396)))</f>
        <v/>
      </c>
      <c r="S396" s="14" t="str">
        <f aca="false">IF(O396="","",O396-R396)</f>
        <v/>
      </c>
      <c r="T396" s="11"/>
      <c r="U396" s="18" t="str">
        <f aca="false">IF(T396="","",IFERROR(VLOOKUP(T396,REPS!$A$2:$D$40,2,0),""))</f>
        <v/>
      </c>
      <c r="V396" s="14" t="str">
        <f aca="false">IF(O396="","",IF(U396="",0,O396*IF(U396&gt;1,U396/100,U396)))</f>
        <v/>
      </c>
      <c r="W396" s="11"/>
      <c r="X396" s="18" t="str">
        <f aca="false">IF(W396="","",IFERROR(VLOOKUP(W396,REPS!$A$2:$D$40,3,0),""))</f>
        <v/>
      </c>
      <c r="Y396" s="14" t="str">
        <f aca="false">IF(O396="","",IF(X396="",0,O396*IF(X396&gt;1,X396/100,X396)))</f>
        <v/>
      </c>
      <c r="Z396" s="11"/>
      <c r="AA396" s="18" t="str">
        <f aca="false">IF(Z396="","",IFERROR(VLOOKUP(Z396,REPS!$A$2:$D$40,4,0),""))</f>
        <v/>
      </c>
      <c r="AB396" s="14" t="str">
        <f aca="false">IF(O396="","",IF(AA396="",0,O396*IF(AA396&gt;1,AA396/100,AA396)))</f>
        <v/>
      </c>
      <c r="AC396" s="14" t="str">
        <f aca="false">IF(O396="","",V396+Y396+AB396)</f>
        <v/>
      </c>
      <c r="AD396" s="19" t="str">
        <f aca="false">IF(O396="","",O396-R396-AC396)</f>
        <v/>
      </c>
      <c r="AE396" s="20"/>
      <c r="AF396" s="10"/>
      <c r="AG396" s="21" t="n">
        <f aca="false">IF(OR(AE396="",AE396=0),0,AE396*IF(U396="",0,IF(U396&gt;1,U396/100,U396)))</f>
        <v>0</v>
      </c>
      <c r="AH396" s="21" t="n">
        <f aca="false">IF(OR(AE396="",AE396=0),0,AE396*IF(X396="",0,IF(X396&gt;1,X396/100,X396)))</f>
        <v>0</v>
      </c>
      <c r="AI396" s="21" t="n">
        <f aca="false">IF(OR(AE396="",AE396=0),0,AE396*IF(AA396="",0,IF(AA396&gt;1,AA396/100,AA396)))</f>
        <v>0</v>
      </c>
      <c r="AJ396" s="21" t="n">
        <f aca="false">AG396+AH396+AI396</f>
        <v>0</v>
      </c>
      <c r="AK396" s="21" t="n">
        <f aca="false">IF(OR(AE396="",AE396=0),0,AE396-AJ396)</f>
        <v>0</v>
      </c>
      <c r="AL396" s="19" t="str">
        <f aca="false">IF(AD396="","",AD396-AK396)</f>
        <v/>
      </c>
      <c r="AM396" s="9" t="str">
        <f aca="false">IF(C396="","","Waiting for payment")</f>
        <v/>
      </c>
      <c r="AN396" s="10"/>
      <c r="AO396" s="10"/>
      <c r="AP396" s="22" t="str">
        <f aca="false">IF(OR(C396="",I396="",K396=""),"",IF(K396="Monthly",EDATE(C396,ROUND(I396*SETTINGS!$I$8,0)),WORKDAY(C396,ROUND(I396*SETTINGS!$I$8,0))))</f>
        <v/>
      </c>
      <c r="AQ396" s="9" t="str">
        <f aca="true">IF(C396="","",IF(AND(AP396&lt;&gt;"",TODAY()&gt;=AP396),"Refi Ready",IF(TODAY()-C396&gt;=SETTINGS!$I$11,"Prospecting","Performing")))</f>
        <v/>
      </c>
      <c r="AR396" s="22" t="str">
        <f aca="false">IF(OR(C396="",I396="",K396=""),"",IF(K396="Monthly",EDATE(C396,I396),WORKDAY(C396,I396)))</f>
        <v/>
      </c>
      <c r="AS396" s="11"/>
      <c r="AT396" s="23" t="str">
        <f aca="true">IF(C396="","",IF(AM396="Clawed Back","CLAWED",IF(TODAY()&lt;=C396+SETTINGS!$I$2,"⚠ AT RISK","SAFE")))</f>
        <v/>
      </c>
      <c r="AU396" s="11"/>
      <c r="AW396" s="24" t="n">
        <f aca="false">AW395+IF(AND(C396&lt;&gt;"",AO396&lt;&gt;"",OR('REP COMMISSION'!$B$3="",T396='REP COMMISSION'!$B$3,W396='REP COMMISSION'!$B$3,Z396='REP COMMISSION'!$B$3)),1,0)</f>
        <v>0</v>
      </c>
      <c r="AX396" s="24" t="n">
        <f aca="false">AX395+IF(AND(C396&lt;&gt;"",OR(F396="LOC - INITIAL",F396="CONSOLIDATION - UPFRONT COMM",F396="REVERSE - TOTAL FUNDING")),1,0)</f>
        <v>0</v>
      </c>
    </row>
    <row r="397" customFormat="false" ht="15" hidden="false" customHeight="false" outlineLevel="0" collapsed="false">
      <c r="A397" s="25" t="str">
        <f aca="false">IF(C397&lt;&gt;"","F"&amp;COUNT($C$4:C397),"")</f>
        <v/>
      </c>
      <c r="B397" s="26" t="str">
        <f aca="false">IF(OR(F397="LOC - INITIAL",F397="CONSOLIDATION - UPFRONT COMM",F397="REVERSE - TOTAL FUNDING"),A397,"")</f>
        <v/>
      </c>
      <c r="C397" s="27"/>
      <c r="D397" s="28"/>
      <c r="E397" s="28"/>
      <c r="F397" s="28"/>
      <c r="G397" s="29"/>
      <c r="H397" s="30"/>
      <c r="I397" s="28"/>
      <c r="J397" s="31" t="str">
        <f aca="false">IF(AND(G397&lt;&gt;"",H397&lt;&gt;""),G397*H397,"")</f>
        <v/>
      </c>
      <c r="K397" s="28"/>
      <c r="L397" s="32"/>
      <c r="M397" s="32"/>
      <c r="N397" s="31" t="n">
        <f aca="false">IF(OR(G397="",M397=""),0,IF(M397&gt;100,M397,G397*IF(M397&gt;1,M397/100,M397)))</f>
        <v>0</v>
      </c>
      <c r="O397" s="31" t="str">
        <f aca="false">IF(G397="","",G397*IF(L397="",0,IF(L397&gt;1,L397/100,L397))+N397)</f>
        <v/>
      </c>
      <c r="P397" s="28"/>
      <c r="Q397" s="33" t="str">
        <f aca="false">IF(P397="","",IFERROR(VLOOKUP(P397,PARTNERS!$A$2:$B$30,2,0),""))</f>
        <v/>
      </c>
      <c r="R397" s="17" t="str">
        <f aca="false">IF(O397="","",IF(OR(P397="",Q397=""),0,(O397-N397)*IF(Q397&gt;1,Q397/100,Q397)))</f>
        <v/>
      </c>
      <c r="S397" s="31" t="str">
        <f aca="false">IF(O397="","",O397-R397)</f>
        <v/>
      </c>
      <c r="T397" s="28"/>
      <c r="U397" s="34" t="str">
        <f aca="false">IF(T397="","",IFERROR(VLOOKUP(T397,REPS!$A$2:$D$40,2,0),""))</f>
        <v/>
      </c>
      <c r="V397" s="31" t="str">
        <f aca="false">IF(O397="","",IF(U397="",0,O397*IF(U397&gt;1,U397/100,U397)))</f>
        <v/>
      </c>
      <c r="W397" s="28"/>
      <c r="X397" s="34" t="str">
        <f aca="false">IF(W397="","",IFERROR(VLOOKUP(W397,REPS!$A$2:$D$40,3,0),""))</f>
        <v/>
      </c>
      <c r="Y397" s="31" t="str">
        <f aca="false">IF(O397="","",IF(X397="",0,O397*IF(X397&gt;1,X397/100,X397)))</f>
        <v/>
      </c>
      <c r="Z397" s="28"/>
      <c r="AA397" s="34" t="str">
        <f aca="false">IF(Z397="","",IFERROR(VLOOKUP(Z397,REPS!$A$2:$D$40,4,0),""))</f>
        <v/>
      </c>
      <c r="AB397" s="31" t="str">
        <f aca="false">IF(O397="","",IF(AA397="",0,O397*IF(AA397&gt;1,AA397/100,AA397)))</f>
        <v/>
      </c>
      <c r="AC397" s="31" t="str">
        <f aca="false">IF(O397="","",V397+Y397+AB397)</f>
        <v/>
      </c>
      <c r="AD397" s="19" t="str">
        <f aca="false">IF(O397="","",O397-R397-AC397)</f>
        <v/>
      </c>
      <c r="AE397" s="20"/>
      <c r="AF397" s="27"/>
      <c r="AG397" s="21" t="n">
        <f aca="false">IF(OR(AE397="",AE397=0),0,AE397*IF(U397="",0,IF(U397&gt;1,U397/100,U397)))</f>
        <v>0</v>
      </c>
      <c r="AH397" s="21" t="n">
        <f aca="false">IF(OR(AE397="",AE397=0),0,AE397*IF(X397="",0,IF(X397&gt;1,X397/100,X397)))</f>
        <v>0</v>
      </c>
      <c r="AI397" s="21" t="n">
        <f aca="false">IF(OR(AE397="",AE397=0),0,AE397*IF(AA397="",0,IF(AA397&gt;1,AA397/100,AA397)))</f>
        <v>0</v>
      </c>
      <c r="AJ397" s="21" t="n">
        <f aca="false">AG397+AH397+AI397</f>
        <v>0</v>
      </c>
      <c r="AK397" s="21" t="n">
        <f aca="false">IF(OR(AE397="",AE397=0),0,AE397-AJ397)</f>
        <v>0</v>
      </c>
      <c r="AL397" s="19" t="str">
        <f aca="false">IF(AD397="","",AD397-AK397)</f>
        <v/>
      </c>
      <c r="AM397" s="26" t="str">
        <f aca="false">IF(C397="","","Waiting for payment")</f>
        <v/>
      </c>
      <c r="AN397" s="27"/>
      <c r="AO397" s="27"/>
      <c r="AP397" s="35" t="str">
        <f aca="false">IF(OR(C397="",I397="",K397=""),"",IF(K397="Monthly",EDATE(C397,ROUND(I397*SETTINGS!$I$8,0)),WORKDAY(C397,ROUND(I397*SETTINGS!$I$8,0))))</f>
        <v/>
      </c>
      <c r="AQ397" s="26" t="str">
        <f aca="true">IF(C397="","",IF(AND(AP397&lt;&gt;"",TODAY()&gt;=AP397),"Refi Ready",IF(TODAY()-C397&gt;=SETTINGS!$I$11,"Prospecting","Performing")))</f>
        <v/>
      </c>
      <c r="AR397" s="35" t="str">
        <f aca="false">IF(OR(C397="",I397="",K397=""),"",IF(K397="Monthly",EDATE(C397,I397),WORKDAY(C397,I397)))</f>
        <v/>
      </c>
      <c r="AS397" s="28"/>
      <c r="AT397" s="36" t="str">
        <f aca="true">IF(C397="","",IF(AM397="Clawed Back","CLAWED",IF(TODAY()&lt;=C397+SETTINGS!$I$2,"⚠ AT RISK","SAFE")))</f>
        <v/>
      </c>
      <c r="AU397" s="28"/>
      <c r="AW397" s="24" t="n">
        <f aca="false">AW396+IF(AND(C397&lt;&gt;"",AO397&lt;&gt;"",OR('REP COMMISSION'!$B$3="",T397='REP COMMISSION'!$B$3,W397='REP COMMISSION'!$B$3,Z397='REP COMMISSION'!$B$3)),1,0)</f>
        <v>0</v>
      </c>
      <c r="AX397" s="24" t="n">
        <f aca="false">AX396+IF(AND(C397&lt;&gt;"",OR(F397="LOC - INITIAL",F397="CONSOLIDATION - UPFRONT COMM",F397="REVERSE - TOTAL FUNDING")),1,0)</f>
        <v>0</v>
      </c>
    </row>
    <row r="398" customFormat="false" ht="15" hidden="false" customHeight="false" outlineLevel="0" collapsed="false">
      <c r="A398" s="8" t="str">
        <f aca="false">IF(C398&lt;&gt;"","F"&amp;COUNT($C$4:C398),"")</f>
        <v/>
      </c>
      <c r="B398" s="9" t="str">
        <f aca="false">IF(OR(F398="LOC - INITIAL",F398="CONSOLIDATION - UPFRONT COMM",F398="REVERSE - TOTAL FUNDING"),A398,"")</f>
        <v/>
      </c>
      <c r="C398" s="10"/>
      <c r="D398" s="11"/>
      <c r="E398" s="11"/>
      <c r="F398" s="11"/>
      <c r="G398" s="12"/>
      <c r="H398" s="13"/>
      <c r="I398" s="11"/>
      <c r="J398" s="14" t="str">
        <f aca="false">IF(AND(G398&lt;&gt;"",H398&lt;&gt;""),G398*H398,"")</f>
        <v/>
      </c>
      <c r="K398" s="11"/>
      <c r="L398" s="15"/>
      <c r="M398" s="15"/>
      <c r="N398" s="14" t="n">
        <f aca="false">IF(OR(G398="",M398=""),0,IF(M398&gt;100,M398,G398*IF(M398&gt;1,M398/100,M398)))</f>
        <v>0</v>
      </c>
      <c r="O398" s="14" t="str">
        <f aca="false">IF(G398="","",G398*IF(L398="",0,IF(L398&gt;1,L398/100,L398))+N398)</f>
        <v/>
      </c>
      <c r="P398" s="11"/>
      <c r="Q398" s="16" t="str">
        <f aca="false">IF(P398="","",IFERROR(VLOOKUP(P398,PARTNERS!$A$2:$B$30,2,0),""))</f>
        <v/>
      </c>
      <c r="R398" s="17" t="str">
        <f aca="false">IF(O398="","",IF(OR(P398="",Q398=""),0,(O398-N398)*IF(Q398&gt;1,Q398/100,Q398)))</f>
        <v/>
      </c>
      <c r="S398" s="14" t="str">
        <f aca="false">IF(O398="","",O398-R398)</f>
        <v/>
      </c>
      <c r="T398" s="11"/>
      <c r="U398" s="18" t="str">
        <f aca="false">IF(T398="","",IFERROR(VLOOKUP(T398,REPS!$A$2:$D$40,2,0),""))</f>
        <v/>
      </c>
      <c r="V398" s="14" t="str">
        <f aca="false">IF(O398="","",IF(U398="",0,O398*IF(U398&gt;1,U398/100,U398)))</f>
        <v/>
      </c>
      <c r="W398" s="11"/>
      <c r="X398" s="18" t="str">
        <f aca="false">IF(W398="","",IFERROR(VLOOKUP(W398,REPS!$A$2:$D$40,3,0),""))</f>
        <v/>
      </c>
      <c r="Y398" s="14" t="str">
        <f aca="false">IF(O398="","",IF(X398="",0,O398*IF(X398&gt;1,X398/100,X398)))</f>
        <v/>
      </c>
      <c r="Z398" s="11"/>
      <c r="AA398" s="18" t="str">
        <f aca="false">IF(Z398="","",IFERROR(VLOOKUP(Z398,REPS!$A$2:$D$40,4,0),""))</f>
        <v/>
      </c>
      <c r="AB398" s="14" t="str">
        <f aca="false">IF(O398="","",IF(AA398="",0,O398*IF(AA398&gt;1,AA398/100,AA398)))</f>
        <v/>
      </c>
      <c r="AC398" s="14" t="str">
        <f aca="false">IF(O398="","",V398+Y398+AB398)</f>
        <v/>
      </c>
      <c r="AD398" s="19" t="str">
        <f aca="false">IF(O398="","",O398-R398-AC398)</f>
        <v/>
      </c>
      <c r="AE398" s="20"/>
      <c r="AF398" s="10"/>
      <c r="AG398" s="21" t="n">
        <f aca="false">IF(OR(AE398="",AE398=0),0,AE398*IF(U398="",0,IF(U398&gt;1,U398/100,U398)))</f>
        <v>0</v>
      </c>
      <c r="AH398" s="21" t="n">
        <f aca="false">IF(OR(AE398="",AE398=0),0,AE398*IF(X398="",0,IF(X398&gt;1,X398/100,X398)))</f>
        <v>0</v>
      </c>
      <c r="AI398" s="21" t="n">
        <f aca="false">IF(OR(AE398="",AE398=0),0,AE398*IF(AA398="",0,IF(AA398&gt;1,AA398/100,AA398)))</f>
        <v>0</v>
      </c>
      <c r="AJ398" s="21" t="n">
        <f aca="false">AG398+AH398+AI398</f>
        <v>0</v>
      </c>
      <c r="AK398" s="21" t="n">
        <f aca="false">IF(OR(AE398="",AE398=0),0,AE398-AJ398)</f>
        <v>0</v>
      </c>
      <c r="AL398" s="19" t="str">
        <f aca="false">IF(AD398="","",AD398-AK398)</f>
        <v/>
      </c>
      <c r="AM398" s="9" t="str">
        <f aca="false">IF(C398="","","Waiting for payment")</f>
        <v/>
      </c>
      <c r="AN398" s="10"/>
      <c r="AO398" s="10"/>
      <c r="AP398" s="22" t="str">
        <f aca="false">IF(OR(C398="",I398="",K398=""),"",IF(K398="Monthly",EDATE(C398,ROUND(I398*SETTINGS!$I$8,0)),WORKDAY(C398,ROUND(I398*SETTINGS!$I$8,0))))</f>
        <v/>
      </c>
      <c r="AQ398" s="9" t="str">
        <f aca="true">IF(C398="","",IF(AND(AP398&lt;&gt;"",TODAY()&gt;=AP398),"Refi Ready",IF(TODAY()-C398&gt;=SETTINGS!$I$11,"Prospecting","Performing")))</f>
        <v/>
      </c>
      <c r="AR398" s="22" t="str">
        <f aca="false">IF(OR(C398="",I398="",K398=""),"",IF(K398="Monthly",EDATE(C398,I398),WORKDAY(C398,I398)))</f>
        <v/>
      </c>
      <c r="AS398" s="11"/>
      <c r="AT398" s="23" t="str">
        <f aca="true">IF(C398="","",IF(AM398="Clawed Back","CLAWED",IF(TODAY()&lt;=C398+SETTINGS!$I$2,"⚠ AT RISK","SAFE")))</f>
        <v/>
      </c>
      <c r="AU398" s="11"/>
      <c r="AW398" s="24" t="n">
        <f aca="false">AW397+IF(AND(C398&lt;&gt;"",AO398&lt;&gt;"",OR('REP COMMISSION'!$B$3="",T398='REP COMMISSION'!$B$3,W398='REP COMMISSION'!$B$3,Z398='REP COMMISSION'!$B$3)),1,0)</f>
        <v>0</v>
      </c>
      <c r="AX398" s="24" t="n">
        <f aca="false">AX397+IF(AND(C398&lt;&gt;"",OR(F398="LOC - INITIAL",F398="CONSOLIDATION - UPFRONT COMM",F398="REVERSE - TOTAL FUNDING")),1,0)</f>
        <v>0</v>
      </c>
    </row>
    <row r="399" customFormat="false" ht="15" hidden="false" customHeight="false" outlineLevel="0" collapsed="false">
      <c r="A399" s="25" t="str">
        <f aca="false">IF(C399&lt;&gt;"","F"&amp;COUNT($C$4:C399),"")</f>
        <v/>
      </c>
      <c r="B399" s="26" t="str">
        <f aca="false">IF(OR(F399="LOC - INITIAL",F399="CONSOLIDATION - UPFRONT COMM",F399="REVERSE - TOTAL FUNDING"),A399,"")</f>
        <v/>
      </c>
      <c r="C399" s="27"/>
      <c r="D399" s="28"/>
      <c r="E399" s="28"/>
      <c r="F399" s="28"/>
      <c r="G399" s="29"/>
      <c r="H399" s="30"/>
      <c r="I399" s="28"/>
      <c r="J399" s="31" t="str">
        <f aca="false">IF(AND(G399&lt;&gt;"",H399&lt;&gt;""),G399*H399,"")</f>
        <v/>
      </c>
      <c r="K399" s="28"/>
      <c r="L399" s="32"/>
      <c r="M399" s="32"/>
      <c r="N399" s="31" t="n">
        <f aca="false">IF(OR(G399="",M399=""),0,IF(M399&gt;100,M399,G399*IF(M399&gt;1,M399/100,M399)))</f>
        <v>0</v>
      </c>
      <c r="O399" s="31" t="str">
        <f aca="false">IF(G399="","",G399*IF(L399="",0,IF(L399&gt;1,L399/100,L399))+N399)</f>
        <v/>
      </c>
      <c r="P399" s="28"/>
      <c r="Q399" s="33" t="str">
        <f aca="false">IF(P399="","",IFERROR(VLOOKUP(P399,PARTNERS!$A$2:$B$30,2,0),""))</f>
        <v/>
      </c>
      <c r="R399" s="17" t="str">
        <f aca="false">IF(O399="","",IF(OR(P399="",Q399=""),0,(O399-N399)*IF(Q399&gt;1,Q399/100,Q399)))</f>
        <v/>
      </c>
      <c r="S399" s="31" t="str">
        <f aca="false">IF(O399="","",O399-R399)</f>
        <v/>
      </c>
      <c r="T399" s="28"/>
      <c r="U399" s="34" t="str">
        <f aca="false">IF(T399="","",IFERROR(VLOOKUP(T399,REPS!$A$2:$D$40,2,0),""))</f>
        <v/>
      </c>
      <c r="V399" s="31" t="str">
        <f aca="false">IF(O399="","",IF(U399="",0,O399*IF(U399&gt;1,U399/100,U399)))</f>
        <v/>
      </c>
      <c r="W399" s="28"/>
      <c r="X399" s="34" t="str">
        <f aca="false">IF(W399="","",IFERROR(VLOOKUP(W399,REPS!$A$2:$D$40,3,0),""))</f>
        <v/>
      </c>
      <c r="Y399" s="31" t="str">
        <f aca="false">IF(O399="","",IF(X399="",0,O399*IF(X399&gt;1,X399/100,X399)))</f>
        <v/>
      </c>
      <c r="Z399" s="28"/>
      <c r="AA399" s="34" t="str">
        <f aca="false">IF(Z399="","",IFERROR(VLOOKUP(Z399,REPS!$A$2:$D$40,4,0),""))</f>
        <v/>
      </c>
      <c r="AB399" s="31" t="str">
        <f aca="false">IF(O399="","",IF(AA399="",0,O399*IF(AA399&gt;1,AA399/100,AA399)))</f>
        <v/>
      </c>
      <c r="AC399" s="31" t="str">
        <f aca="false">IF(O399="","",V399+Y399+AB399)</f>
        <v/>
      </c>
      <c r="AD399" s="19" t="str">
        <f aca="false">IF(O399="","",O399-R399-AC399)</f>
        <v/>
      </c>
      <c r="AE399" s="20"/>
      <c r="AF399" s="27"/>
      <c r="AG399" s="21" t="n">
        <f aca="false">IF(OR(AE399="",AE399=0),0,AE399*IF(U399="",0,IF(U399&gt;1,U399/100,U399)))</f>
        <v>0</v>
      </c>
      <c r="AH399" s="21" t="n">
        <f aca="false">IF(OR(AE399="",AE399=0),0,AE399*IF(X399="",0,IF(X399&gt;1,X399/100,X399)))</f>
        <v>0</v>
      </c>
      <c r="AI399" s="21" t="n">
        <f aca="false">IF(OR(AE399="",AE399=0),0,AE399*IF(AA399="",0,IF(AA399&gt;1,AA399/100,AA399)))</f>
        <v>0</v>
      </c>
      <c r="AJ399" s="21" t="n">
        <f aca="false">AG399+AH399+AI399</f>
        <v>0</v>
      </c>
      <c r="AK399" s="21" t="n">
        <f aca="false">IF(OR(AE399="",AE399=0),0,AE399-AJ399)</f>
        <v>0</v>
      </c>
      <c r="AL399" s="19" t="str">
        <f aca="false">IF(AD399="","",AD399-AK399)</f>
        <v/>
      </c>
      <c r="AM399" s="26" t="str">
        <f aca="false">IF(C399="","","Waiting for payment")</f>
        <v/>
      </c>
      <c r="AN399" s="27"/>
      <c r="AO399" s="27"/>
      <c r="AP399" s="35" t="str">
        <f aca="false">IF(OR(C399="",I399="",K399=""),"",IF(K399="Monthly",EDATE(C399,ROUND(I399*SETTINGS!$I$8,0)),WORKDAY(C399,ROUND(I399*SETTINGS!$I$8,0))))</f>
        <v/>
      </c>
      <c r="AQ399" s="26" t="str">
        <f aca="true">IF(C399="","",IF(AND(AP399&lt;&gt;"",TODAY()&gt;=AP399),"Refi Ready",IF(TODAY()-C399&gt;=SETTINGS!$I$11,"Prospecting","Performing")))</f>
        <v/>
      </c>
      <c r="AR399" s="35" t="str">
        <f aca="false">IF(OR(C399="",I399="",K399=""),"",IF(K399="Monthly",EDATE(C399,I399),WORKDAY(C399,I399)))</f>
        <v/>
      </c>
      <c r="AS399" s="28"/>
      <c r="AT399" s="36" t="str">
        <f aca="true">IF(C399="","",IF(AM399="Clawed Back","CLAWED",IF(TODAY()&lt;=C399+SETTINGS!$I$2,"⚠ AT RISK","SAFE")))</f>
        <v/>
      </c>
      <c r="AU399" s="28"/>
      <c r="AW399" s="24" t="n">
        <f aca="false">AW398+IF(AND(C399&lt;&gt;"",AO399&lt;&gt;"",OR('REP COMMISSION'!$B$3="",T399='REP COMMISSION'!$B$3,W399='REP COMMISSION'!$B$3,Z399='REP COMMISSION'!$B$3)),1,0)</f>
        <v>0</v>
      </c>
      <c r="AX399" s="24" t="n">
        <f aca="false">AX398+IF(AND(C399&lt;&gt;"",OR(F399="LOC - INITIAL",F399="CONSOLIDATION - UPFRONT COMM",F399="REVERSE - TOTAL FUNDING")),1,0)</f>
        <v>0</v>
      </c>
    </row>
    <row r="400" customFormat="false" ht="15" hidden="false" customHeight="false" outlineLevel="0" collapsed="false">
      <c r="A400" s="8" t="str">
        <f aca="false">IF(C400&lt;&gt;"","F"&amp;COUNT($C$4:C400),"")</f>
        <v/>
      </c>
      <c r="B400" s="9" t="str">
        <f aca="false">IF(OR(F400="LOC - INITIAL",F400="CONSOLIDATION - UPFRONT COMM",F400="REVERSE - TOTAL FUNDING"),A400,"")</f>
        <v/>
      </c>
      <c r="C400" s="10"/>
      <c r="D400" s="11"/>
      <c r="E400" s="11"/>
      <c r="F400" s="11"/>
      <c r="G400" s="12"/>
      <c r="H400" s="13"/>
      <c r="I400" s="11"/>
      <c r="J400" s="14" t="str">
        <f aca="false">IF(AND(G400&lt;&gt;"",H400&lt;&gt;""),G400*H400,"")</f>
        <v/>
      </c>
      <c r="K400" s="11"/>
      <c r="L400" s="15"/>
      <c r="M400" s="15"/>
      <c r="N400" s="14" t="n">
        <f aca="false">IF(OR(G400="",M400=""),0,IF(M400&gt;100,M400,G400*IF(M400&gt;1,M400/100,M400)))</f>
        <v>0</v>
      </c>
      <c r="O400" s="14" t="str">
        <f aca="false">IF(G400="","",G400*IF(L400="",0,IF(L400&gt;1,L400/100,L400))+N400)</f>
        <v/>
      </c>
      <c r="P400" s="11"/>
      <c r="Q400" s="16" t="str">
        <f aca="false">IF(P400="","",IFERROR(VLOOKUP(P400,PARTNERS!$A$2:$B$30,2,0),""))</f>
        <v/>
      </c>
      <c r="R400" s="17" t="str">
        <f aca="false">IF(O400="","",IF(OR(P400="",Q400=""),0,(O400-N400)*IF(Q400&gt;1,Q400/100,Q400)))</f>
        <v/>
      </c>
      <c r="S400" s="14" t="str">
        <f aca="false">IF(O400="","",O400-R400)</f>
        <v/>
      </c>
      <c r="T400" s="11"/>
      <c r="U400" s="18" t="str">
        <f aca="false">IF(T400="","",IFERROR(VLOOKUP(T400,REPS!$A$2:$D$40,2,0),""))</f>
        <v/>
      </c>
      <c r="V400" s="14" t="str">
        <f aca="false">IF(O400="","",IF(U400="",0,O400*IF(U400&gt;1,U400/100,U400)))</f>
        <v/>
      </c>
      <c r="W400" s="11"/>
      <c r="X400" s="18" t="str">
        <f aca="false">IF(W400="","",IFERROR(VLOOKUP(W400,REPS!$A$2:$D$40,3,0),""))</f>
        <v/>
      </c>
      <c r="Y400" s="14" t="str">
        <f aca="false">IF(O400="","",IF(X400="",0,O400*IF(X400&gt;1,X400/100,X400)))</f>
        <v/>
      </c>
      <c r="Z400" s="11"/>
      <c r="AA400" s="18" t="str">
        <f aca="false">IF(Z400="","",IFERROR(VLOOKUP(Z400,REPS!$A$2:$D$40,4,0),""))</f>
        <v/>
      </c>
      <c r="AB400" s="14" t="str">
        <f aca="false">IF(O400="","",IF(AA400="",0,O400*IF(AA400&gt;1,AA400/100,AA400)))</f>
        <v/>
      </c>
      <c r="AC400" s="14" t="str">
        <f aca="false">IF(O400="","",V400+Y400+AB400)</f>
        <v/>
      </c>
      <c r="AD400" s="19" t="str">
        <f aca="false">IF(O400="","",O400-R400-AC400)</f>
        <v/>
      </c>
      <c r="AE400" s="20"/>
      <c r="AF400" s="10"/>
      <c r="AG400" s="21" t="n">
        <f aca="false">IF(OR(AE400="",AE400=0),0,AE400*IF(U400="",0,IF(U400&gt;1,U400/100,U400)))</f>
        <v>0</v>
      </c>
      <c r="AH400" s="21" t="n">
        <f aca="false">IF(OR(AE400="",AE400=0),0,AE400*IF(X400="",0,IF(X400&gt;1,X400/100,X400)))</f>
        <v>0</v>
      </c>
      <c r="AI400" s="21" t="n">
        <f aca="false">IF(OR(AE400="",AE400=0),0,AE400*IF(AA400="",0,IF(AA400&gt;1,AA400/100,AA400)))</f>
        <v>0</v>
      </c>
      <c r="AJ400" s="21" t="n">
        <f aca="false">AG400+AH400+AI400</f>
        <v>0</v>
      </c>
      <c r="AK400" s="21" t="n">
        <f aca="false">IF(OR(AE400="",AE400=0),0,AE400-AJ400)</f>
        <v>0</v>
      </c>
      <c r="AL400" s="19" t="str">
        <f aca="false">IF(AD400="","",AD400-AK400)</f>
        <v/>
      </c>
      <c r="AM400" s="9" t="str">
        <f aca="false">IF(C400="","","Waiting for payment")</f>
        <v/>
      </c>
      <c r="AN400" s="10"/>
      <c r="AO400" s="10"/>
      <c r="AP400" s="22" t="str">
        <f aca="false">IF(OR(C400="",I400="",K400=""),"",IF(K400="Monthly",EDATE(C400,ROUND(I400*SETTINGS!$I$8,0)),WORKDAY(C400,ROUND(I400*SETTINGS!$I$8,0))))</f>
        <v/>
      </c>
      <c r="AQ400" s="9" t="str">
        <f aca="true">IF(C400="","",IF(AND(AP400&lt;&gt;"",TODAY()&gt;=AP400),"Refi Ready",IF(TODAY()-C400&gt;=SETTINGS!$I$11,"Prospecting","Performing")))</f>
        <v/>
      </c>
      <c r="AR400" s="22" t="str">
        <f aca="false">IF(OR(C400="",I400="",K400=""),"",IF(K400="Monthly",EDATE(C400,I400),WORKDAY(C400,I400)))</f>
        <v/>
      </c>
      <c r="AS400" s="11"/>
      <c r="AT400" s="23" t="str">
        <f aca="true">IF(C400="","",IF(AM400="Clawed Back","CLAWED",IF(TODAY()&lt;=C400+SETTINGS!$I$2,"⚠ AT RISK","SAFE")))</f>
        <v/>
      </c>
      <c r="AU400" s="11"/>
      <c r="AW400" s="24" t="n">
        <f aca="false">AW399+IF(AND(C400&lt;&gt;"",AO400&lt;&gt;"",OR('REP COMMISSION'!$B$3="",T400='REP COMMISSION'!$B$3,W400='REP COMMISSION'!$B$3,Z400='REP COMMISSION'!$B$3)),1,0)</f>
        <v>0</v>
      </c>
      <c r="AX400" s="24" t="n">
        <f aca="false">AX399+IF(AND(C400&lt;&gt;"",OR(F400="LOC - INITIAL",F400="CONSOLIDATION - UPFRONT COMM",F400="REVERSE - TOTAL FUNDING")),1,0)</f>
        <v>0</v>
      </c>
    </row>
    <row r="401" customFormat="false" ht="15" hidden="false" customHeight="false" outlineLevel="0" collapsed="false">
      <c r="A401" s="25" t="str">
        <f aca="false">IF(C401&lt;&gt;"","F"&amp;COUNT($C$4:C401),"")</f>
        <v/>
      </c>
      <c r="B401" s="26" t="str">
        <f aca="false">IF(OR(F401="LOC - INITIAL",F401="CONSOLIDATION - UPFRONT COMM",F401="REVERSE - TOTAL FUNDING"),A401,"")</f>
        <v/>
      </c>
      <c r="C401" s="27"/>
      <c r="D401" s="28"/>
      <c r="E401" s="28"/>
      <c r="F401" s="28"/>
      <c r="G401" s="29"/>
      <c r="H401" s="30"/>
      <c r="I401" s="28"/>
      <c r="J401" s="31" t="str">
        <f aca="false">IF(AND(G401&lt;&gt;"",H401&lt;&gt;""),G401*H401,"")</f>
        <v/>
      </c>
      <c r="K401" s="28"/>
      <c r="L401" s="32"/>
      <c r="M401" s="32"/>
      <c r="N401" s="31" t="n">
        <f aca="false">IF(OR(G401="",M401=""),0,IF(M401&gt;100,M401,G401*IF(M401&gt;1,M401/100,M401)))</f>
        <v>0</v>
      </c>
      <c r="O401" s="31" t="str">
        <f aca="false">IF(G401="","",G401*IF(L401="",0,IF(L401&gt;1,L401/100,L401))+N401)</f>
        <v/>
      </c>
      <c r="P401" s="28"/>
      <c r="Q401" s="33" t="str">
        <f aca="false">IF(P401="","",IFERROR(VLOOKUP(P401,PARTNERS!$A$2:$B$30,2,0),""))</f>
        <v/>
      </c>
      <c r="R401" s="17" t="str">
        <f aca="false">IF(O401="","",IF(OR(P401="",Q401=""),0,(O401-N401)*IF(Q401&gt;1,Q401/100,Q401)))</f>
        <v/>
      </c>
      <c r="S401" s="31" t="str">
        <f aca="false">IF(O401="","",O401-R401)</f>
        <v/>
      </c>
      <c r="T401" s="28"/>
      <c r="U401" s="34" t="str">
        <f aca="false">IF(T401="","",IFERROR(VLOOKUP(T401,REPS!$A$2:$D$40,2,0),""))</f>
        <v/>
      </c>
      <c r="V401" s="31" t="str">
        <f aca="false">IF(O401="","",IF(U401="",0,O401*IF(U401&gt;1,U401/100,U401)))</f>
        <v/>
      </c>
      <c r="W401" s="28"/>
      <c r="X401" s="34" t="str">
        <f aca="false">IF(W401="","",IFERROR(VLOOKUP(W401,REPS!$A$2:$D$40,3,0),""))</f>
        <v/>
      </c>
      <c r="Y401" s="31" t="str">
        <f aca="false">IF(O401="","",IF(X401="",0,O401*IF(X401&gt;1,X401/100,X401)))</f>
        <v/>
      </c>
      <c r="Z401" s="28"/>
      <c r="AA401" s="34" t="str">
        <f aca="false">IF(Z401="","",IFERROR(VLOOKUP(Z401,REPS!$A$2:$D$40,4,0),""))</f>
        <v/>
      </c>
      <c r="AB401" s="31" t="str">
        <f aca="false">IF(O401="","",IF(AA401="",0,O401*IF(AA401&gt;1,AA401/100,AA401)))</f>
        <v/>
      </c>
      <c r="AC401" s="31" t="str">
        <f aca="false">IF(O401="","",V401+Y401+AB401)</f>
        <v/>
      </c>
      <c r="AD401" s="19" t="str">
        <f aca="false">IF(O401="","",O401-R401-AC401)</f>
        <v/>
      </c>
      <c r="AE401" s="20"/>
      <c r="AF401" s="27"/>
      <c r="AG401" s="21" t="n">
        <f aca="false">IF(OR(AE401="",AE401=0),0,AE401*IF(U401="",0,IF(U401&gt;1,U401/100,U401)))</f>
        <v>0</v>
      </c>
      <c r="AH401" s="21" t="n">
        <f aca="false">IF(OR(AE401="",AE401=0),0,AE401*IF(X401="",0,IF(X401&gt;1,X401/100,X401)))</f>
        <v>0</v>
      </c>
      <c r="AI401" s="21" t="n">
        <f aca="false">IF(OR(AE401="",AE401=0),0,AE401*IF(AA401="",0,IF(AA401&gt;1,AA401/100,AA401)))</f>
        <v>0</v>
      </c>
      <c r="AJ401" s="21" t="n">
        <f aca="false">AG401+AH401+AI401</f>
        <v>0</v>
      </c>
      <c r="AK401" s="21" t="n">
        <f aca="false">IF(OR(AE401="",AE401=0),0,AE401-AJ401)</f>
        <v>0</v>
      </c>
      <c r="AL401" s="19" t="str">
        <f aca="false">IF(AD401="","",AD401-AK401)</f>
        <v/>
      </c>
      <c r="AM401" s="26" t="str">
        <f aca="false">IF(C401="","","Waiting for payment")</f>
        <v/>
      </c>
      <c r="AN401" s="27"/>
      <c r="AO401" s="27"/>
      <c r="AP401" s="35" t="str">
        <f aca="false">IF(OR(C401="",I401="",K401=""),"",IF(K401="Monthly",EDATE(C401,ROUND(I401*SETTINGS!$I$8,0)),WORKDAY(C401,ROUND(I401*SETTINGS!$I$8,0))))</f>
        <v/>
      </c>
      <c r="AQ401" s="26" t="str">
        <f aca="true">IF(C401="","",IF(AND(AP401&lt;&gt;"",TODAY()&gt;=AP401),"Refi Ready",IF(TODAY()-C401&gt;=SETTINGS!$I$11,"Prospecting","Performing")))</f>
        <v/>
      </c>
      <c r="AR401" s="35" t="str">
        <f aca="false">IF(OR(C401="",I401="",K401=""),"",IF(K401="Monthly",EDATE(C401,I401),WORKDAY(C401,I401)))</f>
        <v/>
      </c>
      <c r="AS401" s="28"/>
      <c r="AT401" s="36" t="str">
        <f aca="true">IF(C401="","",IF(AM401="Clawed Back","CLAWED",IF(TODAY()&lt;=C401+SETTINGS!$I$2,"⚠ AT RISK","SAFE")))</f>
        <v/>
      </c>
      <c r="AU401" s="28"/>
      <c r="AW401" s="24" t="n">
        <f aca="false">AW400+IF(AND(C401&lt;&gt;"",AO401&lt;&gt;"",OR('REP COMMISSION'!$B$3="",T401='REP COMMISSION'!$B$3,W401='REP COMMISSION'!$B$3,Z401='REP COMMISSION'!$B$3)),1,0)</f>
        <v>0</v>
      </c>
      <c r="AX401" s="24" t="n">
        <f aca="false">AX400+IF(AND(C401&lt;&gt;"",OR(F401="LOC - INITIAL",F401="CONSOLIDATION - UPFRONT COMM",F401="REVERSE - TOTAL FUNDING")),1,0)</f>
        <v>0</v>
      </c>
    </row>
    <row r="402" customFormat="false" ht="15" hidden="false" customHeight="false" outlineLevel="0" collapsed="false">
      <c r="A402" s="8" t="str">
        <f aca="false">IF(C402&lt;&gt;"","F"&amp;COUNT($C$4:C402),"")</f>
        <v/>
      </c>
      <c r="B402" s="9" t="str">
        <f aca="false">IF(OR(F402="LOC - INITIAL",F402="CONSOLIDATION - UPFRONT COMM",F402="REVERSE - TOTAL FUNDING"),A402,"")</f>
        <v/>
      </c>
      <c r="C402" s="10"/>
      <c r="D402" s="11"/>
      <c r="E402" s="11"/>
      <c r="F402" s="11"/>
      <c r="G402" s="12"/>
      <c r="H402" s="13"/>
      <c r="I402" s="11"/>
      <c r="J402" s="14" t="str">
        <f aca="false">IF(AND(G402&lt;&gt;"",H402&lt;&gt;""),G402*H402,"")</f>
        <v/>
      </c>
      <c r="K402" s="11"/>
      <c r="L402" s="15"/>
      <c r="M402" s="15"/>
      <c r="N402" s="14" t="n">
        <f aca="false">IF(OR(G402="",M402=""),0,IF(M402&gt;100,M402,G402*IF(M402&gt;1,M402/100,M402)))</f>
        <v>0</v>
      </c>
      <c r="O402" s="14" t="str">
        <f aca="false">IF(G402="","",G402*IF(L402="",0,IF(L402&gt;1,L402/100,L402))+N402)</f>
        <v/>
      </c>
      <c r="P402" s="11"/>
      <c r="Q402" s="16" t="str">
        <f aca="false">IF(P402="","",IFERROR(VLOOKUP(P402,PARTNERS!$A$2:$B$30,2,0),""))</f>
        <v/>
      </c>
      <c r="R402" s="17" t="str">
        <f aca="false">IF(O402="","",IF(OR(P402="",Q402=""),0,(O402-N402)*IF(Q402&gt;1,Q402/100,Q402)))</f>
        <v/>
      </c>
      <c r="S402" s="14" t="str">
        <f aca="false">IF(O402="","",O402-R402)</f>
        <v/>
      </c>
      <c r="T402" s="11"/>
      <c r="U402" s="18" t="str">
        <f aca="false">IF(T402="","",IFERROR(VLOOKUP(T402,REPS!$A$2:$D$40,2,0),""))</f>
        <v/>
      </c>
      <c r="V402" s="14" t="str">
        <f aca="false">IF(O402="","",IF(U402="",0,O402*IF(U402&gt;1,U402/100,U402)))</f>
        <v/>
      </c>
      <c r="W402" s="11"/>
      <c r="X402" s="18" t="str">
        <f aca="false">IF(W402="","",IFERROR(VLOOKUP(W402,REPS!$A$2:$D$40,3,0),""))</f>
        <v/>
      </c>
      <c r="Y402" s="14" t="str">
        <f aca="false">IF(O402="","",IF(X402="",0,O402*IF(X402&gt;1,X402/100,X402)))</f>
        <v/>
      </c>
      <c r="Z402" s="11"/>
      <c r="AA402" s="18" t="str">
        <f aca="false">IF(Z402="","",IFERROR(VLOOKUP(Z402,REPS!$A$2:$D$40,4,0),""))</f>
        <v/>
      </c>
      <c r="AB402" s="14" t="str">
        <f aca="false">IF(O402="","",IF(AA402="",0,O402*IF(AA402&gt;1,AA402/100,AA402)))</f>
        <v/>
      </c>
      <c r="AC402" s="14" t="str">
        <f aca="false">IF(O402="","",V402+Y402+AB402)</f>
        <v/>
      </c>
      <c r="AD402" s="19" t="str">
        <f aca="false">IF(O402="","",O402-R402-AC402)</f>
        <v/>
      </c>
      <c r="AE402" s="20"/>
      <c r="AF402" s="10"/>
      <c r="AG402" s="21" t="n">
        <f aca="false">IF(OR(AE402="",AE402=0),0,AE402*IF(U402="",0,IF(U402&gt;1,U402/100,U402)))</f>
        <v>0</v>
      </c>
      <c r="AH402" s="21" t="n">
        <f aca="false">IF(OR(AE402="",AE402=0),0,AE402*IF(X402="",0,IF(X402&gt;1,X402/100,X402)))</f>
        <v>0</v>
      </c>
      <c r="AI402" s="21" t="n">
        <f aca="false">IF(OR(AE402="",AE402=0),0,AE402*IF(AA402="",0,IF(AA402&gt;1,AA402/100,AA402)))</f>
        <v>0</v>
      </c>
      <c r="AJ402" s="21" t="n">
        <f aca="false">AG402+AH402+AI402</f>
        <v>0</v>
      </c>
      <c r="AK402" s="21" t="n">
        <f aca="false">IF(OR(AE402="",AE402=0),0,AE402-AJ402)</f>
        <v>0</v>
      </c>
      <c r="AL402" s="19" t="str">
        <f aca="false">IF(AD402="","",AD402-AK402)</f>
        <v/>
      </c>
      <c r="AM402" s="9" t="str">
        <f aca="false">IF(C402="","","Waiting for payment")</f>
        <v/>
      </c>
      <c r="AN402" s="10"/>
      <c r="AO402" s="10"/>
      <c r="AP402" s="22" t="str">
        <f aca="false">IF(OR(C402="",I402="",K402=""),"",IF(K402="Monthly",EDATE(C402,ROUND(I402*SETTINGS!$I$8,0)),WORKDAY(C402,ROUND(I402*SETTINGS!$I$8,0))))</f>
        <v/>
      </c>
      <c r="AQ402" s="9" t="str">
        <f aca="true">IF(C402="","",IF(AND(AP402&lt;&gt;"",TODAY()&gt;=AP402),"Refi Ready",IF(TODAY()-C402&gt;=SETTINGS!$I$11,"Prospecting","Performing")))</f>
        <v/>
      </c>
      <c r="AR402" s="22" t="str">
        <f aca="false">IF(OR(C402="",I402="",K402=""),"",IF(K402="Monthly",EDATE(C402,I402),WORKDAY(C402,I402)))</f>
        <v/>
      </c>
      <c r="AS402" s="11"/>
      <c r="AT402" s="23" t="str">
        <f aca="true">IF(C402="","",IF(AM402="Clawed Back","CLAWED",IF(TODAY()&lt;=C402+SETTINGS!$I$2,"⚠ AT RISK","SAFE")))</f>
        <v/>
      </c>
      <c r="AU402" s="11"/>
      <c r="AW402" s="24" t="n">
        <f aca="false">AW401+IF(AND(C402&lt;&gt;"",AO402&lt;&gt;"",OR('REP COMMISSION'!$B$3="",T402='REP COMMISSION'!$B$3,W402='REP COMMISSION'!$B$3,Z402='REP COMMISSION'!$B$3)),1,0)</f>
        <v>0</v>
      </c>
      <c r="AX402" s="24" t="n">
        <f aca="false">AX401+IF(AND(C402&lt;&gt;"",OR(F402="LOC - INITIAL",F402="CONSOLIDATION - UPFRONT COMM",F402="REVERSE - TOTAL FUNDING")),1,0)</f>
        <v>0</v>
      </c>
    </row>
    <row r="403" customFormat="false" ht="15" hidden="false" customHeight="false" outlineLevel="0" collapsed="false">
      <c r="A403" s="25" t="str">
        <f aca="false">IF(C403&lt;&gt;"","F"&amp;COUNT($C$4:C403),"")</f>
        <v/>
      </c>
      <c r="B403" s="26" t="str">
        <f aca="false">IF(OR(F403="LOC - INITIAL",F403="CONSOLIDATION - UPFRONT COMM",F403="REVERSE - TOTAL FUNDING"),A403,"")</f>
        <v/>
      </c>
      <c r="C403" s="27"/>
      <c r="D403" s="28"/>
      <c r="E403" s="28"/>
      <c r="F403" s="28"/>
      <c r="G403" s="29"/>
      <c r="H403" s="30"/>
      <c r="I403" s="28"/>
      <c r="J403" s="31" t="str">
        <f aca="false">IF(AND(G403&lt;&gt;"",H403&lt;&gt;""),G403*H403,"")</f>
        <v/>
      </c>
      <c r="K403" s="28"/>
      <c r="L403" s="32"/>
      <c r="M403" s="32"/>
      <c r="N403" s="31" t="n">
        <f aca="false">IF(OR(G403="",M403=""),0,IF(M403&gt;100,M403,G403*IF(M403&gt;1,M403/100,M403)))</f>
        <v>0</v>
      </c>
      <c r="O403" s="31" t="str">
        <f aca="false">IF(G403="","",G403*IF(L403="",0,IF(L403&gt;1,L403/100,L403))+N403)</f>
        <v/>
      </c>
      <c r="P403" s="28"/>
      <c r="Q403" s="33" t="str">
        <f aca="false">IF(P403="","",IFERROR(VLOOKUP(P403,PARTNERS!$A$2:$B$30,2,0),""))</f>
        <v/>
      </c>
      <c r="R403" s="17" t="str">
        <f aca="false">IF(O403="","",IF(OR(P403="",Q403=""),0,(O403-N403)*IF(Q403&gt;1,Q403/100,Q403)))</f>
        <v/>
      </c>
      <c r="S403" s="31" t="str">
        <f aca="false">IF(O403="","",O403-R403)</f>
        <v/>
      </c>
      <c r="T403" s="28"/>
      <c r="U403" s="34" t="str">
        <f aca="false">IF(T403="","",IFERROR(VLOOKUP(T403,REPS!$A$2:$D$40,2,0),""))</f>
        <v/>
      </c>
      <c r="V403" s="31" t="str">
        <f aca="false">IF(O403="","",IF(U403="",0,O403*IF(U403&gt;1,U403/100,U403)))</f>
        <v/>
      </c>
      <c r="W403" s="28"/>
      <c r="X403" s="34" t="str">
        <f aca="false">IF(W403="","",IFERROR(VLOOKUP(W403,REPS!$A$2:$D$40,3,0),""))</f>
        <v/>
      </c>
      <c r="Y403" s="31" t="str">
        <f aca="false">IF(O403="","",IF(X403="",0,O403*IF(X403&gt;1,X403/100,X403)))</f>
        <v/>
      </c>
      <c r="Z403" s="28"/>
      <c r="AA403" s="34" t="str">
        <f aca="false">IF(Z403="","",IFERROR(VLOOKUP(Z403,REPS!$A$2:$D$40,4,0),""))</f>
        <v/>
      </c>
      <c r="AB403" s="31" t="str">
        <f aca="false">IF(O403="","",IF(AA403="",0,O403*IF(AA403&gt;1,AA403/100,AA403)))</f>
        <v/>
      </c>
      <c r="AC403" s="31" t="str">
        <f aca="false">IF(O403="","",V403+Y403+AB403)</f>
        <v/>
      </c>
      <c r="AD403" s="19" t="str">
        <f aca="false">IF(O403="","",O403-R403-AC403)</f>
        <v/>
      </c>
      <c r="AE403" s="20"/>
      <c r="AF403" s="27"/>
      <c r="AG403" s="21" t="n">
        <f aca="false">IF(OR(AE403="",AE403=0),0,AE403*IF(U403="",0,IF(U403&gt;1,U403/100,U403)))</f>
        <v>0</v>
      </c>
      <c r="AH403" s="21" t="n">
        <f aca="false">IF(OR(AE403="",AE403=0),0,AE403*IF(X403="",0,IF(X403&gt;1,X403/100,X403)))</f>
        <v>0</v>
      </c>
      <c r="AI403" s="21" t="n">
        <f aca="false">IF(OR(AE403="",AE403=0),0,AE403*IF(AA403="",0,IF(AA403&gt;1,AA403/100,AA403)))</f>
        <v>0</v>
      </c>
      <c r="AJ403" s="21" t="n">
        <f aca="false">AG403+AH403+AI403</f>
        <v>0</v>
      </c>
      <c r="AK403" s="21" t="n">
        <f aca="false">IF(OR(AE403="",AE403=0),0,AE403-AJ403)</f>
        <v>0</v>
      </c>
      <c r="AL403" s="19" t="str">
        <f aca="false">IF(AD403="","",AD403-AK403)</f>
        <v/>
      </c>
      <c r="AM403" s="26" t="str">
        <f aca="false">IF(C403="","","Waiting for payment")</f>
        <v/>
      </c>
      <c r="AN403" s="27"/>
      <c r="AO403" s="27"/>
      <c r="AP403" s="35" t="str">
        <f aca="false">IF(OR(C403="",I403="",K403=""),"",IF(K403="Monthly",EDATE(C403,ROUND(I403*SETTINGS!$I$8,0)),WORKDAY(C403,ROUND(I403*SETTINGS!$I$8,0))))</f>
        <v/>
      </c>
      <c r="AQ403" s="26" t="str">
        <f aca="true">IF(C403="","",IF(AND(AP403&lt;&gt;"",TODAY()&gt;=AP403),"Refi Ready",IF(TODAY()-C403&gt;=SETTINGS!$I$11,"Prospecting","Performing")))</f>
        <v/>
      </c>
      <c r="AR403" s="35" t="str">
        <f aca="false">IF(OR(C403="",I403="",K403=""),"",IF(K403="Monthly",EDATE(C403,I403),WORKDAY(C403,I403)))</f>
        <v/>
      </c>
      <c r="AS403" s="28"/>
      <c r="AT403" s="36" t="str">
        <f aca="true">IF(C403="","",IF(AM403="Clawed Back","CLAWED",IF(TODAY()&lt;=C403+SETTINGS!$I$2,"⚠ AT RISK","SAFE")))</f>
        <v/>
      </c>
      <c r="AU403" s="28"/>
      <c r="AW403" s="24" t="n">
        <f aca="false">AW402+IF(AND(C403&lt;&gt;"",AO403&lt;&gt;"",OR('REP COMMISSION'!$B$3="",T403='REP COMMISSION'!$B$3,W403='REP COMMISSION'!$B$3,Z403='REP COMMISSION'!$B$3)),1,0)</f>
        <v>0</v>
      </c>
      <c r="AX403" s="24" t="n">
        <f aca="false">AX402+IF(AND(C403&lt;&gt;"",OR(F403="LOC - INITIAL",F403="CONSOLIDATION - UPFRONT COMM",F403="REVERSE - TOTAL FUNDING")),1,0)</f>
        <v>0</v>
      </c>
    </row>
    <row r="404" customFormat="false" ht="15" hidden="false" customHeight="false" outlineLevel="0" collapsed="false">
      <c r="A404" s="8" t="str">
        <f aca="false">IF(C404&lt;&gt;"","F"&amp;COUNT($C$4:C404),"")</f>
        <v/>
      </c>
      <c r="B404" s="9" t="str">
        <f aca="false">IF(OR(F404="LOC - INITIAL",F404="CONSOLIDATION - UPFRONT COMM",F404="REVERSE - TOTAL FUNDING"),A404,"")</f>
        <v/>
      </c>
      <c r="C404" s="10"/>
      <c r="D404" s="11"/>
      <c r="E404" s="11"/>
      <c r="F404" s="11"/>
      <c r="G404" s="12"/>
      <c r="H404" s="13"/>
      <c r="I404" s="11"/>
      <c r="J404" s="14" t="str">
        <f aca="false">IF(AND(G404&lt;&gt;"",H404&lt;&gt;""),G404*H404,"")</f>
        <v/>
      </c>
      <c r="K404" s="11"/>
      <c r="L404" s="15"/>
      <c r="M404" s="15"/>
      <c r="N404" s="14" t="n">
        <f aca="false">IF(OR(G404="",M404=""),0,IF(M404&gt;100,M404,G404*IF(M404&gt;1,M404/100,M404)))</f>
        <v>0</v>
      </c>
      <c r="O404" s="14" t="str">
        <f aca="false">IF(G404="","",G404*IF(L404="",0,IF(L404&gt;1,L404/100,L404))+N404)</f>
        <v/>
      </c>
      <c r="P404" s="11"/>
      <c r="Q404" s="16" t="str">
        <f aca="false">IF(P404="","",IFERROR(VLOOKUP(P404,PARTNERS!$A$2:$B$30,2,0),""))</f>
        <v/>
      </c>
      <c r="R404" s="17" t="str">
        <f aca="false">IF(O404="","",IF(OR(P404="",Q404=""),0,(O404-N404)*IF(Q404&gt;1,Q404/100,Q404)))</f>
        <v/>
      </c>
      <c r="S404" s="14" t="str">
        <f aca="false">IF(O404="","",O404-R404)</f>
        <v/>
      </c>
      <c r="T404" s="11"/>
      <c r="U404" s="18" t="str">
        <f aca="false">IF(T404="","",IFERROR(VLOOKUP(T404,REPS!$A$2:$D$40,2,0),""))</f>
        <v/>
      </c>
      <c r="V404" s="14" t="str">
        <f aca="false">IF(O404="","",IF(U404="",0,O404*IF(U404&gt;1,U404/100,U404)))</f>
        <v/>
      </c>
      <c r="W404" s="11"/>
      <c r="X404" s="18" t="str">
        <f aca="false">IF(W404="","",IFERROR(VLOOKUP(W404,REPS!$A$2:$D$40,3,0),""))</f>
        <v/>
      </c>
      <c r="Y404" s="14" t="str">
        <f aca="false">IF(O404="","",IF(X404="",0,O404*IF(X404&gt;1,X404/100,X404)))</f>
        <v/>
      </c>
      <c r="Z404" s="11"/>
      <c r="AA404" s="18" t="str">
        <f aca="false">IF(Z404="","",IFERROR(VLOOKUP(Z404,REPS!$A$2:$D$40,4,0),""))</f>
        <v/>
      </c>
      <c r="AB404" s="14" t="str">
        <f aca="false">IF(O404="","",IF(AA404="",0,O404*IF(AA404&gt;1,AA404/100,AA404)))</f>
        <v/>
      </c>
      <c r="AC404" s="14" t="str">
        <f aca="false">IF(O404="","",V404+Y404+AB404)</f>
        <v/>
      </c>
      <c r="AD404" s="19" t="str">
        <f aca="false">IF(O404="","",O404-R404-AC404)</f>
        <v/>
      </c>
      <c r="AE404" s="20"/>
      <c r="AF404" s="10"/>
      <c r="AG404" s="21" t="n">
        <f aca="false">IF(OR(AE404="",AE404=0),0,AE404*IF(U404="",0,IF(U404&gt;1,U404/100,U404)))</f>
        <v>0</v>
      </c>
      <c r="AH404" s="21" t="n">
        <f aca="false">IF(OR(AE404="",AE404=0),0,AE404*IF(X404="",0,IF(X404&gt;1,X404/100,X404)))</f>
        <v>0</v>
      </c>
      <c r="AI404" s="21" t="n">
        <f aca="false">IF(OR(AE404="",AE404=0),0,AE404*IF(AA404="",0,IF(AA404&gt;1,AA404/100,AA404)))</f>
        <v>0</v>
      </c>
      <c r="AJ404" s="21" t="n">
        <f aca="false">AG404+AH404+AI404</f>
        <v>0</v>
      </c>
      <c r="AK404" s="21" t="n">
        <f aca="false">IF(OR(AE404="",AE404=0),0,AE404-AJ404)</f>
        <v>0</v>
      </c>
      <c r="AL404" s="19" t="str">
        <f aca="false">IF(AD404="","",AD404-AK404)</f>
        <v/>
      </c>
      <c r="AM404" s="9" t="str">
        <f aca="false">IF(C404="","","Waiting for payment")</f>
        <v/>
      </c>
      <c r="AN404" s="10"/>
      <c r="AO404" s="10"/>
      <c r="AP404" s="22" t="str">
        <f aca="false">IF(OR(C404="",I404="",K404=""),"",IF(K404="Monthly",EDATE(C404,ROUND(I404*SETTINGS!$I$8,0)),WORKDAY(C404,ROUND(I404*SETTINGS!$I$8,0))))</f>
        <v/>
      </c>
      <c r="AQ404" s="9" t="str">
        <f aca="true">IF(C404="","",IF(AND(AP404&lt;&gt;"",TODAY()&gt;=AP404),"Refi Ready",IF(TODAY()-C404&gt;=SETTINGS!$I$11,"Prospecting","Performing")))</f>
        <v/>
      </c>
      <c r="AR404" s="22" t="str">
        <f aca="false">IF(OR(C404="",I404="",K404=""),"",IF(K404="Monthly",EDATE(C404,I404),WORKDAY(C404,I404)))</f>
        <v/>
      </c>
      <c r="AS404" s="11"/>
      <c r="AT404" s="23" t="str">
        <f aca="true">IF(C404="","",IF(AM404="Clawed Back","CLAWED",IF(TODAY()&lt;=C404+SETTINGS!$I$2,"⚠ AT RISK","SAFE")))</f>
        <v/>
      </c>
      <c r="AU404" s="11"/>
      <c r="AW404" s="24" t="n">
        <f aca="false">AW403+IF(AND(C404&lt;&gt;"",AO404&lt;&gt;"",OR('REP COMMISSION'!$B$3="",T404='REP COMMISSION'!$B$3,W404='REP COMMISSION'!$B$3,Z404='REP COMMISSION'!$B$3)),1,0)</f>
        <v>0</v>
      </c>
      <c r="AX404" s="24" t="n">
        <f aca="false">AX403+IF(AND(C404&lt;&gt;"",OR(F404="LOC - INITIAL",F404="CONSOLIDATION - UPFRONT COMM",F404="REVERSE - TOTAL FUNDING")),1,0)</f>
        <v>0</v>
      </c>
    </row>
    <row r="405" customFormat="false" ht="15" hidden="false" customHeight="false" outlineLevel="0" collapsed="false">
      <c r="A405" s="25" t="str">
        <f aca="false">IF(C405&lt;&gt;"","F"&amp;COUNT($C$4:C405),"")</f>
        <v/>
      </c>
      <c r="B405" s="26" t="str">
        <f aca="false">IF(OR(F405="LOC - INITIAL",F405="CONSOLIDATION - UPFRONT COMM",F405="REVERSE - TOTAL FUNDING"),A405,"")</f>
        <v/>
      </c>
      <c r="C405" s="27"/>
      <c r="D405" s="28"/>
      <c r="E405" s="28"/>
      <c r="F405" s="28"/>
      <c r="G405" s="29"/>
      <c r="H405" s="30"/>
      <c r="I405" s="28"/>
      <c r="J405" s="31" t="str">
        <f aca="false">IF(AND(G405&lt;&gt;"",H405&lt;&gt;""),G405*H405,"")</f>
        <v/>
      </c>
      <c r="K405" s="28"/>
      <c r="L405" s="32"/>
      <c r="M405" s="32"/>
      <c r="N405" s="31" t="n">
        <f aca="false">IF(OR(G405="",M405=""),0,IF(M405&gt;100,M405,G405*IF(M405&gt;1,M405/100,M405)))</f>
        <v>0</v>
      </c>
      <c r="O405" s="31" t="str">
        <f aca="false">IF(G405="","",G405*IF(L405="",0,IF(L405&gt;1,L405/100,L405))+N405)</f>
        <v/>
      </c>
      <c r="P405" s="28"/>
      <c r="Q405" s="33" t="str">
        <f aca="false">IF(P405="","",IFERROR(VLOOKUP(P405,PARTNERS!$A$2:$B$30,2,0),""))</f>
        <v/>
      </c>
      <c r="R405" s="17" t="str">
        <f aca="false">IF(O405="","",IF(OR(P405="",Q405=""),0,(O405-N405)*IF(Q405&gt;1,Q405/100,Q405)))</f>
        <v/>
      </c>
      <c r="S405" s="31" t="str">
        <f aca="false">IF(O405="","",O405-R405)</f>
        <v/>
      </c>
      <c r="T405" s="28"/>
      <c r="U405" s="34" t="str">
        <f aca="false">IF(T405="","",IFERROR(VLOOKUP(T405,REPS!$A$2:$D$40,2,0),""))</f>
        <v/>
      </c>
      <c r="V405" s="31" t="str">
        <f aca="false">IF(O405="","",IF(U405="",0,O405*IF(U405&gt;1,U405/100,U405)))</f>
        <v/>
      </c>
      <c r="W405" s="28"/>
      <c r="X405" s="34" t="str">
        <f aca="false">IF(W405="","",IFERROR(VLOOKUP(W405,REPS!$A$2:$D$40,3,0),""))</f>
        <v/>
      </c>
      <c r="Y405" s="31" t="str">
        <f aca="false">IF(O405="","",IF(X405="",0,O405*IF(X405&gt;1,X405/100,X405)))</f>
        <v/>
      </c>
      <c r="Z405" s="28"/>
      <c r="AA405" s="34" t="str">
        <f aca="false">IF(Z405="","",IFERROR(VLOOKUP(Z405,REPS!$A$2:$D$40,4,0),""))</f>
        <v/>
      </c>
      <c r="AB405" s="31" t="str">
        <f aca="false">IF(O405="","",IF(AA405="",0,O405*IF(AA405&gt;1,AA405/100,AA405)))</f>
        <v/>
      </c>
      <c r="AC405" s="31" t="str">
        <f aca="false">IF(O405="","",V405+Y405+AB405)</f>
        <v/>
      </c>
      <c r="AD405" s="19" t="str">
        <f aca="false">IF(O405="","",O405-R405-AC405)</f>
        <v/>
      </c>
      <c r="AE405" s="20"/>
      <c r="AF405" s="27"/>
      <c r="AG405" s="21" t="n">
        <f aca="false">IF(OR(AE405="",AE405=0),0,AE405*IF(U405="",0,IF(U405&gt;1,U405/100,U405)))</f>
        <v>0</v>
      </c>
      <c r="AH405" s="21" t="n">
        <f aca="false">IF(OR(AE405="",AE405=0),0,AE405*IF(X405="",0,IF(X405&gt;1,X405/100,X405)))</f>
        <v>0</v>
      </c>
      <c r="AI405" s="21" t="n">
        <f aca="false">IF(OR(AE405="",AE405=0),0,AE405*IF(AA405="",0,IF(AA405&gt;1,AA405/100,AA405)))</f>
        <v>0</v>
      </c>
      <c r="AJ405" s="21" t="n">
        <f aca="false">AG405+AH405+AI405</f>
        <v>0</v>
      </c>
      <c r="AK405" s="21" t="n">
        <f aca="false">IF(OR(AE405="",AE405=0),0,AE405-AJ405)</f>
        <v>0</v>
      </c>
      <c r="AL405" s="19" t="str">
        <f aca="false">IF(AD405="","",AD405-AK405)</f>
        <v/>
      </c>
      <c r="AM405" s="26" t="str">
        <f aca="false">IF(C405="","","Waiting for payment")</f>
        <v/>
      </c>
      <c r="AN405" s="27"/>
      <c r="AO405" s="27"/>
      <c r="AP405" s="35" t="str">
        <f aca="false">IF(OR(C405="",I405="",K405=""),"",IF(K405="Monthly",EDATE(C405,ROUND(I405*SETTINGS!$I$8,0)),WORKDAY(C405,ROUND(I405*SETTINGS!$I$8,0))))</f>
        <v/>
      </c>
      <c r="AQ405" s="26" t="str">
        <f aca="true">IF(C405="","",IF(AND(AP405&lt;&gt;"",TODAY()&gt;=AP405),"Refi Ready",IF(TODAY()-C405&gt;=SETTINGS!$I$11,"Prospecting","Performing")))</f>
        <v/>
      </c>
      <c r="AR405" s="35" t="str">
        <f aca="false">IF(OR(C405="",I405="",K405=""),"",IF(K405="Monthly",EDATE(C405,I405),WORKDAY(C405,I405)))</f>
        <v/>
      </c>
      <c r="AS405" s="28"/>
      <c r="AT405" s="36" t="str">
        <f aca="true">IF(C405="","",IF(AM405="Clawed Back","CLAWED",IF(TODAY()&lt;=C405+SETTINGS!$I$2,"⚠ AT RISK","SAFE")))</f>
        <v/>
      </c>
      <c r="AU405" s="28"/>
      <c r="AW405" s="24" t="n">
        <f aca="false">AW404+IF(AND(C405&lt;&gt;"",AO405&lt;&gt;"",OR('REP COMMISSION'!$B$3="",T405='REP COMMISSION'!$B$3,W405='REP COMMISSION'!$B$3,Z405='REP COMMISSION'!$B$3)),1,0)</f>
        <v>0</v>
      </c>
      <c r="AX405" s="24" t="n">
        <f aca="false">AX404+IF(AND(C405&lt;&gt;"",OR(F405="LOC - INITIAL",F405="CONSOLIDATION - UPFRONT COMM",F405="REVERSE - TOTAL FUNDING")),1,0)</f>
        <v>0</v>
      </c>
    </row>
    <row r="406" customFormat="false" ht="15" hidden="false" customHeight="false" outlineLevel="0" collapsed="false">
      <c r="A406" s="8" t="str">
        <f aca="false">IF(C406&lt;&gt;"","F"&amp;COUNT($C$4:C406),"")</f>
        <v/>
      </c>
      <c r="B406" s="9" t="str">
        <f aca="false">IF(OR(F406="LOC - INITIAL",F406="CONSOLIDATION - UPFRONT COMM",F406="REVERSE - TOTAL FUNDING"),A406,"")</f>
        <v/>
      </c>
      <c r="C406" s="10"/>
      <c r="D406" s="11"/>
      <c r="E406" s="11"/>
      <c r="F406" s="11"/>
      <c r="G406" s="12"/>
      <c r="H406" s="13"/>
      <c r="I406" s="11"/>
      <c r="J406" s="14" t="str">
        <f aca="false">IF(AND(G406&lt;&gt;"",H406&lt;&gt;""),G406*H406,"")</f>
        <v/>
      </c>
      <c r="K406" s="11"/>
      <c r="L406" s="15"/>
      <c r="M406" s="15"/>
      <c r="N406" s="14" t="n">
        <f aca="false">IF(OR(G406="",M406=""),0,IF(M406&gt;100,M406,G406*IF(M406&gt;1,M406/100,M406)))</f>
        <v>0</v>
      </c>
      <c r="O406" s="14" t="str">
        <f aca="false">IF(G406="","",G406*IF(L406="",0,IF(L406&gt;1,L406/100,L406))+N406)</f>
        <v/>
      </c>
      <c r="P406" s="11"/>
      <c r="Q406" s="16" t="str">
        <f aca="false">IF(P406="","",IFERROR(VLOOKUP(P406,PARTNERS!$A$2:$B$30,2,0),""))</f>
        <v/>
      </c>
      <c r="R406" s="17" t="str">
        <f aca="false">IF(O406="","",IF(OR(P406="",Q406=""),0,(O406-N406)*IF(Q406&gt;1,Q406/100,Q406)))</f>
        <v/>
      </c>
      <c r="S406" s="14" t="str">
        <f aca="false">IF(O406="","",O406-R406)</f>
        <v/>
      </c>
      <c r="T406" s="11"/>
      <c r="U406" s="18" t="str">
        <f aca="false">IF(T406="","",IFERROR(VLOOKUP(T406,REPS!$A$2:$D$40,2,0),""))</f>
        <v/>
      </c>
      <c r="V406" s="14" t="str">
        <f aca="false">IF(O406="","",IF(U406="",0,O406*IF(U406&gt;1,U406/100,U406)))</f>
        <v/>
      </c>
      <c r="W406" s="11"/>
      <c r="X406" s="18" t="str">
        <f aca="false">IF(W406="","",IFERROR(VLOOKUP(W406,REPS!$A$2:$D$40,3,0),""))</f>
        <v/>
      </c>
      <c r="Y406" s="14" t="str">
        <f aca="false">IF(O406="","",IF(X406="",0,O406*IF(X406&gt;1,X406/100,X406)))</f>
        <v/>
      </c>
      <c r="Z406" s="11"/>
      <c r="AA406" s="18" t="str">
        <f aca="false">IF(Z406="","",IFERROR(VLOOKUP(Z406,REPS!$A$2:$D$40,4,0),""))</f>
        <v/>
      </c>
      <c r="AB406" s="14" t="str">
        <f aca="false">IF(O406="","",IF(AA406="",0,O406*IF(AA406&gt;1,AA406/100,AA406)))</f>
        <v/>
      </c>
      <c r="AC406" s="14" t="str">
        <f aca="false">IF(O406="","",V406+Y406+AB406)</f>
        <v/>
      </c>
      <c r="AD406" s="19" t="str">
        <f aca="false">IF(O406="","",O406-R406-AC406)</f>
        <v/>
      </c>
      <c r="AE406" s="20"/>
      <c r="AF406" s="10"/>
      <c r="AG406" s="21" t="n">
        <f aca="false">IF(OR(AE406="",AE406=0),0,AE406*IF(U406="",0,IF(U406&gt;1,U406/100,U406)))</f>
        <v>0</v>
      </c>
      <c r="AH406" s="21" t="n">
        <f aca="false">IF(OR(AE406="",AE406=0),0,AE406*IF(X406="",0,IF(X406&gt;1,X406/100,X406)))</f>
        <v>0</v>
      </c>
      <c r="AI406" s="21" t="n">
        <f aca="false">IF(OR(AE406="",AE406=0),0,AE406*IF(AA406="",0,IF(AA406&gt;1,AA406/100,AA406)))</f>
        <v>0</v>
      </c>
      <c r="AJ406" s="21" t="n">
        <f aca="false">AG406+AH406+AI406</f>
        <v>0</v>
      </c>
      <c r="AK406" s="21" t="n">
        <f aca="false">IF(OR(AE406="",AE406=0),0,AE406-AJ406)</f>
        <v>0</v>
      </c>
      <c r="AL406" s="19" t="str">
        <f aca="false">IF(AD406="","",AD406-AK406)</f>
        <v/>
      </c>
      <c r="AM406" s="9" t="str">
        <f aca="false">IF(C406="","","Waiting for payment")</f>
        <v/>
      </c>
      <c r="AN406" s="10"/>
      <c r="AO406" s="10"/>
      <c r="AP406" s="22" t="str">
        <f aca="false">IF(OR(C406="",I406="",K406=""),"",IF(K406="Monthly",EDATE(C406,ROUND(I406*SETTINGS!$I$8,0)),WORKDAY(C406,ROUND(I406*SETTINGS!$I$8,0))))</f>
        <v/>
      </c>
      <c r="AQ406" s="9" t="str">
        <f aca="true">IF(C406="","",IF(AND(AP406&lt;&gt;"",TODAY()&gt;=AP406),"Refi Ready",IF(TODAY()-C406&gt;=SETTINGS!$I$11,"Prospecting","Performing")))</f>
        <v/>
      </c>
      <c r="AR406" s="22" t="str">
        <f aca="false">IF(OR(C406="",I406="",K406=""),"",IF(K406="Monthly",EDATE(C406,I406),WORKDAY(C406,I406)))</f>
        <v/>
      </c>
      <c r="AS406" s="11"/>
      <c r="AT406" s="23" t="str">
        <f aca="true">IF(C406="","",IF(AM406="Clawed Back","CLAWED",IF(TODAY()&lt;=C406+SETTINGS!$I$2,"⚠ AT RISK","SAFE")))</f>
        <v/>
      </c>
      <c r="AU406" s="11"/>
      <c r="AW406" s="24" t="n">
        <f aca="false">AW405+IF(AND(C406&lt;&gt;"",AO406&lt;&gt;"",OR('REP COMMISSION'!$B$3="",T406='REP COMMISSION'!$B$3,W406='REP COMMISSION'!$B$3,Z406='REP COMMISSION'!$B$3)),1,0)</f>
        <v>0</v>
      </c>
      <c r="AX406" s="24" t="n">
        <f aca="false">AX405+IF(AND(C406&lt;&gt;"",OR(F406="LOC - INITIAL",F406="CONSOLIDATION - UPFRONT COMM",F406="REVERSE - TOTAL FUNDING")),1,0)</f>
        <v>0</v>
      </c>
    </row>
    <row r="407" customFormat="false" ht="15" hidden="false" customHeight="false" outlineLevel="0" collapsed="false">
      <c r="A407" s="25" t="str">
        <f aca="false">IF(C407&lt;&gt;"","F"&amp;COUNT($C$4:C407),"")</f>
        <v/>
      </c>
      <c r="B407" s="26" t="str">
        <f aca="false">IF(OR(F407="LOC - INITIAL",F407="CONSOLIDATION - UPFRONT COMM",F407="REVERSE - TOTAL FUNDING"),A407,"")</f>
        <v/>
      </c>
      <c r="C407" s="27"/>
      <c r="D407" s="28"/>
      <c r="E407" s="28"/>
      <c r="F407" s="28"/>
      <c r="G407" s="29"/>
      <c r="H407" s="30"/>
      <c r="I407" s="28"/>
      <c r="J407" s="31" t="str">
        <f aca="false">IF(AND(G407&lt;&gt;"",H407&lt;&gt;""),G407*H407,"")</f>
        <v/>
      </c>
      <c r="K407" s="28"/>
      <c r="L407" s="32"/>
      <c r="M407" s="32"/>
      <c r="N407" s="31" t="n">
        <f aca="false">IF(OR(G407="",M407=""),0,IF(M407&gt;100,M407,G407*IF(M407&gt;1,M407/100,M407)))</f>
        <v>0</v>
      </c>
      <c r="O407" s="31" t="str">
        <f aca="false">IF(G407="","",G407*IF(L407="",0,IF(L407&gt;1,L407/100,L407))+N407)</f>
        <v/>
      </c>
      <c r="P407" s="28"/>
      <c r="Q407" s="33" t="str">
        <f aca="false">IF(P407="","",IFERROR(VLOOKUP(P407,PARTNERS!$A$2:$B$30,2,0),""))</f>
        <v/>
      </c>
      <c r="R407" s="17" t="str">
        <f aca="false">IF(O407="","",IF(OR(P407="",Q407=""),0,(O407-N407)*IF(Q407&gt;1,Q407/100,Q407)))</f>
        <v/>
      </c>
      <c r="S407" s="31" t="str">
        <f aca="false">IF(O407="","",O407-R407)</f>
        <v/>
      </c>
      <c r="T407" s="28"/>
      <c r="U407" s="34" t="str">
        <f aca="false">IF(T407="","",IFERROR(VLOOKUP(T407,REPS!$A$2:$D$40,2,0),""))</f>
        <v/>
      </c>
      <c r="V407" s="31" t="str">
        <f aca="false">IF(O407="","",IF(U407="",0,O407*IF(U407&gt;1,U407/100,U407)))</f>
        <v/>
      </c>
      <c r="W407" s="28"/>
      <c r="X407" s="34" t="str">
        <f aca="false">IF(W407="","",IFERROR(VLOOKUP(W407,REPS!$A$2:$D$40,3,0),""))</f>
        <v/>
      </c>
      <c r="Y407" s="31" t="str">
        <f aca="false">IF(O407="","",IF(X407="",0,O407*IF(X407&gt;1,X407/100,X407)))</f>
        <v/>
      </c>
      <c r="Z407" s="28"/>
      <c r="AA407" s="34" t="str">
        <f aca="false">IF(Z407="","",IFERROR(VLOOKUP(Z407,REPS!$A$2:$D$40,4,0),""))</f>
        <v/>
      </c>
      <c r="AB407" s="31" t="str">
        <f aca="false">IF(O407="","",IF(AA407="",0,O407*IF(AA407&gt;1,AA407/100,AA407)))</f>
        <v/>
      </c>
      <c r="AC407" s="31" t="str">
        <f aca="false">IF(O407="","",V407+Y407+AB407)</f>
        <v/>
      </c>
      <c r="AD407" s="19" t="str">
        <f aca="false">IF(O407="","",O407-R407-AC407)</f>
        <v/>
      </c>
      <c r="AE407" s="20"/>
      <c r="AF407" s="27"/>
      <c r="AG407" s="21" t="n">
        <f aca="false">IF(OR(AE407="",AE407=0),0,AE407*IF(U407="",0,IF(U407&gt;1,U407/100,U407)))</f>
        <v>0</v>
      </c>
      <c r="AH407" s="21" t="n">
        <f aca="false">IF(OR(AE407="",AE407=0),0,AE407*IF(X407="",0,IF(X407&gt;1,X407/100,X407)))</f>
        <v>0</v>
      </c>
      <c r="AI407" s="21" t="n">
        <f aca="false">IF(OR(AE407="",AE407=0),0,AE407*IF(AA407="",0,IF(AA407&gt;1,AA407/100,AA407)))</f>
        <v>0</v>
      </c>
      <c r="AJ407" s="21" t="n">
        <f aca="false">AG407+AH407+AI407</f>
        <v>0</v>
      </c>
      <c r="AK407" s="21" t="n">
        <f aca="false">IF(OR(AE407="",AE407=0),0,AE407-AJ407)</f>
        <v>0</v>
      </c>
      <c r="AL407" s="19" t="str">
        <f aca="false">IF(AD407="","",AD407-AK407)</f>
        <v/>
      </c>
      <c r="AM407" s="26" t="str">
        <f aca="false">IF(C407="","","Waiting for payment")</f>
        <v/>
      </c>
      <c r="AN407" s="27"/>
      <c r="AO407" s="27"/>
      <c r="AP407" s="35" t="str">
        <f aca="false">IF(OR(C407="",I407="",K407=""),"",IF(K407="Monthly",EDATE(C407,ROUND(I407*SETTINGS!$I$8,0)),WORKDAY(C407,ROUND(I407*SETTINGS!$I$8,0))))</f>
        <v/>
      </c>
      <c r="AQ407" s="26" t="str">
        <f aca="true">IF(C407="","",IF(AND(AP407&lt;&gt;"",TODAY()&gt;=AP407),"Refi Ready",IF(TODAY()-C407&gt;=SETTINGS!$I$11,"Prospecting","Performing")))</f>
        <v/>
      </c>
      <c r="AR407" s="35" t="str">
        <f aca="false">IF(OR(C407="",I407="",K407=""),"",IF(K407="Monthly",EDATE(C407,I407),WORKDAY(C407,I407)))</f>
        <v/>
      </c>
      <c r="AS407" s="28"/>
      <c r="AT407" s="36" t="str">
        <f aca="true">IF(C407="","",IF(AM407="Clawed Back","CLAWED",IF(TODAY()&lt;=C407+SETTINGS!$I$2,"⚠ AT RISK","SAFE")))</f>
        <v/>
      </c>
      <c r="AU407" s="28"/>
      <c r="AW407" s="24" t="n">
        <f aca="false">AW406+IF(AND(C407&lt;&gt;"",AO407&lt;&gt;"",OR('REP COMMISSION'!$B$3="",T407='REP COMMISSION'!$B$3,W407='REP COMMISSION'!$B$3,Z407='REP COMMISSION'!$B$3)),1,0)</f>
        <v>0</v>
      </c>
      <c r="AX407" s="24" t="n">
        <f aca="false">AX406+IF(AND(C407&lt;&gt;"",OR(F407="LOC - INITIAL",F407="CONSOLIDATION - UPFRONT COMM",F407="REVERSE - TOTAL FUNDING")),1,0)</f>
        <v>0</v>
      </c>
    </row>
    <row r="408" customFormat="false" ht="15" hidden="false" customHeight="false" outlineLevel="0" collapsed="false">
      <c r="A408" s="8" t="str">
        <f aca="false">IF(C408&lt;&gt;"","F"&amp;COUNT($C$4:C408),"")</f>
        <v/>
      </c>
      <c r="B408" s="9" t="str">
        <f aca="false">IF(OR(F408="LOC - INITIAL",F408="CONSOLIDATION - UPFRONT COMM",F408="REVERSE - TOTAL FUNDING"),A408,"")</f>
        <v/>
      </c>
      <c r="C408" s="10"/>
      <c r="D408" s="11"/>
      <c r="E408" s="11"/>
      <c r="F408" s="11"/>
      <c r="G408" s="12"/>
      <c r="H408" s="13"/>
      <c r="I408" s="11"/>
      <c r="J408" s="14" t="str">
        <f aca="false">IF(AND(G408&lt;&gt;"",H408&lt;&gt;""),G408*H408,"")</f>
        <v/>
      </c>
      <c r="K408" s="11"/>
      <c r="L408" s="15"/>
      <c r="M408" s="15"/>
      <c r="N408" s="14" t="n">
        <f aca="false">IF(OR(G408="",M408=""),0,IF(M408&gt;100,M408,G408*IF(M408&gt;1,M408/100,M408)))</f>
        <v>0</v>
      </c>
      <c r="O408" s="14" t="str">
        <f aca="false">IF(G408="","",G408*IF(L408="",0,IF(L408&gt;1,L408/100,L408))+N408)</f>
        <v/>
      </c>
      <c r="P408" s="11"/>
      <c r="Q408" s="16" t="str">
        <f aca="false">IF(P408="","",IFERROR(VLOOKUP(P408,PARTNERS!$A$2:$B$30,2,0),""))</f>
        <v/>
      </c>
      <c r="R408" s="17" t="str">
        <f aca="false">IF(O408="","",IF(OR(P408="",Q408=""),0,(O408-N408)*IF(Q408&gt;1,Q408/100,Q408)))</f>
        <v/>
      </c>
      <c r="S408" s="14" t="str">
        <f aca="false">IF(O408="","",O408-R408)</f>
        <v/>
      </c>
      <c r="T408" s="11"/>
      <c r="U408" s="18" t="str">
        <f aca="false">IF(T408="","",IFERROR(VLOOKUP(T408,REPS!$A$2:$D$40,2,0),""))</f>
        <v/>
      </c>
      <c r="V408" s="14" t="str">
        <f aca="false">IF(O408="","",IF(U408="",0,O408*IF(U408&gt;1,U408/100,U408)))</f>
        <v/>
      </c>
      <c r="W408" s="11"/>
      <c r="X408" s="18" t="str">
        <f aca="false">IF(W408="","",IFERROR(VLOOKUP(W408,REPS!$A$2:$D$40,3,0),""))</f>
        <v/>
      </c>
      <c r="Y408" s="14" t="str">
        <f aca="false">IF(O408="","",IF(X408="",0,O408*IF(X408&gt;1,X408/100,X408)))</f>
        <v/>
      </c>
      <c r="Z408" s="11"/>
      <c r="AA408" s="18" t="str">
        <f aca="false">IF(Z408="","",IFERROR(VLOOKUP(Z408,REPS!$A$2:$D$40,4,0),""))</f>
        <v/>
      </c>
      <c r="AB408" s="14" t="str">
        <f aca="false">IF(O408="","",IF(AA408="",0,O408*IF(AA408&gt;1,AA408/100,AA408)))</f>
        <v/>
      </c>
      <c r="AC408" s="14" t="str">
        <f aca="false">IF(O408="","",V408+Y408+AB408)</f>
        <v/>
      </c>
      <c r="AD408" s="19" t="str">
        <f aca="false">IF(O408="","",O408-R408-AC408)</f>
        <v/>
      </c>
      <c r="AE408" s="20"/>
      <c r="AF408" s="10"/>
      <c r="AG408" s="21" t="n">
        <f aca="false">IF(OR(AE408="",AE408=0),0,AE408*IF(U408="",0,IF(U408&gt;1,U408/100,U408)))</f>
        <v>0</v>
      </c>
      <c r="AH408" s="21" t="n">
        <f aca="false">IF(OR(AE408="",AE408=0),0,AE408*IF(X408="",0,IF(X408&gt;1,X408/100,X408)))</f>
        <v>0</v>
      </c>
      <c r="AI408" s="21" t="n">
        <f aca="false">IF(OR(AE408="",AE408=0),0,AE408*IF(AA408="",0,IF(AA408&gt;1,AA408/100,AA408)))</f>
        <v>0</v>
      </c>
      <c r="AJ408" s="21" t="n">
        <f aca="false">AG408+AH408+AI408</f>
        <v>0</v>
      </c>
      <c r="AK408" s="21" t="n">
        <f aca="false">IF(OR(AE408="",AE408=0),0,AE408-AJ408)</f>
        <v>0</v>
      </c>
      <c r="AL408" s="19" t="str">
        <f aca="false">IF(AD408="","",AD408-AK408)</f>
        <v/>
      </c>
      <c r="AM408" s="9" t="str">
        <f aca="false">IF(C408="","","Waiting for payment")</f>
        <v/>
      </c>
      <c r="AN408" s="10"/>
      <c r="AO408" s="10"/>
      <c r="AP408" s="22" t="str">
        <f aca="false">IF(OR(C408="",I408="",K408=""),"",IF(K408="Monthly",EDATE(C408,ROUND(I408*SETTINGS!$I$8,0)),WORKDAY(C408,ROUND(I408*SETTINGS!$I$8,0))))</f>
        <v/>
      </c>
      <c r="AQ408" s="9" t="str">
        <f aca="true">IF(C408="","",IF(AND(AP408&lt;&gt;"",TODAY()&gt;=AP408),"Refi Ready",IF(TODAY()-C408&gt;=SETTINGS!$I$11,"Prospecting","Performing")))</f>
        <v/>
      </c>
      <c r="AR408" s="22" t="str">
        <f aca="false">IF(OR(C408="",I408="",K408=""),"",IF(K408="Monthly",EDATE(C408,I408),WORKDAY(C408,I408)))</f>
        <v/>
      </c>
      <c r="AS408" s="11"/>
      <c r="AT408" s="23" t="str">
        <f aca="true">IF(C408="","",IF(AM408="Clawed Back","CLAWED",IF(TODAY()&lt;=C408+SETTINGS!$I$2,"⚠ AT RISK","SAFE")))</f>
        <v/>
      </c>
      <c r="AU408" s="11"/>
      <c r="AW408" s="24" t="n">
        <f aca="false">AW407+IF(AND(C408&lt;&gt;"",AO408&lt;&gt;"",OR('REP COMMISSION'!$B$3="",T408='REP COMMISSION'!$B$3,W408='REP COMMISSION'!$B$3,Z408='REP COMMISSION'!$B$3)),1,0)</f>
        <v>0</v>
      </c>
      <c r="AX408" s="24" t="n">
        <f aca="false">AX407+IF(AND(C408&lt;&gt;"",OR(F408="LOC - INITIAL",F408="CONSOLIDATION - UPFRONT COMM",F408="REVERSE - TOTAL FUNDING")),1,0)</f>
        <v>0</v>
      </c>
    </row>
    <row r="409" customFormat="false" ht="15" hidden="false" customHeight="false" outlineLevel="0" collapsed="false">
      <c r="A409" s="25" t="str">
        <f aca="false">IF(C409&lt;&gt;"","F"&amp;COUNT($C$4:C409),"")</f>
        <v/>
      </c>
      <c r="B409" s="26" t="str">
        <f aca="false">IF(OR(F409="LOC - INITIAL",F409="CONSOLIDATION - UPFRONT COMM",F409="REVERSE - TOTAL FUNDING"),A409,"")</f>
        <v/>
      </c>
      <c r="C409" s="27"/>
      <c r="D409" s="28"/>
      <c r="E409" s="28"/>
      <c r="F409" s="28"/>
      <c r="G409" s="29"/>
      <c r="H409" s="30"/>
      <c r="I409" s="28"/>
      <c r="J409" s="31" t="str">
        <f aca="false">IF(AND(G409&lt;&gt;"",H409&lt;&gt;""),G409*H409,"")</f>
        <v/>
      </c>
      <c r="K409" s="28"/>
      <c r="L409" s="32"/>
      <c r="M409" s="32"/>
      <c r="N409" s="31" t="n">
        <f aca="false">IF(OR(G409="",M409=""),0,IF(M409&gt;100,M409,G409*IF(M409&gt;1,M409/100,M409)))</f>
        <v>0</v>
      </c>
      <c r="O409" s="31" t="str">
        <f aca="false">IF(G409="","",G409*IF(L409="",0,IF(L409&gt;1,L409/100,L409))+N409)</f>
        <v/>
      </c>
      <c r="P409" s="28"/>
      <c r="Q409" s="33" t="str">
        <f aca="false">IF(P409="","",IFERROR(VLOOKUP(P409,PARTNERS!$A$2:$B$30,2,0),""))</f>
        <v/>
      </c>
      <c r="R409" s="17" t="str">
        <f aca="false">IF(O409="","",IF(OR(P409="",Q409=""),0,(O409-N409)*IF(Q409&gt;1,Q409/100,Q409)))</f>
        <v/>
      </c>
      <c r="S409" s="31" t="str">
        <f aca="false">IF(O409="","",O409-R409)</f>
        <v/>
      </c>
      <c r="T409" s="28"/>
      <c r="U409" s="34" t="str">
        <f aca="false">IF(T409="","",IFERROR(VLOOKUP(T409,REPS!$A$2:$D$40,2,0),""))</f>
        <v/>
      </c>
      <c r="V409" s="31" t="str">
        <f aca="false">IF(O409="","",IF(U409="",0,O409*IF(U409&gt;1,U409/100,U409)))</f>
        <v/>
      </c>
      <c r="W409" s="28"/>
      <c r="X409" s="34" t="str">
        <f aca="false">IF(W409="","",IFERROR(VLOOKUP(W409,REPS!$A$2:$D$40,3,0),""))</f>
        <v/>
      </c>
      <c r="Y409" s="31" t="str">
        <f aca="false">IF(O409="","",IF(X409="",0,O409*IF(X409&gt;1,X409/100,X409)))</f>
        <v/>
      </c>
      <c r="Z409" s="28"/>
      <c r="AA409" s="34" t="str">
        <f aca="false">IF(Z409="","",IFERROR(VLOOKUP(Z409,REPS!$A$2:$D$40,4,0),""))</f>
        <v/>
      </c>
      <c r="AB409" s="31" t="str">
        <f aca="false">IF(O409="","",IF(AA409="",0,O409*IF(AA409&gt;1,AA409/100,AA409)))</f>
        <v/>
      </c>
      <c r="AC409" s="31" t="str">
        <f aca="false">IF(O409="","",V409+Y409+AB409)</f>
        <v/>
      </c>
      <c r="AD409" s="19" t="str">
        <f aca="false">IF(O409="","",O409-R409-AC409)</f>
        <v/>
      </c>
      <c r="AE409" s="20"/>
      <c r="AF409" s="27"/>
      <c r="AG409" s="21" t="n">
        <f aca="false">IF(OR(AE409="",AE409=0),0,AE409*IF(U409="",0,IF(U409&gt;1,U409/100,U409)))</f>
        <v>0</v>
      </c>
      <c r="AH409" s="21" t="n">
        <f aca="false">IF(OR(AE409="",AE409=0),0,AE409*IF(X409="",0,IF(X409&gt;1,X409/100,X409)))</f>
        <v>0</v>
      </c>
      <c r="AI409" s="21" t="n">
        <f aca="false">IF(OR(AE409="",AE409=0),0,AE409*IF(AA409="",0,IF(AA409&gt;1,AA409/100,AA409)))</f>
        <v>0</v>
      </c>
      <c r="AJ409" s="21" t="n">
        <f aca="false">AG409+AH409+AI409</f>
        <v>0</v>
      </c>
      <c r="AK409" s="21" t="n">
        <f aca="false">IF(OR(AE409="",AE409=0),0,AE409-AJ409)</f>
        <v>0</v>
      </c>
      <c r="AL409" s="19" t="str">
        <f aca="false">IF(AD409="","",AD409-AK409)</f>
        <v/>
      </c>
      <c r="AM409" s="26" t="str">
        <f aca="false">IF(C409="","","Waiting for payment")</f>
        <v/>
      </c>
      <c r="AN409" s="27"/>
      <c r="AO409" s="27"/>
      <c r="AP409" s="35" t="str">
        <f aca="false">IF(OR(C409="",I409="",K409=""),"",IF(K409="Monthly",EDATE(C409,ROUND(I409*SETTINGS!$I$8,0)),WORKDAY(C409,ROUND(I409*SETTINGS!$I$8,0))))</f>
        <v/>
      </c>
      <c r="AQ409" s="26" t="str">
        <f aca="true">IF(C409="","",IF(AND(AP409&lt;&gt;"",TODAY()&gt;=AP409),"Refi Ready",IF(TODAY()-C409&gt;=SETTINGS!$I$11,"Prospecting","Performing")))</f>
        <v/>
      </c>
      <c r="AR409" s="35" t="str">
        <f aca="false">IF(OR(C409="",I409="",K409=""),"",IF(K409="Monthly",EDATE(C409,I409),WORKDAY(C409,I409)))</f>
        <v/>
      </c>
      <c r="AS409" s="28"/>
      <c r="AT409" s="36" t="str">
        <f aca="true">IF(C409="","",IF(AM409="Clawed Back","CLAWED",IF(TODAY()&lt;=C409+SETTINGS!$I$2,"⚠ AT RISK","SAFE")))</f>
        <v/>
      </c>
      <c r="AU409" s="28"/>
      <c r="AW409" s="24" t="n">
        <f aca="false">AW408+IF(AND(C409&lt;&gt;"",AO409&lt;&gt;"",OR('REP COMMISSION'!$B$3="",T409='REP COMMISSION'!$B$3,W409='REP COMMISSION'!$B$3,Z409='REP COMMISSION'!$B$3)),1,0)</f>
        <v>0</v>
      </c>
      <c r="AX409" s="24" t="n">
        <f aca="false">AX408+IF(AND(C409&lt;&gt;"",OR(F409="LOC - INITIAL",F409="CONSOLIDATION - UPFRONT COMM",F409="REVERSE - TOTAL FUNDING")),1,0)</f>
        <v>0</v>
      </c>
    </row>
    <row r="410" customFormat="false" ht="18" hidden="false" customHeight="true" outlineLevel="0" collapsed="false">
      <c r="A410" s="37" t="s">
        <v>55</v>
      </c>
      <c r="B410" s="38"/>
      <c r="C410" s="38"/>
      <c r="D410" s="37" t="str">
        <f aca="false">COUNT(C310:C409)&amp;" units"</f>
        <v>0 units</v>
      </c>
      <c r="E410" s="38"/>
      <c r="F410" s="38"/>
      <c r="G410" s="39" t="n">
        <f aca="false">SUM(G310:G409)</f>
        <v>0</v>
      </c>
      <c r="H410" s="38"/>
      <c r="I410" s="38"/>
      <c r="J410" s="38"/>
      <c r="K410" s="38"/>
      <c r="L410" s="38"/>
      <c r="M410" s="38"/>
      <c r="N410" s="39" t="n">
        <f aca="false">SUM(N310:N409)</f>
        <v>0</v>
      </c>
      <c r="O410" s="39" t="n">
        <f aca="false">SUM(O310:O409)</f>
        <v>0</v>
      </c>
      <c r="P410" s="38"/>
      <c r="Q410" s="38"/>
      <c r="R410" s="39" t="n">
        <f aca="false">SUM(R310:R409)</f>
        <v>0</v>
      </c>
      <c r="S410" s="39" t="n">
        <f aca="false">SUM(S310:S409)</f>
        <v>0</v>
      </c>
      <c r="T410" s="38"/>
      <c r="U410" s="38"/>
      <c r="V410" s="38"/>
      <c r="W410" s="38"/>
      <c r="X410" s="38"/>
      <c r="Y410" s="38"/>
      <c r="Z410" s="38"/>
      <c r="AA410" s="38"/>
      <c r="AB410" s="38"/>
      <c r="AC410" s="39" t="n">
        <f aca="false">SUM(AC310:AC409)</f>
        <v>0</v>
      </c>
      <c r="AD410" s="39" t="n">
        <f aca="false">SUM(AD310:AD409)</f>
        <v>0</v>
      </c>
      <c r="AE410" s="39" t="n">
        <f aca="false">SUM(AE310:AE409)</f>
        <v>0</v>
      </c>
      <c r="AF410" s="38"/>
      <c r="AG410" s="38"/>
      <c r="AH410" s="38"/>
      <c r="AI410" s="38"/>
      <c r="AJ410" s="39" t="n">
        <f aca="false">SUM(AJ310:AJ409)</f>
        <v>0</v>
      </c>
      <c r="AK410" s="39" t="n">
        <f aca="false">SUM(AK310:AK409)</f>
        <v>0</v>
      </c>
      <c r="AL410" s="39" t="n">
        <f aca="false">SUM(AL310:AL409)</f>
        <v>0</v>
      </c>
      <c r="AM410" s="38"/>
      <c r="AN410" s="38"/>
      <c r="AO410" s="38"/>
      <c r="AP410" s="38"/>
      <c r="AQ410" s="38"/>
      <c r="AR410" s="38"/>
      <c r="AS410" s="38"/>
      <c r="AT410" s="38"/>
      <c r="AU410" s="38"/>
      <c r="AW410" s="24" t="n">
        <f aca="false">AW409</f>
        <v>0</v>
      </c>
      <c r="AX410" s="24" t="n">
        <f aca="false">AX409</f>
        <v>0</v>
      </c>
    </row>
    <row r="411" customFormat="false" ht="19.5" hidden="false" customHeight="true" outlineLevel="0" collapsed="false">
      <c r="A411" s="6" t="s">
        <v>56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W411" s="24" t="n">
        <f aca="false">AW410</f>
        <v>0</v>
      </c>
      <c r="AX411" s="24" t="n">
        <f aca="false">AX410</f>
        <v>0</v>
      </c>
    </row>
    <row r="412" customFormat="false" ht="15" hidden="false" customHeight="false" outlineLevel="0" collapsed="false">
      <c r="A412" s="8" t="str">
        <f aca="false">IF(C412&lt;&gt;"","F"&amp;COUNT($C$4:C412),"")</f>
        <v/>
      </c>
      <c r="B412" s="9" t="str">
        <f aca="false">IF(OR(F412="LOC - INITIAL",F412="CONSOLIDATION - UPFRONT COMM",F412="REVERSE - TOTAL FUNDING"),A412,"")</f>
        <v/>
      </c>
      <c r="C412" s="10"/>
      <c r="D412" s="11"/>
      <c r="E412" s="11"/>
      <c r="F412" s="11"/>
      <c r="G412" s="12"/>
      <c r="H412" s="13"/>
      <c r="I412" s="11"/>
      <c r="J412" s="14" t="str">
        <f aca="false">IF(AND(G412&lt;&gt;"",H412&lt;&gt;""),G412*H412,"")</f>
        <v/>
      </c>
      <c r="K412" s="11"/>
      <c r="L412" s="15"/>
      <c r="M412" s="15"/>
      <c r="N412" s="14" t="n">
        <f aca="false">IF(OR(G412="",M412=""),0,IF(M412&gt;100,M412,G412*IF(M412&gt;1,M412/100,M412)))</f>
        <v>0</v>
      </c>
      <c r="O412" s="14" t="str">
        <f aca="false">IF(G412="","",G412*IF(L412="",0,IF(L412&gt;1,L412/100,L412))+N412)</f>
        <v/>
      </c>
      <c r="P412" s="11"/>
      <c r="Q412" s="16" t="str">
        <f aca="false">IF(P412="","",IFERROR(VLOOKUP(P412,PARTNERS!$A$2:$B$30,2,0),""))</f>
        <v/>
      </c>
      <c r="R412" s="17" t="str">
        <f aca="false">IF(O412="","",IF(OR(P412="",Q412=""),0,(O412-N412)*IF(Q412&gt;1,Q412/100,Q412)))</f>
        <v/>
      </c>
      <c r="S412" s="14" t="str">
        <f aca="false">IF(O412="","",O412-R412)</f>
        <v/>
      </c>
      <c r="T412" s="11"/>
      <c r="U412" s="18" t="str">
        <f aca="false">IF(T412="","",IFERROR(VLOOKUP(T412,REPS!$A$2:$D$40,2,0),""))</f>
        <v/>
      </c>
      <c r="V412" s="14" t="str">
        <f aca="false">IF(O412="","",IF(U412="",0,O412*IF(U412&gt;1,U412/100,U412)))</f>
        <v/>
      </c>
      <c r="W412" s="11"/>
      <c r="X412" s="18" t="str">
        <f aca="false">IF(W412="","",IFERROR(VLOOKUP(W412,REPS!$A$2:$D$40,3,0),""))</f>
        <v/>
      </c>
      <c r="Y412" s="14" t="str">
        <f aca="false">IF(O412="","",IF(X412="",0,O412*IF(X412&gt;1,X412/100,X412)))</f>
        <v/>
      </c>
      <c r="Z412" s="11"/>
      <c r="AA412" s="18" t="str">
        <f aca="false">IF(Z412="","",IFERROR(VLOOKUP(Z412,REPS!$A$2:$D$40,4,0),""))</f>
        <v/>
      </c>
      <c r="AB412" s="14" t="str">
        <f aca="false">IF(O412="","",IF(AA412="",0,O412*IF(AA412&gt;1,AA412/100,AA412)))</f>
        <v/>
      </c>
      <c r="AC412" s="14" t="str">
        <f aca="false">IF(O412="","",V412+Y412+AB412)</f>
        <v/>
      </c>
      <c r="AD412" s="19" t="str">
        <f aca="false">IF(O412="","",O412-R412-AC412)</f>
        <v/>
      </c>
      <c r="AE412" s="20"/>
      <c r="AF412" s="10"/>
      <c r="AG412" s="21" t="n">
        <f aca="false">IF(OR(AE412="",AE412=0),0,AE412*IF(U412="",0,IF(U412&gt;1,U412/100,U412)))</f>
        <v>0</v>
      </c>
      <c r="AH412" s="21" t="n">
        <f aca="false">IF(OR(AE412="",AE412=0),0,AE412*IF(X412="",0,IF(X412&gt;1,X412/100,X412)))</f>
        <v>0</v>
      </c>
      <c r="AI412" s="21" t="n">
        <f aca="false">IF(OR(AE412="",AE412=0),0,AE412*IF(AA412="",0,IF(AA412&gt;1,AA412/100,AA412)))</f>
        <v>0</v>
      </c>
      <c r="AJ412" s="21" t="n">
        <f aca="false">AG412+AH412+AI412</f>
        <v>0</v>
      </c>
      <c r="AK412" s="21" t="n">
        <f aca="false">IF(OR(AE412="",AE412=0),0,AE412-AJ412)</f>
        <v>0</v>
      </c>
      <c r="AL412" s="19" t="str">
        <f aca="false">IF(AD412="","",AD412-AK412)</f>
        <v/>
      </c>
      <c r="AM412" s="9" t="str">
        <f aca="false">IF(C412="","","Waiting for payment")</f>
        <v/>
      </c>
      <c r="AN412" s="10"/>
      <c r="AO412" s="10"/>
      <c r="AP412" s="22" t="str">
        <f aca="false">IF(OR(C412="",I412="",K412=""),"",IF(K412="Monthly",EDATE(C412,ROUND(I412*SETTINGS!$I$8,0)),WORKDAY(C412,ROUND(I412*SETTINGS!$I$8,0))))</f>
        <v/>
      </c>
      <c r="AQ412" s="9" t="str">
        <f aca="true">IF(C412="","",IF(AND(AP412&lt;&gt;"",TODAY()&gt;=AP412),"Refi Ready",IF(TODAY()-C412&gt;=SETTINGS!$I$11,"Prospecting","Performing")))</f>
        <v/>
      </c>
      <c r="AR412" s="22" t="str">
        <f aca="false">IF(OR(C412="",I412="",K412=""),"",IF(K412="Monthly",EDATE(C412,I412),WORKDAY(C412,I412)))</f>
        <v/>
      </c>
      <c r="AS412" s="11"/>
      <c r="AT412" s="23" t="str">
        <f aca="true">IF(C412="","",IF(AM412="Clawed Back","CLAWED",IF(TODAY()&lt;=C412+SETTINGS!$I$2,"⚠ AT RISK","SAFE")))</f>
        <v/>
      </c>
      <c r="AU412" s="11"/>
      <c r="AW412" s="24" t="n">
        <f aca="false">AW411+IF(AND(C412&lt;&gt;"",AO412&lt;&gt;"",OR('REP COMMISSION'!$B$3="",T412='REP COMMISSION'!$B$3,W412='REP COMMISSION'!$B$3,Z412='REP COMMISSION'!$B$3)),1,0)</f>
        <v>0</v>
      </c>
      <c r="AX412" s="24" t="n">
        <f aca="false">AX411+IF(AND(C412&lt;&gt;"",OR(F412="LOC - INITIAL",F412="CONSOLIDATION - UPFRONT COMM",F412="REVERSE - TOTAL FUNDING")),1,0)</f>
        <v>0</v>
      </c>
    </row>
    <row r="413" customFormat="false" ht="15" hidden="false" customHeight="false" outlineLevel="0" collapsed="false">
      <c r="A413" s="25" t="str">
        <f aca="false">IF(C413&lt;&gt;"","F"&amp;COUNT($C$4:C413),"")</f>
        <v/>
      </c>
      <c r="B413" s="26" t="str">
        <f aca="false">IF(OR(F413="LOC - INITIAL",F413="CONSOLIDATION - UPFRONT COMM",F413="REVERSE - TOTAL FUNDING"),A413,"")</f>
        <v/>
      </c>
      <c r="C413" s="27"/>
      <c r="D413" s="28"/>
      <c r="E413" s="28"/>
      <c r="F413" s="28"/>
      <c r="G413" s="29"/>
      <c r="H413" s="30"/>
      <c r="I413" s="28"/>
      <c r="J413" s="31" t="str">
        <f aca="false">IF(AND(G413&lt;&gt;"",H413&lt;&gt;""),G413*H413,"")</f>
        <v/>
      </c>
      <c r="K413" s="28"/>
      <c r="L413" s="32"/>
      <c r="M413" s="32"/>
      <c r="N413" s="31" t="n">
        <f aca="false">IF(OR(G413="",M413=""),0,IF(M413&gt;100,M413,G413*IF(M413&gt;1,M413/100,M413)))</f>
        <v>0</v>
      </c>
      <c r="O413" s="31" t="str">
        <f aca="false">IF(G413="","",G413*IF(L413="",0,IF(L413&gt;1,L413/100,L413))+N413)</f>
        <v/>
      </c>
      <c r="P413" s="28"/>
      <c r="Q413" s="33" t="str">
        <f aca="false">IF(P413="","",IFERROR(VLOOKUP(P413,PARTNERS!$A$2:$B$30,2,0),""))</f>
        <v/>
      </c>
      <c r="R413" s="17" t="str">
        <f aca="false">IF(O413="","",IF(OR(P413="",Q413=""),0,(O413-N413)*IF(Q413&gt;1,Q413/100,Q413)))</f>
        <v/>
      </c>
      <c r="S413" s="31" t="str">
        <f aca="false">IF(O413="","",O413-R413)</f>
        <v/>
      </c>
      <c r="T413" s="28"/>
      <c r="U413" s="34" t="str">
        <f aca="false">IF(T413="","",IFERROR(VLOOKUP(T413,REPS!$A$2:$D$40,2,0),""))</f>
        <v/>
      </c>
      <c r="V413" s="31" t="str">
        <f aca="false">IF(O413="","",IF(U413="",0,O413*IF(U413&gt;1,U413/100,U413)))</f>
        <v/>
      </c>
      <c r="W413" s="28"/>
      <c r="X413" s="34" t="str">
        <f aca="false">IF(W413="","",IFERROR(VLOOKUP(W413,REPS!$A$2:$D$40,3,0),""))</f>
        <v/>
      </c>
      <c r="Y413" s="31" t="str">
        <f aca="false">IF(O413="","",IF(X413="",0,O413*IF(X413&gt;1,X413/100,X413)))</f>
        <v/>
      </c>
      <c r="Z413" s="28"/>
      <c r="AA413" s="34" t="str">
        <f aca="false">IF(Z413="","",IFERROR(VLOOKUP(Z413,REPS!$A$2:$D$40,4,0),""))</f>
        <v/>
      </c>
      <c r="AB413" s="31" t="str">
        <f aca="false">IF(O413="","",IF(AA413="",0,O413*IF(AA413&gt;1,AA413/100,AA413)))</f>
        <v/>
      </c>
      <c r="AC413" s="31" t="str">
        <f aca="false">IF(O413="","",V413+Y413+AB413)</f>
        <v/>
      </c>
      <c r="AD413" s="19" t="str">
        <f aca="false">IF(O413="","",O413-R413-AC413)</f>
        <v/>
      </c>
      <c r="AE413" s="20"/>
      <c r="AF413" s="27"/>
      <c r="AG413" s="21" t="n">
        <f aca="false">IF(OR(AE413="",AE413=0),0,AE413*IF(U413="",0,IF(U413&gt;1,U413/100,U413)))</f>
        <v>0</v>
      </c>
      <c r="AH413" s="21" t="n">
        <f aca="false">IF(OR(AE413="",AE413=0),0,AE413*IF(X413="",0,IF(X413&gt;1,X413/100,X413)))</f>
        <v>0</v>
      </c>
      <c r="AI413" s="21" t="n">
        <f aca="false">IF(OR(AE413="",AE413=0),0,AE413*IF(AA413="",0,IF(AA413&gt;1,AA413/100,AA413)))</f>
        <v>0</v>
      </c>
      <c r="AJ413" s="21" t="n">
        <f aca="false">AG413+AH413+AI413</f>
        <v>0</v>
      </c>
      <c r="AK413" s="21" t="n">
        <f aca="false">IF(OR(AE413="",AE413=0),0,AE413-AJ413)</f>
        <v>0</v>
      </c>
      <c r="AL413" s="19" t="str">
        <f aca="false">IF(AD413="","",AD413-AK413)</f>
        <v/>
      </c>
      <c r="AM413" s="26" t="str">
        <f aca="false">IF(C413="","","Waiting for payment")</f>
        <v/>
      </c>
      <c r="AN413" s="27"/>
      <c r="AO413" s="27"/>
      <c r="AP413" s="35" t="str">
        <f aca="false">IF(OR(C413="",I413="",K413=""),"",IF(K413="Monthly",EDATE(C413,ROUND(I413*SETTINGS!$I$8,0)),WORKDAY(C413,ROUND(I413*SETTINGS!$I$8,0))))</f>
        <v/>
      </c>
      <c r="AQ413" s="26" t="str">
        <f aca="true">IF(C413="","",IF(AND(AP413&lt;&gt;"",TODAY()&gt;=AP413),"Refi Ready",IF(TODAY()-C413&gt;=SETTINGS!$I$11,"Prospecting","Performing")))</f>
        <v/>
      </c>
      <c r="AR413" s="35" t="str">
        <f aca="false">IF(OR(C413="",I413="",K413=""),"",IF(K413="Monthly",EDATE(C413,I413),WORKDAY(C413,I413)))</f>
        <v/>
      </c>
      <c r="AS413" s="28"/>
      <c r="AT413" s="36" t="str">
        <f aca="true">IF(C413="","",IF(AM413="Clawed Back","CLAWED",IF(TODAY()&lt;=C413+SETTINGS!$I$2,"⚠ AT RISK","SAFE")))</f>
        <v/>
      </c>
      <c r="AU413" s="28"/>
      <c r="AW413" s="24" t="n">
        <f aca="false">AW412+IF(AND(C413&lt;&gt;"",AO413&lt;&gt;"",OR('REP COMMISSION'!$B$3="",T413='REP COMMISSION'!$B$3,W413='REP COMMISSION'!$B$3,Z413='REP COMMISSION'!$B$3)),1,0)</f>
        <v>0</v>
      </c>
      <c r="AX413" s="24" t="n">
        <f aca="false">AX412+IF(AND(C413&lt;&gt;"",OR(F413="LOC - INITIAL",F413="CONSOLIDATION - UPFRONT COMM",F413="REVERSE - TOTAL FUNDING")),1,0)</f>
        <v>0</v>
      </c>
    </row>
    <row r="414" customFormat="false" ht="15" hidden="false" customHeight="false" outlineLevel="0" collapsed="false">
      <c r="A414" s="8" t="str">
        <f aca="false">IF(C414&lt;&gt;"","F"&amp;COUNT($C$4:C414),"")</f>
        <v/>
      </c>
      <c r="B414" s="9" t="str">
        <f aca="false">IF(OR(F414="LOC - INITIAL",F414="CONSOLIDATION - UPFRONT COMM",F414="REVERSE - TOTAL FUNDING"),A414,"")</f>
        <v/>
      </c>
      <c r="C414" s="10"/>
      <c r="D414" s="11"/>
      <c r="E414" s="11"/>
      <c r="F414" s="11"/>
      <c r="G414" s="12"/>
      <c r="H414" s="13"/>
      <c r="I414" s="11"/>
      <c r="J414" s="14" t="str">
        <f aca="false">IF(AND(G414&lt;&gt;"",H414&lt;&gt;""),G414*H414,"")</f>
        <v/>
      </c>
      <c r="K414" s="11"/>
      <c r="L414" s="15"/>
      <c r="M414" s="15"/>
      <c r="N414" s="14" t="n">
        <f aca="false">IF(OR(G414="",M414=""),0,IF(M414&gt;100,M414,G414*IF(M414&gt;1,M414/100,M414)))</f>
        <v>0</v>
      </c>
      <c r="O414" s="14" t="str">
        <f aca="false">IF(G414="","",G414*IF(L414="",0,IF(L414&gt;1,L414/100,L414))+N414)</f>
        <v/>
      </c>
      <c r="P414" s="11"/>
      <c r="Q414" s="16" t="str">
        <f aca="false">IF(P414="","",IFERROR(VLOOKUP(P414,PARTNERS!$A$2:$B$30,2,0),""))</f>
        <v/>
      </c>
      <c r="R414" s="17" t="str">
        <f aca="false">IF(O414="","",IF(OR(P414="",Q414=""),0,(O414-N414)*IF(Q414&gt;1,Q414/100,Q414)))</f>
        <v/>
      </c>
      <c r="S414" s="14" t="str">
        <f aca="false">IF(O414="","",O414-R414)</f>
        <v/>
      </c>
      <c r="T414" s="11"/>
      <c r="U414" s="18" t="str">
        <f aca="false">IF(T414="","",IFERROR(VLOOKUP(T414,REPS!$A$2:$D$40,2,0),""))</f>
        <v/>
      </c>
      <c r="V414" s="14" t="str">
        <f aca="false">IF(O414="","",IF(U414="",0,O414*IF(U414&gt;1,U414/100,U414)))</f>
        <v/>
      </c>
      <c r="W414" s="11"/>
      <c r="X414" s="18" t="str">
        <f aca="false">IF(W414="","",IFERROR(VLOOKUP(W414,REPS!$A$2:$D$40,3,0),""))</f>
        <v/>
      </c>
      <c r="Y414" s="14" t="str">
        <f aca="false">IF(O414="","",IF(X414="",0,O414*IF(X414&gt;1,X414/100,X414)))</f>
        <v/>
      </c>
      <c r="Z414" s="11"/>
      <c r="AA414" s="18" t="str">
        <f aca="false">IF(Z414="","",IFERROR(VLOOKUP(Z414,REPS!$A$2:$D$40,4,0),""))</f>
        <v/>
      </c>
      <c r="AB414" s="14" t="str">
        <f aca="false">IF(O414="","",IF(AA414="",0,O414*IF(AA414&gt;1,AA414/100,AA414)))</f>
        <v/>
      </c>
      <c r="AC414" s="14" t="str">
        <f aca="false">IF(O414="","",V414+Y414+AB414)</f>
        <v/>
      </c>
      <c r="AD414" s="19" t="str">
        <f aca="false">IF(O414="","",O414-R414-AC414)</f>
        <v/>
      </c>
      <c r="AE414" s="20"/>
      <c r="AF414" s="10"/>
      <c r="AG414" s="21" t="n">
        <f aca="false">IF(OR(AE414="",AE414=0),0,AE414*IF(U414="",0,IF(U414&gt;1,U414/100,U414)))</f>
        <v>0</v>
      </c>
      <c r="AH414" s="21" t="n">
        <f aca="false">IF(OR(AE414="",AE414=0),0,AE414*IF(X414="",0,IF(X414&gt;1,X414/100,X414)))</f>
        <v>0</v>
      </c>
      <c r="AI414" s="21" t="n">
        <f aca="false">IF(OR(AE414="",AE414=0),0,AE414*IF(AA414="",0,IF(AA414&gt;1,AA414/100,AA414)))</f>
        <v>0</v>
      </c>
      <c r="AJ414" s="21" t="n">
        <f aca="false">AG414+AH414+AI414</f>
        <v>0</v>
      </c>
      <c r="AK414" s="21" t="n">
        <f aca="false">IF(OR(AE414="",AE414=0),0,AE414-AJ414)</f>
        <v>0</v>
      </c>
      <c r="AL414" s="19" t="str">
        <f aca="false">IF(AD414="","",AD414-AK414)</f>
        <v/>
      </c>
      <c r="AM414" s="9" t="str">
        <f aca="false">IF(C414="","","Waiting for payment")</f>
        <v/>
      </c>
      <c r="AN414" s="10"/>
      <c r="AO414" s="10"/>
      <c r="AP414" s="22" t="str">
        <f aca="false">IF(OR(C414="",I414="",K414=""),"",IF(K414="Monthly",EDATE(C414,ROUND(I414*SETTINGS!$I$8,0)),WORKDAY(C414,ROUND(I414*SETTINGS!$I$8,0))))</f>
        <v/>
      </c>
      <c r="AQ414" s="9" t="str">
        <f aca="true">IF(C414="","",IF(AND(AP414&lt;&gt;"",TODAY()&gt;=AP414),"Refi Ready",IF(TODAY()-C414&gt;=SETTINGS!$I$11,"Prospecting","Performing")))</f>
        <v/>
      </c>
      <c r="AR414" s="22" t="str">
        <f aca="false">IF(OR(C414="",I414="",K414=""),"",IF(K414="Monthly",EDATE(C414,I414),WORKDAY(C414,I414)))</f>
        <v/>
      </c>
      <c r="AS414" s="11"/>
      <c r="AT414" s="23" t="str">
        <f aca="true">IF(C414="","",IF(AM414="Clawed Back","CLAWED",IF(TODAY()&lt;=C414+SETTINGS!$I$2,"⚠ AT RISK","SAFE")))</f>
        <v/>
      </c>
      <c r="AU414" s="11"/>
      <c r="AW414" s="24" t="n">
        <f aca="false">AW413+IF(AND(C414&lt;&gt;"",AO414&lt;&gt;"",OR('REP COMMISSION'!$B$3="",T414='REP COMMISSION'!$B$3,W414='REP COMMISSION'!$B$3,Z414='REP COMMISSION'!$B$3)),1,0)</f>
        <v>0</v>
      </c>
      <c r="AX414" s="24" t="n">
        <f aca="false">AX413+IF(AND(C414&lt;&gt;"",OR(F414="LOC - INITIAL",F414="CONSOLIDATION - UPFRONT COMM",F414="REVERSE - TOTAL FUNDING")),1,0)</f>
        <v>0</v>
      </c>
    </row>
    <row r="415" customFormat="false" ht="15" hidden="false" customHeight="false" outlineLevel="0" collapsed="false">
      <c r="A415" s="25" t="str">
        <f aca="false">IF(C415&lt;&gt;"","F"&amp;COUNT($C$4:C415),"")</f>
        <v/>
      </c>
      <c r="B415" s="26" t="str">
        <f aca="false">IF(OR(F415="LOC - INITIAL",F415="CONSOLIDATION - UPFRONT COMM",F415="REVERSE - TOTAL FUNDING"),A415,"")</f>
        <v/>
      </c>
      <c r="C415" s="27"/>
      <c r="D415" s="28"/>
      <c r="E415" s="28"/>
      <c r="F415" s="28"/>
      <c r="G415" s="29"/>
      <c r="H415" s="30"/>
      <c r="I415" s="28"/>
      <c r="J415" s="31" t="str">
        <f aca="false">IF(AND(G415&lt;&gt;"",H415&lt;&gt;""),G415*H415,"")</f>
        <v/>
      </c>
      <c r="K415" s="28"/>
      <c r="L415" s="32"/>
      <c r="M415" s="32"/>
      <c r="N415" s="31" t="n">
        <f aca="false">IF(OR(G415="",M415=""),0,IF(M415&gt;100,M415,G415*IF(M415&gt;1,M415/100,M415)))</f>
        <v>0</v>
      </c>
      <c r="O415" s="31" t="str">
        <f aca="false">IF(G415="","",G415*IF(L415="",0,IF(L415&gt;1,L415/100,L415))+N415)</f>
        <v/>
      </c>
      <c r="P415" s="28"/>
      <c r="Q415" s="33" t="str">
        <f aca="false">IF(P415="","",IFERROR(VLOOKUP(P415,PARTNERS!$A$2:$B$30,2,0),""))</f>
        <v/>
      </c>
      <c r="R415" s="17" t="str">
        <f aca="false">IF(O415="","",IF(OR(P415="",Q415=""),0,(O415-N415)*IF(Q415&gt;1,Q415/100,Q415)))</f>
        <v/>
      </c>
      <c r="S415" s="31" t="str">
        <f aca="false">IF(O415="","",O415-R415)</f>
        <v/>
      </c>
      <c r="T415" s="28"/>
      <c r="U415" s="34" t="str">
        <f aca="false">IF(T415="","",IFERROR(VLOOKUP(T415,REPS!$A$2:$D$40,2,0),""))</f>
        <v/>
      </c>
      <c r="V415" s="31" t="str">
        <f aca="false">IF(O415="","",IF(U415="",0,O415*IF(U415&gt;1,U415/100,U415)))</f>
        <v/>
      </c>
      <c r="W415" s="28"/>
      <c r="X415" s="34" t="str">
        <f aca="false">IF(W415="","",IFERROR(VLOOKUP(W415,REPS!$A$2:$D$40,3,0),""))</f>
        <v/>
      </c>
      <c r="Y415" s="31" t="str">
        <f aca="false">IF(O415="","",IF(X415="",0,O415*IF(X415&gt;1,X415/100,X415)))</f>
        <v/>
      </c>
      <c r="Z415" s="28"/>
      <c r="AA415" s="34" t="str">
        <f aca="false">IF(Z415="","",IFERROR(VLOOKUP(Z415,REPS!$A$2:$D$40,4,0),""))</f>
        <v/>
      </c>
      <c r="AB415" s="31" t="str">
        <f aca="false">IF(O415="","",IF(AA415="",0,O415*IF(AA415&gt;1,AA415/100,AA415)))</f>
        <v/>
      </c>
      <c r="AC415" s="31" t="str">
        <f aca="false">IF(O415="","",V415+Y415+AB415)</f>
        <v/>
      </c>
      <c r="AD415" s="19" t="str">
        <f aca="false">IF(O415="","",O415-R415-AC415)</f>
        <v/>
      </c>
      <c r="AE415" s="20"/>
      <c r="AF415" s="27"/>
      <c r="AG415" s="21" t="n">
        <f aca="false">IF(OR(AE415="",AE415=0),0,AE415*IF(U415="",0,IF(U415&gt;1,U415/100,U415)))</f>
        <v>0</v>
      </c>
      <c r="AH415" s="21" t="n">
        <f aca="false">IF(OR(AE415="",AE415=0),0,AE415*IF(X415="",0,IF(X415&gt;1,X415/100,X415)))</f>
        <v>0</v>
      </c>
      <c r="AI415" s="21" t="n">
        <f aca="false">IF(OR(AE415="",AE415=0),0,AE415*IF(AA415="",0,IF(AA415&gt;1,AA415/100,AA415)))</f>
        <v>0</v>
      </c>
      <c r="AJ415" s="21" t="n">
        <f aca="false">AG415+AH415+AI415</f>
        <v>0</v>
      </c>
      <c r="AK415" s="21" t="n">
        <f aca="false">IF(OR(AE415="",AE415=0),0,AE415-AJ415)</f>
        <v>0</v>
      </c>
      <c r="AL415" s="19" t="str">
        <f aca="false">IF(AD415="","",AD415-AK415)</f>
        <v/>
      </c>
      <c r="AM415" s="26" t="str">
        <f aca="false">IF(C415="","","Waiting for payment")</f>
        <v/>
      </c>
      <c r="AN415" s="27"/>
      <c r="AO415" s="27"/>
      <c r="AP415" s="35" t="str">
        <f aca="false">IF(OR(C415="",I415="",K415=""),"",IF(K415="Monthly",EDATE(C415,ROUND(I415*SETTINGS!$I$8,0)),WORKDAY(C415,ROUND(I415*SETTINGS!$I$8,0))))</f>
        <v/>
      </c>
      <c r="AQ415" s="26" t="str">
        <f aca="true">IF(C415="","",IF(AND(AP415&lt;&gt;"",TODAY()&gt;=AP415),"Refi Ready",IF(TODAY()-C415&gt;=SETTINGS!$I$11,"Prospecting","Performing")))</f>
        <v/>
      </c>
      <c r="AR415" s="35" t="str">
        <f aca="false">IF(OR(C415="",I415="",K415=""),"",IF(K415="Monthly",EDATE(C415,I415),WORKDAY(C415,I415)))</f>
        <v/>
      </c>
      <c r="AS415" s="28"/>
      <c r="AT415" s="36" t="str">
        <f aca="true">IF(C415="","",IF(AM415="Clawed Back","CLAWED",IF(TODAY()&lt;=C415+SETTINGS!$I$2,"⚠ AT RISK","SAFE")))</f>
        <v/>
      </c>
      <c r="AU415" s="28"/>
      <c r="AW415" s="24" t="n">
        <f aca="false">AW414+IF(AND(C415&lt;&gt;"",AO415&lt;&gt;"",OR('REP COMMISSION'!$B$3="",T415='REP COMMISSION'!$B$3,W415='REP COMMISSION'!$B$3,Z415='REP COMMISSION'!$B$3)),1,0)</f>
        <v>0</v>
      </c>
      <c r="AX415" s="24" t="n">
        <f aca="false">AX414+IF(AND(C415&lt;&gt;"",OR(F415="LOC - INITIAL",F415="CONSOLIDATION - UPFRONT COMM",F415="REVERSE - TOTAL FUNDING")),1,0)</f>
        <v>0</v>
      </c>
    </row>
    <row r="416" customFormat="false" ht="15" hidden="false" customHeight="false" outlineLevel="0" collapsed="false">
      <c r="A416" s="8" t="str">
        <f aca="false">IF(C416&lt;&gt;"","F"&amp;COUNT($C$4:C416),"")</f>
        <v/>
      </c>
      <c r="B416" s="9" t="str">
        <f aca="false">IF(OR(F416="LOC - INITIAL",F416="CONSOLIDATION - UPFRONT COMM",F416="REVERSE - TOTAL FUNDING"),A416,"")</f>
        <v/>
      </c>
      <c r="C416" s="10"/>
      <c r="D416" s="11"/>
      <c r="E416" s="11"/>
      <c r="F416" s="11"/>
      <c r="G416" s="12"/>
      <c r="H416" s="13"/>
      <c r="I416" s="11"/>
      <c r="J416" s="14" t="str">
        <f aca="false">IF(AND(G416&lt;&gt;"",H416&lt;&gt;""),G416*H416,"")</f>
        <v/>
      </c>
      <c r="K416" s="11"/>
      <c r="L416" s="15"/>
      <c r="M416" s="15"/>
      <c r="N416" s="14" t="n">
        <f aca="false">IF(OR(G416="",M416=""),0,IF(M416&gt;100,M416,G416*IF(M416&gt;1,M416/100,M416)))</f>
        <v>0</v>
      </c>
      <c r="O416" s="14" t="str">
        <f aca="false">IF(G416="","",G416*IF(L416="",0,IF(L416&gt;1,L416/100,L416))+N416)</f>
        <v/>
      </c>
      <c r="P416" s="11"/>
      <c r="Q416" s="16" t="str">
        <f aca="false">IF(P416="","",IFERROR(VLOOKUP(P416,PARTNERS!$A$2:$B$30,2,0),""))</f>
        <v/>
      </c>
      <c r="R416" s="17" t="str">
        <f aca="false">IF(O416="","",IF(OR(P416="",Q416=""),0,(O416-N416)*IF(Q416&gt;1,Q416/100,Q416)))</f>
        <v/>
      </c>
      <c r="S416" s="14" t="str">
        <f aca="false">IF(O416="","",O416-R416)</f>
        <v/>
      </c>
      <c r="T416" s="11"/>
      <c r="U416" s="18" t="str">
        <f aca="false">IF(T416="","",IFERROR(VLOOKUP(T416,REPS!$A$2:$D$40,2,0),""))</f>
        <v/>
      </c>
      <c r="V416" s="14" t="str">
        <f aca="false">IF(O416="","",IF(U416="",0,O416*IF(U416&gt;1,U416/100,U416)))</f>
        <v/>
      </c>
      <c r="W416" s="11"/>
      <c r="X416" s="18" t="str">
        <f aca="false">IF(W416="","",IFERROR(VLOOKUP(W416,REPS!$A$2:$D$40,3,0),""))</f>
        <v/>
      </c>
      <c r="Y416" s="14" t="str">
        <f aca="false">IF(O416="","",IF(X416="",0,O416*IF(X416&gt;1,X416/100,X416)))</f>
        <v/>
      </c>
      <c r="Z416" s="11"/>
      <c r="AA416" s="18" t="str">
        <f aca="false">IF(Z416="","",IFERROR(VLOOKUP(Z416,REPS!$A$2:$D$40,4,0),""))</f>
        <v/>
      </c>
      <c r="AB416" s="14" t="str">
        <f aca="false">IF(O416="","",IF(AA416="",0,O416*IF(AA416&gt;1,AA416/100,AA416)))</f>
        <v/>
      </c>
      <c r="AC416" s="14" t="str">
        <f aca="false">IF(O416="","",V416+Y416+AB416)</f>
        <v/>
      </c>
      <c r="AD416" s="19" t="str">
        <f aca="false">IF(O416="","",O416-R416-AC416)</f>
        <v/>
      </c>
      <c r="AE416" s="20"/>
      <c r="AF416" s="10"/>
      <c r="AG416" s="21" t="n">
        <f aca="false">IF(OR(AE416="",AE416=0),0,AE416*IF(U416="",0,IF(U416&gt;1,U416/100,U416)))</f>
        <v>0</v>
      </c>
      <c r="AH416" s="21" t="n">
        <f aca="false">IF(OR(AE416="",AE416=0),0,AE416*IF(X416="",0,IF(X416&gt;1,X416/100,X416)))</f>
        <v>0</v>
      </c>
      <c r="AI416" s="21" t="n">
        <f aca="false">IF(OR(AE416="",AE416=0),0,AE416*IF(AA416="",0,IF(AA416&gt;1,AA416/100,AA416)))</f>
        <v>0</v>
      </c>
      <c r="AJ416" s="21" t="n">
        <f aca="false">AG416+AH416+AI416</f>
        <v>0</v>
      </c>
      <c r="AK416" s="21" t="n">
        <f aca="false">IF(OR(AE416="",AE416=0),0,AE416-AJ416)</f>
        <v>0</v>
      </c>
      <c r="AL416" s="19" t="str">
        <f aca="false">IF(AD416="","",AD416-AK416)</f>
        <v/>
      </c>
      <c r="AM416" s="9" t="str">
        <f aca="false">IF(C416="","","Waiting for payment")</f>
        <v/>
      </c>
      <c r="AN416" s="10"/>
      <c r="AO416" s="10"/>
      <c r="AP416" s="22" t="str">
        <f aca="false">IF(OR(C416="",I416="",K416=""),"",IF(K416="Monthly",EDATE(C416,ROUND(I416*SETTINGS!$I$8,0)),WORKDAY(C416,ROUND(I416*SETTINGS!$I$8,0))))</f>
        <v/>
      </c>
      <c r="AQ416" s="9" t="str">
        <f aca="true">IF(C416="","",IF(AND(AP416&lt;&gt;"",TODAY()&gt;=AP416),"Refi Ready",IF(TODAY()-C416&gt;=SETTINGS!$I$11,"Prospecting","Performing")))</f>
        <v/>
      </c>
      <c r="AR416" s="22" t="str">
        <f aca="false">IF(OR(C416="",I416="",K416=""),"",IF(K416="Monthly",EDATE(C416,I416),WORKDAY(C416,I416)))</f>
        <v/>
      </c>
      <c r="AS416" s="11"/>
      <c r="AT416" s="23" t="str">
        <f aca="true">IF(C416="","",IF(AM416="Clawed Back","CLAWED",IF(TODAY()&lt;=C416+SETTINGS!$I$2,"⚠ AT RISK","SAFE")))</f>
        <v/>
      </c>
      <c r="AU416" s="11"/>
      <c r="AW416" s="24" t="n">
        <f aca="false">AW415+IF(AND(C416&lt;&gt;"",AO416&lt;&gt;"",OR('REP COMMISSION'!$B$3="",T416='REP COMMISSION'!$B$3,W416='REP COMMISSION'!$B$3,Z416='REP COMMISSION'!$B$3)),1,0)</f>
        <v>0</v>
      </c>
      <c r="AX416" s="24" t="n">
        <f aca="false">AX415+IF(AND(C416&lt;&gt;"",OR(F416="LOC - INITIAL",F416="CONSOLIDATION - UPFRONT COMM",F416="REVERSE - TOTAL FUNDING")),1,0)</f>
        <v>0</v>
      </c>
    </row>
    <row r="417" customFormat="false" ht="15" hidden="false" customHeight="false" outlineLevel="0" collapsed="false">
      <c r="A417" s="25" t="str">
        <f aca="false">IF(C417&lt;&gt;"","F"&amp;COUNT($C$4:C417),"")</f>
        <v/>
      </c>
      <c r="B417" s="26" t="str">
        <f aca="false">IF(OR(F417="LOC - INITIAL",F417="CONSOLIDATION - UPFRONT COMM",F417="REVERSE - TOTAL FUNDING"),A417,"")</f>
        <v/>
      </c>
      <c r="C417" s="27"/>
      <c r="D417" s="28"/>
      <c r="E417" s="28"/>
      <c r="F417" s="28"/>
      <c r="G417" s="29"/>
      <c r="H417" s="30"/>
      <c r="I417" s="28"/>
      <c r="J417" s="31" t="str">
        <f aca="false">IF(AND(G417&lt;&gt;"",H417&lt;&gt;""),G417*H417,"")</f>
        <v/>
      </c>
      <c r="K417" s="28"/>
      <c r="L417" s="32"/>
      <c r="M417" s="32"/>
      <c r="N417" s="31" t="n">
        <f aca="false">IF(OR(G417="",M417=""),0,IF(M417&gt;100,M417,G417*IF(M417&gt;1,M417/100,M417)))</f>
        <v>0</v>
      </c>
      <c r="O417" s="31" t="str">
        <f aca="false">IF(G417="","",G417*IF(L417="",0,IF(L417&gt;1,L417/100,L417))+N417)</f>
        <v/>
      </c>
      <c r="P417" s="28"/>
      <c r="Q417" s="33" t="str">
        <f aca="false">IF(P417="","",IFERROR(VLOOKUP(P417,PARTNERS!$A$2:$B$30,2,0),""))</f>
        <v/>
      </c>
      <c r="R417" s="17" t="str">
        <f aca="false">IF(O417="","",IF(OR(P417="",Q417=""),0,(O417-N417)*IF(Q417&gt;1,Q417/100,Q417)))</f>
        <v/>
      </c>
      <c r="S417" s="31" t="str">
        <f aca="false">IF(O417="","",O417-R417)</f>
        <v/>
      </c>
      <c r="T417" s="28"/>
      <c r="U417" s="34" t="str">
        <f aca="false">IF(T417="","",IFERROR(VLOOKUP(T417,REPS!$A$2:$D$40,2,0),""))</f>
        <v/>
      </c>
      <c r="V417" s="31" t="str">
        <f aca="false">IF(O417="","",IF(U417="",0,O417*IF(U417&gt;1,U417/100,U417)))</f>
        <v/>
      </c>
      <c r="W417" s="28"/>
      <c r="X417" s="34" t="str">
        <f aca="false">IF(W417="","",IFERROR(VLOOKUP(W417,REPS!$A$2:$D$40,3,0),""))</f>
        <v/>
      </c>
      <c r="Y417" s="31" t="str">
        <f aca="false">IF(O417="","",IF(X417="",0,O417*IF(X417&gt;1,X417/100,X417)))</f>
        <v/>
      </c>
      <c r="Z417" s="28"/>
      <c r="AA417" s="34" t="str">
        <f aca="false">IF(Z417="","",IFERROR(VLOOKUP(Z417,REPS!$A$2:$D$40,4,0),""))</f>
        <v/>
      </c>
      <c r="AB417" s="31" t="str">
        <f aca="false">IF(O417="","",IF(AA417="",0,O417*IF(AA417&gt;1,AA417/100,AA417)))</f>
        <v/>
      </c>
      <c r="AC417" s="31" t="str">
        <f aca="false">IF(O417="","",V417+Y417+AB417)</f>
        <v/>
      </c>
      <c r="AD417" s="19" t="str">
        <f aca="false">IF(O417="","",O417-R417-AC417)</f>
        <v/>
      </c>
      <c r="AE417" s="20"/>
      <c r="AF417" s="27"/>
      <c r="AG417" s="21" t="n">
        <f aca="false">IF(OR(AE417="",AE417=0),0,AE417*IF(U417="",0,IF(U417&gt;1,U417/100,U417)))</f>
        <v>0</v>
      </c>
      <c r="AH417" s="21" t="n">
        <f aca="false">IF(OR(AE417="",AE417=0),0,AE417*IF(X417="",0,IF(X417&gt;1,X417/100,X417)))</f>
        <v>0</v>
      </c>
      <c r="AI417" s="21" t="n">
        <f aca="false">IF(OR(AE417="",AE417=0),0,AE417*IF(AA417="",0,IF(AA417&gt;1,AA417/100,AA417)))</f>
        <v>0</v>
      </c>
      <c r="AJ417" s="21" t="n">
        <f aca="false">AG417+AH417+AI417</f>
        <v>0</v>
      </c>
      <c r="AK417" s="21" t="n">
        <f aca="false">IF(OR(AE417="",AE417=0),0,AE417-AJ417)</f>
        <v>0</v>
      </c>
      <c r="AL417" s="19" t="str">
        <f aca="false">IF(AD417="","",AD417-AK417)</f>
        <v/>
      </c>
      <c r="AM417" s="26" t="str">
        <f aca="false">IF(C417="","","Waiting for payment")</f>
        <v/>
      </c>
      <c r="AN417" s="27"/>
      <c r="AO417" s="27"/>
      <c r="AP417" s="35" t="str">
        <f aca="false">IF(OR(C417="",I417="",K417=""),"",IF(K417="Monthly",EDATE(C417,ROUND(I417*SETTINGS!$I$8,0)),WORKDAY(C417,ROUND(I417*SETTINGS!$I$8,0))))</f>
        <v/>
      </c>
      <c r="AQ417" s="26" t="str">
        <f aca="true">IF(C417="","",IF(AND(AP417&lt;&gt;"",TODAY()&gt;=AP417),"Refi Ready",IF(TODAY()-C417&gt;=SETTINGS!$I$11,"Prospecting","Performing")))</f>
        <v/>
      </c>
      <c r="AR417" s="35" t="str">
        <f aca="false">IF(OR(C417="",I417="",K417=""),"",IF(K417="Monthly",EDATE(C417,I417),WORKDAY(C417,I417)))</f>
        <v/>
      </c>
      <c r="AS417" s="28"/>
      <c r="AT417" s="36" t="str">
        <f aca="true">IF(C417="","",IF(AM417="Clawed Back","CLAWED",IF(TODAY()&lt;=C417+SETTINGS!$I$2,"⚠ AT RISK","SAFE")))</f>
        <v/>
      </c>
      <c r="AU417" s="28"/>
      <c r="AW417" s="24" t="n">
        <f aca="false">AW416+IF(AND(C417&lt;&gt;"",AO417&lt;&gt;"",OR('REP COMMISSION'!$B$3="",T417='REP COMMISSION'!$B$3,W417='REP COMMISSION'!$B$3,Z417='REP COMMISSION'!$B$3)),1,0)</f>
        <v>0</v>
      </c>
      <c r="AX417" s="24" t="n">
        <f aca="false">AX416+IF(AND(C417&lt;&gt;"",OR(F417="LOC - INITIAL",F417="CONSOLIDATION - UPFRONT COMM",F417="REVERSE - TOTAL FUNDING")),1,0)</f>
        <v>0</v>
      </c>
    </row>
    <row r="418" customFormat="false" ht="15" hidden="false" customHeight="false" outlineLevel="0" collapsed="false">
      <c r="A418" s="8" t="str">
        <f aca="false">IF(C418&lt;&gt;"","F"&amp;COUNT($C$4:C418),"")</f>
        <v/>
      </c>
      <c r="B418" s="9" t="str">
        <f aca="false">IF(OR(F418="LOC - INITIAL",F418="CONSOLIDATION - UPFRONT COMM",F418="REVERSE - TOTAL FUNDING"),A418,"")</f>
        <v/>
      </c>
      <c r="C418" s="10"/>
      <c r="D418" s="11"/>
      <c r="E418" s="11"/>
      <c r="F418" s="11"/>
      <c r="G418" s="12"/>
      <c r="H418" s="13"/>
      <c r="I418" s="11"/>
      <c r="J418" s="14" t="str">
        <f aca="false">IF(AND(G418&lt;&gt;"",H418&lt;&gt;""),G418*H418,"")</f>
        <v/>
      </c>
      <c r="K418" s="11"/>
      <c r="L418" s="15"/>
      <c r="M418" s="15"/>
      <c r="N418" s="14" t="n">
        <f aca="false">IF(OR(G418="",M418=""),0,IF(M418&gt;100,M418,G418*IF(M418&gt;1,M418/100,M418)))</f>
        <v>0</v>
      </c>
      <c r="O418" s="14" t="str">
        <f aca="false">IF(G418="","",G418*IF(L418="",0,IF(L418&gt;1,L418/100,L418))+N418)</f>
        <v/>
      </c>
      <c r="P418" s="11"/>
      <c r="Q418" s="16" t="str">
        <f aca="false">IF(P418="","",IFERROR(VLOOKUP(P418,PARTNERS!$A$2:$B$30,2,0),""))</f>
        <v/>
      </c>
      <c r="R418" s="17" t="str">
        <f aca="false">IF(O418="","",IF(OR(P418="",Q418=""),0,(O418-N418)*IF(Q418&gt;1,Q418/100,Q418)))</f>
        <v/>
      </c>
      <c r="S418" s="14" t="str">
        <f aca="false">IF(O418="","",O418-R418)</f>
        <v/>
      </c>
      <c r="T418" s="11"/>
      <c r="U418" s="18" t="str">
        <f aca="false">IF(T418="","",IFERROR(VLOOKUP(T418,REPS!$A$2:$D$40,2,0),""))</f>
        <v/>
      </c>
      <c r="V418" s="14" t="str">
        <f aca="false">IF(O418="","",IF(U418="",0,O418*IF(U418&gt;1,U418/100,U418)))</f>
        <v/>
      </c>
      <c r="W418" s="11"/>
      <c r="X418" s="18" t="str">
        <f aca="false">IF(W418="","",IFERROR(VLOOKUP(W418,REPS!$A$2:$D$40,3,0),""))</f>
        <v/>
      </c>
      <c r="Y418" s="14" t="str">
        <f aca="false">IF(O418="","",IF(X418="",0,O418*IF(X418&gt;1,X418/100,X418)))</f>
        <v/>
      </c>
      <c r="Z418" s="11"/>
      <c r="AA418" s="18" t="str">
        <f aca="false">IF(Z418="","",IFERROR(VLOOKUP(Z418,REPS!$A$2:$D$40,4,0),""))</f>
        <v/>
      </c>
      <c r="AB418" s="14" t="str">
        <f aca="false">IF(O418="","",IF(AA418="",0,O418*IF(AA418&gt;1,AA418/100,AA418)))</f>
        <v/>
      </c>
      <c r="AC418" s="14" t="str">
        <f aca="false">IF(O418="","",V418+Y418+AB418)</f>
        <v/>
      </c>
      <c r="AD418" s="19" t="str">
        <f aca="false">IF(O418="","",O418-R418-AC418)</f>
        <v/>
      </c>
      <c r="AE418" s="20"/>
      <c r="AF418" s="10"/>
      <c r="AG418" s="21" t="n">
        <f aca="false">IF(OR(AE418="",AE418=0),0,AE418*IF(U418="",0,IF(U418&gt;1,U418/100,U418)))</f>
        <v>0</v>
      </c>
      <c r="AH418" s="21" t="n">
        <f aca="false">IF(OR(AE418="",AE418=0),0,AE418*IF(X418="",0,IF(X418&gt;1,X418/100,X418)))</f>
        <v>0</v>
      </c>
      <c r="AI418" s="21" t="n">
        <f aca="false">IF(OR(AE418="",AE418=0),0,AE418*IF(AA418="",0,IF(AA418&gt;1,AA418/100,AA418)))</f>
        <v>0</v>
      </c>
      <c r="AJ418" s="21" t="n">
        <f aca="false">AG418+AH418+AI418</f>
        <v>0</v>
      </c>
      <c r="AK418" s="21" t="n">
        <f aca="false">IF(OR(AE418="",AE418=0),0,AE418-AJ418)</f>
        <v>0</v>
      </c>
      <c r="AL418" s="19" t="str">
        <f aca="false">IF(AD418="","",AD418-AK418)</f>
        <v/>
      </c>
      <c r="AM418" s="9" t="str">
        <f aca="false">IF(C418="","","Waiting for payment")</f>
        <v/>
      </c>
      <c r="AN418" s="10"/>
      <c r="AO418" s="10"/>
      <c r="AP418" s="22" t="str">
        <f aca="false">IF(OR(C418="",I418="",K418=""),"",IF(K418="Monthly",EDATE(C418,ROUND(I418*SETTINGS!$I$8,0)),WORKDAY(C418,ROUND(I418*SETTINGS!$I$8,0))))</f>
        <v/>
      </c>
      <c r="AQ418" s="9" t="str">
        <f aca="true">IF(C418="","",IF(AND(AP418&lt;&gt;"",TODAY()&gt;=AP418),"Refi Ready",IF(TODAY()-C418&gt;=SETTINGS!$I$11,"Prospecting","Performing")))</f>
        <v/>
      </c>
      <c r="AR418" s="22" t="str">
        <f aca="false">IF(OR(C418="",I418="",K418=""),"",IF(K418="Monthly",EDATE(C418,I418),WORKDAY(C418,I418)))</f>
        <v/>
      </c>
      <c r="AS418" s="11"/>
      <c r="AT418" s="23" t="str">
        <f aca="true">IF(C418="","",IF(AM418="Clawed Back","CLAWED",IF(TODAY()&lt;=C418+SETTINGS!$I$2,"⚠ AT RISK","SAFE")))</f>
        <v/>
      </c>
      <c r="AU418" s="11"/>
      <c r="AW418" s="24" t="n">
        <f aca="false">AW417+IF(AND(C418&lt;&gt;"",AO418&lt;&gt;"",OR('REP COMMISSION'!$B$3="",T418='REP COMMISSION'!$B$3,W418='REP COMMISSION'!$B$3,Z418='REP COMMISSION'!$B$3)),1,0)</f>
        <v>0</v>
      </c>
      <c r="AX418" s="24" t="n">
        <f aca="false">AX417+IF(AND(C418&lt;&gt;"",OR(F418="LOC - INITIAL",F418="CONSOLIDATION - UPFRONT COMM",F418="REVERSE - TOTAL FUNDING")),1,0)</f>
        <v>0</v>
      </c>
    </row>
    <row r="419" customFormat="false" ht="15" hidden="false" customHeight="false" outlineLevel="0" collapsed="false">
      <c r="A419" s="25" t="str">
        <f aca="false">IF(C419&lt;&gt;"","F"&amp;COUNT($C$4:C419),"")</f>
        <v/>
      </c>
      <c r="B419" s="26" t="str">
        <f aca="false">IF(OR(F419="LOC - INITIAL",F419="CONSOLIDATION - UPFRONT COMM",F419="REVERSE - TOTAL FUNDING"),A419,"")</f>
        <v/>
      </c>
      <c r="C419" s="27"/>
      <c r="D419" s="28"/>
      <c r="E419" s="28"/>
      <c r="F419" s="28"/>
      <c r="G419" s="29"/>
      <c r="H419" s="30"/>
      <c r="I419" s="28"/>
      <c r="J419" s="31" t="str">
        <f aca="false">IF(AND(G419&lt;&gt;"",H419&lt;&gt;""),G419*H419,"")</f>
        <v/>
      </c>
      <c r="K419" s="28"/>
      <c r="L419" s="32"/>
      <c r="M419" s="32"/>
      <c r="N419" s="31" t="n">
        <f aca="false">IF(OR(G419="",M419=""),0,IF(M419&gt;100,M419,G419*IF(M419&gt;1,M419/100,M419)))</f>
        <v>0</v>
      </c>
      <c r="O419" s="31" t="str">
        <f aca="false">IF(G419="","",G419*IF(L419="",0,IF(L419&gt;1,L419/100,L419))+N419)</f>
        <v/>
      </c>
      <c r="P419" s="28"/>
      <c r="Q419" s="33" t="str">
        <f aca="false">IF(P419="","",IFERROR(VLOOKUP(P419,PARTNERS!$A$2:$B$30,2,0),""))</f>
        <v/>
      </c>
      <c r="R419" s="17" t="str">
        <f aca="false">IF(O419="","",IF(OR(P419="",Q419=""),0,(O419-N419)*IF(Q419&gt;1,Q419/100,Q419)))</f>
        <v/>
      </c>
      <c r="S419" s="31" t="str">
        <f aca="false">IF(O419="","",O419-R419)</f>
        <v/>
      </c>
      <c r="T419" s="28"/>
      <c r="U419" s="34" t="str">
        <f aca="false">IF(T419="","",IFERROR(VLOOKUP(T419,REPS!$A$2:$D$40,2,0),""))</f>
        <v/>
      </c>
      <c r="V419" s="31" t="str">
        <f aca="false">IF(O419="","",IF(U419="",0,O419*IF(U419&gt;1,U419/100,U419)))</f>
        <v/>
      </c>
      <c r="W419" s="28"/>
      <c r="X419" s="34" t="str">
        <f aca="false">IF(W419="","",IFERROR(VLOOKUP(W419,REPS!$A$2:$D$40,3,0),""))</f>
        <v/>
      </c>
      <c r="Y419" s="31" t="str">
        <f aca="false">IF(O419="","",IF(X419="",0,O419*IF(X419&gt;1,X419/100,X419)))</f>
        <v/>
      </c>
      <c r="Z419" s="28"/>
      <c r="AA419" s="34" t="str">
        <f aca="false">IF(Z419="","",IFERROR(VLOOKUP(Z419,REPS!$A$2:$D$40,4,0),""))</f>
        <v/>
      </c>
      <c r="AB419" s="31" t="str">
        <f aca="false">IF(O419="","",IF(AA419="",0,O419*IF(AA419&gt;1,AA419/100,AA419)))</f>
        <v/>
      </c>
      <c r="AC419" s="31" t="str">
        <f aca="false">IF(O419="","",V419+Y419+AB419)</f>
        <v/>
      </c>
      <c r="AD419" s="19" t="str">
        <f aca="false">IF(O419="","",O419-R419-AC419)</f>
        <v/>
      </c>
      <c r="AE419" s="20"/>
      <c r="AF419" s="27"/>
      <c r="AG419" s="21" t="n">
        <f aca="false">IF(OR(AE419="",AE419=0),0,AE419*IF(U419="",0,IF(U419&gt;1,U419/100,U419)))</f>
        <v>0</v>
      </c>
      <c r="AH419" s="21" t="n">
        <f aca="false">IF(OR(AE419="",AE419=0),0,AE419*IF(X419="",0,IF(X419&gt;1,X419/100,X419)))</f>
        <v>0</v>
      </c>
      <c r="AI419" s="21" t="n">
        <f aca="false">IF(OR(AE419="",AE419=0),0,AE419*IF(AA419="",0,IF(AA419&gt;1,AA419/100,AA419)))</f>
        <v>0</v>
      </c>
      <c r="AJ419" s="21" t="n">
        <f aca="false">AG419+AH419+AI419</f>
        <v>0</v>
      </c>
      <c r="AK419" s="21" t="n">
        <f aca="false">IF(OR(AE419="",AE419=0),0,AE419-AJ419)</f>
        <v>0</v>
      </c>
      <c r="AL419" s="19" t="str">
        <f aca="false">IF(AD419="","",AD419-AK419)</f>
        <v/>
      </c>
      <c r="AM419" s="26" t="str">
        <f aca="false">IF(C419="","","Waiting for payment")</f>
        <v/>
      </c>
      <c r="AN419" s="27"/>
      <c r="AO419" s="27"/>
      <c r="AP419" s="35" t="str">
        <f aca="false">IF(OR(C419="",I419="",K419=""),"",IF(K419="Monthly",EDATE(C419,ROUND(I419*SETTINGS!$I$8,0)),WORKDAY(C419,ROUND(I419*SETTINGS!$I$8,0))))</f>
        <v/>
      </c>
      <c r="AQ419" s="26" t="str">
        <f aca="true">IF(C419="","",IF(AND(AP419&lt;&gt;"",TODAY()&gt;=AP419),"Refi Ready",IF(TODAY()-C419&gt;=SETTINGS!$I$11,"Prospecting","Performing")))</f>
        <v/>
      </c>
      <c r="AR419" s="35" t="str">
        <f aca="false">IF(OR(C419="",I419="",K419=""),"",IF(K419="Monthly",EDATE(C419,I419),WORKDAY(C419,I419)))</f>
        <v/>
      </c>
      <c r="AS419" s="28"/>
      <c r="AT419" s="36" t="str">
        <f aca="true">IF(C419="","",IF(AM419="Clawed Back","CLAWED",IF(TODAY()&lt;=C419+SETTINGS!$I$2,"⚠ AT RISK","SAFE")))</f>
        <v/>
      </c>
      <c r="AU419" s="28"/>
      <c r="AW419" s="24" t="n">
        <f aca="false">AW418+IF(AND(C419&lt;&gt;"",AO419&lt;&gt;"",OR('REP COMMISSION'!$B$3="",T419='REP COMMISSION'!$B$3,W419='REP COMMISSION'!$B$3,Z419='REP COMMISSION'!$B$3)),1,0)</f>
        <v>0</v>
      </c>
      <c r="AX419" s="24" t="n">
        <f aca="false">AX418+IF(AND(C419&lt;&gt;"",OR(F419="LOC - INITIAL",F419="CONSOLIDATION - UPFRONT COMM",F419="REVERSE - TOTAL FUNDING")),1,0)</f>
        <v>0</v>
      </c>
    </row>
    <row r="420" customFormat="false" ht="15" hidden="false" customHeight="false" outlineLevel="0" collapsed="false">
      <c r="A420" s="8" t="str">
        <f aca="false">IF(C420&lt;&gt;"","F"&amp;COUNT($C$4:C420),"")</f>
        <v/>
      </c>
      <c r="B420" s="9" t="str">
        <f aca="false">IF(OR(F420="LOC - INITIAL",F420="CONSOLIDATION - UPFRONT COMM",F420="REVERSE - TOTAL FUNDING"),A420,"")</f>
        <v/>
      </c>
      <c r="C420" s="10"/>
      <c r="D420" s="11"/>
      <c r="E420" s="11"/>
      <c r="F420" s="11"/>
      <c r="G420" s="12"/>
      <c r="H420" s="13"/>
      <c r="I420" s="11"/>
      <c r="J420" s="14" t="str">
        <f aca="false">IF(AND(G420&lt;&gt;"",H420&lt;&gt;""),G420*H420,"")</f>
        <v/>
      </c>
      <c r="K420" s="11"/>
      <c r="L420" s="15"/>
      <c r="M420" s="15"/>
      <c r="N420" s="14" t="n">
        <f aca="false">IF(OR(G420="",M420=""),0,IF(M420&gt;100,M420,G420*IF(M420&gt;1,M420/100,M420)))</f>
        <v>0</v>
      </c>
      <c r="O420" s="14" t="str">
        <f aca="false">IF(G420="","",G420*IF(L420="",0,IF(L420&gt;1,L420/100,L420))+N420)</f>
        <v/>
      </c>
      <c r="P420" s="11"/>
      <c r="Q420" s="16" t="str">
        <f aca="false">IF(P420="","",IFERROR(VLOOKUP(P420,PARTNERS!$A$2:$B$30,2,0),""))</f>
        <v/>
      </c>
      <c r="R420" s="17" t="str">
        <f aca="false">IF(O420="","",IF(OR(P420="",Q420=""),0,(O420-N420)*IF(Q420&gt;1,Q420/100,Q420)))</f>
        <v/>
      </c>
      <c r="S420" s="14" t="str">
        <f aca="false">IF(O420="","",O420-R420)</f>
        <v/>
      </c>
      <c r="T420" s="11"/>
      <c r="U420" s="18" t="str">
        <f aca="false">IF(T420="","",IFERROR(VLOOKUP(T420,REPS!$A$2:$D$40,2,0),""))</f>
        <v/>
      </c>
      <c r="V420" s="14" t="str">
        <f aca="false">IF(O420="","",IF(U420="",0,O420*IF(U420&gt;1,U420/100,U420)))</f>
        <v/>
      </c>
      <c r="W420" s="11"/>
      <c r="X420" s="18" t="str">
        <f aca="false">IF(W420="","",IFERROR(VLOOKUP(W420,REPS!$A$2:$D$40,3,0),""))</f>
        <v/>
      </c>
      <c r="Y420" s="14" t="str">
        <f aca="false">IF(O420="","",IF(X420="",0,O420*IF(X420&gt;1,X420/100,X420)))</f>
        <v/>
      </c>
      <c r="Z420" s="11"/>
      <c r="AA420" s="18" t="str">
        <f aca="false">IF(Z420="","",IFERROR(VLOOKUP(Z420,REPS!$A$2:$D$40,4,0),""))</f>
        <v/>
      </c>
      <c r="AB420" s="14" t="str">
        <f aca="false">IF(O420="","",IF(AA420="",0,O420*IF(AA420&gt;1,AA420/100,AA420)))</f>
        <v/>
      </c>
      <c r="AC420" s="14" t="str">
        <f aca="false">IF(O420="","",V420+Y420+AB420)</f>
        <v/>
      </c>
      <c r="AD420" s="19" t="str">
        <f aca="false">IF(O420="","",O420-R420-AC420)</f>
        <v/>
      </c>
      <c r="AE420" s="20"/>
      <c r="AF420" s="10"/>
      <c r="AG420" s="21" t="n">
        <f aca="false">IF(OR(AE420="",AE420=0),0,AE420*IF(U420="",0,IF(U420&gt;1,U420/100,U420)))</f>
        <v>0</v>
      </c>
      <c r="AH420" s="21" t="n">
        <f aca="false">IF(OR(AE420="",AE420=0),0,AE420*IF(X420="",0,IF(X420&gt;1,X420/100,X420)))</f>
        <v>0</v>
      </c>
      <c r="AI420" s="21" t="n">
        <f aca="false">IF(OR(AE420="",AE420=0),0,AE420*IF(AA420="",0,IF(AA420&gt;1,AA420/100,AA420)))</f>
        <v>0</v>
      </c>
      <c r="AJ420" s="21" t="n">
        <f aca="false">AG420+AH420+AI420</f>
        <v>0</v>
      </c>
      <c r="AK420" s="21" t="n">
        <f aca="false">IF(OR(AE420="",AE420=0),0,AE420-AJ420)</f>
        <v>0</v>
      </c>
      <c r="AL420" s="19" t="str">
        <f aca="false">IF(AD420="","",AD420-AK420)</f>
        <v/>
      </c>
      <c r="AM420" s="9" t="str">
        <f aca="false">IF(C420="","","Waiting for payment")</f>
        <v/>
      </c>
      <c r="AN420" s="10"/>
      <c r="AO420" s="10"/>
      <c r="AP420" s="22" t="str">
        <f aca="false">IF(OR(C420="",I420="",K420=""),"",IF(K420="Monthly",EDATE(C420,ROUND(I420*SETTINGS!$I$8,0)),WORKDAY(C420,ROUND(I420*SETTINGS!$I$8,0))))</f>
        <v/>
      </c>
      <c r="AQ420" s="9" t="str">
        <f aca="true">IF(C420="","",IF(AND(AP420&lt;&gt;"",TODAY()&gt;=AP420),"Refi Ready",IF(TODAY()-C420&gt;=SETTINGS!$I$11,"Prospecting","Performing")))</f>
        <v/>
      </c>
      <c r="AR420" s="22" t="str">
        <f aca="false">IF(OR(C420="",I420="",K420=""),"",IF(K420="Monthly",EDATE(C420,I420),WORKDAY(C420,I420)))</f>
        <v/>
      </c>
      <c r="AS420" s="11"/>
      <c r="AT420" s="23" t="str">
        <f aca="true">IF(C420="","",IF(AM420="Clawed Back","CLAWED",IF(TODAY()&lt;=C420+SETTINGS!$I$2,"⚠ AT RISK","SAFE")))</f>
        <v/>
      </c>
      <c r="AU420" s="11"/>
      <c r="AW420" s="24" t="n">
        <f aca="false">AW419+IF(AND(C420&lt;&gt;"",AO420&lt;&gt;"",OR('REP COMMISSION'!$B$3="",T420='REP COMMISSION'!$B$3,W420='REP COMMISSION'!$B$3,Z420='REP COMMISSION'!$B$3)),1,0)</f>
        <v>0</v>
      </c>
      <c r="AX420" s="24" t="n">
        <f aca="false">AX419+IF(AND(C420&lt;&gt;"",OR(F420="LOC - INITIAL",F420="CONSOLIDATION - UPFRONT COMM",F420="REVERSE - TOTAL FUNDING")),1,0)</f>
        <v>0</v>
      </c>
    </row>
    <row r="421" customFormat="false" ht="15" hidden="false" customHeight="false" outlineLevel="0" collapsed="false">
      <c r="A421" s="25" t="str">
        <f aca="false">IF(C421&lt;&gt;"","F"&amp;COUNT($C$4:C421),"")</f>
        <v/>
      </c>
      <c r="B421" s="26" t="str">
        <f aca="false">IF(OR(F421="LOC - INITIAL",F421="CONSOLIDATION - UPFRONT COMM",F421="REVERSE - TOTAL FUNDING"),A421,"")</f>
        <v/>
      </c>
      <c r="C421" s="27"/>
      <c r="D421" s="28"/>
      <c r="E421" s="28"/>
      <c r="F421" s="28"/>
      <c r="G421" s="29"/>
      <c r="H421" s="30"/>
      <c r="I421" s="28"/>
      <c r="J421" s="31" t="str">
        <f aca="false">IF(AND(G421&lt;&gt;"",H421&lt;&gt;""),G421*H421,"")</f>
        <v/>
      </c>
      <c r="K421" s="28"/>
      <c r="L421" s="32"/>
      <c r="M421" s="32"/>
      <c r="N421" s="31" t="n">
        <f aca="false">IF(OR(G421="",M421=""),0,IF(M421&gt;100,M421,G421*IF(M421&gt;1,M421/100,M421)))</f>
        <v>0</v>
      </c>
      <c r="O421" s="31" t="str">
        <f aca="false">IF(G421="","",G421*IF(L421="",0,IF(L421&gt;1,L421/100,L421))+N421)</f>
        <v/>
      </c>
      <c r="P421" s="28"/>
      <c r="Q421" s="33" t="str">
        <f aca="false">IF(P421="","",IFERROR(VLOOKUP(P421,PARTNERS!$A$2:$B$30,2,0),""))</f>
        <v/>
      </c>
      <c r="R421" s="17" t="str">
        <f aca="false">IF(O421="","",IF(OR(P421="",Q421=""),0,(O421-N421)*IF(Q421&gt;1,Q421/100,Q421)))</f>
        <v/>
      </c>
      <c r="S421" s="31" t="str">
        <f aca="false">IF(O421="","",O421-R421)</f>
        <v/>
      </c>
      <c r="T421" s="28"/>
      <c r="U421" s="34" t="str">
        <f aca="false">IF(T421="","",IFERROR(VLOOKUP(T421,REPS!$A$2:$D$40,2,0),""))</f>
        <v/>
      </c>
      <c r="V421" s="31" t="str">
        <f aca="false">IF(O421="","",IF(U421="",0,O421*IF(U421&gt;1,U421/100,U421)))</f>
        <v/>
      </c>
      <c r="W421" s="28"/>
      <c r="X421" s="34" t="str">
        <f aca="false">IF(W421="","",IFERROR(VLOOKUP(W421,REPS!$A$2:$D$40,3,0),""))</f>
        <v/>
      </c>
      <c r="Y421" s="31" t="str">
        <f aca="false">IF(O421="","",IF(X421="",0,O421*IF(X421&gt;1,X421/100,X421)))</f>
        <v/>
      </c>
      <c r="Z421" s="28"/>
      <c r="AA421" s="34" t="str">
        <f aca="false">IF(Z421="","",IFERROR(VLOOKUP(Z421,REPS!$A$2:$D$40,4,0),""))</f>
        <v/>
      </c>
      <c r="AB421" s="31" t="str">
        <f aca="false">IF(O421="","",IF(AA421="",0,O421*IF(AA421&gt;1,AA421/100,AA421)))</f>
        <v/>
      </c>
      <c r="AC421" s="31" t="str">
        <f aca="false">IF(O421="","",V421+Y421+AB421)</f>
        <v/>
      </c>
      <c r="AD421" s="19" t="str">
        <f aca="false">IF(O421="","",O421-R421-AC421)</f>
        <v/>
      </c>
      <c r="AE421" s="20"/>
      <c r="AF421" s="27"/>
      <c r="AG421" s="21" t="n">
        <f aca="false">IF(OR(AE421="",AE421=0),0,AE421*IF(U421="",0,IF(U421&gt;1,U421/100,U421)))</f>
        <v>0</v>
      </c>
      <c r="AH421" s="21" t="n">
        <f aca="false">IF(OR(AE421="",AE421=0),0,AE421*IF(X421="",0,IF(X421&gt;1,X421/100,X421)))</f>
        <v>0</v>
      </c>
      <c r="AI421" s="21" t="n">
        <f aca="false">IF(OR(AE421="",AE421=0),0,AE421*IF(AA421="",0,IF(AA421&gt;1,AA421/100,AA421)))</f>
        <v>0</v>
      </c>
      <c r="AJ421" s="21" t="n">
        <f aca="false">AG421+AH421+AI421</f>
        <v>0</v>
      </c>
      <c r="AK421" s="21" t="n">
        <f aca="false">IF(OR(AE421="",AE421=0),0,AE421-AJ421)</f>
        <v>0</v>
      </c>
      <c r="AL421" s="19" t="str">
        <f aca="false">IF(AD421="","",AD421-AK421)</f>
        <v/>
      </c>
      <c r="AM421" s="26" t="str">
        <f aca="false">IF(C421="","","Waiting for payment")</f>
        <v/>
      </c>
      <c r="AN421" s="27"/>
      <c r="AO421" s="27"/>
      <c r="AP421" s="35" t="str">
        <f aca="false">IF(OR(C421="",I421="",K421=""),"",IF(K421="Monthly",EDATE(C421,ROUND(I421*SETTINGS!$I$8,0)),WORKDAY(C421,ROUND(I421*SETTINGS!$I$8,0))))</f>
        <v/>
      </c>
      <c r="AQ421" s="26" t="str">
        <f aca="true">IF(C421="","",IF(AND(AP421&lt;&gt;"",TODAY()&gt;=AP421),"Refi Ready",IF(TODAY()-C421&gt;=SETTINGS!$I$11,"Prospecting","Performing")))</f>
        <v/>
      </c>
      <c r="AR421" s="35" t="str">
        <f aca="false">IF(OR(C421="",I421="",K421=""),"",IF(K421="Monthly",EDATE(C421,I421),WORKDAY(C421,I421)))</f>
        <v/>
      </c>
      <c r="AS421" s="28"/>
      <c r="AT421" s="36" t="str">
        <f aca="true">IF(C421="","",IF(AM421="Clawed Back","CLAWED",IF(TODAY()&lt;=C421+SETTINGS!$I$2,"⚠ AT RISK","SAFE")))</f>
        <v/>
      </c>
      <c r="AU421" s="28"/>
      <c r="AW421" s="24" t="n">
        <f aca="false">AW420+IF(AND(C421&lt;&gt;"",AO421&lt;&gt;"",OR('REP COMMISSION'!$B$3="",T421='REP COMMISSION'!$B$3,W421='REP COMMISSION'!$B$3,Z421='REP COMMISSION'!$B$3)),1,0)</f>
        <v>0</v>
      </c>
      <c r="AX421" s="24" t="n">
        <f aca="false">AX420+IF(AND(C421&lt;&gt;"",OR(F421="LOC - INITIAL",F421="CONSOLIDATION - UPFRONT COMM",F421="REVERSE - TOTAL FUNDING")),1,0)</f>
        <v>0</v>
      </c>
    </row>
    <row r="422" customFormat="false" ht="15" hidden="false" customHeight="false" outlineLevel="0" collapsed="false">
      <c r="A422" s="8" t="str">
        <f aca="false">IF(C422&lt;&gt;"","F"&amp;COUNT($C$4:C422),"")</f>
        <v/>
      </c>
      <c r="B422" s="9" t="str">
        <f aca="false">IF(OR(F422="LOC - INITIAL",F422="CONSOLIDATION - UPFRONT COMM",F422="REVERSE - TOTAL FUNDING"),A422,"")</f>
        <v/>
      </c>
      <c r="C422" s="10"/>
      <c r="D422" s="11"/>
      <c r="E422" s="11"/>
      <c r="F422" s="11"/>
      <c r="G422" s="12"/>
      <c r="H422" s="13"/>
      <c r="I422" s="11"/>
      <c r="J422" s="14" t="str">
        <f aca="false">IF(AND(G422&lt;&gt;"",H422&lt;&gt;""),G422*H422,"")</f>
        <v/>
      </c>
      <c r="K422" s="11"/>
      <c r="L422" s="15"/>
      <c r="M422" s="15"/>
      <c r="N422" s="14" t="n">
        <f aca="false">IF(OR(G422="",M422=""),0,IF(M422&gt;100,M422,G422*IF(M422&gt;1,M422/100,M422)))</f>
        <v>0</v>
      </c>
      <c r="O422" s="14" t="str">
        <f aca="false">IF(G422="","",G422*IF(L422="",0,IF(L422&gt;1,L422/100,L422))+N422)</f>
        <v/>
      </c>
      <c r="P422" s="11"/>
      <c r="Q422" s="16" t="str">
        <f aca="false">IF(P422="","",IFERROR(VLOOKUP(P422,PARTNERS!$A$2:$B$30,2,0),""))</f>
        <v/>
      </c>
      <c r="R422" s="17" t="str">
        <f aca="false">IF(O422="","",IF(OR(P422="",Q422=""),0,(O422-N422)*IF(Q422&gt;1,Q422/100,Q422)))</f>
        <v/>
      </c>
      <c r="S422" s="14" t="str">
        <f aca="false">IF(O422="","",O422-R422)</f>
        <v/>
      </c>
      <c r="T422" s="11"/>
      <c r="U422" s="18" t="str">
        <f aca="false">IF(T422="","",IFERROR(VLOOKUP(T422,REPS!$A$2:$D$40,2,0),""))</f>
        <v/>
      </c>
      <c r="V422" s="14" t="str">
        <f aca="false">IF(O422="","",IF(U422="",0,O422*IF(U422&gt;1,U422/100,U422)))</f>
        <v/>
      </c>
      <c r="W422" s="11"/>
      <c r="X422" s="18" t="str">
        <f aca="false">IF(W422="","",IFERROR(VLOOKUP(W422,REPS!$A$2:$D$40,3,0),""))</f>
        <v/>
      </c>
      <c r="Y422" s="14" t="str">
        <f aca="false">IF(O422="","",IF(X422="",0,O422*IF(X422&gt;1,X422/100,X422)))</f>
        <v/>
      </c>
      <c r="Z422" s="11"/>
      <c r="AA422" s="18" t="str">
        <f aca="false">IF(Z422="","",IFERROR(VLOOKUP(Z422,REPS!$A$2:$D$40,4,0),""))</f>
        <v/>
      </c>
      <c r="AB422" s="14" t="str">
        <f aca="false">IF(O422="","",IF(AA422="",0,O422*IF(AA422&gt;1,AA422/100,AA422)))</f>
        <v/>
      </c>
      <c r="AC422" s="14" t="str">
        <f aca="false">IF(O422="","",V422+Y422+AB422)</f>
        <v/>
      </c>
      <c r="AD422" s="19" t="str">
        <f aca="false">IF(O422="","",O422-R422-AC422)</f>
        <v/>
      </c>
      <c r="AE422" s="20"/>
      <c r="AF422" s="10"/>
      <c r="AG422" s="21" t="n">
        <f aca="false">IF(OR(AE422="",AE422=0),0,AE422*IF(U422="",0,IF(U422&gt;1,U422/100,U422)))</f>
        <v>0</v>
      </c>
      <c r="AH422" s="21" t="n">
        <f aca="false">IF(OR(AE422="",AE422=0),0,AE422*IF(X422="",0,IF(X422&gt;1,X422/100,X422)))</f>
        <v>0</v>
      </c>
      <c r="AI422" s="21" t="n">
        <f aca="false">IF(OR(AE422="",AE422=0),0,AE422*IF(AA422="",0,IF(AA422&gt;1,AA422/100,AA422)))</f>
        <v>0</v>
      </c>
      <c r="AJ422" s="21" t="n">
        <f aca="false">AG422+AH422+AI422</f>
        <v>0</v>
      </c>
      <c r="AK422" s="21" t="n">
        <f aca="false">IF(OR(AE422="",AE422=0),0,AE422-AJ422)</f>
        <v>0</v>
      </c>
      <c r="AL422" s="19" t="str">
        <f aca="false">IF(AD422="","",AD422-AK422)</f>
        <v/>
      </c>
      <c r="AM422" s="9" t="str">
        <f aca="false">IF(C422="","","Waiting for payment")</f>
        <v/>
      </c>
      <c r="AN422" s="10"/>
      <c r="AO422" s="10"/>
      <c r="AP422" s="22" t="str">
        <f aca="false">IF(OR(C422="",I422="",K422=""),"",IF(K422="Monthly",EDATE(C422,ROUND(I422*SETTINGS!$I$8,0)),WORKDAY(C422,ROUND(I422*SETTINGS!$I$8,0))))</f>
        <v/>
      </c>
      <c r="AQ422" s="9" t="str">
        <f aca="true">IF(C422="","",IF(AND(AP422&lt;&gt;"",TODAY()&gt;=AP422),"Refi Ready",IF(TODAY()-C422&gt;=SETTINGS!$I$11,"Prospecting","Performing")))</f>
        <v/>
      </c>
      <c r="AR422" s="22" t="str">
        <f aca="false">IF(OR(C422="",I422="",K422=""),"",IF(K422="Monthly",EDATE(C422,I422),WORKDAY(C422,I422)))</f>
        <v/>
      </c>
      <c r="AS422" s="11"/>
      <c r="AT422" s="23" t="str">
        <f aca="true">IF(C422="","",IF(AM422="Clawed Back","CLAWED",IF(TODAY()&lt;=C422+SETTINGS!$I$2,"⚠ AT RISK","SAFE")))</f>
        <v/>
      </c>
      <c r="AU422" s="11"/>
      <c r="AW422" s="24" t="n">
        <f aca="false">AW421+IF(AND(C422&lt;&gt;"",AO422&lt;&gt;"",OR('REP COMMISSION'!$B$3="",T422='REP COMMISSION'!$B$3,W422='REP COMMISSION'!$B$3,Z422='REP COMMISSION'!$B$3)),1,0)</f>
        <v>0</v>
      </c>
      <c r="AX422" s="24" t="n">
        <f aca="false">AX421+IF(AND(C422&lt;&gt;"",OR(F422="LOC - INITIAL",F422="CONSOLIDATION - UPFRONT COMM",F422="REVERSE - TOTAL FUNDING")),1,0)</f>
        <v>0</v>
      </c>
    </row>
    <row r="423" customFormat="false" ht="15" hidden="false" customHeight="false" outlineLevel="0" collapsed="false">
      <c r="A423" s="25" t="str">
        <f aca="false">IF(C423&lt;&gt;"","F"&amp;COUNT($C$4:C423),"")</f>
        <v/>
      </c>
      <c r="B423" s="26" t="str">
        <f aca="false">IF(OR(F423="LOC - INITIAL",F423="CONSOLIDATION - UPFRONT COMM",F423="REVERSE - TOTAL FUNDING"),A423,"")</f>
        <v/>
      </c>
      <c r="C423" s="27"/>
      <c r="D423" s="28"/>
      <c r="E423" s="28"/>
      <c r="F423" s="28"/>
      <c r="G423" s="29"/>
      <c r="H423" s="30"/>
      <c r="I423" s="28"/>
      <c r="J423" s="31" t="str">
        <f aca="false">IF(AND(G423&lt;&gt;"",H423&lt;&gt;""),G423*H423,"")</f>
        <v/>
      </c>
      <c r="K423" s="28"/>
      <c r="L423" s="32"/>
      <c r="M423" s="32"/>
      <c r="N423" s="31" t="n">
        <f aca="false">IF(OR(G423="",M423=""),0,IF(M423&gt;100,M423,G423*IF(M423&gt;1,M423/100,M423)))</f>
        <v>0</v>
      </c>
      <c r="O423" s="31" t="str">
        <f aca="false">IF(G423="","",G423*IF(L423="",0,IF(L423&gt;1,L423/100,L423))+N423)</f>
        <v/>
      </c>
      <c r="P423" s="28"/>
      <c r="Q423" s="33" t="str">
        <f aca="false">IF(P423="","",IFERROR(VLOOKUP(P423,PARTNERS!$A$2:$B$30,2,0),""))</f>
        <v/>
      </c>
      <c r="R423" s="17" t="str">
        <f aca="false">IF(O423="","",IF(OR(P423="",Q423=""),0,(O423-N423)*IF(Q423&gt;1,Q423/100,Q423)))</f>
        <v/>
      </c>
      <c r="S423" s="31" t="str">
        <f aca="false">IF(O423="","",O423-R423)</f>
        <v/>
      </c>
      <c r="T423" s="28"/>
      <c r="U423" s="34" t="str">
        <f aca="false">IF(T423="","",IFERROR(VLOOKUP(T423,REPS!$A$2:$D$40,2,0),""))</f>
        <v/>
      </c>
      <c r="V423" s="31" t="str">
        <f aca="false">IF(O423="","",IF(U423="",0,O423*IF(U423&gt;1,U423/100,U423)))</f>
        <v/>
      </c>
      <c r="W423" s="28"/>
      <c r="X423" s="34" t="str">
        <f aca="false">IF(W423="","",IFERROR(VLOOKUP(W423,REPS!$A$2:$D$40,3,0),""))</f>
        <v/>
      </c>
      <c r="Y423" s="31" t="str">
        <f aca="false">IF(O423="","",IF(X423="",0,O423*IF(X423&gt;1,X423/100,X423)))</f>
        <v/>
      </c>
      <c r="Z423" s="28"/>
      <c r="AA423" s="34" t="str">
        <f aca="false">IF(Z423="","",IFERROR(VLOOKUP(Z423,REPS!$A$2:$D$40,4,0),""))</f>
        <v/>
      </c>
      <c r="AB423" s="31" t="str">
        <f aca="false">IF(O423="","",IF(AA423="",0,O423*IF(AA423&gt;1,AA423/100,AA423)))</f>
        <v/>
      </c>
      <c r="AC423" s="31" t="str">
        <f aca="false">IF(O423="","",V423+Y423+AB423)</f>
        <v/>
      </c>
      <c r="AD423" s="19" t="str">
        <f aca="false">IF(O423="","",O423-R423-AC423)</f>
        <v/>
      </c>
      <c r="AE423" s="20"/>
      <c r="AF423" s="27"/>
      <c r="AG423" s="21" t="n">
        <f aca="false">IF(OR(AE423="",AE423=0),0,AE423*IF(U423="",0,IF(U423&gt;1,U423/100,U423)))</f>
        <v>0</v>
      </c>
      <c r="AH423" s="21" t="n">
        <f aca="false">IF(OR(AE423="",AE423=0),0,AE423*IF(X423="",0,IF(X423&gt;1,X423/100,X423)))</f>
        <v>0</v>
      </c>
      <c r="AI423" s="21" t="n">
        <f aca="false">IF(OR(AE423="",AE423=0),0,AE423*IF(AA423="",0,IF(AA423&gt;1,AA423/100,AA423)))</f>
        <v>0</v>
      </c>
      <c r="AJ423" s="21" t="n">
        <f aca="false">AG423+AH423+AI423</f>
        <v>0</v>
      </c>
      <c r="AK423" s="21" t="n">
        <f aca="false">IF(OR(AE423="",AE423=0),0,AE423-AJ423)</f>
        <v>0</v>
      </c>
      <c r="AL423" s="19" t="str">
        <f aca="false">IF(AD423="","",AD423-AK423)</f>
        <v/>
      </c>
      <c r="AM423" s="26" t="str">
        <f aca="false">IF(C423="","","Waiting for payment")</f>
        <v/>
      </c>
      <c r="AN423" s="27"/>
      <c r="AO423" s="27"/>
      <c r="AP423" s="35" t="str">
        <f aca="false">IF(OR(C423="",I423="",K423=""),"",IF(K423="Monthly",EDATE(C423,ROUND(I423*SETTINGS!$I$8,0)),WORKDAY(C423,ROUND(I423*SETTINGS!$I$8,0))))</f>
        <v/>
      </c>
      <c r="AQ423" s="26" t="str">
        <f aca="true">IF(C423="","",IF(AND(AP423&lt;&gt;"",TODAY()&gt;=AP423),"Refi Ready",IF(TODAY()-C423&gt;=SETTINGS!$I$11,"Prospecting","Performing")))</f>
        <v/>
      </c>
      <c r="AR423" s="35" t="str">
        <f aca="false">IF(OR(C423="",I423="",K423=""),"",IF(K423="Monthly",EDATE(C423,I423),WORKDAY(C423,I423)))</f>
        <v/>
      </c>
      <c r="AS423" s="28"/>
      <c r="AT423" s="36" t="str">
        <f aca="true">IF(C423="","",IF(AM423="Clawed Back","CLAWED",IF(TODAY()&lt;=C423+SETTINGS!$I$2,"⚠ AT RISK","SAFE")))</f>
        <v/>
      </c>
      <c r="AU423" s="28"/>
      <c r="AW423" s="24" t="n">
        <f aca="false">AW422+IF(AND(C423&lt;&gt;"",AO423&lt;&gt;"",OR('REP COMMISSION'!$B$3="",T423='REP COMMISSION'!$B$3,W423='REP COMMISSION'!$B$3,Z423='REP COMMISSION'!$B$3)),1,0)</f>
        <v>0</v>
      </c>
      <c r="AX423" s="24" t="n">
        <f aca="false">AX422+IF(AND(C423&lt;&gt;"",OR(F423="LOC - INITIAL",F423="CONSOLIDATION - UPFRONT COMM",F423="REVERSE - TOTAL FUNDING")),1,0)</f>
        <v>0</v>
      </c>
    </row>
    <row r="424" customFormat="false" ht="15" hidden="false" customHeight="false" outlineLevel="0" collapsed="false">
      <c r="A424" s="8" t="str">
        <f aca="false">IF(C424&lt;&gt;"","F"&amp;COUNT($C$4:C424),"")</f>
        <v/>
      </c>
      <c r="B424" s="9" t="str">
        <f aca="false">IF(OR(F424="LOC - INITIAL",F424="CONSOLIDATION - UPFRONT COMM",F424="REVERSE - TOTAL FUNDING"),A424,"")</f>
        <v/>
      </c>
      <c r="C424" s="10"/>
      <c r="D424" s="11"/>
      <c r="E424" s="11"/>
      <c r="F424" s="11"/>
      <c r="G424" s="12"/>
      <c r="H424" s="13"/>
      <c r="I424" s="11"/>
      <c r="J424" s="14" t="str">
        <f aca="false">IF(AND(G424&lt;&gt;"",H424&lt;&gt;""),G424*H424,"")</f>
        <v/>
      </c>
      <c r="K424" s="11"/>
      <c r="L424" s="15"/>
      <c r="M424" s="15"/>
      <c r="N424" s="14" t="n">
        <f aca="false">IF(OR(G424="",M424=""),0,IF(M424&gt;100,M424,G424*IF(M424&gt;1,M424/100,M424)))</f>
        <v>0</v>
      </c>
      <c r="O424" s="14" t="str">
        <f aca="false">IF(G424="","",G424*IF(L424="",0,IF(L424&gt;1,L424/100,L424))+N424)</f>
        <v/>
      </c>
      <c r="P424" s="11"/>
      <c r="Q424" s="16" t="str">
        <f aca="false">IF(P424="","",IFERROR(VLOOKUP(P424,PARTNERS!$A$2:$B$30,2,0),""))</f>
        <v/>
      </c>
      <c r="R424" s="17" t="str">
        <f aca="false">IF(O424="","",IF(OR(P424="",Q424=""),0,(O424-N424)*IF(Q424&gt;1,Q424/100,Q424)))</f>
        <v/>
      </c>
      <c r="S424" s="14" t="str">
        <f aca="false">IF(O424="","",O424-R424)</f>
        <v/>
      </c>
      <c r="T424" s="11"/>
      <c r="U424" s="18" t="str">
        <f aca="false">IF(T424="","",IFERROR(VLOOKUP(T424,REPS!$A$2:$D$40,2,0),""))</f>
        <v/>
      </c>
      <c r="V424" s="14" t="str">
        <f aca="false">IF(O424="","",IF(U424="",0,O424*IF(U424&gt;1,U424/100,U424)))</f>
        <v/>
      </c>
      <c r="W424" s="11"/>
      <c r="X424" s="18" t="str">
        <f aca="false">IF(W424="","",IFERROR(VLOOKUP(W424,REPS!$A$2:$D$40,3,0),""))</f>
        <v/>
      </c>
      <c r="Y424" s="14" t="str">
        <f aca="false">IF(O424="","",IF(X424="",0,O424*IF(X424&gt;1,X424/100,X424)))</f>
        <v/>
      </c>
      <c r="Z424" s="11"/>
      <c r="AA424" s="18" t="str">
        <f aca="false">IF(Z424="","",IFERROR(VLOOKUP(Z424,REPS!$A$2:$D$40,4,0),""))</f>
        <v/>
      </c>
      <c r="AB424" s="14" t="str">
        <f aca="false">IF(O424="","",IF(AA424="",0,O424*IF(AA424&gt;1,AA424/100,AA424)))</f>
        <v/>
      </c>
      <c r="AC424" s="14" t="str">
        <f aca="false">IF(O424="","",V424+Y424+AB424)</f>
        <v/>
      </c>
      <c r="AD424" s="19" t="str">
        <f aca="false">IF(O424="","",O424-R424-AC424)</f>
        <v/>
      </c>
      <c r="AE424" s="20"/>
      <c r="AF424" s="10"/>
      <c r="AG424" s="21" t="n">
        <f aca="false">IF(OR(AE424="",AE424=0),0,AE424*IF(U424="",0,IF(U424&gt;1,U424/100,U424)))</f>
        <v>0</v>
      </c>
      <c r="AH424" s="21" t="n">
        <f aca="false">IF(OR(AE424="",AE424=0),0,AE424*IF(X424="",0,IF(X424&gt;1,X424/100,X424)))</f>
        <v>0</v>
      </c>
      <c r="AI424" s="21" t="n">
        <f aca="false">IF(OR(AE424="",AE424=0),0,AE424*IF(AA424="",0,IF(AA424&gt;1,AA424/100,AA424)))</f>
        <v>0</v>
      </c>
      <c r="AJ424" s="21" t="n">
        <f aca="false">AG424+AH424+AI424</f>
        <v>0</v>
      </c>
      <c r="AK424" s="21" t="n">
        <f aca="false">IF(OR(AE424="",AE424=0),0,AE424-AJ424)</f>
        <v>0</v>
      </c>
      <c r="AL424" s="19" t="str">
        <f aca="false">IF(AD424="","",AD424-AK424)</f>
        <v/>
      </c>
      <c r="AM424" s="9" t="str">
        <f aca="false">IF(C424="","","Waiting for payment")</f>
        <v/>
      </c>
      <c r="AN424" s="10"/>
      <c r="AO424" s="10"/>
      <c r="AP424" s="22" t="str">
        <f aca="false">IF(OR(C424="",I424="",K424=""),"",IF(K424="Monthly",EDATE(C424,ROUND(I424*SETTINGS!$I$8,0)),WORKDAY(C424,ROUND(I424*SETTINGS!$I$8,0))))</f>
        <v/>
      </c>
      <c r="AQ424" s="9" t="str">
        <f aca="true">IF(C424="","",IF(AND(AP424&lt;&gt;"",TODAY()&gt;=AP424),"Refi Ready",IF(TODAY()-C424&gt;=SETTINGS!$I$11,"Prospecting","Performing")))</f>
        <v/>
      </c>
      <c r="AR424" s="22" t="str">
        <f aca="false">IF(OR(C424="",I424="",K424=""),"",IF(K424="Monthly",EDATE(C424,I424),WORKDAY(C424,I424)))</f>
        <v/>
      </c>
      <c r="AS424" s="11"/>
      <c r="AT424" s="23" t="str">
        <f aca="true">IF(C424="","",IF(AM424="Clawed Back","CLAWED",IF(TODAY()&lt;=C424+SETTINGS!$I$2,"⚠ AT RISK","SAFE")))</f>
        <v/>
      </c>
      <c r="AU424" s="11"/>
      <c r="AW424" s="24" t="n">
        <f aca="false">AW423+IF(AND(C424&lt;&gt;"",AO424&lt;&gt;"",OR('REP COMMISSION'!$B$3="",T424='REP COMMISSION'!$B$3,W424='REP COMMISSION'!$B$3,Z424='REP COMMISSION'!$B$3)),1,0)</f>
        <v>0</v>
      </c>
      <c r="AX424" s="24" t="n">
        <f aca="false">AX423+IF(AND(C424&lt;&gt;"",OR(F424="LOC - INITIAL",F424="CONSOLIDATION - UPFRONT COMM",F424="REVERSE - TOTAL FUNDING")),1,0)</f>
        <v>0</v>
      </c>
    </row>
    <row r="425" customFormat="false" ht="15" hidden="false" customHeight="false" outlineLevel="0" collapsed="false">
      <c r="A425" s="25" t="str">
        <f aca="false">IF(C425&lt;&gt;"","F"&amp;COUNT($C$4:C425),"")</f>
        <v/>
      </c>
      <c r="B425" s="26" t="str">
        <f aca="false">IF(OR(F425="LOC - INITIAL",F425="CONSOLIDATION - UPFRONT COMM",F425="REVERSE - TOTAL FUNDING"),A425,"")</f>
        <v/>
      </c>
      <c r="C425" s="27"/>
      <c r="D425" s="28"/>
      <c r="E425" s="28"/>
      <c r="F425" s="28"/>
      <c r="G425" s="29"/>
      <c r="H425" s="30"/>
      <c r="I425" s="28"/>
      <c r="J425" s="31" t="str">
        <f aca="false">IF(AND(G425&lt;&gt;"",H425&lt;&gt;""),G425*H425,"")</f>
        <v/>
      </c>
      <c r="K425" s="28"/>
      <c r="L425" s="32"/>
      <c r="M425" s="32"/>
      <c r="N425" s="31" t="n">
        <f aca="false">IF(OR(G425="",M425=""),0,IF(M425&gt;100,M425,G425*IF(M425&gt;1,M425/100,M425)))</f>
        <v>0</v>
      </c>
      <c r="O425" s="31" t="str">
        <f aca="false">IF(G425="","",G425*IF(L425="",0,IF(L425&gt;1,L425/100,L425))+N425)</f>
        <v/>
      </c>
      <c r="P425" s="28"/>
      <c r="Q425" s="33" t="str">
        <f aca="false">IF(P425="","",IFERROR(VLOOKUP(P425,PARTNERS!$A$2:$B$30,2,0),""))</f>
        <v/>
      </c>
      <c r="R425" s="17" t="str">
        <f aca="false">IF(O425="","",IF(OR(P425="",Q425=""),0,(O425-N425)*IF(Q425&gt;1,Q425/100,Q425)))</f>
        <v/>
      </c>
      <c r="S425" s="31" t="str">
        <f aca="false">IF(O425="","",O425-R425)</f>
        <v/>
      </c>
      <c r="T425" s="28"/>
      <c r="U425" s="34" t="str">
        <f aca="false">IF(T425="","",IFERROR(VLOOKUP(T425,REPS!$A$2:$D$40,2,0),""))</f>
        <v/>
      </c>
      <c r="V425" s="31" t="str">
        <f aca="false">IF(O425="","",IF(U425="",0,O425*IF(U425&gt;1,U425/100,U425)))</f>
        <v/>
      </c>
      <c r="W425" s="28"/>
      <c r="X425" s="34" t="str">
        <f aca="false">IF(W425="","",IFERROR(VLOOKUP(W425,REPS!$A$2:$D$40,3,0),""))</f>
        <v/>
      </c>
      <c r="Y425" s="31" t="str">
        <f aca="false">IF(O425="","",IF(X425="",0,O425*IF(X425&gt;1,X425/100,X425)))</f>
        <v/>
      </c>
      <c r="Z425" s="28"/>
      <c r="AA425" s="34" t="str">
        <f aca="false">IF(Z425="","",IFERROR(VLOOKUP(Z425,REPS!$A$2:$D$40,4,0),""))</f>
        <v/>
      </c>
      <c r="AB425" s="31" t="str">
        <f aca="false">IF(O425="","",IF(AA425="",0,O425*IF(AA425&gt;1,AA425/100,AA425)))</f>
        <v/>
      </c>
      <c r="AC425" s="31" t="str">
        <f aca="false">IF(O425="","",V425+Y425+AB425)</f>
        <v/>
      </c>
      <c r="AD425" s="19" t="str">
        <f aca="false">IF(O425="","",O425-R425-AC425)</f>
        <v/>
      </c>
      <c r="AE425" s="20"/>
      <c r="AF425" s="27"/>
      <c r="AG425" s="21" t="n">
        <f aca="false">IF(OR(AE425="",AE425=0),0,AE425*IF(U425="",0,IF(U425&gt;1,U425/100,U425)))</f>
        <v>0</v>
      </c>
      <c r="AH425" s="21" t="n">
        <f aca="false">IF(OR(AE425="",AE425=0),0,AE425*IF(X425="",0,IF(X425&gt;1,X425/100,X425)))</f>
        <v>0</v>
      </c>
      <c r="AI425" s="21" t="n">
        <f aca="false">IF(OR(AE425="",AE425=0),0,AE425*IF(AA425="",0,IF(AA425&gt;1,AA425/100,AA425)))</f>
        <v>0</v>
      </c>
      <c r="AJ425" s="21" t="n">
        <f aca="false">AG425+AH425+AI425</f>
        <v>0</v>
      </c>
      <c r="AK425" s="21" t="n">
        <f aca="false">IF(OR(AE425="",AE425=0),0,AE425-AJ425)</f>
        <v>0</v>
      </c>
      <c r="AL425" s="19" t="str">
        <f aca="false">IF(AD425="","",AD425-AK425)</f>
        <v/>
      </c>
      <c r="AM425" s="26" t="str">
        <f aca="false">IF(C425="","","Waiting for payment")</f>
        <v/>
      </c>
      <c r="AN425" s="27"/>
      <c r="AO425" s="27"/>
      <c r="AP425" s="35" t="str">
        <f aca="false">IF(OR(C425="",I425="",K425=""),"",IF(K425="Monthly",EDATE(C425,ROUND(I425*SETTINGS!$I$8,0)),WORKDAY(C425,ROUND(I425*SETTINGS!$I$8,0))))</f>
        <v/>
      </c>
      <c r="AQ425" s="26" t="str">
        <f aca="true">IF(C425="","",IF(AND(AP425&lt;&gt;"",TODAY()&gt;=AP425),"Refi Ready",IF(TODAY()-C425&gt;=SETTINGS!$I$11,"Prospecting","Performing")))</f>
        <v/>
      </c>
      <c r="AR425" s="35" t="str">
        <f aca="false">IF(OR(C425="",I425="",K425=""),"",IF(K425="Monthly",EDATE(C425,I425),WORKDAY(C425,I425)))</f>
        <v/>
      </c>
      <c r="AS425" s="28"/>
      <c r="AT425" s="36" t="str">
        <f aca="true">IF(C425="","",IF(AM425="Clawed Back","CLAWED",IF(TODAY()&lt;=C425+SETTINGS!$I$2,"⚠ AT RISK","SAFE")))</f>
        <v/>
      </c>
      <c r="AU425" s="28"/>
      <c r="AW425" s="24" t="n">
        <f aca="false">AW424+IF(AND(C425&lt;&gt;"",AO425&lt;&gt;"",OR('REP COMMISSION'!$B$3="",T425='REP COMMISSION'!$B$3,W425='REP COMMISSION'!$B$3,Z425='REP COMMISSION'!$B$3)),1,0)</f>
        <v>0</v>
      </c>
      <c r="AX425" s="24" t="n">
        <f aca="false">AX424+IF(AND(C425&lt;&gt;"",OR(F425="LOC - INITIAL",F425="CONSOLIDATION - UPFRONT COMM",F425="REVERSE - TOTAL FUNDING")),1,0)</f>
        <v>0</v>
      </c>
    </row>
    <row r="426" customFormat="false" ht="15" hidden="false" customHeight="false" outlineLevel="0" collapsed="false">
      <c r="A426" s="8" t="str">
        <f aca="false">IF(C426&lt;&gt;"","F"&amp;COUNT($C$4:C426),"")</f>
        <v/>
      </c>
      <c r="B426" s="9" t="str">
        <f aca="false">IF(OR(F426="LOC - INITIAL",F426="CONSOLIDATION - UPFRONT COMM",F426="REVERSE - TOTAL FUNDING"),A426,"")</f>
        <v/>
      </c>
      <c r="C426" s="10"/>
      <c r="D426" s="11"/>
      <c r="E426" s="11"/>
      <c r="F426" s="11"/>
      <c r="G426" s="12"/>
      <c r="H426" s="13"/>
      <c r="I426" s="11"/>
      <c r="J426" s="14" t="str">
        <f aca="false">IF(AND(G426&lt;&gt;"",H426&lt;&gt;""),G426*H426,"")</f>
        <v/>
      </c>
      <c r="K426" s="11"/>
      <c r="L426" s="15"/>
      <c r="M426" s="15"/>
      <c r="N426" s="14" t="n">
        <f aca="false">IF(OR(G426="",M426=""),0,IF(M426&gt;100,M426,G426*IF(M426&gt;1,M426/100,M426)))</f>
        <v>0</v>
      </c>
      <c r="O426" s="14" t="str">
        <f aca="false">IF(G426="","",G426*IF(L426="",0,IF(L426&gt;1,L426/100,L426))+N426)</f>
        <v/>
      </c>
      <c r="P426" s="11"/>
      <c r="Q426" s="16" t="str">
        <f aca="false">IF(P426="","",IFERROR(VLOOKUP(P426,PARTNERS!$A$2:$B$30,2,0),""))</f>
        <v/>
      </c>
      <c r="R426" s="17" t="str">
        <f aca="false">IF(O426="","",IF(OR(P426="",Q426=""),0,(O426-N426)*IF(Q426&gt;1,Q426/100,Q426)))</f>
        <v/>
      </c>
      <c r="S426" s="14" t="str">
        <f aca="false">IF(O426="","",O426-R426)</f>
        <v/>
      </c>
      <c r="T426" s="11"/>
      <c r="U426" s="18" t="str">
        <f aca="false">IF(T426="","",IFERROR(VLOOKUP(T426,REPS!$A$2:$D$40,2,0),""))</f>
        <v/>
      </c>
      <c r="V426" s="14" t="str">
        <f aca="false">IF(O426="","",IF(U426="",0,O426*IF(U426&gt;1,U426/100,U426)))</f>
        <v/>
      </c>
      <c r="W426" s="11"/>
      <c r="X426" s="18" t="str">
        <f aca="false">IF(W426="","",IFERROR(VLOOKUP(W426,REPS!$A$2:$D$40,3,0),""))</f>
        <v/>
      </c>
      <c r="Y426" s="14" t="str">
        <f aca="false">IF(O426="","",IF(X426="",0,O426*IF(X426&gt;1,X426/100,X426)))</f>
        <v/>
      </c>
      <c r="Z426" s="11"/>
      <c r="AA426" s="18" t="str">
        <f aca="false">IF(Z426="","",IFERROR(VLOOKUP(Z426,REPS!$A$2:$D$40,4,0),""))</f>
        <v/>
      </c>
      <c r="AB426" s="14" t="str">
        <f aca="false">IF(O426="","",IF(AA426="",0,O426*IF(AA426&gt;1,AA426/100,AA426)))</f>
        <v/>
      </c>
      <c r="AC426" s="14" t="str">
        <f aca="false">IF(O426="","",V426+Y426+AB426)</f>
        <v/>
      </c>
      <c r="AD426" s="19" t="str">
        <f aca="false">IF(O426="","",O426-R426-AC426)</f>
        <v/>
      </c>
      <c r="AE426" s="20"/>
      <c r="AF426" s="10"/>
      <c r="AG426" s="21" t="n">
        <f aca="false">IF(OR(AE426="",AE426=0),0,AE426*IF(U426="",0,IF(U426&gt;1,U426/100,U426)))</f>
        <v>0</v>
      </c>
      <c r="AH426" s="21" t="n">
        <f aca="false">IF(OR(AE426="",AE426=0),0,AE426*IF(X426="",0,IF(X426&gt;1,X426/100,X426)))</f>
        <v>0</v>
      </c>
      <c r="AI426" s="21" t="n">
        <f aca="false">IF(OR(AE426="",AE426=0),0,AE426*IF(AA426="",0,IF(AA426&gt;1,AA426/100,AA426)))</f>
        <v>0</v>
      </c>
      <c r="AJ426" s="21" t="n">
        <f aca="false">AG426+AH426+AI426</f>
        <v>0</v>
      </c>
      <c r="AK426" s="21" t="n">
        <f aca="false">IF(OR(AE426="",AE426=0),0,AE426-AJ426)</f>
        <v>0</v>
      </c>
      <c r="AL426" s="19" t="str">
        <f aca="false">IF(AD426="","",AD426-AK426)</f>
        <v/>
      </c>
      <c r="AM426" s="9" t="str">
        <f aca="false">IF(C426="","","Waiting for payment")</f>
        <v/>
      </c>
      <c r="AN426" s="10"/>
      <c r="AO426" s="10"/>
      <c r="AP426" s="22" t="str">
        <f aca="false">IF(OR(C426="",I426="",K426=""),"",IF(K426="Monthly",EDATE(C426,ROUND(I426*SETTINGS!$I$8,0)),WORKDAY(C426,ROUND(I426*SETTINGS!$I$8,0))))</f>
        <v/>
      </c>
      <c r="AQ426" s="9" t="str">
        <f aca="true">IF(C426="","",IF(AND(AP426&lt;&gt;"",TODAY()&gt;=AP426),"Refi Ready",IF(TODAY()-C426&gt;=SETTINGS!$I$11,"Prospecting","Performing")))</f>
        <v/>
      </c>
      <c r="AR426" s="22" t="str">
        <f aca="false">IF(OR(C426="",I426="",K426=""),"",IF(K426="Monthly",EDATE(C426,I426),WORKDAY(C426,I426)))</f>
        <v/>
      </c>
      <c r="AS426" s="11"/>
      <c r="AT426" s="23" t="str">
        <f aca="true">IF(C426="","",IF(AM426="Clawed Back","CLAWED",IF(TODAY()&lt;=C426+SETTINGS!$I$2,"⚠ AT RISK","SAFE")))</f>
        <v/>
      </c>
      <c r="AU426" s="11"/>
      <c r="AW426" s="24" t="n">
        <f aca="false">AW425+IF(AND(C426&lt;&gt;"",AO426&lt;&gt;"",OR('REP COMMISSION'!$B$3="",T426='REP COMMISSION'!$B$3,W426='REP COMMISSION'!$B$3,Z426='REP COMMISSION'!$B$3)),1,0)</f>
        <v>0</v>
      </c>
      <c r="AX426" s="24" t="n">
        <f aca="false">AX425+IF(AND(C426&lt;&gt;"",OR(F426="LOC - INITIAL",F426="CONSOLIDATION - UPFRONT COMM",F426="REVERSE - TOTAL FUNDING")),1,0)</f>
        <v>0</v>
      </c>
    </row>
    <row r="427" customFormat="false" ht="15" hidden="false" customHeight="false" outlineLevel="0" collapsed="false">
      <c r="A427" s="25" t="str">
        <f aca="false">IF(C427&lt;&gt;"","F"&amp;COUNT($C$4:C427),"")</f>
        <v/>
      </c>
      <c r="B427" s="26" t="str">
        <f aca="false">IF(OR(F427="LOC - INITIAL",F427="CONSOLIDATION - UPFRONT COMM",F427="REVERSE - TOTAL FUNDING"),A427,"")</f>
        <v/>
      </c>
      <c r="C427" s="27"/>
      <c r="D427" s="28"/>
      <c r="E427" s="28"/>
      <c r="F427" s="28"/>
      <c r="G427" s="29"/>
      <c r="H427" s="30"/>
      <c r="I427" s="28"/>
      <c r="J427" s="31" t="str">
        <f aca="false">IF(AND(G427&lt;&gt;"",H427&lt;&gt;""),G427*H427,"")</f>
        <v/>
      </c>
      <c r="K427" s="28"/>
      <c r="L427" s="32"/>
      <c r="M427" s="32"/>
      <c r="N427" s="31" t="n">
        <f aca="false">IF(OR(G427="",M427=""),0,IF(M427&gt;100,M427,G427*IF(M427&gt;1,M427/100,M427)))</f>
        <v>0</v>
      </c>
      <c r="O427" s="31" t="str">
        <f aca="false">IF(G427="","",G427*IF(L427="",0,IF(L427&gt;1,L427/100,L427))+N427)</f>
        <v/>
      </c>
      <c r="P427" s="28"/>
      <c r="Q427" s="33" t="str">
        <f aca="false">IF(P427="","",IFERROR(VLOOKUP(P427,PARTNERS!$A$2:$B$30,2,0),""))</f>
        <v/>
      </c>
      <c r="R427" s="17" t="str">
        <f aca="false">IF(O427="","",IF(OR(P427="",Q427=""),0,(O427-N427)*IF(Q427&gt;1,Q427/100,Q427)))</f>
        <v/>
      </c>
      <c r="S427" s="31" t="str">
        <f aca="false">IF(O427="","",O427-R427)</f>
        <v/>
      </c>
      <c r="T427" s="28"/>
      <c r="U427" s="34" t="str">
        <f aca="false">IF(T427="","",IFERROR(VLOOKUP(T427,REPS!$A$2:$D$40,2,0),""))</f>
        <v/>
      </c>
      <c r="V427" s="31" t="str">
        <f aca="false">IF(O427="","",IF(U427="",0,O427*IF(U427&gt;1,U427/100,U427)))</f>
        <v/>
      </c>
      <c r="W427" s="28"/>
      <c r="X427" s="34" t="str">
        <f aca="false">IF(W427="","",IFERROR(VLOOKUP(W427,REPS!$A$2:$D$40,3,0),""))</f>
        <v/>
      </c>
      <c r="Y427" s="31" t="str">
        <f aca="false">IF(O427="","",IF(X427="",0,O427*IF(X427&gt;1,X427/100,X427)))</f>
        <v/>
      </c>
      <c r="Z427" s="28"/>
      <c r="AA427" s="34" t="str">
        <f aca="false">IF(Z427="","",IFERROR(VLOOKUP(Z427,REPS!$A$2:$D$40,4,0),""))</f>
        <v/>
      </c>
      <c r="AB427" s="31" t="str">
        <f aca="false">IF(O427="","",IF(AA427="",0,O427*IF(AA427&gt;1,AA427/100,AA427)))</f>
        <v/>
      </c>
      <c r="AC427" s="31" t="str">
        <f aca="false">IF(O427="","",V427+Y427+AB427)</f>
        <v/>
      </c>
      <c r="AD427" s="19" t="str">
        <f aca="false">IF(O427="","",O427-R427-AC427)</f>
        <v/>
      </c>
      <c r="AE427" s="20"/>
      <c r="AF427" s="27"/>
      <c r="AG427" s="21" t="n">
        <f aca="false">IF(OR(AE427="",AE427=0),0,AE427*IF(U427="",0,IF(U427&gt;1,U427/100,U427)))</f>
        <v>0</v>
      </c>
      <c r="AH427" s="21" t="n">
        <f aca="false">IF(OR(AE427="",AE427=0),0,AE427*IF(X427="",0,IF(X427&gt;1,X427/100,X427)))</f>
        <v>0</v>
      </c>
      <c r="AI427" s="21" t="n">
        <f aca="false">IF(OR(AE427="",AE427=0),0,AE427*IF(AA427="",0,IF(AA427&gt;1,AA427/100,AA427)))</f>
        <v>0</v>
      </c>
      <c r="AJ427" s="21" t="n">
        <f aca="false">AG427+AH427+AI427</f>
        <v>0</v>
      </c>
      <c r="AK427" s="21" t="n">
        <f aca="false">IF(OR(AE427="",AE427=0),0,AE427-AJ427)</f>
        <v>0</v>
      </c>
      <c r="AL427" s="19" t="str">
        <f aca="false">IF(AD427="","",AD427-AK427)</f>
        <v/>
      </c>
      <c r="AM427" s="26" t="str">
        <f aca="false">IF(C427="","","Waiting for payment")</f>
        <v/>
      </c>
      <c r="AN427" s="27"/>
      <c r="AO427" s="27"/>
      <c r="AP427" s="35" t="str">
        <f aca="false">IF(OR(C427="",I427="",K427=""),"",IF(K427="Monthly",EDATE(C427,ROUND(I427*SETTINGS!$I$8,0)),WORKDAY(C427,ROUND(I427*SETTINGS!$I$8,0))))</f>
        <v/>
      </c>
      <c r="AQ427" s="26" t="str">
        <f aca="true">IF(C427="","",IF(AND(AP427&lt;&gt;"",TODAY()&gt;=AP427),"Refi Ready",IF(TODAY()-C427&gt;=SETTINGS!$I$11,"Prospecting","Performing")))</f>
        <v/>
      </c>
      <c r="AR427" s="35" t="str">
        <f aca="false">IF(OR(C427="",I427="",K427=""),"",IF(K427="Monthly",EDATE(C427,I427),WORKDAY(C427,I427)))</f>
        <v/>
      </c>
      <c r="AS427" s="28"/>
      <c r="AT427" s="36" t="str">
        <f aca="true">IF(C427="","",IF(AM427="Clawed Back","CLAWED",IF(TODAY()&lt;=C427+SETTINGS!$I$2,"⚠ AT RISK","SAFE")))</f>
        <v/>
      </c>
      <c r="AU427" s="28"/>
      <c r="AW427" s="24" t="n">
        <f aca="false">AW426+IF(AND(C427&lt;&gt;"",AO427&lt;&gt;"",OR('REP COMMISSION'!$B$3="",T427='REP COMMISSION'!$B$3,W427='REP COMMISSION'!$B$3,Z427='REP COMMISSION'!$B$3)),1,0)</f>
        <v>0</v>
      </c>
      <c r="AX427" s="24" t="n">
        <f aca="false">AX426+IF(AND(C427&lt;&gt;"",OR(F427="LOC - INITIAL",F427="CONSOLIDATION - UPFRONT COMM",F427="REVERSE - TOTAL FUNDING")),1,0)</f>
        <v>0</v>
      </c>
    </row>
    <row r="428" customFormat="false" ht="15" hidden="false" customHeight="false" outlineLevel="0" collapsed="false">
      <c r="A428" s="8" t="str">
        <f aca="false">IF(C428&lt;&gt;"","F"&amp;COUNT($C$4:C428),"")</f>
        <v/>
      </c>
      <c r="B428" s="9" t="str">
        <f aca="false">IF(OR(F428="LOC - INITIAL",F428="CONSOLIDATION - UPFRONT COMM",F428="REVERSE - TOTAL FUNDING"),A428,"")</f>
        <v/>
      </c>
      <c r="C428" s="10"/>
      <c r="D428" s="11"/>
      <c r="E428" s="11"/>
      <c r="F428" s="11"/>
      <c r="G428" s="12"/>
      <c r="H428" s="13"/>
      <c r="I428" s="11"/>
      <c r="J428" s="14" t="str">
        <f aca="false">IF(AND(G428&lt;&gt;"",H428&lt;&gt;""),G428*H428,"")</f>
        <v/>
      </c>
      <c r="K428" s="11"/>
      <c r="L428" s="15"/>
      <c r="M428" s="15"/>
      <c r="N428" s="14" t="n">
        <f aca="false">IF(OR(G428="",M428=""),0,IF(M428&gt;100,M428,G428*IF(M428&gt;1,M428/100,M428)))</f>
        <v>0</v>
      </c>
      <c r="O428" s="14" t="str">
        <f aca="false">IF(G428="","",G428*IF(L428="",0,IF(L428&gt;1,L428/100,L428))+N428)</f>
        <v/>
      </c>
      <c r="P428" s="11"/>
      <c r="Q428" s="16" t="str">
        <f aca="false">IF(P428="","",IFERROR(VLOOKUP(P428,PARTNERS!$A$2:$B$30,2,0),""))</f>
        <v/>
      </c>
      <c r="R428" s="17" t="str">
        <f aca="false">IF(O428="","",IF(OR(P428="",Q428=""),0,(O428-N428)*IF(Q428&gt;1,Q428/100,Q428)))</f>
        <v/>
      </c>
      <c r="S428" s="14" t="str">
        <f aca="false">IF(O428="","",O428-R428)</f>
        <v/>
      </c>
      <c r="T428" s="11"/>
      <c r="U428" s="18" t="str">
        <f aca="false">IF(T428="","",IFERROR(VLOOKUP(T428,REPS!$A$2:$D$40,2,0),""))</f>
        <v/>
      </c>
      <c r="V428" s="14" t="str">
        <f aca="false">IF(O428="","",IF(U428="",0,O428*IF(U428&gt;1,U428/100,U428)))</f>
        <v/>
      </c>
      <c r="W428" s="11"/>
      <c r="X428" s="18" t="str">
        <f aca="false">IF(W428="","",IFERROR(VLOOKUP(W428,REPS!$A$2:$D$40,3,0),""))</f>
        <v/>
      </c>
      <c r="Y428" s="14" t="str">
        <f aca="false">IF(O428="","",IF(X428="",0,O428*IF(X428&gt;1,X428/100,X428)))</f>
        <v/>
      </c>
      <c r="Z428" s="11"/>
      <c r="AA428" s="18" t="str">
        <f aca="false">IF(Z428="","",IFERROR(VLOOKUP(Z428,REPS!$A$2:$D$40,4,0),""))</f>
        <v/>
      </c>
      <c r="AB428" s="14" t="str">
        <f aca="false">IF(O428="","",IF(AA428="",0,O428*IF(AA428&gt;1,AA428/100,AA428)))</f>
        <v/>
      </c>
      <c r="AC428" s="14" t="str">
        <f aca="false">IF(O428="","",V428+Y428+AB428)</f>
        <v/>
      </c>
      <c r="AD428" s="19" t="str">
        <f aca="false">IF(O428="","",O428-R428-AC428)</f>
        <v/>
      </c>
      <c r="AE428" s="20"/>
      <c r="AF428" s="10"/>
      <c r="AG428" s="21" t="n">
        <f aca="false">IF(OR(AE428="",AE428=0),0,AE428*IF(U428="",0,IF(U428&gt;1,U428/100,U428)))</f>
        <v>0</v>
      </c>
      <c r="AH428" s="21" t="n">
        <f aca="false">IF(OR(AE428="",AE428=0),0,AE428*IF(X428="",0,IF(X428&gt;1,X428/100,X428)))</f>
        <v>0</v>
      </c>
      <c r="AI428" s="21" t="n">
        <f aca="false">IF(OR(AE428="",AE428=0),0,AE428*IF(AA428="",0,IF(AA428&gt;1,AA428/100,AA428)))</f>
        <v>0</v>
      </c>
      <c r="AJ428" s="21" t="n">
        <f aca="false">AG428+AH428+AI428</f>
        <v>0</v>
      </c>
      <c r="AK428" s="21" t="n">
        <f aca="false">IF(OR(AE428="",AE428=0),0,AE428-AJ428)</f>
        <v>0</v>
      </c>
      <c r="AL428" s="19" t="str">
        <f aca="false">IF(AD428="","",AD428-AK428)</f>
        <v/>
      </c>
      <c r="AM428" s="9" t="str">
        <f aca="false">IF(C428="","","Waiting for payment")</f>
        <v/>
      </c>
      <c r="AN428" s="10"/>
      <c r="AO428" s="10"/>
      <c r="AP428" s="22" t="str">
        <f aca="false">IF(OR(C428="",I428="",K428=""),"",IF(K428="Monthly",EDATE(C428,ROUND(I428*SETTINGS!$I$8,0)),WORKDAY(C428,ROUND(I428*SETTINGS!$I$8,0))))</f>
        <v/>
      </c>
      <c r="AQ428" s="9" t="str">
        <f aca="true">IF(C428="","",IF(AND(AP428&lt;&gt;"",TODAY()&gt;=AP428),"Refi Ready",IF(TODAY()-C428&gt;=SETTINGS!$I$11,"Prospecting","Performing")))</f>
        <v/>
      </c>
      <c r="AR428" s="22" t="str">
        <f aca="false">IF(OR(C428="",I428="",K428=""),"",IF(K428="Monthly",EDATE(C428,I428),WORKDAY(C428,I428)))</f>
        <v/>
      </c>
      <c r="AS428" s="11"/>
      <c r="AT428" s="23" t="str">
        <f aca="true">IF(C428="","",IF(AM428="Clawed Back","CLAWED",IF(TODAY()&lt;=C428+SETTINGS!$I$2,"⚠ AT RISK","SAFE")))</f>
        <v/>
      </c>
      <c r="AU428" s="11"/>
      <c r="AW428" s="24" t="n">
        <f aca="false">AW427+IF(AND(C428&lt;&gt;"",AO428&lt;&gt;"",OR('REP COMMISSION'!$B$3="",T428='REP COMMISSION'!$B$3,W428='REP COMMISSION'!$B$3,Z428='REP COMMISSION'!$B$3)),1,0)</f>
        <v>0</v>
      </c>
      <c r="AX428" s="24" t="n">
        <f aca="false">AX427+IF(AND(C428&lt;&gt;"",OR(F428="LOC - INITIAL",F428="CONSOLIDATION - UPFRONT COMM",F428="REVERSE - TOTAL FUNDING")),1,0)</f>
        <v>0</v>
      </c>
    </row>
    <row r="429" customFormat="false" ht="15" hidden="false" customHeight="false" outlineLevel="0" collapsed="false">
      <c r="A429" s="25" t="str">
        <f aca="false">IF(C429&lt;&gt;"","F"&amp;COUNT($C$4:C429),"")</f>
        <v/>
      </c>
      <c r="B429" s="26" t="str">
        <f aca="false">IF(OR(F429="LOC - INITIAL",F429="CONSOLIDATION - UPFRONT COMM",F429="REVERSE - TOTAL FUNDING"),A429,"")</f>
        <v/>
      </c>
      <c r="C429" s="27"/>
      <c r="D429" s="28"/>
      <c r="E429" s="28"/>
      <c r="F429" s="28"/>
      <c r="G429" s="29"/>
      <c r="H429" s="30"/>
      <c r="I429" s="28"/>
      <c r="J429" s="31" t="str">
        <f aca="false">IF(AND(G429&lt;&gt;"",H429&lt;&gt;""),G429*H429,"")</f>
        <v/>
      </c>
      <c r="K429" s="28"/>
      <c r="L429" s="32"/>
      <c r="M429" s="32"/>
      <c r="N429" s="31" t="n">
        <f aca="false">IF(OR(G429="",M429=""),0,IF(M429&gt;100,M429,G429*IF(M429&gt;1,M429/100,M429)))</f>
        <v>0</v>
      </c>
      <c r="O429" s="31" t="str">
        <f aca="false">IF(G429="","",G429*IF(L429="",0,IF(L429&gt;1,L429/100,L429))+N429)</f>
        <v/>
      </c>
      <c r="P429" s="28"/>
      <c r="Q429" s="33" t="str">
        <f aca="false">IF(P429="","",IFERROR(VLOOKUP(P429,PARTNERS!$A$2:$B$30,2,0),""))</f>
        <v/>
      </c>
      <c r="R429" s="17" t="str">
        <f aca="false">IF(O429="","",IF(OR(P429="",Q429=""),0,(O429-N429)*IF(Q429&gt;1,Q429/100,Q429)))</f>
        <v/>
      </c>
      <c r="S429" s="31" t="str">
        <f aca="false">IF(O429="","",O429-R429)</f>
        <v/>
      </c>
      <c r="T429" s="28"/>
      <c r="U429" s="34" t="str">
        <f aca="false">IF(T429="","",IFERROR(VLOOKUP(T429,REPS!$A$2:$D$40,2,0),""))</f>
        <v/>
      </c>
      <c r="V429" s="31" t="str">
        <f aca="false">IF(O429="","",IF(U429="",0,O429*IF(U429&gt;1,U429/100,U429)))</f>
        <v/>
      </c>
      <c r="W429" s="28"/>
      <c r="X429" s="34" t="str">
        <f aca="false">IF(W429="","",IFERROR(VLOOKUP(W429,REPS!$A$2:$D$40,3,0),""))</f>
        <v/>
      </c>
      <c r="Y429" s="31" t="str">
        <f aca="false">IF(O429="","",IF(X429="",0,O429*IF(X429&gt;1,X429/100,X429)))</f>
        <v/>
      </c>
      <c r="Z429" s="28"/>
      <c r="AA429" s="34" t="str">
        <f aca="false">IF(Z429="","",IFERROR(VLOOKUP(Z429,REPS!$A$2:$D$40,4,0),""))</f>
        <v/>
      </c>
      <c r="AB429" s="31" t="str">
        <f aca="false">IF(O429="","",IF(AA429="",0,O429*IF(AA429&gt;1,AA429/100,AA429)))</f>
        <v/>
      </c>
      <c r="AC429" s="31" t="str">
        <f aca="false">IF(O429="","",V429+Y429+AB429)</f>
        <v/>
      </c>
      <c r="AD429" s="19" t="str">
        <f aca="false">IF(O429="","",O429-R429-AC429)</f>
        <v/>
      </c>
      <c r="AE429" s="20"/>
      <c r="AF429" s="27"/>
      <c r="AG429" s="21" t="n">
        <f aca="false">IF(OR(AE429="",AE429=0),0,AE429*IF(U429="",0,IF(U429&gt;1,U429/100,U429)))</f>
        <v>0</v>
      </c>
      <c r="AH429" s="21" t="n">
        <f aca="false">IF(OR(AE429="",AE429=0),0,AE429*IF(X429="",0,IF(X429&gt;1,X429/100,X429)))</f>
        <v>0</v>
      </c>
      <c r="AI429" s="21" t="n">
        <f aca="false">IF(OR(AE429="",AE429=0),0,AE429*IF(AA429="",0,IF(AA429&gt;1,AA429/100,AA429)))</f>
        <v>0</v>
      </c>
      <c r="AJ429" s="21" t="n">
        <f aca="false">AG429+AH429+AI429</f>
        <v>0</v>
      </c>
      <c r="AK429" s="21" t="n">
        <f aca="false">IF(OR(AE429="",AE429=0),0,AE429-AJ429)</f>
        <v>0</v>
      </c>
      <c r="AL429" s="19" t="str">
        <f aca="false">IF(AD429="","",AD429-AK429)</f>
        <v/>
      </c>
      <c r="AM429" s="26" t="str">
        <f aca="false">IF(C429="","","Waiting for payment")</f>
        <v/>
      </c>
      <c r="AN429" s="27"/>
      <c r="AO429" s="27"/>
      <c r="AP429" s="35" t="str">
        <f aca="false">IF(OR(C429="",I429="",K429=""),"",IF(K429="Monthly",EDATE(C429,ROUND(I429*SETTINGS!$I$8,0)),WORKDAY(C429,ROUND(I429*SETTINGS!$I$8,0))))</f>
        <v/>
      </c>
      <c r="AQ429" s="26" t="str">
        <f aca="true">IF(C429="","",IF(AND(AP429&lt;&gt;"",TODAY()&gt;=AP429),"Refi Ready",IF(TODAY()-C429&gt;=SETTINGS!$I$11,"Prospecting","Performing")))</f>
        <v/>
      </c>
      <c r="AR429" s="35" t="str">
        <f aca="false">IF(OR(C429="",I429="",K429=""),"",IF(K429="Monthly",EDATE(C429,I429),WORKDAY(C429,I429)))</f>
        <v/>
      </c>
      <c r="AS429" s="28"/>
      <c r="AT429" s="36" t="str">
        <f aca="true">IF(C429="","",IF(AM429="Clawed Back","CLAWED",IF(TODAY()&lt;=C429+SETTINGS!$I$2,"⚠ AT RISK","SAFE")))</f>
        <v/>
      </c>
      <c r="AU429" s="28"/>
      <c r="AW429" s="24" t="n">
        <f aca="false">AW428+IF(AND(C429&lt;&gt;"",AO429&lt;&gt;"",OR('REP COMMISSION'!$B$3="",T429='REP COMMISSION'!$B$3,W429='REP COMMISSION'!$B$3,Z429='REP COMMISSION'!$B$3)),1,0)</f>
        <v>0</v>
      </c>
      <c r="AX429" s="24" t="n">
        <f aca="false">AX428+IF(AND(C429&lt;&gt;"",OR(F429="LOC - INITIAL",F429="CONSOLIDATION - UPFRONT COMM",F429="REVERSE - TOTAL FUNDING")),1,0)</f>
        <v>0</v>
      </c>
    </row>
    <row r="430" customFormat="false" ht="15" hidden="false" customHeight="false" outlineLevel="0" collapsed="false">
      <c r="A430" s="8" t="str">
        <f aca="false">IF(C430&lt;&gt;"","F"&amp;COUNT($C$4:C430),"")</f>
        <v/>
      </c>
      <c r="B430" s="9" t="str">
        <f aca="false">IF(OR(F430="LOC - INITIAL",F430="CONSOLIDATION - UPFRONT COMM",F430="REVERSE - TOTAL FUNDING"),A430,"")</f>
        <v/>
      </c>
      <c r="C430" s="10"/>
      <c r="D430" s="11"/>
      <c r="E430" s="11"/>
      <c r="F430" s="11"/>
      <c r="G430" s="12"/>
      <c r="H430" s="13"/>
      <c r="I430" s="11"/>
      <c r="J430" s="14" t="str">
        <f aca="false">IF(AND(G430&lt;&gt;"",H430&lt;&gt;""),G430*H430,"")</f>
        <v/>
      </c>
      <c r="K430" s="11"/>
      <c r="L430" s="15"/>
      <c r="M430" s="15"/>
      <c r="N430" s="14" t="n">
        <f aca="false">IF(OR(G430="",M430=""),0,IF(M430&gt;100,M430,G430*IF(M430&gt;1,M430/100,M430)))</f>
        <v>0</v>
      </c>
      <c r="O430" s="14" t="str">
        <f aca="false">IF(G430="","",G430*IF(L430="",0,IF(L430&gt;1,L430/100,L430))+N430)</f>
        <v/>
      </c>
      <c r="P430" s="11"/>
      <c r="Q430" s="16" t="str">
        <f aca="false">IF(P430="","",IFERROR(VLOOKUP(P430,PARTNERS!$A$2:$B$30,2,0),""))</f>
        <v/>
      </c>
      <c r="R430" s="17" t="str">
        <f aca="false">IF(O430="","",IF(OR(P430="",Q430=""),0,(O430-N430)*IF(Q430&gt;1,Q430/100,Q430)))</f>
        <v/>
      </c>
      <c r="S430" s="14" t="str">
        <f aca="false">IF(O430="","",O430-R430)</f>
        <v/>
      </c>
      <c r="T430" s="11"/>
      <c r="U430" s="18" t="str">
        <f aca="false">IF(T430="","",IFERROR(VLOOKUP(T430,REPS!$A$2:$D$40,2,0),""))</f>
        <v/>
      </c>
      <c r="V430" s="14" t="str">
        <f aca="false">IF(O430="","",IF(U430="",0,O430*IF(U430&gt;1,U430/100,U430)))</f>
        <v/>
      </c>
      <c r="W430" s="11"/>
      <c r="X430" s="18" t="str">
        <f aca="false">IF(W430="","",IFERROR(VLOOKUP(W430,REPS!$A$2:$D$40,3,0),""))</f>
        <v/>
      </c>
      <c r="Y430" s="14" t="str">
        <f aca="false">IF(O430="","",IF(X430="",0,O430*IF(X430&gt;1,X430/100,X430)))</f>
        <v/>
      </c>
      <c r="Z430" s="11"/>
      <c r="AA430" s="18" t="str">
        <f aca="false">IF(Z430="","",IFERROR(VLOOKUP(Z430,REPS!$A$2:$D$40,4,0),""))</f>
        <v/>
      </c>
      <c r="AB430" s="14" t="str">
        <f aca="false">IF(O430="","",IF(AA430="",0,O430*IF(AA430&gt;1,AA430/100,AA430)))</f>
        <v/>
      </c>
      <c r="AC430" s="14" t="str">
        <f aca="false">IF(O430="","",V430+Y430+AB430)</f>
        <v/>
      </c>
      <c r="AD430" s="19" t="str">
        <f aca="false">IF(O430="","",O430-R430-AC430)</f>
        <v/>
      </c>
      <c r="AE430" s="20"/>
      <c r="AF430" s="10"/>
      <c r="AG430" s="21" t="n">
        <f aca="false">IF(OR(AE430="",AE430=0),0,AE430*IF(U430="",0,IF(U430&gt;1,U430/100,U430)))</f>
        <v>0</v>
      </c>
      <c r="AH430" s="21" t="n">
        <f aca="false">IF(OR(AE430="",AE430=0),0,AE430*IF(X430="",0,IF(X430&gt;1,X430/100,X430)))</f>
        <v>0</v>
      </c>
      <c r="AI430" s="21" t="n">
        <f aca="false">IF(OR(AE430="",AE430=0),0,AE430*IF(AA430="",0,IF(AA430&gt;1,AA430/100,AA430)))</f>
        <v>0</v>
      </c>
      <c r="AJ430" s="21" t="n">
        <f aca="false">AG430+AH430+AI430</f>
        <v>0</v>
      </c>
      <c r="AK430" s="21" t="n">
        <f aca="false">IF(OR(AE430="",AE430=0),0,AE430-AJ430)</f>
        <v>0</v>
      </c>
      <c r="AL430" s="19" t="str">
        <f aca="false">IF(AD430="","",AD430-AK430)</f>
        <v/>
      </c>
      <c r="AM430" s="9" t="str">
        <f aca="false">IF(C430="","","Waiting for payment")</f>
        <v/>
      </c>
      <c r="AN430" s="10"/>
      <c r="AO430" s="10"/>
      <c r="AP430" s="22" t="str">
        <f aca="false">IF(OR(C430="",I430="",K430=""),"",IF(K430="Monthly",EDATE(C430,ROUND(I430*SETTINGS!$I$8,0)),WORKDAY(C430,ROUND(I430*SETTINGS!$I$8,0))))</f>
        <v/>
      </c>
      <c r="AQ430" s="9" t="str">
        <f aca="true">IF(C430="","",IF(AND(AP430&lt;&gt;"",TODAY()&gt;=AP430),"Refi Ready",IF(TODAY()-C430&gt;=SETTINGS!$I$11,"Prospecting","Performing")))</f>
        <v/>
      </c>
      <c r="AR430" s="22" t="str">
        <f aca="false">IF(OR(C430="",I430="",K430=""),"",IF(K430="Monthly",EDATE(C430,I430),WORKDAY(C430,I430)))</f>
        <v/>
      </c>
      <c r="AS430" s="11"/>
      <c r="AT430" s="23" t="str">
        <f aca="true">IF(C430="","",IF(AM430="Clawed Back","CLAWED",IF(TODAY()&lt;=C430+SETTINGS!$I$2,"⚠ AT RISK","SAFE")))</f>
        <v/>
      </c>
      <c r="AU430" s="11"/>
      <c r="AW430" s="24" t="n">
        <f aca="false">AW429+IF(AND(C430&lt;&gt;"",AO430&lt;&gt;"",OR('REP COMMISSION'!$B$3="",T430='REP COMMISSION'!$B$3,W430='REP COMMISSION'!$B$3,Z430='REP COMMISSION'!$B$3)),1,0)</f>
        <v>0</v>
      </c>
      <c r="AX430" s="24" t="n">
        <f aca="false">AX429+IF(AND(C430&lt;&gt;"",OR(F430="LOC - INITIAL",F430="CONSOLIDATION - UPFRONT COMM",F430="REVERSE - TOTAL FUNDING")),1,0)</f>
        <v>0</v>
      </c>
    </row>
    <row r="431" customFormat="false" ht="15" hidden="false" customHeight="false" outlineLevel="0" collapsed="false">
      <c r="A431" s="25" t="str">
        <f aca="false">IF(C431&lt;&gt;"","F"&amp;COUNT($C$4:C431),"")</f>
        <v/>
      </c>
      <c r="B431" s="26" t="str">
        <f aca="false">IF(OR(F431="LOC - INITIAL",F431="CONSOLIDATION - UPFRONT COMM",F431="REVERSE - TOTAL FUNDING"),A431,"")</f>
        <v/>
      </c>
      <c r="C431" s="27"/>
      <c r="D431" s="28"/>
      <c r="E431" s="28"/>
      <c r="F431" s="28"/>
      <c r="G431" s="29"/>
      <c r="H431" s="30"/>
      <c r="I431" s="28"/>
      <c r="J431" s="31" t="str">
        <f aca="false">IF(AND(G431&lt;&gt;"",H431&lt;&gt;""),G431*H431,"")</f>
        <v/>
      </c>
      <c r="K431" s="28"/>
      <c r="L431" s="32"/>
      <c r="M431" s="32"/>
      <c r="N431" s="31" t="n">
        <f aca="false">IF(OR(G431="",M431=""),0,IF(M431&gt;100,M431,G431*IF(M431&gt;1,M431/100,M431)))</f>
        <v>0</v>
      </c>
      <c r="O431" s="31" t="str">
        <f aca="false">IF(G431="","",G431*IF(L431="",0,IF(L431&gt;1,L431/100,L431))+N431)</f>
        <v/>
      </c>
      <c r="P431" s="28"/>
      <c r="Q431" s="33" t="str">
        <f aca="false">IF(P431="","",IFERROR(VLOOKUP(P431,PARTNERS!$A$2:$B$30,2,0),""))</f>
        <v/>
      </c>
      <c r="R431" s="17" t="str">
        <f aca="false">IF(O431="","",IF(OR(P431="",Q431=""),0,(O431-N431)*IF(Q431&gt;1,Q431/100,Q431)))</f>
        <v/>
      </c>
      <c r="S431" s="31" t="str">
        <f aca="false">IF(O431="","",O431-R431)</f>
        <v/>
      </c>
      <c r="T431" s="28"/>
      <c r="U431" s="34" t="str">
        <f aca="false">IF(T431="","",IFERROR(VLOOKUP(T431,REPS!$A$2:$D$40,2,0),""))</f>
        <v/>
      </c>
      <c r="V431" s="31" t="str">
        <f aca="false">IF(O431="","",IF(U431="",0,O431*IF(U431&gt;1,U431/100,U431)))</f>
        <v/>
      </c>
      <c r="W431" s="28"/>
      <c r="X431" s="34" t="str">
        <f aca="false">IF(W431="","",IFERROR(VLOOKUP(W431,REPS!$A$2:$D$40,3,0),""))</f>
        <v/>
      </c>
      <c r="Y431" s="31" t="str">
        <f aca="false">IF(O431="","",IF(X431="",0,O431*IF(X431&gt;1,X431/100,X431)))</f>
        <v/>
      </c>
      <c r="Z431" s="28"/>
      <c r="AA431" s="34" t="str">
        <f aca="false">IF(Z431="","",IFERROR(VLOOKUP(Z431,REPS!$A$2:$D$40,4,0),""))</f>
        <v/>
      </c>
      <c r="AB431" s="31" t="str">
        <f aca="false">IF(O431="","",IF(AA431="",0,O431*IF(AA431&gt;1,AA431/100,AA431)))</f>
        <v/>
      </c>
      <c r="AC431" s="31" t="str">
        <f aca="false">IF(O431="","",V431+Y431+AB431)</f>
        <v/>
      </c>
      <c r="AD431" s="19" t="str">
        <f aca="false">IF(O431="","",O431-R431-AC431)</f>
        <v/>
      </c>
      <c r="AE431" s="20"/>
      <c r="AF431" s="27"/>
      <c r="AG431" s="21" t="n">
        <f aca="false">IF(OR(AE431="",AE431=0),0,AE431*IF(U431="",0,IF(U431&gt;1,U431/100,U431)))</f>
        <v>0</v>
      </c>
      <c r="AH431" s="21" t="n">
        <f aca="false">IF(OR(AE431="",AE431=0),0,AE431*IF(X431="",0,IF(X431&gt;1,X431/100,X431)))</f>
        <v>0</v>
      </c>
      <c r="AI431" s="21" t="n">
        <f aca="false">IF(OR(AE431="",AE431=0),0,AE431*IF(AA431="",0,IF(AA431&gt;1,AA431/100,AA431)))</f>
        <v>0</v>
      </c>
      <c r="AJ431" s="21" t="n">
        <f aca="false">AG431+AH431+AI431</f>
        <v>0</v>
      </c>
      <c r="AK431" s="21" t="n">
        <f aca="false">IF(OR(AE431="",AE431=0),0,AE431-AJ431)</f>
        <v>0</v>
      </c>
      <c r="AL431" s="19" t="str">
        <f aca="false">IF(AD431="","",AD431-AK431)</f>
        <v/>
      </c>
      <c r="AM431" s="26" t="str">
        <f aca="false">IF(C431="","","Waiting for payment")</f>
        <v/>
      </c>
      <c r="AN431" s="27"/>
      <c r="AO431" s="27"/>
      <c r="AP431" s="35" t="str">
        <f aca="false">IF(OR(C431="",I431="",K431=""),"",IF(K431="Monthly",EDATE(C431,ROUND(I431*SETTINGS!$I$8,0)),WORKDAY(C431,ROUND(I431*SETTINGS!$I$8,0))))</f>
        <v/>
      </c>
      <c r="AQ431" s="26" t="str">
        <f aca="true">IF(C431="","",IF(AND(AP431&lt;&gt;"",TODAY()&gt;=AP431),"Refi Ready",IF(TODAY()-C431&gt;=SETTINGS!$I$11,"Prospecting","Performing")))</f>
        <v/>
      </c>
      <c r="AR431" s="35" t="str">
        <f aca="false">IF(OR(C431="",I431="",K431=""),"",IF(K431="Monthly",EDATE(C431,I431),WORKDAY(C431,I431)))</f>
        <v/>
      </c>
      <c r="AS431" s="28"/>
      <c r="AT431" s="36" t="str">
        <f aca="true">IF(C431="","",IF(AM431="Clawed Back","CLAWED",IF(TODAY()&lt;=C431+SETTINGS!$I$2,"⚠ AT RISK","SAFE")))</f>
        <v/>
      </c>
      <c r="AU431" s="28"/>
      <c r="AW431" s="24" t="n">
        <f aca="false">AW430+IF(AND(C431&lt;&gt;"",AO431&lt;&gt;"",OR('REP COMMISSION'!$B$3="",T431='REP COMMISSION'!$B$3,W431='REP COMMISSION'!$B$3,Z431='REP COMMISSION'!$B$3)),1,0)</f>
        <v>0</v>
      </c>
      <c r="AX431" s="24" t="n">
        <f aca="false">AX430+IF(AND(C431&lt;&gt;"",OR(F431="LOC - INITIAL",F431="CONSOLIDATION - UPFRONT COMM",F431="REVERSE - TOTAL FUNDING")),1,0)</f>
        <v>0</v>
      </c>
    </row>
    <row r="432" customFormat="false" ht="15" hidden="false" customHeight="false" outlineLevel="0" collapsed="false">
      <c r="A432" s="8" t="str">
        <f aca="false">IF(C432&lt;&gt;"","F"&amp;COUNT($C$4:C432),"")</f>
        <v/>
      </c>
      <c r="B432" s="9" t="str">
        <f aca="false">IF(OR(F432="LOC - INITIAL",F432="CONSOLIDATION - UPFRONT COMM",F432="REVERSE - TOTAL FUNDING"),A432,"")</f>
        <v/>
      </c>
      <c r="C432" s="10"/>
      <c r="D432" s="11"/>
      <c r="E432" s="11"/>
      <c r="F432" s="11"/>
      <c r="G432" s="12"/>
      <c r="H432" s="13"/>
      <c r="I432" s="11"/>
      <c r="J432" s="14" t="str">
        <f aca="false">IF(AND(G432&lt;&gt;"",H432&lt;&gt;""),G432*H432,"")</f>
        <v/>
      </c>
      <c r="K432" s="11"/>
      <c r="L432" s="15"/>
      <c r="M432" s="15"/>
      <c r="N432" s="14" t="n">
        <f aca="false">IF(OR(G432="",M432=""),0,IF(M432&gt;100,M432,G432*IF(M432&gt;1,M432/100,M432)))</f>
        <v>0</v>
      </c>
      <c r="O432" s="14" t="str">
        <f aca="false">IF(G432="","",G432*IF(L432="",0,IF(L432&gt;1,L432/100,L432))+N432)</f>
        <v/>
      </c>
      <c r="P432" s="11"/>
      <c r="Q432" s="16" t="str">
        <f aca="false">IF(P432="","",IFERROR(VLOOKUP(P432,PARTNERS!$A$2:$B$30,2,0),""))</f>
        <v/>
      </c>
      <c r="R432" s="17" t="str">
        <f aca="false">IF(O432="","",IF(OR(P432="",Q432=""),0,(O432-N432)*IF(Q432&gt;1,Q432/100,Q432)))</f>
        <v/>
      </c>
      <c r="S432" s="14" t="str">
        <f aca="false">IF(O432="","",O432-R432)</f>
        <v/>
      </c>
      <c r="T432" s="11"/>
      <c r="U432" s="18" t="str">
        <f aca="false">IF(T432="","",IFERROR(VLOOKUP(T432,REPS!$A$2:$D$40,2,0),""))</f>
        <v/>
      </c>
      <c r="V432" s="14" t="str">
        <f aca="false">IF(O432="","",IF(U432="",0,O432*IF(U432&gt;1,U432/100,U432)))</f>
        <v/>
      </c>
      <c r="W432" s="11"/>
      <c r="X432" s="18" t="str">
        <f aca="false">IF(W432="","",IFERROR(VLOOKUP(W432,REPS!$A$2:$D$40,3,0),""))</f>
        <v/>
      </c>
      <c r="Y432" s="14" t="str">
        <f aca="false">IF(O432="","",IF(X432="",0,O432*IF(X432&gt;1,X432/100,X432)))</f>
        <v/>
      </c>
      <c r="Z432" s="11"/>
      <c r="AA432" s="18" t="str">
        <f aca="false">IF(Z432="","",IFERROR(VLOOKUP(Z432,REPS!$A$2:$D$40,4,0),""))</f>
        <v/>
      </c>
      <c r="AB432" s="14" t="str">
        <f aca="false">IF(O432="","",IF(AA432="",0,O432*IF(AA432&gt;1,AA432/100,AA432)))</f>
        <v/>
      </c>
      <c r="AC432" s="14" t="str">
        <f aca="false">IF(O432="","",V432+Y432+AB432)</f>
        <v/>
      </c>
      <c r="AD432" s="19" t="str">
        <f aca="false">IF(O432="","",O432-R432-AC432)</f>
        <v/>
      </c>
      <c r="AE432" s="20"/>
      <c r="AF432" s="10"/>
      <c r="AG432" s="21" t="n">
        <f aca="false">IF(OR(AE432="",AE432=0),0,AE432*IF(U432="",0,IF(U432&gt;1,U432/100,U432)))</f>
        <v>0</v>
      </c>
      <c r="AH432" s="21" t="n">
        <f aca="false">IF(OR(AE432="",AE432=0),0,AE432*IF(X432="",0,IF(X432&gt;1,X432/100,X432)))</f>
        <v>0</v>
      </c>
      <c r="AI432" s="21" t="n">
        <f aca="false">IF(OR(AE432="",AE432=0),0,AE432*IF(AA432="",0,IF(AA432&gt;1,AA432/100,AA432)))</f>
        <v>0</v>
      </c>
      <c r="AJ432" s="21" t="n">
        <f aca="false">AG432+AH432+AI432</f>
        <v>0</v>
      </c>
      <c r="AK432" s="21" t="n">
        <f aca="false">IF(OR(AE432="",AE432=0),0,AE432-AJ432)</f>
        <v>0</v>
      </c>
      <c r="AL432" s="19" t="str">
        <f aca="false">IF(AD432="","",AD432-AK432)</f>
        <v/>
      </c>
      <c r="AM432" s="9" t="str">
        <f aca="false">IF(C432="","","Waiting for payment")</f>
        <v/>
      </c>
      <c r="AN432" s="10"/>
      <c r="AO432" s="10"/>
      <c r="AP432" s="22" t="str">
        <f aca="false">IF(OR(C432="",I432="",K432=""),"",IF(K432="Monthly",EDATE(C432,ROUND(I432*SETTINGS!$I$8,0)),WORKDAY(C432,ROUND(I432*SETTINGS!$I$8,0))))</f>
        <v/>
      </c>
      <c r="AQ432" s="9" t="str">
        <f aca="true">IF(C432="","",IF(AND(AP432&lt;&gt;"",TODAY()&gt;=AP432),"Refi Ready",IF(TODAY()-C432&gt;=SETTINGS!$I$11,"Prospecting","Performing")))</f>
        <v/>
      </c>
      <c r="AR432" s="22" t="str">
        <f aca="false">IF(OR(C432="",I432="",K432=""),"",IF(K432="Monthly",EDATE(C432,I432),WORKDAY(C432,I432)))</f>
        <v/>
      </c>
      <c r="AS432" s="11"/>
      <c r="AT432" s="23" t="str">
        <f aca="true">IF(C432="","",IF(AM432="Clawed Back","CLAWED",IF(TODAY()&lt;=C432+SETTINGS!$I$2,"⚠ AT RISK","SAFE")))</f>
        <v/>
      </c>
      <c r="AU432" s="11"/>
      <c r="AW432" s="24" t="n">
        <f aca="false">AW431+IF(AND(C432&lt;&gt;"",AO432&lt;&gt;"",OR('REP COMMISSION'!$B$3="",T432='REP COMMISSION'!$B$3,W432='REP COMMISSION'!$B$3,Z432='REP COMMISSION'!$B$3)),1,0)</f>
        <v>0</v>
      </c>
      <c r="AX432" s="24" t="n">
        <f aca="false">AX431+IF(AND(C432&lt;&gt;"",OR(F432="LOC - INITIAL",F432="CONSOLIDATION - UPFRONT COMM",F432="REVERSE - TOTAL FUNDING")),1,0)</f>
        <v>0</v>
      </c>
    </row>
    <row r="433" customFormat="false" ht="15" hidden="false" customHeight="false" outlineLevel="0" collapsed="false">
      <c r="A433" s="25" t="str">
        <f aca="false">IF(C433&lt;&gt;"","F"&amp;COUNT($C$4:C433),"")</f>
        <v/>
      </c>
      <c r="B433" s="26" t="str">
        <f aca="false">IF(OR(F433="LOC - INITIAL",F433="CONSOLIDATION - UPFRONT COMM",F433="REVERSE - TOTAL FUNDING"),A433,"")</f>
        <v/>
      </c>
      <c r="C433" s="27"/>
      <c r="D433" s="28"/>
      <c r="E433" s="28"/>
      <c r="F433" s="28"/>
      <c r="G433" s="29"/>
      <c r="H433" s="30"/>
      <c r="I433" s="28"/>
      <c r="J433" s="31" t="str">
        <f aca="false">IF(AND(G433&lt;&gt;"",H433&lt;&gt;""),G433*H433,"")</f>
        <v/>
      </c>
      <c r="K433" s="28"/>
      <c r="L433" s="32"/>
      <c r="M433" s="32"/>
      <c r="N433" s="31" t="n">
        <f aca="false">IF(OR(G433="",M433=""),0,IF(M433&gt;100,M433,G433*IF(M433&gt;1,M433/100,M433)))</f>
        <v>0</v>
      </c>
      <c r="O433" s="31" t="str">
        <f aca="false">IF(G433="","",G433*IF(L433="",0,IF(L433&gt;1,L433/100,L433))+N433)</f>
        <v/>
      </c>
      <c r="P433" s="28"/>
      <c r="Q433" s="33" t="str">
        <f aca="false">IF(P433="","",IFERROR(VLOOKUP(P433,PARTNERS!$A$2:$B$30,2,0),""))</f>
        <v/>
      </c>
      <c r="R433" s="17" t="str">
        <f aca="false">IF(O433="","",IF(OR(P433="",Q433=""),0,(O433-N433)*IF(Q433&gt;1,Q433/100,Q433)))</f>
        <v/>
      </c>
      <c r="S433" s="31" t="str">
        <f aca="false">IF(O433="","",O433-R433)</f>
        <v/>
      </c>
      <c r="T433" s="28"/>
      <c r="U433" s="34" t="str">
        <f aca="false">IF(T433="","",IFERROR(VLOOKUP(T433,REPS!$A$2:$D$40,2,0),""))</f>
        <v/>
      </c>
      <c r="V433" s="31" t="str">
        <f aca="false">IF(O433="","",IF(U433="",0,O433*IF(U433&gt;1,U433/100,U433)))</f>
        <v/>
      </c>
      <c r="W433" s="28"/>
      <c r="X433" s="34" t="str">
        <f aca="false">IF(W433="","",IFERROR(VLOOKUP(W433,REPS!$A$2:$D$40,3,0),""))</f>
        <v/>
      </c>
      <c r="Y433" s="31" t="str">
        <f aca="false">IF(O433="","",IF(X433="",0,O433*IF(X433&gt;1,X433/100,X433)))</f>
        <v/>
      </c>
      <c r="Z433" s="28"/>
      <c r="AA433" s="34" t="str">
        <f aca="false">IF(Z433="","",IFERROR(VLOOKUP(Z433,REPS!$A$2:$D$40,4,0),""))</f>
        <v/>
      </c>
      <c r="AB433" s="31" t="str">
        <f aca="false">IF(O433="","",IF(AA433="",0,O433*IF(AA433&gt;1,AA433/100,AA433)))</f>
        <v/>
      </c>
      <c r="AC433" s="31" t="str">
        <f aca="false">IF(O433="","",V433+Y433+AB433)</f>
        <v/>
      </c>
      <c r="AD433" s="19" t="str">
        <f aca="false">IF(O433="","",O433-R433-AC433)</f>
        <v/>
      </c>
      <c r="AE433" s="20"/>
      <c r="AF433" s="27"/>
      <c r="AG433" s="21" t="n">
        <f aca="false">IF(OR(AE433="",AE433=0),0,AE433*IF(U433="",0,IF(U433&gt;1,U433/100,U433)))</f>
        <v>0</v>
      </c>
      <c r="AH433" s="21" t="n">
        <f aca="false">IF(OR(AE433="",AE433=0),0,AE433*IF(X433="",0,IF(X433&gt;1,X433/100,X433)))</f>
        <v>0</v>
      </c>
      <c r="AI433" s="21" t="n">
        <f aca="false">IF(OR(AE433="",AE433=0),0,AE433*IF(AA433="",0,IF(AA433&gt;1,AA433/100,AA433)))</f>
        <v>0</v>
      </c>
      <c r="AJ433" s="21" t="n">
        <f aca="false">AG433+AH433+AI433</f>
        <v>0</v>
      </c>
      <c r="AK433" s="21" t="n">
        <f aca="false">IF(OR(AE433="",AE433=0),0,AE433-AJ433)</f>
        <v>0</v>
      </c>
      <c r="AL433" s="19" t="str">
        <f aca="false">IF(AD433="","",AD433-AK433)</f>
        <v/>
      </c>
      <c r="AM433" s="26" t="str">
        <f aca="false">IF(C433="","","Waiting for payment")</f>
        <v/>
      </c>
      <c r="AN433" s="27"/>
      <c r="AO433" s="27"/>
      <c r="AP433" s="35" t="str">
        <f aca="false">IF(OR(C433="",I433="",K433=""),"",IF(K433="Monthly",EDATE(C433,ROUND(I433*SETTINGS!$I$8,0)),WORKDAY(C433,ROUND(I433*SETTINGS!$I$8,0))))</f>
        <v/>
      </c>
      <c r="AQ433" s="26" t="str">
        <f aca="true">IF(C433="","",IF(AND(AP433&lt;&gt;"",TODAY()&gt;=AP433),"Refi Ready",IF(TODAY()-C433&gt;=SETTINGS!$I$11,"Prospecting","Performing")))</f>
        <v/>
      </c>
      <c r="AR433" s="35" t="str">
        <f aca="false">IF(OR(C433="",I433="",K433=""),"",IF(K433="Monthly",EDATE(C433,I433),WORKDAY(C433,I433)))</f>
        <v/>
      </c>
      <c r="AS433" s="28"/>
      <c r="AT433" s="36" t="str">
        <f aca="true">IF(C433="","",IF(AM433="Clawed Back","CLAWED",IF(TODAY()&lt;=C433+SETTINGS!$I$2,"⚠ AT RISK","SAFE")))</f>
        <v/>
      </c>
      <c r="AU433" s="28"/>
      <c r="AW433" s="24" t="n">
        <f aca="false">AW432+IF(AND(C433&lt;&gt;"",AO433&lt;&gt;"",OR('REP COMMISSION'!$B$3="",T433='REP COMMISSION'!$B$3,W433='REP COMMISSION'!$B$3,Z433='REP COMMISSION'!$B$3)),1,0)</f>
        <v>0</v>
      </c>
      <c r="AX433" s="24" t="n">
        <f aca="false">AX432+IF(AND(C433&lt;&gt;"",OR(F433="LOC - INITIAL",F433="CONSOLIDATION - UPFRONT COMM",F433="REVERSE - TOTAL FUNDING")),1,0)</f>
        <v>0</v>
      </c>
    </row>
    <row r="434" customFormat="false" ht="15" hidden="false" customHeight="false" outlineLevel="0" collapsed="false">
      <c r="A434" s="8" t="str">
        <f aca="false">IF(C434&lt;&gt;"","F"&amp;COUNT($C$4:C434),"")</f>
        <v/>
      </c>
      <c r="B434" s="9" t="str">
        <f aca="false">IF(OR(F434="LOC - INITIAL",F434="CONSOLIDATION - UPFRONT COMM",F434="REVERSE - TOTAL FUNDING"),A434,"")</f>
        <v/>
      </c>
      <c r="C434" s="10"/>
      <c r="D434" s="11"/>
      <c r="E434" s="11"/>
      <c r="F434" s="11"/>
      <c r="G434" s="12"/>
      <c r="H434" s="13"/>
      <c r="I434" s="11"/>
      <c r="J434" s="14" t="str">
        <f aca="false">IF(AND(G434&lt;&gt;"",H434&lt;&gt;""),G434*H434,"")</f>
        <v/>
      </c>
      <c r="K434" s="11"/>
      <c r="L434" s="15"/>
      <c r="M434" s="15"/>
      <c r="N434" s="14" t="n">
        <f aca="false">IF(OR(G434="",M434=""),0,IF(M434&gt;100,M434,G434*IF(M434&gt;1,M434/100,M434)))</f>
        <v>0</v>
      </c>
      <c r="O434" s="14" t="str">
        <f aca="false">IF(G434="","",G434*IF(L434="",0,IF(L434&gt;1,L434/100,L434))+N434)</f>
        <v/>
      </c>
      <c r="P434" s="11"/>
      <c r="Q434" s="16" t="str">
        <f aca="false">IF(P434="","",IFERROR(VLOOKUP(P434,PARTNERS!$A$2:$B$30,2,0),""))</f>
        <v/>
      </c>
      <c r="R434" s="17" t="str">
        <f aca="false">IF(O434="","",IF(OR(P434="",Q434=""),0,(O434-N434)*IF(Q434&gt;1,Q434/100,Q434)))</f>
        <v/>
      </c>
      <c r="S434" s="14" t="str">
        <f aca="false">IF(O434="","",O434-R434)</f>
        <v/>
      </c>
      <c r="T434" s="11"/>
      <c r="U434" s="18" t="str">
        <f aca="false">IF(T434="","",IFERROR(VLOOKUP(T434,REPS!$A$2:$D$40,2,0),""))</f>
        <v/>
      </c>
      <c r="V434" s="14" t="str">
        <f aca="false">IF(O434="","",IF(U434="",0,O434*IF(U434&gt;1,U434/100,U434)))</f>
        <v/>
      </c>
      <c r="W434" s="11"/>
      <c r="X434" s="18" t="str">
        <f aca="false">IF(W434="","",IFERROR(VLOOKUP(W434,REPS!$A$2:$D$40,3,0),""))</f>
        <v/>
      </c>
      <c r="Y434" s="14" t="str">
        <f aca="false">IF(O434="","",IF(X434="",0,O434*IF(X434&gt;1,X434/100,X434)))</f>
        <v/>
      </c>
      <c r="Z434" s="11"/>
      <c r="AA434" s="18" t="str">
        <f aca="false">IF(Z434="","",IFERROR(VLOOKUP(Z434,REPS!$A$2:$D$40,4,0),""))</f>
        <v/>
      </c>
      <c r="AB434" s="14" t="str">
        <f aca="false">IF(O434="","",IF(AA434="",0,O434*IF(AA434&gt;1,AA434/100,AA434)))</f>
        <v/>
      </c>
      <c r="AC434" s="14" t="str">
        <f aca="false">IF(O434="","",V434+Y434+AB434)</f>
        <v/>
      </c>
      <c r="AD434" s="19" t="str">
        <f aca="false">IF(O434="","",O434-R434-AC434)</f>
        <v/>
      </c>
      <c r="AE434" s="20"/>
      <c r="AF434" s="10"/>
      <c r="AG434" s="21" t="n">
        <f aca="false">IF(OR(AE434="",AE434=0),0,AE434*IF(U434="",0,IF(U434&gt;1,U434/100,U434)))</f>
        <v>0</v>
      </c>
      <c r="AH434" s="21" t="n">
        <f aca="false">IF(OR(AE434="",AE434=0),0,AE434*IF(X434="",0,IF(X434&gt;1,X434/100,X434)))</f>
        <v>0</v>
      </c>
      <c r="AI434" s="21" t="n">
        <f aca="false">IF(OR(AE434="",AE434=0),0,AE434*IF(AA434="",0,IF(AA434&gt;1,AA434/100,AA434)))</f>
        <v>0</v>
      </c>
      <c r="AJ434" s="21" t="n">
        <f aca="false">AG434+AH434+AI434</f>
        <v>0</v>
      </c>
      <c r="AK434" s="21" t="n">
        <f aca="false">IF(OR(AE434="",AE434=0),0,AE434-AJ434)</f>
        <v>0</v>
      </c>
      <c r="AL434" s="19" t="str">
        <f aca="false">IF(AD434="","",AD434-AK434)</f>
        <v/>
      </c>
      <c r="AM434" s="9" t="str">
        <f aca="false">IF(C434="","","Waiting for payment")</f>
        <v/>
      </c>
      <c r="AN434" s="10"/>
      <c r="AO434" s="10"/>
      <c r="AP434" s="22" t="str">
        <f aca="false">IF(OR(C434="",I434="",K434=""),"",IF(K434="Monthly",EDATE(C434,ROUND(I434*SETTINGS!$I$8,0)),WORKDAY(C434,ROUND(I434*SETTINGS!$I$8,0))))</f>
        <v/>
      </c>
      <c r="AQ434" s="9" t="str">
        <f aca="true">IF(C434="","",IF(AND(AP434&lt;&gt;"",TODAY()&gt;=AP434),"Refi Ready",IF(TODAY()-C434&gt;=SETTINGS!$I$11,"Prospecting","Performing")))</f>
        <v/>
      </c>
      <c r="AR434" s="22" t="str">
        <f aca="false">IF(OR(C434="",I434="",K434=""),"",IF(K434="Monthly",EDATE(C434,I434),WORKDAY(C434,I434)))</f>
        <v/>
      </c>
      <c r="AS434" s="11"/>
      <c r="AT434" s="23" t="str">
        <f aca="true">IF(C434="","",IF(AM434="Clawed Back","CLAWED",IF(TODAY()&lt;=C434+SETTINGS!$I$2,"⚠ AT RISK","SAFE")))</f>
        <v/>
      </c>
      <c r="AU434" s="11"/>
      <c r="AW434" s="24" t="n">
        <f aca="false">AW433+IF(AND(C434&lt;&gt;"",AO434&lt;&gt;"",OR('REP COMMISSION'!$B$3="",T434='REP COMMISSION'!$B$3,W434='REP COMMISSION'!$B$3,Z434='REP COMMISSION'!$B$3)),1,0)</f>
        <v>0</v>
      </c>
      <c r="AX434" s="24" t="n">
        <f aca="false">AX433+IF(AND(C434&lt;&gt;"",OR(F434="LOC - INITIAL",F434="CONSOLIDATION - UPFRONT COMM",F434="REVERSE - TOTAL FUNDING")),1,0)</f>
        <v>0</v>
      </c>
    </row>
    <row r="435" customFormat="false" ht="15" hidden="false" customHeight="false" outlineLevel="0" collapsed="false">
      <c r="A435" s="25" t="str">
        <f aca="false">IF(C435&lt;&gt;"","F"&amp;COUNT($C$4:C435),"")</f>
        <v/>
      </c>
      <c r="B435" s="26" t="str">
        <f aca="false">IF(OR(F435="LOC - INITIAL",F435="CONSOLIDATION - UPFRONT COMM",F435="REVERSE - TOTAL FUNDING"),A435,"")</f>
        <v/>
      </c>
      <c r="C435" s="27"/>
      <c r="D435" s="28"/>
      <c r="E435" s="28"/>
      <c r="F435" s="28"/>
      <c r="G435" s="29"/>
      <c r="H435" s="30"/>
      <c r="I435" s="28"/>
      <c r="J435" s="31" t="str">
        <f aca="false">IF(AND(G435&lt;&gt;"",H435&lt;&gt;""),G435*H435,"")</f>
        <v/>
      </c>
      <c r="K435" s="28"/>
      <c r="L435" s="32"/>
      <c r="M435" s="32"/>
      <c r="N435" s="31" t="n">
        <f aca="false">IF(OR(G435="",M435=""),0,IF(M435&gt;100,M435,G435*IF(M435&gt;1,M435/100,M435)))</f>
        <v>0</v>
      </c>
      <c r="O435" s="31" t="str">
        <f aca="false">IF(G435="","",G435*IF(L435="",0,IF(L435&gt;1,L435/100,L435))+N435)</f>
        <v/>
      </c>
      <c r="P435" s="28"/>
      <c r="Q435" s="33" t="str">
        <f aca="false">IF(P435="","",IFERROR(VLOOKUP(P435,PARTNERS!$A$2:$B$30,2,0),""))</f>
        <v/>
      </c>
      <c r="R435" s="17" t="str">
        <f aca="false">IF(O435="","",IF(OR(P435="",Q435=""),0,(O435-N435)*IF(Q435&gt;1,Q435/100,Q435)))</f>
        <v/>
      </c>
      <c r="S435" s="31" t="str">
        <f aca="false">IF(O435="","",O435-R435)</f>
        <v/>
      </c>
      <c r="T435" s="28"/>
      <c r="U435" s="34" t="str">
        <f aca="false">IF(T435="","",IFERROR(VLOOKUP(T435,REPS!$A$2:$D$40,2,0),""))</f>
        <v/>
      </c>
      <c r="V435" s="31" t="str">
        <f aca="false">IF(O435="","",IF(U435="",0,O435*IF(U435&gt;1,U435/100,U435)))</f>
        <v/>
      </c>
      <c r="W435" s="28"/>
      <c r="X435" s="34" t="str">
        <f aca="false">IF(W435="","",IFERROR(VLOOKUP(W435,REPS!$A$2:$D$40,3,0),""))</f>
        <v/>
      </c>
      <c r="Y435" s="31" t="str">
        <f aca="false">IF(O435="","",IF(X435="",0,O435*IF(X435&gt;1,X435/100,X435)))</f>
        <v/>
      </c>
      <c r="Z435" s="28"/>
      <c r="AA435" s="34" t="str">
        <f aca="false">IF(Z435="","",IFERROR(VLOOKUP(Z435,REPS!$A$2:$D$40,4,0),""))</f>
        <v/>
      </c>
      <c r="AB435" s="31" t="str">
        <f aca="false">IF(O435="","",IF(AA435="",0,O435*IF(AA435&gt;1,AA435/100,AA435)))</f>
        <v/>
      </c>
      <c r="AC435" s="31" t="str">
        <f aca="false">IF(O435="","",V435+Y435+AB435)</f>
        <v/>
      </c>
      <c r="AD435" s="19" t="str">
        <f aca="false">IF(O435="","",O435-R435-AC435)</f>
        <v/>
      </c>
      <c r="AE435" s="20"/>
      <c r="AF435" s="27"/>
      <c r="AG435" s="21" t="n">
        <f aca="false">IF(OR(AE435="",AE435=0),0,AE435*IF(U435="",0,IF(U435&gt;1,U435/100,U435)))</f>
        <v>0</v>
      </c>
      <c r="AH435" s="21" t="n">
        <f aca="false">IF(OR(AE435="",AE435=0),0,AE435*IF(X435="",0,IF(X435&gt;1,X435/100,X435)))</f>
        <v>0</v>
      </c>
      <c r="AI435" s="21" t="n">
        <f aca="false">IF(OR(AE435="",AE435=0),0,AE435*IF(AA435="",0,IF(AA435&gt;1,AA435/100,AA435)))</f>
        <v>0</v>
      </c>
      <c r="AJ435" s="21" t="n">
        <f aca="false">AG435+AH435+AI435</f>
        <v>0</v>
      </c>
      <c r="AK435" s="21" t="n">
        <f aca="false">IF(OR(AE435="",AE435=0),0,AE435-AJ435)</f>
        <v>0</v>
      </c>
      <c r="AL435" s="19" t="str">
        <f aca="false">IF(AD435="","",AD435-AK435)</f>
        <v/>
      </c>
      <c r="AM435" s="26" t="str">
        <f aca="false">IF(C435="","","Waiting for payment")</f>
        <v/>
      </c>
      <c r="AN435" s="27"/>
      <c r="AO435" s="27"/>
      <c r="AP435" s="35" t="str">
        <f aca="false">IF(OR(C435="",I435="",K435=""),"",IF(K435="Monthly",EDATE(C435,ROUND(I435*SETTINGS!$I$8,0)),WORKDAY(C435,ROUND(I435*SETTINGS!$I$8,0))))</f>
        <v/>
      </c>
      <c r="AQ435" s="26" t="str">
        <f aca="true">IF(C435="","",IF(AND(AP435&lt;&gt;"",TODAY()&gt;=AP435),"Refi Ready",IF(TODAY()-C435&gt;=SETTINGS!$I$11,"Prospecting","Performing")))</f>
        <v/>
      </c>
      <c r="AR435" s="35" t="str">
        <f aca="false">IF(OR(C435="",I435="",K435=""),"",IF(K435="Monthly",EDATE(C435,I435),WORKDAY(C435,I435)))</f>
        <v/>
      </c>
      <c r="AS435" s="28"/>
      <c r="AT435" s="36" t="str">
        <f aca="true">IF(C435="","",IF(AM435="Clawed Back","CLAWED",IF(TODAY()&lt;=C435+SETTINGS!$I$2,"⚠ AT RISK","SAFE")))</f>
        <v/>
      </c>
      <c r="AU435" s="28"/>
      <c r="AW435" s="24" t="n">
        <f aca="false">AW434+IF(AND(C435&lt;&gt;"",AO435&lt;&gt;"",OR('REP COMMISSION'!$B$3="",T435='REP COMMISSION'!$B$3,W435='REP COMMISSION'!$B$3,Z435='REP COMMISSION'!$B$3)),1,0)</f>
        <v>0</v>
      </c>
      <c r="AX435" s="24" t="n">
        <f aca="false">AX434+IF(AND(C435&lt;&gt;"",OR(F435="LOC - INITIAL",F435="CONSOLIDATION - UPFRONT COMM",F435="REVERSE - TOTAL FUNDING")),1,0)</f>
        <v>0</v>
      </c>
    </row>
    <row r="436" customFormat="false" ht="15" hidden="false" customHeight="false" outlineLevel="0" collapsed="false">
      <c r="A436" s="8" t="str">
        <f aca="false">IF(C436&lt;&gt;"","F"&amp;COUNT($C$4:C436),"")</f>
        <v/>
      </c>
      <c r="B436" s="9" t="str">
        <f aca="false">IF(OR(F436="LOC - INITIAL",F436="CONSOLIDATION - UPFRONT COMM",F436="REVERSE - TOTAL FUNDING"),A436,"")</f>
        <v/>
      </c>
      <c r="C436" s="10"/>
      <c r="D436" s="11"/>
      <c r="E436" s="11"/>
      <c r="F436" s="11"/>
      <c r="G436" s="12"/>
      <c r="H436" s="13"/>
      <c r="I436" s="11"/>
      <c r="J436" s="14" t="str">
        <f aca="false">IF(AND(G436&lt;&gt;"",H436&lt;&gt;""),G436*H436,"")</f>
        <v/>
      </c>
      <c r="K436" s="11"/>
      <c r="L436" s="15"/>
      <c r="M436" s="15"/>
      <c r="N436" s="14" t="n">
        <f aca="false">IF(OR(G436="",M436=""),0,IF(M436&gt;100,M436,G436*IF(M436&gt;1,M436/100,M436)))</f>
        <v>0</v>
      </c>
      <c r="O436" s="14" t="str">
        <f aca="false">IF(G436="","",G436*IF(L436="",0,IF(L436&gt;1,L436/100,L436))+N436)</f>
        <v/>
      </c>
      <c r="P436" s="11"/>
      <c r="Q436" s="16" t="str">
        <f aca="false">IF(P436="","",IFERROR(VLOOKUP(P436,PARTNERS!$A$2:$B$30,2,0),""))</f>
        <v/>
      </c>
      <c r="R436" s="17" t="str">
        <f aca="false">IF(O436="","",IF(OR(P436="",Q436=""),0,(O436-N436)*IF(Q436&gt;1,Q436/100,Q436)))</f>
        <v/>
      </c>
      <c r="S436" s="14" t="str">
        <f aca="false">IF(O436="","",O436-R436)</f>
        <v/>
      </c>
      <c r="T436" s="11"/>
      <c r="U436" s="18" t="str">
        <f aca="false">IF(T436="","",IFERROR(VLOOKUP(T436,REPS!$A$2:$D$40,2,0),""))</f>
        <v/>
      </c>
      <c r="V436" s="14" t="str">
        <f aca="false">IF(O436="","",IF(U436="",0,O436*IF(U436&gt;1,U436/100,U436)))</f>
        <v/>
      </c>
      <c r="W436" s="11"/>
      <c r="X436" s="18" t="str">
        <f aca="false">IF(W436="","",IFERROR(VLOOKUP(W436,REPS!$A$2:$D$40,3,0),""))</f>
        <v/>
      </c>
      <c r="Y436" s="14" t="str">
        <f aca="false">IF(O436="","",IF(X436="",0,O436*IF(X436&gt;1,X436/100,X436)))</f>
        <v/>
      </c>
      <c r="Z436" s="11"/>
      <c r="AA436" s="18" t="str">
        <f aca="false">IF(Z436="","",IFERROR(VLOOKUP(Z436,REPS!$A$2:$D$40,4,0),""))</f>
        <v/>
      </c>
      <c r="AB436" s="14" t="str">
        <f aca="false">IF(O436="","",IF(AA436="",0,O436*IF(AA436&gt;1,AA436/100,AA436)))</f>
        <v/>
      </c>
      <c r="AC436" s="14" t="str">
        <f aca="false">IF(O436="","",V436+Y436+AB436)</f>
        <v/>
      </c>
      <c r="AD436" s="19" t="str">
        <f aca="false">IF(O436="","",O436-R436-AC436)</f>
        <v/>
      </c>
      <c r="AE436" s="20"/>
      <c r="AF436" s="10"/>
      <c r="AG436" s="21" t="n">
        <f aca="false">IF(OR(AE436="",AE436=0),0,AE436*IF(U436="",0,IF(U436&gt;1,U436/100,U436)))</f>
        <v>0</v>
      </c>
      <c r="AH436" s="21" t="n">
        <f aca="false">IF(OR(AE436="",AE436=0),0,AE436*IF(X436="",0,IF(X436&gt;1,X436/100,X436)))</f>
        <v>0</v>
      </c>
      <c r="AI436" s="21" t="n">
        <f aca="false">IF(OR(AE436="",AE436=0),0,AE436*IF(AA436="",0,IF(AA436&gt;1,AA436/100,AA436)))</f>
        <v>0</v>
      </c>
      <c r="AJ436" s="21" t="n">
        <f aca="false">AG436+AH436+AI436</f>
        <v>0</v>
      </c>
      <c r="AK436" s="21" t="n">
        <f aca="false">IF(OR(AE436="",AE436=0),0,AE436-AJ436)</f>
        <v>0</v>
      </c>
      <c r="AL436" s="19" t="str">
        <f aca="false">IF(AD436="","",AD436-AK436)</f>
        <v/>
      </c>
      <c r="AM436" s="9" t="str">
        <f aca="false">IF(C436="","","Waiting for payment")</f>
        <v/>
      </c>
      <c r="AN436" s="10"/>
      <c r="AO436" s="10"/>
      <c r="AP436" s="22" t="str">
        <f aca="false">IF(OR(C436="",I436="",K436=""),"",IF(K436="Monthly",EDATE(C436,ROUND(I436*SETTINGS!$I$8,0)),WORKDAY(C436,ROUND(I436*SETTINGS!$I$8,0))))</f>
        <v/>
      </c>
      <c r="AQ436" s="9" t="str">
        <f aca="true">IF(C436="","",IF(AND(AP436&lt;&gt;"",TODAY()&gt;=AP436),"Refi Ready",IF(TODAY()-C436&gt;=SETTINGS!$I$11,"Prospecting","Performing")))</f>
        <v/>
      </c>
      <c r="AR436" s="22" t="str">
        <f aca="false">IF(OR(C436="",I436="",K436=""),"",IF(K436="Monthly",EDATE(C436,I436),WORKDAY(C436,I436)))</f>
        <v/>
      </c>
      <c r="AS436" s="11"/>
      <c r="AT436" s="23" t="str">
        <f aca="true">IF(C436="","",IF(AM436="Clawed Back","CLAWED",IF(TODAY()&lt;=C436+SETTINGS!$I$2,"⚠ AT RISK","SAFE")))</f>
        <v/>
      </c>
      <c r="AU436" s="11"/>
      <c r="AW436" s="24" t="n">
        <f aca="false">AW435+IF(AND(C436&lt;&gt;"",AO436&lt;&gt;"",OR('REP COMMISSION'!$B$3="",T436='REP COMMISSION'!$B$3,W436='REP COMMISSION'!$B$3,Z436='REP COMMISSION'!$B$3)),1,0)</f>
        <v>0</v>
      </c>
      <c r="AX436" s="24" t="n">
        <f aca="false">AX435+IF(AND(C436&lt;&gt;"",OR(F436="LOC - INITIAL",F436="CONSOLIDATION - UPFRONT COMM",F436="REVERSE - TOTAL FUNDING")),1,0)</f>
        <v>0</v>
      </c>
    </row>
    <row r="437" customFormat="false" ht="15" hidden="false" customHeight="false" outlineLevel="0" collapsed="false">
      <c r="A437" s="25" t="str">
        <f aca="false">IF(C437&lt;&gt;"","F"&amp;COUNT($C$4:C437),"")</f>
        <v/>
      </c>
      <c r="B437" s="26" t="str">
        <f aca="false">IF(OR(F437="LOC - INITIAL",F437="CONSOLIDATION - UPFRONT COMM",F437="REVERSE - TOTAL FUNDING"),A437,"")</f>
        <v/>
      </c>
      <c r="C437" s="27"/>
      <c r="D437" s="28"/>
      <c r="E437" s="28"/>
      <c r="F437" s="28"/>
      <c r="G437" s="29"/>
      <c r="H437" s="30"/>
      <c r="I437" s="28"/>
      <c r="J437" s="31" t="str">
        <f aca="false">IF(AND(G437&lt;&gt;"",H437&lt;&gt;""),G437*H437,"")</f>
        <v/>
      </c>
      <c r="K437" s="28"/>
      <c r="L437" s="32"/>
      <c r="M437" s="32"/>
      <c r="N437" s="31" t="n">
        <f aca="false">IF(OR(G437="",M437=""),0,IF(M437&gt;100,M437,G437*IF(M437&gt;1,M437/100,M437)))</f>
        <v>0</v>
      </c>
      <c r="O437" s="31" t="str">
        <f aca="false">IF(G437="","",G437*IF(L437="",0,IF(L437&gt;1,L437/100,L437))+N437)</f>
        <v/>
      </c>
      <c r="P437" s="28"/>
      <c r="Q437" s="33" t="str">
        <f aca="false">IF(P437="","",IFERROR(VLOOKUP(P437,PARTNERS!$A$2:$B$30,2,0),""))</f>
        <v/>
      </c>
      <c r="R437" s="17" t="str">
        <f aca="false">IF(O437="","",IF(OR(P437="",Q437=""),0,(O437-N437)*IF(Q437&gt;1,Q437/100,Q437)))</f>
        <v/>
      </c>
      <c r="S437" s="31" t="str">
        <f aca="false">IF(O437="","",O437-R437)</f>
        <v/>
      </c>
      <c r="T437" s="28"/>
      <c r="U437" s="34" t="str">
        <f aca="false">IF(T437="","",IFERROR(VLOOKUP(T437,REPS!$A$2:$D$40,2,0),""))</f>
        <v/>
      </c>
      <c r="V437" s="31" t="str">
        <f aca="false">IF(O437="","",IF(U437="",0,O437*IF(U437&gt;1,U437/100,U437)))</f>
        <v/>
      </c>
      <c r="W437" s="28"/>
      <c r="X437" s="34" t="str">
        <f aca="false">IF(W437="","",IFERROR(VLOOKUP(W437,REPS!$A$2:$D$40,3,0),""))</f>
        <v/>
      </c>
      <c r="Y437" s="31" t="str">
        <f aca="false">IF(O437="","",IF(X437="",0,O437*IF(X437&gt;1,X437/100,X437)))</f>
        <v/>
      </c>
      <c r="Z437" s="28"/>
      <c r="AA437" s="34" t="str">
        <f aca="false">IF(Z437="","",IFERROR(VLOOKUP(Z437,REPS!$A$2:$D$40,4,0),""))</f>
        <v/>
      </c>
      <c r="AB437" s="31" t="str">
        <f aca="false">IF(O437="","",IF(AA437="",0,O437*IF(AA437&gt;1,AA437/100,AA437)))</f>
        <v/>
      </c>
      <c r="AC437" s="31" t="str">
        <f aca="false">IF(O437="","",V437+Y437+AB437)</f>
        <v/>
      </c>
      <c r="AD437" s="19" t="str">
        <f aca="false">IF(O437="","",O437-R437-AC437)</f>
        <v/>
      </c>
      <c r="AE437" s="20"/>
      <c r="AF437" s="27"/>
      <c r="AG437" s="21" t="n">
        <f aca="false">IF(OR(AE437="",AE437=0),0,AE437*IF(U437="",0,IF(U437&gt;1,U437/100,U437)))</f>
        <v>0</v>
      </c>
      <c r="AH437" s="21" t="n">
        <f aca="false">IF(OR(AE437="",AE437=0),0,AE437*IF(X437="",0,IF(X437&gt;1,X437/100,X437)))</f>
        <v>0</v>
      </c>
      <c r="AI437" s="21" t="n">
        <f aca="false">IF(OR(AE437="",AE437=0),0,AE437*IF(AA437="",0,IF(AA437&gt;1,AA437/100,AA437)))</f>
        <v>0</v>
      </c>
      <c r="AJ437" s="21" t="n">
        <f aca="false">AG437+AH437+AI437</f>
        <v>0</v>
      </c>
      <c r="AK437" s="21" t="n">
        <f aca="false">IF(OR(AE437="",AE437=0),0,AE437-AJ437)</f>
        <v>0</v>
      </c>
      <c r="AL437" s="19" t="str">
        <f aca="false">IF(AD437="","",AD437-AK437)</f>
        <v/>
      </c>
      <c r="AM437" s="26" t="str">
        <f aca="false">IF(C437="","","Waiting for payment")</f>
        <v/>
      </c>
      <c r="AN437" s="27"/>
      <c r="AO437" s="27"/>
      <c r="AP437" s="35" t="str">
        <f aca="false">IF(OR(C437="",I437="",K437=""),"",IF(K437="Monthly",EDATE(C437,ROUND(I437*SETTINGS!$I$8,0)),WORKDAY(C437,ROUND(I437*SETTINGS!$I$8,0))))</f>
        <v/>
      </c>
      <c r="AQ437" s="26" t="str">
        <f aca="true">IF(C437="","",IF(AND(AP437&lt;&gt;"",TODAY()&gt;=AP437),"Refi Ready",IF(TODAY()-C437&gt;=SETTINGS!$I$11,"Prospecting","Performing")))</f>
        <v/>
      </c>
      <c r="AR437" s="35" t="str">
        <f aca="false">IF(OR(C437="",I437="",K437=""),"",IF(K437="Monthly",EDATE(C437,I437),WORKDAY(C437,I437)))</f>
        <v/>
      </c>
      <c r="AS437" s="28"/>
      <c r="AT437" s="36" t="str">
        <f aca="true">IF(C437="","",IF(AM437="Clawed Back","CLAWED",IF(TODAY()&lt;=C437+SETTINGS!$I$2,"⚠ AT RISK","SAFE")))</f>
        <v/>
      </c>
      <c r="AU437" s="28"/>
      <c r="AW437" s="24" t="n">
        <f aca="false">AW436+IF(AND(C437&lt;&gt;"",AO437&lt;&gt;"",OR('REP COMMISSION'!$B$3="",T437='REP COMMISSION'!$B$3,W437='REP COMMISSION'!$B$3,Z437='REP COMMISSION'!$B$3)),1,0)</f>
        <v>0</v>
      </c>
      <c r="AX437" s="24" t="n">
        <f aca="false">AX436+IF(AND(C437&lt;&gt;"",OR(F437="LOC - INITIAL",F437="CONSOLIDATION - UPFRONT COMM",F437="REVERSE - TOTAL FUNDING")),1,0)</f>
        <v>0</v>
      </c>
    </row>
    <row r="438" customFormat="false" ht="15" hidden="false" customHeight="false" outlineLevel="0" collapsed="false">
      <c r="A438" s="8" t="str">
        <f aca="false">IF(C438&lt;&gt;"","F"&amp;COUNT($C$4:C438),"")</f>
        <v/>
      </c>
      <c r="B438" s="9" t="str">
        <f aca="false">IF(OR(F438="LOC - INITIAL",F438="CONSOLIDATION - UPFRONT COMM",F438="REVERSE - TOTAL FUNDING"),A438,"")</f>
        <v/>
      </c>
      <c r="C438" s="10"/>
      <c r="D438" s="11"/>
      <c r="E438" s="11"/>
      <c r="F438" s="11"/>
      <c r="G438" s="12"/>
      <c r="H438" s="13"/>
      <c r="I438" s="11"/>
      <c r="J438" s="14" t="str">
        <f aca="false">IF(AND(G438&lt;&gt;"",H438&lt;&gt;""),G438*H438,"")</f>
        <v/>
      </c>
      <c r="K438" s="11"/>
      <c r="L438" s="15"/>
      <c r="M438" s="15"/>
      <c r="N438" s="14" t="n">
        <f aca="false">IF(OR(G438="",M438=""),0,IF(M438&gt;100,M438,G438*IF(M438&gt;1,M438/100,M438)))</f>
        <v>0</v>
      </c>
      <c r="O438" s="14" t="str">
        <f aca="false">IF(G438="","",G438*IF(L438="",0,IF(L438&gt;1,L438/100,L438))+N438)</f>
        <v/>
      </c>
      <c r="P438" s="11"/>
      <c r="Q438" s="16" t="str">
        <f aca="false">IF(P438="","",IFERROR(VLOOKUP(P438,PARTNERS!$A$2:$B$30,2,0),""))</f>
        <v/>
      </c>
      <c r="R438" s="17" t="str">
        <f aca="false">IF(O438="","",IF(OR(P438="",Q438=""),0,(O438-N438)*IF(Q438&gt;1,Q438/100,Q438)))</f>
        <v/>
      </c>
      <c r="S438" s="14" t="str">
        <f aca="false">IF(O438="","",O438-R438)</f>
        <v/>
      </c>
      <c r="T438" s="11"/>
      <c r="U438" s="18" t="str">
        <f aca="false">IF(T438="","",IFERROR(VLOOKUP(T438,REPS!$A$2:$D$40,2,0),""))</f>
        <v/>
      </c>
      <c r="V438" s="14" t="str">
        <f aca="false">IF(O438="","",IF(U438="",0,O438*IF(U438&gt;1,U438/100,U438)))</f>
        <v/>
      </c>
      <c r="W438" s="11"/>
      <c r="X438" s="18" t="str">
        <f aca="false">IF(W438="","",IFERROR(VLOOKUP(W438,REPS!$A$2:$D$40,3,0),""))</f>
        <v/>
      </c>
      <c r="Y438" s="14" t="str">
        <f aca="false">IF(O438="","",IF(X438="",0,O438*IF(X438&gt;1,X438/100,X438)))</f>
        <v/>
      </c>
      <c r="Z438" s="11"/>
      <c r="AA438" s="18" t="str">
        <f aca="false">IF(Z438="","",IFERROR(VLOOKUP(Z438,REPS!$A$2:$D$40,4,0),""))</f>
        <v/>
      </c>
      <c r="AB438" s="14" t="str">
        <f aca="false">IF(O438="","",IF(AA438="",0,O438*IF(AA438&gt;1,AA438/100,AA438)))</f>
        <v/>
      </c>
      <c r="AC438" s="14" t="str">
        <f aca="false">IF(O438="","",V438+Y438+AB438)</f>
        <v/>
      </c>
      <c r="AD438" s="19" t="str">
        <f aca="false">IF(O438="","",O438-R438-AC438)</f>
        <v/>
      </c>
      <c r="AE438" s="20"/>
      <c r="AF438" s="10"/>
      <c r="AG438" s="21" t="n">
        <f aca="false">IF(OR(AE438="",AE438=0),0,AE438*IF(U438="",0,IF(U438&gt;1,U438/100,U438)))</f>
        <v>0</v>
      </c>
      <c r="AH438" s="21" t="n">
        <f aca="false">IF(OR(AE438="",AE438=0),0,AE438*IF(X438="",0,IF(X438&gt;1,X438/100,X438)))</f>
        <v>0</v>
      </c>
      <c r="AI438" s="21" t="n">
        <f aca="false">IF(OR(AE438="",AE438=0),0,AE438*IF(AA438="",0,IF(AA438&gt;1,AA438/100,AA438)))</f>
        <v>0</v>
      </c>
      <c r="AJ438" s="21" t="n">
        <f aca="false">AG438+AH438+AI438</f>
        <v>0</v>
      </c>
      <c r="AK438" s="21" t="n">
        <f aca="false">IF(OR(AE438="",AE438=0),0,AE438-AJ438)</f>
        <v>0</v>
      </c>
      <c r="AL438" s="19" t="str">
        <f aca="false">IF(AD438="","",AD438-AK438)</f>
        <v/>
      </c>
      <c r="AM438" s="9" t="str">
        <f aca="false">IF(C438="","","Waiting for payment")</f>
        <v/>
      </c>
      <c r="AN438" s="10"/>
      <c r="AO438" s="10"/>
      <c r="AP438" s="22" t="str">
        <f aca="false">IF(OR(C438="",I438="",K438=""),"",IF(K438="Monthly",EDATE(C438,ROUND(I438*SETTINGS!$I$8,0)),WORKDAY(C438,ROUND(I438*SETTINGS!$I$8,0))))</f>
        <v/>
      </c>
      <c r="AQ438" s="9" t="str">
        <f aca="true">IF(C438="","",IF(AND(AP438&lt;&gt;"",TODAY()&gt;=AP438),"Refi Ready",IF(TODAY()-C438&gt;=SETTINGS!$I$11,"Prospecting","Performing")))</f>
        <v/>
      </c>
      <c r="AR438" s="22" t="str">
        <f aca="false">IF(OR(C438="",I438="",K438=""),"",IF(K438="Monthly",EDATE(C438,I438),WORKDAY(C438,I438)))</f>
        <v/>
      </c>
      <c r="AS438" s="11"/>
      <c r="AT438" s="23" t="str">
        <f aca="true">IF(C438="","",IF(AM438="Clawed Back","CLAWED",IF(TODAY()&lt;=C438+SETTINGS!$I$2,"⚠ AT RISK","SAFE")))</f>
        <v/>
      </c>
      <c r="AU438" s="11"/>
      <c r="AW438" s="24" t="n">
        <f aca="false">AW437+IF(AND(C438&lt;&gt;"",AO438&lt;&gt;"",OR('REP COMMISSION'!$B$3="",T438='REP COMMISSION'!$B$3,W438='REP COMMISSION'!$B$3,Z438='REP COMMISSION'!$B$3)),1,0)</f>
        <v>0</v>
      </c>
      <c r="AX438" s="24" t="n">
        <f aca="false">AX437+IF(AND(C438&lt;&gt;"",OR(F438="LOC - INITIAL",F438="CONSOLIDATION - UPFRONT COMM",F438="REVERSE - TOTAL FUNDING")),1,0)</f>
        <v>0</v>
      </c>
    </row>
    <row r="439" customFormat="false" ht="15" hidden="false" customHeight="false" outlineLevel="0" collapsed="false">
      <c r="A439" s="25" t="str">
        <f aca="false">IF(C439&lt;&gt;"","F"&amp;COUNT($C$4:C439),"")</f>
        <v/>
      </c>
      <c r="B439" s="26" t="str">
        <f aca="false">IF(OR(F439="LOC - INITIAL",F439="CONSOLIDATION - UPFRONT COMM",F439="REVERSE - TOTAL FUNDING"),A439,"")</f>
        <v/>
      </c>
      <c r="C439" s="27"/>
      <c r="D439" s="28"/>
      <c r="E439" s="28"/>
      <c r="F439" s="28"/>
      <c r="G439" s="29"/>
      <c r="H439" s="30"/>
      <c r="I439" s="28"/>
      <c r="J439" s="31" t="str">
        <f aca="false">IF(AND(G439&lt;&gt;"",H439&lt;&gt;""),G439*H439,"")</f>
        <v/>
      </c>
      <c r="K439" s="28"/>
      <c r="L439" s="32"/>
      <c r="M439" s="32"/>
      <c r="N439" s="31" t="n">
        <f aca="false">IF(OR(G439="",M439=""),0,IF(M439&gt;100,M439,G439*IF(M439&gt;1,M439/100,M439)))</f>
        <v>0</v>
      </c>
      <c r="O439" s="31" t="str">
        <f aca="false">IF(G439="","",G439*IF(L439="",0,IF(L439&gt;1,L439/100,L439))+N439)</f>
        <v/>
      </c>
      <c r="P439" s="28"/>
      <c r="Q439" s="33" t="str">
        <f aca="false">IF(P439="","",IFERROR(VLOOKUP(P439,PARTNERS!$A$2:$B$30,2,0),""))</f>
        <v/>
      </c>
      <c r="R439" s="17" t="str">
        <f aca="false">IF(O439="","",IF(OR(P439="",Q439=""),0,(O439-N439)*IF(Q439&gt;1,Q439/100,Q439)))</f>
        <v/>
      </c>
      <c r="S439" s="31" t="str">
        <f aca="false">IF(O439="","",O439-R439)</f>
        <v/>
      </c>
      <c r="T439" s="28"/>
      <c r="U439" s="34" t="str">
        <f aca="false">IF(T439="","",IFERROR(VLOOKUP(T439,REPS!$A$2:$D$40,2,0),""))</f>
        <v/>
      </c>
      <c r="V439" s="31" t="str">
        <f aca="false">IF(O439="","",IF(U439="",0,O439*IF(U439&gt;1,U439/100,U439)))</f>
        <v/>
      </c>
      <c r="W439" s="28"/>
      <c r="X439" s="34" t="str">
        <f aca="false">IF(W439="","",IFERROR(VLOOKUP(W439,REPS!$A$2:$D$40,3,0),""))</f>
        <v/>
      </c>
      <c r="Y439" s="31" t="str">
        <f aca="false">IF(O439="","",IF(X439="",0,O439*IF(X439&gt;1,X439/100,X439)))</f>
        <v/>
      </c>
      <c r="Z439" s="28"/>
      <c r="AA439" s="34" t="str">
        <f aca="false">IF(Z439="","",IFERROR(VLOOKUP(Z439,REPS!$A$2:$D$40,4,0),""))</f>
        <v/>
      </c>
      <c r="AB439" s="31" t="str">
        <f aca="false">IF(O439="","",IF(AA439="",0,O439*IF(AA439&gt;1,AA439/100,AA439)))</f>
        <v/>
      </c>
      <c r="AC439" s="31" t="str">
        <f aca="false">IF(O439="","",V439+Y439+AB439)</f>
        <v/>
      </c>
      <c r="AD439" s="19" t="str">
        <f aca="false">IF(O439="","",O439-R439-AC439)</f>
        <v/>
      </c>
      <c r="AE439" s="20"/>
      <c r="AF439" s="27"/>
      <c r="AG439" s="21" t="n">
        <f aca="false">IF(OR(AE439="",AE439=0),0,AE439*IF(U439="",0,IF(U439&gt;1,U439/100,U439)))</f>
        <v>0</v>
      </c>
      <c r="AH439" s="21" t="n">
        <f aca="false">IF(OR(AE439="",AE439=0),0,AE439*IF(X439="",0,IF(X439&gt;1,X439/100,X439)))</f>
        <v>0</v>
      </c>
      <c r="AI439" s="21" t="n">
        <f aca="false">IF(OR(AE439="",AE439=0),0,AE439*IF(AA439="",0,IF(AA439&gt;1,AA439/100,AA439)))</f>
        <v>0</v>
      </c>
      <c r="AJ439" s="21" t="n">
        <f aca="false">AG439+AH439+AI439</f>
        <v>0</v>
      </c>
      <c r="AK439" s="21" t="n">
        <f aca="false">IF(OR(AE439="",AE439=0),0,AE439-AJ439)</f>
        <v>0</v>
      </c>
      <c r="AL439" s="19" t="str">
        <f aca="false">IF(AD439="","",AD439-AK439)</f>
        <v/>
      </c>
      <c r="AM439" s="26" t="str">
        <f aca="false">IF(C439="","","Waiting for payment")</f>
        <v/>
      </c>
      <c r="AN439" s="27"/>
      <c r="AO439" s="27"/>
      <c r="AP439" s="35" t="str">
        <f aca="false">IF(OR(C439="",I439="",K439=""),"",IF(K439="Monthly",EDATE(C439,ROUND(I439*SETTINGS!$I$8,0)),WORKDAY(C439,ROUND(I439*SETTINGS!$I$8,0))))</f>
        <v/>
      </c>
      <c r="AQ439" s="26" t="str">
        <f aca="true">IF(C439="","",IF(AND(AP439&lt;&gt;"",TODAY()&gt;=AP439),"Refi Ready",IF(TODAY()-C439&gt;=SETTINGS!$I$11,"Prospecting","Performing")))</f>
        <v/>
      </c>
      <c r="AR439" s="35" t="str">
        <f aca="false">IF(OR(C439="",I439="",K439=""),"",IF(K439="Monthly",EDATE(C439,I439),WORKDAY(C439,I439)))</f>
        <v/>
      </c>
      <c r="AS439" s="28"/>
      <c r="AT439" s="36" t="str">
        <f aca="true">IF(C439="","",IF(AM439="Clawed Back","CLAWED",IF(TODAY()&lt;=C439+SETTINGS!$I$2,"⚠ AT RISK","SAFE")))</f>
        <v/>
      </c>
      <c r="AU439" s="28"/>
      <c r="AW439" s="24" t="n">
        <f aca="false">AW438+IF(AND(C439&lt;&gt;"",AO439&lt;&gt;"",OR('REP COMMISSION'!$B$3="",T439='REP COMMISSION'!$B$3,W439='REP COMMISSION'!$B$3,Z439='REP COMMISSION'!$B$3)),1,0)</f>
        <v>0</v>
      </c>
      <c r="AX439" s="24" t="n">
        <f aca="false">AX438+IF(AND(C439&lt;&gt;"",OR(F439="LOC - INITIAL",F439="CONSOLIDATION - UPFRONT COMM",F439="REVERSE - TOTAL FUNDING")),1,0)</f>
        <v>0</v>
      </c>
    </row>
    <row r="440" customFormat="false" ht="15" hidden="false" customHeight="false" outlineLevel="0" collapsed="false">
      <c r="A440" s="8" t="str">
        <f aca="false">IF(C440&lt;&gt;"","F"&amp;COUNT($C$4:C440),"")</f>
        <v/>
      </c>
      <c r="B440" s="9" t="str">
        <f aca="false">IF(OR(F440="LOC - INITIAL",F440="CONSOLIDATION - UPFRONT COMM",F440="REVERSE - TOTAL FUNDING"),A440,"")</f>
        <v/>
      </c>
      <c r="C440" s="10"/>
      <c r="D440" s="11"/>
      <c r="E440" s="11"/>
      <c r="F440" s="11"/>
      <c r="G440" s="12"/>
      <c r="H440" s="13"/>
      <c r="I440" s="11"/>
      <c r="J440" s="14" t="str">
        <f aca="false">IF(AND(G440&lt;&gt;"",H440&lt;&gt;""),G440*H440,"")</f>
        <v/>
      </c>
      <c r="K440" s="11"/>
      <c r="L440" s="15"/>
      <c r="M440" s="15"/>
      <c r="N440" s="14" t="n">
        <f aca="false">IF(OR(G440="",M440=""),0,IF(M440&gt;100,M440,G440*IF(M440&gt;1,M440/100,M440)))</f>
        <v>0</v>
      </c>
      <c r="O440" s="14" t="str">
        <f aca="false">IF(G440="","",G440*IF(L440="",0,IF(L440&gt;1,L440/100,L440))+N440)</f>
        <v/>
      </c>
      <c r="P440" s="11"/>
      <c r="Q440" s="16" t="str">
        <f aca="false">IF(P440="","",IFERROR(VLOOKUP(P440,PARTNERS!$A$2:$B$30,2,0),""))</f>
        <v/>
      </c>
      <c r="R440" s="17" t="str">
        <f aca="false">IF(O440="","",IF(OR(P440="",Q440=""),0,(O440-N440)*IF(Q440&gt;1,Q440/100,Q440)))</f>
        <v/>
      </c>
      <c r="S440" s="14" t="str">
        <f aca="false">IF(O440="","",O440-R440)</f>
        <v/>
      </c>
      <c r="T440" s="11"/>
      <c r="U440" s="18" t="str">
        <f aca="false">IF(T440="","",IFERROR(VLOOKUP(T440,REPS!$A$2:$D$40,2,0),""))</f>
        <v/>
      </c>
      <c r="V440" s="14" t="str">
        <f aca="false">IF(O440="","",IF(U440="",0,O440*IF(U440&gt;1,U440/100,U440)))</f>
        <v/>
      </c>
      <c r="W440" s="11"/>
      <c r="X440" s="18" t="str">
        <f aca="false">IF(W440="","",IFERROR(VLOOKUP(W440,REPS!$A$2:$D$40,3,0),""))</f>
        <v/>
      </c>
      <c r="Y440" s="14" t="str">
        <f aca="false">IF(O440="","",IF(X440="",0,O440*IF(X440&gt;1,X440/100,X440)))</f>
        <v/>
      </c>
      <c r="Z440" s="11"/>
      <c r="AA440" s="18" t="str">
        <f aca="false">IF(Z440="","",IFERROR(VLOOKUP(Z440,REPS!$A$2:$D$40,4,0),""))</f>
        <v/>
      </c>
      <c r="AB440" s="14" t="str">
        <f aca="false">IF(O440="","",IF(AA440="",0,O440*IF(AA440&gt;1,AA440/100,AA440)))</f>
        <v/>
      </c>
      <c r="AC440" s="14" t="str">
        <f aca="false">IF(O440="","",V440+Y440+AB440)</f>
        <v/>
      </c>
      <c r="AD440" s="19" t="str">
        <f aca="false">IF(O440="","",O440-R440-AC440)</f>
        <v/>
      </c>
      <c r="AE440" s="20"/>
      <c r="AF440" s="10"/>
      <c r="AG440" s="21" t="n">
        <f aca="false">IF(OR(AE440="",AE440=0),0,AE440*IF(U440="",0,IF(U440&gt;1,U440/100,U440)))</f>
        <v>0</v>
      </c>
      <c r="AH440" s="21" t="n">
        <f aca="false">IF(OR(AE440="",AE440=0),0,AE440*IF(X440="",0,IF(X440&gt;1,X440/100,X440)))</f>
        <v>0</v>
      </c>
      <c r="AI440" s="21" t="n">
        <f aca="false">IF(OR(AE440="",AE440=0),0,AE440*IF(AA440="",0,IF(AA440&gt;1,AA440/100,AA440)))</f>
        <v>0</v>
      </c>
      <c r="AJ440" s="21" t="n">
        <f aca="false">AG440+AH440+AI440</f>
        <v>0</v>
      </c>
      <c r="AK440" s="21" t="n">
        <f aca="false">IF(OR(AE440="",AE440=0),0,AE440-AJ440)</f>
        <v>0</v>
      </c>
      <c r="AL440" s="19" t="str">
        <f aca="false">IF(AD440="","",AD440-AK440)</f>
        <v/>
      </c>
      <c r="AM440" s="9" t="str">
        <f aca="false">IF(C440="","","Waiting for payment")</f>
        <v/>
      </c>
      <c r="AN440" s="10"/>
      <c r="AO440" s="10"/>
      <c r="AP440" s="22" t="str">
        <f aca="false">IF(OR(C440="",I440="",K440=""),"",IF(K440="Monthly",EDATE(C440,ROUND(I440*SETTINGS!$I$8,0)),WORKDAY(C440,ROUND(I440*SETTINGS!$I$8,0))))</f>
        <v/>
      </c>
      <c r="AQ440" s="9" t="str">
        <f aca="true">IF(C440="","",IF(AND(AP440&lt;&gt;"",TODAY()&gt;=AP440),"Refi Ready",IF(TODAY()-C440&gt;=SETTINGS!$I$11,"Prospecting","Performing")))</f>
        <v/>
      </c>
      <c r="AR440" s="22" t="str">
        <f aca="false">IF(OR(C440="",I440="",K440=""),"",IF(K440="Monthly",EDATE(C440,I440),WORKDAY(C440,I440)))</f>
        <v/>
      </c>
      <c r="AS440" s="11"/>
      <c r="AT440" s="23" t="str">
        <f aca="true">IF(C440="","",IF(AM440="Clawed Back","CLAWED",IF(TODAY()&lt;=C440+SETTINGS!$I$2,"⚠ AT RISK","SAFE")))</f>
        <v/>
      </c>
      <c r="AU440" s="11"/>
      <c r="AW440" s="24" t="n">
        <f aca="false">AW439+IF(AND(C440&lt;&gt;"",AO440&lt;&gt;"",OR('REP COMMISSION'!$B$3="",T440='REP COMMISSION'!$B$3,W440='REP COMMISSION'!$B$3,Z440='REP COMMISSION'!$B$3)),1,0)</f>
        <v>0</v>
      </c>
      <c r="AX440" s="24" t="n">
        <f aca="false">AX439+IF(AND(C440&lt;&gt;"",OR(F440="LOC - INITIAL",F440="CONSOLIDATION - UPFRONT COMM",F440="REVERSE - TOTAL FUNDING")),1,0)</f>
        <v>0</v>
      </c>
    </row>
    <row r="441" customFormat="false" ht="15" hidden="false" customHeight="false" outlineLevel="0" collapsed="false">
      <c r="A441" s="25" t="str">
        <f aca="false">IF(C441&lt;&gt;"","F"&amp;COUNT($C$4:C441),"")</f>
        <v/>
      </c>
      <c r="B441" s="26" t="str">
        <f aca="false">IF(OR(F441="LOC - INITIAL",F441="CONSOLIDATION - UPFRONT COMM",F441="REVERSE - TOTAL FUNDING"),A441,"")</f>
        <v/>
      </c>
      <c r="C441" s="27"/>
      <c r="D441" s="28"/>
      <c r="E441" s="28"/>
      <c r="F441" s="28"/>
      <c r="G441" s="29"/>
      <c r="H441" s="30"/>
      <c r="I441" s="28"/>
      <c r="J441" s="31" t="str">
        <f aca="false">IF(AND(G441&lt;&gt;"",H441&lt;&gt;""),G441*H441,"")</f>
        <v/>
      </c>
      <c r="K441" s="28"/>
      <c r="L441" s="32"/>
      <c r="M441" s="32"/>
      <c r="N441" s="31" t="n">
        <f aca="false">IF(OR(G441="",M441=""),0,IF(M441&gt;100,M441,G441*IF(M441&gt;1,M441/100,M441)))</f>
        <v>0</v>
      </c>
      <c r="O441" s="31" t="str">
        <f aca="false">IF(G441="","",G441*IF(L441="",0,IF(L441&gt;1,L441/100,L441))+N441)</f>
        <v/>
      </c>
      <c r="P441" s="28"/>
      <c r="Q441" s="33" t="str">
        <f aca="false">IF(P441="","",IFERROR(VLOOKUP(P441,PARTNERS!$A$2:$B$30,2,0),""))</f>
        <v/>
      </c>
      <c r="R441" s="17" t="str">
        <f aca="false">IF(O441="","",IF(OR(P441="",Q441=""),0,(O441-N441)*IF(Q441&gt;1,Q441/100,Q441)))</f>
        <v/>
      </c>
      <c r="S441" s="31" t="str">
        <f aca="false">IF(O441="","",O441-R441)</f>
        <v/>
      </c>
      <c r="T441" s="28"/>
      <c r="U441" s="34" t="str">
        <f aca="false">IF(T441="","",IFERROR(VLOOKUP(T441,REPS!$A$2:$D$40,2,0),""))</f>
        <v/>
      </c>
      <c r="V441" s="31" t="str">
        <f aca="false">IF(O441="","",IF(U441="",0,O441*IF(U441&gt;1,U441/100,U441)))</f>
        <v/>
      </c>
      <c r="W441" s="28"/>
      <c r="X441" s="34" t="str">
        <f aca="false">IF(W441="","",IFERROR(VLOOKUP(W441,REPS!$A$2:$D$40,3,0),""))</f>
        <v/>
      </c>
      <c r="Y441" s="31" t="str">
        <f aca="false">IF(O441="","",IF(X441="",0,O441*IF(X441&gt;1,X441/100,X441)))</f>
        <v/>
      </c>
      <c r="Z441" s="28"/>
      <c r="AA441" s="34" t="str">
        <f aca="false">IF(Z441="","",IFERROR(VLOOKUP(Z441,REPS!$A$2:$D$40,4,0),""))</f>
        <v/>
      </c>
      <c r="AB441" s="31" t="str">
        <f aca="false">IF(O441="","",IF(AA441="",0,O441*IF(AA441&gt;1,AA441/100,AA441)))</f>
        <v/>
      </c>
      <c r="AC441" s="31" t="str">
        <f aca="false">IF(O441="","",V441+Y441+AB441)</f>
        <v/>
      </c>
      <c r="AD441" s="19" t="str">
        <f aca="false">IF(O441="","",O441-R441-AC441)</f>
        <v/>
      </c>
      <c r="AE441" s="20"/>
      <c r="AF441" s="27"/>
      <c r="AG441" s="21" t="n">
        <f aca="false">IF(OR(AE441="",AE441=0),0,AE441*IF(U441="",0,IF(U441&gt;1,U441/100,U441)))</f>
        <v>0</v>
      </c>
      <c r="AH441" s="21" t="n">
        <f aca="false">IF(OR(AE441="",AE441=0),0,AE441*IF(X441="",0,IF(X441&gt;1,X441/100,X441)))</f>
        <v>0</v>
      </c>
      <c r="AI441" s="21" t="n">
        <f aca="false">IF(OR(AE441="",AE441=0),0,AE441*IF(AA441="",0,IF(AA441&gt;1,AA441/100,AA441)))</f>
        <v>0</v>
      </c>
      <c r="AJ441" s="21" t="n">
        <f aca="false">AG441+AH441+AI441</f>
        <v>0</v>
      </c>
      <c r="AK441" s="21" t="n">
        <f aca="false">IF(OR(AE441="",AE441=0),0,AE441-AJ441)</f>
        <v>0</v>
      </c>
      <c r="AL441" s="19" t="str">
        <f aca="false">IF(AD441="","",AD441-AK441)</f>
        <v/>
      </c>
      <c r="AM441" s="26" t="str">
        <f aca="false">IF(C441="","","Waiting for payment")</f>
        <v/>
      </c>
      <c r="AN441" s="27"/>
      <c r="AO441" s="27"/>
      <c r="AP441" s="35" t="str">
        <f aca="false">IF(OR(C441="",I441="",K441=""),"",IF(K441="Monthly",EDATE(C441,ROUND(I441*SETTINGS!$I$8,0)),WORKDAY(C441,ROUND(I441*SETTINGS!$I$8,0))))</f>
        <v/>
      </c>
      <c r="AQ441" s="26" t="str">
        <f aca="true">IF(C441="","",IF(AND(AP441&lt;&gt;"",TODAY()&gt;=AP441),"Refi Ready",IF(TODAY()-C441&gt;=SETTINGS!$I$11,"Prospecting","Performing")))</f>
        <v/>
      </c>
      <c r="AR441" s="35" t="str">
        <f aca="false">IF(OR(C441="",I441="",K441=""),"",IF(K441="Monthly",EDATE(C441,I441),WORKDAY(C441,I441)))</f>
        <v/>
      </c>
      <c r="AS441" s="28"/>
      <c r="AT441" s="36" t="str">
        <f aca="true">IF(C441="","",IF(AM441="Clawed Back","CLAWED",IF(TODAY()&lt;=C441+SETTINGS!$I$2,"⚠ AT RISK","SAFE")))</f>
        <v/>
      </c>
      <c r="AU441" s="28"/>
      <c r="AW441" s="24" t="n">
        <f aca="false">AW440+IF(AND(C441&lt;&gt;"",AO441&lt;&gt;"",OR('REP COMMISSION'!$B$3="",T441='REP COMMISSION'!$B$3,W441='REP COMMISSION'!$B$3,Z441='REP COMMISSION'!$B$3)),1,0)</f>
        <v>0</v>
      </c>
      <c r="AX441" s="24" t="n">
        <f aca="false">AX440+IF(AND(C441&lt;&gt;"",OR(F441="LOC - INITIAL",F441="CONSOLIDATION - UPFRONT COMM",F441="REVERSE - TOTAL FUNDING")),1,0)</f>
        <v>0</v>
      </c>
    </row>
    <row r="442" customFormat="false" ht="15" hidden="false" customHeight="false" outlineLevel="0" collapsed="false">
      <c r="A442" s="8" t="str">
        <f aca="false">IF(C442&lt;&gt;"","F"&amp;COUNT($C$4:C442),"")</f>
        <v/>
      </c>
      <c r="B442" s="9" t="str">
        <f aca="false">IF(OR(F442="LOC - INITIAL",F442="CONSOLIDATION - UPFRONT COMM",F442="REVERSE - TOTAL FUNDING"),A442,"")</f>
        <v/>
      </c>
      <c r="C442" s="10"/>
      <c r="D442" s="11"/>
      <c r="E442" s="11"/>
      <c r="F442" s="11"/>
      <c r="G442" s="12"/>
      <c r="H442" s="13"/>
      <c r="I442" s="11"/>
      <c r="J442" s="14" t="str">
        <f aca="false">IF(AND(G442&lt;&gt;"",H442&lt;&gt;""),G442*H442,"")</f>
        <v/>
      </c>
      <c r="K442" s="11"/>
      <c r="L442" s="15"/>
      <c r="M442" s="15"/>
      <c r="N442" s="14" t="n">
        <f aca="false">IF(OR(G442="",M442=""),0,IF(M442&gt;100,M442,G442*IF(M442&gt;1,M442/100,M442)))</f>
        <v>0</v>
      </c>
      <c r="O442" s="14" t="str">
        <f aca="false">IF(G442="","",G442*IF(L442="",0,IF(L442&gt;1,L442/100,L442))+N442)</f>
        <v/>
      </c>
      <c r="P442" s="11"/>
      <c r="Q442" s="16" t="str">
        <f aca="false">IF(P442="","",IFERROR(VLOOKUP(P442,PARTNERS!$A$2:$B$30,2,0),""))</f>
        <v/>
      </c>
      <c r="R442" s="17" t="str">
        <f aca="false">IF(O442="","",IF(OR(P442="",Q442=""),0,(O442-N442)*IF(Q442&gt;1,Q442/100,Q442)))</f>
        <v/>
      </c>
      <c r="S442" s="14" t="str">
        <f aca="false">IF(O442="","",O442-R442)</f>
        <v/>
      </c>
      <c r="T442" s="11"/>
      <c r="U442" s="18" t="str">
        <f aca="false">IF(T442="","",IFERROR(VLOOKUP(T442,REPS!$A$2:$D$40,2,0),""))</f>
        <v/>
      </c>
      <c r="V442" s="14" t="str">
        <f aca="false">IF(O442="","",IF(U442="",0,O442*IF(U442&gt;1,U442/100,U442)))</f>
        <v/>
      </c>
      <c r="W442" s="11"/>
      <c r="X442" s="18" t="str">
        <f aca="false">IF(W442="","",IFERROR(VLOOKUP(W442,REPS!$A$2:$D$40,3,0),""))</f>
        <v/>
      </c>
      <c r="Y442" s="14" t="str">
        <f aca="false">IF(O442="","",IF(X442="",0,O442*IF(X442&gt;1,X442/100,X442)))</f>
        <v/>
      </c>
      <c r="Z442" s="11"/>
      <c r="AA442" s="18" t="str">
        <f aca="false">IF(Z442="","",IFERROR(VLOOKUP(Z442,REPS!$A$2:$D$40,4,0),""))</f>
        <v/>
      </c>
      <c r="AB442" s="14" t="str">
        <f aca="false">IF(O442="","",IF(AA442="",0,O442*IF(AA442&gt;1,AA442/100,AA442)))</f>
        <v/>
      </c>
      <c r="AC442" s="14" t="str">
        <f aca="false">IF(O442="","",V442+Y442+AB442)</f>
        <v/>
      </c>
      <c r="AD442" s="19" t="str">
        <f aca="false">IF(O442="","",O442-R442-AC442)</f>
        <v/>
      </c>
      <c r="AE442" s="20"/>
      <c r="AF442" s="10"/>
      <c r="AG442" s="21" t="n">
        <f aca="false">IF(OR(AE442="",AE442=0),0,AE442*IF(U442="",0,IF(U442&gt;1,U442/100,U442)))</f>
        <v>0</v>
      </c>
      <c r="AH442" s="21" t="n">
        <f aca="false">IF(OR(AE442="",AE442=0),0,AE442*IF(X442="",0,IF(X442&gt;1,X442/100,X442)))</f>
        <v>0</v>
      </c>
      <c r="AI442" s="21" t="n">
        <f aca="false">IF(OR(AE442="",AE442=0),0,AE442*IF(AA442="",0,IF(AA442&gt;1,AA442/100,AA442)))</f>
        <v>0</v>
      </c>
      <c r="AJ442" s="21" t="n">
        <f aca="false">AG442+AH442+AI442</f>
        <v>0</v>
      </c>
      <c r="AK442" s="21" t="n">
        <f aca="false">IF(OR(AE442="",AE442=0),0,AE442-AJ442)</f>
        <v>0</v>
      </c>
      <c r="AL442" s="19" t="str">
        <f aca="false">IF(AD442="","",AD442-AK442)</f>
        <v/>
      </c>
      <c r="AM442" s="9" t="str">
        <f aca="false">IF(C442="","","Waiting for payment")</f>
        <v/>
      </c>
      <c r="AN442" s="10"/>
      <c r="AO442" s="10"/>
      <c r="AP442" s="22" t="str">
        <f aca="false">IF(OR(C442="",I442="",K442=""),"",IF(K442="Monthly",EDATE(C442,ROUND(I442*SETTINGS!$I$8,0)),WORKDAY(C442,ROUND(I442*SETTINGS!$I$8,0))))</f>
        <v/>
      </c>
      <c r="AQ442" s="9" t="str">
        <f aca="true">IF(C442="","",IF(AND(AP442&lt;&gt;"",TODAY()&gt;=AP442),"Refi Ready",IF(TODAY()-C442&gt;=SETTINGS!$I$11,"Prospecting","Performing")))</f>
        <v/>
      </c>
      <c r="AR442" s="22" t="str">
        <f aca="false">IF(OR(C442="",I442="",K442=""),"",IF(K442="Monthly",EDATE(C442,I442),WORKDAY(C442,I442)))</f>
        <v/>
      </c>
      <c r="AS442" s="11"/>
      <c r="AT442" s="23" t="str">
        <f aca="true">IF(C442="","",IF(AM442="Clawed Back","CLAWED",IF(TODAY()&lt;=C442+SETTINGS!$I$2,"⚠ AT RISK","SAFE")))</f>
        <v/>
      </c>
      <c r="AU442" s="11"/>
      <c r="AW442" s="24" t="n">
        <f aca="false">AW441+IF(AND(C442&lt;&gt;"",AO442&lt;&gt;"",OR('REP COMMISSION'!$B$3="",T442='REP COMMISSION'!$B$3,W442='REP COMMISSION'!$B$3,Z442='REP COMMISSION'!$B$3)),1,0)</f>
        <v>0</v>
      </c>
      <c r="AX442" s="24" t="n">
        <f aca="false">AX441+IF(AND(C442&lt;&gt;"",OR(F442="LOC - INITIAL",F442="CONSOLIDATION - UPFRONT COMM",F442="REVERSE - TOTAL FUNDING")),1,0)</f>
        <v>0</v>
      </c>
    </row>
    <row r="443" customFormat="false" ht="15" hidden="false" customHeight="false" outlineLevel="0" collapsed="false">
      <c r="A443" s="25" t="str">
        <f aca="false">IF(C443&lt;&gt;"","F"&amp;COUNT($C$4:C443),"")</f>
        <v/>
      </c>
      <c r="B443" s="26" t="str">
        <f aca="false">IF(OR(F443="LOC - INITIAL",F443="CONSOLIDATION - UPFRONT COMM",F443="REVERSE - TOTAL FUNDING"),A443,"")</f>
        <v/>
      </c>
      <c r="C443" s="27"/>
      <c r="D443" s="28"/>
      <c r="E443" s="28"/>
      <c r="F443" s="28"/>
      <c r="G443" s="29"/>
      <c r="H443" s="30"/>
      <c r="I443" s="28"/>
      <c r="J443" s="31" t="str">
        <f aca="false">IF(AND(G443&lt;&gt;"",H443&lt;&gt;""),G443*H443,"")</f>
        <v/>
      </c>
      <c r="K443" s="28"/>
      <c r="L443" s="32"/>
      <c r="M443" s="32"/>
      <c r="N443" s="31" t="n">
        <f aca="false">IF(OR(G443="",M443=""),0,IF(M443&gt;100,M443,G443*IF(M443&gt;1,M443/100,M443)))</f>
        <v>0</v>
      </c>
      <c r="O443" s="31" t="str">
        <f aca="false">IF(G443="","",G443*IF(L443="",0,IF(L443&gt;1,L443/100,L443))+N443)</f>
        <v/>
      </c>
      <c r="P443" s="28"/>
      <c r="Q443" s="33" t="str">
        <f aca="false">IF(P443="","",IFERROR(VLOOKUP(P443,PARTNERS!$A$2:$B$30,2,0),""))</f>
        <v/>
      </c>
      <c r="R443" s="17" t="str">
        <f aca="false">IF(O443="","",IF(OR(P443="",Q443=""),0,(O443-N443)*IF(Q443&gt;1,Q443/100,Q443)))</f>
        <v/>
      </c>
      <c r="S443" s="31" t="str">
        <f aca="false">IF(O443="","",O443-R443)</f>
        <v/>
      </c>
      <c r="T443" s="28"/>
      <c r="U443" s="34" t="str">
        <f aca="false">IF(T443="","",IFERROR(VLOOKUP(T443,REPS!$A$2:$D$40,2,0),""))</f>
        <v/>
      </c>
      <c r="V443" s="31" t="str">
        <f aca="false">IF(O443="","",IF(U443="",0,O443*IF(U443&gt;1,U443/100,U443)))</f>
        <v/>
      </c>
      <c r="W443" s="28"/>
      <c r="X443" s="34" t="str">
        <f aca="false">IF(W443="","",IFERROR(VLOOKUP(W443,REPS!$A$2:$D$40,3,0),""))</f>
        <v/>
      </c>
      <c r="Y443" s="31" t="str">
        <f aca="false">IF(O443="","",IF(X443="",0,O443*IF(X443&gt;1,X443/100,X443)))</f>
        <v/>
      </c>
      <c r="Z443" s="28"/>
      <c r="AA443" s="34" t="str">
        <f aca="false">IF(Z443="","",IFERROR(VLOOKUP(Z443,REPS!$A$2:$D$40,4,0),""))</f>
        <v/>
      </c>
      <c r="AB443" s="31" t="str">
        <f aca="false">IF(O443="","",IF(AA443="",0,O443*IF(AA443&gt;1,AA443/100,AA443)))</f>
        <v/>
      </c>
      <c r="AC443" s="31" t="str">
        <f aca="false">IF(O443="","",V443+Y443+AB443)</f>
        <v/>
      </c>
      <c r="AD443" s="19" t="str">
        <f aca="false">IF(O443="","",O443-R443-AC443)</f>
        <v/>
      </c>
      <c r="AE443" s="20"/>
      <c r="AF443" s="27"/>
      <c r="AG443" s="21" t="n">
        <f aca="false">IF(OR(AE443="",AE443=0),0,AE443*IF(U443="",0,IF(U443&gt;1,U443/100,U443)))</f>
        <v>0</v>
      </c>
      <c r="AH443" s="21" t="n">
        <f aca="false">IF(OR(AE443="",AE443=0),0,AE443*IF(X443="",0,IF(X443&gt;1,X443/100,X443)))</f>
        <v>0</v>
      </c>
      <c r="AI443" s="21" t="n">
        <f aca="false">IF(OR(AE443="",AE443=0),0,AE443*IF(AA443="",0,IF(AA443&gt;1,AA443/100,AA443)))</f>
        <v>0</v>
      </c>
      <c r="AJ443" s="21" t="n">
        <f aca="false">AG443+AH443+AI443</f>
        <v>0</v>
      </c>
      <c r="AK443" s="21" t="n">
        <f aca="false">IF(OR(AE443="",AE443=0),0,AE443-AJ443)</f>
        <v>0</v>
      </c>
      <c r="AL443" s="19" t="str">
        <f aca="false">IF(AD443="","",AD443-AK443)</f>
        <v/>
      </c>
      <c r="AM443" s="26" t="str">
        <f aca="false">IF(C443="","","Waiting for payment")</f>
        <v/>
      </c>
      <c r="AN443" s="27"/>
      <c r="AO443" s="27"/>
      <c r="AP443" s="35" t="str">
        <f aca="false">IF(OR(C443="",I443="",K443=""),"",IF(K443="Monthly",EDATE(C443,ROUND(I443*SETTINGS!$I$8,0)),WORKDAY(C443,ROUND(I443*SETTINGS!$I$8,0))))</f>
        <v/>
      </c>
      <c r="AQ443" s="26" t="str">
        <f aca="true">IF(C443="","",IF(AND(AP443&lt;&gt;"",TODAY()&gt;=AP443),"Refi Ready",IF(TODAY()-C443&gt;=SETTINGS!$I$11,"Prospecting","Performing")))</f>
        <v/>
      </c>
      <c r="AR443" s="35" t="str">
        <f aca="false">IF(OR(C443="",I443="",K443=""),"",IF(K443="Monthly",EDATE(C443,I443),WORKDAY(C443,I443)))</f>
        <v/>
      </c>
      <c r="AS443" s="28"/>
      <c r="AT443" s="36" t="str">
        <f aca="true">IF(C443="","",IF(AM443="Clawed Back","CLAWED",IF(TODAY()&lt;=C443+SETTINGS!$I$2,"⚠ AT RISK","SAFE")))</f>
        <v/>
      </c>
      <c r="AU443" s="28"/>
      <c r="AW443" s="24" t="n">
        <f aca="false">AW442+IF(AND(C443&lt;&gt;"",AO443&lt;&gt;"",OR('REP COMMISSION'!$B$3="",T443='REP COMMISSION'!$B$3,W443='REP COMMISSION'!$B$3,Z443='REP COMMISSION'!$B$3)),1,0)</f>
        <v>0</v>
      </c>
      <c r="AX443" s="24" t="n">
        <f aca="false">AX442+IF(AND(C443&lt;&gt;"",OR(F443="LOC - INITIAL",F443="CONSOLIDATION - UPFRONT COMM",F443="REVERSE - TOTAL FUNDING")),1,0)</f>
        <v>0</v>
      </c>
    </row>
    <row r="444" customFormat="false" ht="15" hidden="false" customHeight="false" outlineLevel="0" collapsed="false">
      <c r="A444" s="8" t="str">
        <f aca="false">IF(C444&lt;&gt;"","F"&amp;COUNT($C$4:C444),"")</f>
        <v/>
      </c>
      <c r="B444" s="9" t="str">
        <f aca="false">IF(OR(F444="LOC - INITIAL",F444="CONSOLIDATION - UPFRONT COMM",F444="REVERSE - TOTAL FUNDING"),A444,"")</f>
        <v/>
      </c>
      <c r="C444" s="10"/>
      <c r="D444" s="11"/>
      <c r="E444" s="11"/>
      <c r="F444" s="11"/>
      <c r="G444" s="12"/>
      <c r="H444" s="13"/>
      <c r="I444" s="11"/>
      <c r="J444" s="14" t="str">
        <f aca="false">IF(AND(G444&lt;&gt;"",H444&lt;&gt;""),G444*H444,"")</f>
        <v/>
      </c>
      <c r="K444" s="11"/>
      <c r="L444" s="15"/>
      <c r="M444" s="15"/>
      <c r="N444" s="14" t="n">
        <f aca="false">IF(OR(G444="",M444=""),0,IF(M444&gt;100,M444,G444*IF(M444&gt;1,M444/100,M444)))</f>
        <v>0</v>
      </c>
      <c r="O444" s="14" t="str">
        <f aca="false">IF(G444="","",G444*IF(L444="",0,IF(L444&gt;1,L444/100,L444))+N444)</f>
        <v/>
      </c>
      <c r="P444" s="11"/>
      <c r="Q444" s="16" t="str">
        <f aca="false">IF(P444="","",IFERROR(VLOOKUP(P444,PARTNERS!$A$2:$B$30,2,0),""))</f>
        <v/>
      </c>
      <c r="R444" s="17" t="str">
        <f aca="false">IF(O444="","",IF(OR(P444="",Q444=""),0,(O444-N444)*IF(Q444&gt;1,Q444/100,Q444)))</f>
        <v/>
      </c>
      <c r="S444" s="14" t="str">
        <f aca="false">IF(O444="","",O444-R444)</f>
        <v/>
      </c>
      <c r="T444" s="11"/>
      <c r="U444" s="18" t="str">
        <f aca="false">IF(T444="","",IFERROR(VLOOKUP(T444,REPS!$A$2:$D$40,2,0),""))</f>
        <v/>
      </c>
      <c r="V444" s="14" t="str">
        <f aca="false">IF(O444="","",IF(U444="",0,O444*IF(U444&gt;1,U444/100,U444)))</f>
        <v/>
      </c>
      <c r="W444" s="11"/>
      <c r="X444" s="18" t="str">
        <f aca="false">IF(W444="","",IFERROR(VLOOKUP(W444,REPS!$A$2:$D$40,3,0),""))</f>
        <v/>
      </c>
      <c r="Y444" s="14" t="str">
        <f aca="false">IF(O444="","",IF(X444="",0,O444*IF(X444&gt;1,X444/100,X444)))</f>
        <v/>
      </c>
      <c r="Z444" s="11"/>
      <c r="AA444" s="18" t="str">
        <f aca="false">IF(Z444="","",IFERROR(VLOOKUP(Z444,REPS!$A$2:$D$40,4,0),""))</f>
        <v/>
      </c>
      <c r="AB444" s="14" t="str">
        <f aca="false">IF(O444="","",IF(AA444="",0,O444*IF(AA444&gt;1,AA444/100,AA444)))</f>
        <v/>
      </c>
      <c r="AC444" s="14" t="str">
        <f aca="false">IF(O444="","",V444+Y444+AB444)</f>
        <v/>
      </c>
      <c r="AD444" s="19" t="str">
        <f aca="false">IF(O444="","",O444-R444-AC444)</f>
        <v/>
      </c>
      <c r="AE444" s="20"/>
      <c r="AF444" s="10"/>
      <c r="AG444" s="21" t="n">
        <f aca="false">IF(OR(AE444="",AE444=0),0,AE444*IF(U444="",0,IF(U444&gt;1,U444/100,U444)))</f>
        <v>0</v>
      </c>
      <c r="AH444" s="21" t="n">
        <f aca="false">IF(OR(AE444="",AE444=0),0,AE444*IF(X444="",0,IF(X444&gt;1,X444/100,X444)))</f>
        <v>0</v>
      </c>
      <c r="AI444" s="21" t="n">
        <f aca="false">IF(OR(AE444="",AE444=0),0,AE444*IF(AA444="",0,IF(AA444&gt;1,AA444/100,AA444)))</f>
        <v>0</v>
      </c>
      <c r="AJ444" s="21" t="n">
        <f aca="false">AG444+AH444+AI444</f>
        <v>0</v>
      </c>
      <c r="AK444" s="21" t="n">
        <f aca="false">IF(OR(AE444="",AE444=0),0,AE444-AJ444)</f>
        <v>0</v>
      </c>
      <c r="AL444" s="19" t="str">
        <f aca="false">IF(AD444="","",AD444-AK444)</f>
        <v/>
      </c>
      <c r="AM444" s="9" t="str">
        <f aca="false">IF(C444="","","Waiting for payment")</f>
        <v/>
      </c>
      <c r="AN444" s="10"/>
      <c r="AO444" s="10"/>
      <c r="AP444" s="22" t="str">
        <f aca="false">IF(OR(C444="",I444="",K444=""),"",IF(K444="Monthly",EDATE(C444,ROUND(I444*SETTINGS!$I$8,0)),WORKDAY(C444,ROUND(I444*SETTINGS!$I$8,0))))</f>
        <v/>
      </c>
      <c r="AQ444" s="9" t="str">
        <f aca="true">IF(C444="","",IF(AND(AP444&lt;&gt;"",TODAY()&gt;=AP444),"Refi Ready",IF(TODAY()-C444&gt;=SETTINGS!$I$11,"Prospecting","Performing")))</f>
        <v/>
      </c>
      <c r="AR444" s="22" t="str">
        <f aca="false">IF(OR(C444="",I444="",K444=""),"",IF(K444="Monthly",EDATE(C444,I444),WORKDAY(C444,I444)))</f>
        <v/>
      </c>
      <c r="AS444" s="11"/>
      <c r="AT444" s="23" t="str">
        <f aca="true">IF(C444="","",IF(AM444="Clawed Back","CLAWED",IF(TODAY()&lt;=C444+SETTINGS!$I$2,"⚠ AT RISK","SAFE")))</f>
        <v/>
      </c>
      <c r="AU444" s="11"/>
      <c r="AW444" s="24" t="n">
        <f aca="false">AW443+IF(AND(C444&lt;&gt;"",AO444&lt;&gt;"",OR('REP COMMISSION'!$B$3="",T444='REP COMMISSION'!$B$3,W444='REP COMMISSION'!$B$3,Z444='REP COMMISSION'!$B$3)),1,0)</f>
        <v>0</v>
      </c>
      <c r="AX444" s="24" t="n">
        <f aca="false">AX443+IF(AND(C444&lt;&gt;"",OR(F444="LOC - INITIAL",F444="CONSOLIDATION - UPFRONT COMM",F444="REVERSE - TOTAL FUNDING")),1,0)</f>
        <v>0</v>
      </c>
    </row>
    <row r="445" customFormat="false" ht="15" hidden="false" customHeight="false" outlineLevel="0" collapsed="false">
      <c r="A445" s="25" t="str">
        <f aca="false">IF(C445&lt;&gt;"","F"&amp;COUNT($C$4:C445),"")</f>
        <v/>
      </c>
      <c r="B445" s="26" t="str">
        <f aca="false">IF(OR(F445="LOC - INITIAL",F445="CONSOLIDATION - UPFRONT COMM",F445="REVERSE - TOTAL FUNDING"),A445,"")</f>
        <v/>
      </c>
      <c r="C445" s="27"/>
      <c r="D445" s="28"/>
      <c r="E445" s="28"/>
      <c r="F445" s="28"/>
      <c r="G445" s="29"/>
      <c r="H445" s="30"/>
      <c r="I445" s="28"/>
      <c r="J445" s="31" t="str">
        <f aca="false">IF(AND(G445&lt;&gt;"",H445&lt;&gt;""),G445*H445,"")</f>
        <v/>
      </c>
      <c r="K445" s="28"/>
      <c r="L445" s="32"/>
      <c r="M445" s="32"/>
      <c r="N445" s="31" t="n">
        <f aca="false">IF(OR(G445="",M445=""),0,IF(M445&gt;100,M445,G445*IF(M445&gt;1,M445/100,M445)))</f>
        <v>0</v>
      </c>
      <c r="O445" s="31" t="str">
        <f aca="false">IF(G445="","",G445*IF(L445="",0,IF(L445&gt;1,L445/100,L445))+N445)</f>
        <v/>
      </c>
      <c r="P445" s="28"/>
      <c r="Q445" s="33" t="str">
        <f aca="false">IF(P445="","",IFERROR(VLOOKUP(P445,PARTNERS!$A$2:$B$30,2,0),""))</f>
        <v/>
      </c>
      <c r="R445" s="17" t="str">
        <f aca="false">IF(O445="","",IF(OR(P445="",Q445=""),0,(O445-N445)*IF(Q445&gt;1,Q445/100,Q445)))</f>
        <v/>
      </c>
      <c r="S445" s="31" t="str">
        <f aca="false">IF(O445="","",O445-R445)</f>
        <v/>
      </c>
      <c r="T445" s="28"/>
      <c r="U445" s="34" t="str">
        <f aca="false">IF(T445="","",IFERROR(VLOOKUP(T445,REPS!$A$2:$D$40,2,0),""))</f>
        <v/>
      </c>
      <c r="V445" s="31" t="str">
        <f aca="false">IF(O445="","",IF(U445="",0,O445*IF(U445&gt;1,U445/100,U445)))</f>
        <v/>
      </c>
      <c r="W445" s="28"/>
      <c r="X445" s="34" t="str">
        <f aca="false">IF(W445="","",IFERROR(VLOOKUP(W445,REPS!$A$2:$D$40,3,0),""))</f>
        <v/>
      </c>
      <c r="Y445" s="31" t="str">
        <f aca="false">IF(O445="","",IF(X445="",0,O445*IF(X445&gt;1,X445/100,X445)))</f>
        <v/>
      </c>
      <c r="Z445" s="28"/>
      <c r="AA445" s="34" t="str">
        <f aca="false">IF(Z445="","",IFERROR(VLOOKUP(Z445,REPS!$A$2:$D$40,4,0),""))</f>
        <v/>
      </c>
      <c r="AB445" s="31" t="str">
        <f aca="false">IF(O445="","",IF(AA445="",0,O445*IF(AA445&gt;1,AA445/100,AA445)))</f>
        <v/>
      </c>
      <c r="AC445" s="31" t="str">
        <f aca="false">IF(O445="","",V445+Y445+AB445)</f>
        <v/>
      </c>
      <c r="AD445" s="19" t="str">
        <f aca="false">IF(O445="","",O445-R445-AC445)</f>
        <v/>
      </c>
      <c r="AE445" s="20"/>
      <c r="AF445" s="27"/>
      <c r="AG445" s="21" t="n">
        <f aca="false">IF(OR(AE445="",AE445=0),0,AE445*IF(U445="",0,IF(U445&gt;1,U445/100,U445)))</f>
        <v>0</v>
      </c>
      <c r="AH445" s="21" t="n">
        <f aca="false">IF(OR(AE445="",AE445=0),0,AE445*IF(X445="",0,IF(X445&gt;1,X445/100,X445)))</f>
        <v>0</v>
      </c>
      <c r="AI445" s="21" t="n">
        <f aca="false">IF(OR(AE445="",AE445=0),0,AE445*IF(AA445="",0,IF(AA445&gt;1,AA445/100,AA445)))</f>
        <v>0</v>
      </c>
      <c r="AJ445" s="21" t="n">
        <f aca="false">AG445+AH445+AI445</f>
        <v>0</v>
      </c>
      <c r="AK445" s="21" t="n">
        <f aca="false">IF(OR(AE445="",AE445=0),0,AE445-AJ445)</f>
        <v>0</v>
      </c>
      <c r="AL445" s="19" t="str">
        <f aca="false">IF(AD445="","",AD445-AK445)</f>
        <v/>
      </c>
      <c r="AM445" s="26" t="str">
        <f aca="false">IF(C445="","","Waiting for payment")</f>
        <v/>
      </c>
      <c r="AN445" s="27"/>
      <c r="AO445" s="27"/>
      <c r="AP445" s="35" t="str">
        <f aca="false">IF(OR(C445="",I445="",K445=""),"",IF(K445="Monthly",EDATE(C445,ROUND(I445*SETTINGS!$I$8,0)),WORKDAY(C445,ROUND(I445*SETTINGS!$I$8,0))))</f>
        <v/>
      </c>
      <c r="AQ445" s="26" t="str">
        <f aca="true">IF(C445="","",IF(AND(AP445&lt;&gt;"",TODAY()&gt;=AP445),"Refi Ready",IF(TODAY()-C445&gt;=SETTINGS!$I$11,"Prospecting","Performing")))</f>
        <v/>
      </c>
      <c r="AR445" s="35" t="str">
        <f aca="false">IF(OR(C445="",I445="",K445=""),"",IF(K445="Monthly",EDATE(C445,I445),WORKDAY(C445,I445)))</f>
        <v/>
      </c>
      <c r="AS445" s="28"/>
      <c r="AT445" s="36" t="str">
        <f aca="true">IF(C445="","",IF(AM445="Clawed Back","CLAWED",IF(TODAY()&lt;=C445+SETTINGS!$I$2,"⚠ AT RISK","SAFE")))</f>
        <v/>
      </c>
      <c r="AU445" s="28"/>
      <c r="AW445" s="24" t="n">
        <f aca="false">AW444+IF(AND(C445&lt;&gt;"",AO445&lt;&gt;"",OR('REP COMMISSION'!$B$3="",T445='REP COMMISSION'!$B$3,W445='REP COMMISSION'!$B$3,Z445='REP COMMISSION'!$B$3)),1,0)</f>
        <v>0</v>
      </c>
      <c r="AX445" s="24" t="n">
        <f aca="false">AX444+IF(AND(C445&lt;&gt;"",OR(F445="LOC - INITIAL",F445="CONSOLIDATION - UPFRONT COMM",F445="REVERSE - TOTAL FUNDING")),1,0)</f>
        <v>0</v>
      </c>
    </row>
    <row r="446" customFormat="false" ht="15" hidden="false" customHeight="false" outlineLevel="0" collapsed="false">
      <c r="A446" s="8" t="str">
        <f aca="false">IF(C446&lt;&gt;"","F"&amp;COUNT($C$4:C446),"")</f>
        <v/>
      </c>
      <c r="B446" s="9" t="str">
        <f aca="false">IF(OR(F446="LOC - INITIAL",F446="CONSOLIDATION - UPFRONT COMM",F446="REVERSE - TOTAL FUNDING"),A446,"")</f>
        <v/>
      </c>
      <c r="C446" s="10"/>
      <c r="D446" s="11"/>
      <c r="E446" s="11"/>
      <c r="F446" s="11"/>
      <c r="G446" s="12"/>
      <c r="H446" s="13"/>
      <c r="I446" s="11"/>
      <c r="J446" s="14" t="str">
        <f aca="false">IF(AND(G446&lt;&gt;"",H446&lt;&gt;""),G446*H446,"")</f>
        <v/>
      </c>
      <c r="K446" s="11"/>
      <c r="L446" s="15"/>
      <c r="M446" s="15"/>
      <c r="N446" s="14" t="n">
        <f aca="false">IF(OR(G446="",M446=""),0,IF(M446&gt;100,M446,G446*IF(M446&gt;1,M446/100,M446)))</f>
        <v>0</v>
      </c>
      <c r="O446" s="14" t="str">
        <f aca="false">IF(G446="","",G446*IF(L446="",0,IF(L446&gt;1,L446/100,L446))+N446)</f>
        <v/>
      </c>
      <c r="P446" s="11"/>
      <c r="Q446" s="16" t="str">
        <f aca="false">IF(P446="","",IFERROR(VLOOKUP(P446,PARTNERS!$A$2:$B$30,2,0),""))</f>
        <v/>
      </c>
      <c r="R446" s="17" t="str">
        <f aca="false">IF(O446="","",IF(OR(P446="",Q446=""),0,(O446-N446)*IF(Q446&gt;1,Q446/100,Q446)))</f>
        <v/>
      </c>
      <c r="S446" s="14" t="str">
        <f aca="false">IF(O446="","",O446-R446)</f>
        <v/>
      </c>
      <c r="T446" s="11"/>
      <c r="U446" s="18" t="str">
        <f aca="false">IF(T446="","",IFERROR(VLOOKUP(T446,REPS!$A$2:$D$40,2,0),""))</f>
        <v/>
      </c>
      <c r="V446" s="14" t="str">
        <f aca="false">IF(O446="","",IF(U446="",0,O446*IF(U446&gt;1,U446/100,U446)))</f>
        <v/>
      </c>
      <c r="W446" s="11"/>
      <c r="X446" s="18" t="str">
        <f aca="false">IF(W446="","",IFERROR(VLOOKUP(W446,REPS!$A$2:$D$40,3,0),""))</f>
        <v/>
      </c>
      <c r="Y446" s="14" t="str">
        <f aca="false">IF(O446="","",IF(X446="",0,O446*IF(X446&gt;1,X446/100,X446)))</f>
        <v/>
      </c>
      <c r="Z446" s="11"/>
      <c r="AA446" s="18" t="str">
        <f aca="false">IF(Z446="","",IFERROR(VLOOKUP(Z446,REPS!$A$2:$D$40,4,0),""))</f>
        <v/>
      </c>
      <c r="AB446" s="14" t="str">
        <f aca="false">IF(O446="","",IF(AA446="",0,O446*IF(AA446&gt;1,AA446/100,AA446)))</f>
        <v/>
      </c>
      <c r="AC446" s="14" t="str">
        <f aca="false">IF(O446="","",V446+Y446+AB446)</f>
        <v/>
      </c>
      <c r="AD446" s="19" t="str">
        <f aca="false">IF(O446="","",O446-R446-AC446)</f>
        <v/>
      </c>
      <c r="AE446" s="20"/>
      <c r="AF446" s="10"/>
      <c r="AG446" s="21" t="n">
        <f aca="false">IF(OR(AE446="",AE446=0),0,AE446*IF(U446="",0,IF(U446&gt;1,U446/100,U446)))</f>
        <v>0</v>
      </c>
      <c r="AH446" s="21" t="n">
        <f aca="false">IF(OR(AE446="",AE446=0),0,AE446*IF(X446="",0,IF(X446&gt;1,X446/100,X446)))</f>
        <v>0</v>
      </c>
      <c r="AI446" s="21" t="n">
        <f aca="false">IF(OR(AE446="",AE446=0),0,AE446*IF(AA446="",0,IF(AA446&gt;1,AA446/100,AA446)))</f>
        <v>0</v>
      </c>
      <c r="AJ446" s="21" t="n">
        <f aca="false">AG446+AH446+AI446</f>
        <v>0</v>
      </c>
      <c r="AK446" s="21" t="n">
        <f aca="false">IF(OR(AE446="",AE446=0),0,AE446-AJ446)</f>
        <v>0</v>
      </c>
      <c r="AL446" s="19" t="str">
        <f aca="false">IF(AD446="","",AD446-AK446)</f>
        <v/>
      </c>
      <c r="AM446" s="9" t="str">
        <f aca="false">IF(C446="","","Waiting for payment")</f>
        <v/>
      </c>
      <c r="AN446" s="10"/>
      <c r="AO446" s="10"/>
      <c r="AP446" s="22" t="str">
        <f aca="false">IF(OR(C446="",I446="",K446=""),"",IF(K446="Monthly",EDATE(C446,ROUND(I446*SETTINGS!$I$8,0)),WORKDAY(C446,ROUND(I446*SETTINGS!$I$8,0))))</f>
        <v/>
      </c>
      <c r="AQ446" s="9" t="str">
        <f aca="true">IF(C446="","",IF(AND(AP446&lt;&gt;"",TODAY()&gt;=AP446),"Refi Ready",IF(TODAY()-C446&gt;=SETTINGS!$I$11,"Prospecting","Performing")))</f>
        <v/>
      </c>
      <c r="AR446" s="22" t="str">
        <f aca="false">IF(OR(C446="",I446="",K446=""),"",IF(K446="Monthly",EDATE(C446,I446),WORKDAY(C446,I446)))</f>
        <v/>
      </c>
      <c r="AS446" s="11"/>
      <c r="AT446" s="23" t="str">
        <f aca="true">IF(C446="","",IF(AM446="Clawed Back","CLAWED",IF(TODAY()&lt;=C446+SETTINGS!$I$2,"⚠ AT RISK","SAFE")))</f>
        <v/>
      </c>
      <c r="AU446" s="11"/>
      <c r="AW446" s="24" t="n">
        <f aca="false">AW445+IF(AND(C446&lt;&gt;"",AO446&lt;&gt;"",OR('REP COMMISSION'!$B$3="",T446='REP COMMISSION'!$B$3,W446='REP COMMISSION'!$B$3,Z446='REP COMMISSION'!$B$3)),1,0)</f>
        <v>0</v>
      </c>
      <c r="AX446" s="24" t="n">
        <f aca="false">AX445+IF(AND(C446&lt;&gt;"",OR(F446="LOC - INITIAL",F446="CONSOLIDATION - UPFRONT COMM",F446="REVERSE - TOTAL FUNDING")),1,0)</f>
        <v>0</v>
      </c>
    </row>
    <row r="447" customFormat="false" ht="15" hidden="false" customHeight="false" outlineLevel="0" collapsed="false">
      <c r="A447" s="25" t="str">
        <f aca="false">IF(C447&lt;&gt;"","F"&amp;COUNT($C$4:C447),"")</f>
        <v/>
      </c>
      <c r="B447" s="26" t="str">
        <f aca="false">IF(OR(F447="LOC - INITIAL",F447="CONSOLIDATION - UPFRONT COMM",F447="REVERSE - TOTAL FUNDING"),A447,"")</f>
        <v/>
      </c>
      <c r="C447" s="27"/>
      <c r="D447" s="28"/>
      <c r="E447" s="28"/>
      <c r="F447" s="28"/>
      <c r="G447" s="29"/>
      <c r="H447" s="30"/>
      <c r="I447" s="28"/>
      <c r="J447" s="31" t="str">
        <f aca="false">IF(AND(G447&lt;&gt;"",H447&lt;&gt;""),G447*H447,"")</f>
        <v/>
      </c>
      <c r="K447" s="28"/>
      <c r="L447" s="32"/>
      <c r="M447" s="32"/>
      <c r="N447" s="31" t="n">
        <f aca="false">IF(OR(G447="",M447=""),0,IF(M447&gt;100,M447,G447*IF(M447&gt;1,M447/100,M447)))</f>
        <v>0</v>
      </c>
      <c r="O447" s="31" t="str">
        <f aca="false">IF(G447="","",G447*IF(L447="",0,IF(L447&gt;1,L447/100,L447))+N447)</f>
        <v/>
      </c>
      <c r="P447" s="28"/>
      <c r="Q447" s="33" t="str">
        <f aca="false">IF(P447="","",IFERROR(VLOOKUP(P447,PARTNERS!$A$2:$B$30,2,0),""))</f>
        <v/>
      </c>
      <c r="R447" s="17" t="str">
        <f aca="false">IF(O447="","",IF(OR(P447="",Q447=""),0,(O447-N447)*IF(Q447&gt;1,Q447/100,Q447)))</f>
        <v/>
      </c>
      <c r="S447" s="31" t="str">
        <f aca="false">IF(O447="","",O447-R447)</f>
        <v/>
      </c>
      <c r="T447" s="28"/>
      <c r="U447" s="34" t="str">
        <f aca="false">IF(T447="","",IFERROR(VLOOKUP(T447,REPS!$A$2:$D$40,2,0),""))</f>
        <v/>
      </c>
      <c r="V447" s="31" t="str">
        <f aca="false">IF(O447="","",IF(U447="",0,O447*IF(U447&gt;1,U447/100,U447)))</f>
        <v/>
      </c>
      <c r="W447" s="28"/>
      <c r="X447" s="34" t="str">
        <f aca="false">IF(W447="","",IFERROR(VLOOKUP(W447,REPS!$A$2:$D$40,3,0),""))</f>
        <v/>
      </c>
      <c r="Y447" s="31" t="str">
        <f aca="false">IF(O447="","",IF(X447="",0,O447*IF(X447&gt;1,X447/100,X447)))</f>
        <v/>
      </c>
      <c r="Z447" s="28"/>
      <c r="AA447" s="34" t="str">
        <f aca="false">IF(Z447="","",IFERROR(VLOOKUP(Z447,REPS!$A$2:$D$40,4,0),""))</f>
        <v/>
      </c>
      <c r="AB447" s="31" t="str">
        <f aca="false">IF(O447="","",IF(AA447="",0,O447*IF(AA447&gt;1,AA447/100,AA447)))</f>
        <v/>
      </c>
      <c r="AC447" s="31" t="str">
        <f aca="false">IF(O447="","",V447+Y447+AB447)</f>
        <v/>
      </c>
      <c r="AD447" s="19" t="str">
        <f aca="false">IF(O447="","",O447-R447-AC447)</f>
        <v/>
      </c>
      <c r="AE447" s="20"/>
      <c r="AF447" s="27"/>
      <c r="AG447" s="21" t="n">
        <f aca="false">IF(OR(AE447="",AE447=0),0,AE447*IF(U447="",0,IF(U447&gt;1,U447/100,U447)))</f>
        <v>0</v>
      </c>
      <c r="AH447" s="21" t="n">
        <f aca="false">IF(OR(AE447="",AE447=0),0,AE447*IF(X447="",0,IF(X447&gt;1,X447/100,X447)))</f>
        <v>0</v>
      </c>
      <c r="AI447" s="21" t="n">
        <f aca="false">IF(OR(AE447="",AE447=0),0,AE447*IF(AA447="",0,IF(AA447&gt;1,AA447/100,AA447)))</f>
        <v>0</v>
      </c>
      <c r="AJ447" s="21" t="n">
        <f aca="false">AG447+AH447+AI447</f>
        <v>0</v>
      </c>
      <c r="AK447" s="21" t="n">
        <f aca="false">IF(OR(AE447="",AE447=0),0,AE447-AJ447)</f>
        <v>0</v>
      </c>
      <c r="AL447" s="19" t="str">
        <f aca="false">IF(AD447="","",AD447-AK447)</f>
        <v/>
      </c>
      <c r="AM447" s="26" t="str">
        <f aca="false">IF(C447="","","Waiting for payment")</f>
        <v/>
      </c>
      <c r="AN447" s="27"/>
      <c r="AO447" s="27"/>
      <c r="AP447" s="35" t="str">
        <f aca="false">IF(OR(C447="",I447="",K447=""),"",IF(K447="Monthly",EDATE(C447,ROUND(I447*SETTINGS!$I$8,0)),WORKDAY(C447,ROUND(I447*SETTINGS!$I$8,0))))</f>
        <v/>
      </c>
      <c r="AQ447" s="26" t="str">
        <f aca="true">IF(C447="","",IF(AND(AP447&lt;&gt;"",TODAY()&gt;=AP447),"Refi Ready",IF(TODAY()-C447&gt;=SETTINGS!$I$11,"Prospecting","Performing")))</f>
        <v/>
      </c>
      <c r="AR447" s="35" t="str">
        <f aca="false">IF(OR(C447="",I447="",K447=""),"",IF(K447="Monthly",EDATE(C447,I447),WORKDAY(C447,I447)))</f>
        <v/>
      </c>
      <c r="AS447" s="28"/>
      <c r="AT447" s="36" t="str">
        <f aca="true">IF(C447="","",IF(AM447="Clawed Back","CLAWED",IF(TODAY()&lt;=C447+SETTINGS!$I$2,"⚠ AT RISK","SAFE")))</f>
        <v/>
      </c>
      <c r="AU447" s="28"/>
      <c r="AW447" s="24" t="n">
        <f aca="false">AW446+IF(AND(C447&lt;&gt;"",AO447&lt;&gt;"",OR('REP COMMISSION'!$B$3="",T447='REP COMMISSION'!$B$3,W447='REP COMMISSION'!$B$3,Z447='REP COMMISSION'!$B$3)),1,0)</f>
        <v>0</v>
      </c>
      <c r="AX447" s="24" t="n">
        <f aca="false">AX446+IF(AND(C447&lt;&gt;"",OR(F447="LOC - INITIAL",F447="CONSOLIDATION - UPFRONT COMM",F447="REVERSE - TOTAL FUNDING")),1,0)</f>
        <v>0</v>
      </c>
    </row>
    <row r="448" customFormat="false" ht="15" hidden="false" customHeight="false" outlineLevel="0" collapsed="false">
      <c r="A448" s="8" t="str">
        <f aca="false">IF(C448&lt;&gt;"","F"&amp;COUNT($C$4:C448),"")</f>
        <v/>
      </c>
      <c r="B448" s="9" t="str">
        <f aca="false">IF(OR(F448="LOC - INITIAL",F448="CONSOLIDATION - UPFRONT COMM",F448="REVERSE - TOTAL FUNDING"),A448,"")</f>
        <v/>
      </c>
      <c r="C448" s="10"/>
      <c r="D448" s="11"/>
      <c r="E448" s="11"/>
      <c r="F448" s="11"/>
      <c r="G448" s="12"/>
      <c r="H448" s="13"/>
      <c r="I448" s="11"/>
      <c r="J448" s="14" t="str">
        <f aca="false">IF(AND(G448&lt;&gt;"",H448&lt;&gt;""),G448*H448,"")</f>
        <v/>
      </c>
      <c r="K448" s="11"/>
      <c r="L448" s="15"/>
      <c r="M448" s="15"/>
      <c r="N448" s="14" t="n">
        <f aca="false">IF(OR(G448="",M448=""),0,IF(M448&gt;100,M448,G448*IF(M448&gt;1,M448/100,M448)))</f>
        <v>0</v>
      </c>
      <c r="O448" s="14" t="str">
        <f aca="false">IF(G448="","",G448*IF(L448="",0,IF(L448&gt;1,L448/100,L448))+N448)</f>
        <v/>
      </c>
      <c r="P448" s="11"/>
      <c r="Q448" s="16" t="str">
        <f aca="false">IF(P448="","",IFERROR(VLOOKUP(P448,PARTNERS!$A$2:$B$30,2,0),""))</f>
        <v/>
      </c>
      <c r="R448" s="17" t="str">
        <f aca="false">IF(O448="","",IF(OR(P448="",Q448=""),0,(O448-N448)*IF(Q448&gt;1,Q448/100,Q448)))</f>
        <v/>
      </c>
      <c r="S448" s="14" t="str">
        <f aca="false">IF(O448="","",O448-R448)</f>
        <v/>
      </c>
      <c r="T448" s="11"/>
      <c r="U448" s="18" t="str">
        <f aca="false">IF(T448="","",IFERROR(VLOOKUP(T448,REPS!$A$2:$D$40,2,0),""))</f>
        <v/>
      </c>
      <c r="V448" s="14" t="str">
        <f aca="false">IF(O448="","",IF(U448="",0,O448*IF(U448&gt;1,U448/100,U448)))</f>
        <v/>
      </c>
      <c r="W448" s="11"/>
      <c r="X448" s="18" t="str">
        <f aca="false">IF(W448="","",IFERROR(VLOOKUP(W448,REPS!$A$2:$D$40,3,0),""))</f>
        <v/>
      </c>
      <c r="Y448" s="14" t="str">
        <f aca="false">IF(O448="","",IF(X448="",0,O448*IF(X448&gt;1,X448/100,X448)))</f>
        <v/>
      </c>
      <c r="Z448" s="11"/>
      <c r="AA448" s="18" t="str">
        <f aca="false">IF(Z448="","",IFERROR(VLOOKUP(Z448,REPS!$A$2:$D$40,4,0),""))</f>
        <v/>
      </c>
      <c r="AB448" s="14" t="str">
        <f aca="false">IF(O448="","",IF(AA448="",0,O448*IF(AA448&gt;1,AA448/100,AA448)))</f>
        <v/>
      </c>
      <c r="AC448" s="14" t="str">
        <f aca="false">IF(O448="","",V448+Y448+AB448)</f>
        <v/>
      </c>
      <c r="AD448" s="19" t="str">
        <f aca="false">IF(O448="","",O448-R448-AC448)</f>
        <v/>
      </c>
      <c r="AE448" s="20"/>
      <c r="AF448" s="10"/>
      <c r="AG448" s="21" t="n">
        <f aca="false">IF(OR(AE448="",AE448=0),0,AE448*IF(U448="",0,IF(U448&gt;1,U448/100,U448)))</f>
        <v>0</v>
      </c>
      <c r="AH448" s="21" t="n">
        <f aca="false">IF(OR(AE448="",AE448=0),0,AE448*IF(X448="",0,IF(X448&gt;1,X448/100,X448)))</f>
        <v>0</v>
      </c>
      <c r="AI448" s="21" t="n">
        <f aca="false">IF(OR(AE448="",AE448=0),0,AE448*IF(AA448="",0,IF(AA448&gt;1,AA448/100,AA448)))</f>
        <v>0</v>
      </c>
      <c r="AJ448" s="21" t="n">
        <f aca="false">AG448+AH448+AI448</f>
        <v>0</v>
      </c>
      <c r="AK448" s="21" t="n">
        <f aca="false">IF(OR(AE448="",AE448=0),0,AE448-AJ448)</f>
        <v>0</v>
      </c>
      <c r="AL448" s="19" t="str">
        <f aca="false">IF(AD448="","",AD448-AK448)</f>
        <v/>
      </c>
      <c r="AM448" s="9" t="str">
        <f aca="false">IF(C448="","","Waiting for payment")</f>
        <v/>
      </c>
      <c r="AN448" s="10"/>
      <c r="AO448" s="10"/>
      <c r="AP448" s="22" t="str">
        <f aca="false">IF(OR(C448="",I448="",K448=""),"",IF(K448="Monthly",EDATE(C448,ROUND(I448*SETTINGS!$I$8,0)),WORKDAY(C448,ROUND(I448*SETTINGS!$I$8,0))))</f>
        <v/>
      </c>
      <c r="AQ448" s="9" t="str">
        <f aca="true">IF(C448="","",IF(AND(AP448&lt;&gt;"",TODAY()&gt;=AP448),"Refi Ready",IF(TODAY()-C448&gt;=SETTINGS!$I$11,"Prospecting","Performing")))</f>
        <v/>
      </c>
      <c r="AR448" s="22" t="str">
        <f aca="false">IF(OR(C448="",I448="",K448=""),"",IF(K448="Monthly",EDATE(C448,I448),WORKDAY(C448,I448)))</f>
        <v/>
      </c>
      <c r="AS448" s="11"/>
      <c r="AT448" s="23" t="str">
        <f aca="true">IF(C448="","",IF(AM448="Clawed Back","CLAWED",IF(TODAY()&lt;=C448+SETTINGS!$I$2,"⚠ AT RISK","SAFE")))</f>
        <v/>
      </c>
      <c r="AU448" s="11"/>
      <c r="AW448" s="24" t="n">
        <f aca="false">AW447+IF(AND(C448&lt;&gt;"",AO448&lt;&gt;"",OR('REP COMMISSION'!$B$3="",T448='REP COMMISSION'!$B$3,W448='REP COMMISSION'!$B$3,Z448='REP COMMISSION'!$B$3)),1,0)</f>
        <v>0</v>
      </c>
      <c r="AX448" s="24" t="n">
        <f aca="false">AX447+IF(AND(C448&lt;&gt;"",OR(F448="LOC - INITIAL",F448="CONSOLIDATION - UPFRONT COMM",F448="REVERSE - TOTAL FUNDING")),1,0)</f>
        <v>0</v>
      </c>
    </row>
    <row r="449" customFormat="false" ht="15" hidden="false" customHeight="false" outlineLevel="0" collapsed="false">
      <c r="A449" s="25" t="str">
        <f aca="false">IF(C449&lt;&gt;"","F"&amp;COUNT($C$4:C449),"")</f>
        <v/>
      </c>
      <c r="B449" s="26" t="str">
        <f aca="false">IF(OR(F449="LOC - INITIAL",F449="CONSOLIDATION - UPFRONT COMM",F449="REVERSE - TOTAL FUNDING"),A449,"")</f>
        <v/>
      </c>
      <c r="C449" s="27"/>
      <c r="D449" s="28"/>
      <c r="E449" s="28"/>
      <c r="F449" s="28"/>
      <c r="G449" s="29"/>
      <c r="H449" s="30"/>
      <c r="I449" s="28"/>
      <c r="J449" s="31" t="str">
        <f aca="false">IF(AND(G449&lt;&gt;"",H449&lt;&gt;""),G449*H449,"")</f>
        <v/>
      </c>
      <c r="K449" s="28"/>
      <c r="L449" s="32"/>
      <c r="M449" s="32"/>
      <c r="N449" s="31" t="n">
        <f aca="false">IF(OR(G449="",M449=""),0,IF(M449&gt;100,M449,G449*IF(M449&gt;1,M449/100,M449)))</f>
        <v>0</v>
      </c>
      <c r="O449" s="31" t="str">
        <f aca="false">IF(G449="","",G449*IF(L449="",0,IF(L449&gt;1,L449/100,L449))+N449)</f>
        <v/>
      </c>
      <c r="P449" s="28"/>
      <c r="Q449" s="33" t="str">
        <f aca="false">IF(P449="","",IFERROR(VLOOKUP(P449,PARTNERS!$A$2:$B$30,2,0),""))</f>
        <v/>
      </c>
      <c r="R449" s="17" t="str">
        <f aca="false">IF(O449="","",IF(OR(P449="",Q449=""),0,(O449-N449)*IF(Q449&gt;1,Q449/100,Q449)))</f>
        <v/>
      </c>
      <c r="S449" s="31" t="str">
        <f aca="false">IF(O449="","",O449-R449)</f>
        <v/>
      </c>
      <c r="T449" s="28"/>
      <c r="U449" s="34" t="str">
        <f aca="false">IF(T449="","",IFERROR(VLOOKUP(T449,REPS!$A$2:$D$40,2,0),""))</f>
        <v/>
      </c>
      <c r="V449" s="31" t="str">
        <f aca="false">IF(O449="","",IF(U449="",0,O449*IF(U449&gt;1,U449/100,U449)))</f>
        <v/>
      </c>
      <c r="W449" s="28"/>
      <c r="X449" s="34" t="str">
        <f aca="false">IF(W449="","",IFERROR(VLOOKUP(W449,REPS!$A$2:$D$40,3,0),""))</f>
        <v/>
      </c>
      <c r="Y449" s="31" t="str">
        <f aca="false">IF(O449="","",IF(X449="",0,O449*IF(X449&gt;1,X449/100,X449)))</f>
        <v/>
      </c>
      <c r="Z449" s="28"/>
      <c r="AA449" s="34" t="str">
        <f aca="false">IF(Z449="","",IFERROR(VLOOKUP(Z449,REPS!$A$2:$D$40,4,0),""))</f>
        <v/>
      </c>
      <c r="AB449" s="31" t="str">
        <f aca="false">IF(O449="","",IF(AA449="",0,O449*IF(AA449&gt;1,AA449/100,AA449)))</f>
        <v/>
      </c>
      <c r="AC449" s="31" t="str">
        <f aca="false">IF(O449="","",V449+Y449+AB449)</f>
        <v/>
      </c>
      <c r="AD449" s="19" t="str">
        <f aca="false">IF(O449="","",O449-R449-AC449)</f>
        <v/>
      </c>
      <c r="AE449" s="20"/>
      <c r="AF449" s="27"/>
      <c r="AG449" s="21" t="n">
        <f aca="false">IF(OR(AE449="",AE449=0),0,AE449*IF(U449="",0,IF(U449&gt;1,U449/100,U449)))</f>
        <v>0</v>
      </c>
      <c r="AH449" s="21" t="n">
        <f aca="false">IF(OR(AE449="",AE449=0),0,AE449*IF(X449="",0,IF(X449&gt;1,X449/100,X449)))</f>
        <v>0</v>
      </c>
      <c r="AI449" s="21" t="n">
        <f aca="false">IF(OR(AE449="",AE449=0),0,AE449*IF(AA449="",0,IF(AA449&gt;1,AA449/100,AA449)))</f>
        <v>0</v>
      </c>
      <c r="AJ449" s="21" t="n">
        <f aca="false">AG449+AH449+AI449</f>
        <v>0</v>
      </c>
      <c r="AK449" s="21" t="n">
        <f aca="false">IF(OR(AE449="",AE449=0),0,AE449-AJ449)</f>
        <v>0</v>
      </c>
      <c r="AL449" s="19" t="str">
        <f aca="false">IF(AD449="","",AD449-AK449)</f>
        <v/>
      </c>
      <c r="AM449" s="26" t="str">
        <f aca="false">IF(C449="","","Waiting for payment")</f>
        <v/>
      </c>
      <c r="AN449" s="27"/>
      <c r="AO449" s="27"/>
      <c r="AP449" s="35" t="str">
        <f aca="false">IF(OR(C449="",I449="",K449=""),"",IF(K449="Monthly",EDATE(C449,ROUND(I449*SETTINGS!$I$8,0)),WORKDAY(C449,ROUND(I449*SETTINGS!$I$8,0))))</f>
        <v/>
      </c>
      <c r="AQ449" s="26" t="str">
        <f aca="true">IF(C449="","",IF(AND(AP449&lt;&gt;"",TODAY()&gt;=AP449),"Refi Ready",IF(TODAY()-C449&gt;=SETTINGS!$I$11,"Prospecting","Performing")))</f>
        <v/>
      </c>
      <c r="AR449" s="35" t="str">
        <f aca="false">IF(OR(C449="",I449="",K449=""),"",IF(K449="Monthly",EDATE(C449,I449),WORKDAY(C449,I449)))</f>
        <v/>
      </c>
      <c r="AS449" s="28"/>
      <c r="AT449" s="36" t="str">
        <f aca="true">IF(C449="","",IF(AM449="Clawed Back","CLAWED",IF(TODAY()&lt;=C449+SETTINGS!$I$2,"⚠ AT RISK","SAFE")))</f>
        <v/>
      </c>
      <c r="AU449" s="28"/>
      <c r="AW449" s="24" t="n">
        <f aca="false">AW448+IF(AND(C449&lt;&gt;"",AO449&lt;&gt;"",OR('REP COMMISSION'!$B$3="",T449='REP COMMISSION'!$B$3,W449='REP COMMISSION'!$B$3,Z449='REP COMMISSION'!$B$3)),1,0)</f>
        <v>0</v>
      </c>
      <c r="AX449" s="24" t="n">
        <f aca="false">AX448+IF(AND(C449&lt;&gt;"",OR(F449="LOC - INITIAL",F449="CONSOLIDATION - UPFRONT COMM",F449="REVERSE - TOTAL FUNDING")),1,0)</f>
        <v>0</v>
      </c>
    </row>
    <row r="450" customFormat="false" ht="15" hidden="false" customHeight="false" outlineLevel="0" collapsed="false">
      <c r="A450" s="8" t="str">
        <f aca="false">IF(C450&lt;&gt;"","F"&amp;COUNT($C$4:C450),"")</f>
        <v/>
      </c>
      <c r="B450" s="9" t="str">
        <f aca="false">IF(OR(F450="LOC - INITIAL",F450="CONSOLIDATION - UPFRONT COMM",F450="REVERSE - TOTAL FUNDING"),A450,"")</f>
        <v/>
      </c>
      <c r="C450" s="10"/>
      <c r="D450" s="11"/>
      <c r="E450" s="11"/>
      <c r="F450" s="11"/>
      <c r="G450" s="12"/>
      <c r="H450" s="13"/>
      <c r="I450" s="11"/>
      <c r="J450" s="14" t="str">
        <f aca="false">IF(AND(G450&lt;&gt;"",H450&lt;&gt;""),G450*H450,"")</f>
        <v/>
      </c>
      <c r="K450" s="11"/>
      <c r="L450" s="15"/>
      <c r="M450" s="15"/>
      <c r="N450" s="14" t="n">
        <f aca="false">IF(OR(G450="",M450=""),0,IF(M450&gt;100,M450,G450*IF(M450&gt;1,M450/100,M450)))</f>
        <v>0</v>
      </c>
      <c r="O450" s="14" t="str">
        <f aca="false">IF(G450="","",G450*IF(L450="",0,IF(L450&gt;1,L450/100,L450))+N450)</f>
        <v/>
      </c>
      <c r="P450" s="11"/>
      <c r="Q450" s="16" t="str">
        <f aca="false">IF(P450="","",IFERROR(VLOOKUP(P450,PARTNERS!$A$2:$B$30,2,0),""))</f>
        <v/>
      </c>
      <c r="R450" s="17" t="str">
        <f aca="false">IF(O450="","",IF(OR(P450="",Q450=""),0,(O450-N450)*IF(Q450&gt;1,Q450/100,Q450)))</f>
        <v/>
      </c>
      <c r="S450" s="14" t="str">
        <f aca="false">IF(O450="","",O450-R450)</f>
        <v/>
      </c>
      <c r="T450" s="11"/>
      <c r="U450" s="18" t="str">
        <f aca="false">IF(T450="","",IFERROR(VLOOKUP(T450,REPS!$A$2:$D$40,2,0),""))</f>
        <v/>
      </c>
      <c r="V450" s="14" t="str">
        <f aca="false">IF(O450="","",IF(U450="",0,O450*IF(U450&gt;1,U450/100,U450)))</f>
        <v/>
      </c>
      <c r="W450" s="11"/>
      <c r="X450" s="18" t="str">
        <f aca="false">IF(W450="","",IFERROR(VLOOKUP(W450,REPS!$A$2:$D$40,3,0),""))</f>
        <v/>
      </c>
      <c r="Y450" s="14" t="str">
        <f aca="false">IF(O450="","",IF(X450="",0,O450*IF(X450&gt;1,X450/100,X450)))</f>
        <v/>
      </c>
      <c r="Z450" s="11"/>
      <c r="AA450" s="18" t="str">
        <f aca="false">IF(Z450="","",IFERROR(VLOOKUP(Z450,REPS!$A$2:$D$40,4,0),""))</f>
        <v/>
      </c>
      <c r="AB450" s="14" t="str">
        <f aca="false">IF(O450="","",IF(AA450="",0,O450*IF(AA450&gt;1,AA450/100,AA450)))</f>
        <v/>
      </c>
      <c r="AC450" s="14" t="str">
        <f aca="false">IF(O450="","",V450+Y450+AB450)</f>
        <v/>
      </c>
      <c r="AD450" s="19" t="str">
        <f aca="false">IF(O450="","",O450-R450-AC450)</f>
        <v/>
      </c>
      <c r="AE450" s="20"/>
      <c r="AF450" s="10"/>
      <c r="AG450" s="21" t="n">
        <f aca="false">IF(OR(AE450="",AE450=0),0,AE450*IF(U450="",0,IF(U450&gt;1,U450/100,U450)))</f>
        <v>0</v>
      </c>
      <c r="AH450" s="21" t="n">
        <f aca="false">IF(OR(AE450="",AE450=0),0,AE450*IF(X450="",0,IF(X450&gt;1,X450/100,X450)))</f>
        <v>0</v>
      </c>
      <c r="AI450" s="21" t="n">
        <f aca="false">IF(OR(AE450="",AE450=0),0,AE450*IF(AA450="",0,IF(AA450&gt;1,AA450/100,AA450)))</f>
        <v>0</v>
      </c>
      <c r="AJ450" s="21" t="n">
        <f aca="false">AG450+AH450+AI450</f>
        <v>0</v>
      </c>
      <c r="AK450" s="21" t="n">
        <f aca="false">IF(OR(AE450="",AE450=0),0,AE450-AJ450)</f>
        <v>0</v>
      </c>
      <c r="AL450" s="19" t="str">
        <f aca="false">IF(AD450="","",AD450-AK450)</f>
        <v/>
      </c>
      <c r="AM450" s="9" t="str">
        <f aca="false">IF(C450="","","Waiting for payment")</f>
        <v/>
      </c>
      <c r="AN450" s="10"/>
      <c r="AO450" s="10"/>
      <c r="AP450" s="22" t="str">
        <f aca="false">IF(OR(C450="",I450="",K450=""),"",IF(K450="Monthly",EDATE(C450,ROUND(I450*SETTINGS!$I$8,0)),WORKDAY(C450,ROUND(I450*SETTINGS!$I$8,0))))</f>
        <v/>
      </c>
      <c r="AQ450" s="9" t="str">
        <f aca="true">IF(C450="","",IF(AND(AP450&lt;&gt;"",TODAY()&gt;=AP450),"Refi Ready",IF(TODAY()-C450&gt;=SETTINGS!$I$11,"Prospecting","Performing")))</f>
        <v/>
      </c>
      <c r="AR450" s="22" t="str">
        <f aca="false">IF(OR(C450="",I450="",K450=""),"",IF(K450="Monthly",EDATE(C450,I450),WORKDAY(C450,I450)))</f>
        <v/>
      </c>
      <c r="AS450" s="11"/>
      <c r="AT450" s="23" t="str">
        <f aca="true">IF(C450="","",IF(AM450="Clawed Back","CLAWED",IF(TODAY()&lt;=C450+SETTINGS!$I$2,"⚠ AT RISK","SAFE")))</f>
        <v/>
      </c>
      <c r="AU450" s="11"/>
      <c r="AW450" s="24" t="n">
        <f aca="false">AW449+IF(AND(C450&lt;&gt;"",AO450&lt;&gt;"",OR('REP COMMISSION'!$B$3="",T450='REP COMMISSION'!$B$3,W450='REP COMMISSION'!$B$3,Z450='REP COMMISSION'!$B$3)),1,0)</f>
        <v>0</v>
      </c>
      <c r="AX450" s="24" t="n">
        <f aca="false">AX449+IF(AND(C450&lt;&gt;"",OR(F450="LOC - INITIAL",F450="CONSOLIDATION - UPFRONT COMM",F450="REVERSE - TOTAL FUNDING")),1,0)</f>
        <v>0</v>
      </c>
    </row>
    <row r="451" customFormat="false" ht="15" hidden="false" customHeight="false" outlineLevel="0" collapsed="false">
      <c r="A451" s="25" t="str">
        <f aca="false">IF(C451&lt;&gt;"","F"&amp;COUNT($C$4:C451),"")</f>
        <v/>
      </c>
      <c r="B451" s="26" t="str">
        <f aca="false">IF(OR(F451="LOC - INITIAL",F451="CONSOLIDATION - UPFRONT COMM",F451="REVERSE - TOTAL FUNDING"),A451,"")</f>
        <v/>
      </c>
      <c r="C451" s="27"/>
      <c r="D451" s="28"/>
      <c r="E451" s="28"/>
      <c r="F451" s="28"/>
      <c r="G451" s="29"/>
      <c r="H451" s="30"/>
      <c r="I451" s="28"/>
      <c r="J451" s="31" t="str">
        <f aca="false">IF(AND(G451&lt;&gt;"",H451&lt;&gt;""),G451*H451,"")</f>
        <v/>
      </c>
      <c r="K451" s="28"/>
      <c r="L451" s="32"/>
      <c r="M451" s="32"/>
      <c r="N451" s="31" t="n">
        <f aca="false">IF(OR(G451="",M451=""),0,IF(M451&gt;100,M451,G451*IF(M451&gt;1,M451/100,M451)))</f>
        <v>0</v>
      </c>
      <c r="O451" s="31" t="str">
        <f aca="false">IF(G451="","",G451*IF(L451="",0,IF(L451&gt;1,L451/100,L451))+N451)</f>
        <v/>
      </c>
      <c r="P451" s="28"/>
      <c r="Q451" s="33" t="str">
        <f aca="false">IF(P451="","",IFERROR(VLOOKUP(P451,PARTNERS!$A$2:$B$30,2,0),""))</f>
        <v/>
      </c>
      <c r="R451" s="17" t="str">
        <f aca="false">IF(O451="","",IF(OR(P451="",Q451=""),0,(O451-N451)*IF(Q451&gt;1,Q451/100,Q451)))</f>
        <v/>
      </c>
      <c r="S451" s="31" t="str">
        <f aca="false">IF(O451="","",O451-R451)</f>
        <v/>
      </c>
      <c r="T451" s="28"/>
      <c r="U451" s="34" t="str">
        <f aca="false">IF(T451="","",IFERROR(VLOOKUP(T451,REPS!$A$2:$D$40,2,0),""))</f>
        <v/>
      </c>
      <c r="V451" s="31" t="str">
        <f aca="false">IF(O451="","",IF(U451="",0,O451*IF(U451&gt;1,U451/100,U451)))</f>
        <v/>
      </c>
      <c r="W451" s="28"/>
      <c r="X451" s="34" t="str">
        <f aca="false">IF(W451="","",IFERROR(VLOOKUP(W451,REPS!$A$2:$D$40,3,0),""))</f>
        <v/>
      </c>
      <c r="Y451" s="31" t="str">
        <f aca="false">IF(O451="","",IF(X451="",0,O451*IF(X451&gt;1,X451/100,X451)))</f>
        <v/>
      </c>
      <c r="Z451" s="28"/>
      <c r="AA451" s="34" t="str">
        <f aca="false">IF(Z451="","",IFERROR(VLOOKUP(Z451,REPS!$A$2:$D$40,4,0),""))</f>
        <v/>
      </c>
      <c r="AB451" s="31" t="str">
        <f aca="false">IF(O451="","",IF(AA451="",0,O451*IF(AA451&gt;1,AA451/100,AA451)))</f>
        <v/>
      </c>
      <c r="AC451" s="31" t="str">
        <f aca="false">IF(O451="","",V451+Y451+AB451)</f>
        <v/>
      </c>
      <c r="AD451" s="19" t="str">
        <f aca="false">IF(O451="","",O451-R451-AC451)</f>
        <v/>
      </c>
      <c r="AE451" s="20"/>
      <c r="AF451" s="27"/>
      <c r="AG451" s="21" t="n">
        <f aca="false">IF(OR(AE451="",AE451=0),0,AE451*IF(U451="",0,IF(U451&gt;1,U451/100,U451)))</f>
        <v>0</v>
      </c>
      <c r="AH451" s="21" t="n">
        <f aca="false">IF(OR(AE451="",AE451=0),0,AE451*IF(X451="",0,IF(X451&gt;1,X451/100,X451)))</f>
        <v>0</v>
      </c>
      <c r="AI451" s="21" t="n">
        <f aca="false">IF(OR(AE451="",AE451=0),0,AE451*IF(AA451="",0,IF(AA451&gt;1,AA451/100,AA451)))</f>
        <v>0</v>
      </c>
      <c r="AJ451" s="21" t="n">
        <f aca="false">AG451+AH451+AI451</f>
        <v>0</v>
      </c>
      <c r="AK451" s="21" t="n">
        <f aca="false">IF(OR(AE451="",AE451=0),0,AE451-AJ451)</f>
        <v>0</v>
      </c>
      <c r="AL451" s="19" t="str">
        <f aca="false">IF(AD451="","",AD451-AK451)</f>
        <v/>
      </c>
      <c r="AM451" s="26" t="str">
        <f aca="false">IF(C451="","","Waiting for payment")</f>
        <v/>
      </c>
      <c r="AN451" s="27"/>
      <c r="AO451" s="27"/>
      <c r="AP451" s="35" t="str">
        <f aca="false">IF(OR(C451="",I451="",K451=""),"",IF(K451="Monthly",EDATE(C451,ROUND(I451*SETTINGS!$I$8,0)),WORKDAY(C451,ROUND(I451*SETTINGS!$I$8,0))))</f>
        <v/>
      </c>
      <c r="AQ451" s="26" t="str">
        <f aca="true">IF(C451="","",IF(AND(AP451&lt;&gt;"",TODAY()&gt;=AP451),"Refi Ready",IF(TODAY()-C451&gt;=SETTINGS!$I$11,"Prospecting","Performing")))</f>
        <v/>
      </c>
      <c r="AR451" s="35" t="str">
        <f aca="false">IF(OR(C451="",I451="",K451=""),"",IF(K451="Monthly",EDATE(C451,I451),WORKDAY(C451,I451)))</f>
        <v/>
      </c>
      <c r="AS451" s="28"/>
      <c r="AT451" s="36" t="str">
        <f aca="true">IF(C451="","",IF(AM451="Clawed Back","CLAWED",IF(TODAY()&lt;=C451+SETTINGS!$I$2,"⚠ AT RISK","SAFE")))</f>
        <v/>
      </c>
      <c r="AU451" s="28"/>
      <c r="AW451" s="24" t="n">
        <f aca="false">AW450+IF(AND(C451&lt;&gt;"",AO451&lt;&gt;"",OR('REP COMMISSION'!$B$3="",T451='REP COMMISSION'!$B$3,W451='REP COMMISSION'!$B$3,Z451='REP COMMISSION'!$B$3)),1,0)</f>
        <v>0</v>
      </c>
      <c r="AX451" s="24" t="n">
        <f aca="false">AX450+IF(AND(C451&lt;&gt;"",OR(F451="LOC - INITIAL",F451="CONSOLIDATION - UPFRONT COMM",F451="REVERSE - TOTAL FUNDING")),1,0)</f>
        <v>0</v>
      </c>
    </row>
    <row r="452" customFormat="false" ht="15" hidden="false" customHeight="false" outlineLevel="0" collapsed="false">
      <c r="A452" s="8" t="str">
        <f aca="false">IF(C452&lt;&gt;"","F"&amp;COUNT($C$4:C452),"")</f>
        <v/>
      </c>
      <c r="B452" s="9" t="str">
        <f aca="false">IF(OR(F452="LOC - INITIAL",F452="CONSOLIDATION - UPFRONT COMM",F452="REVERSE - TOTAL FUNDING"),A452,"")</f>
        <v/>
      </c>
      <c r="C452" s="10"/>
      <c r="D452" s="11"/>
      <c r="E452" s="11"/>
      <c r="F452" s="11"/>
      <c r="G452" s="12"/>
      <c r="H452" s="13"/>
      <c r="I452" s="11"/>
      <c r="J452" s="14" t="str">
        <f aca="false">IF(AND(G452&lt;&gt;"",H452&lt;&gt;""),G452*H452,"")</f>
        <v/>
      </c>
      <c r="K452" s="11"/>
      <c r="L452" s="15"/>
      <c r="M452" s="15"/>
      <c r="N452" s="14" t="n">
        <f aca="false">IF(OR(G452="",M452=""),0,IF(M452&gt;100,M452,G452*IF(M452&gt;1,M452/100,M452)))</f>
        <v>0</v>
      </c>
      <c r="O452" s="14" t="str">
        <f aca="false">IF(G452="","",G452*IF(L452="",0,IF(L452&gt;1,L452/100,L452))+N452)</f>
        <v/>
      </c>
      <c r="P452" s="11"/>
      <c r="Q452" s="16" t="str">
        <f aca="false">IF(P452="","",IFERROR(VLOOKUP(P452,PARTNERS!$A$2:$B$30,2,0),""))</f>
        <v/>
      </c>
      <c r="R452" s="17" t="str">
        <f aca="false">IF(O452="","",IF(OR(P452="",Q452=""),0,(O452-N452)*IF(Q452&gt;1,Q452/100,Q452)))</f>
        <v/>
      </c>
      <c r="S452" s="14" t="str">
        <f aca="false">IF(O452="","",O452-R452)</f>
        <v/>
      </c>
      <c r="T452" s="11"/>
      <c r="U452" s="18" t="str">
        <f aca="false">IF(T452="","",IFERROR(VLOOKUP(T452,REPS!$A$2:$D$40,2,0),""))</f>
        <v/>
      </c>
      <c r="V452" s="14" t="str">
        <f aca="false">IF(O452="","",IF(U452="",0,O452*IF(U452&gt;1,U452/100,U452)))</f>
        <v/>
      </c>
      <c r="W452" s="11"/>
      <c r="X452" s="18" t="str">
        <f aca="false">IF(W452="","",IFERROR(VLOOKUP(W452,REPS!$A$2:$D$40,3,0),""))</f>
        <v/>
      </c>
      <c r="Y452" s="14" t="str">
        <f aca="false">IF(O452="","",IF(X452="",0,O452*IF(X452&gt;1,X452/100,X452)))</f>
        <v/>
      </c>
      <c r="Z452" s="11"/>
      <c r="AA452" s="18" t="str">
        <f aca="false">IF(Z452="","",IFERROR(VLOOKUP(Z452,REPS!$A$2:$D$40,4,0),""))</f>
        <v/>
      </c>
      <c r="AB452" s="14" t="str">
        <f aca="false">IF(O452="","",IF(AA452="",0,O452*IF(AA452&gt;1,AA452/100,AA452)))</f>
        <v/>
      </c>
      <c r="AC452" s="14" t="str">
        <f aca="false">IF(O452="","",V452+Y452+AB452)</f>
        <v/>
      </c>
      <c r="AD452" s="19" t="str">
        <f aca="false">IF(O452="","",O452-R452-AC452)</f>
        <v/>
      </c>
      <c r="AE452" s="20"/>
      <c r="AF452" s="10"/>
      <c r="AG452" s="21" t="n">
        <f aca="false">IF(OR(AE452="",AE452=0),0,AE452*IF(U452="",0,IF(U452&gt;1,U452/100,U452)))</f>
        <v>0</v>
      </c>
      <c r="AH452" s="21" t="n">
        <f aca="false">IF(OR(AE452="",AE452=0),0,AE452*IF(X452="",0,IF(X452&gt;1,X452/100,X452)))</f>
        <v>0</v>
      </c>
      <c r="AI452" s="21" t="n">
        <f aca="false">IF(OR(AE452="",AE452=0),0,AE452*IF(AA452="",0,IF(AA452&gt;1,AA452/100,AA452)))</f>
        <v>0</v>
      </c>
      <c r="AJ452" s="21" t="n">
        <f aca="false">AG452+AH452+AI452</f>
        <v>0</v>
      </c>
      <c r="AK452" s="21" t="n">
        <f aca="false">IF(OR(AE452="",AE452=0),0,AE452-AJ452)</f>
        <v>0</v>
      </c>
      <c r="AL452" s="19" t="str">
        <f aca="false">IF(AD452="","",AD452-AK452)</f>
        <v/>
      </c>
      <c r="AM452" s="9" t="str">
        <f aca="false">IF(C452="","","Waiting for payment")</f>
        <v/>
      </c>
      <c r="AN452" s="10"/>
      <c r="AO452" s="10"/>
      <c r="AP452" s="22" t="str">
        <f aca="false">IF(OR(C452="",I452="",K452=""),"",IF(K452="Monthly",EDATE(C452,ROUND(I452*SETTINGS!$I$8,0)),WORKDAY(C452,ROUND(I452*SETTINGS!$I$8,0))))</f>
        <v/>
      </c>
      <c r="AQ452" s="9" t="str">
        <f aca="true">IF(C452="","",IF(AND(AP452&lt;&gt;"",TODAY()&gt;=AP452),"Refi Ready",IF(TODAY()-C452&gt;=SETTINGS!$I$11,"Prospecting","Performing")))</f>
        <v/>
      </c>
      <c r="AR452" s="22" t="str">
        <f aca="false">IF(OR(C452="",I452="",K452=""),"",IF(K452="Monthly",EDATE(C452,I452),WORKDAY(C452,I452)))</f>
        <v/>
      </c>
      <c r="AS452" s="11"/>
      <c r="AT452" s="23" t="str">
        <f aca="true">IF(C452="","",IF(AM452="Clawed Back","CLAWED",IF(TODAY()&lt;=C452+SETTINGS!$I$2,"⚠ AT RISK","SAFE")))</f>
        <v/>
      </c>
      <c r="AU452" s="11"/>
      <c r="AW452" s="24" t="n">
        <f aca="false">AW451+IF(AND(C452&lt;&gt;"",AO452&lt;&gt;"",OR('REP COMMISSION'!$B$3="",T452='REP COMMISSION'!$B$3,W452='REP COMMISSION'!$B$3,Z452='REP COMMISSION'!$B$3)),1,0)</f>
        <v>0</v>
      </c>
      <c r="AX452" s="24" t="n">
        <f aca="false">AX451+IF(AND(C452&lt;&gt;"",OR(F452="LOC - INITIAL",F452="CONSOLIDATION - UPFRONT COMM",F452="REVERSE - TOTAL FUNDING")),1,0)</f>
        <v>0</v>
      </c>
    </row>
    <row r="453" customFormat="false" ht="15" hidden="false" customHeight="false" outlineLevel="0" collapsed="false">
      <c r="A453" s="25" t="str">
        <f aca="false">IF(C453&lt;&gt;"","F"&amp;COUNT($C$4:C453),"")</f>
        <v/>
      </c>
      <c r="B453" s="26" t="str">
        <f aca="false">IF(OR(F453="LOC - INITIAL",F453="CONSOLIDATION - UPFRONT COMM",F453="REVERSE - TOTAL FUNDING"),A453,"")</f>
        <v/>
      </c>
      <c r="C453" s="27"/>
      <c r="D453" s="28"/>
      <c r="E453" s="28"/>
      <c r="F453" s="28"/>
      <c r="G453" s="29"/>
      <c r="H453" s="30"/>
      <c r="I453" s="28"/>
      <c r="J453" s="31" t="str">
        <f aca="false">IF(AND(G453&lt;&gt;"",H453&lt;&gt;""),G453*H453,"")</f>
        <v/>
      </c>
      <c r="K453" s="28"/>
      <c r="L453" s="32"/>
      <c r="M453" s="32"/>
      <c r="N453" s="31" t="n">
        <f aca="false">IF(OR(G453="",M453=""),0,IF(M453&gt;100,M453,G453*IF(M453&gt;1,M453/100,M453)))</f>
        <v>0</v>
      </c>
      <c r="O453" s="31" t="str">
        <f aca="false">IF(G453="","",G453*IF(L453="",0,IF(L453&gt;1,L453/100,L453))+N453)</f>
        <v/>
      </c>
      <c r="P453" s="28"/>
      <c r="Q453" s="33" t="str">
        <f aca="false">IF(P453="","",IFERROR(VLOOKUP(P453,PARTNERS!$A$2:$B$30,2,0),""))</f>
        <v/>
      </c>
      <c r="R453" s="17" t="str">
        <f aca="false">IF(O453="","",IF(OR(P453="",Q453=""),0,(O453-N453)*IF(Q453&gt;1,Q453/100,Q453)))</f>
        <v/>
      </c>
      <c r="S453" s="31" t="str">
        <f aca="false">IF(O453="","",O453-R453)</f>
        <v/>
      </c>
      <c r="T453" s="28"/>
      <c r="U453" s="34" t="str">
        <f aca="false">IF(T453="","",IFERROR(VLOOKUP(T453,REPS!$A$2:$D$40,2,0),""))</f>
        <v/>
      </c>
      <c r="V453" s="31" t="str">
        <f aca="false">IF(O453="","",IF(U453="",0,O453*IF(U453&gt;1,U453/100,U453)))</f>
        <v/>
      </c>
      <c r="W453" s="28"/>
      <c r="X453" s="34" t="str">
        <f aca="false">IF(W453="","",IFERROR(VLOOKUP(W453,REPS!$A$2:$D$40,3,0),""))</f>
        <v/>
      </c>
      <c r="Y453" s="31" t="str">
        <f aca="false">IF(O453="","",IF(X453="",0,O453*IF(X453&gt;1,X453/100,X453)))</f>
        <v/>
      </c>
      <c r="Z453" s="28"/>
      <c r="AA453" s="34" t="str">
        <f aca="false">IF(Z453="","",IFERROR(VLOOKUP(Z453,REPS!$A$2:$D$40,4,0),""))</f>
        <v/>
      </c>
      <c r="AB453" s="31" t="str">
        <f aca="false">IF(O453="","",IF(AA453="",0,O453*IF(AA453&gt;1,AA453/100,AA453)))</f>
        <v/>
      </c>
      <c r="AC453" s="31" t="str">
        <f aca="false">IF(O453="","",V453+Y453+AB453)</f>
        <v/>
      </c>
      <c r="AD453" s="19" t="str">
        <f aca="false">IF(O453="","",O453-R453-AC453)</f>
        <v/>
      </c>
      <c r="AE453" s="20"/>
      <c r="AF453" s="27"/>
      <c r="AG453" s="21" t="n">
        <f aca="false">IF(OR(AE453="",AE453=0),0,AE453*IF(U453="",0,IF(U453&gt;1,U453/100,U453)))</f>
        <v>0</v>
      </c>
      <c r="AH453" s="21" t="n">
        <f aca="false">IF(OR(AE453="",AE453=0),0,AE453*IF(X453="",0,IF(X453&gt;1,X453/100,X453)))</f>
        <v>0</v>
      </c>
      <c r="AI453" s="21" t="n">
        <f aca="false">IF(OR(AE453="",AE453=0),0,AE453*IF(AA453="",0,IF(AA453&gt;1,AA453/100,AA453)))</f>
        <v>0</v>
      </c>
      <c r="AJ453" s="21" t="n">
        <f aca="false">AG453+AH453+AI453</f>
        <v>0</v>
      </c>
      <c r="AK453" s="21" t="n">
        <f aca="false">IF(OR(AE453="",AE453=0),0,AE453-AJ453)</f>
        <v>0</v>
      </c>
      <c r="AL453" s="19" t="str">
        <f aca="false">IF(AD453="","",AD453-AK453)</f>
        <v/>
      </c>
      <c r="AM453" s="26" t="str">
        <f aca="false">IF(C453="","","Waiting for payment")</f>
        <v/>
      </c>
      <c r="AN453" s="27"/>
      <c r="AO453" s="27"/>
      <c r="AP453" s="35" t="str">
        <f aca="false">IF(OR(C453="",I453="",K453=""),"",IF(K453="Monthly",EDATE(C453,ROUND(I453*SETTINGS!$I$8,0)),WORKDAY(C453,ROUND(I453*SETTINGS!$I$8,0))))</f>
        <v/>
      </c>
      <c r="AQ453" s="26" t="str">
        <f aca="true">IF(C453="","",IF(AND(AP453&lt;&gt;"",TODAY()&gt;=AP453),"Refi Ready",IF(TODAY()-C453&gt;=SETTINGS!$I$11,"Prospecting","Performing")))</f>
        <v/>
      </c>
      <c r="AR453" s="35" t="str">
        <f aca="false">IF(OR(C453="",I453="",K453=""),"",IF(K453="Monthly",EDATE(C453,I453),WORKDAY(C453,I453)))</f>
        <v/>
      </c>
      <c r="AS453" s="28"/>
      <c r="AT453" s="36" t="str">
        <f aca="true">IF(C453="","",IF(AM453="Clawed Back","CLAWED",IF(TODAY()&lt;=C453+SETTINGS!$I$2,"⚠ AT RISK","SAFE")))</f>
        <v/>
      </c>
      <c r="AU453" s="28"/>
      <c r="AW453" s="24" t="n">
        <f aca="false">AW452+IF(AND(C453&lt;&gt;"",AO453&lt;&gt;"",OR('REP COMMISSION'!$B$3="",T453='REP COMMISSION'!$B$3,W453='REP COMMISSION'!$B$3,Z453='REP COMMISSION'!$B$3)),1,0)</f>
        <v>0</v>
      </c>
      <c r="AX453" s="24" t="n">
        <f aca="false">AX452+IF(AND(C453&lt;&gt;"",OR(F453="LOC - INITIAL",F453="CONSOLIDATION - UPFRONT COMM",F453="REVERSE - TOTAL FUNDING")),1,0)</f>
        <v>0</v>
      </c>
    </row>
    <row r="454" customFormat="false" ht="15" hidden="false" customHeight="false" outlineLevel="0" collapsed="false">
      <c r="A454" s="8" t="str">
        <f aca="false">IF(C454&lt;&gt;"","F"&amp;COUNT($C$4:C454),"")</f>
        <v/>
      </c>
      <c r="B454" s="9" t="str">
        <f aca="false">IF(OR(F454="LOC - INITIAL",F454="CONSOLIDATION - UPFRONT COMM",F454="REVERSE - TOTAL FUNDING"),A454,"")</f>
        <v/>
      </c>
      <c r="C454" s="10"/>
      <c r="D454" s="11"/>
      <c r="E454" s="11"/>
      <c r="F454" s="11"/>
      <c r="G454" s="12"/>
      <c r="H454" s="13"/>
      <c r="I454" s="11"/>
      <c r="J454" s="14" t="str">
        <f aca="false">IF(AND(G454&lt;&gt;"",H454&lt;&gt;""),G454*H454,"")</f>
        <v/>
      </c>
      <c r="K454" s="11"/>
      <c r="L454" s="15"/>
      <c r="M454" s="15"/>
      <c r="N454" s="14" t="n">
        <f aca="false">IF(OR(G454="",M454=""),0,IF(M454&gt;100,M454,G454*IF(M454&gt;1,M454/100,M454)))</f>
        <v>0</v>
      </c>
      <c r="O454" s="14" t="str">
        <f aca="false">IF(G454="","",G454*IF(L454="",0,IF(L454&gt;1,L454/100,L454))+N454)</f>
        <v/>
      </c>
      <c r="P454" s="11"/>
      <c r="Q454" s="16" t="str">
        <f aca="false">IF(P454="","",IFERROR(VLOOKUP(P454,PARTNERS!$A$2:$B$30,2,0),""))</f>
        <v/>
      </c>
      <c r="R454" s="17" t="str">
        <f aca="false">IF(O454="","",IF(OR(P454="",Q454=""),0,(O454-N454)*IF(Q454&gt;1,Q454/100,Q454)))</f>
        <v/>
      </c>
      <c r="S454" s="14" t="str">
        <f aca="false">IF(O454="","",O454-R454)</f>
        <v/>
      </c>
      <c r="T454" s="11"/>
      <c r="U454" s="18" t="str">
        <f aca="false">IF(T454="","",IFERROR(VLOOKUP(T454,REPS!$A$2:$D$40,2,0),""))</f>
        <v/>
      </c>
      <c r="V454" s="14" t="str">
        <f aca="false">IF(O454="","",IF(U454="",0,O454*IF(U454&gt;1,U454/100,U454)))</f>
        <v/>
      </c>
      <c r="W454" s="11"/>
      <c r="X454" s="18" t="str">
        <f aca="false">IF(W454="","",IFERROR(VLOOKUP(W454,REPS!$A$2:$D$40,3,0),""))</f>
        <v/>
      </c>
      <c r="Y454" s="14" t="str">
        <f aca="false">IF(O454="","",IF(X454="",0,O454*IF(X454&gt;1,X454/100,X454)))</f>
        <v/>
      </c>
      <c r="Z454" s="11"/>
      <c r="AA454" s="18" t="str">
        <f aca="false">IF(Z454="","",IFERROR(VLOOKUP(Z454,REPS!$A$2:$D$40,4,0),""))</f>
        <v/>
      </c>
      <c r="AB454" s="14" t="str">
        <f aca="false">IF(O454="","",IF(AA454="",0,O454*IF(AA454&gt;1,AA454/100,AA454)))</f>
        <v/>
      </c>
      <c r="AC454" s="14" t="str">
        <f aca="false">IF(O454="","",V454+Y454+AB454)</f>
        <v/>
      </c>
      <c r="AD454" s="19" t="str">
        <f aca="false">IF(O454="","",O454-R454-AC454)</f>
        <v/>
      </c>
      <c r="AE454" s="20"/>
      <c r="AF454" s="10"/>
      <c r="AG454" s="21" t="n">
        <f aca="false">IF(OR(AE454="",AE454=0),0,AE454*IF(U454="",0,IF(U454&gt;1,U454/100,U454)))</f>
        <v>0</v>
      </c>
      <c r="AH454" s="21" t="n">
        <f aca="false">IF(OR(AE454="",AE454=0),0,AE454*IF(X454="",0,IF(X454&gt;1,X454/100,X454)))</f>
        <v>0</v>
      </c>
      <c r="AI454" s="21" t="n">
        <f aca="false">IF(OR(AE454="",AE454=0),0,AE454*IF(AA454="",0,IF(AA454&gt;1,AA454/100,AA454)))</f>
        <v>0</v>
      </c>
      <c r="AJ454" s="21" t="n">
        <f aca="false">AG454+AH454+AI454</f>
        <v>0</v>
      </c>
      <c r="AK454" s="21" t="n">
        <f aca="false">IF(OR(AE454="",AE454=0),0,AE454-AJ454)</f>
        <v>0</v>
      </c>
      <c r="AL454" s="19" t="str">
        <f aca="false">IF(AD454="","",AD454-AK454)</f>
        <v/>
      </c>
      <c r="AM454" s="9" t="str">
        <f aca="false">IF(C454="","","Waiting for payment")</f>
        <v/>
      </c>
      <c r="AN454" s="10"/>
      <c r="AO454" s="10"/>
      <c r="AP454" s="22" t="str">
        <f aca="false">IF(OR(C454="",I454="",K454=""),"",IF(K454="Monthly",EDATE(C454,ROUND(I454*SETTINGS!$I$8,0)),WORKDAY(C454,ROUND(I454*SETTINGS!$I$8,0))))</f>
        <v/>
      </c>
      <c r="AQ454" s="9" t="str">
        <f aca="true">IF(C454="","",IF(AND(AP454&lt;&gt;"",TODAY()&gt;=AP454),"Refi Ready",IF(TODAY()-C454&gt;=SETTINGS!$I$11,"Prospecting","Performing")))</f>
        <v/>
      </c>
      <c r="AR454" s="22" t="str">
        <f aca="false">IF(OR(C454="",I454="",K454=""),"",IF(K454="Monthly",EDATE(C454,I454),WORKDAY(C454,I454)))</f>
        <v/>
      </c>
      <c r="AS454" s="11"/>
      <c r="AT454" s="23" t="str">
        <f aca="true">IF(C454="","",IF(AM454="Clawed Back","CLAWED",IF(TODAY()&lt;=C454+SETTINGS!$I$2,"⚠ AT RISK","SAFE")))</f>
        <v/>
      </c>
      <c r="AU454" s="11"/>
      <c r="AW454" s="24" t="n">
        <f aca="false">AW453+IF(AND(C454&lt;&gt;"",AO454&lt;&gt;"",OR('REP COMMISSION'!$B$3="",T454='REP COMMISSION'!$B$3,W454='REP COMMISSION'!$B$3,Z454='REP COMMISSION'!$B$3)),1,0)</f>
        <v>0</v>
      </c>
      <c r="AX454" s="24" t="n">
        <f aca="false">AX453+IF(AND(C454&lt;&gt;"",OR(F454="LOC - INITIAL",F454="CONSOLIDATION - UPFRONT COMM",F454="REVERSE - TOTAL FUNDING")),1,0)</f>
        <v>0</v>
      </c>
    </row>
    <row r="455" customFormat="false" ht="15" hidden="false" customHeight="false" outlineLevel="0" collapsed="false">
      <c r="A455" s="25" t="str">
        <f aca="false">IF(C455&lt;&gt;"","F"&amp;COUNT($C$4:C455),"")</f>
        <v/>
      </c>
      <c r="B455" s="26" t="str">
        <f aca="false">IF(OR(F455="LOC - INITIAL",F455="CONSOLIDATION - UPFRONT COMM",F455="REVERSE - TOTAL FUNDING"),A455,"")</f>
        <v/>
      </c>
      <c r="C455" s="27"/>
      <c r="D455" s="28"/>
      <c r="E455" s="28"/>
      <c r="F455" s="28"/>
      <c r="G455" s="29"/>
      <c r="H455" s="30"/>
      <c r="I455" s="28"/>
      <c r="J455" s="31" t="str">
        <f aca="false">IF(AND(G455&lt;&gt;"",H455&lt;&gt;""),G455*H455,"")</f>
        <v/>
      </c>
      <c r="K455" s="28"/>
      <c r="L455" s="32"/>
      <c r="M455" s="32"/>
      <c r="N455" s="31" t="n">
        <f aca="false">IF(OR(G455="",M455=""),0,IF(M455&gt;100,M455,G455*IF(M455&gt;1,M455/100,M455)))</f>
        <v>0</v>
      </c>
      <c r="O455" s="31" t="str">
        <f aca="false">IF(G455="","",G455*IF(L455="",0,IF(L455&gt;1,L455/100,L455))+N455)</f>
        <v/>
      </c>
      <c r="P455" s="28"/>
      <c r="Q455" s="33" t="str">
        <f aca="false">IF(P455="","",IFERROR(VLOOKUP(P455,PARTNERS!$A$2:$B$30,2,0),""))</f>
        <v/>
      </c>
      <c r="R455" s="17" t="str">
        <f aca="false">IF(O455="","",IF(OR(P455="",Q455=""),0,(O455-N455)*IF(Q455&gt;1,Q455/100,Q455)))</f>
        <v/>
      </c>
      <c r="S455" s="31" t="str">
        <f aca="false">IF(O455="","",O455-R455)</f>
        <v/>
      </c>
      <c r="T455" s="28"/>
      <c r="U455" s="34" t="str">
        <f aca="false">IF(T455="","",IFERROR(VLOOKUP(T455,REPS!$A$2:$D$40,2,0),""))</f>
        <v/>
      </c>
      <c r="V455" s="31" t="str">
        <f aca="false">IF(O455="","",IF(U455="",0,O455*IF(U455&gt;1,U455/100,U455)))</f>
        <v/>
      </c>
      <c r="W455" s="28"/>
      <c r="X455" s="34" t="str">
        <f aca="false">IF(W455="","",IFERROR(VLOOKUP(W455,REPS!$A$2:$D$40,3,0),""))</f>
        <v/>
      </c>
      <c r="Y455" s="31" t="str">
        <f aca="false">IF(O455="","",IF(X455="",0,O455*IF(X455&gt;1,X455/100,X455)))</f>
        <v/>
      </c>
      <c r="Z455" s="28"/>
      <c r="AA455" s="34" t="str">
        <f aca="false">IF(Z455="","",IFERROR(VLOOKUP(Z455,REPS!$A$2:$D$40,4,0),""))</f>
        <v/>
      </c>
      <c r="AB455" s="31" t="str">
        <f aca="false">IF(O455="","",IF(AA455="",0,O455*IF(AA455&gt;1,AA455/100,AA455)))</f>
        <v/>
      </c>
      <c r="AC455" s="31" t="str">
        <f aca="false">IF(O455="","",V455+Y455+AB455)</f>
        <v/>
      </c>
      <c r="AD455" s="19" t="str">
        <f aca="false">IF(O455="","",O455-R455-AC455)</f>
        <v/>
      </c>
      <c r="AE455" s="20"/>
      <c r="AF455" s="27"/>
      <c r="AG455" s="21" t="n">
        <f aca="false">IF(OR(AE455="",AE455=0),0,AE455*IF(U455="",0,IF(U455&gt;1,U455/100,U455)))</f>
        <v>0</v>
      </c>
      <c r="AH455" s="21" t="n">
        <f aca="false">IF(OR(AE455="",AE455=0),0,AE455*IF(X455="",0,IF(X455&gt;1,X455/100,X455)))</f>
        <v>0</v>
      </c>
      <c r="AI455" s="21" t="n">
        <f aca="false">IF(OR(AE455="",AE455=0),0,AE455*IF(AA455="",0,IF(AA455&gt;1,AA455/100,AA455)))</f>
        <v>0</v>
      </c>
      <c r="AJ455" s="21" t="n">
        <f aca="false">AG455+AH455+AI455</f>
        <v>0</v>
      </c>
      <c r="AK455" s="21" t="n">
        <f aca="false">IF(OR(AE455="",AE455=0),0,AE455-AJ455)</f>
        <v>0</v>
      </c>
      <c r="AL455" s="19" t="str">
        <f aca="false">IF(AD455="","",AD455-AK455)</f>
        <v/>
      </c>
      <c r="AM455" s="26" t="str">
        <f aca="false">IF(C455="","","Waiting for payment")</f>
        <v/>
      </c>
      <c r="AN455" s="27"/>
      <c r="AO455" s="27"/>
      <c r="AP455" s="35" t="str">
        <f aca="false">IF(OR(C455="",I455="",K455=""),"",IF(K455="Monthly",EDATE(C455,ROUND(I455*SETTINGS!$I$8,0)),WORKDAY(C455,ROUND(I455*SETTINGS!$I$8,0))))</f>
        <v/>
      </c>
      <c r="AQ455" s="26" t="str">
        <f aca="true">IF(C455="","",IF(AND(AP455&lt;&gt;"",TODAY()&gt;=AP455),"Refi Ready",IF(TODAY()-C455&gt;=SETTINGS!$I$11,"Prospecting","Performing")))</f>
        <v/>
      </c>
      <c r="AR455" s="35" t="str">
        <f aca="false">IF(OR(C455="",I455="",K455=""),"",IF(K455="Monthly",EDATE(C455,I455),WORKDAY(C455,I455)))</f>
        <v/>
      </c>
      <c r="AS455" s="28"/>
      <c r="AT455" s="36" t="str">
        <f aca="true">IF(C455="","",IF(AM455="Clawed Back","CLAWED",IF(TODAY()&lt;=C455+SETTINGS!$I$2,"⚠ AT RISK","SAFE")))</f>
        <v/>
      </c>
      <c r="AU455" s="28"/>
      <c r="AW455" s="24" t="n">
        <f aca="false">AW454+IF(AND(C455&lt;&gt;"",AO455&lt;&gt;"",OR('REP COMMISSION'!$B$3="",T455='REP COMMISSION'!$B$3,W455='REP COMMISSION'!$B$3,Z455='REP COMMISSION'!$B$3)),1,0)</f>
        <v>0</v>
      </c>
      <c r="AX455" s="24" t="n">
        <f aca="false">AX454+IF(AND(C455&lt;&gt;"",OR(F455="LOC - INITIAL",F455="CONSOLIDATION - UPFRONT COMM",F455="REVERSE - TOTAL FUNDING")),1,0)</f>
        <v>0</v>
      </c>
    </row>
    <row r="456" customFormat="false" ht="15" hidden="false" customHeight="false" outlineLevel="0" collapsed="false">
      <c r="A456" s="8" t="str">
        <f aca="false">IF(C456&lt;&gt;"","F"&amp;COUNT($C$4:C456),"")</f>
        <v/>
      </c>
      <c r="B456" s="9" t="str">
        <f aca="false">IF(OR(F456="LOC - INITIAL",F456="CONSOLIDATION - UPFRONT COMM",F456="REVERSE - TOTAL FUNDING"),A456,"")</f>
        <v/>
      </c>
      <c r="C456" s="10"/>
      <c r="D456" s="11"/>
      <c r="E456" s="11"/>
      <c r="F456" s="11"/>
      <c r="G456" s="12"/>
      <c r="H456" s="13"/>
      <c r="I456" s="11"/>
      <c r="J456" s="14" t="str">
        <f aca="false">IF(AND(G456&lt;&gt;"",H456&lt;&gt;""),G456*H456,"")</f>
        <v/>
      </c>
      <c r="K456" s="11"/>
      <c r="L456" s="15"/>
      <c r="M456" s="15"/>
      <c r="N456" s="14" t="n">
        <f aca="false">IF(OR(G456="",M456=""),0,IF(M456&gt;100,M456,G456*IF(M456&gt;1,M456/100,M456)))</f>
        <v>0</v>
      </c>
      <c r="O456" s="14" t="str">
        <f aca="false">IF(G456="","",G456*IF(L456="",0,IF(L456&gt;1,L456/100,L456))+N456)</f>
        <v/>
      </c>
      <c r="P456" s="11"/>
      <c r="Q456" s="16" t="str">
        <f aca="false">IF(P456="","",IFERROR(VLOOKUP(P456,PARTNERS!$A$2:$B$30,2,0),""))</f>
        <v/>
      </c>
      <c r="R456" s="17" t="str">
        <f aca="false">IF(O456="","",IF(OR(P456="",Q456=""),0,(O456-N456)*IF(Q456&gt;1,Q456/100,Q456)))</f>
        <v/>
      </c>
      <c r="S456" s="14" t="str">
        <f aca="false">IF(O456="","",O456-R456)</f>
        <v/>
      </c>
      <c r="T456" s="11"/>
      <c r="U456" s="18" t="str">
        <f aca="false">IF(T456="","",IFERROR(VLOOKUP(T456,REPS!$A$2:$D$40,2,0),""))</f>
        <v/>
      </c>
      <c r="V456" s="14" t="str">
        <f aca="false">IF(O456="","",IF(U456="",0,O456*IF(U456&gt;1,U456/100,U456)))</f>
        <v/>
      </c>
      <c r="W456" s="11"/>
      <c r="X456" s="18" t="str">
        <f aca="false">IF(W456="","",IFERROR(VLOOKUP(W456,REPS!$A$2:$D$40,3,0),""))</f>
        <v/>
      </c>
      <c r="Y456" s="14" t="str">
        <f aca="false">IF(O456="","",IF(X456="",0,O456*IF(X456&gt;1,X456/100,X456)))</f>
        <v/>
      </c>
      <c r="Z456" s="11"/>
      <c r="AA456" s="18" t="str">
        <f aca="false">IF(Z456="","",IFERROR(VLOOKUP(Z456,REPS!$A$2:$D$40,4,0),""))</f>
        <v/>
      </c>
      <c r="AB456" s="14" t="str">
        <f aca="false">IF(O456="","",IF(AA456="",0,O456*IF(AA456&gt;1,AA456/100,AA456)))</f>
        <v/>
      </c>
      <c r="AC456" s="14" t="str">
        <f aca="false">IF(O456="","",V456+Y456+AB456)</f>
        <v/>
      </c>
      <c r="AD456" s="19" t="str">
        <f aca="false">IF(O456="","",O456-R456-AC456)</f>
        <v/>
      </c>
      <c r="AE456" s="20"/>
      <c r="AF456" s="10"/>
      <c r="AG456" s="21" t="n">
        <f aca="false">IF(OR(AE456="",AE456=0),0,AE456*IF(U456="",0,IF(U456&gt;1,U456/100,U456)))</f>
        <v>0</v>
      </c>
      <c r="AH456" s="21" t="n">
        <f aca="false">IF(OR(AE456="",AE456=0),0,AE456*IF(X456="",0,IF(X456&gt;1,X456/100,X456)))</f>
        <v>0</v>
      </c>
      <c r="AI456" s="21" t="n">
        <f aca="false">IF(OR(AE456="",AE456=0),0,AE456*IF(AA456="",0,IF(AA456&gt;1,AA456/100,AA456)))</f>
        <v>0</v>
      </c>
      <c r="AJ456" s="21" t="n">
        <f aca="false">AG456+AH456+AI456</f>
        <v>0</v>
      </c>
      <c r="AK456" s="21" t="n">
        <f aca="false">IF(OR(AE456="",AE456=0),0,AE456-AJ456)</f>
        <v>0</v>
      </c>
      <c r="AL456" s="19" t="str">
        <f aca="false">IF(AD456="","",AD456-AK456)</f>
        <v/>
      </c>
      <c r="AM456" s="9" t="str">
        <f aca="false">IF(C456="","","Waiting for payment")</f>
        <v/>
      </c>
      <c r="AN456" s="10"/>
      <c r="AO456" s="10"/>
      <c r="AP456" s="22" t="str">
        <f aca="false">IF(OR(C456="",I456="",K456=""),"",IF(K456="Monthly",EDATE(C456,ROUND(I456*SETTINGS!$I$8,0)),WORKDAY(C456,ROUND(I456*SETTINGS!$I$8,0))))</f>
        <v/>
      </c>
      <c r="AQ456" s="9" t="str">
        <f aca="true">IF(C456="","",IF(AND(AP456&lt;&gt;"",TODAY()&gt;=AP456),"Refi Ready",IF(TODAY()-C456&gt;=SETTINGS!$I$11,"Prospecting","Performing")))</f>
        <v/>
      </c>
      <c r="AR456" s="22" t="str">
        <f aca="false">IF(OR(C456="",I456="",K456=""),"",IF(K456="Monthly",EDATE(C456,I456),WORKDAY(C456,I456)))</f>
        <v/>
      </c>
      <c r="AS456" s="11"/>
      <c r="AT456" s="23" t="str">
        <f aca="true">IF(C456="","",IF(AM456="Clawed Back","CLAWED",IF(TODAY()&lt;=C456+SETTINGS!$I$2,"⚠ AT RISK","SAFE")))</f>
        <v/>
      </c>
      <c r="AU456" s="11"/>
      <c r="AW456" s="24" t="n">
        <f aca="false">AW455+IF(AND(C456&lt;&gt;"",AO456&lt;&gt;"",OR('REP COMMISSION'!$B$3="",T456='REP COMMISSION'!$B$3,W456='REP COMMISSION'!$B$3,Z456='REP COMMISSION'!$B$3)),1,0)</f>
        <v>0</v>
      </c>
      <c r="AX456" s="24" t="n">
        <f aca="false">AX455+IF(AND(C456&lt;&gt;"",OR(F456="LOC - INITIAL",F456="CONSOLIDATION - UPFRONT COMM",F456="REVERSE - TOTAL FUNDING")),1,0)</f>
        <v>0</v>
      </c>
    </row>
    <row r="457" customFormat="false" ht="15" hidden="false" customHeight="false" outlineLevel="0" collapsed="false">
      <c r="A457" s="25" t="str">
        <f aca="false">IF(C457&lt;&gt;"","F"&amp;COUNT($C$4:C457),"")</f>
        <v/>
      </c>
      <c r="B457" s="26" t="str">
        <f aca="false">IF(OR(F457="LOC - INITIAL",F457="CONSOLIDATION - UPFRONT COMM",F457="REVERSE - TOTAL FUNDING"),A457,"")</f>
        <v/>
      </c>
      <c r="C457" s="27"/>
      <c r="D457" s="28"/>
      <c r="E457" s="28"/>
      <c r="F457" s="28"/>
      <c r="G457" s="29"/>
      <c r="H457" s="30"/>
      <c r="I457" s="28"/>
      <c r="J457" s="31" t="str">
        <f aca="false">IF(AND(G457&lt;&gt;"",H457&lt;&gt;""),G457*H457,"")</f>
        <v/>
      </c>
      <c r="K457" s="28"/>
      <c r="L457" s="32"/>
      <c r="M457" s="32"/>
      <c r="N457" s="31" t="n">
        <f aca="false">IF(OR(G457="",M457=""),0,IF(M457&gt;100,M457,G457*IF(M457&gt;1,M457/100,M457)))</f>
        <v>0</v>
      </c>
      <c r="O457" s="31" t="str">
        <f aca="false">IF(G457="","",G457*IF(L457="",0,IF(L457&gt;1,L457/100,L457))+N457)</f>
        <v/>
      </c>
      <c r="P457" s="28"/>
      <c r="Q457" s="33" t="str">
        <f aca="false">IF(P457="","",IFERROR(VLOOKUP(P457,PARTNERS!$A$2:$B$30,2,0),""))</f>
        <v/>
      </c>
      <c r="R457" s="17" t="str">
        <f aca="false">IF(O457="","",IF(OR(P457="",Q457=""),0,(O457-N457)*IF(Q457&gt;1,Q457/100,Q457)))</f>
        <v/>
      </c>
      <c r="S457" s="31" t="str">
        <f aca="false">IF(O457="","",O457-R457)</f>
        <v/>
      </c>
      <c r="T457" s="28"/>
      <c r="U457" s="34" t="str">
        <f aca="false">IF(T457="","",IFERROR(VLOOKUP(T457,REPS!$A$2:$D$40,2,0),""))</f>
        <v/>
      </c>
      <c r="V457" s="31" t="str">
        <f aca="false">IF(O457="","",IF(U457="",0,O457*IF(U457&gt;1,U457/100,U457)))</f>
        <v/>
      </c>
      <c r="W457" s="28"/>
      <c r="X457" s="34" t="str">
        <f aca="false">IF(W457="","",IFERROR(VLOOKUP(W457,REPS!$A$2:$D$40,3,0),""))</f>
        <v/>
      </c>
      <c r="Y457" s="31" t="str">
        <f aca="false">IF(O457="","",IF(X457="",0,O457*IF(X457&gt;1,X457/100,X457)))</f>
        <v/>
      </c>
      <c r="Z457" s="28"/>
      <c r="AA457" s="34" t="str">
        <f aca="false">IF(Z457="","",IFERROR(VLOOKUP(Z457,REPS!$A$2:$D$40,4,0),""))</f>
        <v/>
      </c>
      <c r="AB457" s="31" t="str">
        <f aca="false">IF(O457="","",IF(AA457="",0,O457*IF(AA457&gt;1,AA457/100,AA457)))</f>
        <v/>
      </c>
      <c r="AC457" s="31" t="str">
        <f aca="false">IF(O457="","",V457+Y457+AB457)</f>
        <v/>
      </c>
      <c r="AD457" s="19" t="str">
        <f aca="false">IF(O457="","",O457-R457-AC457)</f>
        <v/>
      </c>
      <c r="AE457" s="20"/>
      <c r="AF457" s="27"/>
      <c r="AG457" s="21" t="n">
        <f aca="false">IF(OR(AE457="",AE457=0),0,AE457*IF(U457="",0,IF(U457&gt;1,U457/100,U457)))</f>
        <v>0</v>
      </c>
      <c r="AH457" s="21" t="n">
        <f aca="false">IF(OR(AE457="",AE457=0),0,AE457*IF(X457="",0,IF(X457&gt;1,X457/100,X457)))</f>
        <v>0</v>
      </c>
      <c r="AI457" s="21" t="n">
        <f aca="false">IF(OR(AE457="",AE457=0),0,AE457*IF(AA457="",0,IF(AA457&gt;1,AA457/100,AA457)))</f>
        <v>0</v>
      </c>
      <c r="AJ457" s="21" t="n">
        <f aca="false">AG457+AH457+AI457</f>
        <v>0</v>
      </c>
      <c r="AK457" s="21" t="n">
        <f aca="false">IF(OR(AE457="",AE457=0),0,AE457-AJ457)</f>
        <v>0</v>
      </c>
      <c r="AL457" s="19" t="str">
        <f aca="false">IF(AD457="","",AD457-AK457)</f>
        <v/>
      </c>
      <c r="AM457" s="26" t="str">
        <f aca="false">IF(C457="","","Waiting for payment")</f>
        <v/>
      </c>
      <c r="AN457" s="27"/>
      <c r="AO457" s="27"/>
      <c r="AP457" s="35" t="str">
        <f aca="false">IF(OR(C457="",I457="",K457=""),"",IF(K457="Monthly",EDATE(C457,ROUND(I457*SETTINGS!$I$8,0)),WORKDAY(C457,ROUND(I457*SETTINGS!$I$8,0))))</f>
        <v/>
      </c>
      <c r="AQ457" s="26" t="str">
        <f aca="true">IF(C457="","",IF(AND(AP457&lt;&gt;"",TODAY()&gt;=AP457),"Refi Ready",IF(TODAY()-C457&gt;=SETTINGS!$I$11,"Prospecting","Performing")))</f>
        <v/>
      </c>
      <c r="AR457" s="35" t="str">
        <f aca="false">IF(OR(C457="",I457="",K457=""),"",IF(K457="Monthly",EDATE(C457,I457),WORKDAY(C457,I457)))</f>
        <v/>
      </c>
      <c r="AS457" s="28"/>
      <c r="AT457" s="36" t="str">
        <f aca="true">IF(C457="","",IF(AM457="Clawed Back","CLAWED",IF(TODAY()&lt;=C457+SETTINGS!$I$2,"⚠ AT RISK","SAFE")))</f>
        <v/>
      </c>
      <c r="AU457" s="28"/>
      <c r="AW457" s="24" t="n">
        <f aca="false">AW456+IF(AND(C457&lt;&gt;"",AO457&lt;&gt;"",OR('REP COMMISSION'!$B$3="",T457='REP COMMISSION'!$B$3,W457='REP COMMISSION'!$B$3,Z457='REP COMMISSION'!$B$3)),1,0)</f>
        <v>0</v>
      </c>
      <c r="AX457" s="24" t="n">
        <f aca="false">AX456+IF(AND(C457&lt;&gt;"",OR(F457="LOC - INITIAL",F457="CONSOLIDATION - UPFRONT COMM",F457="REVERSE - TOTAL FUNDING")),1,0)</f>
        <v>0</v>
      </c>
    </row>
    <row r="458" customFormat="false" ht="15" hidden="false" customHeight="false" outlineLevel="0" collapsed="false">
      <c r="A458" s="8" t="str">
        <f aca="false">IF(C458&lt;&gt;"","F"&amp;COUNT($C$4:C458),"")</f>
        <v/>
      </c>
      <c r="B458" s="9" t="str">
        <f aca="false">IF(OR(F458="LOC - INITIAL",F458="CONSOLIDATION - UPFRONT COMM",F458="REVERSE - TOTAL FUNDING"),A458,"")</f>
        <v/>
      </c>
      <c r="C458" s="10"/>
      <c r="D458" s="11"/>
      <c r="E458" s="11"/>
      <c r="F458" s="11"/>
      <c r="G458" s="12"/>
      <c r="H458" s="13"/>
      <c r="I458" s="11"/>
      <c r="J458" s="14" t="str">
        <f aca="false">IF(AND(G458&lt;&gt;"",H458&lt;&gt;""),G458*H458,"")</f>
        <v/>
      </c>
      <c r="K458" s="11"/>
      <c r="L458" s="15"/>
      <c r="M458" s="15"/>
      <c r="N458" s="14" t="n">
        <f aca="false">IF(OR(G458="",M458=""),0,IF(M458&gt;100,M458,G458*IF(M458&gt;1,M458/100,M458)))</f>
        <v>0</v>
      </c>
      <c r="O458" s="14" t="str">
        <f aca="false">IF(G458="","",G458*IF(L458="",0,IF(L458&gt;1,L458/100,L458))+N458)</f>
        <v/>
      </c>
      <c r="P458" s="11"/>
      <c r="Q458" s="16" t="str">
        <f aca="false">IF(P458="","",IFERROR(VLOOKUP(P458,PARTNERS!$A$2:$B$30,2,0),""))</f>
        <v/>
      </c>
      <c r="R458" s="17" t="str">
        <f aca="false">IF(O458="","",IF(OR(P458="",Q458=""),0,(O458-N458)*IF(Q458&gt;1,Q458/100,Q458)))</f>
        <v/>
      </c>
      <c r="S458" s="14" t="str">
        <f aca="false">IF(O458="","",O458-R458)</f>
        <v/>
      </c>
      <c r="T458" s="11"/>
      <c r="U458" s="18" t="str">
        <f aca="false">IF(T458="","",IFERROR(VLOOKUP(T458,REPS!$A$2:$D$40,2,0),""))</f>
        <v/>
      </c>
      <c r="V458" s="14" t="str">
        <f aca="false">IF(O458="","",IF(U458="",0,O458*IF(U458&gt;1,U458/100,U458)))</f>
        <v/>
      </c>
      <c r="W458" s="11"/>
      <c r="X458" s="18" t="str">
        <f aca="false">IF(W458="","",IFERROR(VLOOKUP(W458,REPS!$A$2:$D$40,3,0),""))</f>
        <v/>
      </c>
      <c r="Y458" s="14" t="str">
        <f aca="false">IF(O458="","",IF(X458="",0,O458*IF(X458&gt;1,X458/100,X458)))</f>
        <v/>
      </c>
      <c r="Z458" s="11"/>
      <c r="AA458" s="18" t="str">
        <f aca="false">IF(Z458="","",IFERROR(VLOOKUP(Z458,REPS!$A$2:$D$40,4,0),""))</f>
        <v/>
      </c>
      <c r="AB458" s="14" t="str">
        <f aca="false">IF(O458="","",IF(AA458="",0,O458*IF(AA458&gt;1,AA458/100,AA458)))</f>
        <v/>
      </c>
      <c r="AC458" s="14" t="str">
        <f aca="false">IF(O458="","",V458+Y458+AB458)</f>
        <v/>
      </c>
      <c r="AD458" s="19" t="str">
        <f aca="false">IF(O458="","",O458-R458-AC458)</f>
        <v/>
      </c>
      <c r="AE458" s="20"/>
      <c r="AF458" s="10"/>
      <c r="AG458" s="21" t="n">
        <f aca="false">IF(OR(AE458="",AE458=0),0,AE458*IF(U458="",0,IF(U458&gt;1,U458/100,U458)))</f>
        <v>0</v>
      </c>
      <c r="AH458" s="21" t="n">
        <f aca="false">IF(OR(AE458="",AE458=0),0,AE458*IF(X458="",0,IF(X458&gt;1,X458/100,X458)))</f>
        <v>0</v>
      </c>
      <c r="AI458" s="21" t="n">
        <f aca="false">IF(OR(AE458="",AE458=0),0,AE458*IF(AA458="",0,IF(AA458&gt;1,AA458/100,AA458)))</f>
        <v>0</v>
      </c>
      <c r="AJ458" s="21" t="n">
        <f aca="false">AG458+AH458+AI458</f>
        <v>0</v>
      </c>
      <c r="AK458" s="21" t="n">
        <f aca="false">IF(OR(AE458="",AE458=0),0,AE458-AJ458)</f>
        <v>0</v>
      </c>
      <c r="AL458" s="19" t="str">
        <f aca="false">IF(AD458="","",AD458-AK458)</f>
        <v/>
      </c>
      <c r="AM458" s="9" t="str">
        <f aca="false">IF(C458="","","Waiting for payment")</f>
        <v/>
      </c>
      <c r="AN458" s="10"/>
      <c r="AO458" s="10"/>
      <c r="AP458" s="22" t="str">
        <f aca="false">IF(OR(C458="",I458="",K458=""),"",IF(K458="Monthly",EDATE(C458,ROUND(I458*SETTINGS!$I$8,0)),WORKDAY(C458,ROUND(I458*SETTINGS!$I$8,0))))</f>
        <v/>
      </c>
      <c r="AQ458" s="9" t="str">
        <f aca="true">IF(C458="","",IF(AND(AP458&lt;&gt;"",TODAY()&gt;=AP458),"Refi Ready",IF(TODAY()-C458&gt;=SETTINGS!$I$11,"Prospecting","Performing")))</f>
        <v/>
      </c>
      <c r="AR458" s="22" t="str">
        <f aca="false">IF(OR(C458="",I458="",K458=""),"",IF(K458="Monthly",EDATE(C458,I458),WORKDAY(C458,I458)))</f>
        <v/>
      </c>
      <c r="AS458" s="11"/>
      <c r="AT458" s="23" t="str">
        <f aca="true">IF(C458="","",IF(AM458="Clawed Back","CLAWED",IF(TODAY()&lt;=C458+SETTINGS!$I$2,"⚠ AT RISK","SAFE")))</f>
        <v/>
      </c>
      <c r="AU458" s="11"/>
      <c r="AW458" s="24" t="n">
        <f aca="false">AW457+IF(AND(C458&lt;&gt;"",AO458&lt;&gt;"",OR('REP COMMISSION'!$B$3="",T458='REP COMMISSION'!$B$3,W458='REP COMMISSION'!$B$3,Z458='REP COMMISSION'!$B$3)),1,0)</f>
        <v>0</v>
      </c>
      <c r="AX458" s="24" t="n">
        <f aca="false">AX457+IF(AND(C458&lt;&gt;"",OR(F458="LOC - INITIAL",F458="CONSOLIDATION - UPFRONT COMM",F458="REVERSE - TOTAL FUNDING")),1,0)</f>
        <v>0</v>
      </c>
    </row>
    <row r="459" customFormat="false" ht="15" hidden="false" customHeight="false" outlineLevel="0" collapsed="false">
      <c r="A459" s="25" t="str">
        <f aca="false">IF(C459&lt;&gt;"","F"&amp;COUNT($C$4:C459),"")</f>
        <v/>
      </c>
      <c r="B459" s="26" t="str">
        <f aca="false">IF(OR(F459="LOC - INITIAL",F459="CONSOLIDATION - UPFRONT COMM",F459="REVERSE - TOTAL FUNDING"),A459,"")</f>
        <v/>
      </c>
      <c r="C459" s="27"/>
      <c r="D459" s="28"/>
      <c r="E459" s="28"/>
      <c r="F459" s="28"/>
      <c r="G459" s="29"/>
      <c r="H459" s="30"/>
      <c r="I459" s="28"/>
      <c r="J459" s="31" t="str">
        <f aca="false">IF(AND(G459&lt;&gt;"",H459&lt;&gt;""),G459*H459,"")</f>
        <v/>
      </c>
      <c r="K459" s="28"/>
      <c r="L459" s="32"/>
      <c r="M459" s="32"/>
      <c r="N459" s="31" t="n">
        <f aca="false">IF(OR(G459="",M459=""),0,IF(M459&gt;100,M459,G459*IF(M459&gt;1,M459/100,M459)))</f>
        <v>0</v>
      </c>
      <c r="O459" s="31" t="str">
        <f aca="false">IF(G459="","",G459*IF(L459="",0,IF(L459&gt;1,L459/100,L459))+N459)</f>
        <v/>
      </c>
      <c r="P459" s="28"/>
      <c r="Q459" s="33" t="str">
        <f aca="false">IF(P459="","",IFERROR(VLOOKUP(P459,PARTNERS!$A$2:$B$30,2,0),""))</f>
        <v/>
      </c>
      <c r="R459" s="17" t="str">
        <f aca="false">IF(O459="","",IF(OR(P459="",Q459=""),0,(O459-N459)*IF(Q459&gt;1,Q459/100,Q459)))</f>
        <v/>
      </c>
      <c r="S459" s="31" t="str">
        <f aca="false">IF(O459="","",O459-R459)</f>
        <v/>
      </c>
      <c r="T459" s="28"/>
      <c r="U459" s="34" t="str">
        <f aca="false">IF(T459="","",IFERROR(VLOOKUP(T459,REPS!$A$2:$D$40,2,0),""))</f>
        <v/>
      </c>
      <c r="V459" s="31" t="str">
        <f aca="false">IF(O459="","",IF(U459="",0,O459*IF(U459&gt;1,U459/100,U459)))</f>
        <v/>
      </c>
      <c r="W459" s="28"/>
      <c r="X459" s="34" t="str">
        <f aca="false">IF(W459="","",IFERROR(VLOOKUP(W459,REPS!$A$2:$D$40,3,0),""))</f>
        <v/>
      </c>
      <c r="Y459" s="31" t="str">
        <f aca="false">IF(O459="","",IF(X459="",0,O459*IF(X459&gt;1,X459/100,X459)))</f>
        <v/>
      </c>
      <c r="Z459" s="28"/>
      <c r="AA459" s="34" t="str">
        <f aca="false">IF(Z459="","",IFERROR(VLOOKUP(Z459,REPS!$A$2:$D$40,4,0),""))</f>
        <v/>
      </c>
      <c r="AB459" s="31" t="str">
        <f aca="false">IF(O459="","",IF(AA459="",0,O459*IF(AA459&gt;1,AA459/100,AA459)))</f>
        <v/>
      </c>
      <c r="AC459" s="31" t="str">
        <f aca="false">IF(O459="","",V459+Y459+AB459)</f>
        <v/>
      </c>
      <c r="AD459" s="19" t="str">
        <f aca="false">IF(O459="","",O459-R459-AC459)</f>
        <v/>
      </c>
      <c r="AE459" s="20"/>
      <c r="AF459" s="27"/>
      <c r="AG459" s="21" t="n">
        <f aca="false">IF(OR(AE459="",AE459=0),0,AE459*IF(U459="",0,IF(U459&gt;1,U459/100,U459)))</f>
        <v>0</v>
      </c>
      <c r="AH459" s="21" t="n">
        <f aca="false">IF(OR(AE459="",AE459=0),0,AE459*IF(X459="",0,IF(X459&gt;1,X459/100,X459)))</f>
        <v>0</v>
      </c>
      <c r="AI459" s="21" t="n">
        <f aca="false">IF(OR(AE459="",AE459=0),0,AE459*IF(AA459="",0,IF(AA459&gt;1,AA459/100,AA459)))</f>
        <v>0</v>
      </c>
      <c r="AJ459" s="21" t="n">
        <f aca="false">AG459+AH459+AI459</f>
        <v>0</v>
      </c>
      <c r="AK459" s="21" t="n">
        <f aca="false">IF(OR(AE459="",AE459=0),0,AE459-AJ459)</f>
        <v>0</v>
      </c>
      <c r="AL459" s="19" t="str">
        <f aca="false">IF(AD459="","",AD459-AK459)</f>
        <v/>
      </c>
      <c r="AM459" s="26" t="str">
        <f aca="false">IF(C459="","","Waiting for payment")</f>
        <v/>
      </c>
      <c r="AN459" s="27"/>
      <c r="AO459" s="27"/>
      <c r="AP459" s="35" t="str">
        <f aca="false">IF(OR(C459="",I459="",K459=""),"",IF(K459="Monthly",EDATE(C459,ROUND(I459*SETTINGS!$I$8,0)),WORKDAY(C459,ROUND(I459*SETTINGS!$I$8,0))))</f>
        <v/>
      </c>
      <c r="AQ459" s="26" t="str">
        <f aca="true">IF(C459="","",IF(AND(AP459&lt;&gt;"",TODAY()&gt;=AP459),"Refi Ready",IF(TODAY()-C459&gt;=SETTINGS!$I$11,"Prospecting","Performing")))</f>
        <v/>
      </c>
      <c r="AR459" s="35" t="str">
        <f aca="false">IF(OR(C459="",I459="",K459=""),"",IF(K459="Monthly",EDATE(C459,I459),WORKDAY(C459,I459)))</f>
        <v/>
      </c>
      <c r="AS459" s="28"/>
      <c r="AT459" s="36" t="str">
        <f aca="true">IF(C459="","",IF(AM459="Clawed Back","CLAWED",IF(TODAY()&lt;=C459+SETTINGS!$I$2,"⚠ AT RISK","SAFE")))</f>
        <v/>
      </c>
      <c r="AU459" s="28"/>
      <c r="AW459" s="24" t="n">
        <f aca="false">AW458+IF(AND(C459&lt;&gt;"",AO459&lt;&gt;"",OR('REP COMMISSION'!$B$3="",T459='REP COMMISSION'!$B$3,W459='REP COMMISSION'!$B$3,Z459='REP COMMISSION'!$B$3)),1,0)</f>
        <v>0</v>
      </c>
      <c r="AX459" s="24" t="n">
        <f aca="false">AX458+IF(AND(C459&lt;&gt;"",OR(F459="LOC - INITIAL",F459="CONSOLIDATION - UPFRONT COMM",F459="REVERSE - TOTAL FUNDING")),1,0)</f>
        <v>0</v>
      </c>
    </row>
    <row r="460" customFormat="false" ht="15" hidden="false" customHeight="false" outlineLevel="0" collapsed="false">
      <c r="A460" s="8" t="str">
        <f aca="false">IF(C460&lt;&gt;"","F"&amp;COUNT($C$4:C460),"")</f>
        <v/>
      </c>
      <c r="B460" s="9" t="str">
        <f aca="false">IF(OR(F460="LOC - INITIAL",F460="CONSOLIDATION - UPFRONT COMM",F460="REVERSE - TOTAL FUNDING"),A460,"")</f>
        <v/>
      </c>
      <c r="C460" s="10"/>
      <c r="D460" s="11"/>
      <c r="E460" s="11"/>
      <c r="F460" s="11"/>
      <c r="G460" s="12"/>
      <c r="H460" s="13"/>
      <c r="I460" s="11"/>
      <c r="J460" s="14" t="str">
        <f aca="false">IF(AND(G460&lt;&gt;"",H460&lt;&gt;""),G460*H460,"")</f>
        <v/>
      </c>
      <c r="K460" s="11"/>
      <c r="L460" s="15"/>
      <c r="M460" s="15"/>
      <c r="N460" s="14" t="n">
        <f aca="false">IF(OR(G460="",M460=""),0,IF(M460&gt;100,M460,G460*IF(M460&gt;1,M460/100,M460)))</f>
        <v>0</v>
      </c>
      <c r="O460" s="14" t="str">
        <f aca="false">IF(G460="","",G460*IF(L460="",0,IF(L460&gt;1,L460/100,L460))+N460)</f>
        <v/>
      </c>
      <c r="P460" s="11"/>
      <c r="Q460" s="16" t="str">
        <f aca="false">IF(P460="","",IFERROR(VLOOKUP(P460,PARTNERS!$A$2:$B$30,2,0),""))</f>
        <v/>
      </c>
      <c r="R460" s="17" t="str">
        <f aca="false">IF(O460="","",IF(OR(P460="",Q460=""),0,(O460-N460)*IF(Q460&gt;1,Q460/100,Q460)))</f>
        <v/>
      </c>
      <c r="S460" s="14" t="str">
        <f aca="false">IF(O460="","",O460-R460)</f>
        <v/>
      </c>
      <c r="T460" s="11"/>
      <c r="U460" s="18" t="str">
        <f aca="false">IF(T460="","",IFERROR(VLOOKUP(T460,REPS!$A$2:$D$40,2,0),""))</f>
        <v/>
      </c>
      <c r="V460" s="14" t="str">
        <f aca="false">IF(O460="","",IF(U460="",0,O460*IF(U460&gt;1,U460/100,U460)))</f>
        <v/>
      </c>
      <c r="W460" s="11"/>
      <c r="X460" s="18" t="str">
        <f aca="false">IF(W460="","",IFERROR(VLOOKUP(W460,REPS!$A$2:$D$40,3,0),""))</f>
        <v/>
      </c>
      <c r="Y460" s="14" t="str">
        <f aca="false">IF(O460="","",IF(X460="",0,O460*IF(X460&gt;1,X460/100,X460)))</f>
        <v/>
      </c>
      <c r="Z460" s="11"/>
      <c r="AA460" s="18" t="str">
        <f aca="false">IF(Z460="","",IFERROR(VLOOKUP(Z460,REPS!$A$2:$D$40,4,0),""))</f>
        <v/>
      </c>
      <c r="AB460" s="14" t="str">
        <f aca="false">IF(O460="","",IF(AA460="",0,O460*IF(AA460&gt;1,AA460/100,AA460)))</f>
        <v/>
      </c>
      <c r="AC460" s="14" t="str">
        <f aca="false">IF(O460="","",V460+Y460+AB460)</f>
        <v/>
      </c>
      <c r="AD460" s="19" t="str">
        <f aca="false">IF(O460="","",O460-R460-AC460)</f>
        <v/>
      </c>
      <c r="AE460" s="20"/>
      <c r="AF460" s="10"/>
      <c r="AG460" s="21" t="n">
        <f aca="false">IF(OR(AE460="",AE460=0),0,AE460*IF(U460="",0,IF(U460&gt;1,U460/100,U460)))</f>
        <v>0</v>
      </c>
      <c r="AH460" s="21" t="n">
        <f aca="false">IF(OR(AE460="",AE460=0),0,AE460*IF(X460="",0,IF(X460&gt;1,X460/100,X460)))</f>
        <v>0</v>
      </c>
      <c r="AI460" s="21" t="n">
        <f aca="false">IF(OR(AE460="",AE460=0),0,AE460*IF(AA460="",0,IF(AA460&gt;1,AA460/100,AA460)))</f>
        <v>0</v>
      </c>
      <c r="AJ460" s="21" t="n">
        <f aca="false">AG460+AH460+AI460</f>
        <v>0</v>
      </c>
      <c r="AK460" s="21" t="n">
        <f aca="false">IF(OR(AE460="",AE460=0),0,AE460-AJ460)</f>
        <v>0</v>
      </c>
      <c r="AL460" s="19" t="str">
        <f aca="false">IF(AD460="","",AD460-AK460)</f>
        <v/>
      </c>
      <c r="AM460" s="9" t="str">
        <f aca="false">IF(C460="","","Waiting for payment")</f>
        <v/>
      </c>
      <c r="AN460" s="10"/>
      <c r="AO460" s="10"/>
      <c r="AP460" s="22" t="str">
        <f aca="false">IF(OR(C460="",I460="",K460=""),"",IF(K460="Monthly",EDATE(C460,ROUND(I460*SETTINGS!$I$8,0)),WORKDAY(C460,ROUND(I460*SETTINGS!$I$8,0))))</f>
        <v/>
      </c>
      <c r="AQ460" s="9" t="str">
        <f aca="true">IF(C460="","",IF(AND(AP460&lt;&gt;"",TODAY()&gt;=AP460),"Refi Ready",IF(TODAY()-C460&gt;=SETTINGS!$I$11,"Prospecting","Performing")))</f>
        <v/>
      </c>
      <c r="AR460" s="22" t="str">
        <f aca="false">IF(OR(C460="",I460="",K460=""),"",IF(K460="Monthly",EDATE(C460,I460),WORKDAY(C460,I460)))</f>
        <v/>
      </c>
      <c r="AS460" s="11"/>
      <c r="AT460" s="23" t="str">
        <f aca="true">IF(C460="","",IF(AM460="Clawed Back","CLAWED",IF(TODAY()&lt;=C460+SETTINGS!$I$2,"⚠ AT RISK","SAFE")))</f>
        <v/>
      </c>
      <c r="AU460" s="11"/>
      <c r="AW460" s="24" t="n">
        <f aca="false">AW459+IF(AND(C460&lt;&gt;"",AO460&lt;&gt;"",OR('REP COMMISSION'!$B$3="",T460='REP COMMISSION'!$B$3,W460='REP COMMISSION'!$B$3,Z460='REP COMMISSION'!$B$3)),1,0)</f>
        <v>0</v>
      </c>
      <c r="AX460" s="24" t="n">
        <f aca="false">AX459+IF(AND(C460&lt;&gt;"",OR(F460="LOC - INITIAL",F460="CONSOLIDATION - UPFRONT COMM",F460="REVERSE - TOTAL FUNDING")),1,0)</f>
        <v>0</v>
      </c>
    </row>
    <row r="461" customFormat="false" ht="15" hidden="false" customHeight="false" outlineLevel="0" collapsed="false">
      <c r="A461" s="25" t="str">
        <f aca="false">IF(C461&lt;&gt;"","F"&amp;COUNT($C$4:C461),"")</f>
        <v/>
      </c>
      <c r="B461" s="26" t="str">
        <f aca="false">IF(OR(F461="LOC - INITIAL",F461="CONSOLIDATION - UPFRONT COMM",F461="REVERSE - TOTAL FUNDING"),A461,"")</f>
        <v/>
      </c>
      <c r="C461" s="27"/>
      <c r="D461" s="28"/>
      <c r="E461" s="28"/>
      <c r="F461" s="28"/>
      <c r="G461" s="29"/>
      <c r="H461" s="30"/>
      <c r="I461" s="28"/>
      <c r="J461" s="31" t="str">
        <f aca="false">IF(AND(G461&lt;&gt;"",H461&lt;&gt;""),G461*H461,"")</f>
        <v/>
      </c>
      <c r="K461" s="28"/>
      <c r="L461" s="32"/>
      <c r="M461" s="32"/>
      <c r="N461" s="31" t="n">
        <f aca="false">IF(OR(G461="",M461=""),0,IF(M461&gt;100,M461,G461*IF(M461&gt;1,M461/100,M461)))</f>
        <v>0</v>
      </c>
      <c r="O461" s="31" t="str">
        <f aca="false">IF(G461="","",G461*IF(L461="",0,IF(L461&gt;1,L461/100,L461))+N461)</f>
        <v/>
      </c>
      <c r="P461" s="28"/>
      <c r="Q461" s="33" t="str">
        <f aca="false">IF(P461="","",IFERROR(VLOOKUP(P461,PARTNERS!$A$2:$B$30,2,0),""))</f>
        <v/>
      </c>
      <c r="R461" s="17" t="str">
        <f aca="false">IF(O461="","",IF(OR(P461="",Q461=""),0,(O461-N461)*IF(Q461&gt;1,Q461/100,Q461)))</f>
        <v/>
      </c>
      <c r="S461" s="31" t="str">
        <f aca="false">IF(O461="","",O461-R461)</f>
        <v/>
      </c>
      <c r="T461" s="28"/>
      <c r="U461" s="34" t="str">
        <f aca="false">IF(T461="","",IFERROR(VLOOKUP(T461,REPS!$A$2:$D$40,2,0),""))</f>
        <v/>
      </c>
      <c r="V461" s="31" t="str">
        <f aca="false">IF(O461="","",IF(U461="",0,O461*IF(U461&gt;1,U461/100,U461)))</f>
        <v/>
      </c>
      <c r="W461" s="28"/>
      <c r="X461" s="34" t="str">
        <f aca="false">IF(W461="","",IFERROR(VLOOKUP(W461,REPS!$A$2:$D$40,3,0),""))</f>
        <v/>
      </c>
      <c r="Y461" s="31" t="str">
        <f aca="false">IF(O461="","",IF(X461="",0,O461*IF(X461&gt;1,X461/100,X461)))</f>
        <v/>
      </c>
      <c r="Z461" s="28"/>
      <c r="AA461" s="34" t="str">
        <f aca="false">IF(Z461="","",IFERROR(VLOOKUP(Z461,REPS!$A$2:$D$40,4,0),""))</f>
        <v/>
      </c>
      <c r="AB461" s="31" t="str">
        <f aca="false">IF(O461="","",IF(AA461="",0,O461*IF(AA461&gt;1,AA461/100,AA461)))</f>
        <v/>
      </c>
      <c r="AC461" s="31" t="str">
        <f aca="false">IF(O461="","",V461+Y461+AB461)</f>
        <v/>
      </c>
      <c r="AD461" s="19" t="str">
        <f aca="false">IF(O461="","",O461-R461-AC461)</f>
        <v/>
      </c>
      <c r="AE461" s="20"/>
      <c r="AF461" s="27"/>
      <c r="AG461" s="21" t="n">
        <f aca="false">IF(OR(AE461="",AE461=0),0,AE461*IF(U461="",0,IF(U461&gt;1,U461/100,U461)))</f>
        <v>0</v>
      </c>
      <c r="AH461" s="21" t="n">
        <f aca="false">IF(OR(AE461="",AE461=0),0,AE461*IF(X461="",0,IF(X461&gt;1,X461/100,X461)))</f>
        <v>0</v>
      </c>
      <c r="AI461" s="21" t="n">
        <f aca="false">IF(OR(AE461="",AE461=0),0,AE461*IF(AA461="",0,IF(AA461&gt;1,AA461/100,AA461)))</f>
        <v>0</v>
      </c>
      <c r="AJ461" s="21" t="n">
        <f aca="false">AG461+AH461+AI461</f>
        <v>0</v>
      </c>
      <c r="AK461" s="21" t="n">
        <f aca="false">IF(OR(AE461="",AE461=0),0,AE461-AJ461)</f>
        <v>0</v>
      </c>
      <c r="AL461" s="19" t="str">
        <f aca="false">IF(AD461="","",AD461-AK461)</f>
        <v/>
      </c>
      <c r="AM461" s="26" t="str">
        <f aca="false">IF(C461="","","Waiting for payment")</f>
        <v/>
      </c>
      <c r="AN461" s="27"/>
      <c r="AO461" s="27"/>
      <c r="AP461" s="35" t="str">
        <f aca="false">IF(OR(C461="",I461="",K461=""),"",IF(K461="Monthly",EDATE(C461,ROUND(I461*SETTINGS!$I$8,0)),WORKDAY(C461,ROUND(I461*SETTINGS!$I$8,0))))</f>
        <v/>
      </c>
      <c r="AQ461" s="26" t="str">
        <f aca="true">IF(C461="","",IF(AND(AP461&lt;&gt;"",TODAY()&gt;=AP461),"Refi Ready",IF(TODAY()-C461&gt;=SETTINGS!$I$11,"Prospecting","Performing")))</f>
        <v/>
      </c>
      <c r="AR461" s="35" t="str">
        <f aca="false">IF(OR(C461="",I461="",K461=""),"",IF(K461="Monthly",EDATE(C461,I461),WORKDAY(C461,I461)))</f>
        <v/>
      </c>
      <c r="AS461" s="28"/>
      <c r="AT461" s="36" t="str">
        <f aca="true">IF(C461="","",IF(AM461="Clawed Back","CLAWED",IF(TODAY()&lt;=C461+SETTINGS!$I$2,"⚠ AT RISK","SAFE")))</f>
        <v/>
      </c>
      <c r="AU461" s="28"/>
      <c r="AW461" s="24" t="n">
        <f aca="false">AW460+IF(AND(C461&lt;&gt;"",AO461&lt;&gt;"",OR('REP COMMISSION'!$B$3="",T461='REP COMMISSION'!$B$3,W461='REP COMMISSION'!$B$3,Z461='REP COMMISSION'!$B$3)),1,0)</f>
        <v>0</v>
      </c>
      <c r="AX461" s="24" t="n">
        <f aca="false">AX460+IF(AND(C461&lt;&gt;"",OR(F461="LOC - INITIAL",F461="CONSOLIDATION - UPFRONT COMM",F461="REVERSE - TOTAL FUNDING")),1,0)</f>
        <v>0</v>
      </c>
    </row>
    <row r="462" customFormat="false" ht="15" hidden="false" customHeight="false" outlineLevel="0" collapsed="false">
      <c r="A462" s="8" t="str">
        <f aca="false">IF(C462&lt;&gt;"","F"&amp;COUNT($C$4:C462),"")</f>
        <v/>
      </c>
      <c r="B462" s="9" t="str">
        <f aca="false">IF(OR(F462="LOC - INITIAL",F462="CONSOLIDATION - UPFRONT COMM",F462="REVERSE - TOTAL FUNDING"),A462,"")</f>
        <v/>
      </c>
      <c r="C462" s="10"/>
      <c r="D462" s="11"/>
      <c r="E462" s="11"/>
      <c r="F462" s="11"/>
      <c r="G462" s="12"/>
      <c r="H462" s="13"/>
      <c r="I462" s="11"/>
      <c r="J462" s="14" t="str">
        <f aca="false">IF(AND(G462&lt;&gt;"",H462&lt;&gt;""),G462*H462,"")</f>
        <v/>
      </c>
      <c r="K462" s="11"/>
      <c r="L462" s="15"/>
      <c r="M462" s="15"/>
      <c r="N462" s="14" t="n">
        <f aca="false">IF(OR(G462="",M462=""),0,IF(M462&gt;100,M462,G462*IF(M462&gt;1,M462/100,M462)))</f>
        <v>0</v>
      </c>
      <c r="O462" s="14" t="str">
        <f aca="false">IF(G462="","",G462*IF(L462="",0,IF(L462&gt;1,L462/100,L462))+N462)</f>
        <v/>
      </c>
      <c r="P462" s="11"/>
      <c r="Q462" s="16" t="str">
        <f aca="false">IF(P462="","",IFERROR(VLOOKUP(P462,PARTNERS!$A$2:$B$30,2,0),""))</f>
        <v/>
      </c>
      <c r="R462" s="17" t="str">
        <f aca="false">IF(O462="","",IF(OR(P462="",Q462=""),0,(O462-N462)*IF(Q462&gt;1,Q462/100,Q462)))</f>
        <v/>
      </c>
      <c r="S462" s="14" t="str">
        <f aca="false">IF(O462="","",O462-R462)</f>
        <v/>
      </c>
      <c r="T462" s="11"/>
      <c r="U462" s="18" t="str">
        <f aca="false">IF(T462="","",IFERROR(VLOOKUP(T462,REPS!$A$2:$D$40,2,0),""))</f>
        <v/>
      </c>
      <c r="V462" s="14" t="str">
        <f aca="false">IF(O462="","",IF(U462="",0,O462*IF(U462&gt;1,U462/100,U462)))</f>
        <v/>
      </c>
      <c r="W462" s="11"/>
      <c r="X462" s="18" t="str">
        <f aca="false">IF(W462="","",IFERROR(VLOOKUP(W462,REPS!$A$2:$D$40,3,0),""))</f>
        <v/>
      </c>
      <c r="Y462" s="14" t="str">
        <f aca="false">IF(O462="","",IF(X462="",0,O462*IF(X462&gt;1,X462/100,X462)))</f>
        <v/>
      </c>
      <c r="Z462" s="11"/>
      <c r="AA462" s="18" t="str">
        <f aca="false">IF(Z462="","",IFERROR(VLOOKUP(Z462,REPS!$A$2:$D$40,4,0),""))</f>
        <v/>
      </c>
      <c r="AB462" s="14" t="str">
        <f aca="false">IF(O462="","",IF(AA462="",0,O462*IF(AA462&gt;1,AA462/100,AA462)))</f>
        <v/>
      </c>
      <c r="AC462" s="14" t="str">
        <f aca="false">IF(O462="","",V462+Y462+AB462)</f>
        <v/>
      </c>
      <c r="AD462" s="19" t="str">
        <f aca="false">IF(O462="","",O462-R462-AC462)</f>
        <v/>
      </c>
      <c r="AE462" s="20"/>
      <c r="AF462" s="10"/>
      <c r="AG462" s="21" t="n">
        <f aca="false">IF(OR(AE462="",AE462=0),0,AE462*IF(U462="",0,IF(U462&gt;1,U462/100,U462)))</f>
        <v>0</v>
      </c>
      <c r="AH462" s="21" t="n">
        <f aca="false">IF(OR(AE462="",AE462=0),0,AE462*IF(X462="",0,IF(X462&gt;1,X462/100,X462)))</f>
        <v>0</v>
      </c>
      <c r="AI462" s="21" t="n">
        <f aca="false">IF(OR(AE462="",AE462=0),0,AE462*IF(AA462="",0,IF(AA462&gt;1,AA462/100,AA462)))</f>
        <v>0</v>
      </c>
      <c r="AJ462" s="21" t="n">
        <f aca="false">AG462+AH462+AI462</f>
        <v>0</v>
      </c>
      <c r="AK462" s="21" t="n">
        <f aca="false">IF(OR(AE462="",AE462=0),0,AE462-AJ462)</f>
        <v>0</v>
      </c>
      <c r="AL462" s="19" t="str">
        <f aca="false">IF(AD462="","",AD462-AK462)</f>
        <v/>
      </c>
      <c r="AM462" s="9" t="str">
        <f aca="false">IF(C462="","","Waiting for payment")</f>
        <v/>
      </c>
      <c r="AN462" s="10"/>
      <c r="AO462" s="10"/>
      <c r="AP462" s="22" t="str">
        <f aca="false">IF(OR(C462="",I462="",K462=""),"",IF(K462="Monthly",EDATE(C462,ROUND(I462*SETTINGS!$I$8,0)),WORKDAY(C462,ROUND(I462*SETTINGS!$I$8,0))))</f>
        <v/>
      </c>
      <c r="AQ462" s="9" t="str">
        <f aca="true">IF(C462="","",IF(AND(AP462&lt;&gt;"",TODAY()&gt;=AP462),"Refi Ready",IF(TODAY()-C462&gt;=SETTINGS!$I$11,"Prospecting","Performing")))</f>
        <v/>
      </c>
      <c r="AR462" s="22" t="str">
        <f aca="false">IF(OR(C462="",I462="",K462=""),"",IF(K462="Monthly",EDATE(C462,I462),WORKDAY(C462,I462)))</f>
        <v/>
      </c>
      <c r="AS462" s="11"/>
      <c r="AT462" s="23" t="str">
        <f aca="true">IF(C462="","",IF(AM462="Clawed Back","CLAWED",IF(TODAY()&lt;=C462+SETTINGS!$I$2,"⚠ AT RISK","SAFE")))</f>
        <v/>
      </c>
      <c r="AU462" s="11"/>
      <c r="AW462" s="24" t="n">
        <f aca="false">AW461+IF(AND(C462&lt;&gt;"",AO462&lt;&gt;"",OR('REP COMMISSION'!$B$3="",T462='REP COMMISSION'!$B$3,W462='REP COMMISSION'!$B$3,Z462='REP COMMISSION'!$B$3)),1,0)</f>
        <v>0</v>
      </c>
      <c r="AX462" s="24" t="n">
        <f aca="false">AX461+IF(AND(C462&lt;&gt;"",OR(F462="LOC - INITIAL",F462="CONSOLIDATION - UPFRONT COMM",F462="REVERSE - TOTAL FUNDING")),1,0)</f>
        <v>0</v>
      </c>
    </row>
    <row r="463" customFormat="false" ht="15" hidden="false" customHeight="false" outlineLevel="0" collapsed="false">
      <c r="A463" s="25" t="str">
        <f aca="false">IF(C463&lt;&gt;"","F"&amp;COUNT($C$4:C463),"")</f>
        <v/>
      </c>
      <c r="B463" s="26" t="str">
        <f aca="false">IF(OR(F463="LOC - INITIAL",F463="CONSOLIDATION - UPFRONT COMM",F463="REVERSE - TOTAL FUNDING"),A463,"")</f>
        <v/>
      </c>
      <c r="C463" s="27"/>
      <c r="D463" s="28"/>
      <c r="E463" s="28"/>
      <c r="F463" s="28"/>
      <c r="G463" s="29"/>
      <c r="H463" s="30"/>
      <c r="I463" s="28"/>
      <c r="J463" s="31" t="str">
        <f aca="false">IF(AND(G463&lt;&gt;"",H463&lt;&gt;""),G463*H463,"")</f>
        <v/>
      </c>
      <c r="K463" s="28"/>
      <c r="L463" s="32"/>
      <c r="M463" s="32"/>
      <c r="N463" s="31" t="n">
        <f aca="false">IF(OR(G463="",M463=""),0,IF(M463&gt;100,M463,G463*IF(M463&gt;1,M463/100,M463)))</f>
        <v>0</v>
      </c>
      <c r="O463" s="31" t="str">
        <f aca="false">IF(G463="","",G463*IF(L463="",0,IF(L463&gt;1,L463/100,L463))+N463)</f>
        <v/>
      </c>
      <c r="P463" s="28"/>
      <c r="Q463" s="33" t="str">
        <f aca="false">IF(P463="","",IFERROR(VLOOKUP(P463,PARTNERS!$A$2:$B$30,2,0),""))</f>
        <v/>
      </c>
      <c r="R463" s="17" t="str">
        <f aca="false">IF(O463="","",IF(OR(P463="",Q463=""),0,(O463-N463)*IF(Q463&gt;1,Q463/100,Q463)))</f>
        <v/>
      </c>
      <c r="S463" s="31" t="str">
        <f aca="false">IF(O463="","",O463-R463)</f>
        <v/>
      </c>
      <c r="T463" s="28"/>
      <c r="U463" s="34" t="str">
        <f aca="false">IF(T463="","",IFERROR(VLOOKUP(T463,REPS!$A$2:$D$40,2,0),""))</f>
        <v/>
      </c>
      <c r="V463" s="31" t="str">
        <f aca="false">IF(O463="","",IF(U463="",0,O463*IF(U463&gt;1,U463/100,U463)))</f>
        <v/>
      </c>
      <c r="W463" s="28"/>
      <c r="X463" s="34" t="str">
        <f aca="false">IF(W463="","",IFERROR(VLOOKUP(W463,REPS!$A$2:$D$40,3,0),""))</f>
        <v/>
      </c>
      <c r="Y463" s="31" t="str">
        <f aca="false">IF(O463="","",IF(X463="",0,O463*IF(X463&gt;1,X463/100,X463)))</f>
        <v/>
      </c>
      <c r="Z463" s="28"/>
      <c r="AA463" s="34" t="str">
        <f aca="false">IF(Z463="","",IFERROR(VLOOKUP(Z463,REPS!$A$2:$D$40,4,0),""))</f>
        <v/>
      </c>
      <c r="AB463" s="31" t="str">
        <f aca="false">IF(O463="","",IF(AA463="",0,O463*IF(AA463&gt;1,AA463/100,AA463)))</f>
        <v/>
      </c>
      <c r="AC463" s="31" t="str">
        <f aca="false">IF(O463="","",V463+Y463+AB463)</f>
        <v/>
      </c>
      <c r="AD463" s="19" t="str">
        <f aca="false">IF(O463="","",O463-R463-AC463)</f>
        <v/>
      </c>
      <c r="AE463" s="20"/>
      <c r="AF463" s="27"/>
      <c r="AG463" s="21" t="n">
        <f aca="false">IF(OR(AE463="",AE463=0),0,AE463*IF(U463="",0,IF(U463&gt;1,U463/100,U463)))</f>
        <v>0</v>
      </c>
      <c r="AH463" s="21" t="n">
        <f aca="false">IF(OR(AE463="",AE463=0),0,AE463*IF(X463="",0,IF(X463&gt;1,X463/100,X463)))</f>
        <v>0</v>
      </c>
      <c r="AI463" s="21" t="n">
        <f aca="false">IF(OR(AE463="",AE463=0),0,AE463*IF(AA463="",0,IF(AA463&gt;1,AA463/100,AA463)))</f>
        <v>0</v>
      </c>
      <c r="AJ463" s="21" t="n">
        <f aca="false">AG463+AH463+AI463</f>
        <v>0</v>
      </c>
      <c r="AK463" s="21" t="n">
        <f aca="false">IF(OR(AE463="",AE463=0),0,AE463-AJ463)</f>
        <v>0</v>
      </c>
      <c r="AL463" s="19" t="str">
        <f aca="false">IF(AD463="","",AD463-AK463)</f>
        <v/>
      </c>
      <c r="AM463" s="26" t="str">
        <f aca="false">IF(C463="","","Waiting for payment")</f>
        <v/>
      </c>
      <c r="AN463" s="27"/>
      <c r="AO463" s="27"/>
      <c r="AP463" s="35" t="str">
        <f aca="false">IF(OR(C463="",I463="",K463=""),"",IF(K463="Monthly",EDATE(C463,ROUND(I463*SETTINGS!$I$8,0)),WORKDAY(C463,ROUND(I463*SETTINGS!$I$8,0))))</f>
        <v/>
      </c>
      <c r="AQ463" s="26" t="str">
        <f aca="true">IF(C463="","",IF(AND(AP463&lt;&gt;"",TODAY()&gt;=AP463),"Refi Ready",IF(TODAY()-C463&gt;=SETTINGS!$I$11,"Prospecting","Performing")))</f>
        <v/>
      </c>
      <c r="AR463" s="35" t="str">
        <f aca="false">IF(OR(C463="",I463="",K463=""),"",IF(K463="Monthly",EDATE(C463,I463),WORKDAY(C463,I463)))</f>
        <v/>
      </c>
      <c r="AS463" s="28"/>
      <c r="AT463" s="36" t="str">
        <f aca="true">IF(C463="","",IF(AM463="Clawed Back","CLAWED",IF(TODAY()&lt;=C463+SETTINGS!$I$2,"⚠ AT RISK","SAFE")))</f>
        <v/>
      </c>
      <c r="AU463" s="28"/>
      <c r="AW463" s="24" t="n">
        <f aca="false">AW462+IF(AND(C463&lt;&gt;"",AO463&lt;&gt;"",OR('REP COMMISSION'!$B$3="",T463='REP COMMISSION'!$B$3,W463='REP COMMISSION'!$B$3,Z463='REP COMMISSION'!$B$3)),1,0)</f>
        <v>0</v>
      </c>
      <c r="AX463" s="24" t="n">
        <f aca="false">AX462+IF(AND(C463&lt;&gt;"",OR(F463="LOC - INITIAL",F463="CONSOLIDATION - UPFRONT COMM",F463="REVERSE - TOTAL FUNDING")),1,0)</f>
        <v>0</v>
      </c>
    </row>
    <row r="464" customFormat="false" ht="15" hidden="false" customHeight="false" outlineLevel="0" collapsed="false">
      <c r="A464" s="8" t="str">
        <f aca="false">IF(C464&lt;&gt;"","F"&amp;COUNT($C$4:C464),"")</f>
        <v/>
      </c>
      <c r="B464" s="9" t="str">
        <f aca="false">IF(OR(F464="LOC - INITIAL",F464="CONSOLIDATION - UPFRONT COMM",F464="REVERSE - TOTAL FUNDING"),A464,"")</f>
        <v/>
      </c>
      <c r="C464" s="10"/>
      <c r="D464" s="11"/>
      <c r="E464" s="11"/>
      <c r="F464" s="11"/>
      <c r="G464" s="12"/>
      <c r="H464" s="13"/>
      <c r="I464" s="11"/>
      <c r="J464" s="14" t="str">
        <f aca="false">IF(AND(G464&lt;&gt;"",H464&lt;&gt;""),G464*H464,"")</f>
        <v/>
      </c>
      <c r="K464" s="11"/>
      <c r="L464" s="15"/>
      <c r="M464" s="15"/>
      <c r="N464" s="14" t="n">
        <f aca="false">IF(OR(G464="",M464=""),0,IF(M464&gt;100,M464,G464*IF(M464&gt;1,M464/100,M464)))</f>
        <v>0</v>
      </c>
      <c r="O464" s="14" t="str">
        <f aca="false">IF(G464="","",G464*IF(L464="",0,IF(L464&gt;1,L464/100,L464))+N464)</f>
        <v/>
      </c>
      <c r="P464" s="11"/>
      <c r="Q464" s="16" t="str">
        <f aca="false">IF(P464="","",IFERROR(VLOOKUP(P464,PARTNERS!$A$2:$B$30,2,0),""))</f>
        <v/>
      </c>
      <c r="R464" s="17" t="str">
        <f aca="false">IF(O464="","",IF(OR(P464="",Q464=""),0,(O464-N464)*IF(Q464&gt;1,Q464/100,Q464)))</f>
        <v/>
      </c>
      <c r="S464" s="14" t="str">
        <f aca="false">IF(O464="","",O464-R464)</f>
        <v/>
      </c>
      <c r="T464" s="11"/>
      <c r="U464" s="18" t="str">
        <f aca="false">IF(T464="","",IFERROR(VLOOKUP(T464,REPS!$A$2:$D$40,2,0),""))</f>
        <v/>
      </c>
      <c r="V464" s="14" t="str">
        <f aca="false">IF(O464="","",IF(U464="",0,O464*IF(U464&gt;1,U464/100,U464)))</f>
        <v/>
      </c>
      <c r="W464" s="11"/>
      <c r="X464" s="18" t="str">
        <f aca="false">IF(W464="","",IFERROR(VLOOKUP(W464,REPS!$A$2:$D$40,3,0),""))</f>
        <v/>
      </c>
      <c r="Y464" s="14" t="str">
        <f aca="false">IF(O464="","",IF(X464="",0,O464*IF(X464&gt;1,X464/100,X464)))</f>
        <v/>
      </c>
      <c r="Z464" s="11"/>
      <c r="AA464" s="18" t="str">
        <f aca="false">IF(Z464="","",IFERROR(VLOOKUP(Z464,REPS!$A$2:$D$40,4,0),""))</f>
        <v/>
      </c>
      <c r="AB464" s="14" t="str">
        <f aca="false">IF(O464="","",IF(AA464="",0,O464*IF(AA464&gt;1,AA464/100,AA464)))</f>
        <v/>
      </c>
      <c r="AC464" s="14" t="str">
        <f aca="false">IF(O464="","",V464+Y464+AB464)</f>
        <v/>
      </c>
      <c r="AD464" s="19" t="str">
        <f aca="false">IF(O464="","",O464-R464-AC464)</f>
        <v/>
      </c>
      <c r="AE464" s="20"/>
      <c r="AF464" s="10"/>
      <c r="AG464" s="21" t="n">
        <f aca="false">IF(OR(AE464="",AE464=0),0,AE464*IF(U464="",0,IF(U464&gt;1,U464/100,U464)))</f>
        <v>0</v>
      </c>
      <c r="AH464" s="21" t="n">
        <f aca="false">IF(OR(AE464="",AE464=0),0,AE464*IF(X464="",0,IF(X464&gt;1,X464/100,X464)))</f>
        <v>0</v>
      </c>
      <c r="AI464" s="21" t="n">
        <f aca="false">IF(OR(AE464="",AE464=0),0,AE464*IF(AA464="",0,IF(AA464&gt;1,AA464/100,AA464)))</f>
        <v>0</v>
      </c>
      <c r="AJ464" s="21" t="n">
        <f aca="false">AG464+AH464+AI464</f>
        <v>0</v>
      </c>
      <c r="AK464" s="21" t="n">
        <f aca="false">IF(OR(AE464="",AE464=0),0,AE464-AJ464)</f>
        <v>0</v>
      </c>
      <c r="AL464" s="19" t="str">
        <f aca="false">IF(AD464="","",AD464-AK464)</f>
        <v/>
      </c>
      <c r="AM464" s="9" t="str">
        <f aca="false">IF(C464="","","Waiting for payment")</f>
        <v/>
      </c>
      <c r="AN464" s="10"/>
      <c r="AO464" s="10"/>
      <c r="AP464" s="22" t="str">
        <f aca="false">IF(OR(C464="",I464="",K464=""),"",IF(K464="Monthly",EDATE(C464,ROUND(I464*SETTINGS!$I$8,0)),WORKDAY(C464,ROUND(I464*SETTINGS!$I$8,0))))</f>
        <v/>
      </c>
      <c r="AQ464" s="9" t="str">
        <f aca="true">IF(C464="","",IF(AND(AP464&lt;&gt;"",TODAY()&gt;=AP464),"Refi Ready",IF(TODAY()-C464&gt;=SETTINGS!$I$11,"Prospecting","Performing")))</f>
        <v/>
      </c>
      <c r="AR464" s="22" t="str">
        <f aca="false">IF(OR(C464="",I464="",K464=""),"",IF(K464="Monthly",EDATE(C464,I464),WORKDAY(C464,I464)))</f>
        <v/>
      </c>
      <c r="AS464" s="11"/>
      <c r="AT464" s="23" t="str">
        <f aca="true">IF(C464="","",IF(AM464="Clawed Back","CLAWED",IF(TODAY()&lt;=C464+SETTINGS!$I$2,"⚠ AT RISK","SAFE")))</f>
        <v/>
      </c>
      <c r="AU464" s="11"/>
      <c r="AW464" s="24" t="n">
        <f aca="false">AW463+IF(AND(C464&lt;&gt;"",AO464&lt;&gt;"",OR('REP COMMISSION'!$B$3="",T464='REP COMMISSION'!$B$3,W464='REP COMMISSION'!$B$3,Z464='REP COMMISSION'!$B$3)),1,0)</f>
        <v>0</v>
      </c>
      <c r="AX464" s="24" t="n">
        <f aca="false">AX463+IF(AND(C464&lt;&gt;"",OR(F464="LOC - INITIAL",F464="CONSOLIDATION - UPFRONT COMM",F464="REVERSE - TOTAL FUNDING")),1,0)</f>
        <v>0</v>
      </c>
    </row>
    <row r="465" customFormat="false" ht="15" hidden="false" customHeight="false" outlineLevel="0" collapsed="false">
      <c r="A465" s="25" t="str">
        <f aca="false">IF(C465&lt;&gt;"","F"&amp;COUNT($C$4:C465),"")</f>
        <v/>
      </c>
      <c r="B465" s="26" t="str">
        <f aca="false">IF(OR(F465="LOC - INITIAL",F465="CONSOLIDATION - UPFRONT COMM",F465="REVERSE - TOTAL FUNDING"),A465,"")</f>
        <v/>
      </c>
      <c r="C465" s="27"/>
      <c r="D465" s="28"/>
      <c r="E465" s="28"/>
      <c r="F465" s="28"/>
      <c r="G465" s="29"/>
      <c r="H465" s="30"/>
      <c r="I465" s="28"/>
      <c r="J465" s="31" t="str">
        <f aca="false">IF(AND(G465&lt;&gt;"",H465&lt;&gt;""),G465*H465,"")</f>
        <v/>
      </c>
      <c r="K465" s="28"/>
      <c r="L465" s="32"/>
      <c r="M465" s="32"/>
      <c r="N465" s="31" t="n">
        <f aca="false">IF(OR(G465="",M465=""),0,IF(M465&gt;100,M465,G465*IF(M465&gt;1,M465/100,M465)))</f>
        <v>0</v>
      </c>
      <c r="O465" s="31" t="str">
        <f aca="false">IF(G465="","",G465*IF(L465="",0,IF(L465&gt;1,L465/100,L465))+N465)</f>
        <v/>
      </c>
      <c r="P465" s="28"/>
      <c r="Q465" s="33" t="str">
        <f aca="false">IF(P465="","",IFERROR(VLOOKUP(P465,PARTNERS!$A$2:$B$30,2,0),""))</f>
        <v/>
      </c>
      <c r="R465" s="17" t="str">
        <f aca="false">IF(O465="","",IF(OR(P465="",Q465=""),0,(O465-N465)*IF(Q465&gt;1,Q465/100,Q465)))</f>
        <v/>
      </c>
      <c r="S465" s="31" t="str">
        <f aca="false">IF(O465="","",O465-R465)</f>
        <v/>
      </c>
      <c r="T465" s="28"/>
      <c r="U465" s="34" t="str">
        <f aca="false">IF(T465="","",IFERROR(VLOOKUP(T465,REPS!$A$2:$D$40,2,0),""))</f>
        <v/>
      </c>
      <c r="V465" s="31" t="str">
        <f aca="false">IF(O465="","",IF(U465="",0,O465*IF(U465&gt;1,U465/100,U465)))</f>
        <v/>
      </c>
      <c r="W465" s="28"/>
      <c r="X465" s="34" t="str">
        <f aca="false">IF(W465="","",IFERROR(VLOOKUP(W465,REPS!$A$2:$D$40,3,0),""))</f>
        <v/>
      </c>
      <c r="Y465" s="31" t="str">
        <f aca="false">IF(O465="","",IF(X465="",0,O465*IF(X465&gt;1,X465/100,X465)))</f>
        <v/>
      </c>
      <c r="Z465" s="28"/>
      <c r="AA465" s="34" t="str">
        <f aca="false">IF(Z465="","",IFERROR(VLOOKUP(Z465,REPS!$A$2:$D$40,4,0),""))</f>
        <v/>
      </c>
      <c r="AB465" s="31" t="str">
        <f aca="false">IF(O465="","",IF(AA465="",0,O465*IF(AA465&gt;1,AA465/100,AA465)))</f>
        <v/>
      </c>
      <c r="AC465" s="31" t="str">
        <f aca="false">IF(O465="","",V465+Y465+AB465)</f>
        <v/>
      </c>
      <c r="AD465" s="19" t="str">
        <f aca="false">IF(O465="","",O465-R465-AC465)</f>
        <v/>
      </c>
      <c r="AE465" s="20"/>
      <c r="AF465" s="27"/>
      <c r="AG465" s="21" t="n">
        <f aca="false">IF(OR(AE465="",AE465=0),0,AE465*IF(U465="",0,IF(U465&gt;1,U465/100,U465)))</f>
        <v>0</v>
      </c>
      <c r="AH465" s="21" t="n">
        <f aca="false">IF(OR(AE465="",AE465=0),0,AE465*IF(X465="",0,IF(X465&gt;1,X465/100,X465)))</f>
        <v>0</v>
      </c>
      <c r="AI465" s="21" t="n">
        <f aca="false">IF(OR(AE465="",AE465=0),0,AE465*IF(AA465="",0,IF(AA465&gt;1,AA465/100,AA465)))</f>
        <v>0</v>
      </c>
      <c r="AJ465" s="21" t="n">
        <f aca="false">AG465+AH465+AI465</f>
        <v>0</v>
      </c>
      <c r="AK465" s="21" t="n">
        <f aca="false">IF(OR(AE465="",AE465=0),0,AE465-AJ465)</f>
        <v>0</v>
      </c>
      <c r="AL465" s="19" t="str">
        <f aca="false">IF(AD465="","",AD465-AK465)</f>
        <v/>
      </c>
      <c r="AM465" s="26" t="str">
        <f aca="false">IF(C465="","","Waiting for payment")</f>
        <v/>
      </c>
      <c r="AN465" s="27"/>
      <c r="AO465" s="27"/>
      <c r="AP465" s="35" t="str">
        <f aca="false">IF(OR(C465="",I465="",K465=""),"",IF(K465="Monthly",EDATE(C465,ROUND(I465*SETTINGS!$I$8,0)),WORKDAY(C465,ROUND(I465*SETTINGS!$I$8,0))))</f>
        <v/>
      </c>
      <c r="AQ465" s="26" t="str">
        <f aca="true">IF(C465="","",IF(AND(AP465&lt;&gt;"",TODAY()&gt;=AP465),"Refi Ready",IF(TODAY()-C465&gt;=SETTINGS!$I$11,"Prospecting","Performing")))</f>
        <v/>
      </c>
      <c r="AR465" s="35" t="str">
        <f aca="false">IF(OR(C465="",I465="",K465=""),"",IF(K465="Monthly",EDATE(C465,I465),WORKDAY(C465,I465)))</f>
        <v/>
      </c>
      <c r="AS465" s="28"/>
      <c r="AT465" s="36" t="str">
        <f aca="true">IF(C465="","",IF(AM465="Clawed Back","CLAWED",IF(TODAY()&lt;=C465+SETTINGS!$I$2,"⚠ AT RISK","SAFE")))</f>
        <v/>
      </c>
      <c r="AU465" s="28"/>
      <c r="AW465" s="24" t="n">
        <f aca="false">AW464+IF(AND(C465&lt;&gt;"",AO465&lt;&gt;"",OR('REP COMMISSION'!$B$3="",T465='REP COMMISSION'!$B$3,W465='REP COMMISSION'!$B$3,Z465='REP COMMISSION'!$B$3)),1,0)</f>
        <v>0</v>
      </c>
      <c r="AX465" s="24" t="n">
        <f aca="false">AX464+IF(AND(C465&lt;&gt;"",OR(F465="LOC - INITIAL",F465="CONSOLIDATION - UPFRONT COMM",F465="REVERSE - TOTAL FUNDING")),1,0)</f>
        <v>0</v>
      </c>
    </row>
    <row r="466" customFormat="false" ht="15" hidden="false" customHeight="false" outlineLevel="0" collapsed="false">
      <c r="A466" s="8" t="str">
        <f aca="false">IF(C466&lt;&gt;"","F"&amp;COUNT($C$4:C466),"")</f>
        <v/>
      </c>
      <c r="B466" s="9" t="str">
        <f aca="false">IF(OR(F466="LOC - INITIAL",F466="CONSOLIDATION - UPFRONT COMM",F466="REVERSE - TOTAL FUNDING"),A466,"")</f>
        <v/>
      </c>
      <c r="C466" s="10"/>
      <c r="D466" s="11"/>
      <c r="E466" s="11"/>
      <c r="F466" s="11"/>
      <c r="G466" s="12"/>
      <c r="H466" s="13"/>
      <c r="I466" s="11"/>
      <c r="J466" s="14" t="str">
        <f aca="false">IF(AND(G466&lt;&gt;"",H466&lt;&gt;""),G466*H466,"")</f>
        <v/>
      </c>
      <c r="K466" s="11"/>
      <c r="L466" s="15"/>
      <c r="M466" s="15"/>
      <c r="N466" s="14" t="n">
        <f aca="false">IF(OR(G466="",M466=""),0,IF(M466&gt;100,M466,G466*IF(M466&gt;1,M466/100,M466)))</f>
        <v>0</v>
      </c>
      <c r="O466" s="14" t="str">
        <f aca="false">IF(G466="","",G466*IF(L466="",0,IF(L466&gt;1,L466/100,L466))+N466)</f>
        <v/>
      </c>
      <c r="P466" s="11"/>
      <c r="Q466" s="16" t="str">
        <f aca="false">IF(P466="","",IFERROR(VLOOKUP(P466,PARTNERS!$A$2:$B$30,2,0),""))</f>
        <v/>
      </c>
      <c r="R466" s="17" t="str">
        <f aca="false">IF(O466="","",IF(OR(P466="",Q466=""),0,(O466-N466)*IF(Q466&gt;1,Q466/100,Q466)))</f>
        <v/>
      </c>
      <c r="S466" s="14" t="str">
        <f aca="false">IF(O466="","",O466-R466)</f>
        <v/>
      </c>
      <c r="T466" s="11"/>
      <c r="U466" s="18" t="str">
        <f aca="false">IF(T466="","",IFERROR(VLOOKUP(T466,REPS!$A$2:$D$40,2,0),""))</f>
        <v/>
      </c>
      <c r="V466" s="14" t="str">
        <f aca="false">IF(O466="","",IF(U466="",0,O466*IF(U466&gt;1,U466/100,U466)))</f>
        <v/>
      </c>
      <c r="W466" s="11"/>
      <c r="X466" s="18" t="str">
        <f aca="false">IF(W466="","",IFERROR(VLOOKUP(W466,REPS!$A$2:$D$40,3,0),""))</f>
        <v/>
      </c>
      <c r="Y466" s="14" t="str">
        <f aca="false">IF(O466="","",IF(X466="",0,O466*IF(X466&gt;1,X466/100,X466)))</f>
        <v/>
      </c>
      <c r="Z466" s="11"/>
      <c r="AA466" s="18" t="str">
        <f aca="false">IF(Z466="","",IFERROR(VLOOKUP(Z466,REPS!$A$2:$D$40,4,0),""))</f>
        <v/>
      </c>
      <c r="AB466" s="14" t="str">
        <f aca="false">IF(O466="","",IF(AA466="",0,O466*IF(AA466&gt;1,AA466/100,AA466)))</f>
        <v/>
      </c>
      <c r="AC466" s="14" t="str">
        <f aca="false">IF(O466="","",V466+Y466+AB466)</f>
        <v/>
      </c>
      <c r="AD466" s="19" t="str">
        <f aca="false">IF(O466="","",O466-R466-AC466)</f>
        <v/>
      </c>
      <c r="AE466" s="20"/>
      <c r="AF466" s="10"/>
      <c r="AG466" s="21" t="n">
        <f aca="false">IF(OR(AE466="",AE466=0),0,AE466*IF(U466="",0,IF(U466&gt;1,U466/100,U466)))</f>
        <v>0</v>
      </c>
      <c r="AH466" s="21" t="n">
        <f aca="false">IF(OR(AE466="",AE466=0),0,AE466*IF(X466="",0,IF(X466&gt;1,X466/100,X466)))</f>
        <v>0</v>
      </c>
      <c r="AI466" s="21" t="n">
        <f aca="false">IF(OR(AE466="",AE466=0),0,AE466*IF(AA466="",0,IF(AA466&gt;1,AA466/100,AA466)))</f>
        <v>0</v>
      </c>
      <c r="AJ466" s="21" t="n">
        <f aca="false">AG466+AH466+AI466</f>
        <v>0</v>
      </c>
      <c r="AK466" s="21" t="n">
        <f aca="false">IF(OR(AE466="",AE466=0),0,AE466-AJ466)</f>
        <v>0</v>
      </c>
      <c r="AL466" s="19" t="str">
        <f aca="false">IF(AD466="","",AD466-AK466)</f>
        <v/>
      </c>
      <c r="AM466" s="9" t="str">
        <f aca="false">IF(C466="","","Waiting for payment")</f>
        <v/>
      </c>
      <c r="AN466" s="10"/>
      <c r="AO466" s="10"/>
      <c r="AP466" s="22" t="str">
        <f aca="false">IF(OR(C466="",I466="",K466=""),"",IF(K466="Monthly",EDATE(C466,ROUND(I466*SETTINGS!$I$8,0)),WORKDAY(C466,ROUND(I466*SETTINGS!$I$8,0))))</f>
        <v/>
      </c>
      <c r="AQ466" s="9" t="str">
        <f aca="true">IF(C466="","",IF(AND(AP466&lt;&gt;"",TODAY()&gt;=AP466),"Refi Ready",IF(TODAY()-C466&gt;=SETTINGS!$I$11,"Prospecting","Performing")))</f>
        <v/>
      </c>
      <c r="AR466" s="22" t="str">
        <f aca="false">IF(OR(C466="",I466="",K466=""),"",IF(K466="Monthly",EDATE(C466,I466),WORKDAY(C466,I466)))</f>
        <v/>
      </c>
      <c r="AS466" s="11"/>
      <c r="AT466" s="23" t="str">
        <f aca="true">IF(C466="","",IF(AM466="Clawed Back","CLAWED",IF(TODAY()&lt;=C466+SETTINGS!$I$2,"⚠ AT RISK","SAFE")))</f>
        <v/>
      </c>
      <c r="AU466" s="11"/>
      <c r="AW466" s="24" t="n">
        <f aca="false">AW465+IF(AND(C466&lt;&gt;"",AO466&lt;&gt;"",OR('REP COMMISSION'!$B$3="",T466='REP COMMISSION'!$B$3,W466='REP COMMISSION'!$B$3,Z466='REP COMMISSION'!$B$3)),1,0)</f>
        <v>0</v>
      </c>
      <c r="AX466" s="24" t="n">
        <f aca="false">AX465+IF(AND(C466&lt;&gt;"",OR(F466="LOC - INITIAL",F466="CONSOLIDATION - UPFRONT COMM",F466="REVERSE - TOTAL FUNDING")),1,0)</f>
        <v>0</v>
      </c>
    </row>
    <row r="467" customFormat="false" ht="15" hidden="false" customHeight="false" outlineLevel="0" collapsed="false">
      <c r="A467" s="25" t="str">
        <f aca="false">IF(C467&lt;&gt;"","F"&amp;COUNT($C$4:C467),"")</f>
        <v/>
      </c>
      <c r="B467" s="26" t="str">
        <f aca="false">IF(OR(F467="LOC - INITIAL",F467="CONSOLIDATION - UPFRONT COMM",F467="REVERSE - TOTAL FUNDING"),A467,"")</f>
        <v/>
      </c>
      <c r="C467" s="27"/>
      <c r="D467" s="28"/>
      <c r="E467" s="28"/>
      <c r="F467" s="28"/>
      <c r="G467" s="29"/>
      <c r="H467" s="30"/>
      <c r="I467" s="28"/>
      <c r="J467" s="31" t="str">
        <f aca="false">IF(AND(G467&lt;&gt;"",H467&lt;&gt;""),G467*H467,"")</f>
        <v/>
      </c>
      <c r="K467" s="28"/>
      <c r="L467" s="32"/>
      <c r="M467" s="32"/>
      <c r="N467" s="31" t="n">
        <f aca="false">IF(OR(G467="",M467=""),0,IF(M467&gt;100,M467,G467*IF(M467&gt;1,M467/100,M467)))</f>
        <v>0</v>
      </c>
      <c r="O467" s="31" t="str">
        <f aca="false">IF(G467="","",G467*IF(L467="",0,IF(L467&gt;1,L467/100,L467))+N467)</f>
        <v/>
      </c>
      <c r="P467" s="28"/>
      <c r="Q467" s="33" t="str">
        <f aca="false">IF(P467="","",IFERROR(VLOOKUP(P467,PARTNERS!$A$2:$B$30,2,0),""))</f>
        <v/>
      </c>
      <c r="R467" s="17" t="str">
        <f aca="false">IF(O467="","",IF(OR(P467="",Q467=""),0,(O467-N467)*IF(Q467&gt;1,Q467/100,Q467)))</f>
        <v/>
      </c>
      <c r="S467" s="31" t="str">
        <f aca="false">IF(O467="","",O467-R467)</f>
        <v/>
      </c>
      <c r="T467" s="28"/>
      <c r="U467" s="34" t="str">
        <f aca="false">IF(T467="","",IFERROR(VLOOKUP(T467,REPS!$A$2:$D$40,2,0),""))</f>
        <v/>
      </c>
      <c r="V467" s="31" t="str">
        <f aca="false">IF(O467="","",IF(U467="",0,O467*IF(U467&gt;1,U467/100,U467)))</f>
        <v/>
      </c>
      <c r="W467" s="28"/>
      <c r="X467" s="34" t="str">
        <f aca="false">IF(W467="","",IFERROR(VLOOKUP(W467,REPS!$A$2:$D$40,3,0),""))</f>
        <v/>
      </c>
      <c r="Y467" s="31" t="str">
        <f aca="false">IF(O467="","",IF(X467="",0,O467*IF(X467&gt;1,X467/100,X467)))</f>
        <v/>
      </c>
      <c r="Z467" s="28"/>
      <c r="AA467" s="34" t="str">
        <f aca="false">IF(Z467="","",IFERROR(VLOOKUP(Z467,REPS!$A$2:$D$40,4,0),""))</f>
        <v/>
      </c>
      <c r="AB467" s="31" t="str">
        <f aca="false">IF(O467="","",IF(AA467="",0,O467*IF(AA467&gt;1,AA467/100,AA467)))</f>
        <v/>
      </c>
      <c r="AC467" s="31" t="str">
        <f aca="false">IF(O467="","",V467+Y467+AB467)</f>
        <v/>
      </c>
      <c r="AD467" s="19" t="str">
        <f aca="false">IF(O467="","",O467-R467-AC467)</f>
        <v/>
      </c>
      <c r="AE467" s="20"/>
      <c r="AF467" s="27"/>
      <c r="AG467" s="21" t="n">
        <f aca="false">IF(OR(AE467="",AE467=0),0,AE467*IF(U467="",0,IF(U467&gt;1,U467/100,U467)))</f>
        <v>0</v>
      </c>
      <c r="AH467" s="21" t="n">
        <f aca="false">IF(OR(AE467="",AE467=0),0,AE467*IF(X467="",0,IF(X467&gt;1,X467/100,X467)))</f>
        <v>0</v>
      </c>
      <c r="AI467" s="21" t="n">
        <f aca="false">IF(OR(AE467="",AE467=0),0,AE467*IF(AA467="",0,IF(AA467&gt;1,AA467/100,AA467)))</f>
        <v>0</v>
      </c>
      <c r="AJ467" s="21" t="n">
        <f aca="false">AG467+AH467+AI467</f>
        <v>0</v>
      </c>
      <c r="AK467" s="21" t="n">
        <f aca="false">IF(OR(AE467="",AE467=0),0,AE467-AJ467)</f>
        <v>0</v>
      </c>
      <c r="AL467" s="19" t="str">
        <f aca="false">IF(AD467="","",AD467-AK467)</f>
        <v/>
      </c>
      <c r="AM467" s="26" t="str">
        <f aca="false">IF(C467="","","Waiting for payment")</f>
        <v/>
      </c>
      <c r="AN467" s="27"/>
      <c r="AO467" s="27"/>
      <c r="AP467" s="35" t="str">
        <f aca="false">IF(OR(C467="",I467="",K467=""),"",IF(K467="Monthly",EDATE(C467,ROUND(I467*SETTINGS!$I$8,0)),WORKDAY(C467,ROUND(I467*SETTINGS!$I$8,0))))</f>
        <v/>
      </c>
      <c r="AQ467" s="26" t="str">
        <f aca="true">IF(C467="","",IF(AND(AP467&lt;&gt;"",TODAY()&gt;=AP467),"Refi Ready",IF(TODAY()-C467&gt;=SETTINGS!$I$11,"Prospecting","Performing")))</f>
        <v/>
      </c>
      <c r="AR467" s="35" t="str">
        <f aca="false">IF(OR(C467="",I467="",K467=""),"",IF(K467="Monthly",EDATE(C467,I467),WORKDAY(C467,I467)))</f>
        <v/>
      </c>
      <c r="AS467" s="28"/>
      <c r="AT467" s="36" t="str">
        <f aca="true">IF(C467="","",IF(AM467="Clawed Back","CLAWED",IF(TODAY()&lt;=C467+SETTINGS!$I$2,"⚠ AT RISK","SAFE")))</f>
        <v/>
      </c>
      <c r="AU467" s="28"/>
      <c r="AW467" s="24" t="n">
        <f aca="false">AW466+IF(AND(C467&lt;&gt;"",AO467&lt;&gt;"",OR('REP COMMISSION'!$B$3="",T467='REP COMMISSION'!$B$3,W467='REP COMMISSION'!$B$3,Z467='REP COMMISSION'!$B$3)),1,0)</f>
        <v>0</v>
      </c>
      <c r="AX467" s="24" t="n">
        <f aca="false">AX466+IF(AND(C467&lt;&gt;"",OR(F467="LOC - INITIAL",F467="CONSOLIDATION - UPFRONT COMM",F467="REVERSE - TOTAL FUNDING")),1,0)</f>
        <v>0</v>
      </c>
    </row>
    <row r="468" customFormat="false" ht="15" hidden="false" customHeight="false" outlineLevel="0" collapsed="false">
      <c r="A468" s="8" t="str">
        <f aca="false">IF(C468&lt;&gt;"","F"&amp;COUNT($C$4:C468),"")</f>
        <v/>
      </c>
      <c r="B468" s="9" t="str">
        <f aca="false">IF(OR(F468="LOC - INITIAL",F468="CONSOLIDATION - UPFRONT COMM",F468="REVERSE - TOTAL FUNDING"),A468,"")</f>
        <v/>
      </c>
      <c r="C468" s="10"/>
      <c r="D468" s="11"/>
      <c r="E468" s="11"/>
      <c r="F468" s="11"/>
      <c r="G468" s="12"/>
      <c r="H468" s="13"/>
      <c r="I468" s="11"/>
      <c r="J468" s="14" t="str">
        <f aca="false">IF(AND(G468&lt;&gt;"",H468&lt;&gt;""),G468*H468,"")</f>
        <v/>
      </c>
      <c r="K468" s="11"/>
      <c r="L468" s="15"/>
      <c r="M468" s="15"/>
      <c r="N468" s="14" t="n">
        <f aca="false">IF(OR(G468="",M468=""),0,IF(M468&gt;100,M468,G468*IF(M468&gt;1,M468/100,M468)))</f>
        <v>0</v>
      </c>
      <c r="O468" s="14" t="str">
        <f aca="false">IF(G468="","",G468*IF(L468="",0,IF(L468&gt;1,L468/100,L468))+N468)</f>
        <v/>
      </c>
      <c r="P468" s="11"/>
      <c r="Q468" s="16" t="str">
        <f aca="false">IF(P468="","",IFERROR(VLOOKUP(P468,PARTNERS!$A$2:$B$30,2,0),""))</f>
        <v/>
      </c>
      <c r="R468" s="17" t="str">
        <f aca="false">IF(O468="","",IF(OR(P468="",Q468=""),0,(O468-N468)*IF(Q468&gt;1,Q468/100,Q468)))</f>
        <v/>
      </c>
      <c r="S468" s="14" t="str">
        <f aca="false">IF(O468="","",O468-R468)</f>
        <v/>
      </c>
      <c r="T468" s="11"/>
      <c r="U468" s="18" t="str">
        <f aca="false">IF(T468="","",IFERROR(VLOOKUP(T468,REPS!$A$2:$D$40,2,0),""))</f>
        <v/>
      </c>
      <c r="V468" s="14" t="str">
        <f aca="false">IF(O468="","",IF(U468="",0,O468*IF(U468&gt;1,U468/100,U468)))</f>
        <v/>
      </c>
      <c r="W468" s="11"/>
      <c r="X468" s="18" t="str">
        <f aca="false">IF(W468="","",IFERROR(VLOOKUP(W468,REPS!$A$2:$D$40,3,0),""))</f>
        <v/>
      </c>
      <c r="Y468" s="14" t="str">
        <f aca="false">IF(O468="","",IF(X468="",0,O468*IF(X468&gt;1,X468/100,X468)))</f>
        <v/>
      </c>
      <c r="Z468" s="11"/>
      <c r="AA468" s="18" t="str">
        <f aca="false">IF(Z468="","",IFERROR(VLOOKUP(Z468,REPS!$A$2:$D$40,4,0),""))</f>
        <v/>
      </c>
      <c r="AB468" s="14" t="str">
        <f aca="false">IF(O468="","",IF(AA468="",0,O468*IF(AA468&gt;1,AA468/100,AA468)))</f>
        <v/>
      </c>
      <c r="AC468" s="14" t="str">
        <f aca="false">IF(O468="","",V468+Y468+AB468)</f>
        <v/>
      </c>
      <c r="AD468" s="19" t="str">
        <f aca="false">IF(O468="","",O468-R468-AC468)</f>
        <v/>
      </c>
      <c r="AE468" s="20"/>
      <c r="AF468" s="10"/>
      <c r="AG468" s="21" t="n">
        <f aca="false">IF(OR(AE468="",AE468=0),0,AE468*IF(U468="",0,IF(U468&gt;1,U468/100,U468)))</f>
        <v>0</v>
      </c>
      <c r="AH468" s="21" t="n">
        <f aca="false">IF(OR(AE468="",AE468=0),0,AE468*IF(X468="",0,IF(X468&gt;1,X468/100,X468)))</f>
        <v>0</v>
      </c>
      <c r="AI468" s="21" t="n">
        <f aca="false">IF(OR(AE468="",AE468=0),0,AE468*IF(AA468="",0,IF(AA468&gt;1,AA468/100,AA468)))</f>
        <v>0</v>
      </c>
      <c r="AJ468" s="21" t="n">
        <f aca="false">AG468+AH468+AI468</f>
        <v>0</v>
      </c>
      <c r="AK468" s="21" t="n">
        <f aca="false">IF(OR(AE468="",AE468=0),0,AE468-AJ468)</f>
        <v>0</v>
      </c>
      <c r="AL468" s="19" t="str">
        <f aca="false">IF(AD468="","",AD468-AK468)</f>
        <v/>
      </c>
      <c r="AM468" s="9" t="str">
        <f aca="false">IF(C468="","","Waiting for payment")</f>
        <v/>
      </c>
      <c r="AN468" s="10"/>
      <c r="AO468" s="10"/>
      <c r="AP468" s="22" t="str">
        <f aca="false">IF(OR(C468="",I468="",K468=""),"",IF(K468="Monthly",EDATE(C468,ROUND(I468*SETTINGS!$I$8,0)),WORKDAY(C468,ROUND(I468*SETTINGS!$I$8,0))))</f>
        <v/>
      </c>
      <c r="AQ468" s="9" t="str">
        <f aca="true">IF(C468="","",IF(AND(AP468&lt;&gt;"",TODAY()&gt;=AP468),"Refi Ready",IF(TODAY()-C468&gt;=SETTINGS!$I$11,"Prospecting","Performing")))</f>
        <v/>
      </c>
      <c r="AR468" s="22" t="str">
        <f aca="false">IF(OR(C468="",I468="",K468=""),"",IF(K468="Monthly",EDATE(C468,I468),WORKDAY(C468,I468)))</f>
        <v/>
      </c>
      <c r="AS468" s="11"/>
      <c r="AT468" s="23" t="str">
        <f aca="true">IF(C468="","",IF(AM468="Clawed Back","CLAWED",IF(TODAY()&lt;=C468+SETTINGS!$I$2,"⚠ AT RISK","SAFE")))</f>
        <v/>
      </c>
      <c r="AU468" s="11"/>
      <c r="AW468" s="24" t="n">
        <f aca="false">AW467+IF(AND(C468&lt;&gt;"",AO468&lt;&gt;"",OR('REP COMMISSION'!$B$3="",T468='REP COMMISSION'!$B$3,W468='REP COMMISSION'!$B$3,Z468='REP COMMISSION'!$B$3)),1,0)</f>
        <v>0</v>
      </c>
      <c r="AX468" s="24" t="n">
        <f aca="false">AX467+IF(AND(C468&lt;&gt;"",OR(F468="LOC - INITIAL",F468="CONSOLIDATION - UPFRONT COMM",F468="REVERSE - TOTAL FUNDING")),1,0)</f>
        <v>0</v>
      </c>
    </row>
    <row r="469" customFormat="false" ht="15" hidden="false" customHeight="false" outlineLevel="0" collapsed="false">
      <c r="A469" s="25" t="str">
        <f aca="false">IF(C469&lt;&gt;"","F"&amp;COUNT($C$4:C469),"")</f>
        <v/>
      </c>
      <c r="B469" s="26" t="str">
        <f aca="false">IF(OR(F469="LOC - INITIAL",F469="CONSOLIDATION - UPFRONT COMM",F469="REVERSE - TOTAL FUNDING"),A469,"")</f>
        <v/>
      </c>
      <c r="C469" s="27"/>
      <c r="D469" s="28"/>
      <c r="E469" s="28"/>
      <c r="F469" s="28"/>
      <c r="G469" s="29"/>
      <c r="H469" s="30"/>
      <c r="I469" s="28"/>
      <c r="J469" s="31" t="str">
        <f aca="false">IF(AND(G469&lt;&gt;"",H469&lt;&gt;""),G469*H469,"")</f>
        <v/>
      </c>
      <c r="K469" s="28"/>
      <c r="L469" s="32"/>
      <c r="M469" s="32"/>
      <c r="N469" s="31" t="n">
        <f aca="false">IF(OR(G469="",M469=""),0,IF(M469&gt;100,M469,G469*IF(M469&gt;1,M469/100,M469)))</f>
        <v>0</v>
      </c>
      <c r="O469" s="31" t="str">
        <f aca="false">IF(G469="","",G469*IF(L469="",0,IF(L469&gt;1,L469/100,L469))+N469)</f>
        <v/>
      </c>
      <c r="P469" s="28"/>
      <c r="Q469" s="33" t="str">
        <f aca="false">IF(P469="","",IFERROR(VLOOKUP(P469,PARTNERS!$A$2:$B$30,2,0),""))</f>
        <v/>
      </c>
      <c r="R469" s="17" t="str">
        <f aca="false">IF(O469="","",IF(OR(P469="",Q469=""),0,(O469-N469)*IF(Q469&gt;1,Q469/100,Q469)))</f>
        <v/>
      </c>
      <c r="S469" s="31" t="str">
        <f aca="false">IF(O469="","",O469-R469)</f>
        <v/>
      </c>
      <c r="T469" s="28"/>
      <c r="U469" s="34" t="str">
        <f aca="false">IF(T469="","",IFERROR(VLOOKUP(T469,REPS!$A$2:$D$40,2,0),""))</f>
        <v/>
      </c>
      <c r="V469" s="31" t="str">
        <f aca="false">IF(O469="","",IF(U469="",0,O469*IF(U469&gt;1,U469/100,U469)))</f>
        <v/>
      </c>
      <c r="W469" s="28"/>
      <c r="X469" s="34" t="str">
        <f aca="false">IF(W469="","",IFERROR(VLOOKUP(W469,REPS!$A$2:$D$40,3,0),""))</f>
        <v/>
      </c>
      <c r="Y469" s="31" t="str">
        <f aca="false">IF(O469="","",IF(X469="",0,O469*IF(X469&gt;1,X469/100,X469)))</f>
        <v/>
      </c>
      <c r="Z469" s="28"/>
      <c r="AA469" s="34" t="str">
        <f aca="false">IF(Z469="","",IFERROR(VLOOKUP(Z469,REPS!$A$2:$D$40,4,0),""))</f>
        <v/>
      </c>
      <c r="AB469" s="31" t="str">
        <f aca="false">IF(O469="","",IF(AA469="",0,O469*IF(AA469&gt;1,AA469/100,AA469)))</f>
        <v/>
      </c>
      <c r="AC469" s="31" t="str">
        <f aca="false">IF(O469="","",V469+Y469+AB469)</f>
        <v/>
      </c>
      <c r="AD469" s="19" t="str">
        <f aca="false">IF(O469="","",O469-R469-AC469)</f>
        <v/>
      </c>
      <c r="AE469" s="20"/>
      <c r="AF469" s="27"/>
      <c r="AG469" s="21" t="n">
        <f aca="false">IF(OR(AE469="",AE469=0),0,AE469*IF(U469="",0,IF(U469&gt;1,U469/100,U469)))</f>
        <v>0</v>
      </c>
      <c r="AH469" s="21" t="n">
        <f aca="false">IF(OR(AE469="",AE469=0),0,AE469*IF(X469="",0,IF(X469&gt;1,X469/100,X469)))</f>
        <v>0</v>
      </c>
      <c r="AI469" s="21" t="n">
        <f aca="false">IF(OR(AE469="",AE469=0),0,AE469*IF(AA469="",0,IF(AA469&gt;1,AA469/100,AA469)))</f>
        <v>0</v>
      </c>
      <c r="AJ469" s="21" t="n">
        <f aca="false">AG469+AH469+AI469</f>
        <v>0</v>
      </c>
      <c r="AK469" s="21" t="n">
        <f aca="false">IF(OR(AE469="",AE469=0),0,AE469-AJ469)</f>
        <v>0</v>
      </c>
      <c r="AL469" s="19" t="str">
        <f aca="false">IF(AD469="","",AD469-AK469)</f>
        <v/>
      </c>
      <c r="AM469" s="26" t="str">
        <f aca="false">IF(C469="","","Waiting for payment")</f>
        <v/>
      </c>
      <c r="AN469" s="27"/>
      <c r="AO469" s="27"/>
      <c r="AP469" s="35" t="str">
        <f aca="false">IF(OR(C469="",I469="",K469=""),"",IF(K469="Monthly",EDATE(C469,ROUND(I469*SETTINGS!$I$8,0)),WORKDAY(C469,ROUND(I469*SETTINGS!$I$8,0))))</f>
        <v/>
      </c>
      <c r="AQ469" s="26" t="str">
        <f aca="true">IF(C469="","",IF(AND(AP469&lt;&gt;"",TODAY()&gt;=AP469),"Refi Ready",IF(TODAY()-C469&gt;=SETTINGS!$I$11,"Prospecting","Performing")))</f>
        <v/>
      </c>
      <c r="AR469" s="35" t="str">
        <f aca="false">IF(OR(C469="",I469="",K469=""),"",IF(K469="Monthly",EDATE(C469,I469),WORKDAY(C469,I469)))</f>
        <v/>
      </c>
      <c r="AS469" s="28"/>
      <c r="AT469" s="36" t="str">
        <f aca="true">IF(C469="","",IF(AM469="Clawed Back","CLAWED",IF(TODAY()&lt;=C469+SETTINGS!$I$2,"⚠ AT RISK","SAFE")))</f>
        <v/>
      </c>
      <c r="AU469" s="28"/>
      <c r="AW469" s="24" t="n">
        <f aca="false">AW468+IF(AND(C469&lt;&gt;"",AO469&lt;&gt;"",OR('REP COMMISSION'!$B$3="",T469='REP COMMISSION'!$B$3,W469='REP COMMISSION'!$B$3,Z469='REP COMMISSION'!$B$3)),1,0)</f>
        <v>0</v>
      </c>
      <c r="AX469" s="24" t="n">
        <f aca="false">AX468+IF(AND(C469&lt;&gt;"",OR(F469="LOC - INITIAL",F469="CONSOLIDATION - UPFRONT COMM",F469="REVERSE - TOTAL FUNDING")),1,0)</f>
        <v>0</v>
      </c>
    </row>
    <row r="470" customFormat="false" ht="15" hidden="false" customHeight="false" outlineLevel="0" collapsed="false">
      <c r="A470" s="8" t="str">
        <f aca="false">IF(C470&lt;&gt;"","F"&amp;COUNT($C$4:C470),"")</f>
        <v/>
      </c>
      <c r="B470" s="9" t="str">
        <f aca="false">IF(OR(F470="LOC - INITIAL",F470="CONSOLIDATION - UPFRONT COMM",F470="REVERSE - TOTAL FUNDING"),A470,"")</f>
        <v/>
      </c>
      <c r="C470" s="10"/>
      <c r="D470" s="11"/>
      <c r="E470" s="11"/>
      <c r="F470" s="11"/>
      <c r="G470" s="12"/>
      <c r="H470" s="13"/>
      <c r="I470" s="11"/>
      <c r="J470" s="14" t="str">
        <f aca="false">IF(AND(G470&lt;&gt;"",H470&lt;&gt;""),G470*H470,"")</f>
        <v/>
      </c>
      <c r="K470" s="11"/>
      <c r="L470" s="15"/>
      <c r="M470" s="15"/>
      <c r="N470" s="14" t="n">
        <f aca="false">IF(OR(G470="",M470=""),0,IF(M470&gt;100,M470,G470*IF(M470&gt;1,M470/100,M470)))</f>
        <v>0</v>
      </c>
      <c r="O470" s="14" t="str">
        <f aca="false">IF(G470="","",G470*IF(L470="",0,IF(L470&gt;1,L470/100,L470))+N470)</f>
        <v/>
      </c>
      <c r="P470" s="11"/>
      <c r="Q470" s="16" t="str">
        <f aca="false">IF(P470="","",IFERROR(VLOOKUP(P470,PARTNERS!$A$2:$B$30,2,0),""))</f>
        <v/>
      </c>
      <c r="R470" s="17" t="str">
        <f aca="false">IF(O470="","",IF(OR(P470="",Q470=""),0,(O470-N470)*IF(Q470&gt;1,Q470/100,Q470)))</f>
        <v/>
      </c>
      <c r="S470" s="14" t="str">
        <f aca="false">IF(O470="","",O470-R470)</f>
        <v/>
      </c>
      <c r="T470" s="11"/>
      <c r="U470" s="18" t="str">
        <f aca="false">IF(T470="","",IFERROR(VLOOKUP(T470,REPS!$A$2:$D$40,2,0),""))</f>
        <v/>
      </c>
      <c r="V470" s="14" t="str">
        <f aca="false">IF(O470="","",IF(U470="",0,O470*IF(U470&gt;1,U470/100,U470)))</f>
        <v/>
      </c>
      <c r="W470" s="11"/>
      <c r="X470" s="18" t="str">
        <f aca="false">IF(W470="","",IFERROR(VLOOKUP(W470,REPS!$A$2:$D$40,3,0),""))</f>
        <v/>
      </c>
      <c r="Y470" s="14" t="str">
        <f aca="false">IF(O470="","",IF(X470="",0,O470*IF(X470&gt;1,X470/100,X470)))</f>
        <v/>
      </c>
      <c r="Z470" s="11"/>
      <c r="AA470" s="18" t="str">
        <f aca="false">IF(Z470="","",IFERROR(VLOOKUP(Z470,REPS!$A$2:$D$40,4,0),""))</f>
        <v/>
      </c>
      <c r="AB470" s="14" t="str">
        <f aca="false">IF(O470="","",IF(AA470="",0,O470*IF(AA470&gt;1,AA470/100,AA470)))</f>
        <v/>
      </c>
      <c r="AC470" s="14" t="str">
        <f aca="false">IF(O470="","",V470+Y470+AB470)</f>
        <v/>
      </c>
      <c r="AD470" s="19" t="str">
        <f aca="false">IF(O470="","",O470-R470-AC470)</f>
        <v/>
      </c>
      <c r="AE470" s="20"/>
      <c r="AF470" s="10"/>
      <c r="AG470" s="21" t="n">
        <f aca="false">IF(OR(AE470="",AE470=0),0,AE470*IF(U470="",0,IF(U470&gt;1,U470/100,U470)))</f>
        <v>0</v>
      </c>
      <c r="AH470" s="21" t="n">
        <f aca="false">IF(OR(AE470="",AE470=0),0,AE470*IF(X470="",0,IF(X470&gt;1,X470/100,X470)))</f>
        <v>0</v>
      </c>
      <c r="AI470" s="21" t="n">
        <f aca="false">IF(OR(AE470="",AE470=0),0,AE470*IF(AA470="",0,IF(AA470&gt;1,AA470/100,AA470)))</f>
        <v>0</v>
      </c>
      <c r="AJ470" s="21" t="n">
        <f aca="false">AG470+AH470+AI470</f>
        <v>0</v>
      </c>
      <c r="AK470" s="21" t="n">
        <f aca="false">IF(OR(AE470="",AE470=0),0,AE470-AJ470)</f>
        <v>0</v>
      </c>
      <c r="AL470" s="19" t="str">
        <f aca="false">IF(AD470="","",AD470-AK470)</f>
        <v/>
      </c>
      <c r="AM470" s="9" t="str">
        <f aca="false">IF(C470="","","Waiting for payment")</f>
        <v/>
      </c>
      <c r="AN470" s="10"/>
      <c r="AO470" s="10"/>
      <c r="AP470" s="22" t="str">
        <f aca="false">IF(OR(C470="",I470="",K470=""),"",IF(K470="Monthly",EDATE(C470,ROUND(I470*SETTINGS!$I$8,0)),WORKDAY(C470,ROUND(I470*SETTINGS!$I$8,0))))</f>
        <v/>
      </c>
      <c r="AQ470" s="9" t="str">
        <f aca="true">IF(C470="","",IF(AND(AP470&lt;&gt;"",TODAY()&gt;=AP470),"Refi Ready",IF(TODAY()-C470&gt;=SETTINGS!$I$11,"Prospecting","Performing")))</f>
        <v/>
      </c>
      <c r="AR470" s="22" t="str">
        <f aca="false">IF(OR(C470="",I470="",K470=""),"",IF(K470="Monthly",EDATE(C470,I470),WORKDAY(C470,I470)))</f>
        <v/>
      </c>
      <c r="AS470" s="11"/>
      <c r="AT470" s="23" t="str">
        <f aca="true">IF(C470="","",IF(AM470="Clawed Back","CLAWED",IF(TODAY()&lt;=C470+SETTINGS!$I$2,"⚠ AT RISK","SAFE")))</f>
        <v/>
      </c>
      <c r="AU470" s="11"/>
      <c r="AW470" s="24" t="n">
        <f aca="false">AW469+IF(AND(C470&lt;&gt;"",AO470&lt;&gt;"",OR('REP COMMISSION'!$B$3="",T470='REP COMMISSION'!$B$3,W470='REP COMMISSION'!$B$3,Z470='REP COMMISSION'!$B$3)),1,0)</f>
        <v>0</v>
      </c>
      <c r="AX470" s="24" t="n">
        <f aca="false">AX469+IF(AND(C470&lt;&gt;"",OR(F470="LOC - INITIAL",F470="CONSOLIDATION - UPFRONT COMM",F470="REVERSE - TOTAL FUNDING")),1,0)</f>
        <v>0</v>
      </c>
    </row>
    <row r="471" customFormat="false" ht="15" hidden="false" customHeight="false" outlineLevel="0" collapsed="false">
      <c r="A471" s="25" t="str">
        <f aca="false">IF(C471&lt;&gt;"","F"&amp;COUNT($C$4:C471),"")</f>
        <v/>
      </c>
      <c r="B471" s="26" t="str">
        <f aca="false">IF(OR(F471="LOC - INITIAL",F471="CONSOLIDATION - UPFRONT COMM",F471="REVERSE - TOTAL FUNDING"),A471,"")</f>
        <v/>
      </c>
      <c r="C471" s="27"/>
      <c r="D471" s="28"/>
      <c r="E471" s="28"/>
      <c r="F471" s="28"/>
      <c r="G471" s="29"/>
      <c r="H471" s="30"/>
      <c r="I471" s="28"/>
      <c r="J471" s="31" t="str">
        <f aca="false">IF(AND(G471&lt;&gt;"",H471&lt;&gt;""),G471*H471,"")</f>
        <v/>
      </c>
      <c r="K471" s="28"/>
      <c r="L471" s="32"/>
      <c r="M471" s="32"/>
      <c r="N471" s="31" t="n">
        <f aca="false">IF(OR(G471="",M471=""),0,IF(M471&gt;100,M471,G471*IF(M471&gt;1,M471/100,M471)))</f>
        <v>0</v>
      </c>
      <c r="O471" s="31" t="str">
        <f aca="false">IF(G471="","",G471*IF(L471="",0,IF(L471&gt;1,L471/100,L471))+N471)</f>
        <v/>
      </c>
      <c r="P471" s="28"/>
      <c r="Q471" s="33" t="str">
        <f aca="false">IF(P471="","",IFERROR(VLOOKUP(P471,PARTNERS!$A$2:$B$30,2,0),""))</f>
        <v/>
      </c>
      <c r="R471" s="17" t="str">
        <f aca="false">IF(O471="","",IF(OR(P471="",Q471=""),0,(O471-N471)*IF(Q471&gt;1,Q471/100,Q471)))</f>
        <v/>
      </c>
      <c r="S471" s="31" t="str">
        <f aca="false">IF(O471="","",O471-R471)</f>
        <v/>
      </c>
      <c r="T471" s="28"/>
      <c r="U471" s="34" t="str">
        <f aca="false">IF(T471="","",IFERROR(VLOOKUP(T471,REPS!$A$2:$D$40,2,0),""))</f>
        <v/>
      </c>
      <c r="V471" s="31" t="str">
        <f aca="false">IF(O471="","",IF(U471="",0,O471*IF(U471&gt;1,U471/100,U471)))</f>
        <v/>
      </c>
      <c r="W471" s="28"/>
      <c r="X471" s="34" t="str">
        <f aca="false">IF(W471="","",IFERROR(VLOOKUP(W471,REPS!$A$2:$D$40,3,0),""))</f>
        <v/>
      </c>
      <c r="Y471" s="31" t="str">
        <f aca="false">IF(O471="","",IF(X471="",0,O471*IF(X471&gt;1,X471/100,X471)))</f>
        <v/>
      </c>
      <c r="Z471" s="28"/>
      <c r="AA471" s="34" t="str">
        <f aca="false">IF(Z471="","",IFERROR(VLOOKUP(Z471,REPS!$A$2:$D$40,4,0),""))</f>
        <v/>
      </c>
      <c r="AB471" s="31" t="str">
        <f aca="false">IF(O471="","",IF(AA471="",0,O471*IF(AA471&gt;1,AA471/100,AA471)))</f>
        <v/>
      </c>
      <c r="AC471" s="31" t="str">
        <f aca="false">IF(O471="","",V471+Y471+AB471)</f>
        <v/>
      </c>
      <c r="AD471" s="19" t="str">
        <f aca="false">IF(O471="","",O471-R471-AC471)</f>
        <v/>
      </c>
      <c r="AE471" s="20"/>
      <c r="AF471" s="27"/>
      <c r="AG471" s="21" t="n">
        <f aca="false">IF(OR(AE471="",AE471=0),0,AE471*IF(U471="",0,IF(U471&gt;1,U471/100,U471)))</f>
        <v>0</v>
      </c>
      <c r="AH471" s="21" t="n">
        <f aca="false">IF(OR(AE471="",AE471=0),0,AE471*IF(X471="",0,IF(X471&gt;1,X471/100,X471)))</f>
        <v>0</v>
      </c>
      <c r="AI471" s="21" t="n">
        <f aca="false">IF(OR(AE471="",AE471=0),0,AE471*IF(AA471="",0,IF(AA471&gt;1,AA471/100,AA471)))</f>
        <v>0</v>
      </c>
      <c r="AJ471" s="21" t="n">
        <f aca="false">AG471+AH471+AI471</f>
        <v>0</v>
      </c>
      <c r="AK471" s="21" t="n">
        <f aca="false">IF(OR(AE471="",AE471=0),0,AE471-AJ471)</f>
        <v>0</v>
      </c>
      <c r="AL471" s="19" t="str">
        <f aca="false">IF(AD471="","",AD471-AK471)</f>
        <v/>
      </c>
      <c r="AM471" s="26" t="str">
        <f aca="false">IF(C471="","","Waiting for payment")</f>
        <v/>
      </c>
      <c r="AN471" s="27"/>
      <c r="AO471" s="27"/>
      <c r="AP471" s="35" t="str">
        <f aca="false">IF(OR(C471="",I471="",K471=""),"",IF(K471="Monthly",EDATE(C471,ROUND(I471*SETTINGS!$I$8,0)),WORKDAY(C471,ROUND(I471*SETTINGS!$I$8,0))))</f>
        <v/>
      </c>
      <c r="AQ471" s="26" t="str">
        <f aca="true">IF(C471="","",IF(AND(AP471&lt;&gt;"",TODAY()&gt;=AP471),"Refi Ready",IF(TODAY()-C471&gt;=SETTINGS!$I$11,"Prospecting","Performing")))</f>
        <v/>
      </c>
      <c r="AR471" s="35" t="str">
        <f aca="false">IF(OR(C471="",I471="",K471=""),"",IF(K471="Monthly",EDATE(C471,I471),WORKDAY(C471,I471)))</f>
        <v/>
      </c>
      <c r="AS471" s="28"/>
      <c r="AT471" s="36" t="str">
        <f aca="true">IF(C471="","",IF(AM471="Clawed Back","CLAWED",IF(TODAY()&lt;=C471+SETTINGS!$I$2,"⚠ AT RISK","SAFE")))</f>
        <v/>
      </c>
      <c r="AU471" s="28"/>
      <c r="AW471" s="24" t="n">
        <f aca="false">AW470+IF(AND(C471&lt;&gt;"",AO471&lt;&gt;"",OR('REP COMMISSION'!$B$3="",T471='REP COMMISSION'!$B$3,W471='REP COMMISSION'!$B$3,Z471='REP COMMISSION'!$B$3)),1,0)</f>
        <v>0</v>
      </c>
      <c r="AX471" s="24" t="n">
        <f aca="false">AX470+IF(AND(C471&lt;&gt;"",OR(F471="LOC - INITIAL",F471="CONSOLIDATION - UPFRONT COMM",F471="REVERSE - TOTAL FUNDING")),1,0)</f>
        <v>0</v>
      </c>
    </row>
    <row r="472" customFormat="false" ht="15" hidden="false" customHeight="false" outlineLevel="0" collapsed="false">
      <c r="A472" s="8" t="str">
        <f aca="false">IF(C472&lt;&gt;"","F"&amp;COUNT($C$4:C472),"")</f>
        <v/>
      </c>
      <c r="B472" s="9" t="str">
        <f aca="false">IF(OR(F472="LOC - INITIAL",F472="CONSOLIDATION - UPFRONT COMM",F472="REVERSE - TOTAL FUNDING"),A472,"")</f>
        <v/>
      </c>
      <c r="C472" s="10"/>
      <c r="D472" s="11"/>
      <c r="E472" s="11"/>
      <c r="F472" s="11"/>
      <c r="G472" s="12"/>
      <c r="H472" s="13"/>
      <c r="I472" s="11"/>
      <c r="J472" s="14" t="str">
        <f aca="false">IF(AND(G472&lt;&gt;"",H472&lt;&gt;""),G472*H472,"")</f>
        <v/>
      </c>
      <c r="K472" s="11"/>
      <c r="L472" s="15"/>
      <c r="M472" s="15"/>
      <c r="N472" s="14" t="n">
        <f aca="false">IF(OR(G472="",M472=""),0,IF(M472&gt;100,M472,G472*IF(M472&gt;1,M472/100,M472)))</f>
        <v>0</v>
      </c>
      <c r="O472" s="14" t="str">
        <f aca="false">IF(G472="","",G472*IF(L472="",0,IF(L472&gt;1,L472/100,L472))+N472)</f>
        <v/>
      </c>
      <c r="P472" s="11"/>
      <c r="Q472" s="16" t="str">
        <f aca="false">IF(P472="","",IFERROR(VLOOKUP(P472,PARTNERS!$A$2:$B$30,2,0),""))</f>
        <v/>
      </c>
      <c r="R472" s="17" t="str">
        <f aca="false">IF(O472="","",IF(OR(P472="",Q472=""),0,(O472-N472)*IF(Q472&gt;1,Q472/100,Q472)))</f>
        <v/>
      </c>
      <c r="S472" s="14" t="str">
        <f aca="false">IF(O472="","",O472-R472)</f>
        <v/>
      </c>
      <c r="T472" s="11"/>
      <c r="U472" s="18" t="str">
        <f aca="false">IF(T472="","",IFERROR(VLOOKUP(T472,REPS!$A$2:$D$40,2,0),""))</f>
        <v/>
      </c>
      <c r="V472" s="14" t="str">
        <f aca="false">IF(O472="","",IF(U472="",0,O472*IF(U472&gt;1,U472/100,U472)))</f>
        <v/>
      </c>
      <c r="W472" s="11"/>
      <c r="X472" s="18" t="str">
        <f aca="false">IF(W472="","",IFERROR(VLOOKUP(W472,REPS!$A$2:$D$40,3,0),""))</f>
        <v/>
      </c>
      <c r="Y472" s="14" t="str">
        <f aca="false">IF(O472="","",IF(X472="",0,O472*IF(X472&gt;1,X472/100,X472)))</f>
        <v/>
      </c>
      <c r="Z472" s="11"/>
      <c r="AA472" s="18" t="str">
        <f aca="false">IF(Z472="","",IFERROR(VLOOKUP(Z472,REPS!$A$2:$D$40,4,0),""))</f>
        <v/>
      </c>
      <c r="AB472" s="14" t="str">
        <f aca="false">IF(O472="","",IF(AA472="",0,O472*IF(AA472&gt;1,AA472/100,AA472)))</f>
        <v/>
      </c>
      <c r="AC472" s="14" t="str">
        <f aca="false">IF(O472="","",V472+Y472+AB472)</f>
        <v/>
      </c>
      <c r="AD472" s="19" t="str">
        <f aca="false">IF(O472="","",O472-R472-AC472)</f>
        <v/>
      </c>
      <c r="AE472" s="20"/>
      <c r="AF472" s="10"/>
      <c r="AG472" s="21" t="n">
        <f aca="false">IF(OR(AE472="",AE472=0),0,AE472*IF(U472="",0,IF(U472&gt;1,U472/100,U472)))</f>
        <v>0</v>
      </c>
      <c r="AH472" s="21" t="n">
        <f aca="false">IF(OR(AE472="",AE472=0),0,AE472*IF(X472="",0,IF(X472&gt;1,X472/100,X472)))</f>
        <v>0</v>
      </c>
      <c r="AI472" s="21" t="n">
        <f aca="false">IF(OR(AE472="",AE472=0),0,AE472*IF(AA472="",0,IF(AA472&gt;1,AA472/100,AA472)))</f>
        <v>0</v>
      </c>
      <c r="AJ472" s="21" t="n">
        <f aca="false">AG472+AH472+AI472</f>
        <v>0</v>
      </c>
      <c r="AK472" s="21" t="n">
        <f aca="false">IF(OR(AE472="",AE472=0),0,AE472-AJ472)</f>
        <v>0</v>
      </c>
      <c r="AL472" s="19" t="str">
        <f aca="false">IF(AD472="","",AD472-AK472)</f>
        <v/>
      </c>
      <c r="AM472" s="9" t="str">
        <f aca="false">IF(C472="","","Waiting for payment")</f>
        <v/>
      </c>
      <c r="AN472" s="10"/>
      <c r="AO472" s="10"/>
      <c r="AP472" s="22" t="str">
        <f aca="false">IF(OR(C472="",I472="",K472=""),"",IF(K472="Monthly",EDATE(C472,ROUND(I472*SETTINGS!$I$8,0)),WORKDAY(C472,ROUND(I472*SETTINGS!$I$8,0))))</f>
        <v/>
      </c>
      <c r="AQ472" s="9" t="str">
        <f aca="true">IF(C472="","",IF(AND(AP472&lt;&gt;"",TODAY()&gt;=AP472),"Refi Ready",IF(TODAY()-C472&gt;=SETTINGS!$I$11,"Prospecting","Performing")))</f>
        <v/>
      </c>
      <c r="AR472" s="22" t="str">
        <f aca="false">IF(OR(C472="",I472="",K472=""),"",IF(K472="Monthly",EDATE(C472,I472),WORKDAY(C472,I472)))</f>
        <v/>
      </c>
      <c r="AS472" s="11"/>
      <c r="AT472" s="23" t="str">
        <f aca="true">IF(C472="","",IF(AM472="Clawed Back","CLAWED",IF(TODAY()&lt;=C472+SETTINGS!$I$2,"⚠ AT RISK","SAFE")))</f>
        <v/>
      </c>
      <c r="AU472" s="11"/>
      <c r="AW472" s="24" t="n">
        <f aca="false">AW471+IF(AND(C472&lt;&gt;"",AO472&lt;&gt;"",OR('REP COMMISSION'!$B$3="",T472='REP COMMISSION'!$B$3,W472='REP COMMISSION'!$B$3,Z472='REP COMMISSION'!$B$3)),1,0)</f>
        <v>0</v>
      </c>
      <c r="AX472" s="24" t="n">
        <f aca="false">AX471+IF(AND(C472&lt;&gt;"",OR(F472="LOC - INITIAL",F472="CONSOLIDATION - UPFRONT COMM",F472="REVERSE - TOTAL FUNDING")),1,0)</f>
        <v>0</v>
      </c>
    </row>
    <row r="473" customFormat="false" ht="15" hidden="false" customHeight="false" outlineLevel="0" collapsed="false">
      <c r="A473" s="25" t="str">
        <f aca="false">IF(C473&lt;&gt;"","F"&amp;COUNT($C$4:C473),"")</f>
        <v/>
      </c>
      <c r="B473" s="26" t="str">
        <f aca="false">IF(OR(F473="LOC - INITIAL",F473="CONSOLIDATION - UPFRONT COMM",F473="REVERSE - TOTAL FUNDING"),A473,"")</f>
        <v/>
      </c>
      <c r="C473" s="27"/>
      <c r="D473" s="28"/>
      <c r="E473" s="28"/>
      <c r="F473" s="28"/>
      <c r="G473" s="29"/>
      <c r="H473" s="30"/>
      <c r="I473" s="28"/>
      <c r="J473" s="31" t="str">
        <f aca="false">IF(AND(G473&lt;&gt;"",H473&lt;&gt;""),G473*H473,"")</f>
        <v/>
      </c>
      <c r="K473" s="28"/>
      <c r="L473" s="32"/>
      <c r="M473" s="32"/>
      <c r="N473" s="31" t="n">
        <f aca="false">IF(OR(G473="",M473=""),0,IF(M473&gt;100,M473,G473*IF(M473&gt;1,M473/100,M473)))</f>
        <v>0</v>
      </c>
      <c r="O473" s="31" t="str">
        <f aca="false">IF(G473="","",G473*IF(L473="",0,IF(L473&gt;1,L473/100,L473))+N473)</f>
        <v/>
      </c>
      <c r="P473" s="28"/>
      <c r="Q473" s="33" t="str">
        <f aca="false">IF(P473="","",IFERROR(VLOOKUP(P473,PARTNERS!$A$2:$B$30,2,0),""))</f>
        <v/>
      </c>
      <c r="R473" s="17" t="str">
        <f aca="false">IF(O473="","",IF(OR(P473="",Q473=""),0,(O473-N473)*IF(Q473&gt;1,Q473/100,Q473)))</f>
        <v/>
      </c>
      <c r="S473" s="31" t="str">
        <f aca="false">IF(O473="","",O473-R473)</f>
        <v/>
      </c>
      <c r="T473" s="28"/>
      <c r="U473" s="34" t="str">
        <f aca="false">IF(T473="","",IFERROR(VLOOKUP(T473,REPS!$A$2:$D$40,2,0),""))</f>
        <v/>
      </c>
      <c r="V473" s="31" t="str">
        <f aca="false">IF(O473="","",IF(U473="",0,O473*IF(U473&gt;1,U473/100,U473)))</f>
        <v/>
      </c>
      <c r="W473" s="28"/>
      <c r="X473" s="34" t="str">
        <f aca="false">IF(W473="","",IFERROR(VLOOKUP(W473,REPS!$A$2:$D$40,3,0),""))</f>
        <v/>
      </c>
      <c r="Y473" s="31" t="str">
        <f aca="false">IF(O473="","",IF(X473="",0,O473*IF(X473&gt;1,X473/100,X473)))</f>
        <v/>
      </c>
      <c r="Z473" s="28"/>
      <c r="AA473" s="34" t="str">
        <f aca="false">IF(Z473="","",IFERROR(VLOOKUP(Z473,REPS!$A$2:$D$40,4,0),""))</f>
        <v/>
      </c>
      <c r="AB473" s="31" t="str">
        <f aca="false">IF(O473="","",IF(AA473="",0,O473*IF(AA473&gt;1,AA473/100,AA473)))</f>
        <v/>
      </c>
      <c r="AC473" s="31" t="str">
        <f aca="false">IF(O473="","",V473+Y473+AB473)</f>
        <v/>
      </c>
      <c r="AD473" s="19" t="str">
        <f aca="false">IF(O473="","",O473-R473-AC473)</f>
        <v/>
      </c>
      <c r="AE473" s="20"/>
      <c r="AF473" s="27"/>
      <c r="AG473" s="21" t="n">
        <f aca="false">IF(OR(AE473="",AE473=0),0,AE473*IF(U473="",0,IF(U473&gt;1,U473/100,U473)))</f>
        <v>0</v>
      </c>
      <c r="AH473" s="21" t="n">
        <f aca="false">IF(OR(AE473="",AE473=0),0,AE473*IF(X473="",0,IF(X473&gt;1,X473/100,X473)))</f>
        <v>0</v>
      </c>
      <c r="AI473" s="21" t="n">
        <f aca="false">IF(OR(AE473="",AE473=0),0,AE473*IF(AA473="",0,IF(AA473&gt;1,AA473/100,AA473)))</f>
        <v>0</v>
      </c>
      <c r="AJ473" s="21" t="n">
        <f aca="false">AG473+AH473+AI473</f>
        <v>0</v>
      </c>
      <c r="AK473" s="21" t="n">
        <f aca="false">IF(OR(AE473="",AE473=0),0,AE473-AJ473)</f>
        <v>0</v>
      </c>
      <c r="AL473" s="19" t="str">
        <f aca="false">IF(AD473="","",AD473-AK473)</f>
        <v/>
      </c>
      <c r="AM473" s="26" t="str">
        <f aca="false">IF(C473="","","Waiting for payment")</f>
        <v/>
      </c>
      <c r="AN473" s="27"/>
      <c r="AO473" s="27"/>
      <c r="AP473" s="35" t="str">
        <f aca="false">IF(OR(C473="",I473="",K473=""),"",IF(K473="Monthly",EDATE(C473,ROUND(I473*SETTINGS!$I$8,0)),WORKDAY(C473,ROUND(I473*SETTINGS!$I$8,0))))</f>
        <v/>
      </c>
      <c r="AQ473" s="26" t="str">
        <f aca="true">IF(C473="","",IF(AND(AP473&lt;&gt;"",TODAY()&gt;=AP473),"Refi Ready",IF(TODAY()-C473&gt;=SETTINGS!$I$11,"Prospecting","Performing")))</f>
        <v/>
      </c>
      <c r="AR473" s="35" t="str">
        <f aca="false">IF(OR(C473="",I473="",K473=""),"",IF(K473="Monthly",EDATE(C473,I473),WORKDAY(C473,I473)))</f>
        <v/>
      </c>
      <c r="AS473" s="28"/>
      <c r="AT473" s="36" t="str">
        <f aca="true">IF(C473="","",IF(AM473="Clawed Back","CLAWED",IF(TODAY()&lt;=C473+SETTINGS!$I$2,"⚠ AT RISK","SAFE")))</f>
        <v/>
      </c>
      <c r="AU473" s="28"/>
      <c r="AW473" s="24" t="n">
        <f aca="false">AW472+IF(AND(C473&lt;&gt;"",AO473&lt;&gt;"",OR('REP COMMISSION'!$B$3="",T473='REP COMMISSION'!$B$3,W473='REP COMMISSION'!$B$3,Z473='REP COMMISSION'!$B$3)),1,0)</f>
        <v>0</v>
      </c>
      <c r="AX473" s="24" t="n">
        <f aca="false">AX472+IF(AND(C473&lt;&gt;"",OR(F473="LOC - INITIAL",F473="CONSOLIDATION - UPFRONT COMM",F473="REVERSE - TOTAL FUNDING")),1,0)</f>
        <v>0</v>
      </c>
    </row>
    <row r="474" customFormat="false" ht="15" hidden="false" customHeight="false" outlineLevel="0" collapsed="false">
      <c r="A474" s="8" t="str">
        <f aca="false">IF(C474&lt;&gt;"","F"&amp;COUNT($C$4:C474),"")</f>
        <v/>
      </c>
      <c r="B474" s="9" t="str">
        <f aca="false">IF(OR(F474="LOC - INITIAL",F474="CONSOLIDATION - UPFRONT COMM",F474="REVERSE - TOTAL FUNDING"),A474,"")</f>
        <v/>
      </c>
      <c r="C474" s="10"/>
      <c r="D474" s="11"/>
      <c r="E474" s="11"/>
      <c r="F474" s="11"/>
      <c r="G474" s="12"/>
      <c r="H474" s="13"/>
      <c r="I474" s="11"/>
      <c r="J474" s="14" t="str">
        <f aca="false">IF(AND(G474&lt;&gt;"",H474&lt;&gt;""),G474*H474,"")</f>
        <v/>
      </c>
      <c r="K474" s="11"/>
      <c r="L474" s="15"/>
      <c r="M474" s="15"/>
      <c r="N474" s="14" t="n">
        <f aca="false">IF(OR(G474="",M474=""),0,IF(M474&gt;100,M474,G474*IF(M474&gt;1,M474/100,M474)))</f>
        <v>0</v>
      </c>
      <c r="O474" s="14" t="str">
        <f aca="false">IF(G474="","",G474*IF(L474="",0,IF(L474&gt;1,L474/100,L474))+N474)</f>
        <v/>
      </c>
      <c r="P474" s="11"/>
      <c r="Q474" s="16" t="str">
        <f aca="false">IF(P474="","",IFERROR(VLOOKUP(P474,PARTNERS!$A$2:$B$30,2,0),""))</f>
        <v/>
      </c>
      <c r="R474" s="17" t="str">
        <f aca="false">IF(O474="","",IF(OR(P474="",Q474=""),0,(O474-N474)*IF(Q474&gt;1,Q474/100,Q474)))</f>
        <v/>
      </c>
      <c r="S474" s="14" t="str">
        <f aca="false">IF(O474="","",O474-R474)</f>
        <v/>
      </c>
      <c r="T474" s="11"/>
      <c r="U474" s="18" t="str">
        <f aca="false">IF(T474="","",IFERROR(VLOOKUP(T474,REPS!$A$2:$D$40,2,0),""))</f>
        <v/>
      </c>
      <c r="V474" s="14" t="str">
        <f aca="false">IF(O474="","",IF(U474="",0,O474*IF(U474&gt;1,U474/100,U474)))</f>
        <v/>
      </c>
      <c r="W474" s="11"/>
      <c r="X474" s="18" t="str">
        <f aca="false">IF(W474="","",IFERROR(VLOOKUP(W474,REPS!$A$2:$D$40,3,0),""))</f>
        <v/>
      </c>
      <c r="Y474" s="14" t="str">
        <f aca="false">IF(O474="","",IF(X474="",0,O474*IF(X474&gt;1,X474/100,X474)))</f>
        <v/>
      </c>
      <c r="Z474" s="11"/>
      <c r="AA474" s="18" t="str">
        <f aca="false">IF(Z474="","",IFERROR(VLOOKUP(Z474,REPS!$A$2:$D$40,4,0),""))</f>
        <v/>
      </c>
      <c r="AB474" s="14" t="str">
        <f aca="false">IF(O474="","",IF(AA474="",0,O474*IF(AA474&gt;1,AA474/100,AA474)))</f>
        <v/>
      </c>
      <c r="AC474" s="14" t="str">
        <f aca="false">IF(O474="","",V474+Y474+AB474)</f>
        <v/>
      </c>
      <c r="AD474" s="19" t="str">
        <f aca="false">IF(O474="","",O474-R474-AC474)</f>
        <v/>
      </c>
      <c r="AE474" s="20"/>
      <c r="AF474" s="10"/>
      <c r="AG474" s="21" t="n">
        <f aca="false">IF(OR(AE474="",AE474=0),0,AE474*IF(U474="",0,IF(U474&gt;1,U474/100,U474)))</f>
        <v>0</v>
      </c>
      <c r="AH474" s="21" t="n">
        <f aca="false">IF(OR(AE474="",AE474=0),0,AE474*IF(X474="",0,IF(X474&gt;1,X474/100,X474)))</f>
        <v>0</v>
      </c>
      <c r="AI474" s="21" t="n">
        <f aca="false">IF(OR(AE474="",AE474=0),0,AE474*IF(AA474="",0,IF(AA474&gt;1,AA474/100,AA474)))</f>
        <v>0</v>
      </c>
      <c r="AJ474" s="21" t="n">
        <f aca="false">AG474+AH474+AI474</f>
        <v>0</v>
      </c>
      <c r="AK474" s="21" t="n">
        <f aca="false">IF(OR(AE474="",AE474=0),0,AE474-AJ474)</f>
        <v>0</v>
      </c>
      <c r="AL474" s="19" t="str">
        <f aca="false">IF(AD474="","",AD474-AK474)</f>
        <v/>
      </c>
      <c r="AM474" s="9" t="str">
        <f aca="false">IF(C474="","","Waiting for payment")</f>
        <v/>
      </c>
      <c r="AN474" s="10"/>
      <c r="AO474" s="10"/>
      <c r="AP474" s="22" t="str">
        <f aca="false">IF(OR(C474="",I474="",K474=""),"",IF(K474="Monthly",EDATE(C474,ROUND(I474*SETTINGS!$I$8,0)),WORKDAY(C474,ROUND(I474*SETTINGS!$I$8,0))))</f>
        <v/>
      </c>
      <c r="AQ474" s="9" t="str">
        <f aca="true">IF(C474="","",IF(AND(AP474&lt;&gt;"",TODAY()&gt;=AP474),"Refi Ready",IF(TODAY()-C474&gt;=SETTINGS!$I$11,"Prospecting","Performing")))</f>
        <v/>
      </c>
      <c r="AR474" s="22" t="str">
        <f aca="false">IF(OR(C474="",I474="",K474=""),"",IF(K474="Monthly",EDATE(C474,I474),WORKDAY(C474,I474)))</f>
        <v/>
      </c>
      <c r="AS474" s="11"/>
      <c r="AT474" s="23" t="str">
        <f aca="true">IF(C474="","",IF(AM474="Clawed Back","CLAWED",IF(TODAY()&lt;=C474+SETTINGS!$I$2,"⚠ AT RISK","SAFE")))</f>
        <v/>
      </c>
      <c r="AU474" s="11"/>
      <c r="AW474" s="24" t="n">
        <f aca="false">AW473+IF(AND(C474&lt;&gt;"",AO474&lt;&gt;"",OR('REP COMMISSION'!$B$3="",T474='REP COMMISSION'!$B$3,W474='REP COMMISSION'!$B$3,Z474='REP COMMISSION'!$B$3)),1,0)</f>
        <v>0</v>
      </c>
      <c r="AX474" s="24" t="n">
        <f aca="false">AX473+IF(AND(C474&lt;&gt;"",OR(F474="LOC - INITIAL",F474="CONSOLIDATION - UPFRONT COMM",F474="REVERSE - TOTAL FUNDING")),1,0)</f>
        <v>0</v>
      </c>
    </row>
    <row r="475" customFormat="false" ht="15" hidden="false" customHeight="false" outlineLevel="0" collapsed="false">
      <c r="A475" s="25" t="str">
        <f aca="false">IF(C475&lt;&gt;"","F"&amp;COUNT($C$4:C475),"")</f>
        <v/>
      </c>
      <c r="B475" s="26" t="str">
        <f aca="false">IF(OR(F475="LOC - INITIAL",F475="CONSOLIDATION - UPFRONT COMM",F475="REVERSE - TOTAL FUNDING"),A475,"")</f>
        <v/>
      </c>
      <c r="C475" s="27"/>
      <c r="D475" s="28"/>
      <c r="E475" s="28"/>
      <c r="F475" s="28"/>
      <c r="G475" s="29"/>
      <c r="H475" s="30"/>
      <c r="I475" s="28"/>
      <c r="J475" s="31" t="str">
        <f aca="false">IF(AND(G475&lt;&gt;"",H475&lt;&gt;""),G475*H475,"")</f>
        <v/>
      </c>
      <c r="K475" s="28"/>
      <c r="L475" s="32"/>
      <c r="M475" s="32"/>
      <c r="N475" s="31" t="n">
        <f aca="false">IF(OR(G475="",M475=""),0,IF(M475&gt;100,M475,G475*IF(M475&gt;1,M475/100,M475)))</f>
        <v>0</v>
      </c>
      <c r="O475" s="31" t="str">
        <f aca="false">IF(G475="","",G475*IF(L475="",0,IF(L475&gt;1,L475/100,L475))+N475)</f>
        <v/>
      </c>
      <c r="P475" s="28"/>
      <c r="Q475" s="33" t="str">
        <f aca="false">IF(P475="","",IFERROR(VLOOKUP(P475,PARTNERS!$A$2:$B$30,2,0),""))</f>
        <v/>
      </c>
      <c r="R475" s="17" t="str">
        <f aca="false">IF(O475="","",IF(OR(P475="",Q475=""),0,(O475-N475)*IF(Q475&gt;1,Q475/100,Q475)))</f>
        <v/>
      </c>
      <c r="S475" s="31" t="str">
        <f aca="false">IF(O475="","",O475-R475)</f>
        <v/>
      </c>
      <c r="T475" s="28"/>
      <c r="U475" s="34" t="str">
        <f aca="false">IF(T475="","",IFERROR(VLOOKUP(T475,REPS!$A$2:$D$40,2,0),""))</f>
        <v/>
      </c>
      <c r="V475" s="31" t="str">
        <f aca="false">IF(O475="","",IF(U475="",0,O475*IF(U475&gt;1,U475/100,U475)))</f>
        <v/>
      </c>
      <c r="W475" s="28"/>
      <c r="X475" s="34" t="str">
        <f aca="false">IF(W475="","",IFERROR(VLOOKUP(W475,REPS!$A$2:$D$40,3,0),""))</f>
        <v/>
      </c>
      <c r="Y475" s="31" t="str">
        <f aca="false">IF(O475="","",IF(X475="",0,O475*IF(X475&gt;1,X475/100,X475)))</f>
        <v/>
      </c>
      <c r="Z475" s="28"/>
      <c r="AA475" s="34" t="str">
        <f aca="false">IF(Z475="","",IFERROR(VLOOKUP(Z475,REPS!$A$2:$D$40,4,0),""))</f>
        <v/>
      </c>
      <c r="AB475" s="31" t="str">
        <f aca="false">IF(O475="","",IF(AA475="",0,O475*IF(AA475&gt;1,AA475/100,AA475)))</f>
        <v/>
      </c>
      <c r="AC475" s="31" t="str">
        <f aca="false">IF(O475="","",V475+Y475+AB475)</f>
        <v/>
      </c>
      <c r="AD475" s="19" t="str">
        <f aca="false">IF(O475="","",O475-R475-AC475)</f>
        <v/>
      </c>
      <c r="AE475" s="20"/>
      <c r="AF475" s="27"/>
      <c r="AG475" s="21" t="n">
        <f aca="false">IF(OR(AE475="",AE475=0),0,AE475*IF(U475="",0,IF(U475&gt;1,U475/100,U475)))</f>
        <v>0</v>
      </c>
      <c r="AH475" s="21" t="n">
        <f aca="false">IF(OR(AE475="",AE475=0),0,AE475*IF(X475="",0,IF(X475&gt;1,X475/100,X475)))</f>
        <v>0</v>
      </c>
      <c r="AI475" s="21" t="n">
        <f aca="false">IF(OR(AE475="",AE475=0),0,AE475*IF(AA475="",0,IF(AA475&gt;1,AA475/100,AA475)))</f>
        <v>0</v>
      </c>
      <c r="AJ475" s="21" t="n">
        <f aca="false">AG475+AH475+AI475</f>
        <v>0</v>
      </c>
      <c r="AK475" s="21" t="n">
        <f aca="false">IF(OR(AE475="",AE475=0),0,AE475-AJ475)</f>
        <v>0</v>
      </c>
      <c r="AL475" s="19" t="str">
        <f aca="false">IF(AD475="","",AD475-AK475)</f>
        <v/>
      </c>
      <c r="AM475" s="26" t="str">
        <f aca="false">IF(C475="","","Waiting for payment")</f>
        <v/>
      </c>
      <c r="AN475" s="27"/>
      <c r="AO475" s="27"/>
      <c r="AP475" s="35" t="str">
        <f aca="false">IF(OR(C475="",I475="",K475=""),"",IF(K475="Monthly",EDATE(C475,ROUND(I475*SETTINGS!$I$8,0)),WORKDAY(C475,ROUND(I475*SETTINGS!$I$8,0))))</f>
        <v/>
      </c>
      <c r="AQ475" s="26" t="str">
        <f aca="true">IF(C475="","",IF(AND(AP475&lt;&gt;"",TODAY()&gt;=AP475),"Refi Ready",IF(TODAY()-C475&gt;=SETTINGS!$I$11,"Prospecting","Performing")))</f>
        <v/>
      </c>
      <c r="AR475" s="35" t="str">
        <f aca="false">IF(OR(C475="",I475="",K475=""),"",IF(K475="Monthly",EDATE(C475,I475),WORKDAY(C475,I475)))</f>
        <v/>
      </c>
      <c r="AS475" s="28"/>
      <c r="AT475" s="36" t="str">
        <f aca="true">IF(C475="","",IF(AM475="Clawed Back","CLAWED",IF(TODAY()&lt;=C475+SETTINGS!$I$2,"⚠ AT RISK","SAFE")))</f>
        <v/>
      </c>
      <c r="AU475" s="28"/>
      <c r="AW475" s="24" t="n">
        <f aca="false">AW474+IF(AND(C475&lt;&gt;"",AO475&lt;&gt;"",OR('REP COMMISSION'!$B$3="",T475='REP COMMISSION'!$B$3,W475='REP COMMISSION'!$B$3,Z475='REP COMMISSION'!$B$3)),1,0)</f>
        <v>0</v>
      </c>
      <c r="AX475" s="24" t="n">
        <f aca="false">AX474+IF(AND(C475&lt;&gt;"",OR(F475="LOC - INITIAL",F475="CONSOLIDATION - UPFRONT COMM",F475="REVERSE - TOTAL FUNDING")),1,0)</f>
        <v>0</v>
      </c>
    </row>
    <row r="476" customFormat="false" ht="15" hidden="false" customHeight="false" outlineLevel="0" collapsed="false">
      <c r="A476" s="8" t="str">
        <f aca="false">IF(C476&lt;&gt;"","F"&amp;COUNT($C$4:C476),"")</f>
        <v/>
      </c>
      <c r="B476" s="9" t="str">
        <f aca="false">IF(OR(F476="LOC - INITIAL",F476="CONSOLIDATION - UPFRONT COMM",F476="REVERSE - TOTAL FUNDING"),A476,"")</f>
        <v/>
      </c>
      <c r="C476" s="10"/>
      <c r="D476" s="11"/>
      <c r="E476" s="11"/>
      <c r="F476" s="11"/>
      <c r="G476" s="12"/>
      <c r="H476" s="13"/>
      <c r="I476" s="11"/>
      <c r="J476" s="14" t="str">
        <f aca="false">IF(AND(G476&lt;&gt;"",H476&lt;&gt;""),G476*H476,"")</f>
        <v/>
      </c>
      <c r="K476" s="11"/>
      <c r="L476" s="15"/>
      <c r="M476" s="15"/>
      <c r="N476" s="14" t="n">
        <f aca="false">IF(OR(G476="",M476=""),0,IF(M476&gt;100,M476,G476*IF(M476&gt;1,M476/100,M476)))</f>
        <v>0</v>
      </c>
      <c r="O476" s="14" t="str">
        <f aca="false">IF(G476="","",G476*IF(L476="",0,IF(L476&gt;1,L476/100,L476))+N476)</f>
        <v/>
      </c>
      <c r="P476" s="11"/>
      <c r="Q476" s="16" t="str">
        <f aca="false">IF(P476="","",IFERROR(VLOOKUP(P476,PARTNERS!$A$2:$B$30,2,0),""))</f>
        <v/>
      </c>
      <c r="R476" s="17" t="str">
        <f aca="false">IF(O476="","",IF(OR(P476="",Q476=""),0,(O476-N476)*IF(Q476&gt;1,Q476/100,Q476)))</f>
        <v/>
      </c>
      <c r="S476" s="14" t="str">
        <f aca="false">IF(O476="","",O476-R476)</f>
        <v/>
      </c>
      <c r="T476" s="11"/>
      <c r="U476" s="18" t="str">
        <f aca="false">IF(T476="","",IFERROR(VLOOKUP(T476,REPS!$A$2:$D$40,2,0),""))</f>
        <v/>
      </c>
      <c r="V476" s="14" t="str">
        <f aca="false">IF(O476="","",IF(U476="",0,O476*IF(U476&gt;1,U476/100,U476)))</f>
        <v/>
      </c>
      <c r="W476" s="11"/>
      <c r="X476" s="18" t="str">
        <f aca="false">IF(W476="","",IFERROR(VLOOKUP(W476,REPS!$A$2:$D$40,3,0),""))</f>
        <v/>
      </c>
      <c r="Y476" s="14" t="str">
        <f aca="false">IF(O476="","",IF(X476="",0,O476*IF(X476&gt;1,X476/100,X476)))</f>
        <v/>
      </c>
      <c r="Z476" s="11"/>
      <c r="AA476" s="18" t="str">
        <f aca="false">IF(Z476="","",IFERROR(VLOOKUP(Z476,REPS!$A$2:$D$40,4,0),""))</f>
        <v/>
      </c>
      <c r="AB476" s="14" t="str">
        <f aca="false">IF(O476="","",IF(AA476="",0,O476*IF(AA476&gt;1,AA476/100,AA476)))</f>
        <v/>
      </c>
      <c r="AC476" s="14" t="str">
        <f aca="false">IF(O476="","",V476+Y476+AB476)</f>
        <v/>
      </c>
      <c r="AD476" s="19" t="str">
        <f aca="false">IF(O476="","",O476-R476-AC476)</f>
        <v/>
      </c>
      <c r="AE476" s="20"/>
      <c r="AF476" s="10"/>
      <c r="AG476" s="21" t="n">
        <f aca="false">IF(OR(AE476="",AE476=0),0,AE476*IF(U476="",0,IF(U476&gt;1,U476/100,U476)))</f>
        <v>0</v>
      </c>
      <c r="AH476" s="21" t="n">
        <f aca="false">IF(OR(AE476="",AE476=0),0,AE476*IF(X476="",0,IF(X476&gt;1,X476/100,X476)))</f>
        <v>0</v>
      </c>
      <c r="AI476" s="21" t="n">
        <f aca="false">IF(OR(AE476="",AE476=0),0,AE476*IF(AA476="",0,IF(AA476&gt;1,AA476/100,AA476)))</f>
        <v>0</v>
      </c>
      <c r="AJ476" s="21" t="n">
        <f aca="false">AG476+AH476+AI476</f>
        <v>0</v>
      </c>
      <c r="AK476" s="21" t="n">
        <f aca="false">IF(OR(AE476="",AE476=0),0,AE476-AJ476)</f>
        <v>0</v>
      </c>
      <c r="AL476" s="19" t="str">
        <f aca="false">IF(AD476="","",AD476-AK476)</f>
        <v/>
      </c>
      <c r="AM476" s="9" t="str">
        <f aca="false">IF(C476="","","Waiting for payment")</f>
        <v/>
      </c>
      <c r="AN476" s="10"/>
      <c r="AO476" s="10"/>
      <c r="AP476" s="22" t="str">
        <f aca="false">IF(OR(C476="",I476="",K476=""),"",IF(K476="Monthly",EDATE(C476,ROUND(I476*SETTINGS!$I$8,0)),WORKDAY(C476,ROUND(I476*SETTINGS!$I$8,0))))</f>
        <v/>
      </c>
      <c r="AQ476" s="9" t="str">
        <f aca="true">IF(C476="","",IF(AND(AP476&lt;&gt;"",TODAY()&gt;=AP476),"Refi Ready",IF(TODAY()-C476&gt;=SETTINGS!$I$11,"Prospecting","Performing")))</f>
        <v/>
      </c>
      <c r="AR476" s="22" t="str">
        <f aca="false">IF(OR(C476="",I476="",K476=""),"",IF(K476="Monthly",EDATE(C476,I476),WORKDAY(C476,I476)))</f>
        <v/>
      </c>
      <c r="AS476" s="11"/>
      <c r="AT476" s="23" t="str">
        <f aca="true">IF(C476="","",IF(AM476="Clawed Back","CLAWED",IF(TODAY()&lt;=C476+SETTINGS!$I$2,"⚠ AT RISK","SAFE")))</f>
        <v/>
      </c>
      <c r="AU476" s="11"/>
      <c r="AW476" s="24" t="n">
        <f aca="false">AW475+IF(AND(C476&lt;&gt;"",AO476&lt;&gt;"",OR('REP COMMISSION'!$B$3="",T476='REP COMMISSION'!$B$3,W476='REP COMMISSION'!$B$3,Z476='REP COMMISSION'!$B$3)),1,0)</f>
        <v>0</v>
      </c>
      <c r="AX476" s="24" t="n">
        <f aca="false">AX475+IF(AND(C476&lt;&gt;"",OR(F476="LOC - INITIAL",F476="CONSOLIDATION - UPFRONT COMM",F476="REVERSE - TOTAL FUNDING")),1,0)</f>
        <v>0</v>
      </c>
    </row>
    <row r="477" customFormat="false" ht="15" hidden="false" customHeight="false" outlineLevel="0" collapsed="false">
      <c r="A477" s="25" t="str">
        <f aca="false">IF(C477&lt;&gt;"","F"&amp;COUNT($C$4:C477),"")</f>
        <v/>
      </c>
      <c r="B477" s="26" t="str">
        <f aca="false">IF(OR(F477="LOC - INITIAL",F477="CONSOLIDATION - UPFRONT COMM",F477="REVERSE - TOTAL FUNDING"),A477,"")</f>
        <v/>
      </c>
      <c r="C477" s="27"/>
      <c r="D477" s="28"/>
      <c r="E477" s="28"/>
      <c r="F477" s="28"/>
      <c r="G477" s="29"/>
      <c r="H477" s="30"/>
      <c r="I477" s="28"/>
      <c r="J477" s="31" t="str">
        <f aca="false">IF(AND(G477&lt;&gt;"",H477&lt;&gt;""),G477*H477,"")</f>
        <v/>
      </c>
      <c r="K477" s="28"/>
      <c r="L477" s="32"/>
      <c r="M477" s="32"/>
      <c r="N477" s="31" t="n">
        <f aca="false">IF(OR(G477="",M477=""),0,IF(M477&gt;100,M477,G477*IF(M477&gt;1,M477/100,M477)))</f>
        <v>0</v>
      </c>
      <c r="O477" s="31" t="str">
        <f aca="false">IF(G477="","",G477*IF(L477="",0,IF(L477&gt;1,L477/100,L477))+N477)</f>
        <v/>
      </c>
      <c r="P477" s="28"/>
      <c r="Q477" s="33" t="str">
        <f aca="false">IF(P477="","",IFERROR(VLOOKUP(P477,PARTNERS!$A$2:$B$30,2,0),""))</f>
        <v/>
      </c>
      <c r="R477" s="17" t="str">
        <f aca="false">IF(O477="","",IF(OR(P477="",Q477=""),0,(O477-N477)*IF(Q477&gt;1,Q477/100,Q477)))</f>
        <v/>
      </c>
      <c r="S477" s="31" t="str">
        <f aca="false">IF(O477="","",O477-R477)</f>
        <v/>
      </c>
      <c r="T477" s="28"/>
      <c r="U477" s="34" t="str">
        <f aca="false">IF(T477="","",IFERROR(VLOOKUP(T477,REPS!$A$2:$D$40,2,0),""))</f>
        <v/>
      </c>
      <c r="V477" s="31" t="str">
        <f aca="false">IF(O477="","",IF(U477="",0,O477*IF(U477&gt;1,U477/100,U477)))</f>
        <v/>
      </c>
      <c r="W477" s="28"/>
      <c r="X477" s="34" t="str">
        <f aca="false">IF(W477="","",IFERROR(VLOOKUP(W477,REPS!$A$2:$D$40,3,0),""))</f>
        <v/>
      </c>
      <c r="Y477" s="31" t="str">
        <f aca="false">IF(O477="","",IF(X477="",0,O477*IF(X477&gt;1,X477/100,X477)))</f>
        <v/>
      </c>
      <c r="Z477" s="28"/>
      <c r="AA477" s="34" t="str">
        <f aca="false">IF(Z477="","",IFERROR(VLOOKUP(Z477,REPS!$A$2:$D$40,4,0),""))</f>
        <v/>
      </c>
      <c r="AB477" s="31" t="str">
        <f aca="false">IF(O477="","",IF(AA477="",0,O477*IF(AA477&gt;1,AA477/100,AA477)))</f>
        <v/>
      </c>
      <c r="AC477" s="31" t="str">
        <f aca="false">IF(O477="","",V477+Y477+AB477)</f>
        <v/>
      </c>
      <c r="AD477" s="19" t="str">
        <f aca="false">IF(O477="","",O477-R477-AC477)</f>
        <v/>
      </c>
      <c r="AE477" s="20"/>
      <c r="AF477" s="27"/>
      <c r="AG477" s="21" t="n">
        <f aca="false">IF(OR(AE477="",AE477=0),0,AE477*IF(U477="",0,IF(U477&gt;1,U477/100,U477)))</f>
        <v>0</v>
      </c>
      <c r="AH477" s="21" t="n">
        <f aca="false">IF(OR(AE477="",AE477=0),0,AE477*IF(X477="",0,IF(X477&gt;1,X477/100,X477)))</f>
        <v>0</v>
      </c>
      <c r="AI477" s="21" t="n">
        <f aca="false">IF(OR(AE477="",AE477=0),0,AE477*IF(AA477="",0,IF(AA477&gt;1,AA477/100,AA477)))</f>
        <v>0</v>
      </c>
      <c r="AJ477" s="21" t="n">
        <f aca="false">AG477+AH477+AI477</f>
        <v>0</v>
      </c>
      <c r="AK477" s="21" t="n">
        <f aca="false">IF(OR(AE477="",AE477=0),0,AE477-AJ477)</f>
        <v>0</v>
      </c>
      <c r="AL477" s="19" t="str">
        <f aca="false">IF(AD477="","",AD477-AK477)</f>
        <v/>
      </c>
      <c r="AM477" s="26" t="str">
        <f aca="false">IF(C477="","","Waiting for payment")</f>
        <v/>
      </c>
      <c r="AN477" s="27"/>
      <c r="AO477" s="27"/>
      <c r="AP477" s="35" t="str">
        <f aca="false">IF(OR(C477="",I477="",K477=""),"",IF(K477="Monthly",EDATE(C477,ROUND(I477*SETTINGS!$I$8,0)),WORKDAY(C477,ROUND(I477*SETTINGS!$I$8,0))))</f>
        <v/>
      </c>
      <c r="AQ477" s="26" t="str">
        <f aca="true">IF(C477="","",IF(AND(AP477&lt;&gt;"",TODAY()&gt;=AP477),"Refi Ready",IF(TODAY()-C477&gt;=SETTINGS!$I$11,"Prospecting","Performing")))</f>
        <v/>
      </c>
      <c r="AR477" s="35" t="str">
        <f aca="false">IF(OR(C477="",I477="",K477=""),"",IF(K477="Monthly",EDATE(C477,I477),WORKDAY(C477,I477)))</f>
        <v/>
      </c>
      <c r="AS477" s="28"/>
      <c r="AT477" s="36" t="str">
        <f aca="true">IF(C477="","",IF(AM477="Clawed Back","CLAWED",IF(TODAY()&lt;=C477+SETTINGS!$I$2,"⚠ AT RISK","SAFE")))</f>
        <v/>
      </c>
      <c r="AU477" s="28"/>
      <c r="AW477" s="24" t="n">
        <f aca="false">AW476+IF(AND(C477&lt;&gt;"",AO477&lt;&gt;"",OR('REP COMMISSION'!$B$3="",T477='REP COMMISSION'!$B$3,W477='REP COMMISSION'!$B$3,Z477='REP COMMISSION'!$B$3)),1,0)</f>
        <v>0</v>
      </c>
      <c r="AX477" s="24" t="n">
        <f aca="false">AX476+IF(AND(C477&lt;&gt;"",OR(F477="LOC - INITIAL",F477="CONSOLIDATION - UPFRONT COMM",F477="REVERSE - TOTAL FUNDING")),1,0)</f>
        <v>0</v>
      </c>
    </row>
    <row r="478" customFormat="false" ht="15" hidden="false" customHeight="false" outlineLevel="0" collapsed="false">
      <c r="A478" s="8" t="str">
        <f aca="false">IF(C478&lt;&gt;"","F"&amp;COUNT($C$4:C478),"")</f>
        <v/>
      </c>
      <c r="B478" s="9" t="str">
        <f aca="false">IF(OR(F478="LOC - INITIAL",F478="CONSOLIDATION - UPFRONT COMM",F478="REVERSE - TOTAL FUNDING"),A478,"")</f>
        <v/>
      </c>
      <c r="C478" s="10"/>
      <c r="D478" s="11"/>
      <c r="E478" s="11"/>
      <c r="F478" s="11"/>
      <c r="G478" s="12"/>
      <c r="H478" s="13"/>
      <c r="I478" s="11"/>
      <c r="J478" s="14" t="str">
        <f aca="false">IF(AND(G478&lt;&gt;"",H478&lt;&gt;""),G478*H478,"")</f>
        <v/>
      </c>
      <c r="K478" s="11"/>
      <c r="L478" s="15"/>
      <c r="M478" s="15"/>
      <c r="N478" s="14" t="n">
        <f aca="false">IF(OR(G478="",M478=""),0,IF(M478&gt;100,M478,G478*IF(M478&gt;1,M478/100,M478)))</f>
        <v>0</v>
      </c>
      <c r="O478" s="14" t="str">
        <f aca="false">IF(G478="","",G478*IF(L478="",0,IF(L478&gt;1,L478/100,L478))+N478)</f>
        <v/>
      </c>
      <c r="P478" s="11"/>
      <c r="Q478" s="16" t="str">
        <f aca="false">IF(P478="","",IFERROR(VLOOKUP(P478,PARTNERS!$A$2:$B$30,2,0),""))</f>
        <v/>
      </c>
      <c r="R478" s="17" t="str">
        <f aca="false">IF(O478="","",IF(OR(P478="",Q478=""),0,(O478-N478)*IF(Q478&gt;1,Q478/100,Q478)))</f>
        <v/>
      </c>
      <c r="S478" s="14" t="str">
        <f aca="false">IF(O478="","",O478-R478)</f>
        <v/>
      </c>
      <c r="T478" s="11"/>
      <c r="U478" s="18" t="str">
        <f aca="false">IF(T478="","",IFERROR(VLOOKUP(T478,REPS!$A$2:$D$40,2,0),""))</f>
        <v/>
      </c>
      <c r="V478" s="14" t="str">
        <f aca="false">IF(O478="","",IF(U478="",0,O478*IF(U478&gt;1,U478/100,U478)))</f>
        <v/>
      </c>
      <c r="W478" s="11"/>
      <c r="X478" s="18" t="str">
        <f aca="false">IF(W478="","",IFERROR(VLOOKUP(W478,REPS!$A$2:$D$40,3,0),""))</f>
        <v/>
      </c>
      <c r="Y478" s="14" t="str">
        <f aca="false">IF(O478="","",IF(X478="",0,O478*IF(X478&gt;1,X478/100,X478)))</f>
        <v/>
      </c>
      <c r="Z478" s="11"/>
      <c r="AA478" s="18" t="str">
        <f aca="false">IF(Z478="","",IFERROR(VLOOKUP(Z478,REPS!$A$2:$D$40,4,0),""))</f>
        <v/>
      </c>
      <c r="AB478" s="14" t="str">
        <f aca="false">IF(O478="","",IF(AA478="",0,O478*IF(AA478&gt;1,AA478/100,AA478)))</f>
        <v/>
      </c>
      <c r="AC478" s="14" t="str">
        <f aca="false">IF(O478="","",V478+Y478+AB478)</f>
        <v/>
      </c>
      <c r="AD478" s="19" t="str">
        <f aca="false">IF(O478="","",O478-R478-AC478)</f>
        <v/>
      </c>
      <c r="AE478" s="20"/>
      <c r="AF478" s="10"/>
      <c r="AG478" s="21" t="n">
        <f aca="false">IF(OR(AE478="",AE478=0),0,AE478*IF(U478="",0,IF(U478&gt;1,U478/100,U478)))</f>
        <v>0</v>
      </c>
      <c r="AH478" s="21" t="n">
        <f aca="false">IF(OR(AE478="",AE478=0),0,AE478*IF(X478="",0,IF(X478&gt;1,X478/100,X478)))</f>
        <v>0</v>
      </c>
      <c r="AI478" s="21" t="n">
        <f aca="false">IF(OR(AE478="",AE478=0),0,AE478*IF(AA478="",0,IF(AA478&gt;1,AA478/100,AA478)))</f>
        <v>0</v>
      </c>
      <c r="AJ478" s="21" t="n">
        <f aca="false">AG478+AH478+AI478</f>
        <v>0</v>
      </c>
      <c r="AK478" s="21" t="n">
        <f aca="false">IF(OR(AE478="",AE478=0),0,AE478-AJ478)</f>
        <v>0</v>
      </c>
      <c r="AL478" s="19" t="str">
        <f aca="false">IF(AD478="","",AD478-AK478)</f>
        <v/>
      </c>
      <c r="AM478" s="9" t="str">
        <f aca="false">IF(C478="","","Waiting for payment")</f>
        <v/>
      </c>
      <c r="AN478" s="10"/>
      <c r="AO478" s="10"/>
      <c r="AP478" s="22" t="str">
        <f aca="false">IF(OR(C478="",I478="",K478=""),"",IF(K478="Monthly",EDATE(C478,ROUND(I478*SETTINGS!$I$8,0)),WORKDAY(C478,ROUND(I478*SETTINGS!$I$8,0))))</f>
        <v/>
      </c>
      <c r="AQ478" s="9" t="str">
        <f aca="true">IF(C478="","",IF(AND(AP478&lt;&gt;"",TODAY()&gt;=AP478),"Refi Ready",IF(TODAY()-C478&gt;=SETTINGS!$I$11,"Prospecting","Performing")))</f>
        <v/>
      </c>
      <c r="AR478" s="22" t="str">
        <f aca="false">IF(OR(C478="",I478="",K478=""),"",IF(K478="Monthly",EDATE(C478,I478),WORKDAY(C478,I478)))</f>
        <v/>
      </c>
      <c r="AS478" s="11"/>
      <c r="AT478" s="23" t="str">
        <f aca="true">IF(C478="","",IF(AM478="Clawed Back","CLAWED",IF(TODAY()&lt;=C478+SETTINGS!$I$2,"⚠ AT RISK","SAFE")))</f>
        <v/>
      </c>
      <c r="AU478" s="11"/>
      <c r="AW478" s="24" t="n">
        <f aca="false">AW477+IF(AND(C478&lt;&gt;"",AO478&lt;&gt;"",OR('REP COMMISSION'!$B$3="",T478='REP COMMISSION'!$B$3,W478='REP COMMISSION'!$B$3,Z478='REP COMMISSION'!$B$3)),1,0)</f>
        <v>0</v>
      </c>
      <c r="AX478" s="24" t="n">
        <f aca="false">AX477+IF(AND(C478&lt;&gt;"",OR(F478="LOC - INITIAL",F478="CONSOLIDATION - UPFRONT COMM",F478="REVERSE - TOTAL FUNDING")),1,0)</f>
        <v>0</v>
      </c>
    </row>
    <row r="479" customFormat="false" ht="15" hidden="false" customHeight="false" outlineLevel="0" collapsed="false">
      <c r="A479" s="25" t="str">
        <f aca="false">IF(C479&lt;&gt;"","F"&amp;COUNT($C$4:C479),"")</f>
        <v/>
      </c>
      <c r="B479" s="26" t="str">
        <f aca="false">IF(OR(F479="LOC - INITIAL",F479="CONSOLIDATION - UPFRONT COMM",F479="REVERSE - TOTAL FUNDING"),A479,"")</f>
        <v/>
      </c>
      <c r="C479" s="27"/>
      <c r="D479" s="28"/>
      <c r="E479" s="28"/>
      <c r="F479" s="28"/>
      <c r="G479" s="29"/>
      <c r="H479" s="30"/>
      <c r="I479" s="28"/>
      <c r="J479" s="31" t="str">
        <f aca="false">IF(AND(G479&lt;&gt;"",H479&lt;&gt;""),G479*H479,"")</f>
        <v/>
      </c>
      <c r="K479" s="28"/>
      <c r="L479" s="32"/>
      <c r="M479" s="32"/>
      <c r="N479" s="31" t="n">
        <f aca="false">IF(OR(G479="",M479=""),0,IF(M479&gt;100,M479,G479*IF(M479&gt;1,M479/100,M479)))</f>
        <v>0</v>
      </c>
      <c r="O479" s="31" t="str">
        <f aca="false">IF(G479="","",G479*IF(L479="",0,IF(L479&gt;1,L479/100,L479))+N479)</f>
        <v/>
      </c>
      <c r="P479" s="28"/>
      <c r="Q479" s="33" t="str">
        <f aca="false">IF(P479="","",IFERROR(VLOOKUP(P479,PARTNERS!$A$2:$B$30,2,0),""))</f>
        <v/>
      </c>
      <c r="R479" s="17" t="str">
        <f aca="false">IF(O479="","",IF(OR(P479="",Q479=""),0,(O479-N479)*IF(Q479&gt;1,Q479/100,Q479)))</f>
        <v/>
      </c>
      <c r="S479" s="31" t="str">
        <f aca="false">IF(O479="","",O479-R479)</f>
        <v/>
      </c>
      <c r="T479" s="28"/>
      <c r="U479" s="34" t="str">
        <f aca="false">IF(T479="","",IFERROR(VLOOKUP(T479,REPS!$A$2:$D$40,2,0),""))</f>
        <v/>
      </c>
      <c r="V479" s="31" t="str">
        <f aca="false">IF(O479="","",IF(U479="",0,O479*IF(U479&gt;1,U479/100,U479)))</f>
        <v/>
      </c>
      <c r="W479" s="28"/>
      <c r="X479" s="34" t="str">
        <f aca="false">IF(W479="","",IFERROR(VLOOKUP(W479,REPS!$A$2:$D$40,3,0),""))</f>
        <v/>
      </c>
      <c r="Y479" s="31" t="str">
        <f aca="false">IF(O479="","",IF(X479="",0,O479*IF(X479&gt;1,X479/100,X479)))</f>
        <v/>
      </c>
      <c r="Z479" s="28"/>
      <c r="AA479" s="34" t="str">
        <f aca="false">IF(Z479="","",IFERROR(VLOOKUP(Z479,REPS!$A$2:$D$40,4,0),""))</f>
        <v/>
      </c>
      <c r="AB479" s="31" t="str">
        <f aca="false">IF(O479="","",IF(AA479="",0,O479*IF(AA479&gt;1,AA479/100,AA479)))</f>
        <v/>
      </c>
      <c r="AC479" s="31" t="str">
        <f aca="false">IF(O479="","",V479+Y479+AB479)</f>
        <v/>
      </c>
      <c r="AD479" s="19" t="str">
        <f aca="false">IF(O479="","",O479-R479-AC479)</f>
        <v/>
      </c>
      <c r="AE479" s="20"/>
      <c r="AF479" s="27"/>
      <c r="AG479" s="21" t="n">
        <f aca="false">IF(OR(AE479="",AE479=0),0,AE479*IF(U479="",0,IF(U479&gt;1,U479/100,U479)))</f>
        <v>0</v>
      </c>
      <c r="AH479" s="21" t="n">
        <f aca="false">IF(OR(AE479="",AE479=0),0,AE479*IF(X479="",0,IF(X479&gt;1,X479/100,X479)))</f>
        <v>0</v>
      </c>
      <c r="AI479" s="21" t="n">
        <f aca="false">IF(OR(AE479="",AE479=0),0,AE479*IF(AA479="",0,IF(AA479&gt;1,AA479/100,AA479)))</f>
        <v>0</v>
      </c>
      <c r="AJ479" s="21" t="n">
        <f aca="false">AG479+AH479+AI479</f>
        <v>0</v>
      </c>
      <c r="AK479" s="21" t="n">
        <f aca="false">IF(OR(AE479="",AE479=0),0,AE479-AJ479)</f>
        <v>0</v>
      </c>
      <c r="AL479" s="19" t="str">
        <f aca="false">IF(AD479="","",AD479-AK479)</f>
        <v/>
      </c>
      <c r="AM479" s="26" t="str">
        <f aca="false">IF(C479="","","Waiting for payment")</f>
        <v/>
      </c>
      <c r="AN479" s="27"/>
      <c r="AO479" s="27"/>
      <c r="AP479" s="35" t="str">
        <f aca="false">IF(OR(C479="",I479="",K479=""),"",IF(K479="Monthly",EDATE(C479,ROUND(I479*SETTINGS!$I$8,0)),WORKDAY(C479,ROUND(I479*SETTINGS!$I$8,0))))</f>
        <v/>
      </c>
      <c r="AQ479" s="26" t="str">
        <f aca="true">IF(C479="","",IF(AND(AP479&lt;&gt;"",TODAY()&gt;=AP479),"Refi Ready",IF(TODAY()-C479&gt;=SETTINGS!$I$11,"Prospecting","Performing")))</f>
        <v/>
      </c>
      <c r="AR479" s="35" t="str">
        <f aca="false">IF(OR(C479="",I479="",K479=""),"",IF(K479="Monthly",EDATE(C479,I479),WORKDAY(C479,I479)))</f>
        <v/>
      </c>
      <c r="AS479" s="28"/>
      <c r="AT479" s="36" t="str">
        <f aca="true">IF(C479="","",IF(AM479="Clawed Back","CLAWED",IF(TODAY()&lt;=C479+SETTINGS!$I$2,"⚠ AT RISK","SAFE")))</f>
        <v/>
      </c>
      <c r="AU479" s="28"/>
      <c r="AW479" s="24" t="n">
        <f aca="false">AW478+IF(AND(C479&lt;&gt;"",AO479&lt;&gt;"",OR('REP COMMISSION'!$B$3="",T479='REP COMMISSION'!$B$3,W479='REP COMMISSION'!$B$3,Z479='REP COMMISSION'!$B$3)),1,0)</f>
        <v>0</v>
      </c>
      <c r="AX479" s="24" t="n">
        <f aca="false">AX478+IF(AND(C479&lt;&gt;"",OR(F479="LOC - INITIAL",F479="CONSOLIDATION - UPFRONT COMM",F479="REVERSE - TOTAL FUNDING")),1,0)</f>
        <v>0</v>
      </c>
    </row>
    <row r="480" customFormat="false" ht="15" hidden="false" customHeight="false" outlineLevel="0" collapsed="false">
      <c r="A480" s="8" t="str">
        <f aca="false">IF(C480&lt;&gt;"","F"&amp;COUNT($C$4:C480),"")</f>
        <v/>
      </c>
      <c r="B480" s="9" t="str">
        <f aca="false">IF(OR(F480="LOC - INITIAL",F480="CONSOLIDATION - UPFRONT COMM",F480="REVERSE - TOTAL FUNDING"),A480,"")</f>
        <v/>
      </c>
      <c r="C480" s="10"/>
      <c r="D480" s="11"/>
      <c r="E480" s="11"/>
      <c r="F480" s="11"/>
      <c r="G480" s="12"/>
      <c r="H480" s="13"/>
      <c r="I480" s="11"/>
      <c r="J480" s="14" t="str">
        <f aca="false">IF(AND(G480&lt;&gt;"",H480&lt;&gt;""),G480*H480,"")</f>
        <v/>
      </c>
      <c r="K480" s="11"/>
      <c r="L480" s="15"/>
      <c r="M480" s="15"/>
      <c r="N480" s="14" t="n">
        <f aca="false">IF(OR(G480="",M480=""),0,IF(M480&gt;100,M480,G480*IF(M480&gt;1,M480/100,M480)))</f>
        <v>0</v>
      </c>
      <c r="O480" s="14" t="str">
        <f aca="false">IF(G480="","",G480*IF(L480="",0,IF(L480&gt;1,L480/100,L480))+N480)</f>
        <v/>
      </c>
      <c r="P480" s="11"/>
      <c r="Q480" s="16" t="str">
        <f aca="false">IF(P480="","",IFERROR(VLOOKUP(P480,PARTNERS!$A$2:$B$30,2,0),""))</f>
        <v/>
      </c>
      <c r="R480" s="17" t="str">
        <f aca="false">IF(O480="","",IF(OR(P480="",Q480=""),0,(O480-N480)*IF(Q480&gt;1,Q480/100,Q480)))</f>
        <v/>
      </c>
      <c r="S480" s="14" t="str">
        <f aca="false">IF(O480="","",O480-R480)</f>
        <v/>
      </c>
      <c r="T480" s="11"/>
      <c r="U480" s="18" t="str">
        <f aca="false">IF(T480="","",IFERROR(VLOOKUP(T480,REPS!$A$2:$D$40,2,0),""))</f>
        <v/>
      </c>
      <c r="V480" s="14" t="str">
        <f aca="false">IF(O480="","",IF(U480="",0,O480*IF(U480&gt;1,U480/100,U480)))</f>
        <v/>
      </c>
      <c r="W480" s="11"/>
      <c r="X480" s="18" t="str">
        <f aca="false">IF(W480="","",IFERROR(VLOOKUP(W480,REPS!$A$2:$D$40,3,0),""))</f>
        <v/>
      </c>
      <c r="Y480" s="14" t="str">
        <f aca="false">IF(O480="","",IF(X480="",0,O480*IF(X480&gt;1,X480/100,X480)))</f>
        <v/>
      </c>
      <c r="Z480" s="11"/>
      <c r="AA480" s="18" t="str">
        <f aca="false">IF(Z480="","",IFERROR(VLOOKUP(Z480,REPS!$A$2:$D$40,4,0),""))</f>
        <v/>
      </c>
      <c r="AB480" s="14" t="str">
        <f aca="false">IF(O480="","",IF(AA480="",0,O480*IF(AA480&gt;1,AA480/100,AA480)))</f>
        <v/>
      </c>
      <c r="AC480" s="14" t="str">
        <f aca="false">IF(O480="","",V480+Y480+AB480)</f>
        <v/>
      </c>
      <c r="AD480" s="19" t="str">
        <f aca="false">IF(O480="","",O480-R480-AC480)</f>
        <v/>
      </c>
      <c r="AE480" s="20"/>
      <c r="AF480" s="10"/>
      <c r="AG480" s="21" t="n">
        <f aca="false">IF(OR(AE480="",AE480=0),0,AE480*IF(U480="",0,IF(U480&gt;1,U480/100,U480)))</f>
        <v>0</v>
      </c>
      <c r="AH480" s="21" t="n">
        <f aca="false">IF(OR(AE480="",AE480=0),0,AE480*IF(X480="",0,IF(X480&gt;1,X480/100,X480)))</f>
        <v>0</v>
      </c>
      <c r="AI480" s="21" t="n">
        <f aca="false">IF(OR(AE480="",AE480=0),0,AE480*IF(AA480="",0,IF(AA480&gt;1,AA480/100,AA480)))</f>
        <v>0</v>
      </c>
      <c r="AJ480" s="21" t="n">
        <f aca="false">AG480+AH480+AI480</f>
        <v>0</v>
      </c>
      <c r="AK480" s="21" t="n">
        <f aca="false">IF(OR(AE480="",AE480=0),0,AE480-AJ480)</f>
        <v>0</v>
      </c>
      <c r="AL480" s="19" t="str">
        <f aca="false">IF(AD480="","",AD480-AK480)</f>
        <v/>
      </c>
      <c r="AM480" s="9" t="str">
        <f aca="false">IF(C480="","","Waiting for payment")</f>
        <v/>
      </c>
      <c r="AN480" s="10"/>
      <c r="AO480" s="10"/>
      <c r="AP480" s="22" t="str">
        <f aca="false">IF(OR(C480="",I480="",K480=""),"",IF(K480="Monthly",EDATE(C480,ROUND(I480*SETTINGS!$I$8,0)),WORKDAY(C480,ROUND(I480*SETTINGS!$I$8,0))))</f>
        <v/>
      </c>
      <c r="AQ480" s="9" t="str">
        <f aca="true">IF(C480="","",IF(AND(AP480&lt;&gt;"",TODAY()&gt;=AP480),"Refi Ready",IF(TODAY()-C480&gt;=SETTINGS!$I$11,"Prospecting","Performing")))</f>
        <v/>
      </c>
      <c r="AR480" s="22" t="str">
        <f aca="false">IF(OR(C480="",I480="",K480=""),"",IF(K480="Monthly",EDATE(C480,I480),WORKDAY(C480,I480)))</f>
        <v/>
      </c>
      <c r="AS480" s="11"/>
      <c r="AT480" s="23" t="str">
        <f aca="true">IF(C480="","",IF(AM480="Clawed Back","CLAWED",IF(TODAY()&lt;=C480+SETTINGS!$I$2,"⚠ AT RISK","SAFE")))</f>
        <v/>
      </c>
      <c r="AU480" s="11"/>
      <c r="AW480" s="24" t="n">
        <f aca="false">AW479+IF(AND(C480&lt;&gt;"",AO480&lt;&gt;"",OR('REP COMMISSION'!$B$3="",T480='REP COMMISSION'!$B$3,W480='REP COMMISSION'!$B$3,Z480='REP COMMISSION'!$B$3)),1,0)</f>
        <v>0</v>
      </c>
      <c r="AX480" s="24" t="n">
        <f aca="false">AX479+IF(AND(C480&lt;&gt;"",OR(F480="LOC - INITIAL",F480="CONSOLIDATION - UPFRONT COMM",F480="REVERSE - TOTAL FUNDING")),1,0)</f>
        <v>0</v>
      </c>
    </row>
    <row r="481" customFormat="false" ht="15" hidden="false" customHeight="false" outlineLevel="0" collapsed="false">
      <c r="A481" s="25" t="str">
        <f aca="false">IF(C481&lt;&gt;"","F"&amp;COUNT($C$4:C481),"")</f>
        <v/>
      </c>
      <c r="B481" s="26" t="str">
        <f aca="false">IF(OR(F481="LOC - INITIAL",F481="CONSOLIDATION - UPFRONT COMM",F481="REVERSE - TOTAL FUNDING"),A481,"")</f>
        <v/>
      </c>
      <c r="C481" s="27"/>
      <c r="D481" s="28"/>
      <c r="E481" s="28"/>
      <c r="F481" s="28"/>
      <c r="G481" s="29"/>
      <c r="H481" s="30"/>
      <c r="I481" s="28"/>
      <c r="J481" s="31" t="str">
        <f aca="false">IF(AND(G481&lt;&gt;"",H481&lt;&gt;""),G481*H481,"")</f>
        <v/>
      </c>
      <c r="K481" s="28"/>
      <c r="L481" s="32"/>
      <c r="M481" s="32"/>
      <c r="N481" s="31" t="n">
        <f aca="false">IF(OR(G481="",M481=""),0,IF(M481&gt;100,M481,G481*IF(M481&gt;1,M481/100,M481)))</f>
        <v>0</v>
      </c>
      <c r="O481" s="31" t="str">
        <f aca="false">IF(G481="","",G481*IF(L481="",0,IF(L481&gt;1,L481/100,L481))+N481)</f>
        <v/>
      </c>
      <c r="P481" s="28"/>
      <c r="Q481" s="33" t="str">
        <f aca="false">IF(P481="","",IFERROR(VLOOKUP(P481,PARTNERS!$A$2:$B$30,2,0),""))</f>
        <v/>
      </c>
      <c r="R481" s="17" t="str">
        <f aca="false">IF(O481="","",IF(OR(P481="",Q481=""),0,(O481-N481)*IF(Q481&gt;1,Q481/100,Q481)))</f>
        <v/>
      </c>
      <c r="S481" s="31" t="str">
        <f aca="false">IF(O481="","",O481-R481)</f>
        <v/>
      </c>
      <c r="T481" s="28"/>
      <c r="U481" s="34" t="str">
        <f aca="false">IF(T481="","",IFERROR(VLOOKUP(T481,REPS!$A$2:$D$40,2,0),""))</f>
        <v/>
      </c>
      <c r="V481" s="31" t="str">
        <f aca="false">IF(O481="","",IF(U481="",0,O481*IF(U481&gt;1,U481/100,U481)))</f>
        <v/>
      </c>
      <c r="W481" s="28"/>
      <c r="X481" s="34" t="str">
        <f aca="false">IF(W481="","",IFERROR(VLOOKUP(W481,REPS!$A$2:$D$40,3,0),""))</f>
        <v/>
      </c>
      <c r="Y481" s="31" t="str">
        <f aca="false">IF(O481="","",IF(X481="",0,O481*IF(X481&gt;1,X481/100,X481)))</f>
        <v/>
      </c>
      <c r="Z481" s="28"/>
      <c r="AA481" s="34" t="str">
        <f aca="false">IF(Z481="","",IFERROR(VLOOKUP(Z481,REPS!$A$2:$D$40,4,0),""))</f>
        <v/>
      </c>
      <c r="AB481" s="31" t="str">
        <f aca="false">IF(O481="","",IF(AA481="",0,O481*IF(AA481&gt;1,AA481/100,AA481)))</f>
        <v/>
      </c>
      <c r="AC481" s="31" t="str">
        <f aca="false">IF(O481="","",V481+Y481+AB481)</f>
        <v/>
      </c>
      <c r="AD481" s="19" t="str">
        <f aca="false">IF(O481="","",O481-R481-AC481)</f>
        <v/>
      </c>
      <c r="AE481" s="20"/>
      <c r="AF481" s="27"/>
      <c r="AG481" s="21" t="n">
        <f aca="false">IF(OR(AE481="",AE481=0),0,AE481*IF(U481="",0,IF(U481&gt;1,U481/100,U481)))</f>
        <v>0</v>
      </c>
      <c r="AH481" s="21" t="n">
        <f aca="false">IF(OR(AE481="",AE481=0),0,AE481*IF(X481="",0,IF(X481&gt;1,X481/100,X481)))</f>
        <v>0</v>
      </c>
      <c r="AI481" s="21" t="n">
        <f aca="false">IF(OR(AE481="",AE481=0),0,AE481*IF(AA481="",0,IF(AA481&gt;1,AA481/100,AA481)))</f>
        <v>0</v>
      </c>
      <c r="AJ481" s="21" t="n">
        <f aca="false">AG481+AH481+AI481</f>
        <v>0</v>
      </c>
      <c r="AK481" s="21" t="n">
        <f aca="false">IF(OR(AE481="",AE481=0),0,AE481-AJ481)</f>
        <v>0</v>
      </c>
      <c r="AL481" s="19" t="str">
        <f aca="false">IF(AD481="","",AD481-AK481)</f>
        <v/>
      </c>
      <c r="AM481" s="26" t="str">
        <f aca="false">IF(C481="","","Waiting for payment")</f>
        <v/>
      </c>
      <c r="AN481" s="27"/>
      <c r="AO481" s="27"/>
      <c r="AP481" s="35" t="str">
        <f aca="false">IF(OR(C481="",I481="",K481=""),"",IF(K481="Monthly",EDATE(C481,ROUND(I481*SETTINGS!$I$8,0)),WORKDAY(C481,ROUND(I481*SETTINGS!$I$8,0))))</f>
        <v/>
      </c>
      <c r="AQ481" s="26" t="str">
        <f aca="true">IF(C481="","",IF(AND(AP481&lt;&gt;"",TODAY()&gt;=AP481),"Refi Ready",IF(TODAY()-C481&gt;=SETTINGS!$I$11,"Prospecting","Performing")))</f>
        <v/>
      </c>
      <c r="AR481" s="35" t="str">
        <f aca="false">IF(OR(C481="",I481="",K481=""),"",IF(K481="Monthly",EDATE(C481,I481),WORKDAY(C481,I481)))</f>
        <v/>
      </c>
      <c r="AS481" s="28"/>
      <c r="AT481" s="36" t="str">
        <f aca="true">IF(C481="","",IF(AM481="Clawed Back","CLAWED",IF(TODAY()&lt;=C481+SETTINGS!$I$2,"⚠ AT RISK","SAFE")))</f>
        <v/>
      </c>
      <c r="AU481" s="28"/>
      <c r="AW481" s="24" t="n">
        <f aca="false">AW480+IF(AND(C481&lt;&gt;"",AO481&lt;&gt;"",OR('REP COMMISSION'!$B$3="",T481='REP COMMISSION'!$B$3,W481='REP COMMISSION'!$B$3,Z481='REP COMMISSION'!$B$3)),1,0)</f>
        <v>0</v>
      </c>
      <c r="AX481" s="24" t="n">
        <f aca="false">AX480+IF(AND(C481&lt;&gt;"",OR(F481="LOC - INITIAL",F481="CONSOLIDATION - UPFRONT COMM",F481="REVERSE - TOTAL FUNDING")),1,0)</f>
        <v>0</v>
      </c>
    </row>
    <row r="482" customFormat="false" ht="15" hidden="false" customHeight="false" outlineLevel="0" collapsed="false">
      <c r="A482" s="8" t="str">
        <f aca="false">IF(C482&lt;&gt;"","F"&amp;COUNT($C$4:C482),"")</f>
        <v/>
      </c>
      <c r="B482" s="9" t="str">
        <f aca="false">IF(OR(F482="LOC - INITIAL",F482="CONSOLIDATION - UPFRONT COMM",F482="REVERSE - TOTAL FUNDING"),A482,"")</f>
        <v/>
      </c>
      <c r="C482" s="10"/>
      <c r="D482" s="11"/>
      <c r="E482" s="11"/>
      <c r="F482" s="11"/>
      <c r="G482" s="12"/>
      <c r="H482" s="13"/>
      <c r="I482" s="11"/>
      <c r="J482" s="14" t="str">
        <f aca="false">IF(AND(G482&lt;&gt;"",H482&lt;&gt;""),G482*H482,"")</f>
        <v/>
      </c>
      <c r="K482" s="11"/>
      <c r="L482" s="15"/>
      <c r="M482" s="15"/>
      <c r="N482" s="14" t="n">
        <f aca="false">IF(OR(G482="",M482=""),0,IF(M482&gt;100,M482,G482*IF(M482&gt;1,M482/100,M482)))</f>
        <v>0</v>
      </c>
      <c r="O482" s="14" t="str">
        <f aca="false">IF(G482="","",G482*IF(L482="",0,IF(L482&gt;1,L482/100,L482))+N482)</f>
        <v/>
      </c>
      <c r="P482" s="11"/>
      <c r="Q482" s="16" t="str">
        <f aca="false">IF(P482="","",IFERROR(VLOOKUP(P482,PARTNERS!$A$2:$B$30,2,0),""))</f>
        <v/>
      </c>
      <c r="R482" s="17" t="str">
        <f aca="false">IF(O482="","",IF(OR(P482="",Q482=""),0,(O482-N482)*IF(Q482&gt;1,Q482/100,Q482)))</f>
        <v/>
      </c>
      <c r="S482" s="14" t="str">
        <f aca="false">IF(O482="","",O482-R482)</f>
        <v/>
      </c>
      <c r="T482" s="11"/>
      <c r="U482" s="18" t="str">
        <f aca="false">IF(T482="","",IFERROR(VLOOKUP(T482,REPS!$A$2:$D$40,2,0),""))</f>
        <v/>
      </c>
      <c r="V482" s="14" t="str">
        <f aca="false">IF(O482="","",IF(U482="",0,O482*IF(U482&gt;1,U482/100,U482)))</f>
        <v/>
      </c>
      <c r="W482" s="11"/>
      <c r="X482" s="18" t="str">
        <f aca="false">IF(W482="","",IFERROR(VLOOKUP(W482,REPS!$A$2:$D$40,3,0),""))</f>
        <v/>
      </c>
      <c r="Y482" s="14" t="str">
        <f aca="false">IF(O482="","",IF(X482="",0,O482*IF(X482&gt;1,X482/100,X482)))</f>
        <v/>
      </c>
      <c r="Z482" s="11"/>
      <c r="AA482" s="18" t="str">
        <f aca="false">IF(Z482="","",IFERROR(VLOOKUP(Z482,REPS!$A$2:$D$40,4,0),""))</f>
        <v/>
      </c>
      <c r="AB482" s="14" t="str">
        <f aca="false">IF(O482="","",IF(AA482="",0,O482*IF(AA482&gt;1,AA482/100,AA482)))</f>
        <v/>
      </c>
      <c r="AC482" s="14" t="str">
        <f aca="false">IF(O482="","",V482+Y482+AB482)</f>
        <v/>
      </c>
      <c r="AD482" s="19" t="str">
        <f aca="false">IF(O482="","",O482-R482-AC482)</f>
        <v/>
      </c>
      <c r="AE482" s="20"/>
      <c r="AF482" s="10"/>
      <c r="AG482" s="21" t="n">
        <f aca="false">IF(OR(AE482="",AE482=0),0,AE482*IF(U482="",0,IF(U482&gt;1,U482/100,U482)))</f>
        <v>0</v>
      </c>
      <c r="AH482" s="21" t="n">
        <f aca="false">IF(OR(AE482="",AE482=0),0,AE482*IF(X482="",0,IF(X482&gt;1,X482/100,X482)))</f>
        <v>0</v>
      </c>
      <c r="AI482" s="21" t="n">
        <f aca="false">IF(OR(AE482="",AE482=0),0,AE482*IF(AA482="",0,IF(AA482&gt;1,AA482/100,AA482)))</f>
        <v>0</v>
      </c>
      <c r="AJ482" s="21" t="n">
        <f aca="false">AG482+AH482+AI482</f>
        <v>0</v>
      </c>
      <c r="AK482" s="21" t="n">
        <f aca="false">IF(OR(AE482="",AE482=0),0,AE482-AJ482)</f>
        <v>0</v>
      </c>
      <c r="AL482" s="19" t="str">
        <f aca="false">IF(AD482="","",AD482-AK482)</f>
        <v/>
      </c>
      <c r="AM482" s="9" t="str">
        <f aca="false">IF(C482="","","Waiting for payment")</f>
        <v/>
      </c>
      <c r="AN482" s="10"/>
      <c r="AO482" s="10"/>
      <c r="AP482" s="22" t="str">
        <f aca="false">IF(OR(C482="",I482="",K482=""),"",IF(K482="Monthly",EDATE(C482,ROUND(I482*SETTINGS!$I$8,0)),WORKDAY(C482,ROUND(I482*SETTINGS!$I$8,0))))</f>
        <v/>
      </c>
      <c r="AQ482" s="9" t="str">
        <f aca="true">IF(C482="","",IF(AND(AP482&lt;&gt;"",TODAY()&gt;=AP482),"Refi Ready",IF(TODAY()-C482&gt;=SETTINGS!$I$11,"Prospecting","Performing")))</f>
        <v/>
      </c>
      <c r="AR482" s="22" t="str">
        <f aca="false">IF(OR(C482="",I482="",K482=""),"",IF(K482="Monthly",EDATE(C482,I482),WORKDAY(C482,I482)))</f>
        <v/>
      </c>
      <c r="AS482" s="11"/>
      <c r="AT482" s="23" t="str">
        <f aca="true">IF(C482="","",IF(AM482="Clawed Back","CLAWED",IF(TODAY()&lt;=C482+SETTINGS!$I$2,"⚠ AT RISK","SAFE")))</f>
        <v/>
      </c>
      <c r="AU482" s="11"/>
      <c r="AW482" s="24" t="n">
        <f aca="false">AW481+IF(AND(C482&lt;&gt;"",AO482&lt;&gt;"",OR('REP COMMISSION'!$B$3="",T482='REP COMMISSION'!$B$3,W482='REP COMMISSION'!$B$3,Z482='REP COMMISSION'!$B$3)),1,0)</f>
        <v>0</v>
      </c>
      <c r="AX482" s="24" t="n">
        <f aca="false">AX481+IF(AND(C482&lt;&gt;"",OR(F482="LOC - INITIAL",F482="CONSOLIDATION - UPFRONT COMM",F482="REVERSE - TOTAL FUNDING")),1,0)</f>
        <v>0</v>
      </c>
    </row>
    <row r="483" customFormat="false" ht="15" hidden="false" customHeight="false" outlineLevel="0" collapsed="false">
      <c r="A483" s="25" t="str">
        <f aca="false">IF(C483&lt;&gt;"","F"&amp;COUNT($C$4:C483),"")</f>
        <v/>
      </c>
      <c r="B483" s="26" t="str">
        <f aca="false">IF(OR(F483="LOC - INITIAL",F483="CONSOLIDATION - UPFRONT COMM",F483="REVERSE - TOTAL FUNDING"),A483,"")</f>
        <v/>
      </c>
      <c r="C483" s="27"/>
      <c r="D483" s="28"/>
      <c r="E483" s="28"/>
      <c r="F483" s="28"/>
      <c r="G483" s="29"/>
      <c r="H483" s="30"/>
      <c r="I483" s="28"/>
      <c r="J483" s="31" t="str">
        <f aca="false">IF(AND(G483&lt;&gt;"",H483&lt;&gt;""),G483*H483,"")</f>
        <v/>
      </c>
      <c r="K483" s="28"/>
      <c r="L483" s="32"/>
      <c r="M483" s="32"/>
      <c r="N483" s="31" t="n">
        <f aca="false">IF(OR(G483="",M483=""),0,IF(M483&gt;100,M483,G483*IF(M483&gt;1,M483/100,M483)))</f>
        <v>0</v>
      </c>
      <c r="O483" s="31" t="str">
        <f aca="false">IF(G483="","",G483*IF(L483="",0,IF(L483&gt;1,L483/100,L483))+N483)</f>
        <v/>
      </c>
      <c r="P483" s="28"/>
      <c r="Q483" s="33" t="str">
        <f aca="false">IF(P483="","",IFERROR(VLOOKUP(P483,PARTNERS!$A$2:$B$30,2,0),""))</f>
        <v/>
      </c>
      <c r="R483" s="17" t="str">
        <f aca="false">IF(O483="","",IF(OR(P483="",Q483=""),0,(O483-N483)*IF(Q483&gt;1,Q483/100,Q483)))</f>
        <v/>
      </c>
      <c r="S483" s="31" t="str">
        <f aca="false">IF(O483="","",O483-R483)</f>
        <v/>
      </c>
      <c r="T483" s="28"/>
      <c r="U483" s="34" t="str">
        <f aca="false">IF(T483="","",IFERROR(VLOOKUP(T483,REPS!$A$2:$D$40,2,0),""))</f>
        <v/>
      </c>
      <c r="V483" s="31" t="str">
        <f aca="false">IF(O483="","",IF(U483="",0,O483*IF(U483&gt;1,U483/100,U483)))</f>
        <v/>
      </c>
      <c r="W483" s="28"/>
      <c r="X483" s="34" t="str">
        <f aca="false">IF(W483="","",IFERROR(VLOOKUP(W483,REPS!$A$2:$D$40,3,0),""))</f>
        <v/>
      </c>
      <c r="Y483" s="31" t="str">
        <f aca="false">IF(O483="","",IF(X483="",0,O483*IF(X483&gt;1,X483/100,X483)))</f>
        <v/>
      </c>
      <c r="Z483" s="28"/>
      <c r="AA483" s="34" t="str">
        <f aca="false">IF(Z483="","",IFERROR(VLOOKUP(Z483,REPS!$A$2:$D$40,4,0),""))</f>
        <v/>
      </c>
      <c r="AB483" s="31" t="str">
        <f aca="false">IF(O483="","",IF(AA483="",0,O483*IF(AA483&gt;1,AA483/100,AA483)))</f>
        <v/>
      </c>
      <c r="AC483" s="31" t="str">
        <f aca="false">IF(O483="","",V483+Y483+AB483)</f>
        <v/>
      </c>
      <c r="AD483" s="19" t="str">
        <f aca="false">IF(O483="","",O483-R483-AC483)</f>
        <v/>
      </c>
      <c r="AE483" s="20"/>
      <c r="AF483" s="27"/>
      <c r="AG483" s="21" t="n">
        <f aca="false">IF(OR(AE483="",AE483=0),0,AE483*IF(U483="",0,IF(U483&gt;1,U483/100,U483)))</f>
        <v>0</v>
      </c>
      <c r="AH483" s="21" t="n">
        <f aca="false">IF(OR(AE483="",AE483=0),0,AE483*IF(X483="",0,IF(X483&gt;1,X483/100,X483)))</f>
        <v>0</v>
      </c>
      <c r="AI483" s="21" t="n">
        <f aca="false">IF(OR(AE483="",AE483=0),0,AE483*IF(AA483="",0,IF(AA483&gt;1,AA483/100,AA483)))</f>
        <v>0</v>
      </c>
      <c r="AJ483" s="21" t="n">
        <f aca="false">AG483+AH483+AI483</f>
        <v>0</v>
      </c>
      <c r="AK483" s="21" t="n">
        <f aca="false">IF(OR(AE483="",AE483=0),0,AE483-AJ483)</f>
        <v>0</v>
      </c>
      <c r="AL483" s="19" t="str">
        <f aca="false">IF(AD483="","",AD483-AK483)</f>
        <v/>
      </c>
      <c r="AM483" s="26" t="str">
        <f aca="false">IF(C483="","","Waiting for payment")</f>
        <v/>
      </c>
      <c r="AN483" s="27"/>
      <c r="AO483" s="27"/>
      <c r="AP483" s="35" t="str">
        <f aca="false">IF(OR(C483="",I483="",K483=""),"",IF(K483="Monthly",EDATE(C483,ROUND(I483*SETTINGS!$I$8,0)),WORKDAY(C483,ROUND(I483*SETTINGS!$I$8,0))))</f>
        <v/>
      </c>
      <c r="AQ483" s="26" t="str">
        <f aca="true">IF(C483="","",IF(AND(AP483&lt;&gt;"",TODAY()&gt;=AP483),"Refi Ready",IF(TODAY()-C483&gt;=SETTINGS!$I$11,"Prospecting","Performing")))</f>
        <v/>
      </c>
      <c r="AR483" s="35" t="str">
        <f aca="false">IF(OR(C483="",I483="",K483=""),"",IF(K483="Monthly",EDATE(C483,I483),WORKDAY(C483,I483)))</f>
        <v/>
      </c>
      <c r="AS483" s="28"/>
      <c r="AT483" s="36" t="str">
        <f aca="true">IF(C483="","",IF(AM483="Clawed Back","CLAWED",IF(TODAY()&lt;=C483+SETTINGS!$I$2,"⚠ AT RISK","SAFE")))</f>
        <v/>
      </c>
      <c r="AU483" s="28"/>
      <c r="AW483" s="24" t="n">
        <f aca="false">AW482+IF(AND(C483&lt;&gt;"",AO483&lt;&gt;"",OR('REP COMMISSION'!$B$3="",T483='REP COMMISSION'!$B$3,W483='REP COMMISSION'!$B$3,Z483='REP COMMISSION'!$B$3)),1,0)</f>
        <v>0</v>
      </c>
      <c r="AX483" s="24" t="n">
        <f aca="false">AX482+IF(AND(C483&lt;&gt;"",OR(F483="LOC - INITIAL",F483="CONSOLIDATION - UPFRONT COMM",F483="REVERSE - TOTAL FUNDING")),1,0)</f>
        <v>0</v>
      </c>
    </row>
    <row r="484" customFormat="false" ht="15" hidden="false" customHeight="false" outlineLevel="0" collapsed="false">
      <c r="A484" s="8" t="str">
        <f aca="false">IF(C484&lt;&gt;"","F"&amp;COUNT($C$4:C484),"")</f>
        <v/>
      </c>
      <c r="B484" s="9" t="str">
        <f aca="false">IF(OR(F484="LOC - INITIAL",F484="CONSOLIDATION - UPFRONT COMM",F484="REVERSE - TOTAL FUNDING"),A484,"")</f>
        <v/>
      </c>
      <c r="C484" s="10"/>
      <c r="D484" s="11"/>
      <c r="E484" s="11"/>
      <c r="F484" s="11"/>
      <c r="G484" s="12"/>
      <c r="H484" s="13"/>
      <c r="I484" s="11"/>
      <c r="J484" s="14" t="str">
        <f aca="false">IF(AND(G484&lt;&gt;"",H484&lt;&gt;""),G484*H484,"")</f>
        <v/>
      </c>
      <c r="K484" s="11"/>
      <c r="L484" s="15"/>
      <c r="M484" s="15"/>
      <c r="N484" s="14" t="n">
        <f aca="false">IF(OR(G484="",M484=""),0,IF(M484&gt;100,M484,G484*IF(M484&gt;1,M484/100,M484)))</f>
        <v>0</v>
      </c>
      <c r="O484" s="14" t="str">
        <f aca="false">IF(G484="","",G484*IF(L484="",0,IF(L484&gt;1,L484/100,L484))+N484)</f>
        <v/>
      </c>
      <c r="P484" s="11"/>
      <c r="Q484" s="16" t="str">
        <f aca="false">IF(P484="","",IFERROR(VLOOKUP(P484,PARTNERS!$A$2:$B$30,2,0),""))</f>
        <v/>
      </c>
      <c r="R484" s="17" t="str">
        <f aca="false">IF(O484="","",IF(OR(P484="",Q484=""),0,(O484-N484)*IF(Q484&gt;1,Q484/100,Q484)))</f>
        <v/>
      </c>
      <c r="S484" s="14" t="str">
        <f aca="false">IF(O484="","",O484-R484)</f>
        <v/>
      </c>
      <c r="T484" s="11"/>
      <c r="U484" s="18" t="str">
        <f aca="false">IF(T484="","",IFERROR(VLOOKUP(T484,REPS!$A$2:$D$40,2,0),""))</f>
        <v/>
      </c>
      <c r="V484" s="14" t="str">
        <f aca="false">IF(O484="","",IF(U484="",0,O484*IF(U484&gt;1,U484/100,U484)))</f>
        <v/>
      </c>
      <c r="W484" s="11"/>
      <c r="X484" s="18" t="str">
        <f aca="false">IF(W484="","",IFERROR(VLOOKUP(W484,REPS!$A$2:$D$40,3,0),""))</f>
        <v/>
      </c>
      <c r="Y484" s="14" t="str">
        <f aca="false">IF(O484="","",IF(X484="",0,O484*IF(X484&gt;1,X484/100,X484)))</f>
        <v/>
      </c>
      <c r="Z484" s="11"/>
      <c r="AA484" s="18" t="str">
        <f aca="false">IF(Z484="","",IFERROR(VLOOKUP(Z484,REPS!$A$2:$D$40,4,0),""))</f>
        <v/>
      </c>
      <c r="AB484" s="14" t="str">
        <f aca="false">IF(O484="","",IF(AA484="",0,O484*IF(AA484&gt;1,AA484/100,AA484)))</f>
        <v/>
      </c>
      <c r="AC484" s="14" t="str">
        <f aca="false">IF(O484="","",V484+Y484+AB484)</f>
        <v/>
      </c>
      <c r="AD484" s="19" t="str">
        <f aca="false">IF(O484="","",O484-R484-AC484)</f>
        <v/>
      </c>
      <c r="AE484" s="20"/>
      <c r="AF484" s="10"/>
      <c r="AG484" s="21" t="n">
        <f aca="false">IF(OR(AE484="",AE484=0),0,AE484*IF(U484="",0,IF(U484&gt;1,U484/100,U484)))</f>
        <v>0</v>
      </c>
      <c r="AH484" s="21" t="n">
        <f aca="false">IF(OR(AE484="",AE484=0),0,AE484*IF(X484="",0,IF(X484&gt;1,X484/100,X484)))</f>
        <v>0</v>
      </c>
      <c r="AI484" s="21" t="n">
        <f aca="false">IF(OR(AE484="",AE484=0),0,AE484*IF(AA484="",0,IF(AA484&gt;1,AA484/100,AA484)))</f>
        <v>0</v>
      </c>
      <c r="AJ484" s="21" t="n">
        <f aca="false">AG484+AH484+AI484</f>
        <v>0</v>
      </c>
      <c r="AK484" s="21" t="n">
        <f aca="false">IF(OR(AE484="",AE484=0),0,AE484-AJ484)</f>
        <v>0</v>
      </c>
      <c r="AL484" s="19" t="str">
        <f aca="false">IF(AD484="","",AD484-AK484)</f>
        <v/>
      </c>
      <c r="AM484" s="9" t="str">
        <f aca="false">IF(C484="","","Waiting for payment")</f>
        <v/>
      </c>
      <c r="AN484" s="10"/>
      <c r="AO484" s="10"/>
      <c r="AP484" s="22" t="str">
        <f aca="false">IF(OR(C484="",I484="",K484=""),"",IF(K484="Monthly",EDATE(C484,ROUND(I484*SETTINGS!$I$8,0)),WORKDAY(C484,ROUND(I484*SETTINGS!$I$8,0))))</f>
        <v/>
      </c>
      <c r="AQ484" s="9" t="str">
        <f aca="true">IF(C484="","",IF(AND(AP484&lt;&gt;"",TODAY()&gt;=AP484),"Refi Ready",IF(TODAY()-C484&gt;=SETTINGS!$I$11,"Prospecting","Performing")))</f>
        <v/>
      </c>
      <c r="AR484" s="22" t="str">
        <f aca="false">IF(OR(C484="",I484="",K484=""),"",IF(K484="Monthly",EDATE(C484,I484),WORKDAY(C484,I484)))</f>
        <v/>
      </c>
      <c r="AS484" s="11"/>
      <c r="AT484" s="23" t="str">
        <f aca="true">IF(C484="","",IF(AM484="Clawed Back","CLAWED",IF(TODAY()&lt;=C484+SETTINGS!$I$2,"⚠ AT RISK","SAFE")))</f>
        <v/>
      </c>
      <c r="AU484" s="11"/>
      <c r="AW484" s="24" t="n">
        <f aca="false">AW483+IF(AND(C484&lt;&gt;"",AO484&lt;&gt;"",OR('REP COMMISSION'!$B$3="",T484='REP COMMISSION'!$B$3,W484='REP COMMISSION'!$B$3,Z484='REP COMMISSION'!$B$3)),1,0)</f>
        <v>0</v>
      </c>
      <c r="AX484" s="24" t="n">
        <f aca="false">AX483+IF(AND(C484&lt;&gt;"",OR(F484="LOC - INITIAL",F484="CONSOLIDATION - UPFRONT COMM",F484="REVERSE - TOTAL FUNDING")),1,0)</f>
        <v>0</v>
      </c>
    </row>
    <row r="485" customFormat="false" ht="15" hidden="false" customHeight="false" outlineLevel="0" collapsed="false">
      <c r="A485" s="25" t="str">
        <f aca="false">IF(C485&lt;&gt;"","F"&amp;COUNT($C$4:C485),"")</f>
        <v/>
      </c>
      <c r="B485" s="26" t="str">
        <f aca="false">IF(OR(F485="LOC - INITIAL",F485="CONSOLIDATION - UPFRONT COMM",F485="REVERSE - TOTAL FUNDING"),A485,"")</f>
        <v/>
      </c>
      <c r="C485" s="27"/>
      <c r="D485" s="28"/>
      <c r="E485" s="28"/>
      <c r="F485" s="28"/>
      <c r="G485" s="29"/>
      <c r="H485" s="30"/>
      <c r="I485" s="28"/>
      <c r="J485" s="31" t="str">
        <f aca="false">IF(AND(G485&lt;&gt;"",H485&lt;&gt;""),G485*H485,"")</f>
        <v/>
      </c>
      <c r="K485" s="28"/>
      <c r="L485" s="32"/>
      <c r="M485" s="32"/>
      <c r="N485" s="31" t="n">
        <f aca="false">IF(OR(G485="",M485=""),0,IF(M485&gt;100,M485,G485*IF(M485&gt;1,M485/100,M485)))</f>
        <v>0</v>
      </c>
      <c r="O485" s="31" t="str">
        <f aca="false">IF(G485="","",G485*IF(L485="",0,IF(L485&gt;1,L485/100,L485))+N485)</f>
        <v/>
      </c>
      <c r="P485" s="28"/>
      <c r="Q485" s="33" t="str">
        <f aca="false">IF(P485="","",IFERROR(VLOOKUP(P485,PARTNERS!$A$2:$B$30,2,0),""))</f>
        <v/>
      </c>
      <c r="R485" s="17" t="str">
        <f aca="false">IF(O485="","",IF(OR(P485="",Q485=""),0,(O485-N485)*IF(Q485&gt;1,Q485/100,Q485)))</f>
        <v/>
      </c>
      <c r="S485" s="31" t="str">
        <f aca="false">IF(O485="","",O485-R485)</f>
        <v/>
      </c>
      <c r="T485" s="28"/>
      <c r="U485" s="34" t="str">
        <f aca="false">IF(T485="","",IFERROR(VLOOKUP(T485,REPS!$A$2:$D$40,2,0),""))</f>
        <v/>
      </c>
      <c r="V485" s="31" t="str">
        <f aca="false">IF(O485="","",IF(U485="",0,O485*IF(U485&gt;1,U485/100,U485)))</f>
        <v/>
      </c>
      <c r="W485" s="28"/>
      <c r="X485" s="34" t="str">
        <f aca="false">IF(W485="","",IFERROR(VLOOKUP(W485,REPS!$A$2:$D$40,3,0),""))</f>
        <v/>
      </c>
      <c r="Y485" s="31" t="str">
        <f aca="false">IF(O485="","",IF(X485="",0,O485*IF(X485&gt;1,X485/100,X485)))</f>
        <v/>
      </c>
      <c r="Z485" s="28"/>
      <c r="AA485" s="34" t="str">
        <f aca="false">IF(Z485="","",IFERROR(VLOOKUP(Z485,REPS!$A$2:$D$40,4,0),""))</f>
        <v/>
      </c>
      <c r="AB485" s="31" t="str">
        <f aca="false">IF(O485="","",IF(AA485="",0,O485*IF(AA485&gt;1,AA485/100,AA485)))</f>
        <v/>
      </c>
      <c r="AC485" s="31" t="str">
        <f aca="false">IF(O485="","",V485+Y485+AB485)</f>
        <v/>
      </c>
      <c r="AD485" s="19" t="str">
        <f aca="false">IF(O485="","",O485-R485-AC485)</f>
        <v/>
      </c>
      <c r="AE485" s="20"/>
      <c r="AF485" s="27"/>
      <c r="AG485" s="21" t="n">
        <f aca="false">IF(OR(AE485="",AE485=0),0,AE485*IF(U485="",0,IF(U485&gt;1,U485/100,U485)))</f>
        <v>0</v>
      </c>
      <c r="AH485" s="21" t="n">
        <f aca="false">IF(OR(AE485="",AE485=0),0,AE485*IF(X485="",0,IF(X485&gt;1,X485/100,X485)))</f>
        <v>0</v>
      </c>
      <c r="AI485" s="21" t="n">
        <f aca="false">IF(OR(AE485="",AE485=0),0,AE485*IF(AA485="",0,IF(AA485&gt;1,AA485/100,AA485)))</f>
        <v>0</v>
      </c>
      <c r="AJ485" s="21" t="n">
        <f aca="false">AG485+AH485+AI485</f>
        <v>0</v>
      </c>
      <c r="AK485" s="21" t="n">
        <f aca="false">IF(OR(AE485="",AE485=0),0,AE485-AJ485)</f>
        <v>0</v>
      </c>
      <c r="AL485" s="19" t="str">
        <f aca="false">IF(AD485="","",AD485-AK485)</f>
        <v/>
      </c>
      <c r="AM485" s="26" t="str">
        <f aca="false">IF(C485="","","Waiting for payment")</f>
        <v/>
      </c>
      <c r="AN485" s="27"/>
      <c r="AO485" s="27"/>
      <c r="AP485" s="35" t="str">
        <f aca="false">IF(OR(C485="",I485="",K485=""),"",IF(K485="Monthly",EDATE(C485,ROUND(I485*SETTINGS!$I$8,0)),WORKDAY(C485,ROUND(I485*SETTINGS!$I$8,0))))</f>
        <v/>
      </c>
      <c r="AQ485" s="26" t="str">
        <f aca="true">IF(C485="","",IF(AND(AP485&lt;&gt;"",TODAY()&gt;=AP485),"Refi Ready",IF(TODAY()-C485&gt;=SETTINGS!$I$11,"Prospecting","Performing")))</f>
        <v/>
      </c>
      <c r="AR485" s="35" t="str">
        <f aca="false">IF(OR(C485="",I485="",K485=""),"",IF(K485="Monthly",EDATE(C485,I485),WORKDAY(C485,I485)))</f>
        <v/>
      </c>
      <c r="AS485" s="28"/>
      <c r="AT485" s="36" t="str">
        <f aca="true">IF(C485="","",IF(AM485="Clawed Back","CLAWED",IF(TODAY()&lt;=C485+SETTINGS!$I$2,"⚠ AT RISK","SAFE")))</f>
        <v/>
      </c>
      <c r="AU485" s="28"/>
      <c r="AW485" s="24" t="n">
        <f aca="false">AW484+IF(AND(C485&lt;&gt;"",AO485&lt;&gt;"",OR('REP COMMISSION'!$B$3="",T485='REP COMMISSION'!$B$3,W485='REP COMMISSION'!$B$3,Z485='REP COMMISSION'!$B$3)),1,0)</f>
        <v>0</v>
      </c>
      <c r="AX485" s="24" t="n">
        <f aca="false">AX484+IF(AND(C485&lt;&gt;"",OR(F485="LOC - INITIAL",F485="CONSOLIDATION - UPFRONT COMM",F485="REVERSE - TOTAL FUNDING")),1,0)</f>
        <v>0</v>
      </c>
    </row>
    <row r="486" customFormat="false" ht="15" hidden="false" customHeight="false" outlineLevel="0" collapsed="false">
      <c r="A486" s="8" t="str">
        <f aca="false">IF(C486&lt;&gt;"","F"&amp;COUNT($C$4:C486),"")</f>
        <v/>
      </c>
      <c r="B486" s="9" t="str">
        <f aca="false">IF(OR(F486="LOC - INITIAL",F486="CONSOLIDATION - UPFRONT COMM",F486="REVERSE - TOTAL FUNDING"),A486,"")</f>
        <v/>
      </c>
      <c r="C486" s="10"/>
      <c r="D486" s="11"/>
      <c r="E486" s="11"/>
      <c r="F486" s="11"/>
      <c r="G486" s="12"/>
      <c r="H486" s="13"/>
      <c r="I486" s="11"/>
      <c r="J486" s="14" t="str">
        <f aca="false">IF(AND(G486&lt;&gt;"",H486&lt;&gt;""),G486*H486,"")</f>
        <v/>
      </c>
      <c r="K486" s="11"/>
      <c r="L486" s="15"/>
      <c r="M486" s="15"/>
      <c r="N486" s="14" t="n">
        <f aca="false">IF(OR(G486="",M486=""),0,IF(M486&gt;100,M486,G486*IF(M486&gt;1,M486/100,M486)))</f>
        <v>0</v>
      </c>
      <c r="O486" s="14" t="str">
        <f aca="false">IF(G486="","",G486*IF(L486="",0,IF(L486&gt;1,L486/100,L486))+N486)</f>
        <v/>
      </c>
      <c r="P486" s="11"/>
      <c r="Q486" s="16" t="str">
        <f aca="false">IF(P486="","",IFERROR(VLOOKUP(P486,PARTNERS!$A$2:$B$30,2,0),""))</f>
        <v/>
      </c>
      <c r="R486" s="17" t="str">
        <f aca="false">IF(O486="","",IF(OR(P486="",Q486=""),0,(O486-N486)*IF(Q486&gt;1,Q486/100,Q486)))</f>
        <v/>
      </c>
      <c r="S486" s="14" t="str">
        <f aca="false">IF(O486="","",O486-R486)</f>
        <v/>
      </c>
      <c r="T486" s="11"/>
      <c r="U486" s="18" t="str">
        <f aca="false">IF(T486="","",IFERROR(VLOOKUP(T486,REPS!$A$2:$D$40,2,0),""))</f>
        <v/>
      </c>
      <c r="V486" s="14" t="str">
        <f aca="false">IF(O486="","",IF(U486="",0,O486*IF(U486&gt;1,U486/100,U486)))</f>
        <v/>
      </c>
      <c r="W486" s="11"/>
      <c r="X486" s="18" t="str">
        <f aca="false">IF(W486="","",IFERROR(VLOOKUP(W486,REPS!$A$2:$D$40,3,0),""))</f>
        <v/>
      </c>
      <c r="Y486" s="14" t="str">
        <f aca="false">IF(O486="","",IF(X486="",0,O486*IF(X486&gt;1,X486/100,X486)))</f>
        <v/>
      </c>
      <c r="Z486" s="11"/>
      <c r="AA486" s="18" t="str">
        <f aca="false">IF(Z486="","",IFERROR(VLOOKUP(Z486,REPS!$A$2:$D$40,4,0),""))</f>
        <v/>
      </c>
      <c r="AB486" s="14" t="str">
        <f aca="false">IF(O486="","",IF(AA486="",0,O486*IF(AA486&gt;1,AA486/100,AA486)))</f>
        <v/>
      </c>
      <c r="AC486" s="14" t="str">
        <f aca="false">IF(O486="","",V486+Y486+AB486)</f>
        <v/>
      </c>
      <c r="AD486" s="19" t="str">
        <f aca="false">IF(O486="","",O486-R486-AC486)</f>
        <v/>
      </c>
      <c r="AE486" s="20"/>
      <c r="AF486" s="10"/>
      <c r="AG486" s="21" t="n">
        <f aca="false">IF(OR(AE486="",AE486=0),0,AE486*IF(U486="",0,IF(U486&gt;1,U486/100,U486)))</f>
        <v>0</v>
      </c>
      <c r="AH486" s="21" t="n">
        <f aca="false">IF(OR(AE486="",AE486=0),0,AE486*IF(X486="",0,IF(X486&gt;1,X486/100,X486)))</f>
        <v>0</v>
      </c>
      <c r="AI486" s="21" t="n">
        <f aca="false">IF(OR(AE486="",AE486=0),0,AE486*IF(AA486="",0,IF(AA486&gt;1,AA486/100,AA486)))</f>
        <v>0</v>
      </c>
      <c r="AJ486" s="21" t="n">
        <f aca="false">AG486+AH486+AI486</f>
        <v>0</v>
      </c>
      <c r="AK486" s="21" t="n">
        <f aca="false">IF(OR(AE486="",AE486=0),0,AE486-AJ486)</f>
        <v>0</v>
      </c>
      <c r="AL486" s="19" t="str">
        <f aca="false">IF(AD486="","",AD486-AK486)</f>
        <v/>
      </c>
      <c r="AM486" s="9" t="str">
        <f aca="false">IF(C486="","","Waiting for payment")</f>
        <v/>
      </c>
      <c r="AN486" s="10"/>
      <c r="AO486" s="10"/>
      <c r="AP486" s="22" t="str">
        <f aca="false">IF(OR(C486="",I486="",K486=""),"",IF(K486="Monthly",EDATE(C486,ROUND(I486*SETTINGS!$I$8,0)),WORKDAY(C486,ROUND(I486*SETTINGS!$I$8,0))))</f>
        <v/>
      </c>
      <c r="AQ486" s="9" t="str">
        <f aca="true">IF(C486="","",IF(AND(AP486&lt;&gt;"",TODAY()&gt;=AP486),"Refi Ready",IF(TODAY()-C486&gt;=SETTINGS!$I$11,"Prospecting","Performing")))</f>
        <v/>
      </c>
      <c r="AR486" s="22" t="str">
        <f aca="false">IF(OR(C486="",I486="",K486=""),"",IF(K486="Monthly",EDATE(C486,I486),WORKDAY(C486,I486)))</f>
        <v/>
      </c>
      <c r="AS486" s="11"/>
      <c r="AT486" s="23" t="str">
        <f aca="true">IF(C486="","",IF(AM486="Clawed Back","CLAWED",IF(TODAY()&lt;=C486+SETTINGS!$I$2,"⚠ AT RISK","SAFE")))</f>
        <v/>
      </c>
      <c r="AU486" s="11"/>
      <c r="AW486" s="24" t="n">
        <f aca="false">AW485+IF(AND(C486&lt;&gt;"",AO486&lt;&gt;"",OR('REP COMMISSION'!$B$3="",T486='REP COMMISSION'!$B$3,W486='REP COMMISSION'!$B$3,Z486='REP COMMISSION'!$B$3)),1,0)</f>
        <v>0</v>
      </c>
      <c r="AX486" s="24" t="n">
        <f aca="false">AX485+IF(AND(C486&lt;&gt;"",OR(F486="LOC - INITIAL",F486="CONSOLIDATION - UPFRONT COMM",F486="REVERSE - TOTAL FUNDING")),1,0)</f>
        <v>0</v>
      </c>
    </row>
    <row r="487" customFormat="false" ht="15" hidden="false" customHeight="false" outlineLevel="0" collapsed="false">
      <c r="A487" s="25" t="str">
        <f aca="false">IF(C487&lt;&gt;"","F"&amp;COUNT($C$4:C487),"")</f>
        <v/>
      </c>
      <c r="B487" s="26" t="str">
        <f aca="false">IF(OR(F487="LOC - INITIAL",F487="CONSOLIDATION - UPFRONT COMM",F487="REVERSE - TOTAL FUNDING"),A487,"")</f>
        <v/>
      </c>
      <c r="C487" s="27"/>
      <c r="D487" s="28"/>
      <c r="E487" s="28"/>
      <c r="F487" s="28"/>
      <c r="G487" s="29"/>
      <c r="H487" s="30"/>
      <c r="I487" s="28"/>
      <c r="J487" s="31" t="str">
        <f aca="false">IF(AND(G487&lt;&gt;"",H487&lt;&gt;""),G487*H487,"")</f>
        <v/>
      </c>
      <c r="K487" s="28"/>
      <c r="L487" s="32"/>
      <c r="M487" s="32"/>
      <c r="N487" s="31" t="n">
        <f aca="false">IF(OR(G487="",M487=""),0,IF(M487&gt;100,M487,G487*IF(M487&gt;1,M487/100,M487)))</f>
        <v>0</v>
      </c>
      <c r="O487" s="31" t="str">
        <f aca="false">IF(G487="","",G487*IF(L487="",0,IF(L487&gt;1,L487/100,L487))+N487)</f>
        <v/>
      </c>
      <c r="P487" s="28"/>
      <c r="Q487" s="33" t="str">
        <f aca="false">IF(P487="","",IFERROR(VLOOKUP(P487,PARTNERS!$A$2:$B$30,2,0),""))</f>
        <v/>
      </c>
      <c r="R487" s="17" t="str">
        <f aca="false">IF(O487="","",IF(OR(P487="",Q487=""),0,(O487-N487)*IF(Q487&gt;1,Q487/100,Q487)))</f>
        <v/>
      </c>
      <c r="S487" s="31" t="str">
        <f aca="false">IF(O487="","",O487-R487)</f>
        <v/>
      </c>
      <c r="T487" s="28"/>
      <c r="U487" s="34" t="str">
        <f aca="false">IF(T487="","",IFERROR(VLOOKUP(T487,REPS!$A$2:$D$40,2,0),""))</f>
        <v/>
      </c>
      <c r="V487" s="31" t="str">
        <f aca="false">IF(O487="","",IF(U487="",0,O487*IF(U487&gt;1,U487/100,U487)))</f>
        <v/>
      </c>
      <c r="W487" s="28"/>
      <c r="X487" s="34" t="str">
        <f aca="false">IF(W487="","",IFERROR(VLOOKUP(W487,REPS!$A$2:$D$40,3,0),""))</f>
        <v/>
      </c>
      <c r="Y487" s="31" t="str">
        <f aca="false">IF(O487="","",IF(X487="",0,O487*IF(X487&gt;1,X487/100,X487)))</f>
        <v/>
      </c>
      <c r="Z487" s="28"/>
      <c r="AA487" s="34" t="str">
        <f aca="false">IF(Z487="","",IFERROR(VLOOKUP(Z487,REPS!$A$2:$D$40,4,0),""))</f>
        <v/>
      </c>
      <c r="AB487" s="31" t="str">
        <f aca="false">IF(O487="","",IF(AA487="",0,O487*IF(AA487&gt;1,AA487/100,AA487)))</f>
        <v/>
      </c>
      <c r="AC487" s="31" t="str">
        <f aca="false">IF(O487="","",V487+Y487+AB487)</f>
        <v/>
      </c>
      <c r="AD487" s="19" t="str">
        <f aca="false">IF(O487="","",O487-R487-AC487)</f>
        <v/>
      </c>
      <c r="AE487" s="20"/>
      <c r="AF487" s="27"/>
      <c r="AG487" s="21" t="n">
        <f aca="false">IF(OR(AE487="",AE487=0),0,AE487*IF(U487="",0,IF(U487&gt;1,U487/100,U487)))</f>
        <v>0</v>
      </c>
      <c r="AH487" s="21" t="n">
        <f aca="false">IF(OR(AE487="",AE487=0),0,AE487*IF(X487="",0,IF(X487&gt;1,X487/100,X487)))</f>
        <v>0</v>
      </c>
      <c r="AI487" s="21" t="n">
        <f aca="false">IF(OR(AE487="",AE487=0),0,AE487*IF(AA487="",0,IF(AA487&gt;1,AA487/100,AA487)))</f>
        <v>0</v>
      </c>
      <c r="AJ487" s="21" t="n">
        <f aca="false">AG487+AH487+AI487</f>
        <v>0</v>
      </c>
      <c r="AK487" s="21" t="n">
        <f aca="false">IF(OR(AE487="",AE487=0),0,AE487-AJ487)</f>
        <v>0</v>
      </c>
      <c r="AL487" s="19" t="str">
        <f aca="false">IF(AD487="","",AD487-AK487)</f>
        <v/>
      </c>
      <c r="AM487" s="26" t="str">
        <f aca="false">IF(C487="","","Waiting for payment")</f>
        <v/>
      </c>
      <c r="AN487" s="27"/>
      <c r="AO487" s="27"/>
      <c r="AP487" s="35" t="str">
        <f aca="false">IF(OR(C487="",I487="",K487=""),"",IF(K487="Monthly",EDATE(C487,ROUND(I487*SETTINGS!$I$8,0)),WORKDAY(C487,ROUND(I487*SETTINGS!$I$8,0))))</f>
        <v/>
      </c>
      <c r="AQ487" s="26" t="str">
        <f aca="true">IF(C487="","",IF(AND(AP487&lt;&gt;"",TODAY()&gt;=AP487),"Refi Ready",IF(TODAY()-C487&gt;=SETTINGS!$I$11,"Prospecting","Performing")))</f>
        <v/>
      </c>
      <c r="AR487" s="35" t="str">
        <f aca="false">IF(OR(C487="",I487="",K487=""),"",IF(K487="Monthly",EDATE(C487,I487),WORKDAY(C487,I487)))</f>
        <v/>
      </c>
      <c r="AS487" s="28"/>
      <c r="AT487" s="36" t="str">
        <f aca="true">IF(C487="","",IF(AM487="Clawed Back","CLAWED",IF(TODAY()&lt;=C487+SETTINGS!$I$2,"⚠ AT RISK","SAFE")))</f>
        <v/>
      </c>
      <c r="AU487" s="28"/>
      <c r="AW487" s="24" t="n">
        <f aca="false">AW486+IF(AND(C487&lt;&gt;"",AO487&lt;&gt;"",OR('REP COMMISSION'!$B$3="",T487='REP COMMISSION'!$B$3,W487='REP COMMISSION'!$B$3,Z487='REP COMMISSION'!$B$3)),1,0)</f>
        <v>0</v>
      </c>
      <c r="AX487" s="24" t="n">
        <f aca="false">AX486+IF(AND(C487&lt;&gt;"",OR(F487="LOC - INITIAL",F487="CONSOLIDATION - UPFRONT COMM",F487="REVERSE - TOTAL FUNDING")),1,0)</f>
        <v>0</v>
      </c>
    </row>
    <row r="488" customFormat="false" ht="15" hidden="false" customHeight="false" outlineLevel="0" collapsed="false">
      <c r="A488" s="8" t="str">
        <f aca="false">IF(C488&lt;&gt;"","F"&amp;COUNT($C$4:C488),"")</f>
        <v/>
      </c>
      <c r="B488" s="9" t="str">
        <f aca="false">IF(OR(F488="LOC - INITIAL",F488="CONSOLIDATION - UPFRONT COMM",F488="REVERSE - TOTAL FUNDING"),A488,"")</f>
        <v/>
      </c>
      <c r="C488" s="10"/>
      <c r="D488" s="11"/>
      <c r="E488" s="11"/>
      <c r="F488" s="11"/>
      <c r="G488" s="12"/>
      <c r="H488" s="13"/>
      <c r="I488" s="11"/>
      <c r="J488" s="14" t="str">
        <f aca="false">IF(AND(G488&lt;&gt;"",H488&lt;&gt;""),G488*H488,"")</f>
        <v/>
      </c>
      <c r="K488" s="11"/>
      <c r="L488" s="15"/>
      <c r="M488" s="15"/>
      <c r="N488" s="14" t="n">
        <f aca="false">IF(OR(G488="",M488=""),0,IF(M488&gt;100,M488,G488*IF(M488&gt;1,M488/100,M488)))</f>
        <v>0</v>
      </c>
      <c r="O488" s="14" t="str">
        <f aca="false">IF(G488="","",G488*IF(L488="",0,IF(L488&gt;1,L488/100,L488))+N488)</f>
        <v/>
      </c>
      <c r="P488" s="11"/>
      <c r="Q488" s="16" t="str">
        <f aca="false">IF(P488="","",IFERROR(VLOOKUP(P488,PARTNERS!$A$2:$B$30,2,0),""))</f>
        <v/>
      </c>
      <c r="R488" s="17" t="str">
        <f aca="false">IF(O488="","",IF(OR(P488="",Q488=""),0,(O488-N488)*IF(Q488&gt;1,Q488/100,Q488)))</f>
        <v/>
      </c>
      <c r="S488" s="14" t="str">
        <f aca="false">IF(O488="","",O488-R488)</f>
        <v/>
      </c>
      <c r="T488" s="11"/>
      <c r="U488" s="18" t="str">
        <f aca="false">IF(T488="","",IFERROR(VLOOKUP(T488,REPS!$A$2:$D$40,2,0),""))</f>
        <v/>
      </c>
      <c r="V488" s="14" t="str">
        <f aca="false">IF(O488="","",IF(U488="",0,O488*IF(U488&gt;1,U488/100,U488)))</f>
        <v/>
      </c>
      <c r="W488" s="11"/>
      <c r="X488" s="18" t="str">
        <f aca="false">IF(W488="","",IFERROR(VLOOKUP(W488,REPS!$A$2:$D$40,3,0),""))</f>
        <v/>
      </c>
      <c r="Y488" s="14" t="str">
        <f aca="false">IF(O488="","",IF(X488="",0,O488*IF(X488&gt;1,X488/100,X488)))</f>
        <v/>
      </c>
      <c r="Z488" s="11"/>
      <c r="AA488" s="18" t="str">
        <f aca="false">IF(Z488="","",IFERROR(VLOOKUP(Z488,REPS!$A$2:$D$40,4,0),""))</f>
        <v/>
      </c>
      <c r="AB488" s="14" t="str">
        <f aca="false">IF(O488="","",IF(AA488="",0,O488*IF(AA488&gt;1,AA488/100,AA488)))</f>
        <v/>
      </c>
      <c r="AC488" s="14" t="str">
        <f aca="false">IF(O488="","",V488+Y488+AB488)</f>
        <v/>
      </c>
      <c r="AD488" s="19" t="str">
        <f aca="false">IF(O488="","",O488-R488-AC488)</f>
        <v/>
      </c>
      <c r="AE488" s="20"/>
      <c r="AF488" s="10"/>
      <c r="AG488" s="21" t="n">
        <f aca="false">IF(OR(AE488="",AE488=0),0,AE488*IF(U488="",0,IF(U488&gt;1,U488/100,U488)))</f>
        <v>0</v>
      </c>
      <c r="AH488" s="21" t="n">
        <f aca="false">IF(OR(AE488="",AE488=0),0,AE488*IF(X488="",0,IF(X488&gt;1,X488/100,X488)))</f>
        <v>0</v>
      </c>
      <c r="AI488" s="21" t="n">
        <f aca="false">IF(OR(AE488="",AE488=0),0,AE488*IF(AA488="",0,IF(AA488&gt;1,AA488/100,AA488)))</f>
        <v>0</v>
      </c>
      <c r="AJ488" s="21" t="n">
        <f aca="false">AG488+AH488+AI488</f>
        <v>0</v>
      </c>
      <c r="AK488" s="21" t="n">
        <f aca="false">IF(OR(AE488="",AE488=0),0,AE488-AJ488)</f>
        <v>0</v>
      </c>
      <c r="AL488" s="19" t="str">
        <f aca="false">IF(AD488="","",AD488-AK488)</f>
        <v/>
      </c>
      <c r="AM488" s="9" t="str">
        <f aca="false">IF(C488="","","Waiting for payment")</f>
        <v/>
      </c>
      <c r="AN488" s="10"/>
      <c r="AO488" s="10"/>
      <c r="AP488" s="22" t="str">
        <f aca="false">IF(OR(C488="",I488="",K488=""),"",IF(K488="Monthly",EDATE(C488,ROUND(I488*SETTINGS!$I$8,0)),WORKDAY(C488,ROUND(I488*SETTINGS!$I$8,0))))</f>
        <v/>
      </c>
      <c r="AQ488" s="9" t="str">
        <f aca="true">IF(C488="","",IF(AND(AP488&lt;&gt;"",TODAY()&gt;=AP488),"Refi Ready",IF(TODAY()-C488&gt;=SETTINGS!$I$11,"Prospecting","Performing")))</f>
        <v/>
      </c>
      <c r="AR488" s="22" t="str">
        <f aca="false">IF(OR(C488="",I488="",K488=""),"",IF(K488="Monthly",EDATE(C488,I488),WORKDAY(C488,I488)))</f>
        <v/>
      </c>
      <c r="AS488" s="11"/>
      <c r="AT488" s="23" t="str">
        <f aca="true">IF(C488="","",IF(AM488="Clawed Back","CLAWED",IF(TODAY()&lt;=C488+SETTINGS!$I$2,"⚠ AT RISK","SAFE")))</f>
        <v/>
      </c>
      <c r="AU488" s="11"/>
      <c r="AW488" s="24" t="n">
        <f aca="false">AW487+IF(AND(C488&lt;&gt;"",AO488&lt;&gt;"",OR('REP COMMISSION'!$B$3="",T488='REP COMMISSION'!$B$3,W488='REP COMMISSION'!$B$3,Z488='REP COMMISSION'!$B$3)),1,0)</f>
        <v>0</v>
      </c>
      <c r="AX488" s="24" t="n">
        <f aca="false">AX487+IF(AND(C488&lt;&gt;"",OR(F488="LOC - INITIAL",F488="CONSOLIDATION - UPFRONT COMM",F488="REVERSE - TOTAL FUNDING")),1,0)</f>
        <v>0</v>
      </c>
    </row>
    <row r="489" customFormat="false" ht="15" hidden="false" customHeight="false" outlineLevel="0" collapsed="false">
      <c r="A489" s="25" t="str">
        <f aca="false">IF(C489&lt;&gt;"","F"&amp;COUNT($C$4:C489),"")</f>
        <v/>
      </c>
      <c r="B489" s="26" t="str">
        <f aca="false">IF(OR(F489="LOC - INITIAL",F489="CONSOLIDATION - UPFRONT COMM",F489="REVERSE - TOTAL FUNDING"),A489,"")</f>
        <v/>
      </c>
      <c r="C489" s="27"/>
      <c r="D489" s="28"/>
      <c r="E489" s="28"/>
      <c r="F489" s="28"/>
      <c r="G489" s="29"/>
      <c r="H489" s="30"/>
      <c r="I489" s="28"/>
      <c r="J489" s="31" t="str">
        <f aca="false">IF(AND(G489&lt;&gt;"",H489&lt;&gt;""),G489*H489,"")</f>
        <v/>
      </c>
      <c r="K489" s="28"/>
      <c r="L489" s="32"/>
      <c r="M489" s="32"/>
      <c r="N489" s="31" t="n">
        <f aca="false">IF(OR(G489="",M489=""),0,IF(M489&gt;100,M489,G489*IF(M489&gt;1,M489/100,M489)))</f>
        <v>0</v>
      </c>
      <c r="O489" s="31" t="str">
        <f aca="false">IF(G489="","",G489*IF(L489="",0,IF(L489&gt;1,L489/100,L489))+N489)</f>
        <v/>
      </c>
      <c r="P489" s="28"/>
      <c r="Q489" s="33" t="str">
        <f aca="false">IF(P489="","",IFERROR(VLOOKUP(P489,PARTNERS!$A$2:$B$30,2,0),""))</f>
        <v/>
      </c>
      <c r="R489" s="17" t="str">
        <f aca="false">IF(O489="","",IF(OR(P489="",Q489=""),0,(O489-N489)*IF(Q489&gt;1,Q489/100,Q489)))</f>
        <v/>
      </c>
      <c r="S489" s="31" t="str">
        <f aca="false">IF(O489="","",O489-R489)</f>
        <v/>
      </c>
      <c r="T489" s="28"/>
      <c r="U489" s="34" t="str">
        <f aca="false">IF(T489="","",IFERROR(VLOOKUP(T489,REPS!$A$2:$D$40,2,0),""))</f>
        <v/>
      </c>
      <c r="V489" s="31" t="str">
        <f aca="false">IF(O489="","",IF(U489="",0,O489*IF(U489&gt;1,U489/100,U489)))</f>
        <v/>
      </c>
      <c r="W489" s="28"/>
      <c r="X489" s="34" t="str">
        <f aca="false">IF(W489="","",IFERROR(VLOOKUP(W489,REPS!$A$2:$D$40,3,0),""))</f>
        <v/>
      </c>
      <c r="Y489" s="31" t="str">
        <f aca="false">IF(O489="","",IF(X489="",0,O489*IF(X489&gt;1,X489/100,X489)))</f>
        <v/>
      </c>
      <c r="Z489" s="28"/>
      <c r="AA489" s="34" t="str">
        <f aca="false">IF(Z489="","",IFERROR(VLOOKUP(Z489,REPS!$A$2:$D$40,4,0),""))</f>
        <v/>
      </c>
      <c r="AB489" s="31" t="str">
        <f aca="false">IF(O489="","",IF(AA489="",0,O489*IF(AA489&gt;1,AA489/100,AA489)))</f>
        <v/>
      </c>
      <c r="AC489" s="31" t="str">
        <f aca="false">IF(O489="","",V489+Y489+AB489)</f>
        <v/>
      </c>
      <c r="AD489" s="19" t="str">
        <f aca="false">IF(O489="","",O489-R489-AC489)</f>
        <v/>
      </c>
      <c r="AE489" s="20"/>
      <c r="AF489" s="27"/>
      <c r="AG489" s="21" t="n">
        <f aca="false">IF(OR(AE489="",AE489=0),0,AE489*IF(U489="",0,IF(U489&gt;1,U489/100,U489)))</f>
        <v>0</v>
      </c>
      <c r="AH489" s="21" t="n">
        <f aca="false">IF(OR(AE489="",AE489=0),0,AE489*IF(X489="",0,IF(X489&gt;1,X489/100,X489)))</f>
        <v>0</v>
      </c>
      <c r="AI489" s="21" t="n">
        <f aca="false">IF(OR(AE489="",AE489=0),0,AE489*IF(AA489="",0,IF(AA489&gt;1,AA489/100,AA489)))</f>
        <v>0</v>
      </c>
      <c r="AJ489" s="21" t="n">
        <f aca="false">AG489+AH489+AI489</f>
        <v>0</v>
      </c>
      <c r="AK489" s="21" t="n">
        <f aca="false">IF(OR(AE489="",AE489=0),0,AE489-AJ489)</f>
        <v>0</v>
      </c>
      <c r="AL489" s="19" t="str">
        <f aca="false">IF(AD489="","",AD489-AK489)</f>
        <v/>
      </c>
      <c r="AM489" s="26" t="str">
        <f aca="false">IF(C489="","","Waiting for payment")</f>
        <v/>
      </c>
      <c r="AN489" s="27"/>
      <c r="AO489" s="27"/>
      <c r="AP489" s="35" t="str">
        <f aca="false">IF(OR(C489="",I489="",K489=""),"",IF(K489="Monthly",EDATE(C489,ROUND(I489*SETTINGS!$I$8,0)),WORKDAY(C489,ROUND(I489*SETTINGS!$I$8,0))))</f>
        <v/>
      </c>
      <c r="AQ489" s="26" t="str">
        <f aca="true">IF(C489="","",IF(AND(AP489&lt;&gt;"",TODAY()&gt;=AP489),"Refi Ready",IF(TODAY()-C489&gt;=SETTINGS!$I$11,"Prospecting","Performing")))</f>
        <v/>
      </c>
      <c r="AR489" s="35" t="str">
        <f aca="false">IF(OR(C489="",I489="",K489=""),"",IF(K489="Monthly",EDATE(C489,I489),WORKDAY(C489,I489)))</f>
        <v/>
      </c>
      <c r="AS489" s="28"/>
      <c r="AT489" s="36" t="str">
        <f aca="true">IF(C489="","",IF(AM489="Clawed Back","CLAWED",IF(TODAY()&lt;=C489+SETTINGS!$I$2,"⚠ AT RISK","SAFE")))</f>
        <v/>
      </c>
      <c r="AU489" s="28"/>
      <c r="AW489" s="24" t="n">
        <f aca="false">AW488+IF(AND(C489&lt;&gt;"",AO489&lt;&gt;"",OR('REP COMMISSION'!$B$3="",T489='REP COMMISSION'!$B$3,W489='REP COMMISSION'!$B$3,Z489='REP COMMISSION'!$B$3)),1,0)</f>
        <v>0</v>
      </c>
      <c r="AX489" s="24" t="n">
        <f aca="false">AX488+IF(AND(C489&lt;&gt;"",OR(F489="LOC - INITIAL",F489="CONSOLIDATION - UPFRONT COMM",F489="REVERSE - TOTAL FUNDING")),1,0)</f>
        <v>0</v>
      </c>
    </row>
    <row r="490" customFormat="false" ht="15" hidden="false" customHeight="false" outlineLevel="0" collapsed="false">
      <c r="A490" s="8" t="str">
        <f aca="false">IF(C490&lt;&gt;"","F"&amp;COUNT($C$4:C490),"")</f>
        <v/>
      </c>
      <c r="B490" s="9" t="str">
        <f aca="false">IF(OR(F490="LOC - INITIAL",F490="CONSOLIDATION - UPFRONT COMM",F490="REVERSE - TOTAL FUNDING"),A490,"")</f>
        <v/>
      </c>
      <c r="C490" s="10"/>
      <c r="D490" s="11"/>
      <c r="E490" s="11"/>
      <c r="F490" s="11"/>
      <c r="G490" s="12"/>
      <c r="H490" s="13"/>
      <c r="I490" s="11"/>
      <c r="J490" s="14" t="str">
        <f aca="false">IF(AND(G490&lt;&gt;"",H490&lt;&gt;""),G490*H490,"")</f>
        <v/>
      </c>
      <c r="K490" s="11"/>
      <c r="L490" s="15"/>
      <c r="M490" s="15"/>
      <c r="N490" s="14" t="n">
        <f aca="false">IF(OR(G490="",M490=""),0,IF(M490&gt;100,M490,G490*IF(M490&gt;1,M490/100,M490)))</f>
        <v>0</v>
      </c>
      <c r="O490" s="14" t="str">
        <f aca="false">IF(G490="","",G490*IF(L490="",0,IF(L490&gt;1,L490/100,L490))+N490)</f>
        <v/>
      </c>
      <c r="P490" s="11"/>
      <c r="Q490" s="16" t="str">
        <f aca="false">IF(P490="","",IFERROR(VLOOKUP(P490,PARTNERS!$A$2:$B$30,2,0),""))</f>
        <v/>
      </c>
      <c r="R490" s="17" t="str">
        <f aca="false">IF(O490="","",IF(OR(P490="",Q490=""),0,(O490-N490)*IF(Q490&gt;1,Q490/100,Q490)))</f>
        <v/>
      </c>
      <c r="S490" s="14" t="str">
        <f aca="false">IF(O490="","",O490-R490)</f>
        <v/>
      </c>
      <c r="T490" s="11"/>
      <c r="U490" s="18" t="str">
        <f aca="false">IF(T490="","",IFERROR(VLOOKUP(T490,REPS!$A$2:$D$40,2,0),""))</f>
        <v/>
      </c>
      <c r="V490" s="14" t="str">
        <f aca="false">IF(O490="","",IF(U490="",0,O490*IF(U490&gt;1,U490/100,U490)))</f>
        <v/>
      </c>
      <c r="W490" s="11"/>
      <c r="X490" s="18" t="str">
        <f aca="false">IF(W490="","",IFERROR(VLOOKUP(W490,REPS!$A$2:$D$40,3,0),""))</f>
        <v/>
      </c>
      <c r="Y490" s="14" t="str">
        <f aca="false">IF(O490="","",IF(X490="",0,O490*IF(X490&gt;1,X490/100,X490)))</f>
        <v/>
      </c>
      <c r="Z490" s="11"/>
      <c r="AA490" s="18" t="str">
        <f aca="false">IF(Z490="","",IFERROR(VLOOKUP(Z490,REPS!$A$2:$D$40,4,0),""))</f>
        <v/>
      </c>
      <c r="AB490" s="14" t="str">
        <f aca="false">IF(O490="","",IF(AA490="",0,O490*IF(AA490&gt;1,AA490/100,AA490)))</f>
        <v/>
      </c>
      <c r="AC490" s="14" t="str">
        <f aca="false">IF(O490="","",V490+Y490+AB490)</f>
        <v/>
      </c>
      <c r="AD490" s="19" t="str">
        <f aca="false">IF(O490="","",O490-R490-AC490)</f>
        <v/>
      </c>
      <c r="AE490" s="20"/>
      <c r="AF490" s="10"/>
      <c r="AG490" s="21" t="n">
        <f aca="false">IF(OR(AE490="",AE490=0),0,AE490*IF(U490="",0,IF(U490&gt;1,U490/100,U490)))</f>
        <v>0</v>
      </c>
      <c r="AH490" s="21" t="n">
        <f aca="false">IF(OR(AE490="",AE490=0),0,AE490*IF(X490="",0,IF(X490&gt;1,X490/100,X490)))</f>
        <v>0</v>
      </c>
      <c r="AI490" s="21" t="n">
        <f aca="false">IF(OR(AE490="",AE490=0),0,AE490*IF(AA490="",0,IF(AA490&gt;1,AA490/100,AA490)))</f>
        <v>0</v>
      </c>
      <c r="AJ490" s="21" t="n">
        <f aca="false">AG490+AH490+AI490</f>
        <v>0</v>
      </c>
      <c r="AK490" s="21" t="n">
        <f aca="false">IF(OR(AE490="",AE490=0),0,AE490-AJ490)</f>
        <v>0</v>
      </c>
      <c r="AL490" s="19" t="str">
        <f aca="false">IF(AD490="","",AD490-AK490)</f>
        <v/>
      </c>
      <c r="AM490" s="9" t="str">
        <f aca="false">IF(C490="","","Waiting for payment")</f>
        <v/>
      </c>
      <c r="AN490" s="10"/>
      <c r="AO490" s="10"/>
      <c r="AP490" s="22" t="str">
        <f aca="false">IF(OR(C490="",I490="",K490=""),"",IF(K490="Monthly",EDATE(C490,ROUND(I490*SETTINGS!$I$8,0)),WORKDAY(C490,ROUND(I490*SETTINGS!$I$8,0))))</f>
        <v/>
      </c>
      <c r="AQ490" s="9" t="str">
        <f aca="true">IF(C490="","",IF(AND(AP490&lt;&gt;"",TODAY()&gt;=AP490),"Refi Ready",IF(TODAY()-C490&gt;=SETTINGS!$I$11,"Prospecting","Performing")))</f>
        <v/>
      </c>
      <c r="AR490" s="22" t="str">
        <f aca="false">IF(OR(C490="",I490="",K490=""),"",IF(K490="Monthly",EDATE(C490,I490),WORKDAY(C490,I490)))</f>
        <v/>
      </c>
      <c r="AS490" s="11"/>
      <c r="AT490" s="23" t="str">
        <f aca="true">IF(C490="","",IF(AM490="Clawed Back","CLAWED",IF(TODAY()&lt;=C490+SETTINGS!$I$2,"⚠ AT RISK","SAFE")))</f>
        <v/>
      </c>
      <c r="AU490" s="11"/>
      <c r="AW490" s="24" t="n">
        <f aca="false">AW489+IF(AND(C490&lt;&gt;"",AO490&lt;&gt;"",OR('REP COMMISSION'!$B$3="",T490='REP COMMISSION'!$B$3,W490='REP COMMISSION'!$B$3,Z490='REP COMMISSION'!$B$3)),1,0)</f>
        <v>0</v>
      </c>
      <c r="AX490" s="24" t="n">
        <f aca="false">AX489+IF(AND(C490&lt;&gt;"",OR(F490="LOC - INITIAL",F490="CONSOLIDATION - UPFRONT COMM",F490="REVERSE - TOTAL FUNDING")),1,0)</f>
        <v>0</v>
      </c>
    </row>
    <row r="491" customFormat="false" ht="15" hidden="false" customHeight="false" outlineLevel="0" collapsed="false">
      <c r="A491" s="25" t="str">
        <f aca="false">IF(C491&lt;&gt;"","F"&amp;COUNT($C$4:C491),"")</f>
        <v/>
      </c>
      <c r="B491" s="26" t="str">
        <f aca="false">IF(OR(F491="LOC - INITIAL",F491="CONSOLIDATION - UPFRONT COMM",F491="REVERSE - TOTAL FUNDING"),A491,"")</f>
        <v/>
      </c>
      <c r="C491" s="27"/>
      <c r="D491" s="28"/>
      <c r="E491" s="28"/>
      <c r="F491" s="28"/>
      <c r="G491" s="29"/>
      <c r="H491" s="30"/>
      <c r="I491" s="28"/>
      <c r="J491" s="31" t="str">
        <f aca="false">IF(AND(G491&lt;&gt;"",H491&lt;&gt;""),G491*H491,"")</f>
        <v/>
      </c>
      <c r="K491" s="28"/>
      <c r="L491" s="32"/>
      <c r="M491" s="32"/>
      <c r="N491" s="31" t="n">
        <f aca="false">IF(OR(G491="",M491=""),0,IF(M491&gt;100,M491,G491*IF(M491&gt;1,M491/100,M491)))</f>
        <v>0</v>
      </c>
      <c r="O491" s="31" t="str">
        <f aca="false">IF(G491="","",G491*IF(L491="",0,IF(L491&gt;1,L491/100,L491))+N491)</f>
        <v/>
      </c>
      <c r="P491" s="28"/>
      <c r="Q491" s="33" t="str">
        <f aca="false">IF(P491="","",IFERROR(VLOOKUP(P491,PARTNERS!$A$2:$B$30,2,0),""))</f>
        <v/>
      </c>
      <c r="R491" s="17" t="str">
        <f aca="false">IF(O491="","",IF(OR(P491="",Q491=""),0,(O491-N491)*IF(Q491&gt;1,Q491/100,Q491)))</f>
        <v/>
      </c>
      <c r="S491" s="31" t="str">
        <f aca="false">IF(O491="","",O491-R491)</f>
        <v/>
      </c>
      <c r="T491" s="28"/>
      <c r="U491" s="34" t="str">
        <f aca="false">IF(T491="","",IFERROR(VLOOKUP(T491,REPS!$A$2:$D$40,2,0),""))</f>
        <v/>
      </c>
      <c r="V491" s="31" t="str">
        <f aca="false">IF(O491="","",IF(U491="",0,O491*IF(U491&gt;1,U491/100,U491)))</f>
        <v/>
      </c>
      <c r="W491" s="28"/>
      <c r="X491" s="34" t="str">
        <f aca="false">IF(W491="","",IFERROR(VLOOKUP(W491,REPS!$A$2:$D$40,3,0),""))</f>
        <v/>
      </c>
      <c r="Y491" s="31" t="str">
        <f aca="false">IF(O491="","",IF(X491="",0,O491*IF(X491&gt;1,X491/100,X491)))</f>
        <v/>
      </c>
      <c r="Z491" s="28"/>
      <c r="AA491" s="34" t="str">
        <f aca="false">IF(Z491="","",IFERROR(VLOOKUP(Z491,REPS!$A$2:$D$40,4,0),""))</f>
        <v/>
      </c>
      <c r="AB491" s="31" t="str">
        <f aca="false">IF(O491="","",IF(AA491="",0,O491*IF(AA491&gt;1,AA491/100,AA491)))</f>
        <v/>
      </c>
      <c r="AC491" s="31" t="str">
        <f aca="false">IF(O491="","",V491+Y491+AB491)</f>
        <v/>
      </c>
      <c r="AD491" s="19" t="str">
        <f aca="false">IF(O491="","",O491-R491-AC491)</f>
        <v/>
      </c>
      <c r="AE491" s="20"/>
      <c r="AF491" s="27"/>
      <c r="AG491" s="21" t="n">
        <f aca="false">IF(OR(AE491="",AE491=0),0,AE491*IF(U491="",0,IF(U491&gt;1,U491/100,U491)))</f>
        <v>0</v>
      </c>
      <c r="AH491" s="21" t="n">
        <f aca="false">IF(OR(AE491="",AE491=0),0,AE491*IF(X491="",0,IF(X491&gt;1,X491/100,X491)))</f>
        <v>0</v>
      </c>
      <c r="AI491" s="21" t="n">
        <f aca="false">IF(OR(AE491="",AE491=0),0,AE491*IF(AA491="",0,IF(AA491&gt;1,AA491/100,AA491)))</f>
        <v>0</v>
      </c>
      <c r="AJ491" s="21" t="n">
        <f aca="false">AG491+AH491+AI491</f>
        <v>0</v>
      </c>
      <c r="AK491" s="21" t="n">
        <f aca="false">IF(OR(AE491="",AE491=0),0,AE491-AJ491)</f>
        <v>0</v>
      </c>
      <c r="AL491" s="19" t="str">
        <f aca="false">IF(AD491="","",AD491-AK491)</f>
        <v/>
      </c>
      <c r="AM491" s="26" t="str">
        <f aca="false">IF(C491="","","Waiting for payment")</f>
        <v/>
      </c>
      <c r="AN491" s="27"/>
      <c r="AO491" s="27"/>
      <c r="AP491" s="35" t="str">
        <f aca="false">IF(OR(C491="",I491="",K491=""),"",IF(K491="Monthly",EDATE(C491,ROUND(I491*SETTINGS!$I$8,0)),WORKDAY(C491,ROUND(I491*SETTINGS!$I$8,0))))</f>
        <v/>
      </c>
      <c r="AQ491" s="26" t="str">
        <f aca="true">IF(C491="","",IF(AND(AP491&lt;&gt;"",TODAY()&gt;=AP491),"Refi Ready",IF(TODAY()-C491&gt;=SETTINGS!$I$11,"Prospecting","Performing")))</f>
        <v/>
      </c>
      <c r="AR491" s="35" t="str">
        <f aca="false">IF(OR(C491="",I491="",K491=""),"",IF(K491="Monthly",EDATE(C491,I491),WORKDAY(C491,I491)))</f>
        <v/>
      </c>
      <c r="AS491" s="28"/>
      <c r="AT491" s="36" t="str">
        <f aca="true">IF(C491="","",IF(AM491="Clawed Back","CLAWED",IF(TODAY()&lt;=C491+SETTINGS!$I$2,"⚠ AT RISK","SAFE")))</f>
        <v/>
      </c>
      <c r="AU491" s="28"/>
      <c r="AW491" s="24" t="n">
        <f aca="false">AW490+IF(AND(C491&lt;&gt;"",AO491&lt;&gt;"",OR('REP COMMISSION'!$B$3="",T491='REP COMMISSION'!$B$3,W491='REP COMMISSION'!$B$3,Z491='REP COMMISSION'!$B$3)),1,0)</f>
        <v>0</v>
      </c>
      <c r="AX491" s="24" t="n">
        <f aca="false">AX490+IF(AND(C491&lt;&gt;"",OR(F491="LOC - INITIAL",F491="CONSOLIDATION - UPFRONT COMM",F491="REVERSE - TOTAL FUNDING")),1,0)</f>
        <v>0</v>
      </c>
    </row>
    <row r="492" customFormat="false" ht="15" hidden="false" customHeight="false" outlineLevel="0" collapsed="false">
      <c r="A492" s="8" t="str">
        <f aca="false">IF(C492&lt;&gt;"","F"&amp;COUNT($C$4:C492),"")</f>
        <v/>
      </c>
      <c r="B492" s="9" t="str">
        <f aca="false">IF(OR(F492="LOC - INITIAL",F492="CONSOLIDATION - UPFRONT COMM",F492="REVERSE - TOTAL FUNDING"),A492,"")</f>
        <v/>
      </c>
      <c r="C492" s="10"/>
      <c r="D492" s="11"/>
      <c r="E492" s="11"/>
      <c r="F492" s="11"/>
      <c r="G492" s="12"/>
      <c r="H492" s="13"/>
      <c r="I492" s="11"/>
      <c r="J492" s="14" t="str">
        <f aca="false">IF(AND(G492&lt;&gt;"",H492&lt;&gt;""),G492*H492,"")</f>
        <v/>
      </c>
      <c r="K492" s="11"/>
      <c r="L492" s="15"/>
      <c r="M492" s="15"/>
      <c r="N492" s="14" t="n">
        <f aca="false">IF(OR(G492="",M492=""),0,IF(M492&gt;100,M492,G492*IF(M492&gt;1,M492/100,M492)))</f>
        <v>0</v>
      </c>
      <c r="O492" s="14" t="str">
        <f aca="false">IF(G492="","",G492*IF(L492="",0,IF(L492&gt;1,L492/100,L492))+N492)</f>
        <v/>
      </c>
      <c r="P492" s="11"/>
      <c r="Q492" s="16" t="str">
        <f aca="false">IF(P492="","",IFERROR(VLOOKUP(P492,PARTNERS!$A$2:$B$30,2,0),""))</f>
        <v/>
      </c>
      <c r="R492" s="17" t="str">
        <f aca="false">IF(O492="","",IF(OR(P492="",Q492=""),0,(O492-N492)*IF(Q492&gt;1,Q492/100,Q492)))</f>
        <v/>
      </c>
      <c r="S492" s="14" t="str">
        <f aca="false">IF(O492="","",O492-R492)</f>
        <v/>
      </c>
      <c r="T492" s="11"/>
      <c r="U492" s="18" t="str">
        <f aca="false">IF(T492="","",IFERROR(VLOOKUP(T492,REPS!$A$2:$D$40,2,0),""))</f>
        <v/>
      </c>
      <c r="V492" s="14" t="str">
        <f aca="false">IF(O492="","",IF(U492="",0,O492*IF(U492&gt;1,U492/100,U492)))</f>
        <v/>
      </c>
      <c r="W492" s="11"/>
      <c r="X492" s="18" t="str">
        <f aca="false">IF(W492="","",IFERROR(VLOOKUP(W492,REPS!$A$2:$D$40,3,0),""))</f>
        <v/>
      </c>
      <c r="Y492" s="14" t="str">
        <f aca="false">IF(O492="","",IF(X492="",0,O492*IF(X492&gt;1,X492/100,X492)))</f>
        <v/>
      </c>
      <c r="Z492" s="11"/>
      <c r="AA492" s="18" t="str">
        <f aca="false">IF(Z492="","",IFERROR(VLOOKUP(Z492,REPS!$A$2:$D$40,4,0),""))</f>
        <v/>
      </c>
      <c r="AB492" s="14" t="str">
        <f aca="false">IF(O492="","",IF(AA492="",0,O492*IF(AA492&gt;1,AA492/100,AA492)))</f>
        <v/>
      </c>
      <c r="AC492" s="14" t="str">
        <f aca="false">IF(O492="","",V492+Y492+AB492)</f>
        <v/>
      </c>
      <c r="AD492" s="19" t="str">
        <f aca="false">IF(O492="","",O492-R492-AC492)</f>
        <v/>
      </c>
      <c r="AE492" s="20"/>
      <c r="AF492" s="10"/>
      <c r="AG492" s="21" t="n">
        <f aca="false">IF(OR(AE492="",AE492=0),0,AE492*IF(U492="",0,IF(U492&gt;1,U492/100,U492)))</f>
        <v>0</v>
      </c>
      <c r="AH492" s="21" t="n">
        <f aca="false">IF(OR(AE492="",AE492=0),0,AE492*IF(X492="",0,IF(X492&gt;1,X492/100,X492)))</f>
        <v>0</v>
      </c>
      <c r="AI492" s="21" t="n">
        <f aca="false">IF(OR(AE492="",AE492=0),0,AE492*IF(AA492="",0,IF(AA492&gt;1,AA492/100,AA492)))</f>
        <v>0</v>
      </c>
      <c r="AJ492" s="21" t="n">
        <f aca="false">AG492+AH492+AI492</f>
        <v>0</v>
      </c>
      <c r="AK492" s="21" t="n">
        <f aca="false">IF(OR(AE492="",AE492=0),0,AE492-AJ492)</f>
        <v>0</v>
      </c>
      <c r="AL492" s="19" t="str">
        <f aca="false">IF(AD492="","",AD492-AK492)</f>
        <v/>
      </c>
      <c r="AM492" s="9" t="str">
        <f aca="false">IF(C492="","","Waiting for payment")</f>
        <v/>
      </c>
      <c r="AN492" s="10"/>
      <c r="AO492" s="10"/>
      <c r="AP492" s="22" t="str">
        <f aca="false">IF(OR(C492="",I492="",K492=""),"",IF(K492="Monthly",EDATE(C492,ROUND(I492*SETTINGS!$I$8,0)),WORKDAY(C492,ROUND(I492*SETTINGS!$I$8,0))))</f>
        <v/>
      </c>
      <c r="AQ492" s="9" t="str">
        <f aca="true">IF(C492="","",IF(AND(AP492&lt;&gt;"",TODAY()&gt;=AP492),"Refi Ready",IF(TODAY()-C492&gt;=SETTINGS!$I$11,"Prospecting","Performing")))</f>
        <v/>
      </c>
      <c r="AR492" s="22" t="str">
        <f aca="false">IF(OR(C492="",I492="",K492=""),"",IF(K492="Monthly",EDATE(C492,I492),WORKDAY(C492,I492)))</f>
        <v/>
      </c>
      <c r="AS492" s="11"/>
      <c r="AT492" s="23" t="str">
        <f aca="true">IF(C492="","",IF(AM492="Clawed Back","CLAWED",IF(TODAY()&lt;=C492+SETTINGS!$I$2,"⚠ AT RISK","SAFE")))</f>
        <v/>
      </c>
      <c r="AU492" s="11"/>
      <c r="AW492" s="24" t="n">
        <f aca="false">AW491+IF(AND(C492&lt;&gt;"",AO492&lt;&gt;"",OR('REP COMMISSION'!$B$3="",T492='REP COMMISSION'!$B$3,W492='REP COMMISSION'!$B$3,Z492='REP COMMISSION'!$B$3)),1,0)</f>
        <v>0</v>
      </c>
      <c r="AX492" s="24" t="n">
        <f aca="false">AX491+IF(AND(C492&lt;&gt;"",OR(F492="LOC - INITIAL",F492="CONSOLIDATION - UPFRONT COMM",F492="REVERSE - TOTAL FUNDING")),1,0)</f>
        <v>0</v>
      </c>
    </row>
    <row r="493" customFormat="false" ht="15" hidden="false" customHeight="false" outlineLevel="0" collapsed="false">
      <c r="A493" s="25" t="str">
        <f aca="false">IF(C493&lt;&gt;"","F"&amp;COUNT($C$4:C493),"")</f>
        <v/>
      </c>
      <c r="B493" s="26" t="str">
        <f aca="false">IF(OR(F493="LOC - INITIAL",F493="CONSOLIDATION - UPFRONT COMM",F493="REVERSE - TOTAL FUNDING"),A493,"")</f>
        <v/>
      </c>
      <c r="C493" s="27"/>
      <c r="D493" s="28"/>
      <c r="E493" s="28"/>
      <c r="F493" s="28"/>
      <c r="G493" s="29"/>
      <c r="H493" s="30"/>
      <c r="I493" s="28"/>
      <c r="J493" s="31" t="str">
        <f aca="false">IF(AND(G493&lt;&gt;"",H493&lt;&gt;""),G493*H493,"")</f>
        <v/>
      </c>
      <c r="K493" s="28"/>
      <c r="L493" s="32"/>
      <c r="M493" s="32"/>
      <c r="N493" s="31" t="n">
        <f aca="false">IF(OR(G493="",M493=""),0,IF(M493&gt;100,M493,G493*IF(M493&gt;1,M493/100,M493)))</f>
        <v>0</v>
      </c>
      <c r="O493" s="31" t="str">
        <f aca="false">IF(G493="","",G493*IF(L493="",0,IF(L493&gt;1,L493/100,L493))+N493)</f>
        <v/>
      </c>
      <c r="P493" s="28"/>
      <c r="Q493" s="33" t="str">
        <f aca="false">IF(P493="","",IFERROR(VLOOKUP(P493,PARTNERS!$A$2:$B$30,2,0),""))</f>
        <v/>
      </c>
      <c r="R493" s="17" t="str">
        <f aca="false">IF(O493="","",IF(OR(P493="",Q493=""),0,(O493-N493)*IF(Q493&gt;1,Q493/100,Q493)))</f>
        <v/>
      </c>
      <c r="S493" s="31" t="str">
        <f aca="false">IF(O493="","",O493-R493)</f>
        <v/>
      </c>
      <c r="T493" s="28"/>
      <c r="U493" s="34" t="str">
        <f aca="false">IF(T493="","",IFERROR(VLOOKUP(T493,REPS!$A$2:$D$40,2,0),""))</f>
        <v/>
      </c>
      <c r="V493" s="31" t="str">
        <f aca="false">IF(O493="","",IF(U493="",0,O493*IF(U493&gt;1,U493/100,U493)))</f>
        <v/>
      </c>
      <c r="W493" s="28"/>
      <c r="X493" s="34" t="str">
        <f aca="false">IF(W493="","",IFERROR(VLOOKUP(W493,REPS!$A$2:$D$40,3,0),""))</f>
        <v/>
      </c>
      <c r="Y493" s="31" t="str">
        <f aca="false">IF(O493="","",IF(X493="",0,O493*IF(X493&gt;1,X493/100,X493)))</f>
        <v/>
      </c>
      <c r="Z493" s="28"/>
      <c r="AA493" s="34" t="str">
        <f aca="false">IF(Z493="","",IFERROR(VLOOKUP(Z493,REPS!$A$2:$D$40,4,0),""))</f>
        <v/>
      </c>
      <c r="AB493" s="31" t="str">
        <f aca="false">IF(O493="","",IF(AA493="",0,O493*IF(AA493&gt;1,AA493/100,AA493)))</f>
        <v/>
      </c>
      <c r="AC493" s="31" t="str">
        <f aca="false">IF(O493="","",V493+Y493+AB493)</f>
        <v/>
      </c>
      <c r="AD493" s="19" t="str">
        <f aca="false">IF(O493="","",O493-R493-AC493)</f>
        <v/>
      </c>
      <c r="AE493" s="20"/>
      <c r="AF493" s="27"/>
      <c r="AG493" s="21" t="n">
        <f aca="false">IF(OR(AE493="",AE493=0),0,AE493*IF(U493="",0,IF(U493&gt;1,U493/100,U493)))</f>
        <v>0</v>
      </c>
      <c r="AH493" s="21" t="n">
        <f aca="false">IF(OR(AE493="",AE493=0),0,AE493*IF(X493="",0,IF(X493&gt;1,X493/100,X493)))</f>
        <v>0</v>
      </c>
      <c r="AI493" s="21" t="n">
        <f aca="false">IF(OR(AE493="",AE493=0),0,AE493*IF(AA493="",0,IF(AA493&gt;1,AA493/100,AA493)))</f>
        <v>0</v>
      </c>
      <c r="AJ493" s="21" t="n">
        <f aca="false">AG493+AH493+AI493</f>
        <v>0</v>
      </c>
      <c r="AK493" s="21" t="n">
        <f aca="false">IF(OR(AE493="",AE493=0),0,AE493-AJ493)</f>
        <v>0</v>
      </c>
      <c r="AL493" s="19" t="str">
        <f aca="false">IF(AD493="","",AD493-AK493)</f>
        <v/>
      </c>
      <c r="AM493" s="26" t="str">
        <f aca="false">IF(C493="","","Waiting for payment")</f>
        <v/>
      </c>
      <c r="AN493" s="27"/>
      <c r="AO493" s="27"/>
      <c r="AP493" s="35" t="str">
        <f aca="false">IF(OR(C493="",I493="",K493=""),"",IF(K493="Monthly",EDATE(C493,ROUND(I493*SETTINGS!$I$8,0)),WORKDAY(C493,ROUND(I493*SETTINGS!$I$8,0))))</f>
        <v/>
      </c>
      <c r="AQ493" s="26" t="str">
        <f aca="true">IF(C493="","",IF(AND(AP493&lt;&gt;"",TODAY()&gt;=AP493),"Refi Ready",IF(TODAY()-C493&gt;=SETTINGS!$I$11,"Prospecting","Performing")))</f>
        <v/>
      </c>
      <c r="AR493" s="35" t="str">
        <f aca="false">IF(OR(C493="",I493="",K493=""),"",IF(K493="Monthly",EDATE(C493,I493),WORKDAY(C493,I493)))</f>
        <v/>
      </c>
      <c r="AS493" s="28"/>
      <c r="AT493" s="36" t="str">
        <f aca="true">IF(C493="","",IF(AM493="Clawed Back","CLAWED",IF(TODAY()&lt;=C493+SETTINGS!$I$2,"⚠ AT RISK","SAFE")))</f>
        <v/>
      </c>
      <c r="AU493" s="28"/>
      <c r="AW493" s="24" t="n">
        <f aca="false">AW492+IF(AND(C493&lt;&gt;"",AO493&lt;&gt;"",OR('REP COMMISSION'!$B$3="",T493='REP COMMISSION'!$B$3,W493='REP COMMISSION'!$B$3,Z493='REP COMMISSION'!$B$3)),1,0)</f>
        <v>0</v>
      </c>
      <c r="AX493" s="24" t="n">
        <f aca="false">AX492+IF(AND(C493&lt;&gt;"",OR(F493="LOC - INITIAL",F493="CONSOLIDATION - UPFRONT COMM",F493="REVERSE - TOTAL FUNDING")),1,0)</f>
        <v>0</v>
      </c>
    </row>
    <row r="494" customFormat="false" ht="15" hidden="false" customHeight="false" outlineLevel="0" collapsed="false">
      <c r="A494" s="8" t="str">
        <f aca="false">IF(C494&lt;&gt;"","F"&amp;COUNT($C$4:C494),"")</f>
        <v/>
      </c>
      <c r="B494" s="9" t="str">
        <f aca="false">IF(OR(F494="LOC - INITIAL",F494="CONSOLIDATION - UPFRONT COMM",F494="REVERSE - TOTAL FUNDING"),A494,"")</f>
        <v/>
      </c>
      <c r="C494" s="10"/>
      <c r="D494" s="11"/>
      <c r="E494" s="11"/>
      <c r="F494" s="11"/>
      <c r="G494" s="12"/>
      <c r="H494" s="13"/>
      <c r="I494" s="11"/>
      <c r="J494" s="14" t="str">
        <f aca="false">IF(AND(G494&lt;&gt;"",H494&lt;&gt;""),G494*H494,"")</f>
        <v/>
      </c>
      <c r="K494" s="11"/>
      <c r="L494" s="15"/>
      <c r="M494" s="15"/>
      <c r="N494" s="14" t="n">
        <f aca="false">IF(OR(G494="",M494=""),0,IF(M494&gt;100,M494,G494*IF(M494&gt;1,M494/100,M494)))</f>
        <v>0</v>
      </c>
      <c r="O494" s="14" t="str">
        <f aca="false">IF(G494="","",G494*IF(L494="",0,IF(L494&gt;1,L494/100,L494))+N494)</f>
        <v/>
      </c>
      <c r="P494" s="11"/>
      <c r="Q494" s="16" t="str">
        <f aca="false">IF(P494="","",IFERROR(VLOOKUP(P494,PARTNERS!$A$2:$B$30,2,0),""))</f>
        <v/>
      </c>
      <c r="R494" s="17" t="str">
        <f aca="false">IF(O494="","",IF(OR(P494="",Q494=""),0,(O494-N494)*IF(Q494&gt;1,Q494/100,Q494)))</f>
        <v/>
      </c>
      <c r="S494" s="14" t="str">
        <f aca="false">IF(O494="","",O494-R494)</f>
        <v/>
      </c>
      <c r="T494" s="11"/>
      <c r="U494" s="18" t="str">
        <f aca="false">IF(T494="","",IFERROR(VLOOKUP(T494,REPS!$A$2:$D$40,2,0),""))</f>
        <v/>
      </c>
      <c r="V494" s="14" t="str">
        <f aca="false">IF(O494="","",IF(U494="",0,O494*IF(U494&gt;1,U494/100,U494)))</f>
        <v/>
      </c>
      <c r="W494" s="11"/>
      <c r="X494" s="18" t="str">
        <f aca="false">IF(W494="","",IFERROR(VLOOKUP(W494,REPS!$A$2:$D$40,3,0),""))</f>
        <v/>
      </c>
      <c r="Y494" s="14" t="str">
        <f aca="false">IF(O494="","",IF(X494="",0,O494*IF(X494&gt;1,X494/100,X494)))</f>
        <v/>
      </c>
      <c r="Z494" s="11"/>
      <c r="AA494" s="18" t="str">
        <f aca="false">IF(Z494="","",IFERROR(VLOOKUP(Z494,REPS!$A$2:$D$40,4,0),""))</f>
        <v/>
      </c>
      <c r="AB494" s="14" t="str">
        <f aca="false">IF(O494="","",IF(AA494="",0,O494*IF(AA494&gt;1,AA494/100,AA494)))</f>
        <v/>
      </c>
      <c r="AC494" s="14" t="str">
        <f aca="false">IF(O494="","",V494+Y494+AB494)</f>
        <v/>
      </c>
      <c r="AD494" s="19" t="str">
        <f aca="false">IF(O494="","",O494-R494-AC494)</f>
        <v/>
      </c>
      <c r="AE494" s="20"/>
      <c r="AF494" s="10"/>
      <c r="AG494" s="21" t="n">
        <f aca="false">IF(OR(AE494="",AE494=0),0,AE494*IF(U494="",0,IF(U494&gt;1,U494/100,U494)))</f>
        <v>0</v>
      </c>
      <c r="AH494" s="21" t="n">
        <f aca="false">IF(OR(AE494="",AE494=0),0,AE494*IF(X494="",0,IF(X494&gt;1,X494/100,X494)))</f>
        <v>0</v>
      </c>
      <c r="AI494" s="21" t="n">
        <f aca="false">IF(OR(AE494="",AE494=0),0,AE494*IF(AA494="",0,IF(AA494&gt;1,AA494/100,AA494)))</f>
        <v>0</v>
      </c>
      <c r="AJ494" s="21" t="n">
        <f aca="false">AG494+AH494+AI494</f>
        <v>0</v>
      </c>
      <c r="AK494" s="21" t="n">
        <f aca="false">IF(OR(AE494="",AE494=0),0,AE494-AJ494)</f>
        <v>0</v>
      </c>
      <c r="AL494" s="19" t="str">
        <f aca="false">IF(AD494="","",AD494-AK494)</f>
        <v/>
      </c>
      <c r="AM494" s="9" t="str">
        <f aca="false">IF(C494="","","Waiting for payment")</f>
        <v/>
      </c>
      <c r="AN494" s="10"/>
      <c r="AO494" s="10"/>
      <c r="AP494" s="22" t="str">
        <f aca="false">IF(OR(C494="",I494="",K494=""),"",IF(K494="Monthly",EDATE(C494,ROUND(I494*SETTINGS!$I$8,0)),WORKDAY(C494,ROUND(I494*SETTINGS!$I$8,0))))</f>
        <v/>
      </c>
      <c r="AQ494" s="9" t="str">
        <f aca="true">IF(C494="","",IF(AND(AP494&lt;&gt;"",TODAY()&gt;=AP494),"Refi Ready",IF(TODAY()-C494&gt;=SETTINGS!$I$11,"Prospecting","Performing")))</f>
        <v/>
      </c>
      <c r="AR494" s="22" t="str">
        <f aca="false">IF(OR(C494="",I494="",K494=""),"",IF(K494="Monthly",EDATE(C494,I494),WORKDAY(C494,I494)))</f>
        <v/>
      </c>
      <c r="AS494" s="11"/>
      <c r="AT494" s="23" t="str">
        <f aca="true">IF(C494="","",IF(AM494="Clawed Back","CLAWED",IF(TODAY()&lt;=C494+SETTINGS!$I$2,"⚠ AT RISK","SAFE")))</f>
        <v/>
      </c>
      <c r="AU494" s="11"/>
      <c r="AW494" s="24" t="n">
        <f aca="false">AW493+IF(AND(C494&lt;&gt;"",AO494&lt;&gt;"",OR('REP COMMISSION'!$B$3="",T494='REP COMMISSION'!$B$3,W494='REP COMMISSION'!$B$3,Z494='REP COMMISSION'!$B$3)),1,0)</f>
        <v>0</v>
      </c>
      <c r="AX494" s="24" t="n">
        <f aca="false">AX493+IF(AND(C494&lt;&gt;"",OR(F494="LOC - INITIAL",F494="CONSOLIDATION - UPFRONT COMM",F494="REVERSE - TOTAL FUNDING")),1,0)</f>
        <v>0</v>
      </c>
    </row>
    <row r="495" customFormat="false" ht="15" hidden="false" customHeight="false" outlineLevel="0" collapsed="false">
      <c r="A495" s="25" t="str">
        <f aca="false">IF(C495&lt;&gt;"","F"&amp;COUNT($C$4:C495),"")</f>
        <v/>
      </c>
      <c r="B495" s="26" t="str">
        <f aca="false">IF(OR(F495="LOC - INITIAL",F495="CONSOLIDATION - UPFRONT COMM",F495="REVERSE - TOTAL FUNDING"),A495,"")</f>
        <v/>
      </c>
      <c r="C495" s="27"/>
      <c r="D495" s="28"/>
      <c r="E495" s="28"/>
      <c r="F495" s="28"/>
      <c r="G495" s="29"/>
      <c r="H495" s="30"/>
      <c r="I495" s="28"/>
      <c r="J495" s="31" t="str">
        <f aca="false">IF(AND(G495&lt;&gt;"",H495&lt;&gt;""),G495*H495,"")</f>
        <v/>
      </c>
      <c r="K495" s="28"/>
      <c r="L495" s="32"/>
      <c r="M495" s="32"/>
      <c r="N495" s="31" t="n">
        <f aca="false">IF(OR(G495="",M495=""),0,IF(M495&gt;100,M495,G495*IF(M495&gt;1,M495/100,M495)))</f>
        <v>0</v>
      </c>
      <c r="O495" s="31" t="str">
        <f aca="false">IF(G495="","",G495*IF(L495="",0,IF(L495&gt;1,L495/100,L495))+N495)</f>
        <v/>
      </c>
      <c r="P495" s="28"/>
      <c r="Q495" s="33" t="str">
        <f aca="false">IF(P495="","",IFERROR(VLOOKUP(P495,PARTNERS!$A$2:$B$30,2,0),""))</f>
        <v/>
      </c>
      <c r="R495" s="17" t="str">
        <f aca="false">IF(O495="","",IF(OR(P495="",Q495=""),0,(O495-N495)*IF(Q495&gt;1,Q495/100,Q495)))</f>
        <v/>
      </c>
      <c r="S495" s="31" t="str">
        <f aca="false">IF(O495="","",O495-R495)</f>
        <v/>
      </c>
      <c r="T495" s="28"/>
      <c r="U495" s="34" t="str">
        <f aca="false">IF(T495="","",IFERROR(VLOOKUP(T495,REPS!$A$2:$D$40,2,0),""))</f>
        <v/>
      </c>
      <c r="V495" s="31" t="str">
        <f aca="false">IF(O495="","",IF(U495="",0,O495*IF(U495&gt;1,U495/100,U495)))</f>
        <v/>
      </c>
      <c r="W495" s="28"/>
      <c r="X495" s="34" t="str">
        <f aca="false">IF(W495="","",IFERROR(VLOOKUP(W495,REPS!$A$2:$D$40,3,0),""))</f>
        <v/>
      </c>
      <c r="Y495" s="31" t="str">
        <f aca="false">IF(O495="","",IF(X495="",0,O495*IF(X495&gt;1,X495/100,X495)))</f>
        <v/>
      </c>
      <c r="Z495" s="28"/>
      <c r="AA495" s="34" t="str">
        <f aca="false">IF(Z495="","",IFERROR(VLOOKUP(Z495,REPS!$A$2:$D$40,4,0),""))</f>
        <v/>
      </c>
      <c r="AB495" s="31" t="str">
        <f aca="false">IF(O495="","",IF(AA495="",0,O495*IF(AA495&gt;1,AA495/100,AA495)))</f>
        <v/>
      </c>
      <c r="AC495" s="31" t="str">
        <f aca="false">IF(O495="","",V495+Y495+AB495)</f>
        <v/>
      </c>
      <c r="AD495" s="19" t="str">
        <f aca="false">IF(O495="","",O495-R495-AC495)</f>
        <v/>
      </c>
      <c r="AE495" s="20"/>
      <c r="AF495" s="27"/>
      <c r="AG495" s="21" t="n">
        <f aca="false">IF(OR(AE495="",AE495=0),0,AE495*IF(U495="",0,IF(U495&gt;1,U495/100,U495)))</f>
        <v>0</v>
      </c>
      <c r="AH495" s="21" t="n">
        <f aca="false">IF(OR(AE495="",AE495=0),0,AE495*IF(X495="",0,IF(X495&gt;1,X495/100,X495)))</f>
        <v>0</v>
      </c>
      <c r="AI495" s="21" t="n">
        <f aca="false">IF(OR(AE495="",AE495=0),0,AE495*IF(AA495="",0,IF(AA495&gt;1,AA495/100,AA495)))</f>
        <v>0</v>
      </c>
      <c r="AJ495" s="21" t="n">
        <f aca="false">AG495+AH495+AI495</f>
        <v>0</v>
      </c>
      <c r="AK495" s="21" t="n">
        <f aca="false">IF(OR(AE495="",AE495=0),0,AE495-AJ495)</f>
        <v>0</v>
      </c>
      <c r="AL495" s="19" t="str">
        <f aca="false">IF(AD495="","",AD495-AK495)</f>
        <v/>
      </c>
      <c r="AM495" s="26" t="str">
        <f aca="false">IF(C495="","","Waiting for payment")</f>
        <v/>
      </c>
      <c r="AN495" s="27"/>
      <c r="AO495" s="27"/>
      <c r="AP495" s="35" t="str">
        <f aca="false">IF(OR(C495="",I495="",K495=""),"",IF(K495="Monthly",EDATE(C495,ROUND(I495*SETTINGS!$I$8,0)),WORKDAY(C495,ROUND(I495*SETTINGS!$I$8,0))))</f>
        <v/>
      </c>
      <c r="AQ495" s="26" t="str">
        <f aca="true">IF(C495="","",IF(AND(AP495&lt;&gt;"",TODAY()&gt;=AP495),"Refi Ready",IF(TODAY()-C495&gt;=SETTINGS!$I$11,"Prospecting","Performing")))</f>
        <v/>
      </c>
      <c r="AR495" s="35" t="str">
        <f aca="false">IF(OR(C495="",I495="",K495=""),"",IF(K495="Monthly",EDATE(C495,I495),WORKDAY(C495,I495)))</f>
        <v/>
      </c>
      <c r="AS495" s="28"/>
      <c r="AT495" s="36" t="str">
        <f aca="true">IF(C495="","",IF(AM495="Clawed Back","CLAWED",IF(TODAY()&lt;=C495+SETTINGS!$I$2,"⚠ AT RISK","SAFE")))</f>
        <v/>
      </c>
      <c r="AU495" s="28"/>
      <c r="AW495" s="24" t="n">
        <f aca="false">AW494+IF(AND(C495&lt;&gt;"",AO495&lt;&gt;"",OR('REP COMMISSION'!$B$3="",T495='REP COMMISSION'!$B$3,W495='REP COMMISSION'!$B$3,Z495='REP COMMISSION'!$B$3)),1,0)</f>
        <v>0</v>
      </c>
      <c r="AX495" s="24" t="n">
        <f aca="false">AX494+IF(AND(C495&lt;&gt;"",OR(F495="LOC - INITIAL",F495="CONSOLIDATION - UPFRONT COMM",F495="REVERSE - TOTAL FUNDING")),1,0)</f>
        <v>0</v>
      </c>
    </row>
    <row r="496" customFormat="false" ht="15" hidden="false" customHeight="false" outlineLevel="0" collapsed="false">
      <c r="A496" s="8" t="str">
        <f aca="false">IF(C496&lt;&gt;"","F"&amp;COUNT($C$4:C496),"")</f>
        <v/>
      </c>
      <c r="B496" s="9" t="str">
        <f aca="false">IF(OR(F496="LOC - INITIAL",F496="CONSOLIDATION - UPFRONT COMM",F496="REVERSE - TOTAL FUNDING"),A496,"")</f>
        <v/>
      </c>
      <c r="C496" s="10"/>
      <c r="D496" s="11"/>
      <c r="E496" s="11"/>
      <c r="F496" s="11"/>
      <c r="G496" s="12"/>
      <c r="H496" s="13"/>
      <c r="I496" s="11"/>
      <c r="J496" s="14" t="str">
        <f aca="false">IF(AND(G496&lt;&gt;"",H496&lt;&gt;""),G496*H496,"")</f>
        <v/>
      </c>
      <c r="K496" s="11"/>
      <c r="L496" s="15"/>
      <c r="M496" s="15"/>
      <c r="N496" s="14" t="n">
        <f aca="false">IF(OR(G496="",M496=""),0,IF(M496&gt;100,M496,G496*IF(M496&gt;1,M496/100,M496)))</f>
        <v>0</v>
      </c>
      <c r="O496" s="14" t="str">
        <f aca="false">IF(G496="","",G496*IF(L496="",0,IF(L496&gt;1,L496/100,L496))+N496)</f>
        <v/>
      </c>
      <c r="P496" s="11"/>
      <c r="Q496" s="16" t="str">
        <f aca="false">IF(P496="","",IFERROR(VLOOKUP(P496,PARTNERS!$A$2:$B$30,2,0),""))</f>
        <v/>
      </c>
      <c r="R496" s="17" t="str">
        <f aca="false">IF(O496="","",IF(OR(P496="",Q496=""),0,(O496-N496)*IF(Q496&gt;1,Q496/100,Q496)))</f>
        <v/>
      </c>
      <c r="S496" s="14" t="str">
        <f aca="false">IF(O496="","",O496-R496)</f>
        <v/>
      </c>
      <c r="T496" s="11"/>
      <c r="U496" s="18" t="str">
        <f aca="false">IF(T496="","",IFERROR(VLOOKUP(T496,REPS!$A$2:$D$40,2,0),""))</f>
        <v/>
      </c>
      <c r="V496" s="14" t="str">
        <f aca="false">IF(O496="","",IF(U496="",0,O496*IF(U496&gt;1,U496/100,U496)))</f>
        <v/>
      </c>
      <c r="W496" s="11"/>
      <c r="X496" s="18" t="str">
        <f aca="false">IF(W496="","",IFERROR(VLOOKUP(W496,REPS!$A$2:$D$40,3,0),""))</f>
        <v/>
      </c>
      <c r="Y496" s="14" t="str">
        <f aca="false">IF(O496="","",IF(X496="",0,O496*IF(X496&gt;1,X496/100,X496)))</f>
        <v/>
      </c>
      <c r="Z496" s="11"/>
      <c r="AA496" s="18" t="str">
        <f aca="false">IF(Z496="","",IFERROR(VLOOKUP(Z496,REPS!$A$2:$D$40,4,0),""))</f>
        <v/>
      </c>
      <c r="AB496" s="14" t="str">
        <f aca="false">IF(O496="","",IF(AA496="",0,O496*IF(AA496&gt;1,AA496/100,AA496)))</f>
        <v/>
      </c>
      <c r="AC496" s="14" t="str">
        <f aca="false">IF(O496="","",V496+Y496+AB496)</f>
        <v/>
      </c>
      <c r="AD496" s="19" t="str">
        <f aca="false">IF(O496="","",O496-R496-AC496)</f>
        <v/>
      </c>
      <c r="AE496" s="20"/>
      <c r="AF496" s="10"/>
      <c r="AG496" s="21" t="n">
        <f aca="false">IF(OR(AE496="",AE496=0),0,AE496*IF(U496="",0,IF(U496&gt;1,U496/100,U496)))</f>
        <v>0</v>
      </c>
      <c r="AH496" s="21" t="n">
        <f aca="false">IF(OR(AE496="",AE496=0),0,AE496*IF(X496="",0,IF(X496&gt;1,X496/100,X496)))</f>
        <v>0</v>
      </c>
      <c r="AI496" s="21" t="n">
        <f aca="false">IF(OR(AE496="",AE496=0),0,AE496*IF(AA496="",0,IF(AA496&gt;1,AA496/100,AA496)))</f>
        <v>0</v>
      </c>
      <c r="AJ496" s="21" t="n">
        <f aca="false">AG496+AH496+AI496</f>
        <v>0</v>
      </c>
      <c r="AK496" s="21" t="n">
        <f aca="false">IF(OR(AE496="",AE496=0),0,AE496-AJ496)</f>
        <v>0</v>
      </c>
      <c r="AL496" s="19" t="str">
        <f aca="false">IF(AD496="","",AD496-AK496)</f>
        <v/>
      </c>
      <c r="AM496" s="9" t="str">
        <f aca="false">IF(C496="","","Waiting for payment")</f>
        <v/>
      </c>
      <c r="AN496" s="10"/>
      <c r="AO496" s="10"/>
      <c r="AP496" s="22" t="str">
        <f aca="false">IF(OR(C496="",I496="",K496=""),"",IF(K496="Monthly",EDATE(C496,ROUND(I496*SETTINGS!$I$8,0)),WORKDAY(C496,ROUND(I496*SETTINGS!$I$8,0))))</f>
        <v/>
      </c>
      <c r="AQ496" s="9" t="str">
        <f aca="true">IF(C496="","",IF(AND(AP496&lt;&gt;"",TODAY()&gt;=AP496),"Refi Ready",IF(TODAY()-C496&gt;=SETTINGS!$I$11,"Prospecting","Performing")))</f>
        <v/>
      </c>
      <c r="AR496" s="22" t="str">
        <f aca="false">IF(OR(C496="",I496="",K496=""),"",IF(K496="Monthly",EDATE(C496,I496),WORKDAY(C496,I496)))</f>
        <v/>
      </c>
      <c r="AS496" s="11"/>
      <c r="AT496" s="23" t="str">
        <f aca="true">IF(C496="","",IF(AM496="Clawed Back","CLAWED",IF(TODAY()&lt;=C496+SETTINGS!$I$2,"⚠ AT RISK","SAFE")))</f>
        <v/>
      </c>
      <c r="AU496" s="11"/>
      <c r="AW496" s="24" t="n">
        <f aca="false">AW495+IF(AND(C496&lt;&gt;"",AO496&lt;&gt;"",OR('REP COMMISSION'!$B$3="",T496='REP COMMISSION'!$B$3,W496='REP COMMISSION'!$B$3,Z496='REP COMMISSION'!$B$3)),1,0)</f>
        <v>0</v>
      </c>
      <c r="AX496" s="24" t="n">
        <f aca="false">AX495+IF(AND(C496&lt;&gt;"",OR(F496="LOC - INITIAL",F496="CONSOLIDATION - UPFRONT COMM",F496="REVERSE - TOTAL FUNDING")),1,0)</f>
        <v>0</v>
      </c>
    </row>
    <row r="497" customFormat="false" ht="15" hidden="false" customHeight="false" outlineLevel="0" collapsed="false">
      <c r="A497" s="25" t="str">
        <f aca="false">IF(C497&lt;&gt;"","F"&amp;COUNT($C$4:C497),"")</f>
        <v/>
      </c>
      <c r="B497" s="26" t="str">
        <f aca="false">IF(OR(F497="LOC - INITIAL",F497="CONSOLIDATION - UPFRONT COMM",F497="REVERSE - TOTAL FUNDING"),A497,"")</f>
        <v/>
      </c>
      <c r="C497" s="27"/>
      <c r="D497" s="28"/>
      <c r="E497" s="28"/>
      <c r="F497" s="28"/>
      <c r="G497" s="29"/>
      <c r="H497" s="30"/>
      <c r="I497" s="28"/>
      <c r="J497" s="31" t="str">
        <f aca="false">IF(AND(G497&lt;&gt;"",H497&lt;&gt;""),G497*H497,"")</f>
        <v/>
      </c>
      <c r="K497" s="28"/>
      <c r="L497" s="32"/>
      <c r="M497" s="32"/>
      <c r="N497" s="31" t="n">
        <f aca="false">IF(OR(G497="",M497=""),0,IF(M497&gt;100,M497,G497*IF(M497&gt;1,M497/100,M497)))</f>
        <v>0</v>
      </c>
      <c r="O497" s="31" t="str">
        <f aca="false">IF(G497="","",G497*IF(L497="",0,IF(L497&gt;1,L497/100,L497))+N497)</f>
        <v/>
      </c>
      <c r="P497" s="28"/>
      <c r="Q497" s="33" t="str">
        <f aca="false">IF(P497="","",IFERROR(VLOOKUP(P497,PARTNERS!$A$2:$B$30,2,0),""))</f>
        <v/>
      </c>
      <c r="R497" s="17" t="str">
        <f aca="false">IF(O497="","",IF(OR(P497="",Q497=""),0,(O497-N497)*IF(Q497&gt;1,Q497/100,Q497)))</f>
        <v/>
      </c>
      <c r="S497" s="31" t="str">
        <f aca="false">IF(O497="","",O497-R497)</f>
        <v/>
      </c>
      <c r="T497" s="28"/>
      <c r="U497" s="34" t="str">
        <f aca="false">IF(T497="","",IFERROR(VLOOKUP(T497,REPS!$A$2:$D$40,2,0),""))</f>
        <v/>
      </c>
      <c r="V497" s="31" t="str">
        <f aca="false">IF(O497="","",IF(U497="",0,O497*IF(U497&gt;1,U497/100,U497)))</f>
        <v/>
      </c>
      <c r="W497" s="28"/>
      <c r="X497" s="34" t="str">
        <f aca="false">IF(W497="","",IFERROR(VLOOKUP(W497,REPS!$A$2:$D$40,3,0),""))</f>
        <v/>
      </c>
      <c r="Y497" s="31" t="str">
        <f aca="false">IF(O497="","",IF(X497="",0,O497*IF(X497&gt;1,X497/100,X497)))</f>
        <v/>
      </c>
      <c r="Z497" s="28"/>
      <c r="AA497" s="34" t="str">
        <f aca="false">IF(Z497="","",IFERROR(VLOOKUP(Z497,REPS!$A$2:$D$40,4,0),""))</f>
        <v/>
      </c>
      <c r="AB497" s="31" t="str">
        <f aca="false">IF(O497="","",IF(AA497="",0,O497*IF(AA497&gt;1,AA497/100,AA497)))</f>
        <v/>
      </c>
      <c r="AC497" s="31" t="str">
        <f aca="false">IF(O497="","",V497+Y497+AB497)</f>
        <v/>
      </c>
      <c r="AD497" s="19" t="str">
        <f aca="false">IF(O497="","",O497-R497-AC497)</f>
        <v/>
      </c>
      <c r="AE497" s="20"/>
      <c r="AF497" s="27"/>
      <c r="AG497" s="21" t="n">
        <f aca="false">IF(OR(AE497="",AE497=0),0,AE497*IF(U497="",0,IF(U497&gt;1,U497/100,U497)))</f>
        <v>0</v>
      </c>
      <c r="AH497" s="21" t="n">
        <f aca="false">IF(OR(AE497="",AE497=0),0,AE497*IF(X497="",0,IF(X497&gt;1,X497/100,X497)))</f>
        <v>0</v>
      </c>
      <c r="AI497" s="21" t="n">
        <f aca="false">IF(OR(AE497="",AE497=0),0,AE497*IF(AA497="",0,IF(AA497&gt;1,AA497/100,AA497)))</f>
        <v>0</v>
      </c>
      <c r="AJ497" s="21" t="n">
        <f aca="false">AG497+AH497+AI497</f>
        <v>0</v>
      </c>
      <c r="AK497" s="21" t="n">
        <f aca="false">IF(OR(AE497="",AE497=0),0,AE497-AJ497)</f>
        <v>0</v>
      </c>
      <c r="AL497" s="19" t="str">
        <f aca="false">IF(AD497="","",AD497-AK497)</f>
        <v/>
      </c>
      <c r="AM497" s="26" t="str">
        <f aca="false">IF(C497="","","Waiting for payment")</f>
        <v/>
      </c>
      <c r="AN497" s="27"/>
      <c r="AO497" s="27"/>
      <c r="AP497" s="35" t="str">
        <f aca="false">IF(OR(C497="",I497="",K497=""),"",IF(K497="Monthly",EDATE(C497,ROUND(I497*SETTINGS!$I$8,0)),WORKDAY(C497,ROUND(I497*SETTINGS!$I$8,0))))</f>
        <v/>
      </c>
      <c r="AQ497" s="26" t="str">
        <f aca="true">IF(C497="","",IF(AND(AP497&lt;&gt;"",TODAY()&gt;=AP497),"Refi Ready",IF(TODAY()-C497&gt;=SETTINGS!$I$11,"Prospecting","Performing")))</f>
        <v/>
      </c>
      <c r="AR497" s="35" t="str">
        <f aca="false">IF(OR(C497="",I497="",K497=""),"",IF(K497="Monthly",EDATE(C497,I497),WORKDAY(C497,I497)))</f>
        <v/>
      </c>
      <c r="AS497" s="28"/>
      <c r="AT497" s="36" t="str">
        <f aca="true">IF(C497="","",IF(AM497="Clawed Back","CLAWED",IF(TODAY()&lt;=C497+SETTINGS!$I$2,"⚠ AT RISK","SAFE")))</f>
        <v/>
      </c>
      <c r="AU497" s="28"/>
      <c r="AW497" s="24" t="n">
        <f aca="false">AW496+IF(AND(C497&lt;&gt;"",AO497&lt;&gt;"",OR('REP COMMISSION'!$B$3="",T497='REP COMMISSION'!$B$3,W497='REP COMMISSION'!$B$3,Z497='REP COMMISSION'!$B$3)),1,0)</f>
        <v>0</v>
      </c>
      <c r="AX497" s="24" t="n">
        <f aca="false">AX496+IF(AND(C497&lt;&gt;"",OR(F497="LOC - INITIAL",F497="CONSOLIDATION - UPFRONT COMM",F497="REVERSE - TOTAL FUNDING")),1,0)</f>
        <v>0</v>
      </c>
    </row>
    <row r="498" customFormat="false" ht="15" hidden="false" customHeight="false" outlineLevel="0" collapsed="false">
      <c r="A498" s="8" t="str">
        <f aca="false">IF(C498&lt;&gt;"","F"&amp;COUNT($C$4:C498),"")</f>
        <v/>
      </c>
      <c r="B498" s="9" t="str">
        <f aca="false">IF(OR(F498="LOC - INITIAL",F498="CONSOLIDATION - UPFRONT COMM",F498="REVERSE - TOTAL FUNDING"),A498,"")</f>
        <v/>
      </c>
      <c r="C498" s="10"/>
      <c r="D498" s="11"/>
      <c r="E498" s="11"/>
      <c r="F498" s="11"/>
      <c r="G498" s="12"/>
      <c r="H498" s="13"/>
      <c r="I498" s="11"/>
      <c r="J498" s="14" t="str">
        <f aca="false">IF(AND(G498&lt;&gt;"",H498&lt;&gt;""),G498*H498,"")</f>
        <v/>
      </c>
      <c r="K498" s="11"/>
      <c r="L498" s="15"/>
      <c r="M498" s="15"/>
      <c r="N498" s="14" t="n">
        <f aca="false">IF(OR(G498="",M498=""),0,IF(M498&gt;100,M498,G498*IF(M498&gt;1,M498/100,M498)))</f>
        <v>0</v>
      </c>
      <c r="O498" s="14" t="str">
        <f aca="false">IF(G498="","",G498*IF(L498="",0,IF(L498&gt;1,L498/100,L498))+N498)</f>
        <v/>
      </c>
      <c r="P498" s="11"/>
      <c r="Q498" s="16" t="str">
        <f aca="false">IF(P498="","",IFERROR(VLOOKUP(P498,PARTNERS!$A$2:$B$30,2,0),""))</f>
        <v/>
      </c>
      <c r="R498" s="17" t="str">
        <f aca="false">IF(O498="","",IF(OR(P498="",Q498=""),0,(O498-N498)*IF(Q498&gt;1,Q498/100,Q498)))</f>
        <v/>
      </c>
      <c r="S498" s="14" t="str">
        <f aca="false">IF(O498="","",O498-R498)</f>
        <v/>
      </c>
      <c r="T498" s="11"/>
      <c r="U498" s="18" t="str">
        <f aca="false">IF(T498="","",IFERROR(VLOOKUP(T498,REPS!$A$2:$D$40,2,0),""))</f>
        <v/>
      </c>
      <c r="V498" s="14" t="str">
        <f aca="false">IF(O498="","",IF(U498="",0,O498*IF(U498&gt;1,U498/100,U498)))</f>
        <v/>
      </c>
      <c r="W498" s="11"/>
      <c r="X498" s="18" t="str">
        <f aca="false">IF(W498="","",IFERROR(VLOOKUP(W498,REPS!$A$2:$D$40,3,0),""))</f>
        <v/>
      </c>
      <c r="Y498" s="14" t="str">
        <f aca="false">IF(O498="","",IF(X498="",0,O498*IF(X498&gt;1,X498/100,X498)))</f>
        <v/>
      </c>
      <c r="Z498" s="11"/>
      <c r="AA498" s="18" t="str">
        <f aca="false">IF(Z498="","",IFERROR(VLOOKUP(Z498,REPS!$A$2:$D$40,4,0),""))</f>
        <v/>
      </c>
      <c r="AB498" s="14" t="str">
        <f aca="false">IF(O498="","",IF(AA498="",0,O498*IF(AA498&gt;1,AA498/100,AA498)))</f>
        <v/>
      </c>
      <c r="AC498" s="14" t="str">
        <f aca="false">IF(O498="","",V498+Y498+AB498)</f>
        <v/>
      </c>
      <c r="AD498" s="19" t="str">
        <f aca="false">IF(O498="","",O498-R498-AC498)</f>
        <v/>
      </c>
      <c r="AE498" s="20"/>
      <c r="AF498" s="10"/>
      <c r="AG498" s="21" t="n">
        <f aca="false">IF(OR(AE498="",AE498=0),0,AE498*IF(U498="",0,IF(U498&gt;1,U498/100,U498)))</f>
        <v>0</v>
      </c>
      <c r="AH498" s="21" t="n">
        <f aca="false">IF(OR(AE498="",AE498=0),0,AE498*IF(X498="",0,IF(X498&gt;1,X498/100,X498)))</f>
        <v>0</v>
      </c>
      <c r="AI498" s="21" t="n">
        <f aca="false">IF(OR(AE498="",AE498=0),0,AE498*IF(AA498="",0,IF(AA498&gt;1,AA498/100,AA498)))</f>
        <v>0</v>
      </c>
      <c r="AJ498" s="21" t="n">
        <f aca="false">AG498+AH498+AI498</f>
        <v>0</v>
      </c>
      <c r="AK498" s="21" t="n">
        <f aca="false">IF(OR(AE498="",AE498=0),0,AE498-AJ498)</f>
        <v>0</v>
      </c>
      <c r="AL498" s="19" t="str">
        <f aca="false">IF(AD498="","",AD498-AK498)</f>
        <v/>
      </c>
      <c r="AM498" s="9" t="str">
        <f aca="false">IF(C498="","","Waiting for payment")</f>
        <v/>
      </c>
      <c r="AN498" s="10"/>
      <c r="AO498" s="10"/>
      <c r="AP498" s="22" t="str">
        <f aca="false">IF(OR(C498="",I498="",K498=""),"",IF(K498="Monthly",EDATE(C498,ROUND(I498*SETTINGS!$I$8,0)),WORKDAY(C498,ROUND(I498*SETTINGS!$I$8,0))))</f>
        <v/>
      </c>
      <c r="AQ498" s="9" t="str">
        <f aca="true">IF(C498="","",IF(AND(AP498&lt;&gt;"",TODAY()&gt;=AP498),"Refi Ready",IF(TODAY()-C498&gt;=SETTINGS!$I$11,"Prospecting","Performing")))</f>
        <v/>
      </c>
      <c r="AR498" s="22" t="str">
        <f aca="false">IF(OR(C498="",I498="",K498=""),"",IF(K498="Monthly",EDATE(C498,I498),WORKDAY(C498,I498)))</f>
        <v/>
      </c>
      <c r="AS498" s="11"/>
      <c r="AT498" s="23" t="str">
        <f aca="true">IF(C498="","",IF(AM498="Clawed Back","CLAWED",IF(TODAY()&lt;=C498+SETTINGS!$I$2,"⚠ AT RISK","SAFE")))</f>
        <v/>
      </c>
      <c r="AU498" s="11"/>
      <c r="AW498" s="24" t="n">
        <f aca="false">AW497+IF(AND(C498&lt;&gt;"",AO498&lt;&gt;"",OR('REP COMMISSION'!$B$3="",T498='REP COMMISSION'!$B$3,W498='REP COMMISSION'!$B$3,Z498='REP COMMISSION'!$B$3)),1,0)</f>
        <v>0</v>
      </c>
      <c r="AX498" s="24" t="n">
        <f aca="false">AX497+IF(AND(C498&lt;&gt;"",OR(F498="LOC - INITIAL",F498="CONSOLIDATION - UPFRONT COMM",F498="REVERSE - TOTAL FUNDING")),1,0)</f>
        <v>0</v>
      </c>
    </row>
    <row r="499" customFormat="false" ht="15" hidden="false" customHeight="false" outlineLevel="0" collapsed="false">
      <c r="A499" s="25" t="str">
        <f aca="false">IF(C499&lt;&gt;"","F"&amp;COUNT($C$4:C499),"")</f>
        <v/>
      </c>
      <c r="B499" s="26" t="str">
        <f aca="false">IF(OR(F499="LOC - INITIAL",F499="CONSOLIDATION - UPFRONT COMM",F499="REVERSE - TOTAL FUNDING"),A499,"")</f>
        <v/>
      </c>
      <c r="C499" s="27"/>
      <c r="D499" s="28"/>
      <c r="E499" s="28"/>
      <c r="F499" s="28"/>
      <c r="G499" s="29"/>
      <c r="H499" s="30"/>
      <c r="I499" s="28"/>
      <c r="J499" s="31" t="str">
        <f aca="false">IF(AND(G499&lt;&gt;"",H499&lt;&gt;""),G499*H499,"")</f>
        <v/>
      </c>
      <c r="K499" s="28"/>
      <c r="L499" s="32"/>
      <c r="M499" s="32"/>
      <c r="N499" s="31" t="n">
        <f aca="false">IF(OR(G499="",M499=""),0,IF(M499&gt;100,M499,G499*IF(M499&gt;1,M499/100,M499)))</f>
        <v>0</v>
      </c>
      <c r="O499" s="31" t="str">
        <f aca="false">IF(G499="","",G499*IF(L499="",0,IF(L499&gt;1,L499/100,L499))+N499)</f>
        <v/>
      </c>
      <c r="P499" s="28"/>
      <c r="Q499" s="33" t="str">
        <f aca="false">IF(P499="","",IFERROR(VLOOKUP(P499,PARTNERS!$A$2:$B$30,2,0),""))</f>
        <v/>
      </c>
      <c r="R499" s="17" t="str">
        <f aca="false">IF(O499="","",IF(OR(P499="",Q499=""),0,(O499-N499)*IF(Q499&gt;1,Q499/100,Q499)))</f>
        <v/>
      </c>
      <c r="S499" s="31" t="str">
        <f aca="false">IF(O499="","",O499-R499)</f>
        <v/>
      </c>
      <c r="T499" s="28"/>
      <c r="U499" s="34" t="str">
        <f aca="false">IF(T499="","",IFERROR(VLOOKUP(T499,REPS!$A$2:$D$40,2,0),""))</f>
        <v/>
      </c>
      <c r="V499" s="31" t="str">
        <f aca="false">IF(O499="","",IF(U499="",0,O499*IF(U499&gt;1,U499/100,U499)))</f>
        <v/>
      </c>
      <c r="W499" s="28"/>
      <c r="X499" s="34" t="str">
        <f aca="false">IF(W499="","",IFERROR(VLOOKUP(W499,REPS!$A$2:$D$40,3,0),""))</f>
        <v/>
      </c>
      <c r="Y499" s="31" t="str">
        <f aca="false">IF(O499="","",IF(X499="",0,O499*IF(X499&gt;1,X499/100,X499)))</f>
        <v/>
      </c>
      <c r="Z499" s="28"/>
      <c r="AA499" s="34" t="str">
        <f aca="false">IF(Z499="","",IFERROR(VLOOKUP(Z499,REPS!$A$2:$D$40,4,0),""))</f>
        <v/>
      </c>
      <c r="AB499" s="31" t="str">
        <f aca="false">IF(O499="","",IF(AA499="",0,O499*IF(AA499&gt;1,AA499/100,AA499)))</f>
        <v/>
      </c>
      <c r="AC499" s="31" t="str">
        <f aca="false">IF(O499="","",V499+Y499+AB499)</f>
        <v/>
      </c>
      <c r="AD499" s="19" t="str">
        <f aca="false">IF(O499="","",O499-R499-AC499)</f>
        <v/>
      </c>
      <c r="AE499" s="20"/>
      <c r="AF499" s="27"/>
      <c r="AG499" s="21" t="n">
        <f aca="false">IF(OR(AE499="",AE499=0),0,AE499*IF(U499="",0,IF(U499&gt;1,U499/100,U499)))</f>
        <v>0</v>
      </c>
      <c r="AH499" s="21" t="n">
        <f aca="false">IF(OR(AE499="",AE499=0),0,AE499*IF(X499="",0,IF(X499&gt;1,X499/100,X499)))</f>
        <v>0</v>
      </c>
      <c r="AI499" s="21" t="n">
        <f aca="false">IF(OR(AE499="",AE499=0),0,AE499*IF(AA499="",0,IF(AA499&gt;1,AA499/100,AA499)))</f>
        <v>0</v>
      </c>
      <c r="AJ499" s="21" t="n">
        <f aca="false">AG499+AH499+AI499</f>
        <v>0</v>
      </c>
      <c r="AK499" s="21" t="n">
        <f aca="false">IF(OR(AE499="",AE499=0),0,AE499-AJ499)</f>
        <v>0</v>
      </c>
      <c r="AL499" s="19" t="str">
        <f aca="false">IF(AD499="","",AD499-AK499)</f>
        <v/>
      </c>
      <c r="AM499" s="26" t="str">
        <f aca="false">IF(C499="","","Waiting for payment")</f>
        <v/>
      </c>
      <c r="AN499" s="27"/>
      <c r="AO499" s="27"/>
      <c r="AP499" s="35" t="str">
        <f aca="false">IF(OR(C499="",I499="",K499=""),"",IF(K499="Monthly",EDATE(C499,ROUND(I499*SETTINGS!$I$8,0)),WORKDAY(C499,ROUND(I499*SETTINGS!$I$8,0))))</f>
        <v/>
      </c>
      <c r="AQ499" s="26" t="str">
        <f aca="true">IF(C499="","",IF(AND(AP499&lt;&gt;"",TODAY()&gt;=AP499),"Refi Ready",IF(TODAY()-C499&gt;=SETTINGS!$I$11,"Prospecting","Performing")))</f>
        <v/>
      </c>
      <c r="AR499" s="35" t="str">
        <f aca="false">IF(OR(C499="",I499="",K499=""),"",IF(K499="Monthly",EDATE(C499,I499),WORKDAY(C499,I499)))</f>
        <v/>
      </c>
      <c r="AS499" s="28"/>
      <c r="AT499" s="36" t="str">
        <f aca="true">IF(C499="","",IF(AM499="Clawed Back","CLAWED",IF(TODAY()&lt;=C499+SETTINGS!$I$2,"⚠ AT RISK","SAFE")))</f>
        <v/>
      </c>
      <c r="AU499" s="28"/>
      <c r="AW499" s="24" t="n">
        <f aca="false">AW498+IF(AND(C499&lt;&gt;"",AO499&lt;&gt;"",OR('REP COMMISSION'!$B$3="",T499='REP COMMISSION'!$B$3,W499='REP COMMISSION'!$B$3,Z499='REP COMMISSION'!$B$3)),1,0)</f>
        <v>0</v>
      </c>
      <c r="AX499" s="24" t="n">
        <f aca="false">AX498+IF(AND(C499&lt;&gt;"",OR(F499="LOC - INITIAL",F499="CONSOLIDATION - UPFRONT COMM",F499="REVERSE - TOTAL FUNDING")),1,0)</f>
        <v>0</v>
      </c>
    </row>
    <row r="500" customFormat="false" ht="15" hidden="false" customHeight="false" outlineLevel="0" collapsed="false">
      <c r="A500" s="8" t="str">
        <f aca="false">IF(C500&lt;&gt;"","F"&amp;COUNT($C$4:C500),"")</f>
        <v/>
      </c>
      <c r="B500" s="9" t="str">
        <f aca="false">IF(OR(F500="LOC - INITIAL",F500="CONSOLIDATION - UPFRONT COMM",F500="REVERSE - TOTAL FUNDING"),A500,"")</f>
        <v/>
      </c>
      <c r="C500" s="10"/>
      <c r="D500" s="11"/>
      <c r="E500" s="11"/>
      <c r="F500" s="11"/>
      <c r="G500" s="12"/>
      <c r="H500" s="13"/>
      <c r="I500" s="11"/>
      <c r="J500" s="14" t="str">
        <f aca="false">IF(AND(G500&lt;&gt;"",H500&lt;&gt;""),G500*H500,"")</f>
        <v/>
      </c>
      <c r="K500" s="11"/>
      <c r="L500" s="15"/>
      <c r="M500" s="15"/>
      <c r="N500" s="14" t="n">
        <f aca="false">IF(OR(G500="",M500=""),0,IF(M500&gt;100,M500,G500*IF(M500&gt;1,M500/100,M500)))</f>
        <v>0</v>
      </c>
      <c r="O500" s="14" t="str">
        <f aca="false">IF(G500="","",G500*IF(L500="",0,IF(L500&gt;1,L500/100,L500))+N500)</f>
        <v/>
      </c>
      <c r="P500" s="11"/>
      <c r="Q500" s="16" t="str">
        <f aca="false">IF(P500="","",IFERROR(VLOOKUP(P500,PARTNERS!$A$2:$B$30,2,0),""))</f>
        <v/>
      </c>
      <c r="R500" s="17" t="str">
        <f aca="false">IF(O500="","",IF(OR(P500="",Q500=""),0,(O500-N500)*IF(Q500&gt;1,Q500/100,Q500)))</f>
        <v/>
      </c>
      <c r="S500" s="14" t="str">
        <f aca="false">IF(O500="","",O500-R500)</f>
        <v/>
      </c>
      <c r="T500" s="11"/>
      <c r="U500" s="18" t="str">
        <f aca="false">IF(T500="","",IFERROR(VLOOKUP(T500,REPS!$A$2:$D$40,2,0),""))</f>
        <v/>
      </c>
      <c r="V500" s="14" t="str">
        <f aca="false">IF(O500="","",IF(U500="",0,O500*IF(U500&gt;1,U500/100,U500)))</f>
        <v/>
      </c>
      <c r="W500" s="11"/>
      <c r="X500" s="18" t="str">
        <f aca="false">IF(W500="","",IFERROR(VLOOKUP(W500,REPS!$A$2:$D$40,3,0),""))</f>
        <v/>
      </c>
      <c r="Y500" s="14" t="str">
        <f aca="false">IF(O500="","",IF(X500="",0,O500*IF(X500&gt;1,X500/100,X500)))</f>
        <v/>
      </c>
      <c r="Z500" s="11"/>
      <c r="AA500" s="18" t="str">
        <f aca="false">IF(Z500="","",IFERROR(VLOOKUP(Z500,REPS!$A$2:$D$40,4,0),""))</f>
        <v/>
      </c>
      <c r="AB500" s="14" t="str">
        <f aca="false">IF(O500="","",IF(AA500="",0,O500*IF(AA500&gt;1,AA500/100,AA500)))</f>
        <v/>
      </c>
      <c r="AC500" s="14" t="str">
        <f aca="false">IF(O500="","",V500+Y500+AB500)</f>
        <v/>
      </c>
      <c r="AD500" s="19" t="str">
        <f aca="false">IF(O500="","",O500-R500-AC500)</f>
        <v/>
      </c>
      <c r="AE500" s="20"/>
      <c r="AF500" s="10"/>
      <c r="AG500" s="21" t="n">
        <f aca="false">IF(OR(AE500="",AE500=0),0,AE500*IF(U500="",0,IF(U500&gt;1,U500/100,U500)))</f>
        <v>0</v>
      </c>
      <c r="AH500" s="21" t="n">
        <f aca="false">IF(OR(AE500="",AE500=0),0,AE500*IF(X500="",0,IF(X500&gt;1,X500/100,X500)))</f>
        <v>0</v>
      </c>
      <c r="AI500" s="21" t="n">
        <f aca="false">IF(OR(AE500="",AE500=0),0,AE500*IF(AA500="",0,IF(AA500&gt;1,AA500/100,AA500)))</f>
        <v>0</v>
      </c>
      <c r="AJ500" s="21" t="n">
        <f aca="false">AG500+AH500+AI500</f>
        <v>0</v>
      </c>
      <c r="AK500" s="21" t="n">
        <f aca="false">IF(OR(AE500="",AE500=0),0,AE500-AJ500)</f>
        <v>0</v>
      </c>
      <c r="AL500" s="19" t="str">
        <f aca="false">IF(AD500="","",AD500-AK500)</f>
        <v/>
      </c>
      <c r="AM500" s="9" t="str">
        <f aca="false">IF(C500="","","Waiting for payment")</f>
        <v/>
      </c>
      <c r="AN500" s="10"/>
      <c r="AO500" s="10"/>
      <c r="AP500" s="22" t="str">
        <f aca="false">IF(OR(C500="",I500="",K500=""),"",IF(K500="Monthly",EDATE(C500,ROUND(I500*SETTINGS!$I$8,0)),WORKDAY(C500,ROUND(I500*SETTINGS!$I$8,0))))</f>
        <v/>
      </c>
      <c r="AQ500" s="9" t="str">
        <f aca="true">IF(C500="","",IF(AND(AP500&lt;&gt;"",TODAY()&gt;=AP500),"Refi Ready",IF(TODAY()-C500&gt;=SETTINGS!$I$11,"Prospecting","Performing")))</f>
        <v/>
      </c>
      <c r="AR500" s="22" t="str">
        <f aca="false">IF(OR(C500="",I500="",K500=""),"",IF(K500="Monthly",EDATE(C500,I500),WORKDAY(C500,I500)))</f>
        <v/>
      </c>
      <c r="AS500" s="11"/>
      <c r="AT500" s="23" t="str">
        <f aca="true">IF(C500="","",IF(AM500="Clawed Back","CLAWED",IF(TODAY()&lt;=C500+SETTINGS!$I$2,"⚠ AT RISK","SAFE")))</f>
        <v/>
      </c>
      <c r="AU500" s="11"/>
      <c r="AW500" s="24" t="n">
        <f aca="false">AW499+IF(AND(C500&lt;&gt;"",AO500&lt;&gt;"",OR('REP COMMISSION'!$B$3="",T500='REP COMMISSION'!$B$3,W500='REP COMMISSION'!$B$3,Z500='REP COMMISSION'!$B$3)),1,0)</f>
        <v>0</v>
      </c>
      <c r="AX500" s="24" t="n">
        <f aca="false">AX499+IF(AND(C500&lt;&gt;"",OR(F500="LOC - INITIAL",F500="CONSOLIDATION - UPFRONT COMM",F500="REVERSE - TOTAL FUNDING")),1,0)</f>
        <v>0</v>
      </c>
    </row>
    <row r="501" customFormat="false" ht="15" hidden="false" customHeight="false" outlineLevel="0" collapsed="false">
      <c r="A501" s="25" t="str">
        <f aca="false">IF(C501&lt;&gt;"","F"&amp;COUNT($C$4:C501),"")</f>
        <v/>
      </c>
      <c r="B501" s="26" t="str">
        <f aca="false">IF(OR(F501="LOC - INITIAL",F501="CONSOLIDATION - UPFRONT COMM",F501="REVERSE - TOTAL FUNDING"),A501,"")</f>
        <v/>
      </c>
      <c r="C501" s="27"/>
      <c r="D501" s="28"/>
      <c r="E501" s="28"/>
      <c r="F501" s="28"/>
      <c r="G501" s="29"/>
      <c r="H501" s="30"/>
      <c r="I501" s="28"/>
      <c r="J501" s="31" t="str">
        <f aca="false">IF(AND(G501&lt;&gt;"",H501&lt;&gt;""),G501*H501,"")</f>
        <v/>
      </c>
      <c r="K501" s="28"/>
      <c r="L501" s="32"/>
      <c r="M501" s="32"/>
      <c r="N501" s="31" t="n">
        <f aca="false">IF(OR(G501="",M501=""),0,IF(M501&gt;100,M501,G501*IF(M501&gt;1,M501/100,M501)))</f>
        <v>0</v>
      </c>
      <c r="O501" s="31" t="str">
        <f aca="false">IF(G501="","",G501*IF(L501="",0,IF(L501&gt;1,L501/100,L501))+N501)</f>
        <v/>
      </c>
      <c r="P501" s="28"/>
      <c r="Q501" s="33" t="str">
        <f aca="false">IF(P501="","",IFERROR(VLOOKUP(P501,PARTNERS!$A$2:$B$30,2,0),""))</f>
        <v/>
      </c>
      <c r="R501" s="17" t="str">
        <f aca="false">IF(O501="","",IF(OR(P501="",Q501=""),0,(O501-N501)*IF(Q501&gt;1,Q501/100,Q501)))</f>
        <v/>
      </c>
      <c r="S501" s="31" t="str">
        <f aca="false">IF(O501="","",O501-R501)</f>
        <v/>
      </c>
      <c r="T501" s="28"/>
      <c r="U501" s="34" t="str">
        <f aca="false">IF(T501="","",IFERROR(VLOOKUP(T501,REPS!$A$2:$D$40,2,0),""))</f>
        <v/>
      </c>
      <c r="V501" s="31" t="str">
        <f aca="false">IF(O501="","",IF(U501="",0,O501*IF(U501&gt;1,U501/100,U501)))</f>
        <v/>
      </c>
      <c r="W501" s="28"/>
      <c r="X501" s="34" t="str">
        <f aca="false">IF(W501="","",IFERROR(VLOOKUP(W501,REPS!$A$2:$D$40,3,0),""))</f>
        <v/>
      </c>
      <c r="Y501" s="31" t="str">
        <f aca="false">IF(O501="","",IF(X501="",0,O501*IF(X501&gt;1,X501/100,X501)))</f>
        <v/>
      </c>
      <c r="Z501" s="28"/>
      <c r="AA501" s="34" t="str">
        <f aca="false">IF(Z501="","",IFERROR(VLOOKUP(Z501,REPS!$A$2:$D$40,4,0),""))</f>
        <v/>
      </c>
      <c r="AB501" s="31" t="str">
        <f aca="false">IF(O501="","",IF(AA501="",0,O501*IF(AA501&gt;1,AA501/100,AA501)))</f>
        <v/>
      </c>
      <c r="AC501" s="31" t="str">
        <f aca="false">IF(O501="","",V501+Y501+AB501)</f>
        <v/>
      </c>
      <c r="AD501" s="19" t="str">
        <f aca="false">IF(O501="","",O501-R501-AC501)</f>
        <v/>
      </c>
      <c r="AE501" s="20"/>
      <c r="AF501" s="27"/>
      <c r="AG501" s="21" t="n">
        <f aca="false">IF(OR(AE501="",AE501=0),0,AE501*IF(U501="",0,IF(U501&gt;1,U501/100,U501)))</f>
        <v>0</v>
      </c>
      <c r="AH501" s="21" t="n">
        <f aca="false">IF(OR(AE501="",AE501=0),0,AE501*IF(X501="",0,IF(X501&gt;1,X501/100,X501)))</f>
        <v>0</v>
      </c>
      <c r="AI501" s="21" t="n">
        <f aca="false">IF(OR(AE501="",AE501=0),0,AE501*IF(AA501="",0,IF(AA501&gt;1,AA501/100,AA501)))</f>
        <v>0</v>
      </c>
      <c r="AJ501" s="21" t="n">
        <f aca="false">AG501+AH501+AI501</f>
        <v>0</v>
      </c>
      <c r="AK501" s="21" t="n">
        <f aca="false">IF(OR(AE501="",AE501=0),0,AE501-AJ501)</f>
        <v>0</v>
      </c>
      <c r="AL501" s="19" t="str">
        <f aca="false">IF(AD501="","",AD501-AK501)</f>
        <v/>
      </c>
      <c r="AM501" s="26" t="str">
        <f aca="false">IF(C501="","","Waiting for payment")</f>
        <v/>
      </c>
      <c r="AN501" s="27"/>
      <c r="AO501" s="27"/>
      <c r="AP501" s="35" t="str">
        <f aca="false">IF(OR(C501="",I501="",K501=""),"",IF(K501="Monthly",EDATE(C501,ROUND(I501*SETTINGS!$I$8,0)),WORKDAY(C501,ROUND(I501*SETTINGS!$I$8,0))))</f>
        <v/>
      </c>
      <c r="AQ501" s="26" t="str">
        <f aca="true">IF(C501="","",IF(AND(AP501&lt;&gt;"",TODAY()&gt;=AP501),"Refi Ready",IF(TODAY()-C501&gt;=SETTINGS!$I$11,"Prospecting","Performing")))</f>
        <v/>
      </c>
      <c r="AR501" s="35" t="str">
        <f aca="false">IF(OR(C501="",I501="",K501=""),"",IF(K501="Monthly",EDATE(C501,I501),WORKDAY(C501,I501)))</f>
        <v/>
      </c>
      <c r="AS501" s="28"/>
      <c r="AT501" s="36" t="str">
        <f aca="true">IF(C501="","",IF(AM501="Clawed Back","CLAWED",IF(TODAY()&lt;=C501+SETTINGS!$I$2,"⚠ AT RISK","SAFE")))</f>
        <v/>
      </c>
      <c r="AU501" s="28"/>
      <c r="AW501" s="24" t="n">
        <f aca="false">AW500+IF(AND(C501&lt;&gt;"",AO501&lt;&gt;"",OR('REP COMMISSION'!$B$3="",T501='REP COMMISSION'!$B$3,W501='REP COMMISSION'!$B$3,Z501='REP COMMISSION'!$B$3)),1,0)</f>
        <v>0</v>
      </c>
      <c r="AX501" s="24" t="n">
        <f aca="false">AX500+IF(AND(C501&lt;&gt;"",OR(F501="LOC - INITIAL",F501="CONSOLIDATION - UPFRONT COMM",F501="REVERSE - TOTAL FUNDING")),1,0)</f>
        <v>0</v>
      </c>
    </row>
    <row r="502" customFormat="false" ht="15" hidden="false" customHeight="false" outlineLevel="0" collapsed="false">
      <c r="A502" s="8" t="str">
        <f aca="false">IF(C502&lt;&gt;"","F"&amp;COUNT($C$4:C502),"")</f>
        <v/>
      </c>
      <c r="B502" s="9" t="str">
        <f aca="false">IF(OR(F502="LOC - INITIAL",F502="CONSOLIDATION - UPFRONT COMM",F502="REVERSE - TOTAL FUNDING"),A502,"")</f>
        <v/>
      </c>
      <c r="C502" s="10"/>
      <c r="D502" s="11"/>
      <c r="E502" s="11"/>
      <c r="F502" s="11"/>
      <c r="G502" s="12"/>
      <c r="H502" s="13"/>
      <c r="I502" s="11"/>
      <c r="J502" s="14" t="str">
        <f aca="false">IF(AND(G502&lt;&gt;"",H502&lt;&gt;""),G502*H502,"")</f>
        <v/>
      </c>
      <c r="K502" s="11"/>
      <c r="L502" s="15"/>
      <c r="M502" s="15"/>
      <c r="N502" s="14" t="n">
        <f aca="false">IF(OR(G502="",M502=""),0,IF(M502&gt;100,M502,G502*IF(M502&gt;1,M502/100,M502)))</f>
        <v>0</v>
      </c>
      <c r="O502" s="14" t="str">
        <f aca="false">IF(G502="","",G502*IF(L502="",0,IF(L502&gt;1,L502/100,L502))+N502)</f>
        <v/>
      </c>
      <c r="P502" s="11"/>
      <c r="Q502" s="16" t="str">
        <f aca="false">IF(P502="","",IFERROR(VLOOKUP(P502,PARTNERS!$A$2:$B$30,2,0),""))</f>
        <v/>
      </c>
      <c r="R502" s="17" t="str">
        <f aca="false">IF(O502="","",IF(OR(P502="",Q502=""),0,(O502-N502)*IF(Q502&gt;1,Q502/100,Q502)))</f>
        <v/>
      </c>
      <c r="S502" s="14" t="str">
        <f aca="false">IF(O502="","",O502-R502)</f>
        <v/>
      </c>
      <c r="T502" s="11"/>
      <c r="U502" s="18" t="str">
        <f aca="false">IF(T502="","",IFERROR(VLOOKUP(T502,REPS!$A$2:$D$40,2,0),""))</f>
        <v/>
      </c>
      <c r="V502" s="14" t="str">
        <f aca="false">IF(O502="","",IF(U502="",0,O502*IF(U502&gt;1,U502/100,U502)))</f>
        <v/>
      </c>
      <c r="W502" s="11"/>
      <c r="X502" s="18" t="str">
        <f aca="false">IF(W502="","",IFERROR(VLOOKUP(W502,REPS!$A$2:$D$40,3,0),""))</f>
        <v/>
      </c>
      <c r="Y502" s="14" t="str">
        <f aca="false">IF(O502="","",IF(X502="",0,O502*IF(X502&gt;1,X502/100,X502)))</f>
        <v/>
      </c>
      <c r="Z502" s="11"/>
      <c r="AA502" s="18" t="str">
        <f aca="false">IF(Z502="","",IFERROR(VLOOKUP(Z502,REPS!$A$2:$D$40,4,0),""))</f>
        <v/>
      </c>
      <c r="AB502" s="14" t="str">
        <f aca="false">IF(O502="","",IF(AA502="",0,O502*IF(AA502&gt;1,AA502/100,AA502)))</f>
        <v/>
      </c>
      <c r="AC502" s="14" t="str">
        <f aca="false">IF(O502="","",V502+Y502+AB502)</f>
        <v/>
      </c>
      <c r="AD502" s="19" t="str">
        <f aca="false">IF(O502="","",O502-R502-AC502)</f>
        <v/>
      </c>
      <c r="AE502" s="20"/>
      <c r="AF502" s="10"/>
      <c r="AG502" s="21" t="n">
        <f aca="false">IF(OR(AE502="",AE502=0),0,AE502*IF(U502="",0,IF(U502&gt;1,U502/100,U502)))</f>
        <v>0</v>
      </c>
      <c r="AH502" s="21" t="n">
        <f aca="false">IF(OR(AE502="",AE502=0),0,AE502*IF(X502="",0,IF(X502&gt;1,X502/100,X502)))</f>
        <v>0</v>
      </c>
      <c r="AI502" s="21" t="n">
        <f aca="false">IF(OR(AE502="",AE502=0),0,AE502*IF(AA502="",0,IF(AA502&gt;1,AA502/100,AA502)))</f>
        <v>0</v>
      </c>
      <c r="AJ502" s="21" t="n">
        <f aca="false">AG502+AH502+AI502</f>
        <v>0</v>
      </c>
      <c r="AK502" s="21" t="n">
        <f aca="false">IF(OR(AE502="",AE502=0),0,AE502-AJ502)</f>
        <v>0</v>
      </c>
      <c r="AL502" s="19" t="str">
        <f aca="false">IF(AD502="","",AD502-AK502)</f>
        <v/>
      </c>
      <c r="AM502" s="9" t="str">
        <f aca="false">IF(C502="","","Waiting for payment")</f>
        <v/>
      </c>
      <c r="AN502" s="10"/>
      <c r="AO502" s="10"/>
      <c r="AP502" s="22" t="str">
        <f aca="false">IF(OR(C502="",I502="",K502=""),"",IF(K502="Monthly",EDATE(C502,ROUND(I502*SETTINGS!$I$8,0)),WORKDAY(C502,ROUND(I502*SETTINGS!$I$8,0))))</f>
        <v/>
      </c>
      <c r="AQ502" s="9" t="str">
        <f aca="true">IF(C502="","",IF(AND(AP502&lt;&gt;"",TODAY()&gt;=AP502),"Refi Ready",IF(TODAY()-C502&gt;=SETTINGS!$I$11,"Prospecting","Performing")))</f>
        <v/>
      </c>
      <c r="AR502" s="22" t="str">
        <f aca="false">IF(OR(C502="",I502="",K502=""),"",IF(K502="Monthly",EDATE(C502,I502),WORKDAY(C502,I502)))</f>
        <v/>
      </c>
      <c r="AS502" s="11"/>
      <c r="AT502" s="23" t="str">
        <f aca="true">IF(C502="","",IF(AM502="Clawed Back","CLAWED",IF(TODAY()&lt;=C502+SETTINGS!$I$2,"⚠ AT RISK","SAFE")))</f>
        <v/>
      </c>
      <c r="AU502" s="11"/>
      <c r="AW502" s="24" t="n">
        <f aca="false">AW501+IF(AND(C502&lt;&gt;"",AO502&lt;&gt;"",OR('REP COMMISSION'!$B$3="",T502='REP COMMISSION'!$B$3,W502='REP COMMISSION'!$B$3,Z502='REP COMMISSION'!$B$3)),1,0)</f>
        <v>0</v>
      </c>
      <c r="AX502" s="24" t="n">
        <f aca="false">AX501+IF(AND(C502&lt;&gt;"",OR(F502="LOC - INITIAL",F502="CONSOLIDATION - UPFRONT COMM",F502="REVERSE - TOTAL FUNDING")),1,0)</f>
        <v>0</v>
      </c>
    </row>
    <row r="503" customFormat="false" ht="15" hidden="false" customHeight="false" outlineLevel="0" collapsed="false">
      <c r="A503" s="25" t="str">
        <f aca="false">IF(C503&lt;&gt;"","F"&amp;COUNT($C$4:C503),"")</f>
        <v/>
      </c>
      <c r="B503" s="26" t="str">
        <f aca="false">IF(OR(F503="LOC - INITIAL",F503="CONSOLIDATION - UPFRONT COMM",F503="REVERSE - TOTAL FUNDING"),A503,"")</f>
        <v/>
      </c>
      <c r="C503" s="27"/>
      <c r="D503" s="28"/>
      <c r="E503" s="28"/>
      <c r="F503" s="28"/>
      <c r="G503" s="29"/>
      <c r="H503" s="30"/>
      <c r="I503" s="28"/>
      <c r="J503" s="31" t="str">
        <f aca="false">IF(AND(G503&lt;&gt;"",H503&lt;&gt;""),G503*H503,"")</f>
        <v/>
      </c>
      <c r="K503" s="28"/>
      <c r="L503" s="32"/>
      <c r="M503" s="32"/>
      <c r="N503" s="31" t="n">
        <f aca="false">IF(OR(G503="",M503=""),0,IF(M503&gt;100,M503,G503*IF(M503&gt;1,M503/100,M503)))</f>
        <v>0</v>
      </c>
      <c r="O503" s="31" t="str">
        <f aca="false">IF(G503="","",G503*IF(L503="",0,IF(L503&gt;1,L503/100,L503))+N503)</f>
        <v/>
      </c>
      <c r="P503" s="28"/>
      <c r="Q503" s="33" t="str">
        <f aca="false">IF(P503="","",IFERROR(VLOOKUP(P503,PARTNERS!$A$2:$B$30,2,0),""))</f>
        <v/>
      </c>
      <c r="R503" s="17" t="str">
        <f aca="false">IF(O503="","",IF(OR(P503="",Q503=""),0,(O503-N503)*IF(Q503&gt;1,Q503/100,Q503)))</f>
        <v/>
      </c>
      <c r="S503" s="31" t="str">
        <f aca="false">IF(O503="","",O503-R503)</f>
        <v/>
      </c>
      <c r="T503" s="28"/>
      <c r="U503" s="34" t="str">
        <f aca="false">IF(T503="","",IFERROR(VLOOKUP(T503,REPS!$A$2:$D$40,2,0),""))</f>
        <v/>
      </c>
      <c r="V503" s="31" t="str">
        <f aca="false">IF(O503="","",IF(U503="",0,O503*IF(U503&gt;1,U503/100,U503)))</f>
        <v/>
      </c>
      <c r="W503" s="28"/>
      <c r="X503" s="34" t="str">
        <f aca="false">IF(W503="","",IFERROR(VLOOKUP(W503,REPS!$A$2:$D$40,3,0),""))</f>
        <v/>
      </c>
      <c r="Y503" s="31" t="str">
        <f aca="false">IF(O503="","",IF(X503="",0,O503*IF(X503&gt;1,X503/100,X503)))</f>
        <v/>
      </c>
      <c r="Z503" s="28"/>
      <c r="AA503" s="34" t="str">
        <f aca="false">IF(Z503="","",IFERROR(VLOOKUP(Z503,REPS!$A$2:$D$40,4,0),""))</f>
        <v/>
      </c>
      <c r="AB503" s="31" t="str">
        <f aca="false">IF(O503="","",IF(AA503="",0,O503*IF(AA503&gt;1,AA503/100,AA503)))</f>
        <v/>
      </c>
      <c r="AC503" s="31" t="str">
        <f aca="false">IF(O503="","",V503+Y503+AB503)</f>
        <v/>
      </c>
      <c r="AD503" s="19" t="str">
        <f aca="false">IF(O503="","",O503-R503-AC503)</f>
        <v/>
      </c>
      <c r="AE503" s="20"/>
      <c r="AF503" s="27"/>
      <c r="AG503" s="21" t="n">
        <f aca="false">IF(OR(AE503="",AE503=0),0,AE503*IF(U503="",0,IF(U503&gt;1,U503/100,U503)))</f>
        <v>0</v>
      </c>
      <c r="AH503" s="21" t="n">
        <f aca="false">IF(OR(AE503="",AE503=0),0,AE503*IF(X503="",0,IF(X503&gt;1,X503/100,X503)))</f>
        <v>0</v>
      </c>
      <c r="AI503" s="21" t="n">
        <f aca="false">IF(OR(AE503="",AE503=0),0,AE503*IF(AA503="",0,IF(AA503&gt;1,AA503/100,AA503)))</f>
        <v>0</v>
      </c>
      <c r="AJ503" s="21" t="n">
        <f aca="false">AG503+AH503+AI503</f>
        <v>0</v>
      </c>
      <c r="AK503" s="21" t="n">
        <f aca="false">IF(OR(AE503="",AE503=0),0,AE503-AJ503)</f>
        <v>0</v>
      </c>
      <c r="AL503" s="19" t="str">
        <f aca="false">IF(AD503="","",AD503-AK503)</f>
        <v/>
      </c>
      <c r="AM503" s="26" t="str">
        <f aca="false">IF(C503="","","Waiting for payment")</f>
        <v/>
      </c>
      <c r="AN503" s="27"/>
      <c r="AO503" s="27"/>
      <c r="AP503" s="35" t="str">
        <f aca="false">IF(OR(C503="",I503="",K503=""),"",IF(K503="Monthly",EDATE(C503,ROUND(I503*SETTINGS!$I$8,0)),WORKDAY(C503,ROUND(I503*SETTINGS!$I$8,0))))</f>
        <v/>
      </c>
      <c r="AQ503" s="26" t="str">
        <f aca="true">IF(C503="","",IF(AND(AP503&lt;&gt;"",TODAY()&gt;=AP503),"Refi Ready",IF(TODAY()-C503&gt;=SETTINGS!$I$11,"Prospecting","Performing")))</f>
        <v/>
      </c>
      <c r="AR503" s="35" t="str">
        <f aca="false">IF(OR(C503="",I503="",K503=""),"",IF(K503="Monthly",EDATE(C503,I503),WORKDAY(C503,I503)))</f>
        <v/>
      </c>
      <c r="AS503" s="28"/>
      <c r="AT503" s="36" t="str">
        <f aca="true">IF(C503="","",IF(AM503="Clawed Back","CLAWED",IF(TODAY()&lt;=C503+SETTINGS!$I$2,"⚠ AT RISK","SAFE")))</f>
        <v/>
      </c>
      <c r="AU503" s="28"/>
      <c r="AW503" s="24" t="n">
        <f aca="false">AW502+IF(AND(C503&lt;&gt;"",AO503&lt;&gt;"",OR('REP COMMISSION'!$B$3="",T503='REP COMMISSION'!$B$3,W503='REP COMMISSION'!$B$3,Z503='REP COMMISSION'!$B$3)),1,0)</f>
        <v>0</v>
      </c>
      <c r="AX503" s="24" t="n">
        <f aca="false">AX502+IF(AND(C503&lt;&gt;"",OR(F503="LOC - INITIAL",F503="CONSOLIDATION - UPFRONT COMM",F503="REVERSE - TOTAL FUNDING")),1,0)</f>
        <v>0</v>
      </c>
    </row>
    <row r="504" customFormat="false" ht="15" hidden="false" customHeight="false" outlineLevel="0" collapsed="false">
      <c r="A504" s="8" t="str">
        <f aca="false">IF(C504&lt;&gt;"","F"&amp;COUNT($C$4:C504),"")</f>
        <v/>
      </c>
      <c r="B504" s="9" t="str">
        <f aca="false">IF(OR(F504="LOC - INITIAL",F504="CONSOLIDATION - UPFRONT COMM",F504="REVERSE - TOTAL FUNDING"),A504,"")</f>
        <v/>
      </c>
      <c r="C504" s="10"/>
      <c r="D504" s="11"/>
      <c r="E504" s="11"/>
      <c r="F504" s="11"/>
      <c r="G504" s="12"/>
      <c r="H504" s="13"/>
      <c r="I504" s="11"/>
      <c r="J504" s="14" t="str">
        <f aca="false">IF(AND(G504&lt;&gt;"",H504&lt;&gt;""),G504*H504,"")</f>
        <v/>
      </c>
      <c r="K504" s="11"/>
      <c r="L504" s="15"/>
      <c r="M504" s="15"/>
      <c r="N504" s="14" t="n">
        <f aca="false">IF(OR(G504="",M504=""),0,IF(M504&gt;100,M504,G504*IF(M504&gt;1,M504/100,M504)))</f>
        <v>0</v>
      </c>
      <c r="O504" s="14" t="str">
        <f aca="false">IF(G504="","",G504*IF(L504="",0,IF(L504&gt;1,L504/100,L504))+N504)</f>
        <v/>
      </c>
      <c r="P504" s="11"/>
      <c r="Q504" s="16" t="str">
        <f aca="false">IF(P504="","",IFERROR(VLOOKUP(P504,PARTNERS!$A$2:$B$30,2,0),""))</f>
        <v/>
      </c>
      <c r="R504" s="17" t="str">
        <f aca="false">IF(O504="","",IF(OR(P504="",Q504=""),0,(O504-N504)*IF(Q504&gt;1,Q504/100,Q504)))</f>
        <v/>
      </c>
      <c r="S504" s="14" t="str">
        <f aca="false">IF(O504="","",O504-R504)</f>
        <v/>
      </c>
      <c r="T504" s="11"/>
      <c r="U504" s="18" t="str">
        <f aca="false">IF(T504="","",IFERROR(VLOOKUP(T504,REPS!$A$2:$D$40,2,0),""))</f>
        <v/>
      </c>
      <c r="V504" s="14" t="str">
        <f aca="false">IF(O504="","",IF(U504="",0,O504*IF(U504&gt;1,U504/100,U504)))</f>
        <v/>
      </c>
      <c r="W504" s="11"/>
      <c r="X504" s="18" t="str">
        <f aca="false">IF(W504="","",IFERROR(VLOOKUP(W504,REPS!$A$2:$D$40,3,0),""))</f>
        <v/>
      </c>
      <c r="Y504" s="14" t="str">
        <f aca="false">IF(O504="","",IF(X504="",0,O504*IF(X504&gt;1,X504/100,X504)))</f>
        <v/>
      </c>
      <c r="Z504" s="11"/>
      <c r="AA504" s="18" t="str">
        <f aca="false">IF(Z504="","",IFERROR(VLOOKUP(Z504,REPS!$A$2:$D$40,4,0),""))</f>
        <v/>
      </c>
      <c r="AB504" s="14" t="str">
        <f aca="false">IF(O504="","",IF(AA504="",0,O504*IF(AA504&gt;1,AA504/100,AA504)))</f>
        <v/>
      </c>
      <c r="AC504" s="14" t="str">
        <f aca="false">IF(O504="","",V504+Y504+AB504)</f>
        <v/>
      </c>
      <c r="AD504" s="19" t="str">
        <f aca="false">IF(O504="","",O504-R504-AC504)</f>
        <v/>
      </c>
      <c r="AE504" s="20"/>
      <c r="AF504" s="10"/>
      <c r="AG504" s="21" t="n">
        <f aca="false">IF(OR(AE504="",AE504=0),0,AE504*IF(U504="",0,IF(U504&gt;1,U504/100,U504)))</f>
        <v>0</v>
      </c>
      <c r="AH504" s="21" t="n">
        <f aca="false">IF(OR(AE504="",AE504=0),0,AE504*IF(X504="",0,IF(X504&gt;1,X504/100,X504)))</f>
        <v>0</v>
      </c>
      <c r="AI504" s="21" t="n">
        <f aca="false">IF(OR(AE504="",AE504=0),0,AE504*IF(AA504="",0,IF(AA504&gt;1,AA504/100,AA504)))</f>
        <v>0</v>
      </c>
      <c r="AJ504" s="21" t="n">
        <f aca="false">AG504+AH504+AI504</f>
        <v>0</v>
      </c>
      <c r="AK504" s="21" t="n">
        <f aca="false">IF(OR(AE504="",AE504=0),0,AE504-AJ504)</f>
        <v>0</v>
      </c>
      <c r="AL504" s="19" t="str">
        <f aca="false">IF(AD504="","",AD504-AK504)</f>
        <v/>
      </c>
      <c r="AM504" s="9" t="str">
        <f aca="false">IF(C504="","","Waiting for payment")</f>
        <v/>
      </c>
      <c r="AN504" s="10"/>
      <c r="AO504" s="10"/>
      <c r="AP504" s="22" t="str">
        <f aca="false">IF(OR(C504="",I504="",K504=""),"",IF(K504="Monthly",EDATE(C504,ROUND(I504*SETTINGS!$I$8,0)),WORKDAY(C504,ROUND(I504*SETTINGS!$I$8,0))))</f>
        <v/>
      </c>
      <c r="AQ504" s="9" t="str">
        <f aca="true">IF(C504="","",IF(AND(AP504&lt;&gt;"",TODAY()&gt;=AP504),"Refi Ready",IF(TODAY()-C504&gt;=SETTINGS!$I$11,"Prospecting","Performing")))</f>
        <v/>
      </c>
      <c r="AR504" s="22" t="str">
        <f aca="false">IF(OR(C504="",I504="",K504=""),"",IF(K504="Monthly",EDATE(C504,I504),WORKDAY(C504,I504)))</f>
        <v/>
      </c>
      <c r="AS504" s="11"/>
      <c r="AT504" s="23" t="str">
        <f aca="true">IF(C504="","",IF(AM504="Clawed Back","CLAWED",IF(TODAY()&lt;=C504+SETTINGS!$I$2,"⚠ AT RISK","SAFE")))</f>
        <v/>
      </c>
      <c r="AU504" s="11"/>
      <c r="AW504" s="24" t="n">
        <f aca="false">AW503+IF(AND(C504&lt;&gt;"",AO504&lt;&gt;"",OR('REP COMMISSION'!$B$3="",T504='REP COMMISSION'!$B$3,W504='REP COMMISSION'!$B$3,Z504='REP COMMISSION'!$B$3)),1,0)</f>
        <v>0</v>
      </c>
      <c r="AX504" s="24" t="n">
        <f aca="false">AX503+IF(AND(C504&lt;&gt;"",OR(F504="LOC - INITIAL",F504="CONSOLIDATION - UPFRONT COMM",F504="REVERSE - TOTAL FUNDING")),1,0)</f>
        <v>0</v>
      </c>
    </row>
    <row r="505" customFormat="false" ht="15" hidden="false" customHeight="false" outlineLevel="0" collapsed="false">
      <c r="A505" s="25" t="str">
        <f aca="false">IF(C505&lt;&gt;"","F"&amp;COUNT($C$4:C505),"")</f>
        <v/>
      </c>
      <c r="B505" s="26" t="str">
        <f aca="false">IF(OR(F505="LOC - INITIAL",F505="CONSOLIDATION - UPFRONT COMM",F505="REVERSE - TOTAL FUNDING"),A505,"")</f>
        <v/>
      </c>
      <c r="C505" s="27"/>
      <c r="D505" s="28"/>
      <c r="E505" s="28"/>
      <c r="F505" s="28"/>
      <c r="G505" s="29"/>
      <c r="H505" s="30"/>
      <c r="I505" s="28"/>
      <c r="J505" s="31" t="str">
        <f aca="false">IF(AND(G505&lt;&gt;"",H505&lt;&gt;""),G505*H505,"")</f>
        <v/>
      </c>
      <c r="K505" s="28"/>
      <c r="L505" s="32"/>
      <c r="M505" s="32"/>
      <c r="N505" s="31" t="n">
        <f aca="false">IF(OR(G505="",M505=""),0,IF(M505&gt;100,M505,G505*IF(M505&gt;1,M505/100,M505)))</f>
        <v>0</v>
      </c>
      <c r="O505" s="31" t="str">
        <f aca="false">IF(G505="","",G505*IF(L505="",0,IF(L505&gt;1,L505/100,L505))+N505)</f>
        <v/>
      </c>
      <c r="P505" s="28"/>
      <c r="Q505" s="33" t="str">
        <f aca="false">IF(P505="","",IFERROR(VLOOKUP(P505,PARTNERS!$A$2:$B$30,2,0),""))</f>
        <v/>
      </c>
      <c r="R505" s="17" t="str">
        <f aca="false">IF(O505="","",IF(OR(P505="",Q505=""),0,(O505-N505)*IF(Q505&gt;1,Q505/100,Q505)))</f>
        <v/>
      </c>
      <c r="S505" s="31" t="str">
        <f aca="false">IF(O505="","",O505-R505)</f>
        <v/>
      </c>
      <c r="T505" s="28"/>
      <c r="U505" s="34" t="str">
        <f aca="false">IF(T505="","",IFERROR(VLOOKUP(T505,REPS!$A$2:$D$40,2,0),""))</f>
        <v/>
      </c>
      <c r="V505" s="31" t="str">
        <f aca="false">IF(O505="","",IF(U505="",0,O505*IF(U505&gt;1,U505/100,U505)))</f>
        <v/>
      </c>
      <c r="W505" s="28"/>
      <c r="X505" s="34" t="str">
        <f aca="false">IF(W505="","",IFERROR(VLOOKUP(W505,REPS!$A$2:$D$40,3,0),""))</f>
        <v/>
      </c>
      <c r="Y505" s="31" t="str">
        <f aca="false">IF(O505="","",IF(X505="",0,O505*IF(X505&gt;1,X505/100,X505)))</f>
        <v/>
      </c>
      <c r="Z505" s="28"/>
      <c r="AA505" s="34" t="str">
        <f aca="false">IF(Z505="","",IFERROR(VLOOKUP(Z505,REPS!$A$2:$D$40,4,0),""))</f>
        <v/>
      </c>
      <c r="AB505" s="31" t="str">
        <f aca="false">IF(O505="","",IF(AA505="",0,O505*IF(AA505&gt;1,AA505/100,AA505)))</f>
        <v/>
      </c>
      <c r="AC505" s="31" t="str">
        <f aca="false">IF(O505="","",V505+Y505+AB505)</f>
        <v/>
      </c>
      <c r="AD505" s="19" t="str">
        <f aca="false">IF(O505="","",O505-R505-AC505)</f>
        <v/>
      </c>
      <c r="AE505" s="20"/>
      <c r="AF505" s="27"/>
      <c r="AG505" s="21" t="n">
        <f aca="false">IF(OR(AE505="",AE505=0),0,AE505*IF(U505="",0,IF(U505&gt;1,U505/100,U505)))</f>
        <v>0</v>
      </c>
      <c r="AH505" s="21" t="n">
        <f aca="false">IF(OR(AE505="",AE505=0),0,AE505*IF(X505="",0,IF(X505&gt;1,X505/100,X505)))</f>
        <v>0</v>
      </c>
      <c r="AI505" s="21" t="n">
        <f aca="false">IF(OR(AE505="",AE505=0),0,AE505*IF(AA505="",0,IF(AA505&gt;1,AA505/100,AA505)))</f>
        <v>0</v>
      </c>
      <c r="AJ505" s="21" t="n">
        <f aca="false">AG505+AH505+AI505</f>
        <v>0</v>
      </c>
      <c r="AK505" s="21" t="n">
        <f aca="false">IF(OR(AE505="",AE505=0),0,AE505-AJ505)</f>
        <v>0</v>
      </c>
      <c r="AL505" s="19" t="str">
        <f aca="false">IF(AD505="","",AD505-AK505)</f>
        <v/>
      </c>
      <c r="AM505" s="26" t="str">
        <f aca="false">IF(C505="","","Waiting for payment")</f>
        <v/>
      </c>
      <c r="AN505" s="27"/>
      <c r="AO505" s="27"/>
      <c r="AP505" s="35" t="str">
        <f aca="false">IF(OR(C505="",I505="",K505=""),"",IF(K505="Monthly",EDATE(C505,ROUND(I505*SETTINGS!$I$8,0)),WORKDAY(C505,ROUND(I505*SETTINGS!$I$8,0))))</f>
        <v/>
      </c>
      <c r="AQ505" s="26" t="str">
        <f aca="true">IF(C505="","",IF(AND(AP505&lt;&gt;"",TODAY()&gt;=AP505),"Refi Ready",IF(TODAY()-C505&gt;=SETTINGS!$I$11,"Prospecting","Performing")))</f>
        <v/>
      </c>
      <c r="AR505" s="35" t="str">
        <f aca="false">IF(OR(C505="",I505="",K505=""),"",IF(K505="Monthly",EDATE(C505,I505),WORKDAY(C505,I505)))</f>
        <v/>
      </c>
      <c r="AS505" s="28"/>
      <c r="AT505" s="36" t="str">
        <f aca="true">IF(C505="","",IF(AM505="Clawed Back","CLAWED",IF(TODAY()&lt;=C505+SETTINGS!$I$2,"⚠ AT RISK","SAFE")))</f>
        <v/>
      </c>
      <c r="AU505" s="28"/>
      <c r="AW505" s="24" t="n">
        <f aca="false">AW504+IF(AND(C505&lt;&gt;"",AO505&lt;&gt;"",OR('REP COMMISSION'!$B$3="",T505='REP COMMISSION'!$B$3,W505='REP COMMISSION'!$B$3,Z505='REP COMMISSION'!$B$3)),1,0)</f>
        <v>0</v>
      </c>
      <c r="AX505" s="24" t="n">
        <f aca="false">AX504+IF(AND(C505&lt;&gt;"",OR(F505="LOC - INITIAL",F505="CONSOLIDATION - UPFRONT COMM",F505="REVERSE - TOTAL FUNDING")),1,0)</f>
        <v>0</v>
      </c>
    </row>
    <row r="506" customFormat="false" ht="15" hidden="false" customHeight="false" outlineLevel="0" collapsed="false">
      <c r="A506" s="8" t="str">
        <f aca="false">IF(C506&lt;&gt;"","F"&amp;COUNT($C$4:C506),"")</f>
        <v/>
      </c>
      <c r="B506" s="9" t="str">
        <f aca="false">IF(OR(F506="LOC - INITIAL",F506="CONSOLIDATION - UPFRONT COMM",F506="REVERSE - TOTAL FUNDING"),A506,"")</f>
        <v/>
      </c>
      <c r="C506" s="10"/>
      <c r="D506" s="11"/>
      <c r="E506" s="11"/>
      <c r="F506" s="11"/>
      <c r="G506" s="12"/>
      <c r="H506" s="13"/>
      <c r="I506" s="11"/>
      <c r="J506" s="14" t="str">
        <f aca="false">IF(AND(G506&lt;&gt;"",H506&lt;&gt;""),G506*H506,"")</f>
        <v/>
      </c>
      <c r="K506" s="11"/>
      <c r="L506" s="15"/>
      <c r="M506" s="15"/>
      <c r="N506" s="14" t="n">
        <f aca="false">IF(OR(G506="",M506=""),0,IF(M506&gt;100,M506,G506*IF(M506&gt;1,M506/100,M506)))</f>
        <v>0</v>
      </c>
      <c r="O506" s="14" t="str">
        <f aca="false">IF(G506="","",G506*IF(L506="",0,IF(L506&gt;1,L506/100,L506))+N506)</f>
        <v/>
      </c>
      <c r="P506" s="11"/>
      <c r="Q506" s="16" t="str">
        <f aca="false">IF(P506="","",IFERROR(VLOOKUP(P506,PARTNERS!$A$2:$B$30,2,0),""))</f>
        <v/>
      </c>
      <c r="R506" s="17" t="str">
        <f aca="false">IF(O506="","",IF(OR(P506="",Q506=""),0,(O506-N506)*IF(Q506&gt;1,Q506/100,Q506)))</f>
        <v/>
      </c>
      <c r="S506" s="14" t="str">
        <f aca="false">IF(O506="","",O506-R506)</f>
        <v/>
      </c>
      <c r="T506" s="11"/>
      <c r="U506" s="18" t="str">
        <f aca="false">IF(T506="","",IFERROR(VLOOKUP(T506,REPS!$A$2:$D$40,2,0),""))</f>
        <v/>
      </c>
      <c r="V506" s="14" t="str">
        <f aca="false">IF(O506="","",IF(U506="",0,O506*IF(U506&gt;1,U506/100,U506)))</f>
        <v/>
      </c>
      <c r="W506" s="11"/>
      <c r="X506" s="18" t="str">
        <f aca="false">IF(W506="","",IFERROR(VLOOKUP(W506,REPS!$A$2:$D$40,3,0),""))</f>
        <v/>
      </c>
      <c r="Y506" s="14" t="str">
        <f aca="false">IF(O506="","",IF(X506="",0,O506*IF(X506&gt;1,X506/100,X506)))</f>
        <v/>
      </c>
      <c r="Z506" s="11"/>
      <c r="AA506" s="18" t="str">
        <f aca="false">IF(Z506="","",IFERROR(VLOOKUP(Z506,REPS!$A$2:$D$40,4,0),""))</f>
        <v/>
      </c>
      <c r="AB506" s="14" t="str">
        <f aca="false">IF(O506="","",IF(AA506="",0,O506*IF(AA506&gt;1,AA506/100,AA506)))</f>
        <v/>
      </c>
      <c r="AC506" s="14" t="str">
        <f aca="false">IF(O506="","",V506+Y506+AB506)</f>
        <v/>
      </c>
      <c r="AD506" s="19" t="str">
        <f aca="false">IF(O506="","",O506-R506-AC506)</f>
        <v/>
      </c>
      <c r="AE506" s="20"/>
      <c r="AF506" s="10"/>
      <c r="AG506" s="21" t="n">
        <f aca="false">IF(OR(AE506="",AE506=0),0,AE506*IF(U506="",0,IF(U506&gt;1,U506/100,U506)))</f>
        <v>0</v>
      </c>
      <c r="AH506" s="21" t="n">
        <f aca="false">IF(OR(AE506="",AE506=0),0,AE506*IF(X506="",0,IF(X506&gt;1,X506/100,X506)))</f>
        <v>0</v>
      </c>
      <c r="AI506" s="21" t="n">
        <f aca="false">IF(OR(AE506="",AE506=0),0,AE506*IF(AA506="",0,IF(AA506&gt;1,AA506/100,AA506)))</f>
        <v>0</v>
      </c>
      <c r="AJ506" s="21" t="n">
        <f aca="false">AG506+AH506+AI506</f>
        <v>0</v>
      </c>
      <c r="AK506" s="21" t="n">
        <f aca="false">IF(OR(AE506="",AE506=0),0,AE506-AJ506)</f>
        <v>0</v>
      </c>
      <c r="AL506" s="19" t="str">
        <f aca="false">IF(AD506="","",AD506-AK506)</f>
        <v/>
      </c>
      <c r="AM506" s="9" t="str">
        <f aca="false">IF(C506="","","Waiting for payment")</f>
        <v/>
      </c>
      <c r="AN506" s="10"/>
      <c r="AO506" s="10"/>
      <c r="AP506" s="22" t="str">
        <f aca="false">IF(OR(C506="",I506="",K506=""),"",IF(K506="Monthly",EDATE(C506,ROUND(I506*SETTINGS!$I$8,0)),WORKDAY(C506,ROUND(I506*SETTINGS!$I$8,0))))</f>
        <v/>
      </c>
      <c r="AQ506" s="9" t="str">
        <f aca="true">IF(C506="","",IF(AND(AP506&lt;&gt;"",TODAY()&gt;=AP506),"Refi Ready",IF(TODAY()-C506&gt;=SETTINGS!$I$11,"Prospecting","Performing")))</f>
        <v/>
      </c>
      <c r="AR506" s="22" t="str">
        <f aca="false">IF(OR(C506="",I506="",K506=""),"",IF(K506="Monthly",EDATE(C506,I506),WORKDAY(C506,I506)))</f>
        <v/>
      </c>
      <c r="AS506" s="11"/>
      <c r="AT506" s="23" t="str">
        <f aca="true">IF(C506="","",IF(AM506="Clawed Back","CLAWED",IF(TODAY()&lt;=C506+SETTINGS!$I$2,"⚠ AT RISK","SAFE")))</f>
        <v/>
      </c>
      <c r="AU506" s="11"/>
      <c r="AW506" s="24" t="n">
        <f aca="false">AW505+IF(AND(C506&lt;&gt;"",AO506&lt;&gt;"",OR('REP COMMISSION'!$B$3="",T506='REP COMMISSION'!$B$3,W506='REP COMMISSION'!$B$3,Z506='REP COMMISSION'!$B$3)),1,0)</f>
        <v>0</v>
      </c>
      <c r="AX506" s="24" t="n">
        <f aca="false">AX505+IF(AND(C506&lt;&gt;"",OR(F506="LOC - INITIAL",F506="CONSOLIDATION - UPFRONT COMM",F506="REVERSE - TOTAL FUNDING")),1,0)</f>
        <v>0</v>
      </c>
    </row>
    <row r="507" customFormat="false" ht="15" hidden="false" customHeight="false" outlineLevel="0" collapsed="false">
      <c r="A507" s="25" t="str">
        <f aca="false">IF(C507&lt;&gt;"","F"&amp;COUNT($C$4:C507),"")</f>
        <v/>
      </c>
      <c r="B507" s="26" t="str">
        <f aca="false">IF(OR(F507="LOC - INITIAL",F507="CONSOLIDATION - UPFRONT COMM",F507="REVERSE - TOTAL FUNDING"),A507,"")</f>
        <v/>
      </c>
      <c r="C507" s="27"/>
      <c r="D507" s="28"/>
      <c r="E507" s="28"/>
      <c r="F507" s="28"/>
      <c r="G507" s="29"/>
      <c r="H507" s="30"/>
      <c r="I507" s="28"/>
      <c r="J507" s="31" t="str">
        <f aca="false">IF(AND(G507&lt;&gt;"",H507&lt;&gt;""),G507*H507,"")</f>
        <v/>
      </c>
      <c r="K507" s="28"/>
      <c r="L507" s="32"/>
      <c r="M507" s="32"/>
      <c r="N507" s="31" t="n">
        <f aca="false">IF(OR(G507="",M507=""),0,IF(M507&gt;100,M507,G507*IF(M507&gt;1,M507/100,M507)))</f>
        <v>0</v>
      </c>
      <c r="O507" s="31" t="str">
        <f aca="false">IF(G507="","",G507*IF(L507="",0,IF(L507&gt;1,L507/100,L507))+N507)</f>
        <v/>
      </c>
      <c r="P507" s="28"/>
      <c r="Q507" s="33" t="str">
        <f aca="false">IF(P507="","",IFERROR(VLOOKUP(P507,PARTNERS!$A$2:$B$30,2,0),""))</f>
        <v/>
      </c>
      <c r="R507" s="17" t="str">
        <f aca="false">IF(O507="","",IF(OR(P507="",Q507=""),0,(O507-N507)*IF(Q507&gt;1,Q507/100,Q507)))</f>
        <v/>
      </c>
      <c r="S507" s="31" t="str">
        <f aca="false">IF(O507="","",O507-R507)</f>
        <v/>
      </c>
      <c r="T507" s="28"/>
      <c r="U507" s="34" t="str">
        <f aca="false">IF(T507="","",IFERROR(VLOOKUP(T507,REPS!$A$2:$D$40,2,0),""))</f>
        <v/>
      </c>
      <c r="V507" s="31" t="str">
        <f aca="false">IF(O507="","",IF(U507="",0,O507*IF(U507&gt;1,U507/100,U507)))</f>
        <v/>
      </c>
      <c r="W507" s="28"/>
      <c r="X507" s="34" t="str">
        <f aca="false">IF(W507="","",IFERROR(VLOOKUP(W507,REPS!$A$2:$D$40,3,0),""))</f>
        <v/>
      </c>
      <c r="Y507" s="31" t="str">
        <f aca="false">IF(O507="","",IF(X507="",0,O507*IF(X507&gt;1,X507/100,X507)))</f>
        <v/>
      </c>
      <c r="Z507" s="28"/>
      <c r="AA507" s="34" t="str">
        <f aca="false">IF(Z507="","",IFERROR(VLOOKUP(Z507,REPS!$A$2:$D$40,4,0),""))</f>
        <v/>
      </c>
      <c r="AB507" s="31" t="str">
        <f aca="false">IF(O507="","",IF(AA507="",0,O507*IF(AA507&gt;1,AA507/100,AA507)))</f>
        <v/>
      </c>
      <c r="AC507" s="31" t="str">
        <f aca="false">IF(O507="","",V507+Y507+AB507)</f>
        <v/>
      </c>
      <c r="AD507" s="19" t="str">
        <f aca="false">IF(O507="","",O507-R507-AC507)</f>
        <v/>
      </c>
      <c r="AE507" s="20"/>
      <c r="AF507" s="27"/>
      <c r="AG507" s="21" t="n">
        <f aca="false">IF(OR(AE507="",AE507=0),0,AE507*IF(U507="",0,IF(U507&gt;1,U507/100,U507)))</f>
        <v>0</v>
      </c>
      <c r="AH507" s="21" t="n">
        <f aca="false">IF(OR(AE507="",AE507=0),0,AE507*IF(X507="",0,IF(X507&gt;1,X507/100,X507)))</f>
        <v>0</v>
      </c>
      <c r="AI507" s="21" t="n">
        <f aca="false">IF(OR(AE507="",AE507=0),0,AE507*IF(AA507="",0,IF(AA507&gt;1,AA507/100,AA507)))</f>
        <v>0</v>
      </c>
      <c r="AJ507" s="21" t="n">
        <f aca="false">AG507+AH507+AI507</f>
        <v>0</v>
      </c>
      <c r="AK507" s="21" t="n">
        <f aca="false">IF(OR(AE507="",AE507=0),0,AE507-AJ507)</f>
        <v>0</v>
      </c>
      <c r="AL507" s="19" t="str">
        <f aca="false">IF(AD507="","",AD507-AK507)</f>
        <v/>
      </c>
      <c r="AM507" s="26" t="str">
        <f aca="false">IF(C507="","","Waiting for payment")</f>
        <v/>
      </c>
      <c r="AN507" s="27"/>
      <c r="AO507" s="27"/>
      <c r="AP507" s="35" t="str">
        <f aca="false">IF(OR(C507="",I507="",K507=""),"",IF(K507="Monthly",EDATE(C507,ROUND(I507*SETTINGS!$I$8,0)),WORKDAY(C507,ROUND(I507*SETTINGS!$I$8,0))))</f>
        <v/>
      </c>
      <c r="AQ507" s="26" t="str">
        <f aca="true">IF(C507="","",IF(AND(AP507&lt;&gt;"",TODAY()&gt;=AP507),"Refi Ready",IF(TODAY()-C507&gt;=SETTINGS!$I$11,"Prospecting","Performing")))</f>
        <v/>
      </c>
      <c r="AR507" s="35" t="str">
        <f aca="false">IF(OR(C507="",I507="",K507=""),"",IF(K507="Monthly",EDATE(C507,I507),WORKDAY(C507,I507)))</f>
        <v/>
      </c>
      <c r="AS507" s="28"/>
      <c r="AT507" s="36" t="str">
        <f aca="true">IF(C507="","",IF(AM507="Clawed Back","CLAWED",IF(TODAY()&lt;=C507+SETTINGS!$I$2,"⚠ AT RISK","SAFE")))</f>
        <v/>
      </c>
      <c r="AU507" s="28"/>
      <c r="AW507" s="24" t="n">
        <f aca="false">AW506+IF(AND(C507&lt;&gt;"",AO507&lt;&gt;"",OR('REP COMMISSION'!$B$3="",T507='REP COMMISSION'!$B$3,W507='REP COMMISSION'!$B$3,Z507='REP COMMISSION'!$B$3)),1,0)</f>
        <v>0</v>
      </c>
      <c r="AX507" s="24" t="n">
        <f aca="false">AX506+IF(AND(C507&lt;&gt;"",OR(F507="LOC - INITIAL",F507="CONSOLIDATION - UPFRONT COMM",F507="REVERSE - TOTAL FUNDING")),1,0)</f>
        <v>0</v>
      </c>
    </row>
    <row r="508" customFormat="false" ht="15" hidden="false" customHeight="false" outlineLevel="0" collapsed="false">
      <c r="A508" s="8" t="str">
        <f aca="false">IF(C508&lt;&gt;"","F"&amp;COUNT($C$4:C508),"")</f>
        <v/>
      </c>
      <c r="B508" s="9" t="str">
        <f aca="false">IF(OR(F508="LOC - INITIAL",F508="CONSOLIDATION - UPFRONT COMM",F508="REVERSE - TOTAL FUNDING"),A508,"")</f>
        <v/>
      </c>
      <c r="C508" s="10"/>
      <c r="D508" s="11"/>
      <c r="E508" s="11"/>
      <c r="F508" s="11"/>
      <c r="G508" s="12"/>
      <c r="H508" s="13"/>
      <c r="I508" s="11"/>
      <c r="J508" s="14" t="str">
        <f aca="false">IF(AND(G508&lt;&gt;"",H508&lt;&gt;""),G508*H508,"")</f>
        <v/>
      </c>
      <c r="K508" s="11"/>
      <c r="L508" s="15"/>
      <c r="M508" s="15"/>
      <c r="N508" s="14" t="n">
        <f aca="false">IF(OR(G508="",M508=""),0,IF(M508&gt;100,M508,G508*IF(M508&gt;1,M508/100,M508)))</f>
        <v>0</v>
      </c>
      <c r="O508" s="14" t="str">
        <f aca="false">IF(G508="","",G508*IF(L508="",0,IF(L508&gt;1,L508/100,L508))+N508)</f>
        <v/>
      </c>
      <c r="P508" s="11"/>
      <c r="Q508" s="16" t="str">
        <f aca="false">IF(P508="","",IFERROR(VLOOKUP(P508,PARTNERS!$A$2:$B$30,2,0),""))</f>
        <v/>
      </c>
      <c r="R508" s="17" t="str">
        <f aca="false">IF(O508="","",IF(OR(P508="",Q508=""),0,(O508-N508)*IF(Q508&gt;1,Q508/100,Q508)))</f>
        <v/>
      </c>
      <c r="S508" s="14" t="str">
        <f aca="false">IF(O508="","",O508-R508)</f>
        <v/>
      </c>
      <c r="T508" s="11"/>
      <c r="U508" s="18" t="str">
        <f aca="false">IF(T508="","",IFERROR(VLOOKUP(T508,REPS!$A$2:$D$40,2,0),""))</f>
        <v/>
      </c>
      <c r="V508" s="14" t="str">
        <f aca="false">IF(O508="","",IF(U508="",0,O508*IF(U508&gt;1,U508/100,U508)))</f>
        <v/>
      </c>
      <c r="W508" s="11"/>
      <c r="X508" s="18" t="str">
        <f aca="false">IF(W508="","",IFERROR(VLOOKUP(W508,REPS!$A$2:$D$40,3,0),""))</f>
        <v/>
      </c>
      <c r="Y508" s="14" t="str">
        <f aca="false">IF(O508="","",IF(X508="",0,O508*IF(X508&gt;1,X508/100,X508)))</f>
        <v/>
      </c>
      <c r="Z508" s="11"/>
      <c r="AA508" s="18" t="str">
        <f aca="false">IF(Z508="","",IFERROR(VLOOKUP(Z508,REPS!$A$2:$D$40,4,0),""))</f>
        <v/>
      </c>
      <c r="AB508" s="14" t="str">
        <f aca="false">IF(O508="","",IF(AA508="",0,O508*IF(AA508&gt;1,AA508/100,AA508)))</f>
        <v/>
      </c>
      <c r="AC508" s="14" t="str">
        <f aca="false">IF(O508="","",V508+Y508+AB508)</f>
        <v/>
      </c>
      <c r="AD508" s="19" t="str">
        <f aca="false">IF(O508="","",O508-R508-AC508)</f>
        <v/>
      </c>
      <c r="AE508" s="20"/>
      <c r="AF508" s="10"/>
      <c r="AG508" s="21" t="n">
        <f aca="false">IF(OR(AE508="",AE508=0),0,AE508*IF(U508="",0,IF(U508&gt;1,U508/100,U508)))</f>
        <v>0</v>
      </c>
      <c r="AH508" s="21" t="n">
        <f aca="false">IF(OR(AE508="",AE508=0),0,AE508*IF(X508="",0,IF(X508&gt;1,X508/100,X508)))</f>
        <v>0</v>
      </c>
      <c r="AI508" s="21" t="n">
        <f aca="false">IF(OR(AE508="",AE508=0),0,AE508*IF(AA508="",0,IF(AA508&gt;1,AA508/100,AA508)))</f>
        <v>0</v>
      </c>
      <c r="AJ508" s="21" t="n">
        <f aca="false">AG508+AH508+AI508</f>
        <v>0</v>
      </c>
      <c r="AK508" s="21" t="n">
        <f aca="false">IF(OR(AE508="",AE508=0),0,AE508-AJ508)</f>
        <v>0</v>
      </c>
      <c r="AL508" s="19" t="str">
        <f aca="false">IF(AD508="","",AD508-AK508)</f>
        <v/>
      </c>
      <c r="AM508" s="9" t="str">
        <f aca="false">IF(C508="","","Waiting for payment")</f>
        <v/>
      </c>
      <c r="AN508" s="10"/>
      <c r="AO508" s="10"/>
      <c r="AP508" s="22" t="str">
        <f aca="false">IF(OR(C508="",I508="",K508=""),"",IF(K508="Monthly",EDATE(C508,ROUND(I508*SETTINGS!$I$8,0)),WORKDAY(C508,ROUND(I508*SETTINGS!$I$8,0))))</f>
        <v/>
      </c>
      <c r="AQ508" s="9" t="str">
        <f aca="true">IF(C508="","",IF(AND(AP508&lt;&gt;"",TODAY()&gt;=AP508),"Refi Ready",IF(TODAY()-C508&gt;=SETTINGS!$I$11,"Prospecting","Performing")))</f>
        <v/>
      </c>
      <c r="AR508" s="22" t="str">
        <f aca="false">IF(OR(C508="",I508="",K508=""),"",IF(K508="Monthly",EDATE(C508,I508),WORKDAY(C508,I508)))</f>
        <v/>
      </c>
      <c r="AS508" s="11"/>
      <c r="AT508" s="23" t="str">
        <f aca="true">IF(C508="","",IF(AM508="Clawed Back","CLAWED",IF(TODAY()&lt;=C508+SETTINGS!$I$2,"⚠ AT RISK","SAFE")))</f>
        <v/>
      </c>
      <c r="AU508" s="11"/>
      <c r="AW508" s="24" t="n">
        <f aca="false">AW507+IF(AND(C508&lt;&gt;"",AO508&lt;&gt;"",OR('REP COMMISSION'!$B$3="",T508='REP COMMISSION'!$B$3,W508='REP COMMISSION'!$B$3,Z508='REP COMMISSION'!$B$3)),1,0)</f>
        <v>0</v>
      </c>
      <c r="AX508" s="24" t="n">
        <f aca="false">AX507+IF(AND(C508&lt;&gt;"",OR(F508="LOC - INITIAL",F508="CONSOLIDATION - UPFRONT COMM",F508="REVERSE - TOTAL FUNDING")),1,0)</f>
        <v>0</v>
      </c>
    </row>
    <row r="509" customFormat="false" ht="15" hidden="false" customHeight="false" outlineLevel="0" collapsed="false">
      <c r="A509" s="25" t="str">
        <f aca="false">IF(C509&lt;&gt;"","F"&amp;COUNT($C$4:C509),"")</f>
        <v/>
      </c>
      <c r="B509" s="26" t="str">
        <f aca="false">IF(OR(F509="LOC - INITIAL",F509="CONSOLIDATION - UPFRONT COMM",F509="REVERSE - TOTAL FUNDING"),A509,"")</f>
        <v/>
      </c>
      <c r="C509" s="27"/>
      <c r="D509" s="28"/>
      <c r="E509" s="28"/>
      <c r="F509" s="28"/>
      <c r="G509" s="29"/>
      <c r="H509" s="30"/>
      <c r="I509" s="28"/>
      <c r="J509" s="31" t="str">
        <f aca="false">IF(AND(G509&lt;&gt;"",H509&lt;&gt;""),G509*H509,"")</f>
        <v/>
      </c>
      <c r="K509" s="28"/>
      <c r="L509" s="32"/>
      <c r="M509" s="32"/>
      <c r="N509" s="31" t="n">
        <f aca="false">IF(OR(G509="",M509=""),0,IF(M509&gt;100,M509,G509*IF(M509&gt;1,M509/100,M509)))</f>
        <v>0</v>
      </c>
      <c r="O509" s="31" t="str">
        <f aca="false">IF(G509="","",G509*IF(L509="",0,IF(L509&gt;1,L509/100,L509))+N509)</f>
        <v/>
      </c>
      <c r="P509" s="28"/>
      <c r="Q509" s="33" t="str">
        <f aca="false">IF(P509="","",IFERROR(VLOOKUP(P509,PARTNERS!$A$2:$B$30,2,0),""))</f>
        <v/>
      </c>
      <c r="R509" s="17" t="str">
        <f aca="false">IF(O509="","",IF(OR(P509="",Q509=""),0,(O509-N509)*IF(Q509&gt;1,Q509/100,Q509)))</f>
        <v/>
      </c>
      <c r="S509" s="31" t="str">
        <f aca="false">IF(O509="","",O509-R509)</f>
        <v/>
      </c>
      <c r="T509" s="28"/>
      <c r="U509" s="34" t="str">
        <f aca="false">IF(T509="","",IFERROR(VLOOKUP(T509,REPS!$A$2:$D$40,2,0),""))</f>
        <v/>
      </c>
      <c r="V509" s="31" t="str">
        <f aca="false">IF(O509="","",IF(U509="",0,O509*IF(U509&gt;1,U509/100,U509)))</f>
        <v/>
      </c>
      <c r="W509" s="28"/>
      <c r="X509" s="34" t="str">
        <f aca="false">IF(W509="","",IFERROR(VLOOKUP(W509,REPS!$A$2:$D$40,3,0),""))</f>
        <v/>
      </c>
      <c r="Y509" s="31" t="str">
        <f aca="false">IF(O509="","",IF(X509="",0,O509*IF(X509&gt;1,X509/100,X509)))</f>
        <v/>
      </c>
      <c r="Z509" s="28"/>
      <c r="AA509" s="34" t="str">
        <f aca="false">IF(Z509="","",IFERROR(VLOOKUP(Z509,REPS!$A$2:$D$40,4,0),""))</f>
        <v/>
      </c>
      <c r="AB509" s="31" t="str">
        <f aca="false">IF(O509="","",IF(AA509="",0,O509*IF(AA509&gt;1,AA509/100,AA509)))</f>
        <v/>
      </c>
      <c r="AC509" s="31" t="str">
        <f aca="false">IF(O509="","",V509+Y509+AB509)</f>
        <v/>
      </c>
      <c r="AD509" s="19" t="str">
        <f aca="false">IF(O509="","",O509-R509-AC509)</f>
        <v/>
      </c>
      <c r="AE509" s="20"/>
      <c r="AF509" s="27"/>
      <c r="AG509" s="21" t="n">
        <f aca="false">IF(OR(AE509="",AE509=0),0,AE509*IF(U509="",0,IF(U509&gt;1,U509/100,U509)))</f>
        <v>0</v>
      </c>
      <c r="AH509" s="21" t="n">
        <f aca="false">IF(OR(AE509="",AE509=0),0,AE509*IF(X509="",0,IF(X509&gt;1,X509/100,X509)))</f>
        <v>0</v>
      </c>
      <c r="AI509" s="21" t="n">
        <f aca="false">IF(OR(AE509="",AE509=0),0,AE509*IF(AA509="",0,IF(AA509&gt;1,AA509/100,AA509)))</f>
        <v>0</v>
      </c>
      <c r="AJ509" s="21" t="n">
        <f aca="false">AG509+AH509+AI509</f>
        <v>0</v>
      </c>
      <c r="AK509" s="21" t="n">
        <f aca="false">IF(OR(AE509="",AE509=0),0,AE509-AJ509)</f>
        <v>0</v>
      </c>
      <c r="AL509" s="19" t="str">
        <f aca="false">IF(AD509="","",AD509-AK509)</f>
        <v/>
      </c>
      <c r="AM509" s="26" t="str">
        <f aca="false">IF(C509="","","Waiting for payment")</f>
        <v/>
      </c>
      <c r="AN509" s="27"/>
      <c r="AO509" s="27"/>
      <c r="AP509" s="35" t="str">
        <f aca="false">IF(OR(C509="",I509="",K509=""),"",IF(K509="Monthly",EDATE(C509,ROUND(I509*SETTINGS!$I$8,0)),WORKDAY(C509,ROUND(I509*SETTINGS!$I$8,0))))</f>
        <v/>
      </c>
      <c r="AQ509" s="26" t="str">
        <f aca="true">IF(C509="","",IF(AND(AP509&lt;&gt;"",TODAY()&gt;=AP509),"Refi Ready",IF(TODAY()-C509&gt;=SETTINGS!$I$11,"Prospecting","Performing")))</f>
        <v/>
      </c>
      <c r="AR509" s="35" t="str">
        <f aca="false">IF(OR(C509="",I509="",K509=""),"",IF(K509="Monthly",EDATE(C509,I509),WORKDAY(C509,I509)))</f>
        <v/>
      </c>
      <c r="AS509" s="28"/>
      <c r="AT509" s="36" t="str">
        <f aca="true">IF(C509="","",IF(AM509="Clawed Back","CLAWED",IF(TODAY()&lt;=C509+SETTINGS!$I$2,"⚠ AT RISK","SAFE")))</f>
        <v/>
      </c>
      <c r="AU509" s="28"/>
      <c r="AW509" s="24" t="n">
        <f aca="false">AW508+IF(AND(C509&lt;&gt;"",AO509&lt;&gt;"",OR('REP COMMISSION'!$B$3="",T509='REP COMMISSION'!$B$3,W509='REP COMMISSION'!$B$3,Z509='REP COMMISSION'!$B$3)),1,0)</f>
        <v>0</v>
      </c>
      <c r="AX509" s="24" t="n">
        <f aca="false">AX508+IF(AND(C509&lt;&gt;"",OR(F509="LOC - INITIAL",F509="CONSOLIDATION - UPFRONT COMM",F509="REVERSE - TOTAL FUNDING")),1,0)</f>
        <v>0</v>
      </c>
    </row>
    <row r="510" customFormat="false" ht="15" hidden="false" customHeight="false" outlineLevel="0" collapsed="false">
      <c r="A510" s="8" t="str">
        <f aca="false">IF(C510&lt;&gt;"","F"&amp;COUNT($C$4:C510),"")</f>
        <v/>
      </c>
      <c r="B510" s="9" t="str">
        <f aca="false">IF(OR(F510="LOC - INITIAL",F510="CONSOLIDATION - UPFRONT COMM",F510="REVERSE - TOTAL FUNDING"),A510,"")</f>
        <v/>
      </c>
      <c r="C510" s="10"/>
      <c r="D510" s="11"/>
      <c r="E510" s="11"/>
      <c r="F510" s="11"/>
      <c r="G510" s="12"/>
      <c r="H510" s="13"/>
      <c r="I510" s="11"/>
      <c r="J510" s="14" t="str">
        <f aca="false">IF(AND(G510&lt;&gt;"",H510&lt;&gt;""),G510*H510,"")</f>
        <v/>
      </c>
      <c r="K510" s="11"/>
      <c r="L510" s="15"/>
      <c r="M510" s="15"/>
      <c r="N510" s="14" t="n">
        <f aca="false">IF(OR(G510="",M510=""),0,IF(M510&gt;100,M510,G510*IF(M510&gt;1,M510/100,M510)))</f>
        <v>0</v>
      </c>
      <c r="O510" s="14" t="str">
        <f aca="false">IF(G510="","",G510*IF(L510="",0,IF(L510&gt;1,L510/100,L510))+N510)</f>
        <v/>
      </c>
      <c r="P510" s="11"/>
      <c r="Q510" s="16" t="str">
        <f aca="false">IF(P510="","",IFERROR(VLOOKUP(P510,PARTNERS!$A$2:$B$30,2,0),""))</f>
        <v/>
      </c>
      <c r="R510" s="17" t="str">
        <f aca="false">IF(O510="","",IF(OR(P510="",Q510=""),0,(O510-N510)*IF(Q510&gt;1,Q510/100,Q510)))</f>
        <v/>
      </c>
      <c r="S510" s="14" t="str">
        <f aca="false">IF(O510="","",O510-R510)</f>
        <v/>
      </c>
      <c r="T510" s="11"/>
      <c r="U510" s="18" t="str">
        <f aca="false">IF(T510="","",IFERROR(VLOOKUP(T510,REPS!$A$2:$D$40,2,0),""))</f>
        <v/>
      </c>
      <c r="V510" s="14" t="str">
        <f aca="false">IF(O510="","",IF(U510="",0,O510*IF(U510&gt;1,U510/100,U510)))</f>
        <v/>
      </c>
      <c r="W510" s="11"/>
      <c r="X510" s="18" t="str">
        <f aca="false">IF(W510="","",IFERROR(VLOOKUP(W510,REPS!$A$2:$D$40,3,0),""))</f>
        <v/>
      </c>
      <c r="Y510" s="14" t="str">
        <f aca="false">IF(O510="","",IF(X510="",0,O510*IF(X510&gt;1,X510/100,X510)))</f>
        <v/>
      </c>
      <c r="Z510" s="11"/>
      <c r="AA510" s="18" t="str">
        <f aca="false">IF(Z510="","",IFERROR(VLOOKUP(Z510,REPS!$A$2:$D$40,4,0),""))</f>
        <v/>
      </c>
      <c r="AB510" s="14" t="str">
        <f aca="false">IF(O510="","",IF(AA510="",0,O510*IF(AA510&gt;1,AA510/100,AA510)))</f>
        <v/>
      </c>
      <c r="AC510" s="14" t="str">
        <f aca="false">IF(O510="","",V510+Y510+AB510)</f>
        <v/>
      </c>
      <c r="AD510" s="19" t="str">
        <f aca="false">IF(O510="","",O510-R510-AC510)</f>
        <v/>
      </c>
      <c r="AE510" s="20"/>
      <c r="AF510" s="10"/>
      <c r="AG510" s="21" t="n">
        <f aca="false">IF(OR(AE510="",AE510=0),0,AE510*IF(U510="",0,IF(U510&gt;1,U510/100,U510)))</f>
        <v>0</v>
      </c>
      <c r="AH510" s="21" t="n">
        <f aca="false">IF(OR(AE510="",AE510=0),0,AE510*IF(X510="",0,IF(X510&gt;1,X510/100,X510)))</f>
        <v>0</v>
      </c>
      <c r="AI510" s="21" t="n">
        <f aca="false">IF(OR(AE510="",AE510=0),0,AE510*IF(AA510="",0,IF(AA510&gt;1,AA510/100,AA510)))</f>
        <v>0</v>
      </c>
      <c r="AJ510" s="21" t="n">
        <f aca="false">AG510+AH510+AI510</f>
        <v>0</v>
      </c>
      <c r="AK510" s="21" t="n">
        <f aca="false">IF(OR(AE510="",AE510=0),0,AE510-AJ510)</f>
        <v>0</v>
      </c>
      <c r="AL510" s="19" t="str">
        <f aca="false">IF(AD510="","",AD510-AK510)</f>
        <v/>
      </c>
      <c r="AM510" s="9" t="str">
        <f aca="false">IF(C510="","","Waiting for payment")</f>
        <v/>
      </c>
      <c r="AN510" s="10"/>
      <c r="AO510" s="10"/>
      <c r="AP510" s="22" t="str">
        <f aca="false">IF(OR(C510="",I510="",K510=""),"",IF(K510="Monthly",EDATE(C510,ROUND(I510*SETTINGS!$I$8,0)),WORKDAY(C510,ROUND(I510*SETTINGS!$I$8,0))))</f>
        <v/>
      </c>
      <c r="AQ510" s="9" t="str">
        <f aca="true">IF(C510="","",IF(AND(AP510&lt;&gt;"",TODAY()&gt;=AP510),"Refi Ready",IF(TODAY()-C510&gt;=SETTINGS!$I$11,"Prospecting","Performing")))</f>
        <v/>
      </c>
      <c r="AR510" s="22" t="str">
        <f aca="false">IF(OR(C510="",I510="",K510=""),"",IF(K510="Monthly",EDATE(C510,I510),WORKDAY(C510,I510)))</f>
        <v/>
      </c>
      <c r="AS510" s="11"/>
      <c r="AT510" s="23" t="str">
        <f aca="true">IF(C510="","",IF(AM510="Clawed Back","CLAWED",IF(TODAY()&lt;=C510+SETTINGS!$I$2,"⚠ AT RISK","SAFE")))</f>
        <v/>
      </c>
      <c r="AU510" s="11"/>
      <c r="AW510" s="24" t="n">
        <f aca="false">AW509+IF(AND(C510&lt;&gt;"",AO510&lt;&gt;"",OR('REP COMMISSION'!$B$3="",T510='REP COMMISSION'!$B$3,W510='REP COMMISSION'!$B$3,Z510='REP COMMISSION'!$B$3)),1,0)</f>
        <v>0</v>
      </c>
      <c r="AX510" s="24" t="n">
        <f aca="false">AX509+IF(AND(C510&lt;&gt;"",OR(F510="LOC - INITIAL",F510="CONSOLIDATION - UPFRONT COMM",F510="REVERSE - TOTAL FUNDING")),1,0)</f>
        <v>0</v>
      </c>
    </row>
    <row r="511" customFormat="false" ht="15" hidden="false" customHeight="false" outlineLevel="0" collapsed="false">
      <c r="A511" s="25" t="str">
        <f aca="false">IF(C511&lt;&gt;"","F"&amp;COUNT($C$4:C511),"")</f>
        <v/>
      </c>
      <c r="B511" s="26" t="str">
        <f aca="false">IF(OR(F511="LOC - INITIAL",F511="CONSOLIDATION - UPFRONT COMM",F511="REVERSE - TOTAL FUNDING"),A511,"")</f>
        <v/>
      </c>
      <c r="C511" s="27"/>
      <c r="D511" s="28"/>
      <c r="E511" s="28"/>
      <c r="F511" s="28"/>
      <c r="G511" s="29"/>
      <c r="H511" s="30"/>
      <c r="I511" s="28"/>
      <c r="J511" s="31" t="str">
        <f aca="false">IF(AND(G511&lt;&gt;"",H511&lt;&gt;""),G511*H511,"")</f>
        <v/>
      </c>
      <c r="K511" s="28"/>
      <c r="L511" s="32"/>
      <c r="M511" s="32"/>
      <c r="N511" s="31" t="n">
        <f aca="false">IF(OR(G511="",M511=""),0,IF(M511&gt;100,M511,G511*IF(M511&gt;1,M511/100,M511)))</f>
        <v>0</v>
      </c>
      <c r="O511" s="31" t="str">
        <f aca="false">IF(G511="","",G511*IF(L511="",0,IF(L511&gt;1,L511/100,L511))+N511)</f>
        <v/>
      </c>
      <c r="P511" s="28"/>
      <c r="Q511" s="33" t="str">
        <f aca="false">IF(P511="","",IFERROR(VLOOKUP(P511,PARTNERS!$A$2:$B$30,2,0),""))</f>
        <v/>
      </c>
      <c r="R511" s="17" t="str">
        <f aca="false">IF(O511="","",IF(OR(P511="",Q511=""),0,(O511-N511)*IF(Q511&gt;1,Q511/100,Q511)))</f>
        <v/>
      </c>
      <c r="S511" s="31" t="str">
        <f aca="false">IF(O511="","",O511-R511)</f>
        <v/>
      </c>
      <c r="T511" s="28"/>
      <c r="U511" s="34" t="str">
        <f aca="false">IF(T511="","",IFERROR(VLOOKUP(T511,REPS!$A$2:$D$40,2,0),""))</f>
        <v/>
      </c>
      <c r="V511" s="31" t="str">
        <f aca="false">IF(O511="","",IF(U511="",0,O511*IF(U511&gt;1,U511/100,U511)))</f>
        <v/>
      </c>
      <c r="W511" s="28"/>
      <c r="X511" s="34" t="str">
        <f aca="false">IF(W511="","",IFERROR(VLOOKUP(W511,REPS!$A$2:$D$40,3,0),""))</f>
        <v/>
      </c>
      <c r="Y511" s="31" t="str">
        <f aca="false">IF(O511="","",IF(X511="",0,O511*IF(X511&gt;1,X511/100,X511)))</f>
        <v/>
      </c>
      <c r="Z511" s="28"/>
      <c r="AA511" s="34" t="str">
        <f aca="false">IF(Z511="","",IFERROR(VLOOKUP(Z511,REPS!$A$2:$D$40,4,0),""))</f>
        <v/>
      </c>
      <c r="AB511" s="31" t="str">
        <f aca="false">IF(O511="","",IF(AA511="",0,O511*IF(AA511&gt;1,AA511/100,AA511)))</f>
        <v/>
      </c>
      <c r="AC511" s="31" t="str">
        <f aca="false">IF(O511="","",V511+Y511+AB511)</f>
        <v/>
      </c>
      <c r="AD511" s="19" t="str">
        <f aca="false">IF(O511="","",O511-R511-AC511)</f>
        <v/>
      </c>
      <c r="AE511" s="20"/>
      <c r="AF511" s="27"/>
      <c r="AG511" s="21" t="n">
        <f aca="false">IF(OR(AE511="",AE511=0),0,AE511*IF(U511="",0,IF(U511&gt;1,U511/100,U511)))</f>
        <v>0</v>
      </c>
      <c r="AH511" s="21" t="n">
        <f aca="false">IF(OR(AE511="",AE511=0),0,AE511*IF(X511="",0,IF(X511&gt;1,X511/100,X511)))</f>
        <v>0</v>
      </c>
      <c r="AI511" s="21" t="n">
        <f aca="false">IF(OR(AE511="",AE511=0),0,AE511*IF(AA511="",0,IF(AA511&gt;1,AA511/100,AA511)))</f>
        <v>0</v>
      </c>
      <c r="AJ511" s="21" t="n">
        <f aca="false">AG511+AH511+AI511</f>
        <v>0</v>
      </c>
      <c r="AK511" s="21" t="n">
        <f aca="false">IF(OR(AE511="",AE511=0),0,AE511-AJ511)</f>
        <v>0</v>
      </c>
      <c r="AL511" s="19" t="str">
        <f aca="false">IF(AD511="","",AD511-AK511)</f>
        <v/>
      </c>
      <c r="AM511" s="26" t="str">
        <f aca="false">IF(C511="","","Waiting for payment")</f>
        <v/>
      </c>
      <c r="AN511" s="27"/>
      <c r="AO511" s="27"/>
      <c r="AP511" s="35" t="str">
        <f aca="false">IF(OR(C511="",I511="",K511=""),"",IF(K511="Monthly",EDATE(C511,ROUND(I511*SETTINGS!$I$8,0)),WORKDAY(C511,ROUND(I511*SETTINGS!$I$8,0))))</f>
        <v/>
      </c>
      <c r="AQ511" s="26" t="str">
        <f aca="true">IF(C511="","",IF(AND(AP511&lt;&gt;"",TODAY()&gt;=AP511),"Refi Ready",IF(TODAY()-C511&gt;=SETTINGS!$I$11,"Prospecting","Performing")))</f>
        <v/>
      </c>
      <c r="AR511" s="35" t="str">
        <f aca="false">IF(OR(C511="",I511="",K511=""),"",IF(K511="Monthly",EDATE(C511,I511),WORKDAY(C511,I511)))</f>
        <v/>
      </c>
      <c r="AS511" s="28"/>
      <c r="AT511" s="36" t="str">
        <f aca="true">IF(C511="","",IF(AM511="Clawed Back","CLAWED",IF(TODAY()&lt;=C511+SETTINGS!$I$2,"⚠ AT RISK","SAFE")))</f>
        <v/>
      </c>
      <c r="AU511" s="28"/>
      <c r="AW511" s="24" t="n">
        <f aca="false">AW510+IF(AND(C511&lt;&gt;"",AO511&lt;&gt;"",OR('REP COMMISSION'!$B$3="",T511='REP COMMISSION'!$B$3,W511='REP COMMISSION'!$B$3,Z511='REP COMMISSION'!$B$3)),1,0)</f>
        <v>0</v>
      </c>
      <c r="AX511" s="24" t="n">
        <f aca="false">AX510+IF(AND(C511&lt;&gt;"",OR(F511="LOC - INITIAL",F511="CONSOLIDATION - UPFRONT COMM",F511="REVERSE - TOTAL FUNDING")),1,0)</f>
        <v>0</v>
      </c>
    </row>
    <row r="512" customFormat="false" ht="18" hidden="false" customHeight="true" outlineLevel="0" collapsed="false">
      <c r="A512" s="37" t="s">
        <v>57</v>
      </c>
      <c r="B512" s="38"/>
      <c r="C512" s="38"/>
      <c r="D512" s="37" t="str">
        <f aca="false">COUNT(C412:C511)&amp;" units"</f>
        <v>0 units</v>
      </c>
      <c r="E512" s="38"/>
      <c r="F512" s="38"/>
      <c r="G512" s="39" t="n">
        <f aca="false">SUM(G412:G511)</f>
        <v>0</v>
      </c>
      <c r="H512" s="38"/>
      <c r="I512" s="38"/>
      <c r="J512" s="38"/>
      <c r="K512" s="38"/>
      <c r="L512" s="38"/>
      <c r="M512" s="38"/>
      <c r="N512" s="39" t="n">
        <f aca="false">SUM(N412:N511)</f>
        <v>0</v>
      </c>
      <c r="O512" s="39" t="n">
        <f aca="false">SUM(O412:O511)</f>
        <v>0</v>
      </c>
      <c r="P512" s="38"/>
      <c r="Q512" s="38"/>
      <c r="R512" s="39" t="n">
        <f aca="false">SUM(R412:R511)</f>
        <v>0</v>
      </c>
      <c r="S512" s="39" t="n">
        <f aca="false">SUM(S412:S511)</f>
        <v>0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9" t="n">
        <f aca="false">SUM(AC412:AC511)</f>
        <v>0</v>
      </c>
      <c r="AD512" s="39" t="n">
        <f aca="false">SUM(AD412:AD511)</f>
        <v>0</v>
      </c>
      <c r="AE512" s="39" t="n">
        <f aca="false">SUM(AE412:AE511)</f>
        <v>0</v>
      </c>
      <c r="AF512" s="38"/>
      <c r="AG512" s="38"/>
      <c r="AH512" s="38"/>
      <c r="AI512" s="38"/>
      <c r="AJ512" s="39" t="n">
        <f aca="false">SUM(AJ412:AJ511)</f>
        <v>0</v>
      </c>
      <c r="AK512" s="39" t="n">
        <f aca="false">SUM(AK412:AK511)</f>
        <v>0</v>
      </c>
      <c r="AL512" s="39" t="n">
        <f aca="false">SUM(AL412:AL511)</f>
        <v>0</v>
      </c>
      <c r="AM512" s="38"/>
      <c r="AN512" s="38"/>
      <c r="AO512" s="38"/>
      <c r="AP512" s="38"/>
      <c r="AQ512" s="38"/>
      <c r="AR512" s="38"/>
      <c r="AS512" s="38"/>
      <c r="AT512" s="38"/>
      <c r="AU512" s="38"/>
      <c r="AW512" s="24" t="n">
        <f aca="false">AW511</f>
        <v>0</v>
      </c>
      <c r="AX512" s="24" t="n">
        <f aca="false">AX511</f>
        <v>0</v>
      </c>
    </row>
    <row r="513" customFormat="false" ht="19.5" hidden="false" customHeight="true" outlineLevel="0" collapsed="false">
      <c r="A513" s="6" t="s">
        <v>58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W513" s="24" t="n">
        <f aca="false">AW512</f>
        <v>0</v>
      </c>
      <c r="AX513" s="24" t="n">
        <f aca="false">AX512</f>
        <v>0</v>
      </c>
    </row>
    <row r="514" customFormat="false" ht="15" hidden="false" customHeight="false" outlineLevel="0" collapsed="false">
      <c r="A514" s="8" t="str">
        <f aca="false">IF(C514&lt;&gt;"","F"&amp;COUNT($C$4:C514),"")</f>
        <v/>
      </c>
      <c r="B514" s="9" t="str">
        <f aca="false">IF(OR(F514="LOC - INITIAL",F514="CONSOLIDATION - UPFRONT COMM",F514="REVERSE - TOTAL FUNDING"),A514,"")</f>
        <v/>
      </c>
      <c r="C514" s="10"/>
      <c r="D514" s="11"/>
      <c r="E514" s="11"/>
      <c r="F514" s="11"/>
      <c r="G514" s="12"/>
      <c r="H514" s="13"/>
      <c r="I514" s="11"/>
      <c r="J514" s="14" t="str">
        <f aca="false">IF(AND(G514&lt;&gt;"",H514&lt;&gt;""),G514*H514,"")</f>
        <v/>
      </c>
      <c r="K514" s="11"/>
      <c r="L514" s="15"/>
      <c r="M514" s="15"/>
      <c r="N514" s="14" t="n">
        <f aca="false">IF(OR(G514="",M514=""),0,IF(M514&gt;100,M514,G514*IF(M514&gt;1,M514/100,M514)))</f>
        <v>0</v>
      </c>
      <c r="O514" s="14" t="str">
        <f aca="false">IF(G514="","",G514*IF(L514="",0,IF(L514&gt;1,L514/100,L514))+N514)</f>
        <v/>
      </c>
      <c r="P514" s="11"/>
      <c r="Q514" s="16" t="str">
        <f aca="false">IF(P514="","",IFERROR(VLOOKUP(P514,PARTNERS!$A$2:$B$30,2,0),""))</f>
        <v/>
      </c>
      <c r="R514" s="17" t="str">
        <f aca="false">IF(O514="","",IF(OR(P514="",Q514=""),0,(O514-N514)*IF(Q514&gt;1,Q514/100,Q514)))</f>
        <v/>
      </c>
      <c r="S514" s="14" t="str">
        <f aca="false">IF(O514="","",O514-R514)</f>
        <v/>
      </c>
      <c r="T514" s="11"/>
      <c r="U514" s="18" t="str">
        <f aca="false">IF(T514="","",IFERROR(VLOOKUP(T514,REPS!$A$2:$D$40,2,0),""))</f>
        <v/>
      </c>
      <c r="V514" s="14" t="str">
        <f aca="false">IF(O514="","",IF(U514="",0,O514*IF(U514&gt;1,U514/100,U514)))</f>
        <v/>
      </c>
      <c r="W514" s="11"/>
      <c r="X514" s="18" t="str">
        <f aca="false">IF(W514="","",IFERROR(VLOOKUP(W514,REPS!$A$2:$D$40,3,0),""))</f>
        <v/>
      </c>
      <c r="Y514" s="14" t="str">
        <f aca="false">IF(O514="","",IF(X514="",0,O514*IF(X514&gt;1,X514/100,X514)))</f>
        <v/>
      </c>
      <c r="Z514" s="11"/>
      <c r="AA514" s="18" t="str">
        <f aca="false">IF(Z514="","",IFERROR(VLOOKUP(Z514,REPS!$A$2:$D$40,4,0),""))</f>
        <v/>
      </c>
      <c r="AB514" s="14" t="str">
        <f aca="false">IF(O514="","",IF(AA514="",0,O514*IF(AA514&gt;1,AA514/100,AA514)))</f>
        <v/>
      </c>
      <c r="AC514" s="14" t="str">
        <f aca="false">IF(O514="","",V514+Y514+AB514)</f>
        <v/>
      </c>
      <c r="AD514" s="19" t="str">
        <f aca="false">IF(O514="","",O514-R514-AC514)</f>
        <v/>
      </c>
      <c r="AE514" s="20"/>
      <c r="AF514" s="10"/>
      <c r="AG514" s="21" t="n">
        <f aca="false">IF(OR(AE514="",AE514=0),0,AE514*IF(U514="",0,IF(U514&gt;1,U514/100,U514)))</f>
        <v>0</v>
      </c>
      <c r="AH514" s="21" t="n">
        <f aca="false">IF(OR(AE514="",AE514=0),0,AE514*IF(X514="",0,IF(X514&gt;1,X514/100,X514)))</f>
        <v>0</v>
      </c>
      <c r="AI514" s="21" t="n">
        <f aca="false">IF(OR(AE514="",AE514=0),0,AE514*IF(AA514="",0,IF(AA514&gt;1,AA514/100,AA514)))</f>
        <v>0</v>
      </c>
      <c r="AJ514" s="21" t="n">
        <f aca="false">AG514+AH514+AI514</f>
        <v>0</v>
      </c>
      <c r="AK514" s="21" t="n">
        <f aca="false">IF(OR(AE514="",AE514=0),0,AE514-AJ514)</f>
        <v>0</v>
      </c>
      <c r="AL514" s="19" t="str">
        <f aca="false">IF(AD514="","",AD514-AK514)</f>
        <v/>
      </c>
      <c r="AM514" s="9" t="str">
        <f aca="false">IF(C514="","","Waiting for payment")</f>
        <v/>
      </c>
      <c r="AN514" s="10"/>
      <c r="AO514" s="10"/>
      <c r="AP514" s="22" t="str">
        <f aca="false">IF(OR(C514="",I514="",K514=""),"",IF(K514="Monthly",EDATE(C514,ROUND(I514*SETTINGS!$I$8,0)),WORKDAY(C514,ROUND(I514*SETTINGS!$I$8,0))))</f>
        <v/>
      </c>
      <c r="AQ514" s="9" t="str">
        <f aca="true">IF(C514="","",IF(AND(AP514&lt;&gt;"",TODAY()&gt;=AP514),"Refi Ready",IF(TODAY()-C514&gt;=SETTINGS!$I$11,"Prospecting","Performing")))</f>
        <v/>
      </c>
      <c r="AR514" s="22" t="str">
        <f aca="false">IF(OR(C514="",I514="",K514=""),"",IF(K514="Monthly",EDATE(C514,I514),WORKDAY(C514,I514)))</f>
        <v/>
      </c>
      <c r="AS514" s="11"/>
      <c r="AT514" s="23" t="str">
        <f aca="true">IF(C514="","",IF(AM514="Clawed Back","CLAWED",IF(TODAY()&lt;=C514+SETTINGS!$I$2,"⚠ AT RISK","SAFE")))</f>
        <v/>
      </c>
      <c r="AU514" s="11"/>
      <c r="AW514" s="24" t="n">
        <f aca="false">AW513+IF(AND(C514&lt;&gt;"",AO514&lt;&gt;"",OR('REP COMMISSION'!$B$3="",T514='REP COMMISSION'!$B$3,W514='REP COMMISSION'!$B$3,Z514='REP COMMISSION'!$B$3)),1,0)</f>
        <v>0</v>
      </c>
      <c r="AX514" s="24" t="n">
        <f aca="false">AX513+IF(AND(C514&lt;&gt;"",OR(F514="LOC - INITIAL",F514="CONSOLIDATION - UPFRONT COMM",F514="REVERSE - TOTAL FUNDING")),1,0)</f>
        <v>0</v>
      </c>
    </row>
    <row r="515" customFormat="false" ht="15" hidden="false" customHeight="false" outlineLevel="0" collapsed="false">
      <c r="A515" s="25" t="str">
        <f aca="false">IF(C515&lt;&gt;"","F"&amp;COUNT($C$4:C515),"")</f>
        <v/>
      </c>
      <c r="B515" s="26" t="str">
        <f aca="false">IF(OR(F515="LOC - INITIAL",F515="CONSOLIDATION - UPFRONT COMM",F515="REVERSE - TOTAL FUNDING"),A515,"")</f>
        <v/>
      </c>
      <c r="C515" s="27"/>
      <c r="D515" s="28"/>
      <c r="E515" s="28"/>
      <c r="F515" s="28"/>
      <c r="G515" s="29"/>
      <c r="H515" s="30"/>
      <c r="I515" s="28"/>
      <c r="J515" s="31" t="str">
        <f aca="false">IF(AND(G515&lt;&gt;"",H515&lt;&gt;""),G515*H515,"")</f>
        <v/>
      </c>
      <c r="K515" s="28"/>
      <c r="L515" s="32"/>
      <c r="M515" s="32"/>
      <c r="N515" s="31" t="n">
        <f aca="false">IF(OR(G515="",M515=""),0,IF(M515&gt;100,M515,G515*IF(M515&gt;1,M515/100,M515)))</f>
        <v>0</v>
      </c>
      <c r="O515" s="31" t="str">
        <f aca="false">IF(G515="","",G515*IF(L515="",0,IF(L515&gt;1,L515/100,L515))+N515)</f>
        <v/>
      </c>
      <c r="P515" s="28"/>
      <c r="Q515" s="33" t="str">
        <f aca="false">IF(P515="","",IFERROR(VLOOKUP(P515,PARTNERS!$A$2:$B$30,2,0),""))</f>
        <v/>
      </c>
      <c r="R515" s="17" t="str">
        <f aca="false">IF(O515="","",IF(OR(P515="",Q515=""),0,(O515-N515)*IF(Q515&gt;1,Q515/100,Q515)))</f>
        <v/>
      </c>
      <c r="S515" s="31" t="str">
        <f aca="false">IF(O515="","",O515-R515)</f>
        <v/>
      </c>
      <c r="T515" s="28"/>
      <c r="U515" s="34" t="str">
        <f aca="false">IF(T515="","",IFERROR(VLOOKUP(T515,REPS!$A$2:$D$40,2,0),""))</f>
        <v/>
      </c>
      <c r="V515" s="31" t="str">
        <f aca="false">IF(O515="","",IF(U515="",0,O515*IF(U515&gt;1,U515/100,U515)))</f>
        <v/>
      </c>
      <c r="W515" s="28"/>
      <c r="X515" s="34" t="str">
        <f aca="false">IF(W515="","",IFERROR(VLOOKUP(W515,REPS!$A$2:$D$40,3,0),""))</f>
        <v/>
      </c>
      <c r="Y515" s="31" t="str">
        <f aca="false">IF(O515="","",IF(X515="",0,O515*IF(X515&gt;1,X515/100,X515)))</f>
        <v/>
      </c>
      <c r="Z515" s="28"/>
      <c r="AA515" s="34" t="str">
        <f aca="false">IF(Z515="","",IFERROR(VLOOKUP(Z515,REPS!$A$2:$D$40,4,0),""))</f>
        <v/>
      </c>
      <c r="AB515" s="31" t="str">
        <f aca="false">IF(O515="","",IF(AA515="",0,O515*IF(AA515&gt;1,AA515/100,AA515)))</f>
        <v/>
      </c>
      <c r="AC515" s="31" t="str">
        <f aca="false">IF(O515="","",V515+Y515+AB515)</f>
        <v/>
      </c>
      <c r="AD515" s="19" t="str">
        <f aca="false">IF(O515="","",O515-R515-AC515)</f>
        <v/>
      </c>
      <c r="AE515" s="20"/>
      <c r="AF515" s="27"/>
      <c r="AG515" s="21" t="n">
        <f aca="false">IF(OR(AE515="",AE515=0),0,AE515*IF(U515="",0,IF(U515&gt;1,U515/100,U515)))</f>
        <v>0</v>
      </c>
      <c r="AH515" s="21" t="n">
        <f aca="false">IF(OR(AE515="",AE515=0),0,AE515*IF(X515="",0,IF(X515&gt;1,X515/100,X515)))</f>
        <v>0</v>
      </c>
      <c r="AI515" s="21" t="n">
        <f aca="false">IF(OR(AE515="",AE515=0),0,AE515*IF(AA515="",0,IF(AA515&gt;1,AA515/100,AA515)))</f>
        <v>0</v>
      </c>
      <c r="AJ515" s="21" t="n">
        <f aca="false">AG515+AH515+AI515</f>
        <v>0</v>
      </c>
      <c r="AK515" s="21" t="n">
        <f aca="false">IF(OR(AE515="",AE515=0),0,AE515-AJ515)</f>
        <v>0</v>
      </c>
      <c r="AL515" s="19" t="str">
        <f aca="false">IF(AD515="","",AD515-AK515)</f>
        <v/>
      </c>
      <c r="AM515" s="26" t="str">
        <f aca="false">IF(C515="","","Waiting for payment")</f>
        <v/>
      </c>
      <c r="AN515" s="27"/>
      <c r="AO515" s="27"/>
      <c r="AP515" s="35" t="str">
        <f aca="false">IF(OR(C515="",I515="",K515=""),"",IF(K515="Monthly",EDATE(C515,ROUND(I515*SETTINGS!$I$8,0)),WORKDAY(C515,ROUND(I515*SETTINGS!$I$8,0))))</f>
        <v/>
      </c>
      <c r="AQ515" s="26" t="str">
        <f aca="true">IF(C515="","",IF(AND(AP515&lt;&gt;"",TODAY()&gt;=AP515),"Refi Ready",IF(TODAY()-C515&gt;=SETTINGS!$I$11,"Prospecting","Performing")))</f>
        <v/>
      </c>
      <c r="AR515" s="35" t="str">
        <f aca="false">IF(OR(C515="",I515="",K515=""),"",IF(K515="Monthly",EDATE(C515,I515),WORKDAY(C515,I515)))</f>
        <v/>
      </c>
      <c r="AS515" s="28"/>
      <c r="AT515" s="36" t="str">
        <f aca="true">IF(C515="","",IF(AM515="Clawed Back","CLAWED",IF(TODAY()&lt;=C515+SETTINGS!$I$2,"⚠ AT RISK","SAFE")))</f>
        <v/>
      </c>
      <c r="AU515" s="28"/>
      <c r="AW515" s="24" t="n">
        <f aca="false">AW514+IF(AND(C515&lt;&gt;"",AO515&lt;&gt;"",OR('REP COMMISSION'!$B$3="",T515='REP COMMISSION'!$B$3,W515='REP COMMISSION'!$B$3,Z515='REP COMMISSION'!$B$3)),1,0)</f>
        <v>0</v>
      </c>
      <c r="AX515" s="24" t="n">
        <f aca="false">AX514+IF(AND(C515&lt;&gt;"",OR(F515="LOC - INITIAL",F515="CONSOLIDATION - UPFRONT COMM",F515="REVERSE - TOTAL FUNDING")),1,0)</f>
        <v>0</v>
      </c>
    </row>
    <row r="516" customFormat="false" ht="15" hidden="false" customHeight="false" outlineLevel="0" collapsed="false">
      <c r="A516" s="8" t="str">
        <f aca="false">IF(C516&lt;&gt;"","F"&amp;COUNT($C$4:C516),"")</f>
        <v/>
      </c>
      <c r="B516" s="9" t="str">
        <f aca="false">IF(OR(F516="LOC - INITIAL",F516="CONSOLIDATION - UPFRONT COMM",F516="REVERSE - TOTAL FUNDING"),A516,"")</f>
        <v/>
      </c>
      <c r="C516" s="10"/>
      <c r="D516" s="11"/>
      <c r="E516" s="11"/>
      <c r="F516" s="11"/>
      <c r="G516" s="12"/>
      <c r="H516" s="13"/>
      <c r="I516" s="11"/>
      <c r="J516" s="14" t="str">
        <f aca="false">IF(AND(G516&lt;&gt;"",H516&lt;&gt;""),G516*H516,"")</f>
        <v/>
      </c>
      <c r="K516" s="11"/>
      <c r="L516" s="15"/>
      <c r="M516" s="15"/>
      <c r="N516" s="14" t="n">
        <f aca="false">IF(OR(G516="",M516=""),0,IF(M516&gt;100,M516,G516*IF(M516&gt;1,M516/100,M516)))</f>
        <v>0</v>
      </c>
      <c r="O516" s="14" t="str">
        <f aca="false">IF(G516="","",G516*IF(L516="",0,IF(L516&gt;1,L516/100,L516))+N516)</f>
        <v/>
      </c>
      <c r="P516" s="11"/>
      <c r="Q516" s="16" t="str">
        <f aca="false">IF(P516="","",IFERROR(VLOOKUP(P516,PARTNERS!$A$2:$B$30,2,0),""))</f>
        <v/>
      </c>
      <c r="R516" s="17" t="str">
        <f aca="false">IF(O516="","",IF(OR(P516="",Q516=""),0,(O516-N516)*IF(Q516&gt;1,Q516/100,Q516)))</f>
        <v/>
      </c>
      <c r="S516" s="14" t="str">
        <f aca="false">IF(O516="","",O516-R516)</f>
        <v/>
      </c>
      <c r="T516" s="11"/>
      <c r="U516" s="18" t="str">
        <f aca="false">IF(T516="","",IFERROR(VLOOKUP(T516,REPS!$A$2:$D$40,2,0),""))</f>
        <v/>
      </c>
      <c r="V516" s="14" t="str">
        <f aca="false">IF(O516="","",IF(U516="",0,O516*IF(U516&gt;1,U516/100,U516)))</f>
        <v/>
      </c>
      <c r="W516" s="11"/>
      <c r="X516" s="18" t="str">
        <f aca="false">IF(W516="","",IFERROR(VLOOKUP(W516,REPS!$A$2:$D$40,3,0),""))</f>
        <v/>
      </c>
      <c r="Y516" s="14" t="str">
        <f aca="false">IF(O516="","",IF(X516="",0,O516*IF(X516&gt;1,X516/100,X516)))</f>
        <v/>
      </c>
      <c r="Z516" s="11"/>
      <c r="AA516" s="18" t="str">
        <f aca="false">IF(Z516="","",IFERROR(VLOOKUP(Z516,REPS!$A$2:$D$40,4,0),""))</f>
        <v/>
      </c>
      <c r="AB516" s="14" t="str">
        <f aca="false">IF(O516="","",IF(AA516="",0,O516*IF(AA516&gt;1,AA516/100,AA516)))</f>
        <v/>
      </c>
      <c r="AC516" s="14" t="str">
        <f aca="false">IF(O516="","",V516+Y516+AB516)</f>
        <v/>
      </c>
      <c r="AD516" s="19" t="str">
        <f aca="false">IF(O516="","",O516-R516-AC516)</f>
        <v/>
      </c>
      <c r="AE516" s="20"/>
      <c r="AF516" s="10"/>
      <c r="AG516" s="21" t="n">
        <f aca="false">IF(OR(AE516="",AE516=0),0,AE516*IF(U516="",0,IF(U516&gt;1,U516/100,U516)))</f>
        <v>0</v>
      </c>
      <c r="AH516" s="21" t="n">
        <f aca="false">IF(OR(AE516="",AE516=0),0,AE516*IF(X516="",0,IF(X516&gt;1,X516/100,X516)))</f>
        <v>0</v>
      </c>
      <c r="AI516" s="21" t="n">
        <f aca="false">IF(OR(AE516="",AE516=0),0,AE516*IF(AA516="",0,IF(AA516&gt;1,AA516/100,AA516)))</f>
        <v>0</v>
      </c>
      <c r="AJ516" s="21" t="n">
        <f aca="false">AG516+AH516+AI516</f>
        <v>0</v>
      </c>
      <c r="AK516" s="21" t="n">
        <f aca="false">IF(OR(AE516="",AE516=0),0,AE516-AJ516)</f>
        <v>0</v>
      </c>
      <c r="AL516" s="19" t="str">
        <f aca="false">IF(AD516="","",AD516-AK516)</f>
        <v/>
      </c>
      <c r="AM516" s="9" t="str">
        <f aca="false">IF(C516="","","Waiting for payment")</f>
        <v/>
      </c>
      <c r="AN516" s="10"/>
      <c r="AO516" s="10"/>
      <c r="AP516" s="22" t="str">
        <f aca="false">IF(OR(C516="",I516="",K516=""),"",IF(K516="Monthly",EDATE(C516,ROUND(I516*SETTINGS!$I$8,0)),WORKDAY(C516,ROUND(I516*SETTINGS!$I$8,0))))</f>
        <v/>
      </c>
      <c r="AQ516" s="9" t="str">
        <f aca="true">IF(C516="","",IF(AND(AP516&lt;&gt;"",TODAY()&gt;=AP516),"Refi Ready",IF(TODAY()-C516&gt;=SETTINGS!$I$11,"Prospecting","Performing")))</f>
        <v/>
      </c>
      <c r="AR516" s="22" t="str">
        <f aca="false">IF(OR(C516="",I516="",K516=""),"",IF(K516="Monthly",EDATE(C516,I516),WORKDAY(C516,I516)))</f>
        <v/>
      </c>
      <c r="AS516" s="11"/>
      <c r="AT516" s="23" t="str">
        <f aca="true">IF(C516="","",IF(AM516="Clawed Back","CLAWED",IF(TODAY()&lt;=C516+SETTINGS!$I$2,"⚠ AT RISK","SAFE")))</f>
        <v/>
      </c>
      <c r="AU516" s="11"/>
      <c r="AW516" s="24" t="n">
        <f aca="false">AW515+IF(AND(C516&lt;&gt;"",AO516&lt;&gt;"",OR('REP COMMISSION'!$B$3="",T516='REP COMMISSION'!$B$3,W516='REP COMMISSION'!$B$3,Z516='REP COMMISSION'!$B$3)),1,0)</f>
        <v>0</v>
      </c>
      <c r="AX516" s="24" t="n">
        <f aca="false">AX515+IF(AND(C516&lt;&gt;"",OR(F516="LOC - INITIAL",F516="CONSOLIDATION - UPFRONT COMM",F516="REVERSE - TOTAL FUNDING")),1,0)</f>
        <v>0</v>
      </c>
    </row>
    <row r="517" customFormat="false" ht="15" hidden="false" customHeight="false" outlineLevel="0" collapsed="false">
      <c r="A517" s="25" t="str">
        <f aca="false">IF(C517&lt;&gt;"","F"&amp;COUNT($C$4:C517),"")</f>
        <v/>
      </c>
      <c r="B517" s="26" t="str">
        <f aca="false">IF(OR(F517="LOC - INITIAL",F517="CONSOLIDATION - UPFRONT COMM",F517="REVERSE - TOTAL FUNDING"),A517,"")</f>
        <v/>
      </c>
      <c r="C517" s="27"/>
      <c r="D517" s="28"/>
      <c r="E517" s="28"/>
      <c r="F517" s="28"/>
      <c r="G517" s="29"/>
      <c r="H517" s="30"/>
      <c r="I517" s="28"/>
      <c r="J517" s="31" t="str">
        <f aca="false">IF(AND(G517&lt;&gt;"",H517&lt;&gt;""),G517*H517,"")</f>
        <v/>
      </c>
      <c r="K517" s="28"/>
      <c r="L517" s="32"/>
      <c r="M517" s="32"/>
      <c r="N517" s="31" t="n">
        <f aca="false">IF(OR(G517="",M517=""),0,IF(M517&gt;100,M517,G517*IF(M517&gt;1,M517/100,M517)))</f>
        <v>0</v>
      </c>
      <c r="O517" s="31" t="str">
        <f aca="false">IF(G517="","",G517*IF(L517="",0,IF(L517&gt;1,L517/100,L517))+N517)</f>
        <v/>
      </c>
      <c r="P517" s="28"/>
      <c r="Q517" s="33" t="str">
        <f aca="false">IF(P517="","",IFERROR(VLOOKUP(P517,PARTNERS!$A$2:$B$30,2,0),""))</f>
        <v/>
      </c>
      <c r="R517" s="17" t="str">
        <f aca="false">IF(O517="","",IF(OR(P517="",Q517=""),0,(O517-N517)*IF(Q517&gt;1,Q517/100,Q517)))</f>
        <v/>
      </c>
      <c r="S517" s="31" t="str">
        <f aca="false">IF(O517="","",O517-R517)</f>
        <v/>
      </c>
      <c r="T517" s="28"/>
      <c r="U517" s="34" t="str">
        <f aca="false">IF(T517="","",IFERROR(VLOOKUP(T517,REPS!$A$2:$D$40,2,0),""))</f>
        <v/>
      </c>
      <c r="V517" s="31" t="str">
        <f aca="false">IF(O517="","",IF(U517="",0,O517*IF(U517&gt;1,U517/100,U517)))</f>
        <v/>
      </c>
      <c r="W517" s="28"/>
      <c r="X517" s="34" t="str">
        <f aca="false">IF(W517="","",IFERROR(VLOOKUP(W517,REPS!$A$2:$D$40,3,0),""))</f>
        <v/>
      </c>
      <c r="Y517" s="31" t="str">
        <f aca="false">IF(O517="","",IF(X517="",0,O517*IF(X517&gt;1,X517/100,X517)))</f>
        <v/>
      </c>
      <c r="Z517" s="28"/>
      <c r="AA517" s="34" t="str">
        <f aca="false">IF(Z517="","",IFERROR(VLOOKUP(Z517,REPS!$A$2:$D$40,4,0),""))</f>
        <v/>
      </c>
      <c r="AB517" s="31" t="str">
        <f aca="false">IF(O517="","",IF(AA517="",0,O517*IF(AA517&gt;1,AA517/100,AA517)))</f>
        <v/>
      </c>
      <c r="AC517" s="31" t="str">
        <f aca="false">IF(O517="","",V517+Y517+AB517)</f>
        <v/>
      </c>
      <c r="AD517" s="19" t="str">
        <f aca="false">IF(O517="","",O517-R517-AC517)</f>
        <v/>
      </c>
      <c r="AE517" s="20"/>
      <c r="AF517" s="27"/>
      <c r="AG517" s="21" t="n">
        <f aca="false">IF(OR(AE517="",AE517=0),0,AE517*IF(U517="",0,IF(U517&gt;1,U517/100,U517)))</f>
        <v>0</v>
      </c>
      <c r="AH517" s="21" t="n">
        <f aca="false">IF(OR(AE517="",AE517=0),0,AE517*IF(X517="",0,IF(X517&gt;1,X517/100,X517)))</f>
        <v>0</v>
      </c>
      <c r="AI517" s="21" t="n">
        <f aca="false">IF(OR(AE517="",AE517=0),0,AE517*IF(AA517="",0,IF(AA517&gt;1,AA517/100,AA517)))</f>
        <v>0</v>
      </c>
      <c r="AJ517" s="21" t="n">
        <f aca="false">AG517+AH517+AI517</f>
        <v>0</v>
      </c>
      <c r="AK517" s="21" t="n">
        <f aca="false">IF(OR(AE517="",AE517=0),0,AE517-AJ517)</f>
        <v>0</v>
      </c>
      <c r="AL517" s="19" t="str">
        <f aca="false">IF(AD517="","",AD517-AK517)</f>
        <v/>
      </c>
      <c r="AM517" s="26" t="str">
        <f aca="false">IF(C517="","","Waiting for payment")</f>
        <v/>
      </c>
      <c r="AN517" s="27"/>
      <c r="AO517" s="27"/>
      <c r="AP517" s="35" t="str">
        <f aca="false">IF(OR(C517="",I517="",K517=""),"",IF(K517="Monthly",EDATE(C517,ROUND(I517*SETTINGS!$I$8,0)),WORKDAY(C517,ROUND(I517*SETTINGS!$I$8,0))))</f>
        <v/>
      </c>
      <c r="AQ517" s="26" t="str">
        <f aca="true">IF(C517="","",IF(AND(AP517&lt;&gt;"",TODAY()&gt;=AP517),"Refi Ready",IF(TODAY()-C517&gt;=SETTINGS!$I$11,"Prospecting","Performing")))</f>
        <v/>
      </c>
      <c r="AR517" s="35" t="str">
        <f aca="false">IF(OR(C517="",I517="",K517=""),"",IF(K517="Monthly",EDATE(C517,I517),WORKDAY(C517,I517)))</f>
        <v/>
      </c>
      <c r="AS517" s="28"/>
      <c r="AT517" s="36" t="str">
        <f aca="true">IF(C517="","",IF(AM517="Clawed Back","CLAWED",IF(TODAY()&lt;=C517+SETTINGS!$I$2,"⚠ AT RISK","SAFE")))</f>
        <v/>
      </c>
      <c r="AU517" s="28"/>
      <c r="AW517" s="24" t="n">
        <f aca="false">AW516+IF(AND(C517&lt;&gt;"",AO517&lt;&gt;"",OR('REP COMMISSION'!$B$3="",T517='REP COMMISSION'!$B$3,W517='REP COMMISSION'!$B$3,Z517='REP COMMISSION'!$B$3)),1,0)</f>
        <v>0</v>
      </c>
      <c r="AX517" s="24" t="n">
        <f aca="false">AX516+IF(AND(C517&lt;&gt;"",OR(F517="LOC - INITIAL",F517="CONSOLIDATION - UPFRONT COMM",F517="REVERSE - TOTAL FUNDING")),1,0)</f>
        <v>0</v>
      </c>
    </row>
    <row r="518" customFormat="false" ht="15" hidden="false" customHeight="false" outlineLevel="0" collapsed="false">
      <c r="A518" s="8" t="str">
        <f aca="false">IF(C518&lt;&gt;"","F"&amp;COUNT($C$4:C518),"")</f>
        <v/>
      </c>
      <c r="B518" s="9" t="str">
        <f aca="false">IF(OR(F518="LOC - INITIAL",F518="CONSOLIDATION - UPFRONT COMM",F518="REVERSE - TOTAL FUNDING"),A518,"")</f>
        <v/>
      </c>
      <c r="C518" s="10"/>
      <c r="D518" s="11"/>
      <c r="E518" s="11"/>
      <c r="F518" s="11"/>
      <c r="G518" s="12"/>
      <c r="H518" s="13"/>
      <c r="I518" s="11"/>
      <c r="J518" s="14" t="str">
        <f aca="false">IF(AND(G518&lt;&gt;"",H518&lt;&gt;""),G518*H518,"")</f>
        <v/>
      </c>
      <c r="K518" s="11"/>
      <c r="L518" s="15"/>
      <c r="M518" s="15"/>
      <c r="N518" s="14" t="n">
        <f aca="false">IF(OR(G518="",M518=""),0,IF(M518&gt;100,M518,G518*IF(M518&gt;1,M518/100,M518)))</f>
        <v>0</v>
      </c>
      <c r="O518" s="14" t="str">
        <f aca="false">IF(G518="","",G518*IF(L518="",0,IF(L518&gt;1,L518/100,L518))+N518)</f>
        <v/>
      </c>
      <c r="P518" s="11"/>
      <c r="Q518" s="16" t="str">
        <f aca="false">IF(P518="","",IFERROR(VLOOKUP(P518,PARTNERS!$A$2:$B$30,2,0),""))</f>
        <v/>
      </c>
      <c r="R518" s="17" t="str">
        <f aca="false">IF(O518="","",IF(OR(P518="",Q518=""),0,(O518-N518)*IF(Q518&gt;1,Q518/100,Q518)))</f>
        <v/>
      </c>
      <c r="S518" s="14" t="str">
        <f aca="false">IF(O518="","",O518-R518)</f>
        <v/>
      </c>
      <c r="T518" s="11"/>
      <c r="U518" s="18" t="str">
        <f aca="false">IF(T518="","",IFERROR(VLOOKUP(T518,REPS!$A$2:$D$40,2,0),""))</f>
        <v/>
      </c>
      <c r="V518" s="14" t="str">
        <f aca="false">IF(O518="","",IF(U518="",0,O518*IF(U518&gt;1,U518/100,U518)))</f>
        <v/>
      </c>
      <c r="W518" s="11"/>
      <c r="X518" s="18" t="str">
        <f aca="false">IF(W518="","",IFERROR(VLOOKUP(W518,REPS!$A$2:$D$40,3,0),""))</f>
        <v/>
      </c>
      <c r="Y518" s="14" t="str">
        <f aca="false">IF(O518="","",IF(X518="",0,O518*IF(X518&gt;1,X518/100,X518)))</f>
        <v/>
      </c>
      <c r="Z518" s="11"/>
      <c r="AA518" s="18" t="str">
        <f aca="false">IF(Z518="","",IFERROR(VLOOKUP(Z518,REPS!$A$2:$D$40,4,0),""))</f>
        <v/>
      </c>
      <c r="AB518" s="14" t="str">
        <f aca="false">IF(O518="","",IF(AA518="",0,O518*IF(AA518&gt;1,AA518/100,AA518)))</f>
        <v/>
      </c>
      <c r="AC518" s="14" t="str">
        <f aca="false">IF(O518="","",V518+Y518+AB518)</f>
        <v/>
      </c>
      <c r="AD518" s="19" t="str">
        <f aca="false">IF(O518="","",O518-R518-AC518)</f>
        <v/>
      </c>
      <c r="AE518" s="20"/>
      <c r="AF518" s="10"/>
      <c r="AG518" s="21" t="n">
        <f aca="false">IF(OR(AE518="",AE518=0),0,AE518*IF(U518="",0,IF(U518&gt;1,U518/100,U518)))</f>
        <v>0</v>
      </c>
      <c r="AH518" s="21" t="n">
        <f aca="false">IF(OR(AE518="",AE518=0),0,AE518*IF(X518="",0,IF(X518&gt;1,X518/100,X518)))</f>
        <v>0</v>
      </c>
      <c r="AI518" s="21" t="n">
        <f aca="false">IF(OR(AE518="",AE518=0),0,AE518*IF(AA518="",0,IF(AA518&gt;1,AA518/100,AA518)))</f>
        <v>0</v>
      </c>
      <c r="AJ518" s="21" t="n">
        <f aca="false">AG518+AH518+AI518</f>
        <v>0</v>
      </c>
      <c r="AK518" s="21" t="n">
        <f aca="false">IF(OR(AE518="",AE518=0),0,AE518-AJ518)</f>
        <v>0</v>
      </c>
      <c r="AL518" s="19" t="str">
        <f aca="false">IF(AD518="","",AD518-AK518)</f>
        <v/>
      </c>
      <c r="AM518" s="9" t="str">
        <f aca="false">IF(C518="","","Waiting for payment")</f>
        <v/>
      </c>
      <c r="AN518" s="10"/>
      <c r="AO518" s="10"/>
      <c r="AP518" s="22" t="str">
        <f aca="false">IF(OR(C518="",I518="",K518=""),"",IF(K518="Monthly",EDATE(C518,ROUND(I518*SETTINGS!$I$8,0)),WORKDAY(C518,ROUND(I518*SETTINGS!$I$8,0))))</f>
        <v/>
      </c>
      <c r="AQ518" s="9" t="str">
        <f aca="true">IF(C518="","",IF(AND(AP518&lt;&gt;"",TODAY()&gt;=AP518),"Refi Ready",IF(TODAY()-C518&gt;=SETTINGS!$I$11,"Prospecting","Performing")))</f>
        <v/>
      </c>
      <c r="AR518" s="22" t="str">
        <f aca="false">IF(OR(C518="",I518="",K518=""),"",IF(K518="Monthly",EDATE(C518,I518),WORKDAY(C518,I518)))</f>
        <v/>
      </c>
      <c r="AS518" s="11"/>
      <c r="AT518" s="23" t="str">
        <f aca="true">IF(C518="","",IF(AM518="Clawed Back","CLAWED",IF(TODAY()&lt;=C518+SETTINGS!$I$2,"⚠ AT RISK","SAFE")))</f>
        <v/>
      </c>
      <c r="AU518" s="11"/>
      <c r="AW518" s="24" t="n">
        <f aca="false">AW517+IF(AND(C518&lt;&gt;"",AO518&lt;&gt;"",OR('REP COMMISSION'!$B$3="",T518='REP COMMISSION'!$B$3,W518='REP COMMISSION'!$B$3,Z518='REP COMMISSION'!$B$3)),1,0)</f>
        <v>0</v>
      </c>
      <c r="AX518" s="24" t="n">
        <f aca="false">AX517+IF(AND(C518&lt;&gt;"",OR(F518="LOC - INITIAL",F518="CONSOLIDATION - UPFRONT COMM",F518="REVERSE - TOTAL FUNDING")),1,0)</f>
        <v>0</v>
      </c>
    </row>
    <row r="519" customFormat="false" ht="15" hidden="false" customHeight="false" outlineLevel="0" collapsed="false">
      <c r="A519" s="25" t="str">
        <f aca="false">IF(C519&lt;&gt;"","F"&amp;COUNT($C$4:C519),"")</f>
        <v/>
      </c>
      <c r="B519" s="26" t="str">
        <f aca="false">IF(OR(F519="LOC - INITIAL",F519="CONSOLIDATION - UPFRONT COMM",F519="REVERSE - TOTAL FUNDING"),A519,"")</f>
        <v/>
      </c>
      <c r="C519" s="27"/>
      <c r="D519" s="28"/>
      <c r="E519" s="28"/>
      <c r="F519" s="28"/>
      <c r="G519" s="29"/>
      <c r="H519" s="30"/>
      <c r="I519" s="28"/>
      <c r="J519" s="31" t="str">
        <f aca="false">IF(AND(G519&lt;&gt;"",H519&lt;&gt;""),G519*H519,"")</f>
        <v/>
      </c>
      <c r="K519" s="28"/>
      <c r="L519" s="32"/>
      <c r="M519" s="32"/>
      <c r="N519" s="31" t="n">
        <f aca="false">IF(OR(G519="",M519=""),0,IF(M519&gt;100,M519,G519*IF(M519&gt;1,M519/100,M519)))</f>
        <v>0</v>
      </c>
      <c r="O519" s="31" t="str">
        <f aca="false">IF(G519="","",G519*IF(L519="",0,IF(L519&gt;1,L519/100,L519))+N519)</f>
        <v/>
      </c>
      <c r="P519" s="28"/>
      <c r="Q519" s="33" t="str">
        <f aca="false">IF(P519="","",IFERROR(VLOOKUP(P519,PARTNERS!$A$2:$B$30,2,0),""))</f>
        <v/>
      </c>
      <c r="R519" s="17" t="str">
        <f aca="false">IF(O519="","",IF(OR(P519="",Q519=""),0,(O519-N519)*IF(Q519&gt;1,Q519/100,Q519)))</f>
        <v/>
      </c>
      <c r="S519" s="31" t="str">
        <f aca="false">IF(O519="","",O519-R519)</f>
        <v/>
      </c>
      <c r="T519" s="28"/>
      <c r="U519" s="34" t="str">
        <f aca="false">IF(T519="","",IFERROR(VLOOKUP(T519,REPS!$A$2:$D$40,2,0),""))</f>
        <v/>
      </c>
      <c r="V519" s="31" t="str">
        <f aca="false">IF(O519="","",IF(U519="",0,O519*IF(U519&gt;1,U519/100,U519)))</f>
        <v/>
      </c>
      <c r="W519" s="28"/>
      <c r="X519" s="34" t="str">
        <f aca="false">IF(W519="","",IFERROR(VLOOKUP(W519,REPS!$A$2:$D$40,3,0),""))</f>
        <v/>
      </c>
      <c r="Y519" s="31" t="str">
        <f aca="false">IF(O519="","",IF(X519="",0,O519*IF(X519&gt;1,X519/100,X519)))</f>
        <v/>
      </c>
      <c r="Z519" s="28"/>
      <c r="AA519" s="34" t="str">
        <f aca="false">IF(Z519="","",IFERROR(VLOOKUP(Z519,REPS!$A$2:$D$40,4,0),""))</f>
        <v/>
      </c>
      <c r="AB519" s="31" t="str">
        <f aca="false">IF(O519="","",IF(AA519="",0,O519*IF(AA519&gt;1,AA519/100,AA519)))</f>
        <v/>
      </c>
      <c r="AC519" s="31" t="str">
        <f aca="false">IF(O519="","",V519+Y519+AB519)</f>
        <v/>
      </c>
      <c r="AD519" s="19" t="str">
        <f aca="false">IF(O519="","",O519-R519-AC519)</f>
        <v/>
      </c>
      <c r="AE519" s="20"/>
      <c r="AF519" s="27"/>
      <c r="AG519" s="21" t="n">
        <f aca="false">IF(OR(AE519="",AE519=0),0,AE519*IF(U519="",0,IF(U519&gt;1,U519/100,U519)))</f>
        <v>0</v>
      </c>
      <c r="AH519" s="21" t="n">
        <f aca="false">IF(OR(AE519="",AE519=0),0,AE519*IF(X519="",0,IF(X519&gt;1,X519/100,X519)))</f>
        <v>0</v>
      </c>
      <c r="AI519" s="21" t="n">
        <f aca="false">IF(OR(AE519="",AE519=0),0,AE519*IF(AA519="",0,IF(AA519&gt;1,AA519/100,AA519)))</f>
        <v>0</v>
      </c>
      <c r="AJ519" s="21" t="n">
        <f aca="false">AG519+AH519+AI519</f>
        <v>0</v>
      </c>
      <c r="AK519" s="21" t="n">
        <f aca="false">IF(OR(AE519="",AE519=0),0,AE519-AJ519)</f>
        <v>0</v>
      </c>
      <c r="AL519" s="19" t="str">
        <f aca="false">IF(AD519="","",AD519-AK519)</f>
        <v/>
      </c>
      <c r="AM519" s="26" t="str">
        <f aca="false">IF(C519="","","Waiting for payment")</f>
        <v/>
      </c>
      <c r="AN519" s="27"/>
      <c r="AO519" s="27"/>
      <c r="AP519" s="35" t="str">
        <f aca="false">IF(OR(C519="",I519="",K519=""),"",IF(K519="Monthly",EDATE(C519,ROUND(I519*SETTINGS!$I$8,0)),WORKDAY(C519,ROUND(I519*SETTINGS!$I$8,0))))</f>
        <v/>
      </c>
      <c r="AQ519" s="26" t="str">
        <f aca="true">IF(C519="","",IF(AND(AP519&lt;&gt;"",TODAY()&gt;=AP519),"Refi Ready",IF(TODAY()-C519&gt;=SETTINGS!$I$11,"Prospecting","Performing")))</f>
        <v/>
      </c>
      <c r="AR519" s="35" t="str">
        <f aca="false">IF(OR(C519="",I519="",K519=""),"",IF(K519="Monthly",EDATE(C519,I519),WORKDAY(C519,I519)))</f>
        <v/>
      </c>
      <c r="AS519" s="28"/>
      <c r="AT519" s="36" t="str">
        <f aca="true">IF(C519="","",IF(AM519="Clawed Back","CLAWED",IF(TODAY()&lt;=C519+SETTINGS!$I$2,"⚠ AT RISK","SAFE")))</f>
        <v/>
      </c>
      <c r="AU519" s="28"/>
      <c r="AW519" s="24" t="n">
        <f aca="false">AW518+IF(AND(C519&lt;&gt;"",AO519&lt;&gt;"",OR('REP COMMISSION'!$B$3="",T519='REP COMMISSION'!$B$3,W519='REP COMMISSION'!$B$3,Z519='REP COMMISSION'!$B$3)),1,0)</f>
        <v>0</v>
      </c>
      <c r="AX519" s="24" t="n">
        <f aca="false">AX518+IF(AND(C519&lt;&gt;"",OR(F519="LOC - INITIAL",F519="CONSOLIDATION - UPFRONT COMM",F519="REVERSE - TOTAL FUNDING")),1,0)</f>
        <v>0</v>
      </c>
    </row>
    <row r="520" customFormat="false" ht="15" hidden="false" customHeight="false" outlineLevel="0" collapsed="false">
      <c r="A520" s="8" t="str">
        <f aca="false">IF(C520&lt;&gt;"","F"&amp;COUNT($C$4:C520),"")</f>
        <v/>
      </c>
      <c r="B520" s="9" t="str">
        <f aca="false">IF(OR(F520="LOC - INITIAL",F520="CONSOLIDATION - UPFRONT COMM",F520="REVERSE - TOTAL FUNDING"),A520,"")</f>
        <v/>
      </c>
      <c r="C520" s="10"/>
      <c r="D520" s="11"/>
      <c r="E520" s="11"/>
      <c r="F520" s="11"/>
      <c r="G520" s="12"/>
      <c r="H520" s="13"/>
      <c r="I520" s="11"/>
      <c r="J520" s="14" t="str">
        <f aca="false">IF(AND(G520&lt;&gt;"",H520&lt;&gt;""),G520*H520,"")</f>
        <v/>
      </c>
      <c r="K520" s="11"/>
      <c r="L520" s="15"/>
      <c r="M520" s="15"/>
      <c r="N520" s="14" t="n">
        <f aca="false">IF(OR(G520="",M520=""),0,IF(M520&gt;100,M520,G520*IF(M520&gt;1,M520/100,M520)))</f>
        <v>0</v>
      </c>
      <c r="O520" s="14" t="str">
        <f aca="false">IF(G520="","",G520*IF(L520="",0,IF(L520&gt;1,L520/100,L520))+N520)</f>
        <v/>
      </c>
      <c r="P520" s="11"/>
      <c r="Q520" s="16" t="str">
        <f aca="false">IF(P520="","",IFERROR(VLOOKUP(P520,PARTNERS!$A$2:$B$30,2,0),""))</f>
        <v/>
      </c>
      <c r="R520" s="17" t="str">
        <f aca="false">IF(O520="","",IF(OR(P520="",Q520=""),0,(O520-N520)*IF(Q520&gt;1,Q520/100,Q520)))</f>
        <v/>
      </c>
      <c r="S520" s="14" t="str">
        <f aca="false">IF(O520="","",O520-R520)</f>
        <v/>
      </c>
      <c r="T520" s="11"/>
      <c r="U520" s="18" t="str">
        <f aca="false">IF(T520="","",IFERROR(VLOOKUP(T520,REPS!$A$2:$D$40,2,0),""))</f>
        <v/>
      </c>
      <c r="V520" s="14" t="str">
        <f aca="false">IF(O520="","",IF(U520="",0,O520*IF(U520&gt;1,U520/100,U520)))</f>
        <v/>
      </c>
      <c r="W520" s="11"/>
      <c r="X520" s="18" t="str">
        <f aca="false">IF(W520="","",IFERROR(VLOOKUP(W520,REPS!$A$2:$D$40,3,0),""))</f>
        <v/>
      </c>
      <c r="Y520" s="14" t="str">
        <f aca="false">IF(O520="","",IF(X520="",0,O520*IF(X520&gt;1,X520/100,X520)))</f>
        <v/>
      </c>
      <c r="Z520" s="11"/>
      <c r="AA520" s="18" t="str">
        <f aca="false">IF(Z520="","",IFERROR(VLOOKUP(Z520,REPS!$A$2:$D$40,4,0),""))</f>
        <v/>
      </c>
      <c r="AB520" s="14" t="str">
        <f aca="false">IF(O520="","",IF(AA520="",0,O520*IF(AA520&gt;1,AA520/100,AA520)))</f>
        <v/>
      </c>
      <c r="AC520" s="14" t="str">
        <f aca="false">IF(O520="","",V520+Y520+AB520)</f>
        <v/>
      </c>
      <c r="AD520" s="19" t="str">
        <f aca="false">IF(O520="","",O520-R520-AC520)</f>
        <v/>
      </c>
      <c r="AE520" s="20"/>
      <c r="AF520" s="10"/>
      <c r="AG520" s="21" t="n">
        <f aca="false">IF(OR(AE520="",AE520=0),0,AE520*IF(U520="",0,IF(U520&gt;1,U520/100,U520)))</f>
        <v>0</v>
      </c>
      <c r="AH520" s="21" t="n">
        <f aca="false">IF(OR(AE520="",AE520=0),0,AE520*IF(X520="",0,IF(X520&gt;1,X520/100,X520)))</f>
        <v>0</v>
      </c>
      <c r="AI520" s="21" t="n">
        <f aca="false">IF(OR(AE520="",AE520=0),0,AE520*IF(AA520="",0,IF(AA520&gt;1,AA520/100,AA520)))</f>
        <v>0</v>
      </c>
      <c r="AJ520" s="21" t="n">
        <f aca="false">AG520+AH520+AI520</f>
        <v>0</v>
      </c>
      <c r="AK520" s="21" t="n">
        <f aca="false">IF(OR(AE520="",AE520=0),0,AE520-AJ520)</f>
        <v>0</v>
      </c>
      <c r="AL520" s="19" t="str">
        <f aca="false">IF(AD520="","",AD520-AK520)</f>
        <v/>
      </c>
      <c r="AM520" s="9" t="str">
        <f aca="false">IF(C520="","","Waiting for payment")</f>
        <v/>
      </c>
      <c r="AN520" s="10"/>
      <c r="AO520" s="10"/>
      <c r="AP520" s="22" t="str">
        <f aca="false">IF(OR(C520="",I520="",K520=""),"",IF(K520="Monthly",EDATE(C520,ROUND(I520*SETTINGS!$I$8,0)),WORKDAY(C520,ROUND(I520*SETTINGS!$I$8,0))))</f>
        <v/>
      </c>
      <c r="AQ520" s="9" t="str">
        <f aca="true">IF(C520="","",IF(AND(AP520&lt;&gt;"",TODAY()&gt;=AP520),"Refi Ready",IF(TODAY()-C520&gt;=SETTINGS!$I$11,"Prospecting","Performing")))</f>
        <v/>
      </c>
      <c r="AR520" s="22" t="str">
        <f aca="false">IF(OR(C520="",I520="",K520=""),"",IF(K520="Monthly",EDATE(C520,I520),WORKDAY(C520,I520)))</f>
        <v/>
      </c>
      <c r="AS520" s="11"/>
      <c r="AT520" s="23" t="str">
        <f aca="true">IF(C520="","",IF(AM520="Clawed Back","CLAWED",IF(TODAY()&lt;=C520+SETTINGS!$I$2,"⚠ AT RISK","SAFE")))</f>
        <v/>
      </c>
      <c r="AU520" s="11"/>
      <c r="AW520" s="24" t="n">
        <f aca="false">AW519+IF(AND(C520&lt;&gt;"",AO520&lt;&gt;"",OR('REP COMMISSION'!$B$3="",T520='REP COMMISSION'!$B$3,W520='REP COMMISSION'!$B$3,Z520='REP COMMISSION'!$B$3)),1,0)</f>
        <v>0</v>
      </c>
      <c r="AX520" s="24" t="n">
        <f aca="false">AX519+IF(AND(C520&lt;&gt;"",OR(F520="LOC - INITIAL",F520="CONSOLIDATION - UPFRONT COMM",F520="REVERSE - TOTAL FUNDING")),1,0)</f>
        <v>0</v>
      </c>
    </row>
    <row r="521" customFormat="false" ht="15" hidden="false" customHeight="false" outlineLevel="0" collapsed="false">
      <c r="A521" s="25" t="str">
        <f aca="false">IF(C521&lt;&gt;"","F"&amp;COUNT($C$4:C521),"")</f>
        <v/>
      </c>
      <c r="B521" s="26" t="str">
        <f aca="false">IF(OR(F521="LOC - INITIAL",F521="CONSOLIDATION - UPFRONT COMM",F521="REVERSE - TOTAL FUNDING"),A521,"")</f>
        <v/>
      </c>
      <c r="C521" s="27"/>
      <c r="D521" s="28"/>
      <c r="E521" s="28"/>
      <c r="F521" s="28"/>
      <c r="G521" s="29"/>
      <c r="H521" s="30"/>
      <c r="I521" s="28"/>
      <c r="J521" s="31" t="str">
        <f aca="false">IF(AND(G521&lt;&gt;"",H521&lt;&gt;""),G521*H521,"")</f>
        <v/>
      </c>
      <c r="K521" s="28"/>
      <c r="L521" s="32"/>
      <c r="M521" s="32"/>
      <c r="N521" s="31" t="n">
        <f aca="false">IF(OR(G521="",M521=""),0,IF(M521&gt;100,M521,G521*IF(M521&gt;1,M521/100,M521)))</f>
        <v>0</v>
      </c>
      <c r="O521" s="31" t="str">
        <f aca="false">IF(G521="","",G521*IF(L521="",0,IF(L521&gt;1,L521/100,L521))+N521)</f>
        <v/>
      </c>
      <c r="P521" s="28"/>
      <c r="Q521" s="33" t="str">
        <f aca="false">IF(P521="","",IFERROR(VLOOKUP(P521,PARTNERS!$A$2:$B$30,2,0),""))</f>
        <v/>
      </c>
      <c r="R521" s="17" t="str">
        <f aca="false">IF(O521="","",IF(OR(P521="",Q521=""),0,(O521-N521)*IF(Q521&gt;1,Q521/100,Q521)))</f>
        <v/>
      </c>
      <c r="S521" s="31" t="str">
        <f aca="false">IF(O521="","",O521-R521)</f>
        <v/>
      </c>
      <c r="T521" s="28"/>
      <c r="U521" s="34" t="str">
        <f aca="false">IF(T521="","",IFERROR(VLOOKUP(T521,REPS!$A$2:$D$40,2,0),""))</f>
        <v/>
      </c>
      <c r="V521" s="31" t="str">
        <f aca="false">IF(O521="","",IF(U521="",0,O521*IF(U521&gt;1,U521/100,U521)))</f>
        <v/>
      </c>
      <c r="W521" s="28"/>
      <c r="X521" s="34" t="str">
        <f aca="false">IF(W521="","",IFERROR(VLOOKUP(W521,REPS!$A$2:$D$40,3,0),""))</f>
        <v/>
      </c>
      <c r="Y521" s="31" t="str">
        <f aca="false">IF(O521="","",IF(X521="",0,O521*IF(X521&gt;1,X521/100,X521)))</f>
        <v/>
      </c>
      <c r="Z521" s="28"/>
      <c r="AA521" s="34" t="str">
        <f aca="false">IF(Z521="","",IFERROR(VLOOKUP(Z521,REPS!$A$2:$D$40,4,0),""))</f>
        <v/>
      </c>
      <c r="AB521" s="31" t="str">
        <f aca="false">IF(O521="","",IF(AA521="",0,O521*IF(AA521&gt;1,AA521/100,AA521)))</f>
        <v/>
      </c>
      <c r="AC521" s="31" t="str">
        <f aca="false">IF(O521="","",V521+Y521+AB521)</f>
        <v/>
      </c>
      <c r="AD521" s="19" t="str">
        <f aca="false">IF(O521="","",O521-R521-AC521)</f>
        <v/>
      </c>
      <c r="AE521" s="20"/>
      <c r="AF521" s="27"/>
      <c r="AG521" s="21" t="n">
        <f aca="false">IF(OR(AE521="",AE521=0),0,AE521*IF(U521="",0,IF(U521&gt;1,U521/100,U521)))</f>
        <v>0</v>
      </c>
      <c r="AH521" s="21" t="n">
        <f aca="false">IF(OR(AE521="",AE521=0),0,AE521*IF(X521="",0,IF(X521&gt;1,X521/100,X521)))</f>
        <v>0</v>
      </c>
      <c r="AI521" s="21" t="n">
        <f aca="false">IF(OR(AE521="",AE521=0),0,AE521*IF(AA521="",0,IF(AA521&gt;1,AA521/100,AA521)))</f>
        <v>0</v>
      </c>
      <c r="AJ521" s="21" t="n">
        <f aca="false">AG521+AH521+AI521</f>
        <v>0</v>
      </c>
      <c r="AK521" s="21" t="n">
        <f aca="false">IF(OR(AE521="",AE521=0),0,AE521-AJ521)</f>
        <v>0</v>
      </c>
      <c r="AL521" s="19" t="str">
        <f aca="false">IF(AD521="","",AD521-AK521)</f>
        <v/>
      </c>
      <c r="AM521" s="26" t="str">
        <f aca="false">IF(C521="","","Waiting for payment")</f>
        <v/>
      </c>
      <c r="AN521" s="27"/>
      <c r="AO521" s="27"/>
      <c r="AP521" s="35" t="str">
        <f aca="false">IF(OR(C521="",I521="",K521=""),"",IF(K521="Monthly",EDATE(C521,ROUND(I521*SETTINGS!$I$8,0)),WORKDAY(C521,ROUND(I521*SETTINGS!$I$8,0))))</f>
        <v/>
      </c>
      <c r="AQ521" s="26" t="str">
        <f aca="true">IF(C521="","",IF(AND(AP521&lt;&gt;"",TODAY()&gt;=AP521),"Refi Ready",IF(TODAY()-C521&gt;=SETTINGS!$I$11,"Prospecting","Performing")))</f>
        <v/>
      </c>
      <c r="AR521" s="35" t="str">
        <f aca="false">IF(OR(C521="",I521="",K521=""),"",IF(K521="Monthly",EDATE(C521,I521),WORKDAY(C521,I521)))</f>
        <v/>
      </c>
      <c r="AS521" s="28"/>
      <c r="AT521" s="36" t="str">
        <f aca="true">IF(C521="","",IF(AM521="Clawed Back","CLAWED",IF(TODAY()&lt;=C521+SETTINGS!$I$2,"⚠ AT RISK","SAFE")))</f>
        <v/>
      </c>
      <c r="AU521" s="28"/>
      <c r="AW521" s="24" t="n">
        <f aca="false">AW520+IF(AND(C521&lt;&gt;"",AO521&lt;&gt;"",OR('REP COMMISSION'!$B$3="",T521='REP COMMISSION'!$B$3,W521='REP COMMISSION'!$B$3,Z521='REP COMMISSION'!$B$3)),1,0)</f>
        <v>0</v>
      </c>
      <c r="AX521" s="24" t="n">
        <f aca="false">AX520+IF(AND(C521&lt;&gt;"",OR(F521="LOC - INITIAL",F521="CONSOLIDATION - UPFRONT COMM",F521="REVERSE - TOTAL FUNDING")),1,0)</f>
        <v>0</v>
      </c>
    </row>
    <row r="522" customFormat="false" ht="15" hidden="false" customHeight="false" outlineLevel="0" collapsed="false">
      <c r="A522" s="8" t="str">
        <f aca="false">IF(C522&lt;&gt;"","F"&amp;COUNT($C$4:C522),"")</f>
        <v/>
      </c>
      <c r="B522" s="9" t="str">
        <f aca="false">IF(OR(F522="LOC - INITIAL",F522="CONSOLIDATION - UPFRONT COMM",F522="REVERSE - TOTAL FUNDING"),A522,"")</f>
        <v/>
      </c>
      <c r="C522" s="10"/>
      <c r="D522" s="11"/>
      <c r="E522" s="11"/>
      <c r="F522" s="11"/>
      <c r="G522" s="12"/>
      <c r="H522" s="13"/>
      <c r="I522" s="11"/>
      <c r="J522" s="14" t="str">
        <f aca="false">IF(AND(G522&lt;&gt;"",H522&lt;&gt;""),G522*H522,"")</f>
        <v/>
      </c>
      <c r="K522" s="11"/>
      <c r="L522" s="15"/>
      <c r="M522" s="15"/>
      <c r="N522" s="14" t="n">
        <f aca="false">IF(OR(G522="",M522=""),0,IF(M522&gt;100,M522,G522*IF(M522&gt;1,M522/100,M522)))</f>
        <v>0</v>
      </c>
      <c r="O522" s="14" t="str">
        <f aca="false">IF(G522="","",G522*IF(L522="",0,IF(L522&gt;1,L522/100,L522))+N522)</f>
        <v/>
      </c>
      <c r="P522" s="11"/>
      <c r="Q522" s="16" t="str">
        <f aca="false">IF(P522="","",IFERROR(VLOOKUP(P522,PARTNERS!$A$2:$B$30,2,0),""))</f>
        <v/>
      </c>
      <c r="R522" s="17" t="str">
        <f aca="false">IF(O522="","",IF(OR(P522="",Q522=""),0,(O522-N522)*IF(Q522&gt;1,Q522/100,Q522)))</f>
        <v/>
      </c>
      <c r="S522" s="14" t="str">
        <f aca="false">IF(O522="","",O522-R522)</f>
        <v/>
      </c>
      <c r="T522" s="11"/>
      <c r="U522" s="18" t="str">
        <f aca="false">IF(T522="","",IFERROR(VLOOKUP(T522,REPS!$A$2:$D$40,2,0),""))</f>
        <v/>
      </c>
      <c r="V522" s="14" t="str">
        <f aca="false">IF(O522="","",IF(U522="",0,O522*IF(U522&gt;1,U522/100,U522)))</f>
        <v/>
      </c>
      <c r="W522" s="11"/>
      <c r="X522" s="18" t="str">
        <f aca="false">IF(W522="","",IFERROR(VLOOKUP(W522,REPS!$A$2:$D$40,3,0),""))</f>
        <v/>
      </c>
      <c r="Y522" s="14" t="str">
        <f aca="false">IF(O522="","",IF(X522="",0,O522*IF(X522&gt;1,X522/100,X522)))</f>
        <v/>
      </c>
      <c r="Z522" s="11"/>
      <c r="AA522" s="18" t="str">
        <f aca="false">IF(Z522="","",IFERROR(VLOOKUP(Z522,REPS!$A$2:$D$40,4,0),""))</f>
        <v/>
      </c>
      <c r="AB522" s="14" t="str">
        <f aca="false">IF(O522="","",IF(AA522="",0,O522*IF(AA522&gt;1,AA522/100,AA522)))</f>
        <v/>
      </c>
      <c r="AC522" s="14" t="str">
        <f aca="false">IF(O522="","",V522+Y522+AB522)</f>
        <v/>
      </c>
      <c r="AD522" s="19" t="str">
        <f aca="false">IF(O522="","",O522-R522-AC522)</f>
        <v/>
      </c>
      <c r="AE522" s="20"/>
      <c r="AF522" s="10"/>
      <c r="AG522" s="21" t="n">
        <f aca="false">IF(OR(AE522="",AE522=0),0,AE522*IF(U522="",0,IF(U522&gt;1,U522/100,U522)))</f>
        <v>0</v>
      </c>
      <c r="AH522" s="21" t="n">
        <f aca="false">IF(OR(AE522="",AE522=0),0,AE522*IF(X522="",0,IF(X522&gt;1,X522/100,X522)))</f>
        <v>0</v>
      </c>
      <c r="AI522" s="21" t="n">
        <f aca="false">IF(OR(AE522="",AE522=0),0,AE522*IF(AA522="",0,IF(AA522&gt;1,AA522/100,AA522)))</f>
        <v>0</v>
      </c>
      <c r="AJ522" s="21" t="n">
        <f aca="false">AG522+AH522+AI522</f>
        <v>0</v>
      </c>
      <c r="AK522" s="21" t="n">
        <f aca="false">IF(OR(AE522="",AE522=0),0,AE522-AJ522)</f>
        <v>0</v>
      </c>
      <c r="AL522" s="19" t="str">
        <f aca="false">IF(AD522="","",AD522-AK522)</f>
        <v/>
      </c>
      <c r="AM522" s="9" t="str">
        <f aca="false">IF(C522="","","Waiting for payment")</f>
        <v/>
      </c>
      <c r="AN522" s="10"/>
      <c r="AO522" s="10"/>
      <c r="AP522" s="22" t="str">
        <f aca="false">IF(OR(C522="",I522="",K522=""),"",IF(K522="Monthly",EDATE(C522,ROUND(I522*SETTINGS!$I$8,0)),WORKDAY(C522,ROUND(I522*SETTINGS!$I$8,0))))</f>
        <v/>
      </c>
      <c r="AQ522" s="9" t="str">
        <f aca="true">IF(C522="","",IF(AND(AP522&lt;&gt;"",TODAY()&gt;=AP522),"Refi Ready",IF(TODAY()-C522&gt;=SETTINGS!$I$11,"Prospecting","Performing")))</f>
        <v/>
      </c>
      <c r="AR522" s="22" t="str">
        <f aca="false">IF(OR(C522="",I522="",K522=""),"",IF(K522="Monthly",EDATE(C522,I522),WORKDAY(C522,I522)))</f>
        <v/>
      </c>
      <c r="AS522" s="11"/>
      <c r="AT522" s="23" t="str">
        <f aca="true">IF(C522="","",IF(AM522="Clawed Back","CLAWED",IF(TODAY()&lt;=C522+SETTINGS!$I$2,"⚠ AT RISK","SAFE")))</f>
        <v/>
      </c>
      <c r="AU522" s="11"/>
      <c r="AW522" s="24" t="n">
        <f aca="false">AW521+IF(AND(C522&lt;&gt;"",AO522&lt;&gt;"",OR('REP COMMISSION'!$B$3="",T522='REP COMMISSION'!$B$3,W522='REP COMMISSION'!$B$3,Z522='REP COMMISSION'!$B$3)),1,0)</f>
        <v>0</v>
      </c>
      <c r="AX522" s="24" t="n">
        <f aca="false">AX521+IF(AND(C522&lt;&gt;"",OR(F522="LOC - INITIAL",F522="CONSOLIDATION - UPFRONT COMM",F522="REVERSE - TOTAL FUNDING")),1,0)</f>
        <v>0</v>
      </c>
    </row>
    <row r="523" customFormat="false" ht="15" hidden="false" customHeight="false" outlineLevel="0" collapsed="false">
      <c r="A523" s="25" t="str">
        <f aca="false">IF(C523&lt;&gt;"","F"&amp;COUNT($C$4:C523),"")</f>
        <v/>
      </c>
      <c r="B523" s="26" t="str">
        <f aca="false">IF(OR(F523="LOC - INITIAL",F523="CONSOLIDATION - UPFRONT COMM",F523="REVERSE - TOTAL FUNDING"),A523,"")</f>
        <v/>
      </c>
      <c r="C523" s="27"/>
      <c r="D523" s="28"/>
      <c r="E523" s="28"/>
      <c r="F523" s="28"/>
      <c r="G523" s="29"/>
      <c r="H523" s="30"/>
      <c r="I523" s="28"/>
      <c r="J523" s="31" t="str">
        <f aca="false">IF(AND(G523&lt;&gt;"",H523&lt;&gt;""),G523*H523,"")</f>
        <v/>
      </c>
      <c r="K523" s="28"/>
      <c r="L523" s="32"/>
      <c r="M523" s="32"/>
      <c r="N523" s="31" t="n">
        <f aca="false">IF(OR(G523="",M523=""),0,IF(M523&gt;100,M523,G523*IF(M523&gt;1,M523/100,M523)))</f>
        <v>0</v>
      </c>
      <c r="O523" s="31" t="str">
        <f aca="false">IF(G523="","",G523*IF(L523="",0,IF(L523&gt;1,L523/100,L523))+N523)</f>
        <v/>
      </c>
      <c r="P523" s="28"/>
      <c r="Q523" s="33" t="str">
        <f aca="false">IF(P523="","",IFERROR(VLOOKUP(P523,PARTNERS!$A$2:$B$30,2,0),""))</f>
        <v/>
      </c>
      <c r="R523" s="17" t="str">
        <f aca="false">IF(O523="","",IF(OR(P523="",Q523=""),0,(O523-N523)*IF(Q523&gt;1,Q523/100,Q523)))</f>
        <v/>
      </c>
      <c r="S523" s="31" t="str">
        <f aca="false">IF(O523="","",O523-R523)</f>
        <v/>
      </c>
      <c r="T523" s="28"/>
      <c r="U523" s="34" t="str">
        <f aca="false">IF(T523="","",IFERROR(VLOOKUP(T523,REPS!$A$2:$D$40,2,0),""))</f>
        <v/>
      </c>
      <c r="V523" s="31" t="str">
        <f aca="false">IF(O523="","",IF(U523="",0,O523*IF(U523&gt;1,U523/100,U523)))</f>
        <v/>
      </c>
      <c r="W523" s="28"/>
      <c r="X523" s="34" t="str">
        <f aca="false">IF(W523="","",IFERROR(VLOOKUP(W523,REPS!$A$2:$D$40,3,0),""))</f>
        <v/>
      </c>
      <c r="Y523" s="31" t="str">
        <f aca="false">IF(O523="","",IF(X523="",0,O523*IF(X523&gt;1,X523/100,X523)))</f>
        <v/>
      </c>
      <c r="Z523" s="28"/>
      <c r="AA523" s="34" t="str">
        <f aca="false">IF(Z523="","",IFERROR(VLOOKUP(Z523,REPS!$A$2:$D$40,4,0),""))</f>
        <v/>
      </c>
      <c r="AB523" s="31" t="str">
        <f aca="false">IF(O523="","",IF(AA523="",0,O523*IF(AA523&gt;1,AA523/100,AA523)))</f>
        <v/>
      </c>
      <c r="AC523" s="31" t="str">
        <f aca="false">IF(O523="","",V523+Y523+AB523)</f>
        <v/>
      </c>
      <c r="AD523" s="19" t="str">
        <f aca="false">IF(O523="","",O523-R523-AC523)</f>
        <v/>
      </c>
      <c r="AE523" s="20"/>
      <c r="AF523" s="27"/>
      <c r="AG523" s="21" t="n">
        <f aca="false">IF(OR(AE523="",AE523=0),0,AE523*IF(U523="",0,IF(U523&gt;1,U523/100,U523)))</f>
        <v>0</v>
      </c>
      <c r="AH523" s="21" t="n">
        <f aca="false">IF(OR(AE523="",AE523=0),0,AE523*IF(X523="",0,IF(X523&gt;1,X523/100,X523)))</f>
        <v>0</v>
      </c>
      <c r="AI523" s="21" t="n">
        <f aca="false">IF(OR(AE523="",AE523=0),0,AE523*IF(AA523="",0,IF(AA523&gt;1,AA523/100,AA523)))</f>
        <v>0</v>
      </c>
      <c r="AJ523" s="21" t="n">
        <f aca="false">AG523+AH523+AI523</f>
        <v>0</v>
      </c>
      <c r="AK523" s="21" t="n">
        <f aca="false">IF(OR(AE523="",AE523=0),0,AE523-AJ523)</f>
        <v>0</v>
      </c>
      <c r="AL523" s="19" t="str">
        <f aca="false">IF(AD523="","",AD523-AK523)</f>
        <v/>
      </c>
      <c r="AM523" s="26" t="str">
        <f aca="false">IF(C523="","","Waiting for payment")</f>
        <v/>
      </c>
      <c r="AN523" s="27"/>
      <c r="AO523" s="27"/>
      <c r="AP523" s="35" t="str">
        <f aca="false">IF(OR(C523="",I523="",K523=""),"",IF(K523="Monthly",EDATE(C523,ROUND(I523*SETTINGS!$I$8,0)),WORKDAY(C523,ROUND(I523*SETTINGS!$I$8,0))))</f>
        <v/>
      </c>
      <c r="AQ523" s="26" t="str">
        <f aca="true">IF(C523="","",IF(AND(AP523&lt;&gt;"",TODAY()&gt;=AP523),"Refi Ready",IF(TODAY()-C523&gt;=SETTINGS!$I$11,"Prospecting","Performing")))</f>
        <v/>
      </c>
      <c r="AR523" s="35" t="str">
        <f aca="false">IF(OR(C523="",I523="",K523=""),"",IF(K523="Monthly",EDATE(C523,I523),WORKDAY(C523,I523)))</f>
        <v/>
      </c>
      <c r="AS523" s="28"/>
      <c r="AT523" s="36" t="str">
        <f aca="true">IF(C523="","",IF(AM523="Clawed Back","CLAWED",IF(TODAY()&lt;=C523+SETTINGS!$I$2,"⚠ AT RISK","SAFE")))</f>
        <v/>
      </c>
      <c r="AU523" s="28"/>
      <c r="AW523" s="24" t="n">
        <f aca="false">AW522+IF(AND(C523&lt;&gt;"",AO523&lt;&gt;"",OR('REP COMMISSION'!$B$3="",T523='REP COMMISSION'!$B$3,W523='REP COMMISSION'!$B$3,Z523='REP COMMISSION'!$B$3)),1,0)</f>
        <v>0</v>
      </c>
      <c r="AX523" s="24" t="n">
        <f aca="false">AX522+IF(AND(C523&lt;&gt;"",OR(F523="LOC - INITIAL",F523="CONSOLIDATION - UPFRONT COMM",F523="REVERSE - TOTAL FUNDING")),1,0)</f>
        <v>0</v>
      </c>
    </row>
    <row r="524" customFormat="false" ht="15" hidden="false" customHeight="false" outlineLevel="0" collapsed="false">
      <c r="A524" s="8" t="str">
        <f aca="false">IF(C524&lt;&gt;"","F"&amp;COUNT($C$4:C524),"")</f>
        <v/>
      </c>
      <c r="B524" s="9" t="str">
        <f aca="false">IF(OR(F524="LOC - INITIAL",F524="CONSOLIDATION - UPFRONT COMM",F524="REVERSE - TOTAL FUNDING"),A524,"")</f>
        <v/>
      </c>
      <c r="C524" s="10"/>
      <c r="D524" s="11"/>
      <c r="E524" s="11"/>
      <c r="F524" s="11"/>
      <c r="G524" s="12"/>
      <c r="H524" s="13"/>
      <c r="I524" s="11"/>
      <c r="J524" s="14" t="str">
        <f aca="false">IF(AND(G524&lt;&gt;"",H524&lt;&gt;""),G524*H524,"")</f>
        <v/>
      </c>
      <c r="K524" s="11"/>
      <c r="L524" s="15"/>
      <c r="M524" s="15"/>
      <c r="N524" s="14" t="n">
        <f aca="false">IF(OR(G524="",M524=""),0,IF(M524&gt;100,M524,G524*IF(M524&gt;1,M524/100,M524)))</f>
        <v>0</v>
      </c>
      <c r="O524" s="14" t="str">
        <f aca="false">IF(G524="","",G524*IF(L524="",0,IF(L524&gt;1,L524/100,L524))+N524)</f>
        <v/>
      </c>
      <c r="P524" s="11"/>
      <c r="Q524" s="16" t="str">
        <f aca="false">IF(P524="","",IFERROR(VLOOKUP(P524,PARTNERS!$A$2:$B$30,2,0),""))</f>
        <v/>
      </c>
      <c r="R524" s="17" t="str">
        <f aca="false">IF(O524="","",IF(OR(P524="",Q524=""),0,(O524-N524)*IF(Q524&gt;1,Q524/100,Q524)))</f>
        <v/>
      </c>
      <c r="S524" s="14" t="str">
        <f aca="false">IF(O524="","",O524-R524)</f>
        <v/>
      </c>
      <c r="T524" s="11"/>
      <c r="U524" s="18" t="str">
        <f aca="false">IF(T524="","",IFERROR(VLOOKUP(T524,REPS!$A$2:$D$40,2,0),""))</f>
        <v/>
      </c>
      <c r="V524" s="14" t="str">
        <f aca="false">IF(O524="","",IF(U524="",0,O524*IF(U524&gt;1,U524/100,U524)))</f>
        <v/>
      </c>
      <c r="W524" s="11"/>
      <c r="X524" s="18" t="str">
        <f aca="false">IF(W524="","",IFERROR(VLOOKUP(W524,REPS!$A$2:$D$40,3,0),""))</f>
        <v/>
      </c>
      <c r="Y524" s="14" t="str">
        <f aca="false">IF(O524="","",IF(X524="",0,O524*IF(X524&gt;1,X524/100,X524)))</f>
        <v/>
      </c>
      <c r="Z524" s="11"/>
      <c r="AA524" s="18" t="str">
        <f aca="false">IF(Z524="","",IFERROR(VLOOKUP(Z524,REPS!$A$2:$D$40,4,0),""))</f>
        <v/>
      </c>
      <c r="AB524" s="14" t="str">
        <f aca="false">IF(O524="","",IF(AA524="",0,O524*IF(AA524&gt;1,AA524/100,AA524)))</f>
        <v/>
      </c>
      <c r="AC524" s="14" t="str">
        <f aca="false">IF(O524="","",V524+Y524+AB524)</f>
        <v/>
      </c>
      <c r="AD524" s="19" t="str">
        <f aca="false">IF(O524="","",O524-R524-AC524)</f>
        <v/>
      </c>
      <c r="AE524" s="20"/>
      <c r="AF524" s="10"/>
      <c r="AG524" s="21" t="n">
        <f aca="false">IF(OR(AE524="",AE524=0),0,AE524*IF(U524="",0,IF(U524&gt;1,U524/100,U524)))</f>
        <v>0</v>
      </c>
      <c r="AH524" s="21" t="n">
        <f aca="false">IF(OR(AE524="",AE524=0),0,AE524*IF(X524="",0,IF(X524&gt;1,X524/100,X524)))</f>
        <v>0</v>
      </c>
      <c r="AI524" s="21" t="n">
        <f aca="false">IF(OR(AE524="",AE524=0),0,AE524*IF(AA524="",0,IF(AA524&gt;1,AA524/100,AA524)))</f>
        <v>0</v>
      </c>
      <c r="AJ524" s="21" t="n">
        <f aca="false">AG524+AH524+AI524</f>
        <v>0</v>
      </c>
      <c r="AK524" s="21" t="n">
        <f aca="false">IF(OR(AE524="",AE524=0),0,AE524-AJ524)</f>
        <v>0</v>
      </c>
      <c r="AL524" s="19" t="str">
        <f aca="false">IF(AD524="","",AD524-AK524)</f>
        <v/>
      </c>
      <c r="AM524" s="9" t="str">
        <f aca="false">IF(C524="","","Waiting for payment")</f>
        <v/>
      </c>
      <c r="AN524" s="10"/>
      <c r="AO524" s="10"/>
      <c r="AP524" s="22" t="str">
        <f aca="false">IF(OR(C524="",I524="",K524=""),"",IF(K524="Monthly",EDATE(C524,ROUND(I524*SETTINGS!$I$8,0)),WORKDAY(C524,ROUND(I524*SETTINGS!$I$8,0))))</f>
        <v/>
      </c>
      <c r="AQ524" s="9" t="str">
        <f aca="true">IF(C524="","",IF(AND(AP524&lt;&gt;"",TODAY()&gt;=AP524),"Refi Ready",IF(TODAY()-C524&gt;=SETTINGS!$I$11,"Prospecting","Performing")))</f>
        <v/>
      </c>
      <c r="AR524" s="22" t="str">
        <f aca="false">IF(OR(C524="",I524="",K524=""),"",IF(K524="Monthly",EDATE(C524,I524),WORKDAY(C524,I524)))</f>
        <v/>
      </c>
      <c r="AS524" s="11"/>
      <c r="AT524" s="23" t="str">
        <f aca="true">IF(C524="","",IF(AM524="Clawed Back","CLAWED",IF(TODAY()&lt;=C524+SETTINGS!$I$2,"⚠ AT RISK","SAFE")))</f>
        <v/>
      </c>
      <c r="AU524" s="11"/>
      <c r="AW524" s="24" t="n">
        <f aca="false">AW523+IF(AND(C524&lt;&gt;"",AO524&lt;&gt;"",OR('REP COMMISSION'!$B$3="",T524='REP COMMISSION'!$B$3,W524='REP COMMISSION'!$B$3,Z524='REP COMMISSION'!$B$3)),1,0)</f>
        <v>0</v>
      </c>
      <c r="AX524" s="24" t="n">
        <f aca="false">AX523+IF(AND(C524&lt;&gt;"",OR(F524="LOC - INITIAL",F524="CONSOLIDATION - UPFRONT COMM",F524="REVERSE - TOTAL FUNDING")),1,0)</f>
        <v>0</v>
      </c>
    </row>
    <row r="525" customFormat="false" ht="15" hidden="false" customHeight="false" outlineLevel="0" collapsed="false">
      <c r="A525" s="25" t="str">
        <f aca="false">IF(C525&lt;&gt;"","F"&amp;COUNT($C$4:C525),"")</f>
        <v/>
      </c>
      <c r="B525" s="26" t="str">
        <f aca="false">IF(OR(F525="LOC - INITIAL",F525="CONSOLIDATION - UPFRONT COMM",F525="REVERSE - TOTAL FUNDING"),A525,"")</f>
        <v/>
      </c>
      <c r="C525" s="27"/>
      <c r="D525" s="28"/>
      <c r="E525" s="28"/>
      <c r="F525" s="28"/>
      <c r="G525" s="29"/>
      <c r="H525" s="30"/>
      <c r="I525" s="28"/>
      <c r="J525" s="31" t="str">
        <f aca="false">IF(AND(G525&lt;&gt;"",H525&lt;&gt;""),G525*H525,"")</f>
        <v/>
      </c>
      <c r="K525" s="28"/>
      <c r="L525" s="32"/>
      <c r="M525" s="32"/>
      <c r="N525" s="31" t="n">
        <f aca="false">IF(OR(G525="",M525=""),0,IF(M525&gt;100,M525,G525*IF(M525&gt;1,M525/100,M525)))</f>
        <v>0</v>
      </c>
      <c r="O525" s="31" t="str">
        <f aca="false">IF(G525="","",G525*IF(L525="",0,IF(L525&gt;1,L525/100,L525))+N525)</f>
        <v/>
      </c>
      <c r="P525" s="28"/>
      <c r="Q525" s="33" t="str">
        <f aca="false">IF(P525="","",IFERROR(VLOOKUP(P525,PARTNERS!$A$2:$B$30,2,0),""))</f>
        <v/>
      </c>
      <c r="R525" s="17" t="str">
        <f aca="false">IF(O525="","",IF(OR(P525="",Q525=""),0,(O525-N525)*IF(Q525&gt;1,Q525/100,Q525)))</f>
        <v/>
      </c>
      <c r="S525" s="31" t="str">
        <f aca="false">IF(O525="","",O525-R525)</f>
        <v/>
      </c>
      <c r="T525" s="28"/>
      <c r="U525" s="34" t="str">
        <f aca="false">IF(T525="","",IFERROR(VLOOKUP(T525,REPS!$A$2:$D$40,2,0),""))</f>
        <v/>
      </c>
      <c r="V525" s="31" t="str">
        <f aca="false">IF(O525="","",IF(U525="",0,O525*IF(U525&gt;1,U525/100,U525)))</f>
        <v/>
      </c>
      <c r="W525" s="28"/>
      <c r="X525" s="34" t="str">
        <f aca="false">IF(W525="","",IFERROR(VLOOKUP(W525,REPS!$A$2:$D$40,3,0),""))</f>
        <v/>
      </c>
      <c r="Y525" s="31" t="str">
        <f aca="false">IF(O525="","",IF(X525="",0,O525*IF(X525&gt;1,X525/100,X525)))</f>
        <v/>
      </c>
      <c r="Z525" s="28"/>
      <c r="AA525" s="34" t="str">
        <f aca="false">IF(Z525="","",IFERROR(VLOOKUP(Z525,REPS!$A$2:$D$40,4,0),""))</f>
        <v/>
      </c>
      <c r="AB525" s="31" t="str">
        <f aca="false">IF(O525="","",IF(AA525="",0,O525*IF(AA525&gt;1,AA525/100,AA525)))</f>
        <v/>
      </c>
      <c r="AC525" s="31" t="str">
        <f aca="false">IF(O525="","",V525+Y525+AB525)</f>
        <v/>
      </c>
      <c r="AD525" s="19" t="str">
        <f aca="false">IF(O525="","",O525-R525-AC525)</f>
        <v/>
      </c>
      <c r="AE525" s="20"/>
      <c r="AF525" s="27"/>
      <c r="AG525" s="21" t="n">
        <f aca="false">IF(OR(AE525="",AE525=0),0,AE525*IF(U525="",0,IF(U525&gt;1,U525/100,U525)))</f>
        <v>0</v>
      </c>
      <c r="AH525" s="21" t="n">
        <f aca="false">IF(OR(AE525="",AE525=0),0,AE525*IF(X525="",0,IF(X525&gt;1,X525/100,X525)))</f>
        <v>0</v>
      </c>
      <c r="AI525" s="21" t="n">
        <f aca="false">IF(OR(AE525="",AE525=0),0,AE525*IF(AA525="",0,IF(AA525&gt;1,AA525/100,AA525)))</f>
        <v>0</v>
      </c>
      <c r="AJ525" s="21" t="n">
        <f aca="false">AG525+AH525+AI525</f>
        <v>0</v>
      </c>
      <c r="AK525" s="21" t="n">
        <f aca="false">IF(OR(AE525="",AE525=0),0,AE525-AJ525)</f>
        <v>0</v>
      </c>
      <c r="AL525" s="19" t="str">
        <f aca="false">IF(AD525="","",AD525-AK525)</f>
        <v/>
      </c>
      <c r="AM525" s="26" t="str">
        <f aca="false">IF(C525="","","Waiting for payment")</f>
        <v/>
      </c>
      <c r="AN525" s="27"/>
      <c r="AO525" s="27"/>
      <c r="AP525" s="35" t="str">
        <f aca="false">IF(OR(C525="",I525="",K525=""),"",IF(K525="Monthly",EDATE(C525,ROUND(I525*SETTINGS!$I$8,0)),WORKDAY(C525,ROUND(I525*SETTINGS!$I$8,0))))</f>
        <v/>
      </c>
      <c r="AQ525" s="26" t="str">
        <f aca="true">IF(C525="","",IF(AND(AP525&lt;&gt;"",TODAY()&gt;=AP525),"Refi Ready",IF(TODAY()-C525&gt;=SETTINGS!$I$11,"Prospecting","Performing")))</f>
        <v/>
      </c>
      <c r="AR525" s="35" t="str">
        <f aca="false">IF(OR(C525="",I525="",K525=""),"",IF(K525="Monthly",EDATE(C525,I525),WORKDAY(C525,I525)))</f>
        <v/>
      </c>
      <c r="AS525" s="28"/>
      <c r="AT525" s="36" t="str">
        <f aca="true">IF(C525="","",IF(AM525="Clawed Back","CLAWED",IF(TODAY()&lt;=C525+SETTINGS!$I$2,"⚠ AT RISK","SAFE")))</f>
        <v/>
      </c>
      <c r="AU525" s="28"/>
      <c r="AW525" s="24" t="n">
        <f aca="false">AW524+IF(AND(C525&lt;&gt;"",AO525&lt;&gt;"",OR('REP COMMISSION'!$B$3="",T525='REP COMMISSION'!$B$3,W525='REP COMMISSION'!$B$3,Z525='REP COMMISSION'!$B$3)),1,0)</f>
        <v>0</v>
      </c>
      <c r="AX525" s="24" t="n">
        <f aca="false">AX524+IF(AND(C525&lt;&gt;"",OR(F525="LOC - INITIAL",F525="CONSOLIDATION - UPFRONT COMM",F525="REVERSE - TOTAL FUNDING")),1,0)</f>
        <v>0</v>
      </c>
    </row>
    <row r="526" customFormat="false" ht="15" hidden="false" customHeight="false" outlineLevel="0" collapsed="false">
      <c r="A526" s="8" t="str">
        <f aca="false">IF(C526&lt;&gt;"","F"&amp;COUNT($C$4:C526),"")</f>
        <v/>
      </c>
      <c r="B526" s="9" t="str">
        <f aca="false">IF(OR(F526="LOC - INITIAL",F526="CONSOLIDATION - UPFRONT COMM",F526="REVERSE - TOTAL FUNDING"),A526,"")</f>
        <v/>
      </c>
      <c r="C526" s="10"/>
      <c r="D526" s="11"/>
      <c r="E526" s="11"/>
      <c r="F526" s="11"/>
      <c r="G526" s="12"/>
      <c r="H526" s="13"/>
      <c r="I526" s="11"/>
      <c r="J526" s="14" t="str">
        <f aca="false">IF(AND(G526&lt;&gt;"",H526&lt;&gt;""),G526*H526,"")</f>
        <v/>
      </c>
      <c r="K526" s="11"/>
      <c r="L526" s="15"/>
      <c r="M526" s="15"/>
      <c r="N526" s="14" t="n">
        <f aca="false">IF(OR(G526="",M526=""),0,IF(M526&gt;100,M526,G526*IF(M526&gt;1,M526/100,M526)))</f>
        <v>0</v>
      </c>
      <c r="O526" s="14" t="str">
        <f aca="false">IF(G526="","",G526*IF(L526="",0,IF(L526&gt;1,L526/100,L526))+N526)</f>
        <v/>
      </c>
      <c r="P526" s="11"/>
      <c r="Q526" s="16" t="str">
        <f aca="false">IF(P526="","",IFERROR(VLOOKUP(P526,PARTNERS!$A$2:$B$30,2,0),""))</f>
        <v/>
      </c>
      <c r="R526" s="17" t="str">
        <f aca="false">IF(O526="","",IF(OR(P526="",Q526=""),0,(O526-N526)*IF(Q526&gt;1,Q526/100,Q526)))</f>
        <v/>
      </c>
      <c r="S526" s="14" t="str">
        <f aca="false">IF(O526="","",O526-R526)</f>
        <v/>
      </c>
      <c r="T526" s="11"/>
      <c r="U526" s="18" t="str">
        <f aca="false">IF(T526="","",IFERROR(VLOOKUP(T526,REPS!$A$2:$D$40,2,0),""))</f>
        <v/>
      </c>
      <c r="V526" s="14" t="str">
        <f aca="false">IF(O526="","",IF(U526="",0,O526*IF(U526&gt;1,U526/100,U526)))</f>
        <v/>
      </c>
      <c r="W526" s="11"/>
      <c r="X526" s="18" t="str">
        <f aca="false">IF(W526="","",IFERROR(VLOOKUP(W526,REPS!$A$2:$D$40,3,0),""))</f>
        <v/>
      </c>
      <c r="Y526" s="14" t="str">
        <f aca="false">IF(O526="","",IF(X526="",0,O526*IF(X526&gt;1,X526/100,X526)))</f>
        <v/>
      </c>
      <c r="Z526" s="11"/>
      <c r="AA526" s="18" t="str">
        <f aca="false">IF(Z526="","",IFERROR(VLOOKUP(Z526,REPS!$A$2:$D$40,4,0),""))</f>
        <v/>
      </c>
      <c r="AB526" s="14" t="str">
        <f aca="false">IF(O526="","",IF(AA526="",0,O526*IF(AA526&gt;1,AA526/100,AA526)))</f>
        <v/>
      </c>
      <c r="AC526" s="14" t="str">
        <f aca="false">IF(O526="","",V526+Y526+AB526)</f>
        <v/>
      </c>
      <c r="AD526" s="19" t="str">
        <f aca="false">IF(O526="","",O526-R526-AC526)</f>
        <v/>
      </c>
      <c r="AE526" s="20"/>
      <c r="AF526" s="10"/>
      <c r="AG526" s="21" t="n">
        <f aca="false">IF(OR(AE526="",AE526=0),0,AE526*IF(U526="",0,IF(U526&gt;1,U526/100,U526)))</f>
        <v>0</v>
      </c>
      <c r="AH526" s="21" t="n">
        <f aca="false">IF(OR(AE526="",AE526=0),0,AE526*IF(X526="",0,IF(X526&gt;1,X526/100,X526)))</f>
        <v>0</v>
      </c>
      <c r="AI526" s="21" t="n">
        <f aca="false">IF(OR(AE526="",AE526=0),0,AE526*IF(AA526="",0,IF(AA526&gt;1,AA526/100,AA526)))</f>
        <v>0</v>
      </c>
      <c r="AJ526" s="21" t="n">
        <f aca="false">AG526+AH526+AI526</f>
        <v>0</v>
      </c>
      <c r="AK526" s="21" t="n">
        <f aca="false">IF(OR(AE526="",AE526=0),0,AE526-AJ526)</f>
        <v>0</v>
      </c>
      <c r="AL526" s="19" t="str">
        <f aca="false">IF(AD526="","",AD526-AK526)</f>
        <v/>
      </c>
      <c r="AM526" s="9" t="str">
        <f aca="false">IF(C526="","","Waiting for payment")</f>
        <v/>
      </c>
      <c r="AN526" s="10"/>
      <c r="AO526" s="10"/>
      <c r="AP526" s="22" t="str">
        <f aca="false">IF(OR(C526="",I526="",K526=""),"",IF(K526="Monthly",EDATE(C526,ROUND(I526*SETTINGS!$I$8,0)),WORKDAY(C526,ROUND(I526*SETTINGS!$I$8,0))))</f>
        <v/>
      </c>
      <c r="AQ526" s="9" t="str">
        <f aca="true">IF(C526="","",IF(AND(AP526&lt;&gt;"",TODAY()&gt;=AP526),"Refi Ready",IF(TODAY()-C526&gt;=SETTINGS!$I$11,"Prospecting","Performing")))</f>
        <v/>
      </c>
      <c r="AR526" s="22" t="str">
        <f aca="false">IF(OR(C526="",I526="",K526=""),"",IF(K526="Monthly",EDATE(C526,I526),WORKDAY(C526,I526)))</f>
        <v/>
      </c>
      <c r="AS526" s="11"/>
      <c r="AT526" s="23" t="str">
        <f aca="true">IF(C526="","",IF(AM526="Clawed Back","CLAWED",IF(TODAY()&lt;=C526+SETTINGS!$I$2,"⚠ AT RISK","SAFE")))</f>
        <v/>
      </c>
      <c r="AU526" s="11"/>
      <c r="AW526" s="24" t="n">
        <f aca="false">AW525+IF(AND(C526&lt;&gt;"",AO526&lt;&gt;"",OR('REP COMMISSION'!$B$3="",T526='REP COMMISSION'!$B$3,W526='REP COMMISSION'!$B$3,Z526='REP COMMISSION'!$B$3)),1,0)</f>
        <v>0</v>
      </c>
      <c r="AX526" s="24" t="n">
        <f aca="false">AX525+IF(AND(C526&lt;&gt;"",OR(F526="LOC - INITIAL",F526="CONSOLIDATION - UPFRONT COMM",F526="REVERSE - TOTAL FUNDING")),1,0)</f>
        <v>0</v>
      </c>
    </row>
    <row r="527" customFormat="false" ht="15" hidden="false" customHeight="false" outlineLevel="0" collapsed="false">
      <c r="A527" s="25" t="str">
        <f aca="false">IF(C527&lt;&gt;"","F"&amp;COUNT($C$4:C527),"")</f>
        <v/>
      </c>
      <c r="B527" s="26" t="str">
        <f aca="false">IF(OR(F527="LOC - INITIAL",F527="CONSOLIDATION - UPFRONT COMM",F527="REVERSE - TOTAL FUNDING"),A527,"")</f>
        <v/>
      </c>
      <c r="C527" s="27"/>
      <c r="D527" s="28"/>
      <c r="E527" s="28"/>
      <c r="F527" s="28"/>
      <c r="G527" s="29"/>
      <c r="H527" s="30"/>
      <c r="I527" s="28"/>
      <c r="J527" s="31" t="str">
        <f aca="false">IF(AND(G527&lt;&gt;"",H527&lt;&gt;""),G527*H527,"")</f>
        <v/>
      </c>
      <c r="K527" s="28"/>
      <c r="L527" s="32"/>
      <c r="M527" s="32"/>
      <c r="N527" s="31" t="n">
        <f aca="false">IF(OR(G527="",M527=""),0,IF(M527&gt;100,M527,G527*IF(M527&gt;1,M527/100,M527)))</f>
        <v>0</v>
      </c>
      <c r="O527" s="31" t="str">
        <f aca="false">IF(G527="","",G527*IF(L527="",0,IF(L527&gt;1,L527/100,L527))+N527)</f>
        <v/>
      </c>
      <c r="P527" s="28"/>
      <c r="Q527" s="33" t="str">
        <f aca="false">IF(P527="","",IFERROR(VLOOKUP(P527,PARTNERS!$A$2:$B$30,2,0),""))</f>
        <v/>
      </c>
      <c r="R527" s="17" t="str">
        <f aca="false">IF(O527="","",IF(OR(P527="",Q527=""),0,(O527-N527)*IF(Q527&gt;1,Q527/100,Q527)))</f>
        <v/>
      </c>
      <c r="S527" s="31" t="str">
        <f aca="false">IF(O527="","",O527-R527)</f>
        <v/>
      </c>
      <c r="T527" s="28"/>
      <c r="U527" s="34" t="str">
        <f aca="false">IF(T527="","",IFERROR(VLOOKUP(T527,REPS!$A$2:$D$40,2,0),""))</f>
        <v/>
      </c>
      <c r="V527" s="31" t="str">
        <f aca="false">IF(O527="","",IF(U527="",0,O527*IF(U527&gt;1,U527/100,U527)))</f>
        <v/>
      </c>
      <c r="W527" s="28"/>
      <c r="X527" s="34" t="str">
        <f aca="false">IF(W527="","",IFERROR(VLOOKUP(W527,REPS!$A$2:$D$40,3,0),""))</f>
        <v/>
      </c>
      <c r="Y527" s="31" t="str">
        <f aca="false">IF(O527="","",IF(X527="",0,O527*IF(X527&gt;1,X527/100,X527)))</f>
        <v/>
      </c>
      <c r="Z527" s="28"/>
      <c r="AA527" s="34" t="str">
        <f aca="false">IF(Z527="","",IFERROR(VLOOKUP(Z527,REPS!$A$2:$D$40,4,0),""))</f>
        <v/>
      </c>
      <c r="AB527" s="31" t="str">
        <f aca="false">IF(O527="","",IF(AA527="",0,O527*IF(AA527&gt;1,AA527/100,AA527)))</f>
        <v/>
      </c>
      <c r="AC527" s="31" t="str">
        <f aca="false">IF(O527="","",V527+Y527+AB527)</f>
        <v/>
      </c>
      <c r="AD527" s="19" t="str">
        <f aca="false">IF(O527="","",O527-R527-AC527)</f>
        <v/>
      </c>
      <c r="AE527" s="20"/>
      <c r="AF527" s="27"/>
      <c r="AG527" s="21" t="n">
        <f aca="false">IF(OR(AE527="",AE527=0),0,AE527*IF(U527="",0,IF(U527&gt;1,U527/100,U527)))</f>
        <v>0</v>
      </c>
      <c r="AH527" s="21" t="n">
        <f aca="false">IF(OR(AE527="",AE527=0),0,AE527*IF(X527="",0,IF(X527&gt;1,X527/100,X527)))</f>
        <v>0</v>
      </c>
      <c r="AI527" s="21" t="n">
        <f aca="false">IF(OR(AE527="",AE527=0),0,AE527*IF(AA527="",0,IF(AA527&gt;1,AA527/100,AA527)))</f>
        <v>0</v>
      </c>
      <c r="AJ527" s="21" t="n">
        <f aca="false">AG527+AH527+AI527</f>
        <v>0</v>
      </c>
      <c r="AK527" s="21" t="n">
        <f aca="false">IF(OR(AE527="",AE527=0),0,AE527-AJ527)</f>
        <v>0</v>
      </c>
      <c r="AL527" s="19" t="str">
        <f aca="false">IF(AD527="","",AD527-AK527)</f>
        <v/>
      </c>
      <c r="AM527" s="26" t="str">
        <f aca="false">IF(C527="","","Waiting for payment")</f>
        <v/>
      </c>
      <c r="AN527" s="27"/>
      <c r="AO527" s="27"/>
      <c r="AP527" s="35" t="str">
        <f aca="false">IF(OR(C527="",I527="",K527=""),"",IF(K527="Monthly",EDATE(C527,ROUND(I527*SETTINGS!$I$8,0)),WORKDAY(C527,ROUND(I527*SETTINGS!$I$8,0))))</f>
        <v/>
      </c>
      <c r="AQ527" s="26" t="str">
        <f aca="true">IF(C527="","",IF(AND(AP527&lt;&gt;"",TODAY()&gt;=AP527),"Refi Ready",IF(TODAY()-C527&gt;=SETTINGS!$I$11,"Prospecting","Performing")))</f>
        <v/>
      </c>
      <c r="AR527" s="35" t="str">
        <f aca="false">IF(OR(C527="",I527="",K527=""),"",IF(K527="Monthly",EDATE(C527,I527),WORKDAY(C527,I527)))</f>
        <v/>
      </c>
      <c r="AS527" s="28"/>
      <c r="AT527" s="36" t="str">
        <f aca="true">IF(C527="","",IF(AM527="Clawed Back","CLAWED",IF(TODAY()&lt;=C527+SETTINGS!$I$2,"⚠ AT RISK","SAFE")))</f>
        <v/>
      </c>
      <c r="AU527" s="28"/>
      <c r="AW527" s="24" t="n">
        <f aca="false">AW526+IF(AND(C527&lt;&gt;"",AO527&lt;&gt;"",OR('REP COMMISSION'!$B$3="",T527='REP COMMISSION'!$B$3,W527='REP COMMISSION'!$B$3,Z527='REP COMMISSION'!$B$3)),1,0)</f>
        <v>0</v>
      </c>
      <c r="AX527" s="24" t="n">
        <f aca="false">AX526+IF(AND(C527&lt;&gt;"",OR(F527="LOC - INITIAL",F527="CONSOLIDATION - UPFRONT COMM",F527="REVERSE - TOTAL FUNDING")),1,0)</f>
        <v>0</v>
      </c>
    </row>
    <row r="528" customFormat="false" ht="15" hidden="false" customHeight="false" outlineLevel="0" collapsed="false">
      <c r="A528" s="8" t="str">
        <f aca="false">IF(C528&lt;&gt;"","F"&amp;COUNT($C$4:C528),"")</f>
        <v/>
      </c>
      <c r="B528" s="9" t="str">
        <f aca="false">IF(OR(F528="LOC - INITIAL",F528="CONSOLIDATION - UPFRONT COMM",F528="REVERSE - TOTAL FUNDING"),A528,"")</f>
        <v/>
      </c>
      <c r="C528" s="10"/>
      <c r="D528" s="11"/>
      <c r="E528" s="11"/>
      <c r="F528" s="11"/>
      <c r="G528" s="12"/>
      <c r="H528" s="13"/>
      <c r="I528" s="11"/>
      <c r="J528" s="14" t="str">
        <f aca="false">IF(AND(G528&lt;&gt;"",H528&lt;&gt;""),G528*H528,"")</f>
        <v/>
      </c>
      <c r="K528" s="11"/>
      <c r="L528" s="15"/>
      <c r="M528" s="15"/>
      <c r="N528" s="14" t="n">
        <f aca="false">IF(OR(G528="",M528=""),0,IF(M528&gt;100,M528,G528*IF(M528&gt;1,M528/100,M528)))</f>
        <v>0</v>
      </c>
      <c r="O528" s="14" t="str">
        <f aca="false">IF(G528="","",G528*IF(L528="",0,IF(L528&gt;1,L528/100,L528))+N528)</f>
        <v/>
      </c>
      <c r="P528" s="11"/>
      <c r="Q528" s="16" t="str">
        <f aca="false">IF(P528="","",IFERROR(VLOOKUP(P528,PARTNERS!$A$2:$B$30,2,0),""))</f>
        <v/>
      </c>
      <c r="R528" s="17" t="str">
        <f aca="false">IF(O528="","",IF(OR(P528="",Q528=""),0,(O528-N528)*IF(Q528&gt;1,Q528/100,Q528)))</f>
        <v/>
      </c>
      <c r="S528" s="14" t="str">
        <f aca="false">IF(O528="","",O528-R528)</f>
        <v/>
      </c>
      <c r="T528" s="11"/>
      <c r="U528" s="18" t="str">
        <f aca="false">IF(T528="","",IFERROR(VLOOKUP(T528,REPS!$A$2:$D$40,2,0),""))</f>
        <v/>
      </c>
      <c r="V528" s="14" t="str">
        <f aca="false">IF(O528="","",IF(U528="",0,O528*IF(U528&gt;1,U528/100,U528)))</f>
        <v/>
      </c>
      <c r="W528" s="11"/>
      <c r="X528" s="18" t="str">
        <f aca="false">IF(W528="","",IFERROR(VLOOKUP(W528,REPS!$A$2:$D$40,3,0),""))</f>
        <v/>
      </c>
      <c r="Y528" s="14" t="str">
        <f aca="false">IF(O528="","",IF(X528="",0,O528*IF(X528&gt;1,X528/100,X528)))</f>
        <v/>
      </c>
      <c r="Z528" s="11"/>
      <c r="AA528" s="18" t="str">
        <f aca="false">IF(Z528="","",IFERROR(VLOOKUP(Z528,REPS!$A$2:$D$40,4,0),""))</f>
        <v/>
      </c>
      <c r="AB528" s="14" t="str">
        <f aca="false">IF(O528="","",IF(AA528="",0,O528*IF(AA528&gt;1,AA528/100,AA528)))</f>
        <v/>
      </c>
      <c r="AC528" s="14" t="str">
        <f aca="false">IF(O528="","",V528+Y528+AB528)</f>
        <v/>
      </c>
      <c r="AD528" s="19" t="str">
        <f aca="false">IF(O528="","",O528-R528-AC528)</f>
        <v/>
      </c>
      <c r="AE528" s="20"/>
      <c r="AF528" s="10"/>
      <c r="AG528" s="21" t="n">
        <f aca="false">IF(OR(AE528="",AE528=0),0,AE528*IF(U528="",0,IF(U528&gt;1,U528/100,U528)))</f>
        <v>0</v>
      </c>
      <c r="AH528" s="21" t="n">
        <f aca="false">IF(OR(AE528="",AE528=0),0,AE528*IF(X528="",0,IF(X528&gt;1,X528/100,X528)))</f>
        <v>0</v>
      </c>
      <c r="AI528" s="21" t="n">
        <f aca="false">IF(OR(AE528="",AE528=0),0,AE528*IF(AA528="",0,IF(AA528&gt;1,AA528/100,AA528)))</f>
        <v>0</v>
      </c>
      <c r="AJ528" s="21" t="n">
        <f aca="false">AG528+AH528+AI528</f>
        <v>0</v>
      </c>
      <c r="AK528" s="21" t="n">
        <f aca="false">IF(OR(AE528="",AE528=0),0,AE528-AJ528)</f>
        <v>0</v>
      </c>
      <c r="AL528" s="19" t="str">
        <f aca="false">IF(AD528="","",AD528-AK528)</f>
        <v/>
      </c>
      <c r="AM528" s="9" t="str">
        <f aca="false">IF(C528="","","Waiting for payment")</f>
        <v/>
      </c>
      <c r="AN528" s="10"/>
      <c r="AO528" s="10"/>
      <c r="AP528" s="22" t="str">
        <f aca="false">IF(OR(C528="",I528="",K528=""),"",IF(K528="Monthly",EDATE(C528,ROUND(I528*SETTINGS!$I$8,0)),WORKDAY(C528,ROUND(I528*SETTINGS!$I$8,0))))</f>
        <v/>
      </c>
      <c r="AQ528" s="9" t="str">
        <f aca="true">IF(C528="","",IF(AND(AP528&lt;&gt;"",TODAY()&gt;=AP528),"Refi Ready",IF(TODAY()-C528&gt;=SETTINGS!$I$11,"Prospecting","Performing")))</f>
        <v/>
      </c>
      <c r="AR528" s="22" t="str">
        <f aca="false">IF(OR(C528="",I528="",K528=""),"",IF(K528="Monthly",EDATE(C528,I528),WORKDAY(C528,I528)))</f>
        <v/>
      </c>
      <c r="AS528" s="11"/>
      <c r="AT528" s="23" t="str">
        <f aca="true">IF(C528="","",IF(AM528="Clawed Back","CLAWED",IF(TODAY()&lt;=C528+SETTINGS!$I$2,"⚠ AT RISK","SAFE")))</f>
        <v/>
      </c>
      <c r="AU528" s="11"/>
      <c r="AW528" s="24" t="n">
        <f aca="false">AW527+IF(AND(C528&lt;&gt;"",AO528&lt;&gt;"",OR('REP COMMISSION'!$B$3="",T528='REP COMMISSION'!$B$3,W528='REP COMMISSION'!$B$3,Z528='REP COMMISSION'!$B$3)),1,0)</f>
        <v>0</v>
      </c>
      <c r="AX528" s="24" t="n">
        <f aca="false">AX527+IF(AND(C528&lt;&gt;"",OR(F528="LOC - INITIAL",F528="CONSOLIDATION - UPFRONT COMM",F528="REVERSE - TOTAL FUNDING")),1,0)</f>
        <v>0</v>
      </c>
    </row>
    <row r="529" customFormat="false" ht="15" hidden="false" customHeight="false" outlineLevel="0" collapsed="false">
      <c r="A529" s="25" t="str">
        <f aca="false">IF(C529&lt;&gt;"","F"&amp;COUNT($C$4:C529),"")</f>
        <v/>
      </c>
      <c r="B529" s="26" t="str">
        <f aca="false">IF(OR(F529="LOC - INITIAL",F529="CONSOLIDATION - UPFRONT COMM",F529="REVERSE - TOTAL FUNDING"),A529,"")</f>
        <v/>
      </c>
      <c r="C529" s="27"/>
      <c r="D529" s="28"/>
      <c r="E529" s="28"/>
      <c r="F529" s="28"/>
      <c r="G529" s="29"/>
      <c r="H529" s="30"/>
      <c r="I529" s="28"/>
      <c r="J529" s="31" t="str">
        <f aca="false">IF(AND(G529&lt;&gt;"",H529&lt;&gt;""),G529*H529,"")</f>
        <v/>
      </c>
      <c r="K529" s="28"/>
      <c r="L529" s="32"/>
      <c r="M529" s="32"/>
      <c r="N529" s="31" t="n">
        <f aca="false">IF(OR(G529="",M529=""),0,IF(M529&gt;100,M529,G529*IF(M529&gt;1,M529/100,M529)))</f>
        <v>0</v>
      </c>
      <c r="O529" s="31" t="str">
        <f aca="false">IF(G529="","",G529*IF(L529="",0,IF(L529&gt;1,L529/100,L529))+N529)</f>
        <v/>
      </c>
      <c r="P529" s="28"/>
      <c r="Q529" s="33" t="str">
        <f aca="false">IF(P529="","",IFERROR(VLOOKUP(P529,PARTNERS!$A$2:$B$30,2,0),""))</f>
        <v/>
      </c>
      <c r="R529" s="17" t="str">
        <f aca="false">IF(O529="","",IF(OR(P529="",Q529=""),0,(O529-N529)*IF(Q529&gt;1,Q529/100,Q529)))</f>
        <v/>
      </c>
      <c r="S529" s="31" t="str">
        <f aca="false">IF(O529="","",O529-R529)</f>
        <v/>
      </c>
      <c r="T529" s="28"/>
      <c r="U529" s="34" t="str">
        <f aca="false">IF(T529="","",IFERROR(VLOOKUP(T529,REPS!$A$2:$D$40,2,0),""))</f>
        <v/>
      </c>
      <c r="V529" s="31" t="str">
        <f aca="false">IF(O529="","",IF(U529="",0,O529*IF(U529&gt;1,U529/100,U529)))</f>
        <v/>
      </c>
      <c r="W529" s="28"/>
      <c r="X529" s="34" t="str">
        <f aca="false">IF(W529="","",IFERROR(VLOOKUP(W529,REPS!$A$2:$D$40,3,0),""))</f>
        <v/>
      </c>
      <c r="Y529" s="31" t="str">
        <f aca="false">IF(O529="","",IF(X529="",0,O529*IF(X529&gt;1,X529/100,X529)))</f>
        <v/>
      </c>
      <c r="Z529" s="28"/>
      <c r="AA529" s="34" t="str">
        <f aca="false">IF(Z529="","",IFERROR(VLOOKUP(Z529,REPS!$A$2:$D$40,4,0),""))</f>
        <v/>
      </c>
      <c r="AB529" s="31" t="str">
        <f aca="false">IF(O529="","",IF(AA529="",0,O529*IF(AA529&gt;1,AA529/100,AA529)))</f>
        <v/>
      </c>
      <c r="AC529" s="31" t="str">
        <f aca="false">IF(O529="","",V529+Y529+AB529)</f>
        <v/>
      </c>
      <c r="AD529" s="19" t="str">
        <f aca="false">IF(O529="","",O529-R529-AC529)</f>
        <v/>
      </c>
      <c r="AE529" s="20"/>
      <c r="AF529" s="27"/>
      <c r="AG529" s="21" t="n">
        <f aca="false">IF(OR(AE529="",AE529=0),0,AE529*IF(U529="",0,IF(U529&gt;1,U529/100,U529)))</f>
        <v>0</v>
      </c>
      <c r="AH529" s="21" t="n">
        <f aca="false">IF(OR(AE529="",AE529=0),0,AE529*IF(X529="",0,IF(X529&gt;1,X529/100,X529)))</f>
        <v>0</v>
      </c>
      <c r="AI529" s="21" t="n">
        <f aca="false">IF(OR(AE529="",AE529=0),0,AE529*IF(AA529="",0,IF(AA529&gt;1,AA529/100,AA529)))</f>
        <v>0</v>
      </c>
      <c r="AJ529" s="21" t="n">
        <f aca="false">AG529+AH529+AI529</f>
        <v>0</v>
      </c>
      <c r="AK529" s="21" t="n">
        <f aca="false">IF(OR(AE529="",AE529=0),0,AE529-AJ529)</f>
        <v>0</v>
      </c>
      <c r="AL529" s="19" t="str">
        <f aca="false">IF(AD529="","",AD529-AK529)</f>
        <v/>
      </c>
      <c r="AM529" s="26" t="str">
        <f aca="false">IF(C529="","","Waiting for payment")</f>
        <v/>
      </c>
      <c r="AN529" s="27"/>
      <c r="AO529" s="27"/>
      <c r="AP529" s="35" t="str">
        <f aca="false">IF(OR(C529="",I529="",K529=""),"",IF(K529="Monthly",EDATE(C529,ROUND(I529*SETTINGS!$I$8,0)),WORKDAY(C529,ROUND(I529*SETTINGS!$I$8,0))))</f>
        <v/>
      </c>
      <c r="AQ529" s="26" t="str">
        <f aca="true">IF(C529="","",IF(AND(AP529&lt;&gt;"",TODAY()&gt;=AP529),"Refi Ready",IF(TODAY()-C529&gt;=SETTINGS!$I$11,"Prospecting","Performing")))</f>
        <v/>
      </c>
      <c r="AR529" s="35" t="str">
        <f aca="false">IF(OR(C529="",I529="",K529=""),"",IF(K529="Monthly",EDATE(C529,I529),WORKDAY(C529,I529)))</f>
        <v/>
      </c>
      <c r="AS529" s="28"/>
      <c r="AT529" s="36" t="str">
        <f aca="true">IF(C529="","",IF(AM529="Clawed Back","CLAWED",IF(TODAY()&lt;=C529+SETTINGS!$I$2,"⚠ AT RISK","SAFE")))</f>
        <v/>
      </c>
      <c r="AU529" s="28"/>
      <c r="AW529" s="24" t="n">
        <f aca="false">AW528+IF(AND(C529&lt;&gt;"",AO529&lt;&gt;"",OR('REP COMMISSION'!$B$3="",T529='REP COMMISSION'!$B$3,W529='REP COMMISSION'!$B$3,Z529='REP COMMISSION'!$B$3)),1,0)</f>
        <v>0</v>
      </c>
      <c r="AX529" s="24" t="n">
        <f aca="false">AX528+IF(AND(C529&lt;&gt;"",OR(F529="LOC - INITIAL",F529="CONSOLIDATION - UPFRONT COMM",F529="REVERSE - TOTAL FUNDING")),1,0)</f>
        <v>0</v>
      </c>
    </row>
    <row r="530" customFormat="false" ht="15" hidden="false" customHeight="false" outlineLevel="0" collapsed="false">
      <c r="A530" s="8" t="str">
        <f aca="false">IF(C530&lt;&gt;"","F"&amp;COUNT($C$4:C530),"")</f>
        <v/>
      </c>
      <c r="B530" s="9" t="str">
        <f aca="false">IF(OR(F530="LOC - INITIAL",F530="CONSOLIDATION - UPFRONT COMM",F530="REVERSE - TOTAL FUNDING"),A530,"")</f>
        <v/>
      </c>
      <c r="C530" s="10"/>
      <c r="D530" s="11"/>
      <c r="E530" s="11"/>
      <c r="F530" s="11"/>
      <c r="G530" s="12"/>
      <c r="H530" s="13"/>
      <c r="I530" s="11"/>
      <c r="J530" s="14" t="str">
        <f aca="false">IF(AND(G530&lt;&gt;"",H530&lt;&gt;""),G530*H530,"")</f>
        <v/>
      </c>
      <c r="K530" s="11"/>
      <c r="L530" s="15"/>
      <c r="M530" s="15"/>
      <c r="N530" s="14" t="n">
        <f aca="false">IF(OR(G530="",M530=""),0,IF(M530&gt;100,M530,G530*IF(M530&gt;1,M530/100,M530)))</f>
        <v>0</v>
      </c>
      <c r="O530" s="14" t="str">
        <f aca="false">IF(G530="","",G530*IF(L530="",0,IF(L530&gt;1,L530/100,L530))+N530)</f>
        <v/>
      </c>
      <c r="P530" s="11"/>
      <c r="Q530" s="16" t="str">
        <f aca="false">IF(P530="","",IFERROR(VLOOKUP(P530,PARTNERS!$A$2:$B$30,2,0),""))</f>
        <v/>
      </c>
      <c r="R530" s="17" t="str">
        <f aca="false">IF(O530="","",IF(OR(P530="",Q530=""),0,(O530-N530)*IF(Q530&gt;1,Q530/100,Q530)))</f>
        <v/>
      </c>
      <c r="S530" s="14" t="str">
        <f aca="false">IF(O530="","",O530-R530)</f>
        <v/>
      </c>
      <c r="T530" s="11"/>
      <c r="U530" s="18" t="str">
        <f aca="false">IF(T530="","",IFERROR(VLOOKUP(T530,REPS!$A$2:$D$40,2,0),""))</f>
        <v/>
      </c>
      <c r="V530" s="14" t="str">
        <f aca="false">IF(O530="","",IF(U530="",0,O530*IF(U530&gt;1,U530/100,U530)))</f>
        <v/>
      </c>
      <c r="W530" s="11"/>
      <c r="X530" s="18" t="str">
        <f aca="false">IF(W530="","",IFERROR(VLOOKUP(W530,REPS!$A$2:$D$40,3,0),""))</f>
        <v/>
      </c>
      <c r="Y530" s="14" t="str">
        <f aca="false">IF(O530="","",IF(X530="",0,O530*IF(X530&gt;1,X530/100,X530)))</f>
        <v/>
      </c>
      <c r="Z530" s="11"/>
      <c r="AA530" s="18" t="str">
        <f aca="false">IF(Z530="","",IFERROR(VLOOKUP(Z530,REPS!$A$2:$D$40,4,0),""))</f>
        <v/>
      </c>
      <c r="AB530" s="14" t="str">
        <f aca="false">IF(O530="","",IF(AA530="",0,O530*IF(AA530&gt;1,AA530/100,AA530)))</f>
        <v/>
      </c>
      <c r="AC530" s="14" t="str">
        <f aca="false">IF(O530="","",V530+Y530+AB530)</f>
        <v/>
      </c>
      <c r="AD530" s="19" t="str">
        <f aca="false">IF(O530="","",O530-R530-AC530)</f>
        <v/>
      </c>
      <c r="AE530" s="20"/>
      <c r="AF530" s="10"/>
      <c r="AG530" s="21" t="n">
        <f aca="false">IF(OR(AE530="",AE530=0),0,AE530*IF(U530="",0,IF(U530&gt;1,U530/100,U530)))</f>
        <v>0</v>
      </c>
      <c r="AH530" s="21" t="n">
        <f aca="false">IF(OR(AE530="",AE530=0),0,AE530*IF(X530="",0,IF(X530&gt;1,X530/100,X530)))</f>
        <v>0</v>
      </c>
      <c r="AI530" s="21" t="n">
        <f aca="false">IF(OR(AE530="",AE530=0),0,AE530*IF(AA530="",0,IF(AA530&gt;1,AA530/100,AA530)))</f>
        <v>0</v>
      </c>
      <c r="AJ530" s="21" t="n">
        <f aca="false">AG530+AH530+AI530</f>
        <v>0</v>
      </c>
      <c r="AK530" s="21" t="n">
        <f aca="false">IF(OR(AE530="",AE530=0),0,AE530-AJ530)</f>
        <v>0</v>
      </c>
      <c r="AL530" s="19" t="str">
        <f aca="false">IF(AD530="","",AD530-AK530)</f>
        <v/>
      </c>
      <c r="AM530" s="9" t="str">
        <f aca="false">IF(C530="","","Waiting for payment")</f>
        <v/>
      </c>
      <c r="AN530" s="10"/>
      <c r="AO530" s="10"/>
      <c r="AP530" s="22" t="str">
        <f aca="false">IF(OR(C530="",I530="",K530=""),"",IF(K530="Monthly",EDATE(C530,ROUND(I530*SETTINGS!$I$8,0)),WORKDAY(C530,ROUND(I530*SETTINGS!$I$8,0))))</f>
        <v/>
      </c>
      <c r="AQ530" s="9" t="str">
        <f aca="true">IF(C530="","",IF(AND(AP530&lt;&gt;"",TODAY()&gt;=AP530),"Refi Ready",IF(TODAY()-C530&gt;=SETTINGS!$I$11,"Prospecting","Performing")))</f>
        <v/>
      </c>
      <c r="AR530" s="22" t="str">
        <f aca="false">IF(OR(C530="",I530="",K530=""),"",IF(K530="Monthly",EDATE(C530,I530),WORKDAY(C530,I530)))</f>
        <v/>
      </c>
      <c r="AS530" s="11"/>
      <c r="AT530" s="23" t="str">
        <f aca="true">IF(C530="","",IF(AM530="Clawed Back","CLAWED",IF(TODAY()&lt;=C530+SETTINGS!$I$2,"⚠ AT RISK","SAFE")))</f>
        <v/>
      </c>
      <c r="AU530" s="11"/>
      <c r="AW530" s="24" t="n">
        <f aca="false">AW529+IF(AND(C530&lt;&gt;"",AO530&lt;&gt;"",OR('REP COMMISSION'!$B$3="",T530='REP COMMISSION'!$B$3,W530='REP COMMISSION'!$B$3,Z530='REP COMMISSION'!$B$3)),1,0)</f>
        <v>0</v>
      </c>
      <c r="AX530" s="24" t="n">
        <f aca="false">AX529+IF(AND(C530&lt;&gt;"",OR(F530="LOC - INITIAL",F530="CONSOLIDATION - UPFRONT COMM",F530="REVERSE - TOTAL FUNDING")),1,0)</f>
        <v>0</v>
      </c>
    </row>
    <row r="531" customFormat="false" ht="15" hidden="false" customHeight="false" outlineLevel="0" collapsed="false">
      <c r="A531" s="25" t="str">
        <f aca="false">IF(C531&lt;&gt;"","F"&amp;COUNT($C$4:C531),"")</f>
        <v/>
      </c>
      <c r="B531" s="26" t="str">
        <f aca="false">IF(OR(F531="LOC - INITIAL",F531="CONSOLIDATION - UPFRONT COMM",F531="REVERSE - TOTAL FUNDING"),A531,"")</f>
        <v/>
      </c>
      <c r="C531" s="27"/>
      <c r="D531" s="28"/>
      <c r="E531" s="28"/>
      <c r="F531" s="28"/>
      <c r="G531" s="29"/>
      <c r="H531" s="30"/>
      <c r="I531" s="28"/>
      <c r="J531" s="31" t="str">
        <f aca="false">IF(AND(G531&lt;&gt;"",H531&lt;&gt;""),G531*H531,"")</f>
        <v/>
      </c>
      <c r="K531" s="28"/>
      <c r="L531" s="32"/>
      <c r="M531" s="32"/>
      <c r="N531" s="31" t="n">
        <f aca="false">IF(OR(G531="",M531=""),0,IF(M531&gt;100,M531,G531*IF(M531&gt;1,M531/100,M531)))</f>
        <v>0</v>
      </c>
      <c r="O531" s="31" t="str">
        <f aca="false">IF(G531="","",G531*IF(L531="",0,IF(L531&gt;1,L531/100,L531))+N531)</f>
        <v/>
      </c>
      <c r="P531" s="28"/>
      <c r="Q531" s="33" t="str">
        <f aca="false">IF(P531="","",IFERROR(VLOOKUP(P531,PARTNERS!$A$2:$B$30,2,0),""))</f>
        <v/>
      </c>
      <c r="R531" s="17" t="str">
        <f aca="false">IF(O531="","",IF(OR(P531="",Q531=""),0,(O531-N531)*IF(Q531&gt;1,Q531/100,Q531)))</f>
        <v/>
      </c>
      <c r="S531" s="31" t="str">
        <f aca="false">IF(O531="","",O531-R531)</f>
        <v/>
      </c>
      <c r="T531" s="28"/>
      <c r="U531" s="34" t="str">
        <f aca="false">IF(T531="","",IFERROR(VLOOKUP(T531,REPS!$A$2:$D$40,2,0),""))</f>
        <v/>
      </c>
      <c r="V531" s="31" t="str">
        <f aca="false">IF(O531="","",IF(U531="",0,O531*IF(U531&gt;1,U531/100,U531)))</f>
        <v/>
      </c>
      <c r="W531" s="28"/>
      <c r="X531" s="34" t="str">
        <f aca="false">IF(W531="","",IFERROR(VLOOKUP(W531,REPS!$A$2:$D$40,3,0),""))</f>
        <v/>
      </c>
      <c r="Y531" s="31" t="str">
        <f aca="false">IF(O531="","",IF(X531="",0,O531*IF(X531&gt;1,X531/100,X531)))</f>
        <v/>
      </c>
      <c r="Z531" s="28"/>
      <c r="AA531" s="34" t="str">
        <f aca="false">IF(Z531="","",IFERROR(VLOOKUP(Z531,REPS!$A$2:$D$40,4,0),""))</f>
        <v/>
      </c>
      <c r="AB531" s="31" t="str">
        <f aca="false">IF(O531="","",IF(AA531="",0,O531*IF(AA531&gt;1,AA531/100,AA531)))</f>
        <v/>
      </c>
      <c r="AC531" s="31" t="str">
        <f aca="false">IF(O531="","",V531+Y531+AB531)</f>
        <v/>
      </c>
      <c r="AD531" s="19" t="str">
        <f aca="false">IF(O531="","",O531-R531-AC531)</f>
        <v/>
      </c>
      <c r="AE531" s="20"/>
      <c r="AF531" s="27"/>
      <c r="AG531" s="21" t="n">
        <f aca="false">IF(OR(AE531="",AE531=0),0,AE531*IF(U531="",0,IF(U531&gt;1,U531/100,U531)))</f>
        <v>0</v>
      </c>
      <c r="AH531" s="21" t="n">
        <f aca="false">IF(OR(AE531="",AE531=0),0,AE531*IF(X531="",0,IF(X531&gt;1,X531/100,X531)))</f>
        <v>0</v>
      </c>
      <c r="AI531" s="21" t="n">
        <f aca="false">IF(OR(AE531="",AE531=0),0,AE531*IF(AA531="",0,IF(AA531&gt;1,AA531/100,AA531)))</f>
        <v>0</v>
      </c>
      <c r="AJ531" s="21" t="n">
        <f aca="false">AG531+AH531+AI531</f>
        <v>0</v>
      </c>
      <c r="AK531" s="21" t="n">
        <f aca="false">IF(OR(AE531="",AE531=0),0,AE531-AJ531)</f>
        <v>0</v>
      </c>
      <c r="AL531" s="19" t="str">
        <f aca="false">IF(AD531="","",AD531-AK531)</f>
        <v/>
      </c>
      <c r="AM531" s="26" t="str">
        <f aca="false">IF(C531="","","Waiting for payment")</f>
        <v/>
      </c>
      <c r="AN531" s="27"/>
      <c r="AO531" s="27"/>
      <c r="AP531" s="35" t="str">
        <f aca="false">IF(OR(C531="",I531="",K531=""),"",IF(K531="Monthly",EDATE(C531,ROUND(I531*SETTINGS!$I$8,0)),WORKDAY(C531,ROUND(I531*SETTINGS!$I$8,0))))</f>
        <v/>
      </c>
      <c r="AQ531" s="26" t="str">
        <f aca="true">IF(C531="","",IF(AND(AP531&lt;&gt;"",TODAY()&gt;=AP531),"Refi Ready",IF(TODAY()-C531&gt;=SETTINGS!$I$11,"Prospecting","Performing")))</f>
        <v/>
      </c>
      <c r="AR531" s="35" t="str">
        <f aca="false">IF(OR(C531="",I531="",K531=""),"",IF(K531="Monthly",EDATE(C531,I531),WORKDAY(C531,I531)))</f>
        <v/>
      </c>
      <c r="AS531" s="28"/>
      <c r="AT531" s="36" t="str">
        <f aca="true">IF(C531="","",IF(AM531="Clawed Back","CLAWED",IF(TODAY()&lt;=C531+SETTINGS!$I$2,"⚠ AT RISK","SAFE")))</f>
        <v/>
      </c>
      <c r="AU531" s="28"/>
      <c r="AW531" s="24" t="n">
        <f aca="false">AW530+IF(AND(C531&lt;&gt;"",AO531&lt;&gt;"",OR('REP COMMISSION'!$B$3="",T531='REP COMMISSION'!$B$3,W531='REP COMMISSION'!$B$3,Z531='REP COMMISSION'!$B$3)),1,0)</f>
        <v>0</v>
      </c>
      <c r="AX531" s="24" t="n">
        <f aca="false">AX530+IF(AND(C531&lt;&gt;"",OR(F531="LOC - INITIAL",F531="CONSOLIDATION - UPFRONT COMM",F531="REVERSE - TOTAL FUNDING")),1,0)</f>
        <v>0</v>
      </c>
    </row>
    <row r="532" customFormat="false" ht="15" hidden="false" customHeight="false" outlineLevel="0" collapsed="false">
      <c r="A532" s="8" t="str">
        <f aca="false">IF(C532&lt;&gt;"","F"&amp;COUNT($C$4:C532),"")</f>
        <v/>
      </c>
      <c r="B532" s="9" t="str">
        <f aca="false">IF(OR(F532="LOC - INITIAL",F532="CONSOLIDATION - UPFRONT COMM",F532="REVERSE - TOTAL FUNDING"),A532,"")</f>
        <v/>
      </c>
      <c r="C532" s="10"/>
      <c r="D532" s="11"/>
      <c r="E532" s="11"/>
      <c r="F532" s="11"/>
      <c r="G532" s="12"/>
      <c r="H532" s="13"/>
      <c r="I532" s="11"/>
      <c r="J532" s="14" t="str">
        <f aca="false">IF(AND(G532&lt;&gt;"",H532&lt;&gt;""),G532*H532,"")</f>
        <v/>
      </c>
      <c r="K532" s="11"/>
      <c r="L532" s="15"/>
      <c r="M532" s="15"/>
      <c r="N532" s="14" t="n">
        <f aca="false">IF(OR(G532="",M532=""),0,IF(M532&gt;100,M532,G532*IF(M532&gt;1,M532/100,M532)))</f>
        <v>0</v>
      </c>
      <c r="O532" s="14" t="str">
        <f aca="false">IF(G532="","",G532*IF(L532="",0,IF(L532&gt;1,L532/100,L532))+N532)</f>
        <v/>
      </c>
      <c r="P532" s="11"/>
      <c r="Q532" s="16" t="str">
        <f aca="false">IF(P532="","",IFERROR(VLOOKUP(P532,PARTNERS!$A$2:$B$30,2,0),""))</f>
        <v/>
      </c>
      <c r="R532" s="17" t="str">
        <f aca="false">IF(O532="","",IF(OR(P532="",Q532=""),0,(O532-N532)*IF(Q532&gt;1,Q532/100,Q532)))</f>
        <v/>
      </c>
      <c r="S532" s="14" t="str">
        <f aca="false">IF(O532="","",O532-R532)</f>
        <v/>
      </c>
      <c r="T532" s="11"/>
      <c r="U532" s="18" t="str">
        <f aca="false">IF(T532="","",IFERROR(VLOOKUP(T532,REPS!$A$2:$D$40,2,0),""))</f>
        <v/>
      </c>
      <c r="V532" s="14" t="str">
        <f aca="false">IF(O532="","",IF(U532="",0,O532*IF(U532&gt;1,U532/100,U532)))</f>
        <v/>
      </c>
      <c r="W532" s="11"/>
      <c r="X532" s="18" t="str">
        <f aca="false">IF(W532="","",IFERROR(VLOOKUP(W532,REPS!$A$2:$D$40,3,0),""))</f>
        <v/>
      </c>
      <c r="Y532" s="14" t="str">
        <f aca="false">IF(O532="","",IF(X532="",0,O532*IF(X532&gt;1,X532/100,X532)))</f>
        <v/>
      </c>
      <c r="Z532" s="11"/>
      <c r="AA532" s="18" t="str">
        <f aca="false">IF(Z532="","",IFERROR(VLOOKUP(Z532,REPS!$A$2:$D$40,4,0),""))</f>
        <v/>
      </c>
      <c r="AB532" s="14" t="str">
        <f aca="false">IF(O532="","",IF(AA532="",0,O532*IF(AA532&gt;1,AA532/100,AA532)))</f>
        <v/>
      </c>
      <c r="AC532" s="14" t="str">
        <f aca="false">IF(O532="","",V532+Y532+AB532)</f>
        <v/>
      </c>
      <c r="AD532" s="19" t="str">
        <f aca="false">IF(O532="","",O532-R532-AC532)</f>
        <v/>
      </c>
      <c r="AE532" s="20"/>
      <c r="AF532" s="10"/>
      <c r="AG532" s="21" t="n">
        <f aca="false">IF(OR(AE532="",AE532=0),0,AE532*IF(U532="",0,IF(U532&gt;1,U532/100,U532)))</f>
        <v>0</v>
      </c>
      <c r="AH532" s="21" t="n">
        <f aca="false">IF(OR(AE532="",AE532=0),0,AE532*IF(X532="",0,IF(X532&gt;1,X532/100,X532)))</f>
        <v>0</v>
      </c>
      <c r="AI532" s="21" t="n">
        <f aca="false">IF(OR(AE532="",AE532=0),0,AE532*IF(AA532="",0,IF(AA532&gt;1,AA532/100,AA532)))</f>
        <v>0</v>
      </c>
      <c r="AJ532" s="21" t="n">
        <f aca="false">AG532+AH532+AI532</f>
        <v>0</v>
      </c>
      <c r="AK532" s="21" t="n">
        <f aca="false">IF(OR(AE532="",AE532=0),0,AE532-AJ532)</f>
        <v>0</v>
      </c>
      <c r="AL532" s="19" t="str">
        <f aca="false">IF(AD532="","",AD532-AK532)</f>
        <v/>
      </c>
      <c r="AM532" s="9" t="str">
        <f aca="false">IF(C532="","","Waiting for payment")</f>
        <v/>
      </c>
      <c r="AN532" s="10"/>
      <c r="AO532" s="10"/>
      <c r="AP532" s="22" t="str">
        <f aca="false">IF(OR(C532="",I532="",K532=""),"",IF(K532="Monthly",EDATE(C532,ROUND(I532*SETTINGS!$I$8,0)),WORKDAY(C532,ROUND(I532*SETTINGS!$I$8,0))))</f>
        <v/>
      </c>
      <c r="AQ532" s="9" t="str">
        <f aca="true">IF(C532="","",IF(AND(AP532&lt;&gt;"",TODAY()&gt;=AP532),"Refi Ready",IF(TODAY()-C532&gt;=SETTINGS!$I$11,"Prospecting","Performing")))</f>
        <v/>
      </c>
      <c r="AR532" s="22" t="str">
        <f aca="false">IF(OR(C532="",I532="",K532=""),"",IF(K532="Monthly",EDATE(C532,I532),WORKDAY(C532,I532)))</f>
        <v/>
      </c>
      <c r="AS532" s="11"/>
      <c r="AT532" s="23" t="str">
        <f aca="true">IF(C532="","",IF(AM532="Clawed Back","CLAWED",IF(TODAY()&lt;=C532+SETTINGS!$I$2,"⚠ AT RISK","SAFE")))</f>
        <v/>
      </c>
      <c r="AU532" s="11"/>
      <c r="AW532" s="24" t="n">
        <f aca="false">AW531+IF(AND(C532&lt;&gt;"",AO532&lt;&gt;"",OR('REP COMMISSION'!$B$3="",T532='REP COMMISSION'!$B$3,W532='REP COMMISSION'!$B$3,Z532='REP COMMISSION'!$B$3)),1,0)</f>
        <v>0</v>
      </c>
      <c r="AX532" s="24" t="n">
        <f aca="false">AX531+IF(AND(C532&lt;&gt;"",OR(F532="LOC - INITIAL",F532="CONSOLIDATION - UPFRONT COMM",F532="REVERSE - TOTAL FUNDING")),1,0)</f>
        <v>0</v>
      </c>
    </row>
    <row r="533" customFormat="false" ht="15" hidden="false" customHeight="false" outlineLevel="0" collapsed="false">
      <c r="A533" s="25" t="str">
        <f aca="false">IF(C533&lt;&gt;"","F"&amp;COUNT($C$4:C533),"")</f>
        <v/>
      </c>
      <c r="B533" s="26" t="str">
        <f aca="false">IF(OR(F533="LOC - INITIAL",F533="CONSOLIDATION - UPFRONT COMM",F533="REVERSE - TOTAL FUNDING"),A533,"")</f>
        <v/>
      </c>
      <c r="C533" s="27"/>
      <c r="D533" s="28"/>
      <c r="E533" s="28"/>
      <c r="F533" s="28"/>
      <c r="G533" s="29"/>
      <c r="H533" s="30"/>
      <c r="I533" s="28"/>
      <c r="J533" s="31" t="str">
        <f aca="false">IF(AND(G533&lt;&gt;"",H533&lt;&gt;""),G533*H533,"")</f>
        <v/>
      </c>
      <c r="K533" s="28"/>
      <c r="L533" s="32"/>
      <c r="M533" s="32"/>
      <c r="N533" s="31" t="n">
        <f aca="false">IF(OR(G533="",M533=""),0,IF(M533&gt;100,M533,G533*IF(M533&gt;1,M533/100,M533)))</f>
        <v>0</v>
      </c>
      <c r="O533" s="31" t="str">
        <f aca="false">IF(G533="","",G533*IF(L533="",0,IF(L533&gt;1,L533/100,L533))+N533)</f>
        <v/>
      </c>
      <c r="P533" s="28"/>
      <c r="Q533" s="33" t="str">
        <f aca="false">IF(P533="","",IFERROR(VLOOKUP(P533,PARTNERS!$A$2:$B$30,2,0),""))</f>
        <v/>
      </c>
      <c r="R533" s="17" t="str">
        <f aca="false">IF(O533="","",IF(OR(P533="",Q533=""),0,(O533-N533)*IF(Q533&gt;1,Q533/100,Q533)))</f>
        <v/>
      </c>
      <c r="S533" s="31" t="str">
        <f aca="false">IF(O533="","",O533-R533)</f>
        <v/>
      </c>
      <c r="T533" s="28"/>
      <c r="U533" s="34" t="str">
        <f aca="false">IF(T533="","",IFERROR(VLOOKUP(T533,REPS!$A$2:$D$40,2,0),""))</f>
        <v/>
      </c>
      <c r="V533" s="31" t="str">
        <f aca="false">IF(O533="","",IF(U533="",0,O533*IF(U533&gt;1,U533/100,U533)))</f>
        <v/>
      </c>
      <c r="W533" s="28"/>
      <c r="X533" s="34" t="str">
        <f aca="false">IF(W533="","",IFERROR(VLOOKUP(W533,REPS!$A$2:$D$40,3,0),""))</f>
        <v/>
      </c>
      <c r="Y533" s="31" t="str">
        <f aca="false">IF(O533="","",IF(X533="",0,O533*IF(X533&gt;1,X533/100,X533)))</f>
        <v/>
      </c>
      <c r="Z533" s="28"/>
      <c r="AA533" s="34" t="str">
        <f aca="false">IF(Z533="","",IFERROR(VLOOKUP(Z533,REPS!$A$2:$D$40,4,0),""))</f>
        <v/>
      </c>
      <c r="AB533" s="31" t="str">
        <f aca="false">IF(O533="","",IF(AA533="",0,O533*IF(AA533&gt;1,AA533/100,AA533)))</f>
        <v/>
      </c>
      <c r="AC533" s="31" t="str">
        <f aca="false">IF(O533="","",V533+Y533+AB533)</f>
        <v/>
      </c>
      <c r="AD533" s="19" t="str">
        <f aca="false">IF(O533="","",O533-R533-AC533)</f>
        <v/>
      </c>
      <c r="AE533" s="20"/>
      <c r="AF533" s="27"/>
      <c r="AG533" s="21" t="n">
        <f aca="false">IF(OR(AE533="",AE533=0),0,AE533*IF(U533="",0,IF(U533&gt;1,U533/100,U533)))</f>
        <v>0</v>
      </c>
      <c r="AH533" s="21" t="n">
        <f aca="false">IF(OR(AE533="",AE533=0),0,AE533*IF(X533="",0,IF(X533&gt;1,X533/100,X533)))</f>
        <v>0</v>
      </c>
      <c r="AI533" s="21" t="n">
        <f aca="false">IF(OR(AE533="",AE533=0),0,AE533*IF(AA533="",0,IF(AA533&gt;1,AA533/100,AA533)))</f>
        <v>0</v>
      </c>
      <c r="AJ533" s="21" t="n">
        <f aca="false">AG533+AH533+AI533</f>
        <v>0</v>
      </c>
      <c r="AK533" s="21" t="n">
        <f aca="false">IF(OR(AE533="",AE533=0),0,AE533-AJ533)</f>
        <v>0</v>
      </c>
      <c r="AL533" s="19" t="str">
        <f aca="false">IF(AD533="","",AD533-AK533)</f>
        <v/>
      </c>
      <c r="AM533" s="26" t="str">
        <f aca="false">IF(C533="","","Waiting for payment")</f>
        <v/>
      </c>
      <c r="AN533" s="27"/>
      <c r="AO533" s="27"/>
      <c r="AP533" s="35" t="str">
        <f aca="false">IF(OR(C533="",I533="",K533=""),"",IF(K533="Monthly",EDATE(C533,ROUND(I533*SETTINGS!$I$8,0)),WORKDAY(C533,ROUND(I533*SETTINGS!$I$8,0))))</f>
        <v/>
      </c>
      <c r="AQ533" s="26" t="str">
        <f aca="true">IF(C533="","",IF(AND(AP533&lt;&gt;"",TODAY()&gt;=AP533),"Refi Ready",IF(TODAY()-C533&gt;=SETTINGS!$I$11,"Prospecting","Performing")))</f>
        <v/>
      </c>
      <c r="AR533" s="35" t="str">
        <f aca="false">IF(OR(C533="",I533="",K533=""),"",IF(K533="Monthly",EDATE(C533,I533),WORKDAY(C533,I533)))</f>
        <v/>
      </c>
      <c r="AS533" s="28"/>
      <c r="AT533" s="36" t="str">
        <f aca="true">IF(C533="","",IF(AM533="Clawed Back","CLAWED",IF(TODAY()&lt;=C533+SETTINGS!$I$2,"⚠ AT RISK","SAFE")))</f>
        <v/>
      </c>
      <c r="AU533" s="28"/>
      <c r="AW533" s="24" t="n">
        <f aca="false">AW532+IF(AND(C533&lt;&gt;"",AO533&lt;&gt;"",OR('REP COMMISSION'!$B$3="",T533='REP COMMISSION'!$B$3,W533='REP COMMISSION'!$B$3,Z533='REP COMMISSION'!$B$3)),1,0)</f>
        <v>0</v>
      </c>
      <c r="AX533" s="24" t="n">
        <f aca="false">AX532+IF(AND(C533&lt;&gt;"",OR(F533="LOC - INITIAL",F533="CONSOLIDATION - UPFRONT COMM",F533="REVERSE - TOTAL FUNDING")),1,0)</f>
        <v>0</v>
      </c>
    </row>
    <row r="534" customFormat="false" ht="15" hidden="false" customHeight="false" outlineLevel="0" collapsed="false">
      <c r="A534" s="8" t="str">
        <f aca="false">IF(C534&lt;&gt;"","F"&amp;COUNT($C$4:C534),"")</f>
        <v/>
      </c>
      <c r="B534" s="9" t="str">
        <f aca="false">IF(OR(F534="LOC - INITIAL",F534="CONSOLIDATION - UPFRONT COMM",F534="REVERSE - TOTAL FUNDING"),A534,"")</f>
        <v/>
      </c>
      <c r="C534" s="10"/>
      <c r="D534" s="11"/>
      <c r="E534" s="11"/>
      <c r="F534" s="11"/>
      <c r="G534" s="12"/>
      <c r="H534" s="13"/>
      <c r="I534" s="11"/>
      <c r="J534" s="14" t="str">
        <f aca="false">IF(AND(G534&lt;&gt;"",H534&lt;&gt;""),G534*H534,"")</f>
        <v/>
      </c>
      <c r="K534" s="11"/>
      <c r="L534" s="15"/>
      <c r="M534" s="15"/>
      <c r="N534" s="14" t="n">
        <f aca="false">IF(OR(G534="",M534=""),0,IF(M534&gt;100,M534,G534*IF(M534&gt;1,M534/100,M534)))</f>
        <v>0</v>
      </c>
      <c r="O534" s="14" t="str">
        <f aca="false">IF(G534="","",G534*IF(L534="",0,IF(L534&gt;1,L534/100,L534))+N534)</f>
        <v/>
      </c>
      <c r="P534" s="11"/>
      <c r="Q534" s="16" t="str">
        <f aca="false">IF(P534="","",IFERROR(VLOOKUP(P534,PARTNERS!$A$2:$B$30,2,0),""))</f>
        <v/>
      </c>
      <c r="R534" s="17" t="str">
        <f aca="false">IF(O534="","",IF(OR(P534="",Q534=""),0,(O534-N534)*IF(Q534&gt;1,Q534/100,Q534)))</f>
        <v/>
      </c>
      <c r="S534" s="14" t="str">
        <f aca="false">IF(O534="","",O534-R534)</f>
        <v/>
      </c>
      <c r="T534" s="11"/>
      <c r="U534" s="18" t="str">
        <f aca="false">IF(T534="","",IFERROR(VLOOKUP(T534,REPS!$A$2:$D$40,2,0),""))</f>
        <v/>
      </c>
      <c r="V534" s="14" t="str">
        <f aca="false">IF(O534="","",IF(U534="",0,O534*IF(U534&gt;1,U534/100,U534)))</f>
        <v/>
      </c>
      <c r="W534" s="11"/>
      <c r="X534" s="18" t="str">
        <f aca="false">IF(W534="","",IFERROR(VLOOKUP(W534,REPS!$A$2:$D$40,3,0),""))</f>
        <v/>
      </c>
      <c r="Y534" s="14" t="str">
        <f aca="false">IF(O534="","",IF(X534="",0,O534*IF(X534&gt;1,X534/100,X534)))</f>
        <v/>
      </c>
      <c r="Z534" s="11"/>
      <c r="AA534" s="18" t="str">
        <f aca="false">IF(Z534="","",IFERROR(VLOOKUP(Z534,REPS!$A$2:$D$40,4,0),""))</f>
        <v/>
      </c>
      <c r="AB534" s="14" t="str">
        <f aca="false">IF(O534="","",IF(AA534="",0,O534*IF(AA534&gt;1,AA534/100,AA534)))</f>
        <v/>
      </c>
      <c r="AC534" s="14" t="str">
        <f aca="false">IF(O534="","",V534+Y534+AB534)</f>
        <v/>
      </c>
      <c r="AD534" s="19" t="str">
        <f aca="false">IF(O534="","",O534-R534-AC534)</f>
        <v/>
      </c>
      <c r="AE534" s="20"/>
      <c r="AF534" s="10"/>
      <c r="AG534" s="21" t="n">
        <f aca="false">IF(OR(AE534="",AE534=0),0,AE534*IF(U534="",0,IF(U534&gt;1,U534/100,U534)))</f>
        <v>0</v>
      </c>
      <c r="AH534" s="21" t="n">
        <f aca="false">IF(OR(AE534="",AE534=0),0,AE534*IF(X534="",0,IF(X534&gt;1,X534/100,X534)))</f>
        <v>0</v>
      </c>
      <c r="AI534" s="21" t="n">
        <f aca="false">IF(OR(AE534="",AE534=0),0,AE534*IF(AA534="",0,IF(AA534&gt;1,AA534/100,AA534)))</f>
        <v>0</v>
      </c>
      <c r="AJ534" s="21" t="n">
        <f aca="false">AG534+AH534+AI534</f>
        <v>0</v>
      </c>
      <c r="AK534" s="21" t="n">
        <f aca="false">IF(OR(AE534="",AE534=0),0,AE534-AJ534)</f>
        <v>0</v>
      </c>
      <c r="AL534" s="19" t="str">
        <f aca="false">IF(AD534="","",AD534-AK534)</f>
        <v/>
      </c>
      <c r="AM534" s="9" t="str">
        <f aca="false">IF(C534="","","Waiting for payment")</f>
        <v/>
      </c>
      <c r="AN534" s="10"/>
      <c r="AO534" s="10"/>
      <c r="AP534" s="22" t="str">
        <f aca="false">IF(OR(C534="",I534="",K534=""),"",IF(K534="Monthly",EDATE(C534,ROUND(I534*SETTINGS!$I$8,0)),WORKDAY(C534,ROUND(I534*SETTINGS!$I$8,0))))</f>
        <v/>
      </c>
      <c r="AQ534" s="9" t="str">
        <f aca="true">IF(C534="","",IF(AND(AP534&lt;&gt;"",TODAY()&gt;=AP534),"Refi Ready",IF(TODAY()-C534&gt;=SETTINGS!$I$11,"Prospecting","Performing")))</f>
        <v/>
      </c>
      <c r="AR534" s="22" t="str">
        <f aca="false">IF(OR(C534="",I534="",K534=""),"",IF(K534="Monthly",EDATE(C534,I534),WORKDAY(C534,I534)))</f>
        <v/>
      </c>
      <c r="AS534" s="11"/>
      <c r="AT534" s="23" t="str">
        <f aca="true">IF(C534="","",IF(AM534="Clawed Back","CLAWED",IF(TODAY()&lt;=C534+SETTINGS!$I$2,"⚠ AT RISK","SAFE")))</f>
        <v/>
      </c>
      <c r="AU534" s="11"/>
      <c r="AW534" s="24" t="n">
        <f aca="false">AW533+IF(AND(C534&lt;&gt;"",AO534&lt;&gt;"",OR('REP COMMISSION'!$B$3="",T534='REP COMMISSION'!$B$3,W534='REP COMMISSION'!$B$3,Z534='REP COMMISSION'!$B$3)),1,0)</f>
        <v>0</v>
      </c>
      <c r="AX534" s="24" t="n">
        <f aca="false">AX533+IF(AND(C534&lt;&gt;"",OR(F534="LOC - INITIAL",F534="CONSOLIDATION - UPFRONT COMM",F534="REVERSE - TOTAL FUNDING")),1,0)</f>
        <v>0</v>
      </c>
    </row>
    <row r="535" customFormat="false" ht="15" hidden="false" customHeight="false" outlineLevel="0" collapsed="false">
      <c r="A535" s="25" t="str">
        <f aca="false">IF(C535&lt;&gt;"","F"&amp;COUNT($C$4:C535),"")</f>
        <v/>
      </c>
      <c r="B535" s="26" t="str">
        <f aca="false">IF(OR(F535="LOC - INITIAL",F535="CONSOLIDATION - UPFRONT COMM",F535="REVERSE - TOTAL FUNDING"),A535,"")</f>
        <v/>
      </c>
      <c r="C535" s="27"/>
      <c r="D535" s="28"/>
      <c r="E535" s="28"/>
      <c r="F535" s="28"/>
      <c r="G535" s="29"/>
      <c r="H535" s="30"/>
      <c r="I535" s="28"/>
      <c r="J535" s="31" t="str">
        <f aca="false">IF(AND(G535&lt;&gt;"",H535&lt;&gt;""),G535*H535,"")</f>
        <v/>
      </c>
      <c r="K535" s="28"/>
      <c r="L535" s="32"/>
      <c r="M535" s="32"/>
      <c r="N535" s="31" t="n">
        <f aca="false">IF(OR(G535="",M535=""),0,IF(M535&gt;100,M535,G535*IF(M535&gt;1,M535/100,M535)))</f>
        <v>0</v>
      </c>
      <c r="O535" s="31" t="str">
        <f aca="false">IF(G535="","",G535*IF(L535="",0,IF(L535&gt;1,L535/100,L535))+N535)</f>
        <v/>
      </c>
      <c r="P535" s="28"/>
      <c r="Q535" s="33" t="str">
        <f aca="false">IF(P535="","",IFERROR(VLOOKUP(P535,PARTNERS!$A$2:$B$30,2,0),""))</f>
        <v/>
      </c>
      <c r="R535" s="17" t="str">
        <f aca="false">IF(O535="","",IF(OR(P535="",Q535=""),0,(O535-N535)*IF(Q535&gt;1,Q535/100,Q535)))</f>
        <v/>
      </c>
      <c r="S535" s="31" t="str">
        <f aca="false">IF(O535="","",O535-R535)</f>
        <v/>
      </c>
      <c r="T535" s="28"/>
      <c r="U535" s="34" t="str">
        <f aca="false">IF(T535="","",IFERROR(VLOOKUP(T535,REPS!$A$2:$D$40,2,0),""))</f>
        <v/>
      </c>
      <c r="V535" s="31" t="str">
        <f aca="false">IF(O535="","",IF(U535="",0,O535*IF(U535&gt;1,U535/100,U535)))</f>
        <v/>
      </c>
      <c r="W535" s="28"/>
      <c r="X535" s="34" t="str">
        <f aca="false">IF(W535="","",IFERROR(VLOOKUP(W535,REPS!$A$2:$D$40,3,0),""))</f>
        <v/>
      </c>
      <c r="Y535" s="31" t="str">
        <f aca="false">IF(O535="","",IF(X535="",0,O535*IF(X535&gt;1,X535/100,X535)))</f>
        <v/>
      </c>
      <c r="Z535" s="28"/>
      <c r="AA535" s="34" t="str">
        <f aca="false">IF(Z535="","",IFERROR(VLOOKUP(Z535,REPS!$A$2:$D$40,4,0),""))</f>
        <v/>
      </c>
      <c r="AB535" s="31" t="str">
        <f aca="false">IF(O535="","",IF(AA535="",0,O535*IF(AA535&gt;1,AA535/100,AA535)))</f>
        <v/>
      </c>
      <c r="AC535" s="31" t="str">
        <f aca="false">IF(O535="","",V535+Y535+AB535)</f>
        <v/>
      </c>
      <c r="AD535" s="19" t="str">
        <f aca="false">IF(O535="","",O535-R535-AC535)</f>
        <v/>
      </c>
      <c r="AE535" s="20"/>
      <c r="AF535" s="27"/>
      <c r="AG535" s="21" t="n">
        <f aca="false">IF(OR(AE535="",AE535=0),0,AE535*IF(U535="",0,IF(U535&gt;1,U535/100,U535)))</f>
        <v>0</v>
      </c>
      <c r="AH535" s="21" t="n">
        <f aca="false">IF(OR(AE535="",AE535=0),0,AE535*IF(X535="",0,IF(X535&gt;1,X535/100,X535)))</f>
        <v>0</v>
      </c>
      <c r="AI535" s="21" t="n">
        <f aca="false">IF(OR(AE535="",AE535=0),0,AE535*IF(AA535="",0,IF(AA535&gt;1,AA535/100,AA535)))</f>
        <v>0</v>
      </c>
      <c r="AJ535" s="21" t="n">
        <f aca="false">AG535+AH535+AI535</f>
        <v>0</v>
      </c>
      <c r="AK535" s="21" t="n">
        <f aca="false">IF(OR(AE535="",AE535=0),0,AE535-AJ535)</f>
        <v>0</v>
      </c>
      <c r="AL535" s="19" t="str">
        <f aca="false">IF(AD535="","",AD535-AK535)</f>
        <v/>
      </c>
      <c r="AM535" s="26" t="str">
        <f aca="false">IF(C535="","","Waiting for payment")</f>
        <v/>
      </c>
      <c r="AN535" s="27"/>
      <c r="AO535" s="27"/>
      <c r="AP535" s="35" t="str">
        <f aca="false">IF(OR(C535="",I535="",K535=""),"",IF(K535="Monthly",EDATE(C535,ROUND(I535*SETTINGS!$I$8,0)),WORKDAY(C535,ROUND(I535*SETTINGS!$I$8,0))))</f>
        <v/>
      </c>
      <c r="AQ535" s="26" t="str">
        <f aca="true">IF(C535="","",IF(AND(AP535&lt;&gt;"",TODAY()&gt;=AP535),"Refi Ready",IF(TODAY()-C535&gt;=SETTINGS!$I$11,"Prospecting","Performing")))</f>
        <v/>
      </c>
      <c r="AR535" s="35" t="str">
        <f aca="false">IF(OR(C535="",I535="",K535=""),"",IF(K535="Monthly",EDATE(C535,I535),WORKDAY(C535,I535)))</f>
        <v/>
      </c>
      <c r="AS535" s="28"/>
      <c r="AT535" s="36" t="str">
        <f aca="true">IF(C535="","",IF(AM535="Clawed Back","CLAWED",IF(TODAY()&lt;=C535+SETTINGS!$I$2,"⚠ AT RISK","SAFE")))</f>
        <v/>
      </c>
      <c r="AU535" s="28"/>
      <c r="AW535" s="24" t="n">
        <f aca="false">AW534+IF(AND(C535&lt;&gt;"",AO535&lt;&gt;"",OR('REP COMMISSION'!$B$3="",T535='REP COMMISSION'!$B$3,W535='REP COMMISSION'!$B$3,Z535='REP COMMISSION'!$B$3)),1,0)</f>
        <v>0</v>
      </c>
      <c r="AX535" s="24" t="n">
        <f aca="false">AX534+IF(AND(C535&lt;&gt;"",OR(F535="LOC - INITIAL",F535="CONSOLIDATION - UPFRONT COMM",F535="REVERSE - TOTAL FUNDING")),1,0)</f>
        <v>0</v>
      </c>
    </row>
    <row r="536" customFormat="false" ht="15" hidden="false" customHeight="false" outlineLevel="0" collapsed="false">
      <c r="A536" s="8" t="str">
        <f aca="false">IF(C536&lt;&gt;"","F"&amp;COUNT($C$4:C536),"")</f>
        <v/>
      </c>
      <c r="B536" s="9" t="str">
        <f aca="false">IF(OR(F536="LOC - INITIAL",F536="CONSOLIDATION - UPFRONT COMM",F536="REVERSE - TOTAL FUNDING"),A536,"")</f>
        <v/>
      </c>
      <c r="C536" s="10"/>
      <c r="D536" s="11"/>
      <c r="E536" s="11"/>
      <c r="F536" s="11"/>
      <c r="G536" s="12"/>
      <c r="H536" s="13"/>
      <c r="I536" s="11"/>
      <c r="J536" s="14" t="str">
        <f aca="false">IF(AND(G536&lt;&gt;"",H536&lt;&gt;""),G536*H536,"")</f>
        <v/>
      </c>
      <c r="K536" s="11"/>
      <c r="L536" s="15"/>
      <c r="M536" s="15"/>
      <c r="N536" s="14" t="n">
        <f aca="false">IF(OR(G536="",M536=""),0,IF(M536&gt;100,M536,G536*IF(M536&gt;1,M536/100,M536)))</f>
        <v>0</v>
      </c>
      <c r="O536" s="14" t="str">
        <f aca="false">IF(G536="","",G536*IF(L536="",0,IF(L536&gt;1,L536/100,L536))+N536)</f>
        <v/>
      </c>
      <c r="P536" s="11"/>
      <c r="Q536" s="16" t="str">
        <f aca="false">IF(P536="","",IFERROR(VLOOKUP(P536,PARTNERS!$A$2:$B$30,2,0),""))</f>
        <v/>
      </c>
      <c r="R536" s="17" t="str">
        <f aca="false">IF(O536="","",IF(OR(P536="",Q536=""),0,(O536-N536)*IF(Q536&gt;1,Q536/100,Q536)))</f>
        <v/>
      </c>
      <c r="S536" s="14" t="str">
        <f aca="false">IF(O536="","",O536-R536)</f>
        <v/>
      </c>
      <c r="T536" s="11"/>
      <c r="U536" s="18" t="str">
        <f aca="false">IF(T536="","",IFERROR(VLOOKUP(T536,REPS!$A$2:$D$40,2,0),""))</f>
        <v/>
      </c>
      <c r="V536" s="14" t="str">
        <f aca="false">IF(O536="","",IF(U536="",0,O536*IF(U536&gt;1,U536/100,U536)))</f>
        <v/>
      </c>
      <c r="W536" s="11"/>
      <c r="X536" s="18" t="str">
        <f aca="false">IF(W536="","",IFERROR(VLOOKUP(W536,REPS!$A$2:$D$40,3,0),""))</f>
        <v/>
      </c>
      <c r="Y536" s="14" t="str">
        <f aca="false">IF(O536="","",IF(X536="",0,O536*IF(X536&gt;1,X536/100,X536)))</f>
        <v/>
      </c>
      <c r="Z536" s="11"/>
      <c r="AA536" s="18" t="str">
        <f aca="false">IF(Z536="","",IFERROR(VLOOKUP(Z536,REPS!$A$2:$D$40,4,0),""))</f>
        <v/>
      </c>
      <c r="AB536" s="14" t="str">
        <f aca="false">IF(O536="","",IF(AA536="",0,O536*IF(AA536&gt;1,AA536/100,AA536)))</f>
        <v/>
      </c>
      <c r="AC536" s="14" t="str">
        <f aca="false">IF(O536="","",V536+Y536+AB536)</f>
        <v/>
      </c>
      <c r="AD536" s="19" t="str">
        <f aca="false">IF(O536="","",O536-R536-AC536)</f>
        <v/>
      </c>
      <c r="AE536" s="20"/>
      <c r="AF536" s="10"/>
      <c r="AG536" s="21" t="n">
        <f aca="false">IF(OR(AE536="",AE536=0),0,AE536*IF(U536="",0,IF(U536&gt;1,U536/100,U536)))</f>
        <v>0</v>
      </c>
      <c r="AH536" s="21" t="n">
        <f aca="false">IF(OR(AE536="",AE536=0),0,AE536*IF(X536="",0,IF(X536&gt;1,X536/100,X536)))</f>
        <v>0</v>
      </c>
      <c r="AI536" s="21" t="n">
        <f aca="false">IF(OR(AE536="",AE536=0),0,AE536*IF(AA536="",0,IF(AA536&gt;1,AA536/100,AA536)))</f>
        <v>0</v>
      </c>
      <c r="AJ536" s="21" t="n">
        <f aca="false">AG536+AH536+AI536</f>
        <v>0</v>
      </c>
      <c r="AK536" s="21" t="n">
        <f aca="false">IF(OR(AE536="",AE536=0),0,AE536-AJ536)</f>
        <v>0</v>
      </c>
      <c r="AL536" s="19" t="str">
        <f aca="false">IF(AD536="","",AD536-AK536)</f>
        <v/>
      </c>
      <c r="AM536" s="9" t="str">
        <f aca="false">IF(C536="","","Waiting for payment")</f>
        <v/>
      </c>
      <c r="AN536" s="10"/>
      <c r="AO536" s="10"/>
      <c r="AP536" s="22" t="str">
        <f aca="false">IF(OR(C536="",I536="",K536=""),"",IF(K536="Monthly",EDATE(C536,ROUND(I536*SETTINGS!$I$8,0)),WORKDAY(C536,ROUND(I536*SETTINGS!$I$8,0))))</f>
        <v/>
      </c>
      <c r="AQ536" s="9" t="str">
        <f aca="true">IF(C536="","",IF(AND(AP536&lt;&gt;"",TODAY()&gt;=AP536),"Refi Ready",IF(TODAY()-C536&gt;=SETTINGS!$I$11,"Prospecting","Performing")))</f>
        <v/>
      </c>
      <c r="AR536" s="22" t="str">
        <f aca="false">IF(OR(C536="",I536="",K536=""),"",IF(K536="Monthly",EDATE(C536,I536),WORKDAY(C536,I536)))</f>
        <v/>
      </c>
      <c r="AS536" s="11"/>
      <c r="AT536" s="23" t="str">
        <f aca="true">IF(C536="","",IF(AM536="Clawed Back","CLAWED",IF(TODAY()&lt;=C536+SETTINGS!$I$2,"⚠ AT RISK","SAFE")))</f>
        <v/>
      </c>
      <c r="AU536" s="11"/>
      <c r="AW536" s="24" t="n">
        <f aca="false">AW535+IF(AND(C536&lt;&gt;"",AO536&lt;&gt;"",OR('REP COMMISSION'!$B$3="",T536='REP COMMISSION'!$B$3,W536='REP COMMISSION'!$B$3,Z536='REP COMMISSION'!$B$3)),1,0)</f>
        <v>0</v>
      </c>
      <c r="AX536" s="24" t="n">
        <f aca="false">AX535+IF(AND(C536&lt;&gt;"",OR(F536="LOC - INITIAL",F536="CONSOLIDATION - UPFRONT COMM",F536="REVERSE - TOTAL FUNDING")),1,0)</f>
        <v>0</v>
      </c>
    </row>
    <row r="537" customFormat="false" ht="15" hidden="false" customHeight="false" outlineLevel="0" collapsed="false">
      <c r="A537" s="25" t="str">
        <f aca="false">IF(C537&lt;&gt;"","F"&amp;COUNT($C$4:C537),"")</f>
        <v/>
      </c>
      <c r="B537" s="26" t="str">
        <f aca="false">IF(OR(F537="LOC - INITIAL",F537="CONSOLIDATION - UPFRONT COMM",F537="REVERSE - TOTAL FUNDING"),A537,"")</f>
        <v/>
      </c>
      <c r="C537" s="27"/>
      <c r="D537" s="28"/>
      <c r="E537" s="28"/>
      <c r="F537" s="28"/>
      <c r="G537" s="29"/>
      <c r="H537" s="30"/>
      <c r="I537" s="28"/>
      <c r="J537" s="31" t="str">
        <f aca="false">IF(AND(G537&lt;&gt;"",H537&lt;&gt;""),G537*H537,"")</f>
        <v/>
      </c>
      <c r="K537" s="28"/>
      <c r="L537" s="32"/>
      <c r="M537" s="32"/>
      <c r="N537" s="31" t="n">
        <f aca="false">IF(OR(G537="",M537=""),0,IF(M537&gt;100,M537,G537*IF(M537&gt;1,M537/100,M537)))</f>
        <v>0</v>
      </c>
      <c r="O537" s="31" t="str">
        <f aca="false">IF(G537="","",G537*IF(L537="",0,IF(L537&gt;1,L537/100,L537))+N537)</f>
        <v/>
      </c>
      <c r="P537" s="28"/>
      <c r="Q537" s="33" t="str">
        <f aca="false">IF(P537="","",IFERROR(VLOOKUP(P537,PARTNERS!$A$2:$B$30,2,0),""))</f>
        <v/>
      </c>
      <c r="R537" s="17" t="str">
        <f aca="false">IF(O537="","",IF(OR(P537="",Q537=""),0,(O537-N537)*IF(Q537&gt;1,Q537/100,Q537)))</f>
        <v/>
      </c>
      <c r="S537" s="31" t="str">
        <f aca="false">IF(O537="","",O537-R537)</f>
        <v/>
      </c>
      <c r="T537" s="28"/>
      <c r="U537" s="34" t="str">
        <f aca="false">IF(T537="","",IFERROR(VLOOKUP(T537,REPS!$A$2:$D$40,2,0),""))</f>
        <v/>
      </c>
      <c r="V537" s="31" t="str">
        <f aca="false">IF(O537="","",IF(U537="",0,O537*IF(U537&gt;1,U537/100,U537)))</f>
        <v/>
      </c>
      <c r="W537" s="28"/>
      <c r="X537" s="34" t="str">
        <f aca="false">IF(W537="","",IFERROR(VLOOKUP(W537,REPS!$A$2:$D$40,3,0),""))</f>
        <v/>
      </c>
      <c r="Y537" s="31" t="str">
        <f aca="false">IF(O537="","",IF(X537="",0,O537*IF(X537&gt;1,X537/100,X537)))</f>
        <v/>
      </c>
      <c r="Z537" s="28"/>
      <c r="AA537" s="34" t="str">
        <f aca="false">IF(Z537="","",IFERROR(VLOOKUP(Z537,REPS!$A$2:$D$40,4,0),""))</f>
        <v/>
      </c>
      <c r="AB537" s="31" t="str">
        <f aca="false">IF(O537="","",IF(AA537="",0,O537*IF(AA537&gt;1,AA537/100,AA537)))</f>
        <v/>
      </c>
      <c r="AC537" s="31" t="str">
        <f aca="false">IF(O537="","",V537+Y537+AB537)</f>
        <v/>
      </c>
      <c r="AD537" s="19" t="str">
        <f aca="false">IF(O537="","",O537-R537-AC537)</f>
        <v/>
      </c>
      <c r="AE537" s="20"/>
      <c r="AF537" s="27"/>
      <c r="AG537" s="21" t="n">
        <f aca="false">IF(OR(AE537="",AE537=0),0,AE537*IF(U537="",0,IF(U537&gt;1,U537/100,U537)))</f>
        <v>0</v>
      </c>
      <c r="AH537" s="21" t="n">
        <f aca="false">IF(OR(AE537="",AE537=0),0,AE537*IF(X537="",0,IF(X537&gt;1,X537/100,X537)))</f>
        <v>0</v>
      </c>
      <c r="AI537" s="21" t="n">
        <f aca="false">IF(OR(AE537="",AE537=0),0,AE537*IF(AA537="",0,IF(AA537&gt;1,AA537/100,AA537)))</f>
        <v>0</v>
      </c>
      <c r="AJ537" s="21" t="n">
        <f aca="false">AG537+AH537+AI537</f>
        <v>0</v>
      </c>
      <c r="AK537" s="21" t="n">
        <f aca="false">IF(OR(AE537="",AE537=0),0,AE537-AJ537)</f>
        <v>0</v>
      </c>
      <c r="AL537" s="19" t="str">
        <f aca="false">IF(AD537="","",AD537-AK537)</f>
        <v/>
      </c>
      <c r="AM537" s="26" t="str">
        <f aca="false">IF(C537="","","Waiting for payment")</f>
        <v/>
      </c>
      <c r="AN537" s="27"/>
      <c r="AO537" s="27"/>
      <c r="AP537" s="35" t="str">
        <f aca="false">IF(OR(C537="",I537="",K537=""),"",IF(K537="Monthly",EDATE(C537,ROUND(I537*SETTINGS!$I$8,0)),WORKDAY(C537,ROUND(I537*SETTINGS!$I$8,0))))</f>
        <v/>
      </c>
      <c r="AQ537" s="26" t="str">
        <f aca="true">IF(C537="","",IF(AND(AP537&lt;&gt;"",TODAY()&gt;=AP537),"Refi Ready",IF(TODAY()-C537&gt;=SETTINGS!$I$11,"Prospecting","Performing")))</f>
        <v/>
      </c>
      <c r="AR537" s="35" t="str">
        <f aca="false">IF(OR(C537="",I537="",K537=""),"",IF(K537="Monthly",EDATE(C537,I537),WORKDAY(C537,I537)))</f>
        <v/>
      </c>
      <c r="AS537" s="28"/>
      <c r="AT537" s="36" t="str">
        <f aca="true">IF(C537="","",IF(AM537="Clawed Back","CLAWED",IF(TODAY()&lt;=C537+SETTINGS!$I$2,"⚠ AT RISK","SAFE")))</f>
        <v/>
      </c>
      <c r="AU537" s="28"/>
      <c r="AW537" s="24" t="n">
        <f aca="false">AW536+IF(AND(C537&lt;&gt;"",AO537&lt;&gt;"",OR('REP COMMISSION'!$B$3="",T537='REP COMMISSION'!$B$3,W537='REP COMMISSION'!$B$3,Z537='REP COMMISSION'!$B$3)),1,0)</f>
        <v>0</v>
      </c>
      <c r="AX537" s="24" t="n">
        <f aca="false">AX536+IF(AND(C537&lt;&gt;"",OR(F537="LOC - INITIAL",F537="CONSOLIDATION - UPFRONT COMM",F537="REVERSE - TOTAL FUNDING")),1,0)</f>
        <v>0</v>
      </c>
    </row>
    <row r="538" customFormat="false" ht="15" hidden="false" customHeight="false" outlineLevel="0" collapsed="false">
      <c r="A538" s="8" t="str">
        <f aca="false">IF(C538&lt;&gt;"","F"&amp;COUNT($C$4:C538),"")</f>
        <v/>
      </c>
      <c r="B538" s="9" t="str">
        <f aca="false">IF(OR(F538="LOC - INITIAL",F538="CONSOLIDATION - UPFRONT COMM",F538="REVERSE - TOTAL FUNDING"),A538,"")</f>
        <v/>
      </c>
      <c r="C538" s="10"/>
      <c r="D538" s="11"/>
      <c r="E538" s="11"/>
      <c r="F538" s="11"/>
      <c r="G538" s="12"/>
      <c r="H538" s="13"/>
      <c r="I538" s="11"/>
      <c r="J538" s="14" t="str">
        <f aca="false">IF(AND(G538&lt;&gt;"",H538&lt;&gt;""),G538*H538,"")</f>
        <v/>
      </c>
      <c r="K538" s="11"/>
      <c r="L538" s="15"/>
      <c r="M538" s="15"/>
      <c r="N538" s="14" t="n">
        <f aca="false">IF(OR(G538="",M538=""),0,IF(M538&gt;100,M538,G538*IF(M538&gt;1,M538/100,M538)))</f>
        <v>0</v>
      </c>
      <c r="O538" s="14" t="str">
        <f aca="false">IF(G538="","",G538*IF(L538="",0,IF(L538&gt;1,L538/100,L538))+N538)</f>
        <v/>
      </c>
      <c r="P538" s="11"/>
      <c r="Q538" s="16" t="str">
        <f aca="false">IF(P538="","",IFERROR(VLOOKUP(P538,PARTNERS!$A$2:$B$30,2,0),""))</f>
        <v/>
      </c>
      <c r="R538" s="17" t="str">
        <f aca="false">IF(O538="","",IF(OR(P538="",Q538=""),0,(O538-N538)*IF(Q538&gt;1,Q538/100,Q538)))</f>
        <v/>
      </c>
      <c r="S538" s="14" t="str">
        <f aca="false">IF(O538="","",O538-R538)</f>
        <v/>
      </c>
      <c r="T538" s="11"/>
      <c r="U538" s="18" t="str">
        <f aca="false">IF(T538="","",IFERROR(VLOOKUP(T538,REPS!$A$2:$D$40,2,0),""))</f>
        <v/>
      </c>
      <c r="V538" s="14" t="str">
        <f aca="false">IF(O538="","",IF(U538="",0,O538*IF(U538&gt;1,U538/100,U538)))</f>
        <v/>
      </c>
      <c r="W538" s="11"/>
      <c r="X538" s="18" t="str">
        <f aca="false">IF(W538="","",IFERROR(VLOOKUP(W538,REPS!$A$2:$D$40,3,0),""))</f>
        <v/>
      </c>
      <c r="Y538" s="14" t="str">
        <f aca="false">IF(O538="","",IF(X538="",0,O538*IF(X538&gt;1,X538/100,X538)))</f>
        <v/>
      </c>
      <c r="Z538" s="11"/>
      <c r="AA538" s="18" t="str">
        <f aca="false">IF(Z538="","",IFERROR(VLOOKUP(Z538,REPS!$A$2:$D$40,4,0),""))</f>
        <v/>
      </c>
      <c r="AB538" s="14" t="str">
        <f aca="false">IF(O538="","",IF(AA538="",0,O538*IF(AA538&gt;1,AA538/100,AA538)))</f>
        <v/>
      </c>
      <c r="AC538" s="14" t="str">
        <f aca="false">IF(O538="","",V538+Y538+AB538)</f>
        <v/>
      </c>
      <c r="AD538" s="19" t="str">
        <f aca="false">IF(O538="","",O538-R538-AC538)</f>
        <v/>
      </c>
      <c r="AE538" s="20"/>
      <c r="AF538" s="10"/>
      <c r="AG538" s="21" t="n">
        <f aca="false">IF(OR(AE538="",AE538=0),0,AE538*IF(U538="",0,IF(U538&gt;1,U538/100,U538)))</f>
        <v>0</v>
      </c>
      <c r="AH538" s="21" t="n">
        <f aca="false">IF(OR(AE538="",AE538=0),0,AE538*IF(X538="",0,IF(X538&gt;1,X538/100,X538)))</f>
        <v>0</v>
      </c>
      <c r="AI538" s="21" t="n">
        <f aca="false">IF(OR(AE538="",AE538=0),0,AE538*IF(AA538="",0,IF(AA538&gt;1,AA538/100,AA538)))</f>
        <v>0</v>
      </c>
      <c r="AJ538" s="21" t="n">
        <f aca="false">AG538+AH538+AI538</f>
        <v>0</v>
      </c>
      <c r="AK538" s="21" t="n">
        <f aca="false">IF(OR(AE538="",AE538=0),0,AE538-AJ538)</f>
        <v>0</v>
      </c>
      <c r="AL538" s="19" t="str">
        <f aca="false">IF(AD538="","",AD538-AK538)</f>
        <v/>
      </c>
      <c r="AM538" s="9" t="str">
        <f aca="false">IF(C538="","","Waiting for payment")</f>
        <v/>
      </c>
      <c r="AN538" s="10"/>
      <c r="AO538" s="10"/>
      <c r="AP538" s="22" t="str">
        <f aca="false">IF(OR(C538="",I538="",K538=""),"",IF(K538="Monthly",EDATE(C538,ROUND(I538*SETTINGS!$I$8,0)),WORKDAY(C538,ROUND(I538*SETTINGS!$I$8,0))))</f>
        <v/>
      </c>
      <c r="AQ538" s="9" t="str">
        <f aca="true">IF(C538="","",IF(AND(AP538&lt;&gt;"",TODAY()&gt;=AP538),"Refi Ready",IF(TODAY()-C538&gt;=SETTINGS!$I$11,"Prospecting","Performing")))</f>
        <v/>
      </c>
      <c r="AR538" s="22" t="str">
        <f aca="false">IF(OR(C538="",I538="",K538=""),"",IF(K538="Monthly",EDATE(C538,I538),WORKDAY(C538,I538)))</f>
        <v/>
      </c>
      <c r="AS538" s="11"/>
      <c r="AT538" s="23" t="str">
        <f aca="true">IF(C538="","",IF(AM538="Clawed Back","CLAWED",IF(TODAY()&lt;=C538+SETTINGS!$I$2,"⚠ AT RISK","SAFE")))</f>
        <v/>
      </c>
      <c r="AU538" s="11"/>
      <c r="AW538" s="24" t="n">
        <f aca="false">AW537+IF(AND(C538&lt;&gt;"",AO538&lt;&gt;"",OR('REP COMMISSION'!$B$3="",T538='REP COMMISSION'!$B$3,W538='REP COMMISSION'!$B$3,Z538='REP COMMISSION'!$B$3)),1,0)</f>
        <v>0</v>
      </c>
      <c r="AX538" s="24" t="n">
        <f aca="false">AX537+IF(AND(C538&lt;&gt;"",OR(F538="LOC - INITIAL",F538="CONSOLIDATION - UPFRONT COMM",F538="REVERSE - TOTAL FUNDING")),1,0)</f>
        <v>0</v>
      </c>
    </row>
    <row r="539" customFormat="false" ht="15" hidden="false" customHeight="false" outlineLevel="0" collapsed="false">
      <c r="A539" s="25" t="str">
        <f aca="false">IF(C539&lt;&gt;"","F"&amp;COUNT($C$4:C539),"")</f>
        <v/>
      </c>
      <c r="B539" s="26" t="str">
        <f aca="false">IF(OR(F539="LOC - INITIAL",F539="CONSOLIDATION - UPFRONT COMM",F539="REVERSE - TOTAL FUNDING"),A539,"")</f>
        <v/>
      </c>
      <c r="C539" s="27"/>
      <c r="D539" s="28"/>
      <c r="E539" s="28"/>
      <c r="F539" s="28"/>
      <c r="G539" s="29"/>
      <c r="H539" s="30"/>
      <c r="I539" s="28"/>
      <c r="J539" s="31" t="str">
        <f aca="false">IF(AND(G539&lt;&gt;"",H539&lt;&gt;""),G539*H539,"")</f>
        <v/>
      </c>
      <c r="K539" s="28"/>
      <c r="L539" s="32"/>
      <c r="M539" s="32"/>
      <c r="N539" s="31" t="n">
        <f aca="false">IF(OR(G539="",M539=""),0,IF(M539&gt;100,M539,G539*IF(M539&gt;1,M539/100,M539)))</f>
        <v>0</v>
      </c>
      <c r="O539" s="31" t="str">
        <f aca="false">IF(G539="","",G539*IF(L539="",0,IF(L539&gt;1,L539/100,L539))+N539)</f>
        <v/>
      </c>
      <c r="P539" s="28"/>
      <c r="Q539" s="33" t="str">
        <f aca="false">IF(P539="","",IFERROR(VLOOKUP(P539,PARTNERS!$A$2:$B$30,2,0),""))</f>
        <v/>
      </c>
      <c r="R539" s="17" t="str">
        <f aca="false">IF(O539="","",IF(OR(P539="",Q539=""),0,(O539-N539)*IF(Q539&gt;1,Q539/100,Q539)))</f>
        <v/>
      </c>
      <c r="S539" s="31" t="str">
        <f aca="false">IF(O539="","",O539-R539)</f>
        <v/>
      </c>
      <c r="T539" s="28"/>
      <c r="U539" s="34" t="str">
        <f aca="false">IF(T539="","",IFERROR(VLOOKUP(T539,REPS!$A$2:$D$40,2,0),""))</f>
        <v/>
      </c>
      <c r="V539" s="31" t="str">
        <f aca="false">IF(O539="","",IF(U539="",0,O539*IF(U539&gt;1,U539/100,U539)))</f>
        <v/>
      </c>
      <c r="W539" s="28"/>
      <c r="X539" s="34" t="str">
        <f aca="false">IF(W539="","",IFERROR(VLOOKUP(W539,REPS!$A$2:$D$40,3,0),""))</f>
        <v/>
      </c>
      <c r="Y539" s="31" t="str">
        <f aca="false">IF(O539="","",IF(X539="",0,O539*IF(X539&gt;1,X539/100,X539)))</f>
        <v/>
      </c>
      <c r="Z539" s="28"/>
      <c r="AA539" s="34" t="str">
        <f aca="false">IF(Z539="","",IFERROR(VLOOKUP(Z539,REPS!$A$2:$D$40,4,0),""))</f>
        <v/>
      </c>
      <c r="AB539" s="31" t="str">
        <f aca="false">IF(O539="","",IF(AA539="",0,O539*IF(AA539&gt;1,AA539/100,AA539)))</f>
        <v/>
      </c>
      <c r="AC539" s="31" t="str">
        <f aca="false">IF(O539="","",V539+Y539+AB539)</f>
        <v/>
      </c>
      <c r="AD539" s="19" t="str">
        <f aca="false">IF(O539="","",O539-R539-AC539)</f>
        <v/>
      </c>
      <c r="AE539" s="20"/>
      <c r="AF539" s="27"/>
      <c r="AG539" s="21" t="n">
        <f aca="false">IF(OR(AE539="",AE539=0),0,AE539*IF(U539="",0,IF(U539&gt;1,U539/100,U539)))</f>
        <v>0</v>
      </c>
      <c r="AH539" s="21" t="n">
        <f aca="false">IF(OR(AE539="",AE539=0),0,AE539*IF(X539="",0,IF(X539&gt;1,X539/100,X539)))</f>
        <v>0</v>
      </c>
      <c r="AI539" s="21" t="n">
        <f aca="false">IF(OR(AE539="",AE539=0),0,AE539*IF(AA539="",0,IF(AA539&gt;1,AA539/100,AA539)))</f>
        <v>0</v>
      </c>
      <c r="AJ539" s="21" t="n">
        <f aca="false">AG539+AH539+AI539</f>
        <v>0</v>
      </c>
      <c r="AK539" s="21" t="n">
        <f aca="false">IF(OR(AE539="",AE539=0),0,AE539-AJ539)</f>
        <v>0</v>
      </c>
      <c r="AL539" s="19" t="str">
        <f aca="false">IF(AD539="","",AD539-AK539)</f>
        <v/>
      </c>
      <c r="AM539" s="26" t="str">
        <f aca="false">IF(C539="","","Waiting for payment")</f>
        <v/>
      </c>
      <c r="AN539" s="27"/>
      <c r="AO539" s="27"/>
      <c r="AP539" s="35" t="str">
        <f aca="false">IF(OR(C539="",I539="",K539=""),"",IF(K539="Monthly",EDATE(C539,ROUND(I539*SETTINGS!$I$8,0)),WORKDAY(C539,ROUND(I539*SETTINGS!$I$8,0))))</f>
        <v/>
      </c>
      <c r="AQ539" s="26" t="str">
        <f aca="true">IF(C539="","",IF(AND(AP539&lt;&gt;"",TODAY()&gt;=AP539),"Refi Ready",IF(TODAY()-C539&gt;=SETTINGS!$I$11,"Prospecting","Performing")))</f>
        <v/>
      </c>
      <c r="AR539" s="35" t="str">
        <f aca="false">IF(OR(C539="",I539="",K539=""),"",IF(K539="Monthly",EDATE(C539,I539),WORKDAY(C539,I539)))</f>
        <v/>
      </c>
      <c r="AS539" s="28"/>
      <c r="AT539" s="36" t="str">
        <f aca="true">IF(C539="","",IF(AM539="Clawed Back","CLAWED",IF(TODAY()&lt;=C539+SETTINGS!$I$2,"⚠ AT RISK","SAFE")))</f>
        <v/>
      </c>
      <c r="AU539" s="28"/>
      <c r="AW539" s="24" t="n">
        <f aca="false">AW538+IF(AND(C539&lt;&gt;"",AO539&lt;&gt;"",OR('REP COMMISSION'!$B$3="",T539='REP COMMISSION'!$B$3,W539='REP COMMISSION'!$B$3,Z539='REP COMMISSION'!$B$3)),1,0)</f>
        <v>0</v>
      </c>
      <c r="AX539" s="24" t="n">
        <f aca="false">AX538+IF(AND(C539&lt;&gt;"",OR(F539="LOC - INITIAL",F539="CONSOLIDATION - UPFRONT COMM",F539="REVERSE - TOTAL FUNDING")),1,0)</f>
        <v>0</v>
      </c>
    </row>
    <row r="540" customFormat="false" ht="15" hidden="false" customHeight="false" outlineLevel="0" collapsed="false">
      <c r="A540" s="8" t="str">
        <f aca="false">IF(C540&lt;&gt;"","F"&amp;COUNT($C$4:C540),"")</f>
        <v/>
      </c>
      <c r="B540" s="9" t="str">
        <f aca="false">IF(OR(F540="LOC - INITIAL",F540="CONSOLIDATION - UPFRONT COMM",F540="REVERSE - TOTAL FUNDING"),A540,"")</f>
        <v/>
      </c>
      <c r="C540" s="10"/>
      <c r="D540" s="11"/>
      <c r="E540" s="11"/>
      <c r="F540" s="11"/>
      <c r="G540" s="12"/>
      <c r="H540" s="13"/>
      <c r="I540" s="11"/>
      <c r="J540" s="14" t="str">
        <f aca="false">IF(AND(G540&lt;&gt;"",H540&lt;&gt;""),G540*H540,"")</f>
        <v/>
      </c>
      <c r="K540" s="11"/>
      <c r="L540" s="15"/>
      <c r="M540" s="15"/>
      <c r="N540" s="14" t="n">
        <f aca="false">IF(OR(G540="",M540=""),0,IF(M540&gt;100,M540,G540*IF(M540&gt;1,M540/100,M540)))</f>
        <v>0</v>
      </c>
      <c r="O540" s="14" t="str">
        <f aca="false">IF(G540="","",G540*IF(L540="",0,IF(L540&gt;1,L540/100,L540))+N540)</f>
        <v/>
      </c>
      <c r="P540" s="11"/>
      <c r="Q540" s="16" t="str">
        <f aca="false">IF(P540="","",IFERROR(VLOOKUP(P540,PARTNERS!$A$2:$B$30,2,0),""))</f>
        <v/>
      </c>
      <c r="R540" s="17" t="str">
        <f aca="false">IF(O540="","",IF(OR(P540="",Q540=""),0,(O540-N540)*IF(Q540&gt;1,Q540/100,Q540)))</f>
        <v/>
      </c>
      <c r="S540" s="14" t="str">
        <f aca="false">IF(O540="","",O540-R540)</f>
        <v/>
      </c>
      <c r="T540" s="11"/>
      <c r="U540" s="18" t="str">
        <f aca="false">IF(T540="","",IFERROR(VLOOKUP(T540,REPS!$A$2:$D$40,2,0),""))</f>
        <v/>
      </c>
      <c r="V540" s="14" t="str">
        <f aca="false">IF(O540="","",IF(U540="",0,O540*IF(U540&gt;1,U540/100,U540)))</f>
        <v/>
      </c>
      <c r="W540" s="11"/>
      <c r="X540" s="18" t="str">
        <f aca="false">IF(W540="","",IFERROR(VLOOKUP(W540,REPS!$A$2:$D$40,3,0),""))</f>
        <v/>
      </c>
      <c r="Y540" s="14" t="str">
        <f aca="false">IF(O540="","",IF(X540="",0,O540*IF(X540&gt;1,X540/100,X540)))</f>
        <v/>
      </c>
      <c r="Z540" s="11"/>
      <c r="AA540" s="18" t="str">
        <f aca="false">IF(Z540="","",IFERROR(VLOOKUP(Z540,REPS!$A$2:$D$40,4,0),""))</f>
        <v/>
      </c>
      <c r="AB540" s="14" t="str">
        <f aca="false">IF(O540="","",IF(AA540="",0,O540*IF(AA540&gt;1,AA540/100,AA540)))</f>
        <v/>
      </c>
      <c r="AC540" s="14" t="str">
        <f aca="false">IF(O540="","",V540+Y540+AB540)</f>
        <v/>
      </c>
      <c r="AD540" s="19" t="str">
        <f aca="false">IF(O540="","",O540-R540-AC540)</f>
        <v/>
      </c>
      <c r="AE540" s="20"/>
      <c r="AF540" s="10"/>
      <c r="AG540" s="21" t="n">
        <f aca="false">IF(OR(AE540="",AE540=0),0,AE540*IF(U540="",0,IF(U540&gt;1,U540/100,U540)))</f>
        <v>0</v>
      </c>
      <c r="AH540" s="21" t="n">
        <f aca="false">IF(OR(AE540="",AE540=0),0,AE540*IF(X540="",0,IF(X540&gt;1,X540/100,X540)))</f>
        <v>0</v>
      </c>
      <c r="AI540" s="21" t="n">
        <f aca="false">IF(OR(AE540="",AE540=0),0,AE540*IF(AA540="",0,IF(AA540&gt;1,AA540/100,AA540)))</f>
        <v>0</v>
      </c>
      <c r="AJ540" s="21" t="n">
        <f aca="false">AG540+AH540+AI540</f>
        <v>0</v>
      </c>
      <c r="AK540" s="21" t="n">
        <f aca="false">IF(OR(AE540="",AE540=0),0,AE540-AJ540)</f>
        <v>0</v>
      </c>
      <c r="AL540" s="19" t="str">
        <f aca="false">IF(AD540="","",AD540-AK540)</f>
        <v/>
      </c>
      <c r="AM540" s="9" t="str">
        <f aca="false">IF(C540="","","Waiting for payment")</f>
        <v/>
      </c>
      <c r="AN540" s="10"/>
      <c r="AO540" s="10"/>
      <c r="AP540" s="22" t="str">
        <f aca="false">IF(OR(C540="",I540="",K540=""),"",IF(K540="Monthly",EDATE(C540,ROUND(I540*SETTINGS!$I$8,0)),WORKDAY(C540,ROUND(I540*SETTINGS!$I$8,0))))</f>
        <v/>
      </c>
      <c r="AQ540" s="9" t="str">
        <f aca="true">IF(C540="","",IF(AND(AP540&lt;&gt;"",TODAY()&gt;=AP540),"Refi Ready",IF(TODAY()-C540&gt;=SETTINGS!$I$11,"Prospecting","Performing")))</f>
        <v/>
      </c>
      <c r="AR540" s="22" t="str">
        <f aca="false">IF(OR(C540="",I540="",K540=""),"",IF(K540="Monthly",EDATE(C540,I540),WORKDAY(C540,I540)))</f>
        <v/>
      </c>
      <c r="AS540" s="11"/>
      <c r="AT540" s="23" t="str">
        <f aca="true">IF(C540="","",IF(AM540="Clawed Back","CLAWED",IF(TODAY()&lt;=C540+SETTINGS!$I$2,"⚠ AT RISK","SAFE")))</f>
        <v/>
      </c>
      <c r="AU540" s="11"/>
      <c r="AW540" s="24" t="n">
        <f aca="false">AW539+IF(AND(C540&lt;&gt;"",AO540&lt;&gt;"",OR('REP COMMISSION'!$B$3="",T540='REP COMMISSION'!$B$3,W540='REP COMMISSION'!$B$3,Z540='REP COMMISSION'!$B$3)),1,0)</f>
        <v>0</v>
      </c>
      <c r="AX540" s="24" t="n">
        <f aca="false">AX539+IF(AND(C540&lt;&gt;"",OR(F540="LOC - INITIAL",F540="CONSOLIDATION - UPFRONT COMM",F540="REVERSE - TOTAL FUNDING")),1,0)</f>
        <v>0</v>
      </c>
    </row>
    <row r="541" customFormat="false" ht="15" hidden="false" customHeight="false" outlineLevel="0" collapsed="false">
      <c r="A541" s="25" t="str">
        <f aca="false">IF(C541&lt;&gt;"","F"&amp;COUNT($C$4:C541),"")</f>
        <v/>
      </c>
      <c r="B541" s="26" t="str">
        <f aca="false">IF(OR(F541="LOC - INITIAL",F541="CONSOLIDATION - UPFRONT COMM",F541="REVERSE - TOTAL FUNDING"),A541,"")</f>
        <v/>
      </c>
      <c r="C541" s="27"/>
      <c r="D541" s="28"/>
      <c r="E541" s="28"/>
      <c r="F541" s="28"/>
      <c r="G541" s="29"/>
      <c r="H541" s="30"/>
      <c r="I541" s="28"/>
      <c r="J541" s="31" t="str">
        <f aca="false">IF(AND(G541&lt;&gt;"",H541&lt;&gt;""),G541*H541,"")</f>
        <v/>
      </c>
      <c r="K541" s="28"/>
      <c r="L541" s="32"/>
      <c r="M541" s="32"/>
      <c r="N541" s="31" t="n">
        <f aca="false">IF(OR(G541="",M541=""),0,IF(M541&gt;100,M541,G541*IF(M541&gt;1,M541/100,M541)))</f>
        <v>0</v>
      </c>
      <c r="O541" s="31" t="str">
        <f aca="false">IF(G541="","",G541*IF(L541="",0,IF(L541&gt;1,L541/100,L541))+N541)</f>
        <v/>
      </c>
      <c r="P541" s="28"/>
      <c r="Q541" s="33" t="str">
        <f aca="false">IF(P541="","",IFERROR(VLOOKUP(P541,PARTNERS!$A$2:$B$30,2,0),""))</f>
        <v/>
      </c>
      <c r="R541" s="17" t="str">
        <f aca="false">IF(O541="","",IF(OR(P541="",Q541=""),0,(O541-N541)*IF(Q541&gt;1,Q541/100,Q541)))</f>
        <v/>
      </c>
      <c r="S541" s="31" t="str">
        <f aca="false">IF(O541="","",O541-R541)</f>
        <v/>
      </c>
      <c r="T541" s="28"/>
      <c r="U541" s="34" t="str">
        <f aca="false">IF(T541="","",IFERROR(VLOOKUP(T541,REPS!$A$2:$D$40,2,0),""))</f>
        <v/>
      </c>
      <c r="V541" s="31" t="str">
        <f aca="false">IF(O541="","",IF(U541="",0,O541*IF(U541&gt;1,U541/100,U541)))</f>
        <v/>
      </c>
      <c r="W541" s="28"/>
      <c r="X541" s="34" t="str">
        <f aca="false">IF(W541="","",IFERROR(VLOOKUP(W541,REPS!$A$2:$D$40,3,0),""))</f>
        <v/>
      </c>
      <c r="Y541" s="31" t="str">
        <f aca="false">IF(O541="","",IF(X541="",0,O541*IF(X541&gt;1,X541/100,X541)))</f>
        <v/>
      </c>
      <c r="Z541" s="28"/>
      <c r="AA541" s="34" t="str">
        <f aca="false">IF(Z541="","",IFERROR(VLOOKUP(Z541,REPS!$A$2:$D$40,4,0),""))</f>
        <v/>
      </c>
      <c r="AB541" s="31" t="str">
        <f aca="false">IF(O541="","",IF(AA541="",0,O541*IF(AA541&gt;1,AA541/100,AA541)))</f>
        <v/>
      </c>
      <c r="AC541" s="31" t="str">
        <f aca="false">IF(O541="","",V541+Y541+AB541)</f>
        <v/>
      </c>
      <c r="AD541" s="19" t="str">
        <f aca="false">IF(O541="","",O541-R541-AC541)</f>
        <v/>
      </c>
      <c r="AE541" s="20"/>
      <c r="AF541" s="27"/>
      <c r="AG541" s="21" t="n">
        <f aca="false">IF(OR(AE541="",AE541=0),0,AE541*IF(U541="",0,IF(U541&gt;1,U541/100,U541)))</f>
        <v>0</v>
      </c>
      <c r="AH541" s="21" t="n">
        <f aca="false">IF(OR(AE541="",AE541=0),0,AE541*IF(X541="",0,IF(X541&gt;1,X541/100,X541)))</f>
        <v>0</v>
      </c>
      <c r="AI541" s="21" t="n">
        <f aca="false">IF(OR(AE541="",AE541=0),0,AE541*IF(AA541="",0,IF(AA541&gt;1,AA541/100,AA541)))</f>
        <v>0</v>
      </c>
      <c r="AJ541" s="21" t="n">
        <f aca="false">AG541+AH541+AI541</f>
        <v>0</v>
      </c>
      <c r="AK541" s="21" t="n">
        <f aca="false">IF(OR(AE541="",AE541=0),0,AE541-AJ541)</f>
        <v>0</v>
      </c>
      <c r="AL541" s="19" t="str">
        <f aca="false">IF(AD541="","",AD541-AK541)</f>
        <v/>
      </c>
      <c r="AM541" s="26" t="str">
        <f aca="false">IF(C541="","","Waiting for payment")</f>
        <v/>
      </c>
      <c r="AN541" s="27"/>
      <c r="AO541" s="27"/>
      <c r="AP541" s="35" t="str">
        <f aca="false">IF(OR(C541="",I541="",K541=""),"",IF(K541="Monthly",EDATE(C541,ROUND(I541*SETTINGS!$I$8,0)),WORKDAY(C541,ROUND(I541*SETTINGS!$I$8,0))))</f>
        <v/>
      </c>
      <c r="AQ541" s="26" t="str">
        <f aca="true">IF(C541="","",IF(AND(AP541&lt;&gt;"",TODAY()&gt;=AP541),"Refi Ready",IF(TODAY()-C541&gt;=SETTINGS!$I$11,"Prospecting","Performing")))</f>
        <v/>
      </c>
      <c r="AR541" s="35" t="str">
        <f aca="false">IF(OR(C541="",I541="",K541=""),"",IF(K541="Monthly",EDATE(C541,I541),WORKDAY(C541,I541)))</f>
        <v/>
      </c>
      <c r="AS541" s="28"/>
      <c r="AT541" s="36" t="str">
        <f aca="true">IF(C541="","",IF(AM541="Clawed Back","CLAWED",IF(TODAY()&lt;=C541+SETTINGS!$I$2,"⚠ AT RISK","SAFE")))</f>
        <v/>
      </c>
      <c r="AU541" s="28"/>
      <c r="AW541" s="24" t="n">
        <f aca="false">AW540+IF(AND(C541&lt;&gt;"",AO541&lt;&gt;"",OR('REP COMMISSION'!$B$3="",T541='REP COMMISSION'!$B$3,W541='REP COMMISSION'!$B$3,Z541='REP COMMISSION'!$B$3)),1,0)</f>
        <v>0</v>
      </c>
      <c r="AX541" s="24" t="n">
        <f aca="false">AX540+IF(AND(C541&lt;&gt;"",OR(F541="LOC - INITIAL",F541="CONSOLIDATION - UPFRONT COMM",F541="REVERSE - TOTAL FUNDING")),1,0)</f>
        <v>0</v>
      </c>
    </row>
    <row r="542" customFormat="false" ht="15" hidden="false" customHeight="false" outlineLevel="0" collapsed="false">
      <c r="A542" s="8" t="str">
        <f aca="false">IF(C542&lt;&gt;"","F"&amp;COUNT($C$4:C542),"")</f>
        <v/>
      </c>
      <c r="B542" s="9" t="str">
        <f aca="false">IF(OR(F542="LOC - INITIAL",F542="CONSOLIDATION - UPFRONT COMM",F542="REVERSE - TOTAL FUNDING"),A542,"")</f>
        <v/>
      </c>
      <c r="C542" s="10"/>
      <c r="D542" s="11"/>
      <c r="E542" s="11"/>
      <c r="F542" s="11"/>
      <c r="G542" s="12"/>
      <c r="H542" s="13"/>
      <c r="I542" s="11"/>
      <c r="J542" s="14" t="str">
        <f aca="false">IF(AND(G542&lt;&gt;"",H542&lt;&gt;""),G542*H542,"")</f>
        <v/>
      </c>
      <c r="K542" s="11"/>
      <c r="L542" s="15"/>
      <c r="M542" s="15"/>
      <c r="N542" s="14" t="n">
        <f aca="false">IF(OR(G542="",M542=""),0,IF(M542&gt;100,M542,G542*IF(M542&gt;1,M542/100,M542)))</f>
        <v>0</v>
      </c>
      <c r="O542" s="14" t="str">
        <f aca="false">IF(G542="","",G542*IF(L542="",0,IF(L542&gt;1,L542/100,L542))+N542)</f>
        <v/>
      </c>
      <c r="P542" s="11"/>
      <c r="Q542" s="16" t="str">
        <f aca="false">IF(P542="","",IFERROR(VLOOKUP(P542,PARTNERS!$A$2:$B$30,2,0),""))</f>
        <v/>
      </c>
      <c r="R542" s="17" t="str">
        <f aca="false">IF(O542="","",IF(OR(P542="",Q542=""),0,(O542-N542)*IF(Q542&gt;1,Q542/100,Q542)))</f>
        <v/>
      </c>
      <c r="S542" s="14" t="str">
        <f aca="false">IF(O542="","",O542-R542)</f>
        <v/>
      </c>
      <c r="T542" s="11"/>
      <c r="U542" s="18" t="str">
        <f aca="false">IF(T542="","",IFERROR(VLOOKUP(T542,REPS!$A$2:$D$40,2,0),""))</f>
        <v/>
      </c>
      <c r="V542" s="14" t="str">
        <f aca="false">IF(O542="","",IF(U542="",0,O542*IF(U542&gt;1,U542/100,U542)))</f>
        <v/>
      </c>
      <c r="W542" s="11"/>
      <c r="X542" s="18" t="str">
        <f aca="false">IF(W542="","",IFERROR(VLOOKUP(W542,REPS!$A$2:$D$40,3,0),""))</f>
        <v/>
      </c>
      <c r="Y542" s="14" t="str">
        <f aca="false">IF(O542="","",IF(X542="",0,O542*IF(X542&gt;1,X542/100,X542)))</f>
        <v/>
      </c>
      <c r="Z542" s="11"/>
      <c r="AA542" s="18" t="str">
        <f aca="false">IF(Z542="","",IFERROR(VLOOKUP(Z542,REPS!$A$2:$D$40,4,0),""))</f>
        <v/>
      </c>
      <c r="AB542" s="14" t="str">
        <f aca="false">IF(O542="","",IF(AA542="",0,O542*IF(AA542&gt;1,AA542/100,AA542)))</f>
        <v/>
      </c>
      <c r="AC542" s="14" t="str">
        <f aca="false">IF(O542="","",V542+Y542+AB542)</f>
        <v/>
      </c>
      <c r="AD542" s="19" t="str">
        <f aca="false">IF(O542="","",O542-R542-AC542)</f>
        <v/>
      </c>
      <c r="AE542" s="20"/>
      <c r="AF542" s="10"/>
      <c r="AG542" s="21" t="n">
        <f aca="false">IF(OR(AE542="",AE542=0),0,AE542*IF(U542="",0,IF(U542&gt;1,U542/100,U542)))</f>
        <v>0</v>
      </c>
      <c r="AH542" s="21" t="n">
        <f aca="false">IF(OR(AE542="",AE542=0),0,AE542*IF(X542="",0,IF(X542&gt;1,X542/100,X542)))</f>
        <v>0</v>
      </c>
      <c r="AI542" s="21" t="n">
        <f aca="false">IF(OR(AE542="",AE542=0),0,AE542*IF(AA542="",0,IF(AA542&gt;1,AA542/100,AA542)))</f>
        <v>0</v>
      </c>
      <c r="AJ542" s="21" t="n">
        <f aca="false">AG542+AH542+AI542</f>
        <v>0</v>
      </c>
      <c r="AK542" s="21" t="n">
        <f aca="false">IF(OR(AE542="",AE542=0),0,AE542-AJ542)</f>
        <v>0</v>
      </c>
      <c r="AL542" s="19" t="str">
        <f aca="false">IF(AD542="","",AD542-AK542)</f>
        <v/>
      </c>
      <c r="AM542" s="9" t="str">
        <f aca="false">IF(C542="","","Waiting for payment")</f>
        <v/>
      </c>
      <c r="AN542" s="10"/>
      <c r="AO542" s="10"/>
      <c r="AP542" s="22" t="str">
        <f aca="false">IF(OR(C542="",I542="",K542=""),"",IF(K542="Monthly",EDATE(C542,ROUND(I542*SETTINGS!$I$8,0)),WORKDAY(C542,ROUND(I542*SETTINGS!$I$8,0))))</f>
        <v/>
      </c>
      <c r="AQ542" s="9" t="str">
        <f aca="true">IF(C542="","",IF(AND(AP542&lt;&gt;"",TODAY()&gt;=AP542),"Refi Ready",IF(TODAY()-C542&gt;=SETTINGS!$I$11,"Prospecting","Performing")))</f>
        <v/>
      </c>
      <c r="AR542" s="22" t="str">
        <f aca="false">IF(OR(C542="",I542="",K542=""),"",IF(K542="Monthly",EDATE(C542,I542),WORKDAY(C542,I542)))</f>
        <v/>
      </c>
      <c r="AS542" s="11"/>
      <c r="AT542" s="23" t="str">
        <f aca="true">IF(C542="","",IF(AM542="Clawed Back","CLAWED",IF(TODAY()&lt;=C542+SETTINGS!$I$2,"⚠ AT RISK","SAFE")))</f>
        <v/>
      </c>
      <c r="AU542" s="11"/>
      <c r="AW542" s="24" t="n">
        <f aca="false">AW541+IF(AND(C542&lt;&gt;"",AO542&lt;&gt;"",OR('REP COMMISSION'!$B$3="",T542='REP COMMISSION'!$B$3,W542='REP COMMISSION'!$B$3,Z542='REP COMMISSION'!$B$3)),1,0)</f>
        <v>0</v>
      </c>
      <c r="AX542" s="24" t="n">
        <f aca="false">AX541+IF(AND(C542&lt;&gt;"",OR(F542="LOC - INITIAL",F542="CONSOLIDATION - UPFRONT COMM",F542="REVERSE - TOTAL FUNDING")),1,0)</f>
        <v>0</v>
      </c>
    </row>
    <row r="543" customFormat="false" ht="15" hidden="false" customHeight="false" outlineLevel="0" collapsed="false">
      <c r="A543" s="25" t="str">
        <f aca="false">IF(C543&lt;&gt;"","F"&amp;COUNT($C$4:C543),"")</f>
        <v/>
      </c>
      <c r="B543" s="26" t="str">
        <f aca="false">IF(OR(F543="LOC - INITIAL",F543="CONSOLIDATION - UPFRONT COMM",F543="REVERSE - TOTAL FUNDING"),A543,"")</f>
        <v/>
      </c>
      <c r="C543" s="27"/>
      <c r="D543" s="28"/>
      <c r="E543" s="28"/>
      <c r="F543" s="28"/>
      <c r="G543" s="29"/>
      <c r="H543" s="30"/>
      <c r="I543" s="28"/>
      <c r="J543" s="31" t="str">
        <f aca="false">IF(AND(G543&lt;&gt;"",H543&lt;&gt;""),G543*H543,"")</f>
        <v/>
      </c>
      <c r="K543" s="28"/>
      <c r="L543" s="32"/>
      <c r="M543" s="32"/>
      <c r="N543" s="31" t="n">
        <f aca="false">IF(OR(G543="",M543=""),0,IF(M543&gt;100,M543,G543*IF(M543&gt;1,M543/100,M543)))</f>
        <v>0</v>
      </c>
      <c r="O543" s="31" t="str">
        <f aca="false">IF(G543="","",G543*IF(L543="",0,IF(L543&gt;1,L543/100,L543))+N543)</f>
        <v/>
      </c>
      <c r="P543" s="28"/>
      <c r="Q543" s="33" t="str">
        <f aca="false">IF(P543="","",IFERROR(VLOOKUP(P543,PARTNERS!$A$2:$B$30,2,0),""))</f>
        <v/>
      </c>
      <c r="R543" s="17" t="str">
        <f aca="false">IF(O543="","",IF(OR(P543="",Q543=""),0,(O543-N543)*IF(Q543&gt;1,Q543/100,Q543)))</f>
        <v/>
      </c>
      <c r="S543" s="31" t="str">
        <f aca="false">IF(O543="","",O543-R543)</f>
        <v/>
      </c>
      <c r="T543" s="28"/>
      <c r="U543" s="34" t="str">
        <f aca="false">IF(T543="","",IFERROR(VLOOKUP(T543,REPS!$A$2:$D$40,2,0),""))</f>
        <v/>
      </c>
      <c r="V543" s="31" t="str">
        <f aca="false">IF(O543="","",IF(U543="",0,O543*IF(U543&gt;1,U543/100,U543)))</f>
        <v/>
      </c>
      <c r="W543" s="28"/>
      <c r="X543" s="34" t="str">
        <f aca="false">IF(W543="","",IFERROR(VLOOKUP(W543,REPS!$A$2:$D$40,3,0),""))</f>
        <v/>
      </c>
      <c r="Y543" s="31" t="str">
        <f aca="false">IF(O543="","",IF(X543="",0,O543*IF(X543&gt;1,X543/100,X543)))</f>
        <v/>
      </c>
      <c r="Z543" s="28"/>
      <c r="AA543" s="34" t="str">
        <f aca="false">IF(Z543="","",IFERROR(VLOOKUP(Z543,REPS!$A$2:$D$40,4,0),""))</f>
        <v/>
      </c>
      <c r="AB543" s="31" t="str">
        <f aca="false">IF(O543="","",IF(AA543="",0,O543*IF(AA543&gt;1,AA543/100,AA543)))</f>
        <v/>
      </c>
      <c r="AC543" s="31" t="str">
        <f aca="false">IF(O543="","",V543+Y543+AB543)</f>
        <v/>
      </c>
      <c r="AD543" s="19" t="str">
        <f aca="false">IF(O543="","",O543-R543-AC543)</f>
        <v/>
      </c>
      <c r="AE543" s="20"/>
      <c r="AF543" s="27"/>
      <c r="AG543" s="21" t="n">
        <f aca="false">IF(OR(AE543="",AE543=0),0,AE543*IF(U543="",0,IF(U543&gt;1,U543/100,U543)))</f>
        <v>0</v>
      </c>
      <c r="AH543" s="21" t="n">
        <f aca="false">IF(OR(AE543="",AE543=0),0,AE543*IF(X543="",0,IF(X543&gt;1,X543/100,X543)))</f>
        <v>0</v>
      </c>
      <c r="AI543" s="21" t="n">
        <f aca="false">IF(OR(AE543="",AE543=0),0,AE543*IF(AA543="",0,IF(AA543&gt;1,AA543/100,AA543)))</f>
        <v>0</v>
      </c>
      <c r="AJ543" s="21" t="n">
        <f aca="false">AG543+AH543+AI543</f>
        <v>0</v>
      </c>
      <c r="AK543" s="21" t="n">
        <f aca="false">IF(OR(AE543="",AE543=0),0,AE543-AJ543)</f>
        <v>0</v>
      </c>
      <c r="AL543" s="19" t="str">
        <f aca="false">IF(AD543="","",AD543-AK543)</f>
        <v/>
      </c>
      <c r="AM543" s="26" t="str">
        <f aca="false">IF(C543="","","Waiting for payment")</f>
        <v/>
      </c>
      <c r="AN543" s="27"/>
      <c r="AO543" s="27"/>
      <c r="AP543" s="35" t="str">
        <f aca="false">IF(OR(C543="",I543="",K543=""),"",IF(K543="Monthly",EDATE(C543,ROUND(I543*SETTINGS!$I$8,0)),WORKDAY(C543,ROUND(I543*SETTINGS!$I$8,0))))</f>
        <v/>
      </c>
      <c r="AQ543" s="26" t="str">
        <f aca="true">IF(C543="","",IF(AND(AP543&lt;&gt;"",TODAY()&gt;=AP543),"Refi Ready",IF(TODAY()-C543&gt;=SETTINGS!$I$11,"Prospecting","Performing")))</f>
        <v/>
      </c>
      <c r="AR543" s="35" t="str">
        <f aca="false">IF(OR(C543="",I543="",K543=""),"",IF(K543="Monthly",EDATE(C543,I543),WORKDAY(C543,I543)))</f>
        <v/>
      </c>
      <c r="AS543" s="28"/>
      <c r="AT543" s="36" t="str">
        <f aca="true">IF(C543="","",IF(AM543="Clawed Back","CLAWED",IF(TODAY()&lt;=C543+SETTINGS!$I$2,"⚠ AT RISK","SAFE")))</f>
        <v/>
      </c>
      <c r="AU543" s="28"/>
      <c r="AW543" s="24" t="n">
        <f aca="false">AW542+IF(AND(C543&lt;&gt;"",AO543&lt;&gt;"",OR('REP COMMISSION'!$B$3="",T543='REP COMMISSION'!$B$3,W543='REP COMMISSION'!$B$3,Z543='REP COMMISSION'!$B$3)),1,0)</f>
        <v>0</v>
      </c>
      <c r="AX543" s="24" t="n">
        <f aca="false">AX542+IF(AND(C543&lt;&gt;"",OR(F543="LOC - INITIAL",F543="CONSOLIDATION - UPFRONT COMM",F543="REVERSE - TOTAL FUNDING")),1,0)</f>
        <v>0</v>
      </c>
    </row>
    <row r="544" customFormat="false" ht="15" hidden="false" customHeight="false" outlineLevel="0" collapsed="false">
      <c r="A544" s="8" t="str">
        <f aca="false">IF(C544&lt;&gt;"","F"&amp;COUNT($C$4:C544),"")</f>
        <v/>
      </c>
      <c r="B544" s="9" t="str">
        <f aca="false">IF(OR(F544="LOC - INITIAL",F544="CONSOLIDATION - UPFRONT COMM",F544="REVERSE - TOTAL FUNDING"),A544,"")</f>
        <v/>
      </c>
      <c r="C544" s="10"/>
      <c r="D544" s="11"/>
      <c r="E544" s="11"/>
      <c r="F544" s="11"/>
      <c r="G544" s="12"/>
      <c r="H544" s="13"/>
      <c r="I544" s="11"/>
      <c r="J544" s="14" t="str">
        <f aca="false">IF(AND(G544&lt;&gt;"",H544&lt;&gt;""),G544*H544,"")</f>
        <v/>
      </c>
      <c r="K544" s="11"/>
      <c r="L544" s="15"/>
      <c r="M544" s="15"/>
      <c r="N544" s="14" t="n">
        <f aca="false">IF(OR(G544="",M544=""),0,IF(M544&gt;100,M544,G544*IF(M544&gt;1,M544/100,M544)))</f>
        <v>0</v>
      </c>
      <c r="O544" s="14" t="str">
        <f aca="false">IF(G544="","",G544*IF(L544="",0,IF(L544&gt;1,L544/100,L544))+N544)</f>
        <v/>
      </c>
      <c r="P544" s="11"/>
      <c r="Q544" s="16" t="str">
        <f aca="false">IF(P544="","",IFERROR(VLOOKUP(P544,PARTNERS!$A$2:$B$30,2,0),""))</f>
        <v/>
      </c>
      <c r="R544" s="17" t="str">
        <f aca="false">IF(O544="","",IF(OR(P544="",Q544=""),0,(O544-N544)*IF(Q544&gt;1,Q544/100,Q544)))</f>
        <v/>
      </c>
      <c r="S544" s="14" t="str">
        <f aca="false">IF(O544="","",O544-R544)</f>
        <v/>
      </c>
      <c r="T544" s="11"/>
      <c r="U544" s="18" t="str">
        <f aca="false">IF(T544="","",IFERROR(VLOOKUP(T544,REPS!$A$2:$D$40,2,0),""))</f>
        <v/>
      </c>
      <c r="V544" s="14" t="str">
        <f aca="false">IF(O544="","",IF(U544="",0,O544*IF(U544&gt;1,U544/100,U544)))</f>
        <v/>
      </c>
      <c r="W544" s="11"/>
      <c r="X544" s="18" t="str">
        <f aca="false">IF(W544="","",IFERROR(VLOOKUP(W544,REPS!$A$2:$D$40,3,0),""))</f>
        <v/>
      </c>
      <c r="Y544" s="14" t="str">
        <f aca="false">IF(O544="","",IF(X544="",0,O544*IF(X544&gt;1,X544/100,X544)))</f>
        <v/>
      </c>
      <c r="Z544" s="11"/>
      <c r="AA544" s="18" t="str">
        <f aca="false">IF(Z544="","",IFERROR(VLOOKUP(Z544,REPS!$A$2:$D$40,4,0),""))</f>
        <v/>
      </c>
      <c r="AB544" s="14" t="str">
        <f aca="false">IF(O544="","",IF(AA544="",0,O544*IF(AA544&gt;1,AA544/100,AA544)))</f>
        <v/>
      </c>
      <c r="AC544" s="14" t="str">
        <f aca="false">IF(O544="","",V544+Y544+AB544)</f>
        <v/>
      </c>
      <c r="AD544" s="19" t="str">
        <f aca="false">IF(O544="","",O544-R544-AC544)</f>
        <v/>
      </c>
      <c r="AE544" s="20"/>
      <c r="AF544" s="10"/>
      <c r="AG544" s="21" t="n">
        <f aca="false">IF(OR(AE544="",AE544=0),0,AE544*IF(U544="",0,IF(U544&gt;1,U544/100,U544)))</f>
        <v>0</v>
      </c>
      <c r="AH544" s="21" t="n">
        <f aca="false">IF(OR(AE544="",AE544=0),0,AE544*IF(X544="",0,IF(X544&gt;1,X544/100,X544)))</f>
        <v>0</v>
      </c>
      <c r="AI544" s="21" t="n">
        <f aca="false">IF(OR(AE544="",AE544=0),0,AE544*IF(AA544="",0,IF(AA544&gt;1,AA544/100,AA544)))</f>
        <v>0</v>
      </c>
      <c r="AJ544" s="21" t="n">
        <f aca="false">AG544+AH544+AI544</f>
        <v>0</v>
      </c>
      <c r="AK544" s="21" t="n">
        <f aca="false">IF(OR(AE544="",AE544=0),0,AE544-AJ544)</f>
        <v>0</v>
      </c>
      <c r="AL544" s="19" t="str">
        <f aca="false">IF(AD544="","",AD544-AK544)</f>
        <v/>
      </c>
      <c r="AM544" s="9" t="str">
        <f aca="false">IF(C544="","","Waiting for payment")</f>
        <v/>
      </c>
      <c r="AN544" s="10"/>
      <c r="AO544" s="10"/>
      <c r="AP544" s="22" t="str">
        <f aca="false">IF(OR(C544="",I544="",K544=""),"",IF(K544="Monthly",EDATE(C544,ROUND(I544*SETTINGS!$I$8,0)),WORKDAY(C544,ROUND(I544*SETTINGS!$I$8,0))))</f>
        <v/>
      </c>
      <c r="AQ544" s="9" t="str">
        <f aca="true">IF(C544="","",IF(AND(AP544&lt;&gt;"",TODAY()&gt;=AP544),"Refi Ready",IF(TODAY()-C544&gt;=SETTINGS!$I$11,"Prospecting","Performing")))</f>
        <v/>
      </c>
      <c r="AR544" s="22" t="str">
        <f aca="false">IF(OR(C544="",I544="",K544=""),"",IF(K544="Monthly",EDATE(C544,I544),WORKDAY(C544,I544)))</f>
        <v/>
      </c>
      <c r="AS544" s="11"/>
      <c r="AT544" s="23" t="str">
        <f aca="true">IF(C544="","",IF(AM544="Clawed Back","CLAWED",IF(TODAY()&lt;=C544+SETTINGS!$I$2,"⚠ AT RISK","SAFE")))</f>
        <v/>
      </c>
      <c r="AU544" s="11"/>
      <c r="AW544" s="24" t="n">
        <f aca="false">AW543+IF(AND(C544&lt;&gt;"",AO544&lt;&gt;"",OR('REP COMMISSION'!$B$3="",T544='REP COMMISSION'!$B$3,W544='REP COMMISSION'!$B$3,Z544='REP COMMISSION'!$B$3)),1,0)</f>
        <v>0</v>
      </c>
      <c r="AX544" s="24" t="n">
        <f aca="false">AX543+IF(AND(C544&lt;&gt;"",OR(F544="LOC - INITIAL",F544="CONSOLIDATION - UPFRONT COMM",F544="REVERSE - TOTAL FUNDING")),1,0)</f>
        <v>0</v>
      </c>
    </row>
    <row r="545" customFormat="false" ht="15" hidden="false" customHeight="false" outlineLevel="0" collapsed="false">
      <c r="A545" s="25" t="str">
        <f aca="false">IF(C545&lt;&gt;"","F"&amp;COUNT($C$4:C545),"")</f>
        <v/>
      </c>
      <c r="B545" s="26" t="str">
        <f aca="false">IF(OR(F545="LOC - INITIAL",F545="CONSOLIDATION - UPFRONT COMM",F545="REVERSE - TOTAL FUNDING"),A545,"")</f>
        <v/>
      </c>
      <c r="C545" s="27"/>
      <c r="D545" s="28"/>
      <c r="E545" s="28"/>
      <c r="F545" s="28"/>
      <c r="G545" s="29"/>
      <c r="H545" s="30"/>
      <c r="I545" s="28"/>
      <c r="J545" s="31" t="str">
        <f aca="false">IF(AND(G545&lt;&gt;"",H545&lt;&gt;""),G545*H545,"")</f>
        <v/>
      </c>
      <c r="K545" s="28"/>
      <c r="L545" s="32"/>
      <c r="M545" s="32"/>
      <c r="N545" s="31" t="n">
        <f aca="false">IF(OR(G545="",M545=""),0,IF(M545&gt;100,M545,G545*IF(M545&gt;1,M545/100,M545)))</f>
        <v>0</v>
      </c>
      <c r="O545" s="31" t="str">
        <f aca="false">IF(G545="","",G545*IF(L545="",0,IF(L545&gt;1,L545/100,L545))+N545)</f>
        <v/>
      </c>
      <c r="P545" s="28"/>
      <c r="Q545" s="33" t="str">
        <f aca="false">IF(P545="","",IFERROR(VLOOKUP(P545,PARTNERS!$A$2:$B$30,2,0),""))</f>
        <v/>
      </c>
      <c r="R545" s="17" t="str">
        <f aca="false">IF(O545="","",IF(OR(P545="",Q545=""),0,(O545-N545)*IF(Q545&gt;1,Q545/100,Q545)))</f>
        <v/>
      </c>
      <c r="S545" s="31" t="str">
        <f aca="false">IF(O545="","",O545-R545)</f>
        <v/>
      </c>
      <c r="T545" s="28"/>
      <c r="U545" s="34" t="str">
        <f aca="false">IF(T545="","",IFERROR(VLOOKUP(T545,REPS!$A$2:$D$40,2,0),""))</f>
        <v/>
      </c>
      <c r="V545" s="31" t="str">
        <f aca="false">IF(O545="","",IF(U545="",0,O545*IF(U545&gt;1,U545/100,U545)))</f>
        <v/>
      </c>
      <c r="W545" s="28"/>
      <c r="X545" s="34" t="str">
        <f aca="false">IF(W545="","",IFERROR(VLOOKUP(W545,REPS!$A$2:$D$40,3,0),""))</f>
        <v/>
      </c>
      <c r="Y545" s="31" t="str">
        <f aca="false">IF(O545="","",IF(X545="",0,O545*IF(X545&gt;1,X545/100,X545)))</f>
        <v/>
      </c>
      <c r="Z545" s="28"/>
      <c r="AA545" s="34" t="str">
        <f aca="false">IF(Z545="","",IFERROR(VLOOKUP(Z545,REPS!$A$2:$D$40,4,0),""))</f>
        <v/>
      </c>
      <c r="AB545" s="31" t="str">
        <f aca="false">IF(O545="","",IF(AA545="",0,O545*IF(AA545&gt;1,AA545/100,AA545)))</f>
        <v/>
      </c>
      <c r="AC545" s="31" t="str">
        <f aca="false">IF(O545="","",V545+Y545+AB545)</f>
        <v/>
      </c>
      <c r="AD545" s="19" t="str">
        <f aca="false">IF(O545="","",O545-R545-AC545)</f>
        <v/>
      </c>
      <c r="AE545" s="20"/>
      <c r="AF545" s="27"/>
      <c r="AG545" s="21" t="n">
        <f aca="false">IF(OR(AE545="",AE545=0),0,AE545*IF(U545="",0,IF(U545&gt;1,U545/100,U545)))</f>
        <v>0</v>
      </c>
      <c r="AH545" s="21" t="n">
        <f aca="false">IF(OR(AE545="",AE545=0),0,AE545*IF(X545="",0,IF(X545&gt;1,X545/100,X545)))</f>
        <v>0</v>
      </c>
      <c r="AI545" s="21" t="n">
        <f aca="false">IF(OR(AE545="",AE545=0),0,AE545*IF(AA545="",0,IF(AA545&gt;1,AA545/100,AA545)))</f>
        <v>0</v>
      </c>
      <c r="AJ545" s="21" t="n">
        <f aca="false">AG545+AH545+AI545</f>
        <v>0</v>
      </c>
      <c r="AK545" s="21" t="n">
        <f aca="false">IF(OR(AE545="",AE545=0),0,AE545-AJ545)</f>
        <v>0</v>
      </c>
      <c r="AL545" s="19" t="str">
        <f aca="false">IF(AD545="","",AD545-AK545)</f>
        <v/>
      </c>
      <c r="AM545" s="26" t="str">
        <f aca="false">IF(C545="","","Waiting for payment")</f>
        <v/>
      </c>
      <c r="AN545" s="27"/>
      <c r="AO545" s="27"/>
      <c r="AP545" s="35" t="str">
        <f aca="false">IF(OR(C545="",I545="",K545=""),"",IF(K545="Monthly",EDATE(C545,ROUND(I545*SETTINGS!$I$8,0)),WORKDAY(C545,ROUND(I545*SETTINGS!$I$8,0))))</f>
        <v/>
      </c>
      <c r="AQ545" s="26" t="str">
        <f aca="true">IF(C545="","",IF(AND(AP545&lt;&gt;"",TODAY()&gt;=AP545),"Refi Ready",IF(TODAY()-C545&gt;=SETTINGS!$I$11,"Prospecting","Performing")))</f>
        <v/>
      </c>
      <c r="AR545" s="35" t="str">
        <f aca="false">IF(OR(C545="",I545="",K545=""),"",IF(K545="Monthly",EDATE(C545,I545),WORKDAY(C545,I545)))</f>
        <v/>
      </c>
      <c r="AS545" s="28"/>
      <c r="AT545" s="36" t="str">
        <f aca="true">IF(C545="","",IF(AM545="Clawed Back","CLAWED",IF(TODAY()&lt;=C545+SETTINGS!$I$2,"⚠ AT RISK","SAFE")))</f>
        <v/>
      </c>
      <c r="AU545" s="28"/>
      <c r="AW545" s="24" t="n">
        <f aca="false">AW544+IF(AND(C545&lt;&gt;"",AO545&lt;&gt;"",OR('REP COMMISSION'!$B$3="",T545='REP COMMISSION'!$B$3,W545='REP COMMISSION'!$B$3,Z545='REP COMMISSION'!$B$3)),1,0)</f>
        <v>0</v>
      </c>
      <c r="AX545" s="24" t="n">
        <f aca="false">AX544+IF(AND(C545&lt;&gt;"",OR(F545="LOC - INITIAL",F545="CONSOLIDATION - UPFRONT COMM",F545="REVERSE - TOTAL FUNDING")),1,0)</f>
        <v>0</v>
      </c>
    </row>
    <row r="546" customFormat="false" ht="15" hidden="false" customHeight="false" outlineLevel="0" collapsed="false">
      <c r="A546" s="8" t="str">
        <f aca="false">IF(C546&lt;&gt;"","F"&amp;COUNT($C$4:C546),"")</f>
        <v/>
      </c>
      <c r="B546" s="9" t="str">
        <f aca="false">IF(OR(F546="LOC - INITIAL",F546="CONSOLIDATION - UPFRONT COMM",F546="REVERSE - TOTAL FUNDING"),A546,"")</f>
        <v/>
      </c>
      <c r="C546" s="10"/>
      <c r="D546" s="11"/>
      <c r="E546" s="11"/>
      <c r="F546" s="11"/>
      <c r="G546" s="12"/>
      <c r="H546" s="13"/>
      <c r="I546" s="11"/>
      <c r="J546" s="14" t="str">
        <f aca="false">IF(AND(G546&lt;&gt;"",H546&lt;&gt;""),G546*H546,"")</f>
        <v/>
      </c>
      <c r="K546" s="11"/>
      <c r="L546" s="15"/>
      <c r="M546" s="15"/>
      <c r="N546" s="14" t="n">
        <f aca="false">IF(OR(G546="",M546=""),0,IF(M546&gt;100,M546,G546*IF(M546&gt;1,M546/100,M546)))</f>
        <v>0</v>
      </c>
      <c r="O546" s="14" t="str">
        <f aca="false">IF(G546="","",G546*IF(L546="",0,IF(L546&gt;1,L546/100,L546))+N546)</f>
        <v/>
      </c>
      <c r="P546" s="11"/>
      <c r="Q546" s="16" t="str">
        <f aca="false">IF(P546="","",IFERROR(VLOOKUP(P546,PARTNERS!$A$2:$B$30,2,0),""))</f>
        <v/>
      </c>
      <c r="R546" s="17" t="str">
        <f aca="false">IF(O546="","",IF(OR(P546="",Q546=""),0,(O546-N546)*IF(Q546&gt;1,Q546/100,Q546)))</f>
        <v/>
      </c>
      <c r="S546" s="14" t="str">
        <f aca="false">IF(O546="","",O546-R546)</f>
        <v/>
      </c>
      <c r="T546" s="11"/>
      <c r="U546" s="18" t="str">
        <f aca="false">IF(T546="","",IFERROR(VLOOKUP(T546,REPS!$A$2:$D$40,2,0),""))</f>
        <v/>
      </c>
      <c r="V546" s="14" t="str">
        <f aca="false">IF(O546="","",IF(U546="",0,O546*IF(U546&gt;1,U546/100,U546)))</f>
        <v/>
      </c>
      <c r="W546" s="11"/>
      <c r="X546" s="18" t="str">
        <f aca="false">IF(W546="","",IFERROR(VLOOKUP(W546,REPS!$A$2:$D$40,3,0),""))</f>
        <v/>
      </c>
      <c r="Y546" s="14" t="str">
        <f aca="false">IF(O546="","",IF(X546="",0,O546*IF(X546&gt;1,X546/100,X546)))</f>
        <v/>
      </c>
      <c r="Z546" s="11"/>
      <c r="AA546" s="18" t="str">
        <f aca="false">IF(Z546="","",IFERROR(VLOOKUP(Z546,REPS!$A$2:$D$40,4,0),""))</f>
        <v/>
      </c>
      <c r="AB546" s="14" t="str">
        <f aca="false">IF(O546="","",IF(AA546="",0,O546*IF(AA546&gt;1,AA546/100,AA546)))</f>
        <v/>
      </c>
      <c r="AC546" s="14" t="str">
        <f aca="false">IF(O546="","",V546+Y546+AB546)</f>
        <v/>
      </c>
      <c r="AD546" s="19" t="str">
        <f aca="false">IF(O546="","",O546-R546-AC546)</f>
        <v/>
      </c>
      <c r="AE546" s="20"/>
      <c r="AF546" s="10"/>
      <c r="AG546" s="21" t="n">
        <f aca="false">IF(OR(AE546="",AE546=0),0,AE546*IF(U546="",0,IF(U546&gt;1,U546/100,U546)))</f>
        <v>0</v>
      </c>
      <c r="AH546" s="21" t="n">
        <f aca="false">IF(OR(AE546="",AE546=0),0,AE546*IF(X546="",0,IF(X546&gt;1,X546/100,X546)))</f>
        <v>0</v>
      </c>
      <c r="AI546" s="21" t="n">
        <f aca="false">IF(OR(AE546="",AE546=0),0,AE546*IF(AA546="",0,IF(AA546&gt;1,AA546/100,AA546)))</f>
        <v>0</v>
      </c>
      <c r="AJ546" s="21" t="n">
        <f aca="false">AG546+AH546+AI546</f>
        <v>0</v>
      </c>
      <c r="AK546" s="21" t="n">
        <f aca="false">IF(OR(AE546="",AE546=0),0,AE546-AJ546)</f>
        <v>0</v>
      </c>
      <c r="AL546" s="19" t="str">
        <f aca="false">IF(AD546="","",AD546-AK546)</f>
        <v/>
      </c>
      <c r="AM546" s="9" t="str">
        <f aca="false">IF(C546="","","Waiting for payment")</f>
        <v/>
      </c>
      <c r="AN546" s="10"/>
      <c r="AO546" s="10"/>
      <c r="AP546" s="22" t="str">
        <f aca="false">IF(OR(C546="",I546="",K546=""),"",IF(K546="Monthly",EDATE(C546,ROUND(I546*SETTINGS!$I$8,0)),WORKDAY(C546,ROUND(I546*SETTINGS!$I$8,0))))</f>
        <v/>
      </c>
      <c r="AQ546" s="9" t="str">
        <f aca="true">IF(C546="","",IF(AND(AP546&lt;&gt;"",TODAY()&gt;=AP546),"Refi Ready",IF(TODAY()-C546&gt;=SETTINGS!$I$11,"Prospecting","Performing")))</f>
        <v/>
      </c>
      <c r="AR546" s="22" t="str">
        <f aca="false">IF(OR(C546="",I546="",K546=""),"",IF(K546="Monthly",EDATE(C546,I546),WORKDAY(C546,I546)))</f>
        <v/>
      </c>
      <c r="AS546" s="11"/>
      <c r="AT546" s="23" t="str">
        <f aca="true">IF(C546="","",IF(AM546="Clawed Back","CLAWED",IF(TODAY()&lt;=C546+SETTINGS!$I$2,"⚠ AT RISK","SAFE")))</f>
        <v/>
      </c>
      <c r="AU546" s="11"/>
      <c r="AW546" s="24" t="n">
        <f aca="false">AW545+IF(AND(C546&lt;&gt;"",AO546&lt;&gt;"",OR('REP COMMISSION'!$B$3="",T546='REP COMMISSION'!$B$3,W546='REP COMMISSION'!$B$3,Z546='REP COMMISSION'!$B$3)),1,0)</f>
        <v>0</v>
      </c>
      <c r="AX546" s="24" t="n">
        <f aca="false">AX545+IF(AND(C546&lt;&gt;"",OR(F546="LOC - INITIAL",F546="CONSOLIDATION - UPFRONT COMM",F546="REVERSE - TOTAL FUNDING")),1,0)</f>
        <v>0</v>
      </c>
    </row>
    <row r="547" customFormat="false" ht="15" hidden="false" customHeight="false" outlineLevel="0" collapsed="false">
      <c r="A547" s="25" t="str">
        <f aca="false">IF(C547&lt;&gt;"","F"&amp;COUNT($C$4:C547),"")</f>
        <v/>
      </c>
      <c r="B547" s="26" t="str">
        <f aca="false">IF(OR(F547="LOC - INITIAL",F547="CONSOLIDATION - UPFRONT COMM",F547="REVERSE - TOTAL FUNDING"),A547,"")</f>
        <v/>
      </c>
      <c r="C547" s="27"/>
      <c r="D547" s="28"/>
      <c r="E547" s="28"/>
      <c r="F547" s="28"/>
      <c r="G547" s="29"/>
      <c r="H547" s="30"/>
      <c r="I547" s="28"/>
      <c r="J547" s="31" t="str">
        <f aca="false">IF(AND(G547&lt;&gt;"",H547&lt;&gt;""),G547*H547,"")</f>
        <v/>
      </c>
      <c r="K547" s="28"/>
      <c r="L547" s="32"/>
      <c r="M547" s="32"/>
      <c r="N547" s="31" t="n">
        <f aca="false">IF(OR(G547="",M547=""),0,IF(M547&gt;100,M547,G547*IF(M547&gt;1,M547/100,M547)))</f>
        <v>0</v>
      </c>
      <c r="O547" s="31" t="str">
        <f aca="false">IF(G547="","",G547*IF(L547="",0,IF(L547&gt;1,L547/100,L547))+N547)</f>
        <v/>
      </c>
      <c r="P547" s="28"/>
      <c r="Q547" s="33" t="str">
        <f aca="false">IF(P547="","",IFERROR(VLOOKUP(P547,PARTNERS!$A$2:$B$30,2,0),""))</f>
        <v/>
      </c>
      <c r="R547" s="17" t="str">
        <f aca="false">IF(O547="","",IF(OR(P547="",Q547=""),0,(O547-N547)*IF(Q547&gt;1,Q547/100,Q547)))</f>
        <v/>
      </c>
      <c r="S547" s="31" t="str">
        <f aca="false">IF(O547="","",O547-R547)</f>
        <v/>
      </c>
      <c r="T547" s="28"/>
      <c r="U547" s="34" t="str">
        <f aca="false">IF(T547="","",IFERROR(VLOOKUP(T547,REPS!$A$2:$D$40,2,0),""))</f>
        <v/>
      </c>
      <c r="V547" s="31" t="str">
        <f aca="false">IF(O547="","",IF(U547="",0,O547*IF(U547&gt;1,U547/100,U547)))</f>
        <v/>
      </c>
      <c r="W547" s="28"/>
      <c r="X547" s="34" t="str">
        <f aca="false">IF(W547="","",IFERROR(VLOOKUP(W547,REPS!$A$2:$D$40,3,0),""))</f>
        <v/>
      </c>
      <c r="Y547" s="31" t="str">
        <f aca="false">IF(O547="","",IF(X547="",0,O547*IF(X547&gt;1,X547/100,X547)))</f>
        <v/>
      </c>
      <c r="Z547" s="28"/>
      <c r="AA547" s="34" t="str">
        <f aca="false">IF(Z547="","",IFERROR(VLOOKUP(Z547,REPS!$A$2:$D$40,4,0),""))</f>
        <v/>
      </c>
      <c r="AB547" s="31" t="str">
        <f aca="false">IF(O547="","",IF(AA547="",0,O547*IF(AA547&gt;1,AA547/100,AA547)))</f>
        <v/>
      </c>
      <c r="AC547" s="31" t="str">
        <f aca="false">IF(O547="","",V547+Y547+AB547)</f>
        <v/>
      </c>
      <c r="AD547" s="19" t="str">
        <f aca="false">IF(O547="","",O547-R547-AC547)</f>
        <v/>
      </c>
      <c r="AE547" s="20"/>
      <c r="AF547" s="27"/>
      <c r="AG547" s="21" t="n">
        <f aca="false">IF(OR(AE547="",AE547=0),0,AE547*IF(U547="",0,IF(U547&gt;1,U547/100,U547)))</f>
        <v>0</v>
      </c>
      <c r="AH547" s="21" t="n">
        <f aca="false">IF(OR(AE547="",AE547=0),0,AE547*IF(X547="",0,IF(X547&gt;1,X547/100,X547)))</f>
        <v>0</v>
      </c>
      <c r="AI547" s="21" t="n">
        <f aca="false">IF(OR(AE547="",AE547=0),0,AE547*IF(AA547="",0,IF(AA547&gt;1,AA547/100,AA547)))</f>
        <v>0</v>
      </c>
      <c r="AJ547" s="21" t="n">
        <f aca="false">AG547+AH547+AI547</f>
        <v>0</v>
      </c>
      <c r="AK547" s="21" t="n">
        <f aca="false">IF(OR(AE547="",AE547=0),0,AE547-AJ547)</f>
        <v>0</v>
      </c>
      <c r="AL547" s="19" t="str">
        <f aca="false">IF(AD547="","",AD547-AK547)</f>
        <v/>
      </c>
      <c r="AM547" s="26" t="str">
        <f aca="false">IF(C547="","","Waiting for payment")</f>
        <v/>
      </c>
      <c r="AN547" s="27"/>
      <c r="AO547" s="27"/>
      <c r="AP547" s="35" t="str">
        <f aca="false">IF(OR(C547="",I547="",K547=""),"",IF(K547="Monthly",EDATE(C547,ROUND(I547*SETTINGS!$I$8,0)),WORKDAY(C547,ROUND(I547*SETTINGS!$I$8,0))))</f>
        <v/>
      </c>
      <c r="AQ547" s="26" t="str">
        <f aca="true">IF(C547="","",IF(AND(AP547&lt;&gt;"",TODAY()&gt;=AP547),"Refi Ready",IF(TODAY()-C547&gt;=SETTINGS!$I$11,"Prospecting","Performing")))</f>
        <v/>
      </c>
      <c r="AR547" s="35" t="str">
        <f aca="false">IF(OR(C547="",I547="",K547=""),"",IF(K547="Monthly",EDATE(C547,I547),WORKDAY(C547,I547)))</f>
        <v/>
      </c>
      <c r="AS547" s="28"/>
      <c r="AT547" s="36" t="str">
        <f aca="true">IF(C547="","",IF(AM547="Clawed Back","CLAWED",IF(TODAY()&lt;=C547+SETTINGS!$I$2,"⚠ AT RISK","SAFE")))</f>
        <v/>
      </c>
      <c r="AU547" s="28"/>
      <c r="AW547" s="24" t="n">
        <f aca="false">AW546+IF(AND(C547&lt;&gt;"",AO547&lt;&gt;"",OR('REP COMMISSION'!$B$3="",T547='REP COMMISSION'!$B$3,W547='REP COMMISSION'!$B$3,Z547='REP COMMISSION'!$B$3)),1,0)</f>
        <v>0</v>
      </c>
      <c r="AX547" s="24" t="n">
        <f aca="false">AX546+IF(AND(C547&lt;&gt;"",OR(F547="LOC - INITIAL",F547="CONSOLIDATION - UPFRONT COMM",F547="REVERSE - TOTAL FUNDING")),1,0)</f>
        <v>0</v>
      </c>
    </row>
    <row r="548" customFormat="false" ht="15" hidden="false" customHeight="false" outlineLevel="0" collapsed="false">
      <c r="A548" s="8" t="str">
        <f aca="false">IF(C548&lt;&gt;"","F"&amp;COUNT($C$4:C548),"")</f>
        <v/>
      </c>
      <c r="B548" s="9" t="str">
        <f aca="false">IF(OR(F548="LOC - INITIAL",F548="CONSOLIDATION - UPFRONT COMM",F548="REVERSE - TOTAL FUNDING"),A548,"")</f>
        <v/>
      </c>
      <c r="C548" s="10"/>
      <c r="D548" s="11"/>
      <c r="E548" s="11"/>
      <c r="F548" s="11"/>
      <c r="G548" s="12"/>
      <c r="H548" s="13"/>
      <c r="I548" s="11"/>
      <c r="J548" s="14" t="str">
        <f aca="false">IF(AND(G548&lt;&gt;"",H548&lt;&gt;""),G548*H548,"")</f>
        <v/>
      </c>
      <c r="K548" s="11"/>
      <c r="L548" s="15"/>
      <c r="M548" s="15"/>
      <c r="N548" s="14" t="n">
        <f aca="false">IF(OR(G548="",M548=""),0,IF(M548&gt;100,M548,G548*IF(M548&gt;1,M548/100,M548)))</f>
        <v>0</v>
      </c>
      <c r="O548" s="14" t="str">
        <f aca="false">IF(G548="","",G548*IF(L548="",0,IF(L548&gt;1,L548/100,L548))+N548)</f>
        <v/>
      </c>
      <c r="P548" s="11"/>
      <c r="Q548" s="16" t="str">
        <f aca="false">IF(P548="","",IFERROR(VLOOKUP(P548,PARTNERS!$A$2:$B$30,2,0),""))</f>
        <v/>
      </c>
      <c r="R548" s="17" t="str">
        <f aca="false">IF(O548="","",IF(OR(P548="",Q548=""),0,(O548-N548)*IF(Q548&gt;1,Q548/100,Q548)))</f>
        <v/>
      </c>
      <c r="S548" s="14" t="str">
        <f aca="false">IF(O548="","",O548-R548)</f>
        <v/>
      </c>
      <c r="T548" s="11"/>
      <c r="U548" s="18" t="str">
        <f aca="false">IF(T548="","",IFERROR(VLOOKUP(T548,REPS!$A$2:$D$40,2,0),""))</f>
        <v/>
      </c>
      <c r="V548" s="14" t="str">
        <f aca="false">IF(O548="","",IF(U548="",0,O548*IF(U548&gt;1,U548/100,U548)))</f>
        <v/>
      </c>
      <c r="W548" s="11"/>
      <c r="X548" s="18" t="str">
        <f aca="false">IF(W548="","",IFERROR(VLOOKUP(W548,REPS!$A$2:$D$40,3,0),""))</f>
        <v/>
      </c>
      <c r="Y548" s="14" t="str">
        <f aca="false">IF(O548="","",IF(X548="",0,O548*IF(X548&gt;1,X548/100,X548)))</f>
        <v/>
      </c>
      <c r="Z548" s="11"/>
      <c r="AA548" s="18" t="str">
        <f aca="false">IF(Z548="","",IFERROR(VLOOKUP(Z548,REPS!$A$2:$D$40,4,0),""))</f>
        <v/>
      </c>
      <c r="AB548" s="14" t="str">
        <f aca="false">IF(O548="","",IF(AA548="",0,O548*IF(AA548&gt;1,AA548/100,AA548)))</f>
        <v/>
      </c>
      <c r="AC548" s="14" t="str">
        <f aca="false">IF(O548="","",V548+Y548+AB548)</f>
        <v/>
      </c>
      <c r="AD548" s="19" t="str">
        <f aca="false">IF(O548="","",O548-R548-AC548)</f>
        <v/>
      </c>
      <c r="AE548" s="20"/>
      <c r="AF548" s="10"/>
      <c r="AG548" s="21" t="n">
        <f aca="false">IF(OR(AE548="",AE548=0),0,AE548*IF(U548="",0,IF(U548&gt;1,U548/100,U548)))</f>
        <v>0</v>
      </c>
      <c r="AH548" s="21" t="n">
        <f aca="false">IF(OR(AE548="",AE548=0),0,AE548*IF(X548="",0,IF(X548&gt;1,X548/100,X548)))</f>
        <v>0</v>
      </c>
      <c r="AI548" s="21" t="n">
        <f aca="false">IF(OR(AE548="",AE548=0),0,AE548*IF(AA548="",0,IF(AA548&gt;1,AA548/100,AA548)))</f>
        <v>0</v>
      </c>
      <c r="AJ548" s="21" t="n">
        <f aca="false">AG548+AH548+AI548</f>
        <v>0</v>
      </c>
      <c r="AK548" s="21" t="n">
        <f aca="false">IF(OR(AE548="",AE548=0),0,AE548-AJ548)</f>
        <v>0</v>
      </c>
      <c r="AL548" s="19" t="str">
        <f aca="false">IF(AD548="","",AD548-AK548)</f>
        <v/>
      </c>
      <c r="AM548" s="9" t="str">
        <f aca="false">IF(C548="","","Waiting for payment")</f>
        <v/>
      </c>
      <c r="AN548" s="10"/>
      <c r="AO548" s="10"/>
      <c r="AP548" s="22" t="str">
        <f aca="false">IF(OR(C548="",I548="",K548=""),"",IF(K548="Monthly",EDATE(C548,ROUND(I548*SETTINGS!$I$8,0)),WORKDAY(C548,ROUND(I548*SETTINGS!$I$8,0))))</f>
        <v/>
      </c>
      <c r="AQ548" s="9" t="str">
        <f aca="true">IF(C548="","",IF(AND(AP548&lt;&gt;"",TODAY()&gt;=AP548),"Refi Ready",IF(TODAY()-C548&gt;=SETTINGS!$I$11,"Prospecting","Performing")))</f>
        <v/>
      </c>
      <c r="AR548" s="22" t="str">
        <f aca="false">IF(OR(C548="",I548="",K548=""),"",IF(K548="Monthly",EDATE(C548,I548),WORKDAY(C548,I548)))</f>
        <v/>
      </c>
      <c r="AS548" s="11"/>
      <c r="AT548" s="23" t="str">
        <f aca="true">IF(C548="","",IF(AM548="Clawed Back","CLAWED",IF(TODAY()&lt;=C548+SETTINGS!$I$2,"⚠ AT RISK","SAFE")))</f>
        <v/>
      </c>
      <c r="AU548" s="11"/>
      <c r="AW548" s="24" t="n">
        <f aca="false">AW547+IF(AND(C548&lt;&gt;"",AO548&lt;&gt;"",OR('REP COMMISSION'!$B$3="",T548='REP COMMISSION'!$B$3,W548='REP COMMISSION'!$B$3,Z548='REP COMMISSION'!$B$3)),1,0)</f>
        <v>0</v>
      </c>
      <c r="AX548" s="24" t="n">
        <f aca="false">AX547+IF(AND(C548&lt;&gt;"",OR(F548="LOC - INITIAL",F548="CONSOLIDATION - UPFRONT COMM",F548="REVERSE - TOTAL FUNDING")),1,0)</f>
        <v>0</v>
      </c>
    </row>
    <row r="549" customFormat="false" ht="15" hidden="false" customHeight="false" outlineLevel="0" collapsed="false">
      <c r="A549" s="25" t="str">
        <f aca="false">IF(C549&lt;&gt;"","F"&amp;COUNT($C$4:C549),"")</f>
        <v/>
      </c>
      <c r="B549" s="26" t="str">
        <f aca="false">IF(OR(F549="LOC - INITIAL",F549="CONSOLIDATION - UPFRONT COMM",F549="REVERSE - TOTAL FUNDING"),A549,"")</f>
        <v/>
      </c>
      <c r="C549" s="27"/>
      <c r="D549" s="28"/>
      <c r="E549" s="28"/>
      <c r="F549" s="28"/>
      <c r="G549" s="29"/>
      <c r="H549" s="30"/>
      <c r="I549" s="28"/>
      <c r="J549" s="31" t="str">
        <f aca="false">IF(AND(G549&lt;&gt;"",H549&lt;&gt;""),G549*H549,"")</f>
        <v/>
      </c>
      <c r="K549" s="28"/>
      <c r="L549" s="32"/>
      <c r="M549" s="32"/>
      <c r="N549" s="31" t="n">
        <f aca="false">IF(OR(G549="",M549=""),0,IF(M549&gt;100,M549,G549*IF(M549&gt;1,M549/100,M549)))</f>
        <v>0</v>
      </c>
      <c r="O549" s="31" t="str">
        <f aca="false">IF(G549="","",G549*IF(L549="",0,IF(L549&gt;1,L549/100,L549))+N549)</f>
        <v/>
      </c>
      <c r="P549" s="28"/>
      <c r="Q549" s="33" t="str">
        <f aca="false">IF(P549="","",IFERROR(VLOOKUP(P549,PARTNERS!$A$2:$B$30,2,0),""))</f>
        <v/>
      </c>
      <c r="R549" s="17" t="str">
        <f aca="false">IF(O549="","",IF(OR(P549="",Q549=""),0,(O549-N549)*IF(Q549&gt;1,Q549/100,Q549)))</f>
        <v/>
      </c>
      <c r="S549" s="31" t="str">
        <f aca="false">IF(O549="","",O549-R549)</f>
        <v/>
      </c>
      <c r="T549" s="28"/>
      <c r="U549" s="34" t="str">
        <f aca="false">IF(T549="","",IFERROR(VLOOKUP(T549,REPS!$A$2:$D$40,2,0),""))</f>
        <v/>
      </c>
      <c r="V549" s="31" t="str">
        <f aca="false">IF(O549="","",IF(U549="",0,O549*IF(U549&gt;1,U549/100,U549)))</f>
        <v/>
      </c>
      <c r="W549" s="28"/>
      <c r="X549" s="34" t="str">
        <f aca="false">IF(W549="","",IFERROR(VLOOKUP(W549,REPS!$A$2:$D$40,3,0),""))</f>
        <v/>
      </c>
      <c r="Y549" s="31" t="str">
        <f aca="false">IF(O549="","",IF(X549="",0,O549*IF(X549&gt;1,X549/100,X549)))</f>
        <v/>
      </c>
      <c r="Z549" s="28"/>
      <c r="AA549" s="34" t="str">
        <f aca="false">IF(Z549="","",IFERROR(VLOOKUP(Z549,REPS!$A$2:$D$40,4,0),""))</f>
        <v/>
      </c>
      <c r="AB549" s="31" t="str">
        <f aca="false">IF(O549="","",IF(AA549="",0,O549*IF(AA549&gt;1,AA549/100,AA549)))</f>
        <v/>
      </c>
      <c r="AC549" s="31" t="str">
        <f aca="false">IF(O549="","",V549+Y549+AB549)</f>
        <v/>
      </c>
      <c r="AD549" s="19" t="str">
        <f aca="false">IF(O549="","",O549-R549-AC549)</f>
        <v/>
      </c>
      <c r="AE549" s="20"/>
      <c r="AF549" s="27"/>
      <c r="AG549" s="21" t="n">
        <f aca="false">IF(OR(AE549="",AE549=0),0,AE549*IF(U549="",0,IF(U549&gt;1,U549/100,U549)))</f>
        <v>0</v>
      </c>
      <c r="AH549" s="21" t="n">
        <f aca="false">IF(OR(AE549="",AE549=0),0,AE549*IF(X549="",0,IF(X549&gt;1,X549/100,X549)))</f>
        <v>0</v>
      </c>
      <c r="AI549" s="21" t="n">
        <f aca="false">IF(OR(AE549="",AE549=0),0,AE549*IF(AA549="",0,IF(AA549&gt;1,AA549/100,AA549)))</f>
        <v>0</v>
      </c>
      <c r="AJ549" s="21" t="n">
        <f aca="false">AG549+AH549+AI549</f>
        <v>0</v>
      </c>
      <c r="AK549" s="21" t="n">
        <f aca="false">IF(OR(AE549="",AE549=0),0,AE549-AJ549)</f>
        <v>0</v>
      </c>
      <c r="AL549" s="19" t="str">
        <f aca="false">IF(AD549="","",AD549-AK549)</f>
        <v/>
      </c>
      <c r="AM549" s="26" t="str">
        <f aca="false">IF(C549="","","Waiting for payment")</f>
        <v/>
      </c>
      <c r="AN549" s="27"/>
      <c r="AO549" s="27"/>
      <c r="AP549" s="35" t="str">
        <f aca="false">IF(OR(C549="",I549="",K549=""),"",IF(K549="Monthly",EDATE(C549,ROUND(I549*SETTINGS!$I$8,0)),WORKDAY(C549,ROUND(I549*SETTINGS!$I$8,0))))</f>
        <v/>
      </c>
      <c r="AQ549" s="26" t="str">
        <f aca="true">IF(C549="","",IF(AND(AP549&lt;&gt;"",TODAY()&gt;=AP549),"Refi Ready",IF(TODAY()-C549&gt;=SETTINGS!$I$11,"Prospecting","Performing")))</f>
        <v/>
      </c>
      <c r="AR549" s="35" t="str">
        <f aca="false">IF(OR(C549="",I549="",K549=""),"",IF(K549="Monthly",EDATE(C549,I549),WORKDAY(C549,I549)))</f>
        <v/>
      </c>
      <c r="AS549" s="28"/>
      <c r="AT549" s="36" t="str">
        <f aca="true">IF(C549="","",IF(AM549="Clawed Back","CLAWED",IF(TODAY()&lt;=C549+SETTINGS!$I$2,"⚠ AT RISK","SAFE")))</f>
        <v/>
      </c>
      <c r="AU549" s="28"/>
      <c r="AW549" s="24" t="n">
        <f aca="false">AW548+IF(AND(C549&lt;&gt;"",AO549&lt;&gt;"",OR('REP COMMISSION'!$B$3="",T549='REP COMMISSION'!$B$3,W549='REP COMMISSION'!$B$3,Z549='REP COMMISSION'!$B$3)),1,0)</f>
        <v>0</v>
      </c>
      <c r="AX549" s="24" t="n">
        <f aca="false">AX548+IF(AND(C549&lt;&gt;"",OR(F549="LOC - INITIAL",F549="CONSOLIDATION - UPFRONT COMM",F549="REVERSE - TOTAL FUNDING")),1,0)</f>
        <v>0</v>
      </c>
    </row>
    <row r="550" customFormat="false" ht="15" hidden="false" customHeight="false" outlineLevel="0" collapsed="false">
      <c r="A550" s="8" t="str">
        <f aca="false">IF(C550&lt;&gt;"","F"&amp;COUNT($C$4:C550),"")</f>
        <v/>
      </c>
      <c r="B550" s="9" t="str">
        <f aca="false">IF(OR(F550="LOC - INITIAL",F550="CONSOLIDATION - UPFRONT COMM",F550="REVERSE - TOTAL FUNDING"),A550,"")</f>
        <v/>
      </c>
      <c r="C550" s="10"/>
      <c r="D550" s="11"/>
      <c r="E550" s="11"/>
      <c r="F550" s="11"/>
      <c r="G550" s="12"/>
      <c r="H550" s="13"/>
      <c r="I550" s="11"/>
      <c r="J550" s="14" t="str">
        <f aca="false">IF(AND(G550&lt;&gt;"",H550&lt;&gt;""),G550*H550,"")</f>
        <v/>
      </c>
      <c r="K550" s="11"/>
      <c r="L550" s="15"/>
      <c r="M550" s="15"/>
      <c r="N550" s="14" t="n">
        <f aca="false">IF(OR(G550="",M550=""),0,IF(M550&gt;100,M550,G550*IF(M550&gt;1,M550/100,M550)))</f>
        <v>0</v>
      </c>
      <c r="O550" s="14" t="str">
        <f aca="false">IF(G550="","",G550*IF(L550="",0,IF(L550&gt;1,L550/100,L550))+N550)</f>
        <v/>
      </c>
      <c r="P550" s="11"/>
      <c r="Q550" s="16" t="str">
        <f aca="false">IF(P550="","",IFERROR(VLOOKUP(P550,PARTNERS!$A$2:$B$30,2,0),""))</f>
        <v/>
      </c>
      <c r="R550" s="17" t="str">
        <f aca="false">IF(O550="","",IF(OR(P550="",Q550=""),0,(O550-N550)*IF(Q550&gt;1,Q550/100,Q550)))</f>
        <v/>
      </c>
      <c r="S550" s="14" t="str">
        <f aca="false">IF(O550="","",O550-R550)</f>
        <v/>
      </c>
      <c r="T550" s="11"/>
      <c r="U550" s="18" t="str">
        <f aca="false">IF(T550="","",IFERROR(VLOOKUP(T550,REPS!$A$2:$D$40,2,0),""))</f>
        <v/>
      </c>
      <c r="V550" s="14" t="str">
        <f aca="false">IF(O550="","",IF(U550="",0,O550*IF(U550&gt;1,U550/100,U550)))</f>
        <v/>
      </c>
      <c r="W550" s="11"/>
      <c r="X550" s="18" t="str">
        <f aca="false">IF(W550="","",IFERROR(VLOOKUP(W550,REPS!$A$2:$D$40,3,0),""))</f>
        <v/>
      </c>
      <c r="Y550" s="14" t="str">
        <f aca="false">IF(O550="","",IF(X550="",0,O550*IF(X550&gt;1,X550/100,X550)))</f>
        <v/>
      </c>
      <c r="Z550" s="11"/>
      <c r="AA550" s="18" t="str">
        <f aca="false">IF(Z550="","",IFERROR(VLOOKUP(Z550,REPS!$A$2:$D$40,4,0),""))</f>
        <v/>
      </c>
      <c r="AB550" s="14" t="str">
        <f aca="false">IF(O550="","",IF(AA550="",0,O550*IF(AA550&gt;1,AA550/100,AA550)))</f>
        <v/>
      </c>
      <c r="AC550" s="14" t="str">
        <f aca="false">IF(O550="","",V550+Y550+AB550)</f>
        <v/>
      </c>
      <c r="AD550" s="19" t="str">
        <f aca="false">IF(O550="","",O550-R550-AC550)</f>
        <v/>
      </c>
      <c r="AE550" s="20"/>
      <c r="AF550" s="10"/>
      <c r="AG550" s="21" t="n">
        <f aca="false">IF(OR(AE550="",AE550=0),0,AE550*IF(U550="",0,IF(U550&gt;1,U550/100,U550)))</f>
        <v>0</v>
      </c>
      <c r="AH550" s="21" t="n">
        <f aca="false">IF(OR(AE550="",AE550=0),0,AE550*IF(X550="",0,IF(X550&gt;1,X550/100,X550)))</f>
        <v>0</v>
      </c>
      <c r="AI550" s="21" t="n">
        <f aca="false">IF(OR(AE550="",AE550=0),0,AE550*IF(AA550="",0,IF(AA550&gt;1,AA550/100,AA550)))</f>
        <v>0</v>
      </c>
      <c r="AJ550" s="21" t="n">
        <f aca="false">AG550+AH550+AI550</f>
        <v>0</v>
      </c>
      <c r="AK550" s="21" t="n">
        <f aca="false">IF(OR(AE550="",AE550=0),0,AE550-AJ550)</f>
        <v>0</v>
      </c>
      <c r="AL550" s="19" t="str">
        <f aca="false">IF(AD550="","",AD550-AK550)</f>
        <v/>
      </c>
      <c r="AM550" s="9" t="str">
        <f aca="false">IF(C550="","","Waiting for payment")</f>
        <v/>
      </c>
      <c r="AN550" s="10"/>
      <c r="AO550" s="10"/>
      <c r="AP550" s="22" t="str">
        <f aca="false">IF(OR(C550="",I550="",K550=""),"",IF(K550="Monthly",EDATE(C550,ROUND(I550*SETTINGS!$I$8,0)),WORKDAY(C550,ROUND(I550*SETTINGS!$I$8,0))))</f>
        <v/>
      </c>
      <c r="AQ550" s="9" t="str">
        <f aca="true">IF(C550="","",IF(AND(AP550&lt;&gt;"",TODAY()&gt;=AP550),"Refi Ready",IF(TODAY()-C550&gt;=SETTINGS!$I$11,"Prospecting","Performing")))</f>
        <v/>
      </c>
      <c r="AR550" s="22" t="str">
        <f aca="false">IF(OR(C550="",I550="",K550=""),"",IF(K550="Monthly",EDATE(C550,I550),WORKDAY(C550,I550)))</f>
        <v/>
      </c>
      <c r="AS550" s="11"/>
      <c r="AT550" s="23" t="str">
        <f aca="true">IF(C550="","",IF(AM550="Clawed Back","CLAWED",IF(TODAY()&lt;=C550+SETTINGS!$I$2,"⚠ AT RISK","SAFE")))</f>
        <v/>
      </c>
      <c r="AU550" s="11"/>
      <c r="AW550" s="24" t="n">
        <f aca="false">AW549+IF(AND(C550&lt;&gt;"",AO550&lt;&gt;"",OR('REP COMMISSION'!$B$3="",T550='REP COMMISSION'!$B$3,W550='REP COMMISSION'!$B$3,Z550='REP COMMISSION'!$B$3)),1,0)</f>
        <v>0</v>
      </c>
      <c r="AX550" s="24" t="n">
        <f aca="false">AX549+IF(AND(C550&lt;&gt;"",OR(F550="LOC - INITIAL",F550="CONSOLIDATION - UPFRONT COMM",F550="REVERSE - TOTAL FUNDING")),1,0)</f>
        <v>0</v>
      </c>
    </row>
    <row r="551" customFormat="false" ht="15" hidden="false" customHeight="false" outlineLevel="0" collapsed="false">
      <c r="A551" s="25" t="str">
        <f aca="false">IF(C551&lt;&gt;"","F"&amp;COUNT($C$4:C551),"")</f>
        <v/>
      </c>
      <c r="B551" s="26" t="str">
        <f aca="false">IF(OR(F551="LOC - INITIAL",F551="CONSOLIDATION - UPFRONT COMM",F551="REVERSE - TOTAL FUNDING"),A551,"")</f>
        <v/>
      </c>
      <c r="C551" s="27"/>
      <c r="D551" s="28"/>
      <c r="E551" s="28"/>
      <c r="F551" s="28"/>
      <c r="G551" s="29"/>
      <c r="H551" s="30"/>
      <c r="I551" s="28"/>
      <c r="J551" s="31" t="str">
        <f aca="false">IF(AND(G551&lt;&gt;"",H551&lt;&gt;""),G551*H551,"")</f>
        <v/>
      </c>
      <c r="K551" s="28"/>
      <c r="L551" s="32"/>
      <c r="M551" s="32"/>
      <c r="N551" s="31" t="n">
        <f aca="false">IF(OR(G551="",M551=""),0,IF(M551&gt;100,M551,G551*IF(M551&gt;1,M551/100,M551)))</f>
        <v>0</v>
      </c>
      <c r="O551" s="31" t="str">
        <f aca="false">IF(G551="","",G551*IF(L551="",0,IF(L551&gt;1,L551/100,L551))+N551)</f>
        <v/>
      </c>
      <c r="P551" s="28"/>
      <c r="Q551" s="33" t="str">
        <f aca="false">IF(P551="","",IFERROR(VLOOKUP(P551,PARTNERS!$A$2:$B$30,2,0),""))</f>
        <v/>
      </c>
      <c r="R551" s="17" t="str">
        <f aca="false">IF(O551="","",IF(OR(P551="",Q551=""),0,(O551-N551)*IF(Q551&gt;1,Q551/100,Q551)))</f>
        <v/>
      </c>
      <c r="S551" s="31" t="str">
        <f aca="false">IF(O551="","",O551-R551)</f>
        <v/>
      </c>
      <c r="T551" s="28"/>
      <c r="U551" s="34" t="str">
        <f aca="false">IF(T551="","",IFERROR(VLOOKUP(T551,REPS!$A$2:$D$40,2,0),""))</f>
        <v/>
      </c>
      <c r="V551" s="31" t="str">
        <f aca="false">IF(O551="","",IF(U551="",0,O551*IF(U551&gt;1,U551/100,U551)))</f>
        <v/>
      </c>
      <c r="W551" s="28"/>
      <c r="X551" s="34" t="str">
        <f aca="false">IF(W551="","",IFERROR(VLOOKUP(W551,REPS!$A$2:$D$40,3,0),""))</f>
        <v/>
      </c>
      <c r="Y551" s="31" t="str">
        <f aca="false">IF(O551="","",IF(X551="",0,O551*IF(X551&gt;1,X551/100,X551)))</f>
        <v/>
      </c>
      <c r="Z551" s="28"/>
      <c r="AA551" s="34" t="str">
        <f aca="false">IF(Z551="","",IFERROR(VLOOKUP(Z551,REPS!$A$2:$D$40,4,0),""))</f>
        <v/>
      </c>
      <c r="AB551" s="31" t="str">
        <f aca="false">IF(O551="","",IF(AA551="",0,O551*IF(AA551&gt;1,AA551/100,AA551)))</f>
        <v/>
      </c>
      <c r="AC551" s="31" t="str">
        <f aca="false">IF(O551="","",V551+Y551+AB551)</f>
        <v/>
      </c>
      <c r="AD551" s="19" t="str">
        <f aca="false">IF(O551="","",O551-R551-AC551)</f>
        <v/>
      </c>
      <c r="AE551" s="20"/>
      <c r="AF551" s="27"/>
      <c r="AG551" s="21" t="n">
        <f aca="false">IF(OR(AE551="",AE551=0),0,AE551*IF(U551="",0,IF(U551&gt;1,U551/100,U551)))</f>
        <v>0</v>
      </c>
      <c r="AH551" s="21" t="n">
        <f aca="false">IF(OR(AE551="",AE551=0),0,AE551*IF(X551="",0,IF(X551&gt;1,X551/100,X551)))</f>
        <v>0</v>
      </c>
      <c r="AI551" s="21" t="n">
        <f aca="false">IF(OR(AE551="",AE551=0),0,AE551*IF(AA551="",0,IF(AA551&gt;1,AA551/100,AA551)))</f>
        <v>0</v>
      </c>
      <c r="AJ551" s="21" t="n">
        <f aca="false">AG551+AH551+AI551</f>
        <v>0</v>
      </c>
      <c r="AK551" s="21" t="n">
        <f aca="false">IF(OR(AE551="",AE551=0),0,AE551-AJ551)</f>
        <v>0</v>
      </c>
      <c r="AL551" s="19" t="str">
        <f aca="false">IF(AD551="","",AD551-AK551)</f>
        <v/>
      </c>
      <c r="AM551" s="26" t="str">
        <f aca="false">IF(C551="","","Waiting for payment")</f>
        <v/>
      </c>
      <c r="AN551" s="27"/>
      <c r="AO551" s="27"/>
      <c r="AP551" s="35" t="str">
        <f aca="false">IF(OR(C551="",I551="",K551=""),"",IF(K551="Monthly",EDATE(C551,ROUND(I551*SETTINGS!$I$8,0)),WORKDAY(C551,ROUND(I551*SETTINGS!$I$8,0))))</f>
        <v/>
      </c>
      <c r="AQ551" s="26" t="str">
        <f aca="true">IF(C551="","",IF(AND(AP551&lt;&gt;"",TODAY()&gt;=AP551),"Refi Ready",IF(TODAY()-C551&gt;=SETTINGS!$I$11,"Prospecting","Performing")))</f>
        <v/>
      </c>
      <c r="AR551" s="35" t="str">
        <f aca="false">IF(OR(C551="",I551="",K551=""),"",IF(K551="Monthly",EDATE(C551,I551),WORKDAY(C551,I551)))</f>
        <v/>
      </c>
      <c r="AS551" s="28"/>
      <c r="AT551" s="36" t="str">
        <f aca="true">IF(C551="","",IF(AM551="Clawed Back","CLAWED",IF(TODAY()&lt;=C551+SETTINGS!$I$2,"⚠ AT RISK","SAFE")))</f>
        <v/>
      </c>
      <c r="AU551" s="28"/>
      <c r="AW551" s="24" t="n">
        <f aca="false">AW550+IF(AND(C551&lt;&gt;"",AO551&lt;&gt;"",OR('REP COMMISSION'!$B$3="",T551='REP COMMISSION'!$B$3,W551='REP COMMISSION'!$B$3,Z551='REP COMMISSION'!$B$3)),1,0)</f>
        <v>0</v>
      </c>
      <c r="AX551" s="24" t="n">
        <f aca="false">AX550+IF(AND(C551&lt;&gt;"",OR(F551="LOC - INITIAL",F551="CONSOLIDATION - UPFRONT COMM",F551="REVERSE - TOTAL FUNDING")),1,0)</f>
        <v>0</v>
      </c>
    </row>
    <row r="552" customFormat="false" ht="15" hidden="false" customHeight="false" outlineLevel="0" collapsed="false">
      <c r="A552" s="8" t="str">
        <f aca="false">IF(C552&lt;&gt;"","F"&amp;COUNT($C$4:C552),"")</f>
        <v/>
      </c>
      <c r="B552" s="9" t="str">
        <f aca="false">IF(OR(F552="LOC - INITIAL",F552="CONSOLIDATION - UPFRONT COMM",F552="REVERSE - TOTAL FUNDING"),A552,"")</f>
        <v/>
      </c>
      <c r="C552" s="10"/>
      <c r="D552" s="11"/>
      <c r="E552" s="11"/>
      <c r="F552" s="11"/>
      <c r="G552" s="12"/>
      <c r="H552" s="13"/>
      <c r="I552" s="11"/>
      <c r="J552" s="14" t="str">
        <f aca="false">IF(AND(G552&lt;&gt;"",H552&lt;&gt;""),G552*H552,"")</f>
        <v/>
      </c>
      <c r="K552" s="11"/>
      <c r="L552" s="15"/>
      <c r="M552" s="15"/>
      <c r="N552" s="14" t="n">
        <f aca="false">IF(OR(G552="",M552=""),0,IF(M552&gt;100,M552,G552*IF(M552&gt;1,M552/100,M552)))</f>
        <v>0</v>
      </c>
      <c r="O552" s="14" t="str">
        <f aca="false">IF(G552="","",G552*IF(L552="",0,IF(L552&gt;1,L552/100,L552))+N552)</f>
        <v/>
      </c>
      <c r="P552" s="11"/>
      <c r="Q552" s="16" t="str">
        <f aca="false">IF(P552="","",IFERROR(VLOOKUP(P552,PARTNERS!$A$2:$B$30,2,0),""))</f>
        <v/>
      </c>
      <c r="R552" s="17" t="str">
        <f aca="false">IF(O552="","",IF(OR(P552="",Q552=""),0,(O552-N552)*IF(Q552&gt;1,Q552/100,Q552)))</f>
        <v/>
      </c>
      <c r="S552" s="14" t="str">
        <f aca="false">IF(O552="","",O552-R552)</f>
        <v/>
      </c>
      <c r="T552" s="11"/>
      <c r="U552" s="18" t="str">
        <f aca="false">IF(T552="","",IFERROR(VLOOKUP(T552,REPS!$A$2:$D$40,2,0),""))</f>
        <v/>
      </c>
      <c r="V552" s="14" t="str">
        <f aca="false">IF(O552="","",IF(U552="",0,O552*IF(U552&gt;1,U552/100,U552)))</f>
        <v/>
      </c>
      <c r="W552" s="11"/>
      <c r="X552" s="18" t="str">
        <f aca="false">IF(W552="","",IFERROR(VLOOKUP(W552,REPS!$A$2:$D$40,3,0),""))</f>
        <v/>
      </c>
      <c r="Y552" s="14" t="str">
        <f aca="false">IF(O552="","",IF(X552="",0,O552*IF(X552&gt;1,X552/100,X552)))</f>
        <v/>
      </c>
      <c r="Z552" s="11"/>
      <c r="AA552" s="18" t="str">
        <f aca="false">IF(Z552="","",IFERROR(VLOOKUP(Z552,REPS!$A$2:$D$40,4,0),""))</f>
        <v/>
      </c>
      <c r="AB552" s="14" t="str">
        <f aca="false">IF(O552="","",IF(AA552="",0,O552*IF(AA552&gt;1,AA552/100,AA552)))</f>
        <v/>
      </c>
      <c r="AC552" s="14" t="str">
        <f aca="false">IF(O552="","",V552+Y552+AB552)</f>
        <v/>
      </c>
      <c r="AD552" s="19" t="str">
        <f aca="false">IF(O552="","",O552-R552-AC552)</f>
        <v/>
      </c>
      <c r="AE552" s="20"/>
      <c r="AF552" s="10"/>
      <c r="AG552" s="21" t="n">
        <f aca="false">IF(OR(AE552="",AE552=0),0,AE552*IF(U552="",0,IF(U552&gt;1,U552/100,U552)))</f>
        <v>0</v>
      </c>
      <c r="AH552" s="21" t="n">
        <f aca="false">IF(OR(AE552="",AE552=0),0,AE552*IF(X552="",0,IF(X552&gt;1,X552/100,X552)))</f>
        <v>0</v>
      </c>
      <c r="AI552" s="21" t="n">
        <f aca="false">IF(OR(AE552="",AE552=0),0,AE552*IF(AA552="",0,IF(AA552&gt;1,AA552/100,AA552)))</f>
        <v>0</v>
      </c>
      <c r="AJ552" s="21" t="n">
        <f aca="false">AG552+AH552+AI552</f>
        <v>0</v>
      </c>
      <c r="AK552" s="21" t="n">
        <f aca="false">IF(OR(AE552="",AE552=0),0,AE552-AJ552)</f>
        <v>0</v>
      </c>
      <c r="AL552" s="19" t="str">
        <f aca="false">IF(AD552="","",AD552-AK552)</f>
        <v/>
      </c>
      <c r="AM552" s="9" t="str">
        <f aca="false">IF(C552="","","Waiting for payment")</f>
        <v/>
      </c>
      <c r="AN552" s="10"/>
      <c r="AO552" s="10"/>
      <c r="AP552" s="22" t="str">
        <f aca="false">IF(OR(C552="",I552="",K552=""),"",IF(K552="Monthly",EDATE(C552,ROUND(I552*SETTINGS!$I$8,0)),WORKDAY(C552,ROUND(I552*SETTINGS!$I$8,0))))</f>
        <v/>
      </c>
      <c r="AQ552" s="9" t="str">
        <f aca="true">IF(C552="","",IF(AND(AP552&lt;&gt;"",TODAY()&gt;=AP552),"Refi Ready",IF(TODAY()-C552&gt;=SETTINGS!$I$11,"Prospecting","Performing")))</f>
        <v/>
      </c>
      <c r="AR552" s="22" t="str">
        <f aca="false">IF(OR(C552="",I552="",K552=""),"",IF(K552="Monthly",EDATE(C552,I552),WORKDAY(C552,I552)))</f>
        <v/>
      </c>
      <c r="AS552" s="11"/>
      <c r="AT552" s="23" t="str">
        <f aca="true">IF(C552="","",IF(AM552="Clawed Back","CLAWED",IF(TODAY()&lt;=C552+SETTINGS!$I$2,"⚠ AT RISK","SAFE")))</f>
        <v/>
      </c>
      <c r="AU552" s="11"/>
      <c r="AW552" s="24" t="n">
        <f aca="false">AW551+IF(AND(C552&lt;&gt;"",AO552&lt;&gt;"",OR('REP COMMISSION'!$B$3="",T552='REP COMMISSION'!$B$3,W552='REP COMMISSION'!$B$3,Z552='REP COMMISSION'!$B$3)),1,0)</f>
        <v>0</v>
      </c>
      <c r="AX552" s="24" t="n">
        <f aca="false">AX551+IF(AND(C552&lt;&gt;"",OR(F552="LOC - INITIAL",F552="CONSOLIDATION - UPFRONT COMM",F552="REVERSE - TOTAL FUNDING")),1,0)</f>
        <v>0</v>
      </c>
    </row>
    <row r="553" customFormat="false" ht="15" hidden="false" customHeight="false" outlineLevel="0" collapsed="false">
      <c r="A553" s="25" t="str">
        <f aca="false">IF(C553&lt;&gt;"","F"&amp;COUNT($C$4:C553),"")</f>
        <v/>
      </c>
      <c r="B553" s="26" t="str">
        <f aca="false">IF(OR(F553="LOC - INITIAL",F553="CONSOLIDATION - UPFRONT COMM",F553="REVERSE - TOTAL FUNDING"),A553,"")</f>
        <v/>
      </c>
      <c r="C553" s="27"/>
      <c r="D553" s="28"/>
      <c r="E553" s="28"/>
      <c r="F553" s="28"/>
      <c r="G553" s="29"/>
      <c r="H553" s="30"/>
      <c r="I553" s="28"/>
      <c r="J553" s="31" t="str">
        <f aca="false">IF(AND(G553&lt;&gt;"",H553&lt;&gt;""),G553*H553,"")</f>
        <v/>
      </c>
      <c r="K553" s="28"/>
      <c r="L553" s="32"/>
      <c r="M553" s="32"/>
      <c r="N553" s="31" t="n">
        <f aca="false">IF(OR(G553="",M553=""),0,IF(M553&gt;100,M553,G553*IF(M553&gt;1,M553/100,M553)))</f>
        <v>0</v>
      </c>
      <c r="O553" s="31" t="str">
        <f aca="false">IF(G553="","",G553*IF(L553="",0,IF(L553&gt;1,L553/100,L553))+N553)</f>
        <v/>
      </c>
      <c r="P553" s="28"/>
      <c r="Q553" s="33" t="str">
        <f aca="false">IF(P553="","",IFERROR(VLOOKUP(P553,PARTNERS!$A$2:$B$30,2,0),""))</f>
        <v/>
      </c>
      <c r="R553" s="17" t="str">
        <f aca="false">IF(O553="","",IF(OR(P553="",Q553=""),0,(O553-N553)*IF(Q553&gt;1,Q553/100,Q553)))</f>
        <v/>
      </c>
      <c r="S553" s="31" t="str">
        <f aca="false">IF(O553="","",O553-R553)</f>
        <v/>
      </c>
      <c r="T553" s="28"/>
      <c r="U553" s="34" t="str">
        <f aca="false">IF(T553="","",IFERROR(VLOOKUP(T553,REPS!$A$2:$D$40,2,0),""))</f>
        <v/>
      </c>
      <c r="V553" s="31" t="str">
        <f aca="false">IF(O553="","",IF(U553="",0,O553*IF(U553&gt;1,U553/100,U553)))</f>
        <v/>
      </c>
      <c r="W553" s="28"/>
      <c r="X553" s="34" t="str">
        <f aca="false">IF(W553="","",IFERROR(VLOOKUP(W553,REPS!$A$2:$D$40,3,0),""))</f>
        <v/>
      </c>
      <c r="Y553" s="31" t="str">
        <f aca="false">IF(O553="","",IF(X553="",0,O553*IF(X553&gt;1,X553/100,X553)))</f>
        <v/>
      </c>
      <c r="Z553" s="28"/>
      <c r="AA553" s="34" t="str">
        <f aca="false">IF(Z553="","",IFERROR(VLOOKUP(Z553,REPS!$A$2:$D$40,4,0),""))</f>
        <v/>
      </c>
      <c r="AB553" s="31" t="str">
        <f aca="false">IF(O553="","",IF(AA553="",0,O553*IF(AA553&gt;1,AA553/100,AA553)))</f>
        <v/>
      </c>
      <c r="AC553" s="31" t="str">
        <f aca="false">IF(O553="","",V553+Y553+AB553)</f>
        <v/>
      </c>
      <c r="AD553" s="19" t="str">
        <f aca="false">IF(O553="","",O553-R553-AC553)</f>
        <v/>
      </c>
      <c r="AE553" s="20"/>
      <c r="AF553" s="27"/>
      <c r="AG553" s="21" t="n">
        <f aca="false">IF(OR(AE553="",AE553=0),0,AE553*IF(U553="",0,IF(U553&gt;1,U553/100,U553)))</f>
        <v>0</v>
      </c>
      <c r="AH553" s="21" t="n">
        <f aca="false">IF(OR(AE553="",AE553=0),0,AE553*IF(X553="",0,IF(X553&gt;1,X553/100,X553)))</f>
        <v>0</v>
      </c>
      <c r="AI553" s="21" t="n">
        <f aca="false">IF(OR(AE553="",AE553=0),0,AE553*IF(AA553="",0,IF(AA553&gt;1,AA553/100,AA553)))</f>
        <v>0</v>
      </c>
      <c r="AJ553" s="21" t="n">
        <f aca="false">AG553+AH553+AI553</f>
        <v>0</v>
      </c>
      <c r="AK553" s="21" t="n">
        <f aca="false">IF(OR(AE553="",AE553=0),0,AE553-AJ553)</f>
        <v>0</v>
      </c>
      <c r="AL553" s="19" t="str">
        <f aca="false">IF(AD553="","",AD553-AK553)</f>
        <v/>
      </c>
      <c r="AM553" s="26" t="str">
        <f aca="false">IF(C553="","","Waiting for payment")</f>
        <v/>
      </c>
      <c r="AN553" s="27"/>
      <c r="AO553" s="27"/>
      <c r="AP553" s="35" t="str">
        <f aca="false">IF(OR(C553="",I553="",K553=""),"",IF(K553="Monthly",EDATE(C553,ROUND(I553*SETTINGS!$I$8,0)),WORKDAY(C553,ROUND(I553*SETTINGS!$I$8,0))))</f>
        <v/>
      </c>
      <c r="AQ553" s="26" t="str">
        <f aca="true">IF(C553="","",IF(AND(AP553&lt;&gt;"",TODAY()&gt;=AP553),"Refi Ready",IF(TODAY()-C553&gt;=SETTINGS!$I$11,"Prospecting","Performing")))</f>
        <v/>
      </c>
      <c r="AR553" s="35" t="str">
        <f aca="false">IF(OR(C553="",I553="",K553=""),"",IF(K553="Monthly",EDATE(C553,I553),WORKDAY(C553,I553)))</f>
        <v/>
      </c>
      <c r="AS553" s="28"/>
      <c r="AT553" s="36" t="str">
        <f aca="true">IF(C553="","",IF(AM553="Clawed Back","CLAWED",IF(TODAY()&lt;=C553+SETTINGS!$I$2,"⚠ AT RISK","SAFE")))</f>
        <v/>
      </c>
      <c r="AU553" s="28"/>
      <c r="AW553" s="24" t="n">
        <f aca="false">AW552+IF(AND(C553&lt;&gt;"",AO553&lt;&gt;"",OR('REP COMMISSION'!$B$3="",T553='REP COMMISSION'!$B$3,W553='REP COMMISSION'!$B$3,Z553='REP COMMISSION'!$B$3)),1,0)</f>
        <v>0</v>
      </c>
      <c r="AX553" s="24" t="n">
        <f aca="false">AX552+IF(AND(C553&lt;&gt;"",OR(F553="LOC - INITIAL",F553="CONSOLIDATION - UPFRONT COMM",F553="REVERSE - TOTAL FUNDING")),1,0)</f>
        <v>0</v>
      </c>
    </row>
    <row r="554" customFormat="false" ht="15" hidden="false" customHeight="false" outlineLevel="0" collapsed="false">
      <c r="A554" s="8" t="str">
        <f aca="false">IF(C554&lt;&gt;"","F"&amp;COUNT($C$4:C554),"")</f>
        <v/>
      </c>
      <c r="B554" s="9" t="str">
        <f aca="false">IF(OR(F554="LOC - INITIAL",F554="CONSOLIDATION - UPFRONT COMM",F554="REVERSE - TOTAL FUNDING"),A554,"")</f>
        <v/>
      </c>
      <c r="C554" s="10"/>
      <c r="D554" s="11"/>
      <c r="E554" s="11"/>
      <c r="F554" s="11"/>
      <c r="G554" s="12"/>
      <c r="H554" s="13"/>
      <c r="I554" s="11"/>
      <c r="J554" s="14" t="str">
        <f aca="false">IF(AND(G554&lt;&gt;"",H554&lt;&gt;""),G554*H554,"")</f>
        <v/>
      </c>
      <c r="K554" s="11"/>
      <c r="L554" s="15"/>
      <c r="M554" s="15"/>
      <c r="N554" s="14" t="n">
        <f aca="false">IF(OR(G554="",M554=""),0,IF(M554&gt;100,M554,G554*IF(M554&gt;1,M554/100,M554)))</f>
        <v>0</v>
      </c>
      <c r="O554" s="14" t="str">
        <f aca="false">IF(G554="","",G554*IF(L554="",0,IF(L554&gt;1,L554/100,L554))+N554)</f>
        <v/>
      </c>
      <c r="P554" s="11"/>
      <c r="Q554" s="16" t="str">
        <f aca="false">IF(P554="","",IFERROR(VLOOKUP(P554,PARTNERS!$A$2:$B$30,2,0),""))</f>
        <v/>
      </c>
      <c r="R554" s="17" t="str">
        <f aca="false">IF(O554="","",IF(OR(P554="",Q554=""),0,(O554-N554)*IF(Q554&gt;1,Q554/100,Q554)))</f>
        <v/>
      </c>
      <c r="S554" s="14" t="str">
        <f aca="false">IF(O554="","",O554-R554)</f>
        <v/>
      </c>
      <c r="T554" s="11"/>
      <c r="U554" s="18" t="str">
        <f aca="false">IF(T554="","",IFERROR(VLOOKUP(T554,REPS!$A$2:$D$40,2,0),""))</f>
        <v/>
      </c>
      <c r="V554" s="14" t="str">
        <f aca="false">IF(O554="","",IF(U554="",0,O554*IF(U554&gt;1,U554/100,U554)))</f>
        <v/>
      </c>
      <c r="W554" s="11"/>
      <c r="X554" s="18" t="str">
        <f aca="false">IF(W554="","",IFERROR(VLOOKUP(W554,REPS!$A$2:$D$40,3,0),""))</f>
        <v/>
      </c>
      <c r="Y554" s="14" t="str">
        <f aca="false">IF(O554="","",IF(X554="",0,O554*IF(X554&gt;1,X554/100,X554)))</f>
        <v/>
      </c>
      <c r="Z554" s="11"/>
      <c r="AA554" s="18" t="str">
        <f aca="false">IF(Z554="","",IFERROR(VLOOKUP(Z554,REPS!$A$2:$D$40,4,0),""))</f>
        <v/>
      </c>
      <c r="AB554" s="14" t="str">
        <f aca="false">IF(O554="","",IF(AA554="",0,O554*IF(AA554&gt;1,AA554/100,AA554)))</f>
        <v/>
      </c>
      <c r="AC554" s="14" t="str">
        <f aca="false">IF(O554="","",V554+Y554+AB554)</f>
        <v/>
      </c>
      <c r="AD554" s="19" t="str">
        <f aca="false">IF(O554="","",O554-R554-AC554)</f>
        <v/>
      </c>
      <c r="AE554" s="20"/>
      <c r="AF554" s="10"/>
      <c r="AG554" s="21" t="n">
        <f aca="false">IF(OR(AE554="",AE554=0),0,AE554*IF(U554="",0,IF(U554&gt;1,U554/100,U554)))</f>
        <v>0</v>
      </c>
      <c r="AH554" s="21" t="n">
        <f aca="false">IF(OR(AE554="",AE554=0),0,AE554*IF(X554="",0,IF(X554&gt;1,X554/100,X554)))</f>
        <v>0</v>
      </c>
      <c r="AI554" s="21" t="n">
        <f aca="false">IF(OR(AE554="",AE554=0),0,AE554*IF(AA554="",0,IF(AA554&gt;1,AA554/100,AA554)))</f>
        <v>0</v>
      </c>
      <c r="AJ554" s="21" t="n">
        <f aca="false">AG554+AH554+AI554</f>
        <v>0</v>
      </c>
      <c r="AK554" s="21" t="n">
        <f aca="false">IF(OR(AE554="",AE554=0),0,AE554-AJ554)</f>
        <v>0</v>
      </c>
      <c r="AL554" s="19" t="str">
        <f aca="false">IF(AD554="","",AD554-AK554)</f>
        <v/>
      </c>
      <c r="AM554" s="9" t="str">
        <f aca="false">IF(C554="","","Waiting for payment")</f>
        <v/>
      </c>
      <c r="AN554" s="10"/>
      <c r="AO554" s="10"/>
      <c r="AP554" s="22" t="str">
        <f aca="false">IF(OR(C554="",I554="",K554=""),"",IF(K554="Monthly",EDATE(C554,ROUND(I554*SETTINGS!$I$8,0)),WORKDAY(C554,ROUND(I554*SETTINGS!$I$8,0))))</f>
        <v/>
      </c>
      <c r="AQ554" s="9" t="str">
        <f aca="true">IF(C554="","",IF(AND(AP554&lt;&gt;"",TODAY()&gt;=AP554),"Refi Ready",IF(TODAY()-C554&gt;=SETTINGS!$I$11,"Prospecting","Performing")))</f>
        <v/>
      </c>
      <c r="AR554" s="22" t="str">
        <f aca="false">IF(OR(C554="",I554="",K554=""),"",IF(K554="Monthly",EDATE(C554,I554),WORKDAY(C554,I554)))</f>
        <v/>
      </c>
      <c r="AS554" s="11"/>
      <c r="AT554" s="23" t="str">
        <f aca="true">IF(C554="","",IF(AM554="Clawed Back","CLAWED",IF(TODAY()&lt;=C554+SETTINGS!$I$2,"⚠ AT RISK","SAFE")))</f>
        <v/>
      </c>
      <c r="AU554" s="11"/>
      <c r="AW554" s="24" t="n">
        <f aca="false">AW553+IF(AND(C554&lt;&gt;"",AO554&lt;&gt;"",OR('REP COMMISSION'!$B$3="",T554='REP COMMISSION'!$B$3,W554='REP COMMISSION'!$B$3,Z554='REP COMMISSION'!$B$3)),1,0)</f>
        <v>0</v>
      </c>
      <c r="AX554" s="24" t="n">
        <f aca="false">AX553+IF(AND(C554&lt;&gt;"",OR(F554="LOC - INITIAL",F554="CONSOLIDATION - UPFRONT COMM",F554="REVERSE - TOTAL FUNDING")),1,0)</f>
        <v>0</v>
      </c>
    </row>
    <row r="555" customFormat="false" ht="15" hidden="false" customHeight="false" outlineLevel="0" collapsed="false">
      <c r="A555" s="25" t="str">
        <f aca="false">IF(C555&lt;&gt;"","F"&amp;COUNT($C$4:C555),"")</f>
        <v/>
      </c>
      <c r="B555" s="26" t="str">
        <f aca="false">IF(OR(F555="LOC - INITIAL",F555="CONSOLIDATION - UPFRONT COMM",F555="REVERSE - TOTAL FUNDING"),A555,"")</f>
        <v/>
      </c>
      <c r="C555" s="27"/>
      <c r="D555" s="28"/>
      <c r="E555" s="28"/>
      <c r="F555" s="28"/>
      <c r="G555" s="29"/>
      <c r="H555" s="30"/>
      <c r="I555" s="28"/>
      <c r="J555" s="31" t="str">
        <f aca="false">IF(AND(G555&lt;&gt;"",H555&lt;&gt;""),G555*H555,"")</f>
        <v/>
      </c>
      <c r="K555" s="28"/>
      <c r="L555" s="32"/>
      <c r="M555" s="32"/>
      <c r="N555" s="31" t="n">
        <f aca="false">IF(OR(G555="",M555=""),0,IF(M555&gt;100,M555,G555*IF(M555&gt;1,M555/100,M555)))</f>
        <v>0</v>
      </c>
      <c r="O555" s="31" t="str">
        <f aca="false">IF(G555="","",G555*IF(L555="",0,IF(L555&gt;1,L555/100,L555))+N555)</f>
        <v/>
      </c>
      <c r="P555" s="28"/>
      <c r="Q555" s="33" t="str">
        <f aca="false">IF(P555="","",IFERROR(VLOOKUP(P555,PARTNERS!$A$2:$B$30,2,0),""))</f>
        <v/>
      </c>
      <c r="R555" s="17" t="str">
        <f aca="false">IF(O555="","",IF(OR(P555="",Q555=""),0,(O555-N555)*IF(Q555&gt;1,Q555/100,Q555)))</f>
        <v/>
      </c>
      <c r="S555" s="31" t="str">
        <f aca="false">IF(O555="","",O555-R555)</f>
        <v/>
      </c>
      <c r="T555" s="28"/>
      <c r="U555" s="34" t="str">
        <f aca="false">IF(T555="","",IFERROR(VLOOKUP(T555,REPS!$A$2:$D$40,2,0),""))</f>
        <v/>
      </c>
      <c r="V555" s="31" t="str">
        <f aca="false">IF(O555="","",IF(U555="",0,O555*IF(U555&gt;1,U555/100,U555)))</f>
        <v/>
      </c>
      <c r="W555" s="28"/>
      <c r="X555" s="34" t="str">
        <f aca="false">IF(W555="","",IFERROR(VLOOKUP(W555,REPS!$A$2:$D$40,3,0),""))</f>
        <v/>
      </c>
      <c r="Y555" s="31" t="str">
        <f aca="false">IF(O555="","",IF(X555="",0,O555*IF(X555&gt;1,X555/100,X555)))</f>
        <v/>
      </c>
      <c r="Z555" s="28"/>
      <c r="AA555" s="34" t="str">
        <f aca="false">IF(Z555="","",IFERROR(VLOOKUP(Z555,REPS!$A$2:$D$40,4,0),""))</f>
        <v/>
      </c>
      <c r="AB555" s="31" t="str">
        <f aca="false">IF(O555="","",IF(AA555="",0,O555*IF(AA555&gt;1,AA555/100,AA555)))</f>
        <v/>
      </c>
      <c r="AC555" s="31" t="str">
        <f aca="false">IF(O555="","",V555+Y555+AB555)</f>
        <v/>
      </c>
      <c r="AD555" s="19" t="str">
        <f aca="false">IF(O555="","",O555-R555-AC555)</f>
        <v/>
      </c>
      <c r="AE555" s="20"/>
      <c r="AF555" s="27"/>
      <c r="AG555" s="21" t="n">
        <f aca="false">IF(OR(AE555="",AE555=0),0,AE555*IF(U555="",0,IF(U555&gt;1,U555/100,U555)))</f>
        <v>0</v>
      </c>
      <c r="AH555" s="21" t="n">
        <f aca="false">IF(OR(AE555="",AE555=0),0,AE555*IF(X555="",0,IF(X555&gt;1,X555/100,X555)))</f>
        <v>0</v>
      </c>
      <c r="AI555" s="21" t="n">
        <f aca="false">IF(OR(AE555="",AE555=0),0,AE555*IF(AA555="",0,IF(AA555&gt;1,AA555/100,AA555)))</f>
        <v>0</v>
      </c>
      <c r="AJ555" s="21" t="n">
        <f aca="false">AG555+AH555+AI555</f>
        <v>0</v>
      </c>
      <c r="AK555" s="21" t="n">
        <f aca="false">IF(OR(AE555="",AE555=0),0,AE555-AJ555)</f>
        <v>0</v>
      </c>
      <c r="AL555" s="19" t="str">
        <f aca="false">IF(AD555="","",AD555-AK555)</f>
        <v/>
      </c>
      <c r="AM555" s="26" t="str">
        <f aca="false">IF(C555="","","Waiting for payment")</f>
        <v/>
      </c>
      <c r="AN555" s="27"/>
      <c r="AO555" s="27"/>
      <c r="AP555" s="35" t="str">
        <f aca="false">IF(OR(C555="",I555="",K555=""),"",IF(K555="Monthly",EDATE(C555,ROUND(I555*SETTINGS!$I$8,0)),WORKDAY(C555,ROUND(I555*SETTINGS!$I$8,0))))</f>
        <v/>
      </c>
      <c r="AQ555" s="26" t="str">
        <f aca="true">IF(C555="","",IF(AND(AP555&lt;&gt;"",TODAY()&gt;=AP555),"Refi Ready",IF(TODAY()-C555&gt;=SETTINGS!$I$11,"Prospecting","Performing")))</f>
        <v/>
      </c>
      <c r="AR555" s="35" t="str">
        <f aca="false">IF(OR(C555="",I555="",K555=""),"",IF(K555="Monthly",EDATE(C555,I555),WORKDAY(C555,I555)))</f>
        <v/>
      </c>
      <c r="AS555" s="28"/>
      <c r="AT555" s="36" t="str">
        <f aca="true">IF(C555="","",IF(AM555="Clawed Back","CLAWED",IF(TODAY()&lt;=C555+SETTINGS!$I$2,"⚠ AT RISK","SAFE")))</f>
        <v/>
      </c>
      <c r="AU555" s="28"/>
      <c r="AW555" s="24" t="n">
        <f aca="false">AW554+IF(AND(C555&lt;&gt;"",AO555&lt;&gt;"",OR('REP COMMISSION'!$B$3="",T555='REP COMMISSION'!$B$3,W555='REP COMMISSION'!$B$3,Z555='REP COMMISSION'!$B$3)),1,0)</f>
        <v>0</v>
      </c>
      <c r="AX555" s="24" t="n">
        <f aca="false">AX554+IF(AND(C555&lt;&gt;"",OR(F555="LOC - INITIAL",F555="CONSOLIDATION - UPFRONT COMM",F555="REVERSE - TOTAL FUNDING")),1,0)</f>
        <v>0</v>
      </c>
    </row>
    <row r="556" customFormat="false" ht="15" hidden="false" customHeight="false" outlineLevel="0" collapsed="false">
      <c r="A556" s="8" t="str">
        <f aca="false">IF(C556&lt;&gt;"","F"&amp;COUNT($C$4:C556),"")</f>
        <v/>
      </c>
      <c r="B556" s="9" t="str">
        <f aca="false">IF(OR(F556="LOC - INITIAL",F556="CONSOLIDATION - UPFRONT COMM",F556="REVERSE - TOTAL FUNDING"),A556,"")</f>
        <v/>
      </c>
      <c r="C556" s="10"/>
      <c r="D556" s="11"/>
      <c r="E556" s="11"/>
      <c r="F556" s="11"/>
      <c r="G556" s="12"/>
      <c r="H556" s="13"/>
      <c r="I556" s="11"/>
      <c r="J556" s="14" t="str">
        <f aca="false">IF(AND(G556&lt;&gt;"",H556&lt;&gt;""),G556*H556,"")</f>
        <v/>
      </c>
      <c r="K556" s="11"/>
      <c r="L556" s="15"/>
      <c r="M556" s="15"/>
      <c r="N556" s="14" t="n">
        <f aca="false">IF(OR(G556="",M556=""),0,IF(M556&gt;100,M556,G556*IF(M556&gt;1,M556/100,M556)))</f>
        <v>0</v>
      </c>
      <c r="O556" s="14" t="str">
        <f aca="false">IF(G556="","",G556*IF(L556="",0,IF(L556&gt;1,L556/100,L556))+N556)</f>
        <v/>
      </c>
      <c r="P556" s="11"/>
      <c r="Q556" s="16" t="str">
        <f aca="false">IF(P556="","",IFERROR(VLOOKUP(P556,PARTNERS!$A$2:$B$30,2,0),""))</f>
        <v/>
      </c>
      <c r="R556" s="17" t="str">
        <f aca="false">IF(O556="","",IF(OR(P556="",Q556=""),0,(O556-N556)*IF(Q556&gt;1,Q556/100,Q556)))</f>
        <v/>
      </c>
      <c r="S556" s="14" t="str">
        <f aca="false">IF(O556="","",O556-R556)</f>
        <v/>
      </c>
      <c r="T556" s="11"/>
      <c r="U556" s="18" t="str">
        <f aca="false">IF(T556="","",IFERROR(VLOOKUP(T556,REPS!$A$2:$D$40,2,0),""))</f>
        <v/>
      </c>
      <c r="V556" s="14" t="str">
        <f aca="false">IF(O556="","",IF(U556="",0,O556*IF(U556&gt;1,U556/100,U556)))</f>
        <v/>
      </c>
      <c r="W556" s="11"/>
      <c r="X556" s="18" t="str">
        <f aca="false">IF(W556="","",IFERROR(VLOOKUP(W556,REPS!$A$2:$D$40,3,0),""))</f>
        <v/>
      </c>
      <c r="Y556" s="14" t="str">
        <f aca="false">IF(O556="","",IF(X556="",0,O556*IF(X556&gt;1,X556/100,X556)))</f>
        <v/>
      </c>
      <c r="Z556" s="11"/>
      <c r="AA556" s="18" t="str">
        <f aca="false">IF(Z556="","",IFERROR(VLOOKUP(Z556,REPS!$A$2:$D$40,4,0),""))</f>
        <v/>
      </c>
      <c r="AB556" s="14" t="str">
        <f aca="false">IF(O556="","",IF(AA556="",0,O556*IF(AA556&gt;1,AA556/100,AA556)))</f>
        <v/>
      </c>
      <c r="AC556" s="14" t="str">
        <f aca="false">IF(O556="","",V556+Y556+AB556)</f>
        <v/>
      </c>
      <c r="AD556" s="19" t="str">
        <f aca="false">IF(O556="","",O556-R556-AC556)</f>
        <v/>
      </c>
      <c r="AE556" s="20"/>
      <c r="AF556" s="10"/>
      <c r="AG556" s="21" t="n">
        <f aca="false">IF(OR(AE556="",AE556=0),0,AE556*IF(U556="",0,IF(U556&gt;1,U556/100,U556)))</f>
        <v>0</v>
      </c>
      <c r="AH556" s="21" t="n">
        <f aca="false">IF(OR(AE556="",AE556=0),0,AE556*IF(X556="",0,IF(X556&gt;1,X556/100,X556)))</f>
        <v>0</v>
      </c>
      <c r="AI556" s="21" t="n">
        <f aca="false">IF(OR(AE556="",AE556=0),0,AE556*IF(AA556="",0,IF(AA556&gt;1,AA556/100,AA556)))</f>
        <v>0</v>
      </c>
      <c r="AJ556" s="21" t="n">
        <f aca="false">AG556+AH556+AI556</f>
        <v>0</v>
      </c>
      <c r="AK556" s="21" t="n">
        <f aca="false">IF(OR(AE556="",AE556=0),0,AE556-AJ556)</f>
        <v>0</v>
      </c>
      <c r="AL556" s="19" t="str">
        <f aca="false">IF(AD556="","",AD556-AK556)</f>
        <v/>
      </c>
      <c r="AM556" s="9" t="str">
        <f aca="false">IF(C556="","","Waiting for payment")</f>
        <v/>
      </c>
      <c r="AN556" s="10"/>
      <c r="AO556" s="10"/>
      <c r="AP556" s="22" t="str">
        <f aca="false">IF(OR(C556="",I556="",K556=""),"",IF(K556="Monthly",EDATE(C556,ROUND(I556*SETTINGS!$I$8,0)),WORKDAY(C556,ROUND(I556*SETTINGS!$I$8,0))))</f>
        <v/>
      </c>
      <c r="AQ556" s="9" t="str">
        <f aca="true">IF(C556="","",IF(AND(AP556&lt;&gt;"",TODAY()&gt;=AP556),"Refi Ready",IF(TODAY()-C556&gt;=SETTINGS!$I$11,"Prospecting","Performing")))</f>
        <v/>
      </c>
      <c r="AR556" s="22" t="str">
        <f aca="false">IF(OR(C556="",I556="",K556=""),"",IF(K556="Monthly",EDATE(C556,I556),WORKDAY(C556,I556)))</f>
        <v/>
      </c>
      <c r="AS556" s="11"/>
      <c r="AT556" s="23" t="str">
        <f aca="true">IF(C556="","",IF(AM556="Clawed Back","CLAWED",IF(TODAY()&lt;=C556+SETTINGS!$I$2,"⚠ AT RISK","SAFE")))</f>
        <v/>
      </c>
      <c r="AU556" s="11"/>
      <c r="AW556" s="24" t="n">
        <f aca="false">AW555+IF(AND(C556&lt;&gt;"",AO556&lt;&gt;"",OR('REP COMMISSION'!$B$3="",T556='REP COMMISSION'!$B$3,W556='REP COMMISSION'!$B$3,Z556='REP COMMISSION'!$B$3)),1,0)</f>
        <v>0</v>
      </c>
      <c r="AX556" s="24" t="n">
        <f aca="false">AX555+IF(AND(C556&lt;&gt;"",OR(F556="LOC - INITIAL",F556="CONSOLIDATION - UPFRONT COMM",F556="REVERSE - TOTAL FUNDING")),1,0)</f>
        <v>0</v>
      </c>
    </row>
    <row r="557" customFormat="false" ht="15" hidden="false" customHeight="false" outlineLevel="0" collapsed="false">
      <c r="A557" s="25" t="str">
        <f aca="false">IF(C557&lt;&gt;"","F"&amp;COUNT($C$4:C557),"")</f>
        <v/>
      </c>
      <c r="B557" s="26" t="str">
        <f aca="false">IF(OR(F557="LOC - INITIAL",F557="CONSOLIDATION - UPFRONT COMM",F557="REVERSE - TOTAL FUNDING"),A557,"")</f>
        <v/>
      </c>
      <c r="C557" s="27"/>
      <c r="D557" s="28"/>
      <c r="E557" s="28"/>
      <c r="F557" s="28"/>
      <c r="G557" s="29"/>
      <c r="H557" s="30"/>
      <c r="I557" s="28"/>
      <c r="J557" s="31" t="str">
        <f aca="false">IF(AND(G557&lt;&gt;"",H557&lt;&gt;""),G557*H557,"")</f>
        <v/>
      </c>
      <c r="K557" s="28"/>
      <c r="L557" s="32"/>
      <c r="M557" s="32"/>
      <c r="N557" s="31" t="n">
        <f aca="false">IF(OR(G557="",M557=""),0,IF(M557&gt;100,M557,G557*IF(M557&gt;1,M557/100,M557)))</f>
        <v>0</v>
      </c>
      <c r="O557" s="31" t="str">
        <f aca="false">IF(G557="","",G557*IF(L557="",0,IF(L557&gt;1,L557/100,L557))+N557)</f>
        <v/>
      </c>
      <c r="P557" s="28"/>
      <c r="Q557" s="33" t="str">
        <f aca="false">IF(P557="","",IFERROR(VLOOKUP(P557,PARTNERS!$A$2:$B$30,2,0),""))</f>
        <v/>
      </c>
      <c r="R557" s="17" t="str">
        <f aca="false">IF(O557="","",IF(OR(P557="",Q557=""),0,(O557-N557)*IF(Q557&gt;1,Q557/100,Q557)))</f>
        <v/>
      </c>
      <c r="S557" s="31" t="str">
        <f aca="false">IF(O557="","",O557-R557)</f>
        <v/>
      </c>
      <c r="T557" s="28"/>
      <c r="U557" s="34" t="str">
        <f aca="false">IF(T557="","",IFERROR(VLOOKUP(T557,REPS!$A$2:$D$40,2,0),""))</f>
        <v/>
      </c>
      <c r="V557" s="31" t="str">
        <f aca="false">IF(O557="","",IF(U557="",0,O557*IF(U557&gt;1,U557/100,U557)))</f>
        <v/>
      </c>
      <c r="W557" s="28"/>
      <c r="X557" s="34" t="str">
        <f aca="false">IF(W557="","",IFERROR(VLOOKUP(W557,REPS!$A$2:$D$40,3,0),""))</f>
        <v/>
      </c>
      <c r="Y557" s="31" t="str">
        <f aca="false">IF(O557="","",IF(X557="",0,O557*IF(X557&gt;1,X557/100,X557)))</f>
        <v/>
      </c>
      <c r="Z557" s="28"/>
      <c r="AA557" s="34" t="str">
        <f aca="false">IF(Z557="","",IFERROR(VLOOKUP(Z557,REPS!$A$2:$D$40,4,0),""))</f>
        <v/>
      </c>
      <c r="AB557" s="31" t="str">
        <f aca="false">IF(O557="","",IF(AA557="",0,O557*IF(AA557&gt;1,AA557/100,AA557)))</f>
        <v/>
      </c>
      <c r="AC557" s="31" t="str">
        <f aca="false">IF(O557="","",V557+Y557+AB557)</f>
        <v/>
      </c>
      <c r="AD557" s="19" t="str">
        <f aca="false">IF(O557="","",O557-R557-AC557)</f>
        <v/>
      </c>
      <c r="AE557" s="20"/>
      <c r="AF557" s="27"/>
      <c r="AG557" s="21" t="n">
        <f aca="false">IF(OR(AE557="",AE557=0),0,AE557*IF(U557="",0,IF(U557&gt;1,U557/100,U557)))</f>
        <v>0</v>
      </c>
      <c r="AH557" s="21" t="n">
        <f aca="false">IF(OR(AE557="",AE557=0),0,AE557*IF(X557="",0,IF(X557&gt;1,X557/100,X557)))</f>
        <v>0</v>
      </c>
      <c r="AI557" s="21" t="n">
        <f aca="false">IF(OR(AE557="",AE557=0),0,AE557*IF(AA557="",0,IF(AA557&gt;1,AA557/100,AA557)))</f>
        <v>0</v>
      </c>
      <c r="AJ557" s="21" t="n">
        <f aca="false">AG557+AH557+AI557</f>
        <v>0</v>
      </c>
      <c r="AK557" s="21" t="n">
        <f aca="false">IF(OR(AE557="",AE557=0),0,AE557-AJ557)</f>
        <v>0</v>
      </c>
      <c r="AL557" s="19" t="str">
        <f aca="false">IF(AD557="","",AD557-AK557)</f>
        <v/>
      </c>
      <c r="AM557" s="26" t="str">
        <f aca="false">IF(C557="","","Waiting for payment")</f>
        <v/>
      </c>
      <c r="AN557" s="27"/>
      <c r="AO557" s="27"/>
      <c r="AP557" s="35" t="str">
        <f aca="false">IF(OR(C557="",I557="",K557=""),"",IF(K557="Monthly",EDATE(C557,ROUND(I557*SETTINGS!$I$8,0)),WORKDAY(C557,ROUND(I557*SETTINGS!$I$8,0))))</f>
        <v/>
      </c>
      <c r="AQ557" s="26" t="str">
        <f aca="true">IF(C557="","",IF(AND(AP557&lt;&gt;"",TODAY()&gt;=AP557),"Refi Ready",IF(TODAY()-C557&gt;=SETTINGS!$I$11,"Prospecting","Performing")))</f>
        <v/>
      </c>
      <c r="AR557" s="35" t="str">
        <f aca="false">IF(OR(C557="",I557="",K557=""),"",IF(K557="Monthly",EDATE(C557,I557),WORKDAY(C557,I557)))</f>
        <v/>
      </c>
      <c r="AS557" s="28"/>
      <c r="AT557" s="36" t="str">
        <f aca="true">IF(C557="","",IF(AM557="Clawed Back","CLAWED",IF(TODAY()&lt;=C557+SETTINGS!$I$2,"⚠ AT RISK","SAFE")))</f>
        <v/>
      </c>
      <c r="AU557" s="28"/>
      <c r="AW557" s="24" t="n">
        <f aca="false">AW556+IF(AND(C557&lt;&gt;"",AO557&lt;&gt;"",OR('REP COMMISSION'!$B$3="",T557='REP COMMISSION'!$B$3,W557='REP COMMISSION'!$B$3,Z557='REP COMMISSION'!$B$3)),1,0)</f>
        <v>0</v>
      </c>
      <c r="AX557" s="24" t="n">
        <f aca="false">AX556+IF(AND(C557&lt;&gt;"",OR(F557="LOC - INITIAL",F557="CONSOLIDATION - UPFRONT COMM",F557="REVERSE - TOTAL FUNDING")),1,0)</f>
        <v>0</v>
      </c>
    </row>
    <row r="558" customFormat="false" ht="15" hidden="false" customHeight="false" outlineLevel="0" collapsed="false">
      <c r="A558" s="8" t="str">
        <f aca="false">IF(C558&lt;&gt;"","F"&amp;COUNT($C$4:C558),"")</f>
        <v/>
      </c>
      <c r="B558" s="9" t="str">
        <f aca="false">IF(OR(F558="LOC - INITIAL",F558="CONSOLIDATION - UPFRONT COMM",F558="REVERSE - TOTAL FUNDING"),A558,"")</f>
        <v/>
      </c>
      <c r="C558" s="10"/>
      <c r="D558" s="11"/>
      <c r="E558" s="11"/>
      <c r="F558" s="11"/>
      <c r="G558" s="12"/>
      <c r="H558" s="13"/>
      <c r="I558" s="11"/>
      <c r="J558" s="14" t="str">
        <f aca="false">IF(AND(G558&lt;&gt;"",H558&lt;&gt;""),G558*H558,"")</f>
        <v/>
      </c>
      <c r="K558" s="11"/>
      <c r="L558" s="15"/>
      <c r="M558" s="15"/>
      <c r="N558" s="14" t="n">
        <f aca="false">IF(OR(G558="",M558=""),0,IF(M558&gt;100,M558,G558*IF(M558&gt;1,M558/100,M558)))</f>
        <v>0</v>
      </c>
      <c r="O558" s="14" t="str">
        <f aca="false">IF(G558="","",G558*IF(L558="",0,IF(L558&gt;1,L558/100,L558))+N558)</f>
        <v/>
      </c>
      <c r="P558" s="11"/>
      <c r="Q558" s="16" t="str">
        <f aca="false">IF(P558="","",IFERROR(VLOOKUP(P558,PARTNERS!$A$2:$B$30,2,0),""))</f>
        <v/>
      </c>
      <c r="R558" s="17" t="str">
        <f aca="false">IF(O558="","",IF(OR(P558="",Q558=""),0,(O558-N558)*IF(Q558&gt;1,Q558/100,Q558)))</f>
        <v/>
      </c>
      <c r="S558" s="14" t="str">
        <f aca="false">IF(O558="","",O558-R558)</f>
        <v/>
      </c>
      <c r="T558" s="11"/>
      <c r="U558" s="18" t="str">
        <f aca="false">IF(T558="","",IFERROR(VLOOKUP(T558,REPS!$A$2:$D$40,2,0),""))</f>
        <v/>
      </c>
      <c r="V558" s="14" t="str">
        <f aca="false">IF(O558="","",IF(U558="",0,O558*IF(U558&gt;1,U558/100,U558)))</f>
        <v/>
      </c>
      <c r="W558" s="11"/>
      <c r="X558" s="18" t="str">
        <f aca="false">IF(W558="","",IFERROR(VLOOKUP(W558,REPS!$A$2:$D$40,3,0),""))</f>
        <v/>
      </c>
      <c r="Y558" s="14" t="str">
        <f aca="false">IF(O558="","",IF(X558="",0,O558*IF(X558&gt;1,X558/100,X558)))</f>
        <v/>
      </c>
      <c r="Z558" s="11"/>
      <c r="AA558" s="18" t="str">
        <f aca="false">IF(Z558="","",IFERROR(VLOOKUP(Z558,REPS!$A$2:$D$40,4,0),""))</f>
        <v/>
      </c>
      <c r="AB558" s="14" t="str">
        <f aca="false">IF(O558="","",IF(AA558="",0,O558*IF(AA558&gt;1,AA558/100,AA558)))</f>
        <v/>
      </c>
      <c r="AC558" s="14" t="str">
        <f aca="false">IF(O558="","",V558+Y558+AB558)</f>
        <v/>
      </c>
      <c r="AD558" s="19" t="str">
        <f aca="false">IF(O558="","",O558-R558-AC558)</f>
        <v/>
      </c>
      <c r="AE558" s="20"/>
      <c r="AF558" s="10"/>
      <c r="AG558" s="21" t="n">
        <f aca="false">IF(OR(AE558="",AE558=0),0,AE558*IF(U558="",0,IF(U558&gt;1,U558/100,U558)))</f>
        <v>0</v>
      </c>
      <c r="AH558" s="21" t="n">
        <f aca="false">IF(OR(AE558="",AE558=0),0,AE558*IF(X558="",0,IF(X558&gt;1,X558/100,X558)))</f>
        <v>0</v>
      </c>
      <c r="AI558" s="21" t="n">
        <f aca="false">IF(OR(AE558="",AE558=0),0,AE558*IF(AA558="",0,IF(AA558&gt;1,AA558/100,AA558)))</f>
        <v>0</v>
      </c>
      <c r="AJ558" s="21" t="n">
        <f aca="false">AG558+AH558+AI558</f>
        <v>0</v>
      </c>
      <c r="AK558" s="21" t="n">
        <f aca="false">IF(OR(AE558="",AE558=0),0,AE558-AJ558)</f>
        <v>0</v>
      </c>
      <c r="AL558" s="19" t="str">
        <f aca="false">IF(AD558="","",AD558-AK558)</f>
        <v/>
      </c>
      <c r="AM558" s="9" t="str">
        <f aca="false">IF(C558="","","Waiting for payment")</f>
        <v/>
      </c>
      <c r="AN558" s="10"/>
      <c r="AO558" s="10"/>
      <c r="AP558" s="22" t="str">
        <f aca="false">IF(OR(C558="",I558="",K558=""),"",IF(K558="Monthly",EDATE(C558,ROUND(I558*SETTINGS!$I$8,0)),WORKDAY(C558,ROUND(I558*SETTINGS!$I$8,0))))</f>
        <v/>
      </c>
      <c r="AQ558" s="9" t="str">
        <f aca="true">IF(C558="","",IF(AND(AP558&lt;&gt;"",TODAY()&gt;=AP558),"Refi Ready",IF(TODAY()-C558&gt;=SETTINGS!$I$11,"Prospecting","Performing")))</f>
        <v/>
      </c>
      <c r="AR558" s="22" t="str">
        <f aca="false">IF(OR(C558="",I558="",K558=""),"",IF(K558="Monthly",EDATE(C558,I558),WORKDAY(C558,I558)))</f>
        <v/>
      </c>
      <c r="AS558" s="11"/>
      <c r="AT558" s="23" t="str">
        <f aca="true">IF(C558="","",IF(AM558="Clawed Back","CLAWED",IF(TODAY()&lt;=C558+SETTINGS!$I$2,"⚠ AT RISK","SAFE")))</f>
        <v/>
      </c>
      <c r="AU558" s="11"/>
      <c r="AW558" s="24" t="n">
        <f aca="false">AW557+IF(AND(C558&lt;&gt;"",AO558&lt;&gt;"",OR('REP COMMISSION'!$B$3="",T558='REP COMMISSION'!$B$3,W558='REP COMMISSION'!$B$3,Z558='REP COMMISSION'!$B$3)),1,0)</f>
        <v>0</v>
      </c>
      <c r="AX558" s="24" t="n">
        <f aca="false">AX557+IF(AND(C558&lt;&gt;"",OR(F558="LOC - INITIAL",F558="CONSOLIDATION - UPFRONT COMM",F558="REVERSE - TOTAL FUNDING")),1,0)</f>
        <v>0</v>
      </c>
    </row>
    <row r="559" customFormat="false" ht="15" hidden="false" customHeight="false" outlineLevel="0" collapsed="false">
      <c r="A559" s="25" t="str">
        <f aca="false">IF(C559&lt;&gt;"","F"&amp;COUNT($C$4:C559),"")</f>
        <v/>
      </c>
      <c r="B559" s="26" t="str">
        <f aca="false">IF(OR(F559="LOC - INITIAL",F559="CONSOLIDATION - UPFRONT COMM",F559="REVERSE - TOTAL FUNDING"),A559,"")</f>
        <v/>
      </c>
      <c r="C559" s="27"/>
      <c r="D559" s="28"/>
      <c r="E559" s="28"/>
      <c r="F559" s="28"/>
      <c r="G559" s="29"/>
      <c r="H559" s="30"/>
      <c r="I559" s="28"/>
      <c r="J559" s="31" t="str">
        <f aca="false">IF(AND(G559&lt;&gt;"",H559&lt;&gt;""),G559*H559,"")</f>
        <v/>
      </c>
      <c r="K559" s="28"/>
      <c r="L559" s="32"/>
      <c r="M559" s="32"/>
      <c r="N559" s="31" t="n">
        <f aca="false">IF(OR(G559="",M559=""),0,IF(M559&gt;100,M559,G559*IF(M559&gt;1,M559/100,M559)))</f>
        <v>0</v>
      </c>
      <c r="O559" s="31" t="str">
        <f aca="false">IF(G559="","",G559*IF(L559="",0,IF(L559&gt;1,L559/100,L559))+N559)</f>
        <v/>
      </c>
      <c r="P559" s="28"/>
      <c r="Q559" s="33" t="str">
        <f aca="false">IF(P559="","",IFERROR(VLOOKUP(P559,PARTNERS!$A$2:$B$30,2,0),""))</f>
        <v/>
      </c>
      <c r="R559" s="17" t="str">
        <f aca="false">IF(O559="","",IF(OR(P559="",Q559=""),0,(O559-N559)*IF(Q559&gt;1,Q559/100,Q559)))</f>
        <v/>
      </c>
      <c r="S559" s="31" t="str">
        <f aca="false">IF(O559="","",O559-R559)</f>
        <v/>
      </c>
      <c r="T559" s="28"/>
      <c r="U559" s="34" t="str">
        <f aca="false">IF(T559="","",IFERROR(VLOOKUP(T559,REPS!$A$2:$D$40,2,0),""))</f>
        <v/>
      </c>
      <c r="V559" s="31" t="str">
        <f aca="false">IF(O559="","",IF(U559="",0,O559*IF(U559&gt;1,U559/100,U559)))</f>
        <v/>
      </c>
      <c r="W559" s="28"/>
      <c r="X559" s="34" t="str">
        <f aca="false">IF(W559="","",IFERROR(VLOOKUP(W559,REPS!$A$2:$D$40,3,0),""))</f>
        <v/>
      </c>
      <c r="Y559" s="31" t="str">
        <f aca="false">IF(O559="","",IF(X559="",0,O559*IF(X559&gt;1,X559/100,X559)))</f>
        <v/>
      </c>
      <c r="Z559" s="28"/>
      <c r="AA559" s="34" t="str">
        <f aca="false">IF(Z559="","",IFERROR(VLOOKUP(Z559,REPS!$A$2:$D$40,4,0),""))</f>
        <v/>
      </c>
      <c r="AB559" s="31" t="str">
        <f aca="false">IF(O559="","",IF(AA559="",0,O559*IF(AA559&gt;1,AA559/100,AA559)))</f>
        <v/>
      </c>
      <c r="AC559" s="31" t="str">
        <f aca="false">IF(O559="","",V559+Y559+AB559)</f>
        <v/>
      </c>
      <c r="AD559" s="19" t="str">
        <f aca="false">IF(O559="","",O559-R559-AC559)</f>
        <v/>
      </c>
      <c r="AE559" s="20"/>
      <c r="AF559" s="27"/>
      <c r="AG559" s="21" t="n">
        <f aca="false">IF(OR(AE559="",AE559=0),0,AE559*IF(U559="",0,IF(U559&gt;1,U559/100,U559)))</f>
        <v>0</v>
      </c>
      <c r="AH559" s="21" t="n">
        <f aca="false">IF(OR(AE559="",AE559=0),0,AE559*IF(X559="",0,IF(X559&gt;1,X559/100,X559)))</f>
        <v>0</v>
      </c>
      <c r="AI559" s="21" t="n">
        <f aca="false">IF(OR(AE559="",AE559=0),0,AE559*IF(AA559="",0,IF(AA559&gt;1,AA559/100,AA559)))</f>
        <v>0</v>
      </c>
      <c r="AJ559" s="21" t="n">
        <f aca="false">AG559+AH559+AI559</f>
        <v>0</v>
      </c>
      <c r="AK559" s="21" t="n">
        <f aca="false">IF(OR(AE559="",AE559=0),0,AE559-AJ559)</f>
        <v>0</v>
      </c>
      <c r="AL559" s="19" t="str">
        <f aca="false">IF(AD559="","",AD559-AK559)</f>
        <v/>
      </c>
      <c r="AM559" s="26" t="str">
        <f aca="false">IF(C559="","","Waiting for payment")</f>
        <v/>
      </c>
      <c r="AN559" s="27"/>
      <c r="AO559" s="27"/>
      <c r="AP559" s="35" t="str">
        <f aca="false">IF(OR(C559="",I559="",K559=""),"",IF(K559="Monthly",EDATE(C559,ROUND(I559*SETTINGS!$I$8,0)),WORKDAY(C559,ROUND(I559*SETTINGS!$I$8,0))))</f>
        <v/>
      </c>
      <c r="AQ559" s="26" t="str">
        <f aca="true">IF(C559="","",IF(AND(AP559&lt;&gt;"",TODAY()&gt;=AP559),"Refi Ready",IF(TODAY()-C559&gt;=SETTINGS!$I$11,"Prospecting","Performing")))</f>
        <v/>
      </c>
      <c r="AR559" s="35" t="str">
        <f aca="false">IF(OR(C559="",I559="",K559=""),"",IF(K559="Monthly",EDATE(C559,I559),WORKDAY(C559,I559)))</f>
        <v/>
      </c>
      <c r="AS559" s="28"/>
      <c r="AT559" s="36" t="str">
        <f aca="true">IF(C559="","",IF(AM559="Clawed Back","CLAWED",IF(TODAY()&lt;=C559+SETTINGS!$I$2,"⚠ AT RISK","SAFE")))</f>
        <v/>
      </c>
      <c r="AU559" s="28"/>
      <c r="AW559" s="24" t="n">
        <f aca="false">AW558+IF(AND(C559&lt;&gt;"",AO559&lt;&gt;"",OR('REP COMMISSION'!$B$3="",T559='REP COMMISSION'!$B$3,W559='REP COMMISSION'!$B$3,Z559='REP COMMISSION'!$B$3)),1,0)</f>
        <v>0</v>
      </c>
      <c r="AX559" s="24" t="n">
        <f aca="false">AX558+IF(AND(C559&lt;&gt;"",OR(F559="LOC - INITIAL",F559="CONSOLIDATION - UPFRONT COMM",F559="REVERSE - TOTAL FUNDING")),1,0)</f>
        <v>0</v>
      </c>
    </row>
    <row r="560" customFormat="false" ht="15" hidden="false" customHeight="false" outlineLevel="0" collapsed="false">
      <c r="A560" s="8" t="str">
        <f aca="false">IF(C560&lt;&gt;"","F"&amp;COUNT($C$4:C560),"")</f>
        <v/>
      </c>
      <c r="B560" s="9" t="str">
        <f aca="false">IF(OR(F560="LOC - INITIAL",F560="CONSOLIDATION - UPFRONT COMM",F560="REVERSE - TOTAL FUNDING"),A560,"")</f>
        <v/>
      </c>
      <c r="C560" s="10"/>
      <c r="D560" s="11"/>
      <c r="E560" s="11"/>
      <c r="F560" s="11"/>
      <c r="G560" s="12"/>
      <c r="H560" s="13"/>
      <c r="I560" s="11"/>
      <c r="J560" s="14" t="str">
        <f aca="false">IF(AND(G560&lt;&gt;"",H560&lt;&gt;""),G560*H560,"")</f>
        <v/>
      </c>
      <c r="K560" s="11"/>
      <c r="L560" s="15"/>
      <c r="M560" s="15"/>
      <c r="N560" s="14" t="n">
        <f aca="false">IF(OR(G560="",M560=""),0,IF(M560&gt;100,M560,G560*IF(M560&gt;1,M560/100,M560)))</f>
        <v>0</v>
      </c>
      <c r="O560" s="14" t="str">
        <f aca="false">IF(G560="","",G560*IF(L560="",0,IF(L560&gt;1,L560/100,L560))+N560)</f>
        <v/>
      </c>
      <c r="P560" s="11"/>
      <c r="Q560" s="16" t="str">
        <f aca="false">IF(P560="","",IFERROR(VLOOKUP(P560,PARTNERS!$A$2:$B$30,2,0),""))</f>
        <v/>
      </c>
      <c r="R560" s="17" t="str">
        <f aca="false">IF(O560="","",IF(OR(P560="",Q560=""),0,(O560-N560)*IF(Q560&gt;1,Q560/100,Q560)))</f>
        <v/>
      </c>
      <c r="S560" s="14" t="str">
        <f aca="false">IF(O560="","",O560-R560)</f>
        <v/>
      </c>
      <c r="T560" s="11"/>
      <c r="U560" s="18" t="str">
        <f aca="false">IF(T560="","",IFERROR(VLOOKUP(T560,REPS!$A$2:$D$40,2,0),""))</f>
        <v/>
      </c>
      <c r="V560" s="14" t="str">
        <f aca="false">IF(O560="","",IF(U560="",0,O560*IF(U560&gt;1,U560/100,U560)))</f>
        <v/>
      </c>
      <c r="W560" s="11"/>
      <c r="X560" s="18" t="str">
        <f aca="false">IF(W560="","",IFERROR(VLOOKUP(W560,REPS!$A$2:$D$40,3,0),""))</f>
        <v/>
      </c>
      <c r="Y560" s="14" t="str">
        <f aca="false">IF(O560="","",IF(X560="",0,O560*IF(X560&gt;1,X560/100,X560)))</f>
        <v/>
      </c>
      <c r="Z560" s="11"/>
      <c r="AA560" s="18" t="str">
        <f aca="false">IF(Z560="","",IFERROR(VLOOKUP(Z560,REPS!$A$2:$D$40,4,0),""))</f>
        <v/>
      </c>
      <c r="AB560" s="14" t="str">
        <f aca="false">IF(O560="","",IF(AA560="",0,O560*IF(AA560&gt;1,AA560/100,AA560)))</f>
        <v/>
      </c>
      <c r="AC560" s="14" t="str">
        <f aca="false">IF(O560="","",V560+Y560+AB560)</f>
        <v/>
      </c>
      <c r="AD560" s="19" t="str">
        <f aca="false">IF(O560="","",O560-R560-AC560)</f>
        <v/>
      </c>
      <c r="AE560" s="20"/>
      <c r="AF560" s="10"/>
      <c r="AG560" s="21" t="n">
        <f aca="false">IF(OR(AE560="",AE560=0),0,AE560*IF(U560="",0,IF(U560&gt;1,U560/100,U560)))</f>
        <v>0</v>
      </c>
      <c r="AH560" s="21" t="n">
        <f aca="false">IF(OR(AE560="",AE560=0),0,AE560*IF(X560="",0,IF(X560&gt;1,X560/100,X560)))</f>
        <v>0</v>
      </c>
      <c r="AI560" s="21" t="n">
        <f aca="false">IF(OR(AE560="",AE560=0),0,AE560*IF(AA560="",0,IF(AA560&gt;1,AA560/100,AA560)))</f>
        <v>0</v>
      </c>
      <c r="AJ560" s="21" t="n">
        <f aca="false">AG560+AH560+AI560</f>
        <v>0</v>
      </c>
      <c r="AK560" s="21" t="n">
        <f aca="false">IF(OR(AE560="",AE560=0),0,AE560-AJ560)</f>
        <v>0</v>
      </c>
      <c r="AL560" s="19" t="str">
        <f aca="false">IF(AD560="","",AD560-AK560)</f>
        <v/>
      </c>
      <c r="AM560" s="9" t="str">
        <f aca="false">IF(C560="","","Waiting for payment")</f>
        <v/>
      </c>
      <c r="AN560" s="10"/>
      <c r="AO560" s="10"/>
      <c r="AP560" s="22" t="str">
        <f aca="false">IF(OR(C560="",I560="",K560=""),"",IF(K560="Monthly",EDATE(C560,ROUND(I560*SETTINGS!$I$8,0)),WORKDAY(C560,ROUND(I560*SETTINGS!$I$8,0))))</f>
        <v/>
      </c>
      <c r="AQ560" s="9" t="str">
        <f aca="true">IF(C560="","",IF(AND(AP560&lt;&gt;"",TODAY()&gt;=AP560),"Refi Ready",IF(TODAY()-C560&gt;=SETTINGS!$I$11,"Prospecting","Performing")))</f>
        <v/>
      </c>
      <c r="AR560" s="22" t="str">
        <f aca="false">IF(OR(C560="",I560="",K560=""),"",IF(K560="Monthly",EDATE(C560,I560),WORKDAY(C560,I560)))</f>
        <v/>
      </c>
      <c r="AS560" s="11"/>
      <c r="AT560" s="23" t="str">
        <f aca="true">IF(C560="","",IF(AM560="Clawed Back","CLAWED",IF(TODAY()&lt;=C560+SETTINGS!$I$2,"⚠ AT RISK","SAFE")))</f>
        <v/>
      </c>
      <c r="AU560" s="11"/>
      <c r="AW560" s="24" t="n">
        <f aca="false">AW559+IF(AND(C560&lt;&gt;"",AO560&lt;&gt;"",OR('REP COMMISSION'!$B$3="",T560='REP COMMISSION'!$B$3,W560='REP COMMISSION'!$B$3,Z560='REP COMMISSION'!$B$3)),1,0)</f>
        <v>0</v>
      </c>
      <c r="AX560" s="24" t="n">
        <f aca="false">AX559+IF(AND(C560&lt;&gt;"",OR(F560="LOC - INITIAL",F560="CONSOLIDATION - UPFRONT COMM",F560="REVERSE - TOTAL FUNDING")),1,0)</f>
        <v>0</v>
      </c>
    </row>
    <row r="561" customFormat="false" ht="15" hidden="false" customHeight="false" outlineLevel="0" collapsed="false">
      <c r="A561" s="25" t="str">
        <f aca="false">IF(C561&lt;&gt;"","F"&amp;COUNT($C$4:C561),"")</f>
        <v/>
      </c>
      <c r="B561" s="26" t="str">
        <f aca="false">IF(OR(F561="LOC - INITIAL",F561="CONSOLIDATION - UPFRONT COMM",F561="REVERSE - TOTAL FUNDING"),A561,"")</f>
        <v/>
      </c>
      <c r="C561" s="27"/>
      <c r="D561" s="28"/>
      <c r="E561" s="28"/>
      <c r="F561" s="28"/>
      <c r="G561" s="29"/>
      <c r="H561" s="30"/>
      <c r="I561" s="28"/>
      <c r="J561" s="31" t="str">
        <f aca="false">IF(AND(G561&lt;&gt;"",H561&lt;&gt;""),G561*H561,"")</f>
        <v/>
      </c>
      <c r="K561" s="28"/>
      <c r="L561" s="32"/>
      <c r="M561" s="32"/>
      <c r="N561" s="31" t="n">
        <f aca="false">IF(OR(G561="",M561=""),0,IF(M561&gt;100,M561,G561*IF(M561&gt;1,M561/100,M561)))</f>
        <v>0</v>
      </c>
      <c r="O561" s="31" t="str">
        <f aca="false">IF(G561="","",G561*IF(L561="",0,IF(L561&gt;1,L561/100,L561))+N561)</f>
        <v/>
      </c>
      <c r="P561" s="28"/>
      <c r="Q561" s="33" t="str">
        <f aca="false">IF(P561="","",IFERROR(VLOOKUP(P561,PARTNERS!$A$2:$B$30,2,0),""))</f>
        <v/>
      </c>
      <c r="R561" s="17" t="str">
        <f aca="false">IF(O561="","",IF(OR(P561="",Q561=""),0,(O561-N561)*IF(Q561&gt;1,Q561/100,Q561)))</f>
        <v/>
      </c>
      <c r="S561" s="31" t="str">
        <f aca="false">IF(O561="","",O561-R561)</f>
        <v/>
      </c>
      <c r="T561" s="28"/>
      <c r="U561" s="34" t="str">
        <f aca="false">IF(T561="","",IFERROR(VLOOKUP(T561,REPS!$A$2:$D$40,2,0),""))</f>
        <v/>
      </c>
      <c r="V561" s="31" t="str">
        <f aca="false">IF(O561="","",IF(U561="",0,O561*IF(U561&gt;1,U561/100,U561)))</f>
        <v/>
      </c>
      <c r="W561" s="28"/>
      <c r="X561" s="34" t="str">
        <f aca="false">IF(W561="","",IFERROR(VLOOKUP(W561,REPS!$A$2:$D$40,3,0),""))</f>
        <v/>
      </c>
      <c r="Y561" s="31" t="str">
        <f aca="false">IF(O561="","",IF(X561="",0,O561*IF(X561&gt;1,X561/100,X561)))</f>
        <v/>
      </c>
      <c r="Z561" s="28"/>
      <c r="AA561" s="34" t="str">
        <f aca="false">IF(Z561="","",IFERROR(VLOOKUP(Z561,REPS!$A$2:$D$40,4,0),""))</f>
        <v/>
      </c>
      <c r="AB561" s="31" t="str">
        <f aca="false">IF(O561="","",IF(AA561="",0,O561*IF(AA561&gt;1,AA561/100,AA561)))</f>
        <v/>
      </c>
      <c r="AC561" s="31" t="str">
        <f aca="false">IF(O561="","",V561+Y561+AB561)</f>
        <v/>
      </c>
      <c r="AD561" s="19" t="str">
        <f aca="false">IF(O561="","",O561-R561-AC561)</f>
        <v/>
      </c>
      <c r="AE561" s="20"/>
      <c r="AF561" s="27"/>
      <c r="AG561" s="21" t="n">
        <f aca="false">IF(OR(AE561="",AE561=0),0,AE561*IF(U561="",0,IF(U561&gt;1,U561/100,U561)))</f>
        <v>0</v>
      </c>
      <c r="AH561" s="21" t="n">
        <f aca="false">IF(OR(AE561="",AE561=0),0,AE561*IF(X561="",0,IF(X561&gt;1,X561/100,X561)))</f>
        <v>0</v>
      </c>
      <c r="AI561" s="21" t="n">
        <f aca="false">IF(OR(AE561="",AE561=0),0,AE561*IF(AA561="",0,IF(AA561&gt;1,AA561/100,AA561)))</f>
        <v>0</v>
      </c>
      <c r="AJ561" s="21" t="n">
        <f aca="false">AG561+AH561+AI561</f>
        <v>0</v>
      </c>
      <c r="AK561" s="21" t="n">
        <f aca="false">IF(OR(AE561="",AE561=0),0,AE561-AJ561)</f>
        <v>0</v>
      </c>
      <c r="AL561" s="19" t="str">
        <f aca="false">IF(AD561="","",AD561-AK561)</f>
        <v/>
      </c>
      <c r="AM561" s="26" t="str">
        <f aca="false">IF(C561="","","Waiting for payment")</f>
        <v/>
      </c>
      <c r="AN561" s="27"/>
      <c r="AO561" s="27"/>
      <c r="AP561" s="35" t="str">
        <f aca="false">IF(OR(C561="",I561="",K561=""),"",IF(K561="Monthly",EDATE(C561,ROUND(I561*SETTINGS!$I$8,0)),WORKDAY(C561,ROUND(I561*SETTINGS!$I$8,0))))</f>
        <v/>
      </c>
      <c r="AQ561" s="26" t="str">
        <f aca="true">IF(C561="","",IF(AND(AP561&lt;&gt;"",TODAY()&gt;=AP561),"Refi Ready",IF(TODAY()-C561&gt;=SETTINGS!$I$11,"Prospecting","Performing")))</f>
        <v/>
      </c>
      <c r="AR561" s="35" t="str">
        <f aca="false">IF(OR(C561="",I561="",K561=""),"",IF(K561="Monthly",EDATE(C561,I561),WORKDAY(C561,I561)))</f>
        <v/>
      </c>
      <c r="AS561" s="28"/>
      <c r="AT561" s="36" t="str">
        <f aca="true">IF(C561="","",IF(AM561="Clawed Back","CLAWED",IF(TODAY()&lt;=C561+SETTINGS!$I$2,"⚠ AT RISK","SAFE")))</f>
        <v/>
      </c>
      <c r="AU561" s="28"/>
      <c r="AW561" s="24" t="n">
        <f aca="false">AW560+IF(AND(C561&lt;&gt;"",AO561&lt;&gt;"",OR('REP COMMISSION'!$B$3="",T561='REP COMMISSION'!$B$3,W561='REP COMMISSION'!$B$3,Z561='REP COMMISSION'!$B$3)),1,0)</f>
        <v>0</v>
      </c>
      <c r="AX561" s="24" t="n">
        <f aca="false">AX560+IF(AND(C561&lt;&gt;"",OR(F561="LOC - INITIAL",F561="CONSOLIDATION - UPFRONT COMM",F561="REVERSE - TOTAL FUNDING")),1,0)</f>
        <v>0</v>
      </c>
    </row>
    <row r="562" customFormat="false" ht="15" hidden="false" customHeight="false" outlineLevel="0" collapsed="false">
      <c r="A562" s="8" t="str">
        <f aca="false">IF(C562&lt;&gt;"","F"&amp;COUNT($C$4:C562),"")</f>
        <v/>
      </c>
      <c r="B562" s="9" t="str">
        <f aca="false">IF(OR(F562="LOC - INITIAL",F562="CONSOLIDATION - UPFRONT COMM",F562="REVERSE - TOTAL FUNDING"),A562,"")</f>
        <v/>
      </c>
      <c r="C562" s="10"/>
      <c r="D562" s="11"/>
      <c r="E562" s="11"/>
      <c r="F562" s="11"/>
      <c r="G562" s="12"/>
      <c r="H562" s="13"/>
      <c r="I562" s="11"/>
      <c r="J562" s="14" t="str">
        <f aca="false">IF(AND(G562&lt;&gt;"",H562&lt;&gt;""),G562*H562,"")</f>
        <v/>
      </c>
      <c r="K562" s="11"/>
      <c r="L562" s="15"/>
      <c r="M562" s="15"/>
      <c r="N562" s="14" t="n">
        <f aca="false">IF(OR(G562="",M562=""),0,IF(M562&gt;100,M562,G562*IF(M562&gt;1,M562/100,M562)))</f>
        <v>0</v>
      </c>
      <c r="O562" s="14" t="str">
        <f aca="false">IF(G562="","",G562*IF(L562="",0,IF(L562&gt;1,L562/100,L562))+N562)</f>
        <v/>
      </c>
      <c r="P562" s="11"/>
      <c r="Q562" s="16" t="str">
        <f aca="false">IF(P562="","",IFERROR(VLOOKUP(P562,PARTNERS!$A$2:$B$30,2,0),""))</f>
        <v/>
      </c>
      <c r="R562" s="17" t="str">
        <f aca="false">IF(O562="","",IF(OR(P562="",Q562=""),0,(O562-N562)*IF(Q562&gt;1,Q562/100,Q562)))</f>
        <v/>
      </c>
      <c r="S562" s="14" t="str">
        <f aca="false">IF(O562="","",O562-R562)</f>
        <v/>
      </c>
      <c r="T562" s="11"/>
      <c r="U562" s="18" t="str">
        <f aca="false">IF(T562="","",IFERROR(VLOOKUP(T562,REPS!$A$2:$D$40,2,0),""))</f>
        <v/>
      </c>
      <c r="V562" s="14" t="str">
        <f aca="false">IF(O562="","",IF(U562="",0,O562*IF(U562&gt;1,U562/100,U562)))</f>
        <v/>
      </c>
      <c r="W562" s="11"/>
      <c r="X562" s="18" t="str">
        <f aca="false">IF(W562="","",IFERROR(VLOOKUP(W562,REPS!$A$2:$D$40,3,0),""))</f>
        <v/>
      </c>
      <c r="Y562" s="14" t="str">
        <f aca="false">IF(O562="","",IF(X562="",0,O562*IF(X562&gt;1,X562/100,X562)))</f>
        <v/>
      </c>
      <c r="Z562" s="11"/>
      <c r="AA562" s="18" t="str">
        <f aca="false">IF(Z562="","",IFERROR(VLOOKUP(Z562,REPS!$A$2:$D$40,4,0),""))</f>
        <v/>
      </c>
      <c r="AB562" s="14" t="str">
        <f aca="false">IF(O562="","",IF(AA562="",0,O562*IF(AA562&gt;1,AA562/100,AA562)))</f>
        <v/>
      </c>
      <c r="AC562" s="14" t="str">
        <f aca="false">IF(O562="","",V562+Y562+AB562)</f>
        <v/>
      </c>
      <c r="AD562" s="19" t="str">
        <f aca="false">IF(O562="","",O562-R562-AC562)</f>
        <v/>
      </c>
      <c r="AE562" s="20"/>
      <c r="AF562" s="10"/>
      <c r="AG562" s="21" t="n">
        <f aca="false">IF(OR(AE562="",AE562=0),0,AE562*IF(U562="",0,IF(U562&gt;1,U562/100,U562)))</f>
        <v>0</v>
      </c>
      <c r="AH562" s="21" t="n">
        <f aca="false">IF(OR(AE562="",AE562=0),0,AE562*IF(X562="",0,IF(X562&gt;1,X562/100,X562)))</f>
        <v>0</v>
      </c>
      <c r="AI562" s="21" t="n">
        <f aca="false">IF(OR(AE562="",AE562=0),0,AE562*IF(AA562="",0,IF(AA562&gt;1,AA562/100,AA562)))</f>
        <v>0</v>
      </c>
      <c r="AJ562" s="21" t="n">
        <f aca="false">AG562+AH562+AI562</f>
        <v>0</v>
      </c>
      <c r="AK562" s="21" t="n">
        <f aca="false">IF(OR(AE562="",AE562=0),0,AE562-AJ562)</f>
        <v>0</v>
      </c>
      <c r="AL562" s="19" t="str">
        <f aca="false">IF(AD562="","",AD562-AK562)</f>
        <v/>
      </c>
      <c r="AM562" s="9" t="str">
        <f aca="false">IF(C562="","","Waiting for payment")</f>
        <v/>
      </c>
      <c r="AN562" s="10"/>
      <c r="AO562" s="10"/>
      <c r="AP562" s="22" t="str">
        <f aca="false">IF(OR(C562="",I562="",K562=""),"",IF(K562="Monthly",EDATE(C562,ROUND(I562*SETTINGS!$I$8,0)),WORKDAY(C562,ROUND(I562*SETTINGS!$I$8,0))))</f>
        <v/>
      </c>
      <c r="AQ562" s="9" t="str">
        <f aca="true">IF(C562="","",IF(AND(AP562&lt;&gt;"",TODAY()&gt;=AP562),"Refi Ready",IF(TODAY()-C562&gt;=SETTINGS!$I$11,"Prospecting","Performing")))</f>
        <v/>
      </c>
      <c r="AR562" s="22" t="str">
        <f aca="false">IF(OR(C562="",I562="",K562=""),"",IF(K562="Monthly",EDATE(C562,I562),WORKDAY(C562,I562)))</f>
        <v/>
      </c>
      <c r="AS562" s="11"/>
      <c r="AT562" s="23" t="str">
        <f aca="true">IF(C562="","",IF(AM562="Clawed Back","CLAWED",IF(TODAY()&lt;=C562+SETTINGS!$I$2,"⚠ AT RISK","SAFE")))</f>
        <v/>
      </c>
      <c r="AU562" s="11"/>
      <c r="AW562" s="24" t="n">
        <f aca="false">AW561+IF(AND(C562&lt;&gt;"",AO562&lt;&gt;"",OR('REP COMMISSION'!$B$3="",T562='REP COMMISSION'!$B$3,W562='REP COMMISSION'!$B$3,Z562='REP COMMISSION'!$B$3)),1,0)</f>
        <v>0</v>
      </c>
      <c r="AX562" s="24" t="n">
        <f aca="false">AX561+IF(AND(C562&lt;&gt;"",OR(F562="LOC - INITIAL",F562="CONSOLIDATION - UPFRONT COMM",F562="REVERSE - TOTAL FUNDING")),1,0)</f>
        <v>0</v>
      </c>
    </row>
    <row r="563" customFormat="false" ht="15" hidden="false" customHeight="false" outlineLevel="0" collapsed="false">
      <c r="A563" s="25" t="str">
        <f aca="false">IF(C563&lt;&gt;"","F"&amp;COUNT($C$4:C563),"")</f>
        <v/>
      </c>
      <c r="B563" s="26" t="str">
        <f aca="false">IF(OR(F563="LOC - INITIAL",F563="CONSOLIDATION - UPFRONT COMM",F563="REVERSE - TOTAL FUNDING"),A563,"")</f>
        <v/>
      </c>
      <c r="C563" s="27"/>
      <c r="D563" s="28"/>
      <c r="E563" s="28"/>
      <c r="F563" s="28"/>
      <c r="G563" s="29"/>
      <c r="H563" s="30"/>
      <c r="I563" s="28"/>
      <c r="J563" s="31" t="str">
        <f aca="false">IF(AND(G563&lt;&gt;"",H563&lt;&gt;""),G563*H563,"")</f>
        <v/>
      </c>
      <c r="K563" s="28"/>
      <c r="L563" s="32"/>
      <c r="M563" s="32"/>
      <c r="N563" s="31" t="n">
        <f aca="false">IF(OR(G563="",M563=""),0,IF(M563&gt;100,M563,G563*IF(M563&gt;1,M563/100,M563)))</f>
        <v>0</v>
      </c>
      <c r="O563" s="31" t="str">
        <f aca="false">IF(G563="","",G563*IF(L563="",0,IF(L563&gt;1,L563/100,L563))+N563)</f>
        <v/>
      </c>
      <c r="P563" s="28"/>
      <c r="Q563" s="33" t="str">
        <f aca="false">IF(P563="","",IFERROR(VLOOKUP(P563,PARTNERS!$A$2:$B$30,2,0),""))</f>
        <v/>
      </c>
      <c r="R563" s="17" t="str">
        <f aca="false">IF(O563="","",IF(OR(P563="",Q563=""),0,(O563-N563)*IF(Q563&gt;1,Q563/100,Q563)))</f>
        <v/>
      </c>
      <c r="S563" s="31" t="str">
        <f aca="false">IF(O563="","",O563-R563)</f>
        <v/>
      </c>
      <c r="T563" s="28"/>
      <c r="U563" s="34" t="str">
        <f aca="false">IF(T563="","",IFERROR(VLOOKUP(T563,REPS!$A$2:$D$40,2,0),""))</f>
        <v/>
      </c>
      <c r="V563" s="31" t="str">
        <f aca="false">IF(O563="","",IF(U563="",0,O563*IF(U563&gt;1,U563/100,U563)))</f>
        <v/>
      </c>
      <c r="W563" s="28"/>
      <c r="X563" s="34" t="str">
        <f aca="false">IF(W563="","",IFERROR(VLOOKUP(W563,REPS!$A$2:$D$40,3,0),""))</f>
        <v/>
      </c>
      <c r="Y563" s="31" t="str">
        <f aca="false">IF(O563="","",IF(X563="",0,O563*IF(X563&gt;1,X563/100,X563)))</f>
        <v/>
      </c>
      <c r="Z563" s="28"/>
      <c r="AA563" s="34" t="str">
        <f aca="false">IF(Z563="","",IFERROR(VLOOKUP(Z563,REPS!$A$2:$D$40,4,0),""))</f>
        <v/>
      </c>
      <c r="AB563" s="31" t="str">
        <f aca="false">IF(O563="","",IF(AA563="",0,O563*IF(AA563&gt;1,AA563/100,AA563)))</f>
        <v/>
      </c>
      <c r="AC563" s="31" t="str">
        <f aca="false">IF(O563="","",V563+Y563+AB563)</f>
        <v/>
      </c>
      <c r="AD563" s="19" t="str">
        <f aca="false">IF(O563="","",O563-R563-AC563)</f>
        <v/>
      </c>
      <c r="AE563" s="20"/>
      <c r="AF563" s="27"/>
      <c r="AG563" s="21" t="n">
        <f aca="false">IF(OR(AE563="",AE563=0),0,AE563*IF(U563="",0,IF(U563&gt;1,U563/100,U563)))</f>
        <v>0</v>
      </c>
      <c r="AH563" s="21" t="n">
        <f aca="false">IF(OR(AE563="",AE563=0),0,AE563*IF(X563="",0,IF(X563&gt;1,X563/100,X563)))</f>
        <v>0</v>
      </c>
      <c r="AI563" s="21" t="n">
        <f aca="false">IF(OR(AE563="",AE563=0),0,AE563*IF(AA563="",0,IF(AA563&gt;1,AA563/100,AA563)))</f>
        <v>0</v>
      </c>
      <c r="AJ563" s="21" t="n">
        <f aca="false">AG563+AH563+AI563</f>
        <v>0</v>
      </c>
      <c r="AK563" s="21" t="n">
        <f aca="false">IF(OR(AE563="",AE563=0),0,AE563-AJ563)</f>
        <v>0</v>
      </c>
      <c r="AL563" s="19" t="str">
        <f aca="false">IF(AD563="","",AD563-AK563)</f>
        <v/>
      </c>
      <c r="AM563" s="26" t="str">
        <f aca="false">IF(C563="","","Waiting for payment")</f>
        <v/>
      </c>
      <c r="AN563" s="27"/>
      <c r="AO563" s="27"/>
      <c r="AP563" s="35" t="str">
        <f aca="false">IF(OR(C563="",I563="",K563=""),"",IF(K563="Monthly",EDATE(C563,ROUND(I563*SETTINGS!$I$8,0)),WORKDAY(C563,ROUND(I563*SETTINGS!$I$8,0))))</f>
        <v/>
      </c>
      <c r="AQ563" s="26" t="str">
        <f aca="true">IF(C563="","",IF(AND(AP563&lt;&gt;"",TODAY()&gt;=AP563),"Refi Ready",IF(TODAY()-C563&gt;=SETTINGS!$I$11,"Prospecting","Performing")))</f>
        <v/>
      </c>
      <c r="AR563" s="35" t="str">
        <f aca="false">IF(OR(C563="",I563="",K563=""),"",IF(K563="Monthly",EDATE(C563,I563),WORKDAY(C563,I563)))</f>
        <v/>
      </c>
      <c r="AS563" s="28"/>
      <c r="AT563" s="36" t="str">
        <f aca="true">IF(C563="","",IF(AM563="Clawed Back","CLAWED",IF(TODAY()&lt;=C563+SETTINGS!$I$2,"⚠ AT RISK","SAFE")))</f>
        <v/>
      </c>
      <c r="AU563" s="28"/>
      <c r="AW563" s="24" t="n">
        <f aca="false">AW562+IF(AND(C563&lt;&gt;"",AO563&lt;&gt;"",OR('REP COMMISSION'!$B$3="",T563='REP COMMISSION'!$B$3,W563='REP COMMISSION'!$B$3,Z563='REP COMMISSION'!$B$3)),1,0)</f>
        <v>0</v>
      </c>
      <c r="AX563" s="24" t="n">
        <f aca="false">AX562+IF(AND(C563&lt;&gt;"",OR(F563="LOC - INITIAL",F563="CONSOLIDATION - UPFRONT COMM",F563="REVERSE - TOTAL FUNDING")),1,0)</f>
        <v>0</v>
      </c>
    </row>
    <row r="564" customFormat="false" ht="15" hidden="false" customHeight="false" outlineLevel="0" collapsed="false">
      <c r="A564" s="8" t="str">
        <f aca="false">IF(C564&lt;&gt;"","F"&amp;COUNT($C$4:C564),"")</f>
        <v/>
      </c>
      <c r="B564" s="9" t="str">
        <f aca="false">IF(OR(F564="LOC - INITIAL",F564="CONSOLIDATION - UPFRONT COMM",F564="REVERSE - TOTAL FUNDING"),A564,"")</f>
        <v/>
      </c>
      <c r="C564" s="10"/>
      <c r="D564" s="11"/>
      <c r="E564" s="11"/>
      <c r="F564" s="11"/>
      <c r="G564" s="12"/>
      <c r="H564" s="13"/>
      <c r="I564" s="11"/>
      <c r="J564" s="14" t="str">
        <f aca="false">IF(AND(G564&lt;&gt;"",H564&lt;&gt;""),G564*H564,"")</f>
        <v/>
      </c>
      <c r="K564" s="11"/>
      <c r="L564" s="15"/>
      <c r="M564" s="15"/>
      <c r="N564" s="14" t="n">
        <f aca="false">IF(OR(G564="",M564=""),0,IF(M564&gt;100,M564,G564*IF(M564&gt;1,M564/100,M564)))</f>
        <v>0</v>
      </c>
      <c r="O564" s="14" t="str">
        <f aca="false">IF(G564="","",G564*IF(L564="",0,IF(L564&gt;1,L564/100,L564))+N564)</f>
        <v/>
      </c>
      <c r="P564" s="11"/>
      <c r="Q564" s="16" t="str">
        <f aca="false">IF(P564="","",IFERROR(VLOOKUP(P564,PARTNERS!$A$2:$B$30,2,0),""))</f>
        <v/>
      </c>
      <c r="R564" s="17" t="str">
        <f aca="false">IF(O564="","",IF(OR(P564="",Q564=""),0,(O564-N564)*IF(Q564&gt;1,Q564/100,Q564)))</f>
        <v/>
      </c>
      <c r="S564" s="14" t="str">
        <f aca="false">IF(O564="","",O564-R564)</f>
        <v/>
      </c>
      <c r="T564" s="11"/>
      <c r="U564" s="18" t="str">
        <f aca="false">IF(T564="","",IFERROR(VLOOKUP(T564,REPS!$A$2:$D$40,2,0),""))</f>
        <v/>
      </c>
      <c r="V564" s="14" t="str">
        <f aca="false">IF(O564="","",IF(U564="",0,O564*IF(U564&gt;1,U564/100,U564)))</f>
        <v/>
      </c>
      <c r="W564" s="11"/>
      <c r="X564" s="18" t="str">
        <f aca="false">IF(W564="","",IFERROR(VLOOKUP(W564,REPS!$A$2:$D$40,3,0),""))</f>
        <v/>
      </c>
      <c r="Y564" s="14" t="str">
        <f aca="false">IF(O564="","",IF(X564="",0,O564*IF(X564&gt;1,X564/100,X564)))</f>
        <v/>
      </c>
      <c r="Z564" s="11"/>
      <c r="AA564" s="18" t="str">
        <f aca="false">IF(Z564="","",IFERROR(VLOOKUP(Z564,REPS!$A$2:$D$40,4,0),""))</f>
        <v/>
      </c>
      <c r="AB564" s="14" t="str">
        <f aca="false">IF(O564="","",IF(AA564="",0,O564*IF(AA564&gt;1,AA564/100,AA564)))</f>
        <v/>
      </c>
      <c r="AC564" s="14" t="str">
        <f aca="false">IF(O564="","",V564+Y564+AB564)</f>
        <v/>
      </c>
      <c r="AD564" s="19" t="str">
        <f aca="false">IF(O564="","",O564-R564-AC564)</f>
        <v/>
      </c>
      <c r="AE564" s="20"/>
      <c r="AF564" s="10"/>
      <c r="AG564" s="21" t="n">
        <f aca="false">IF(OR(AE564="",AE564=0),0,AE564*IF(U564="",0,IF(U564&gt;1,U564/100,U564)))</f>
        <v>0</v>
      </c>
      <c r="AH564" s="21" t="n">
        <f aca="false">IF(OR(AE564="",AE564=0),0,AE564*IF(X564="",0,IF(X564&gt;1,X564/100,X564)))</f>
        <v>0</v>
      </c>
      <c r="AI564" s="21" t="n">
        <f aca="false">IF(OR(AE564="",AE564=0),0,AE564*IF(AA564="",0,IF(AA564&gt;1,AA564/100,AA564)))</f>
        <v>0</v>
      </c>
      <c r="AJ564" s="21" t="n">
        <f aca="false">AG564+AH564+AI564</f>
        <v>0</v>
      </c>
      <c r="AK564" s="21" t="n">
        <f aca="false">IF(OR(AE564="",AE564=0),0,AE564-AJ564)</f>
        <v>0</v>
      </c>
      <c r="AL564" s="19" t="str">
        <f aca="false">IF(AD564="","",AD564-AK564)</f>
        <v/>
      </c>
      <c r="AM564" s="9" t="str">
        <f aca="false">IF(C564="","","Waiting for payment")</f>
        <v/>
      </c>
      <c r="AN564" s="10"/>
      <c r="AO564" s="10"/>
      <c r="AP564" s="22" t="str">
        <f aca="false">IF(OR(C564="",I564="",K564=""),"",IF(K564="Monthly",EDATE(C564,ROUND(I564*SETTINGS!$I$8,0)),WORKDAY(C564,ROUND(I564*SETTINGS!$I$8,0))))</f>
        <v/>
      </c>
      <c r="AQ564" s="9" t="str">
        <f aca="true">IF(C564="","",IF(AND(AP564&lt;&gt;"",TODAY()&gt;=AP564),"Refi Ready",IF(TODAY()-C564&gt;=SETTINGS!$I$11,"Prospecting","Performing")))</f>
        <v/>
      </c>
      <c r="AR564" s="22" t="str">
        <f aca="false">IF(OR(C564="",I564="",K564=""),"",IF(K564="Monthly",EDATE(C564,I564),WORKDAY(C564,I564)))</f>
        <v/>
      </c>
      <c r="AS564" s="11"/>
      <c r="AT564" s="23" t="str">
        <f aca="true">IF(C564="","",IF(AM564="Clawed Back","CLAWED",IF(TODAY()&lt;=C564+SETTINGS!$I$2,"⚠ AT RISK","SAFE")))</f>
        <v/>
      </c>
      <c r="AU564" s="11"/>
      <c r="AW564" s="24" t="n">
        <f aca="false">AW563+IF(AND(C564&lt;&gt;"",AO564&lt;&gt;"",OR('REP COMMISSION'!$B$3="",T564='REP COMMISSION'!$B$3,W564='REP COMMISSION'!$B$3,Z564='REP COMMISSION'!$B$3)),1,0)</f>
        <v>0</v>
      </c>
      <c r="AX564" s="24" t="n">
        <f aca="false">AX563+IF(AND(C564&lt;&gt;"",OR(F564="LOC - INITIAL",F564="CONSOLIDATION - UPFRONT COMM",F564="REVERSE - TOTAL FUNDING")),1,0)</f>
        <v>0</v>
      </c>
    </row>
    <row r="565" customFormat="false" ht="15" hidden="false" customHeight="false" outlineLevel="0" collapsed="false">
      <c r="A565" s="25" t="str">
        <f aca="false">IF(C565&lt;&gt;"","F"&amp;COUNT($C$4:C565),"")</f>
        <v/>
      </c>
      <c r="B565" s="26" t="str">
        <f aca="false">IF(OR(F565="LOC - INITIAL",F565="CONSOLIDATION - UPFRONT COMM",F565="REVERSE - TOTAL FUNDING"),A565,"")</f>
        <v/>
      </c>
      <c r="C565" s="27"/>
      <c r="D565" s="28"/>
      <c r="E565" s="28"/>
      <c r="F565" s="28"/>
      <c r="G565" s="29"/>
      <c r="H565" s="30"/>
      <c r="I565" s="28"/>
      <c r="J565" s="31" t="str">
        <f aca="false">IF(AND(G565&lt;&gt;"",H565&lt;&gt;""),G565*H565,"")</f>
        <v/>
      </c>
      <c r="K565" s="28"/>
      <c r="L565" s="32"/>
      <c r="M565" s="32"/>
      <c r="N565" s="31" t="n">
        <f aca="false">IF(OR(G565="",M565=""),0,IF(M565&gt;100,M565,G565*IF(M565&gt;1,M565/100,M565)))</f>
        <v>0</v>
      </c>
      <c r="O565" s="31" t="str">
        <f aca="false">IF(G565="","",G565*IF(L565="",0,IF(L565&gt;1,L565/100,L565))+N565)</f>
        <v/>
      </c>
      <c r="P565" s="28"/>
      <c r="Q565" s="33" t="str">
        <f aca="false">IF(P565="","",IFERROR(VLOOKUP(P565,PARTNERS!$A$2:$B$30,2,0),""))</f>
        <v/>
      </c>
      <c r="R565" s="17" t="str">
        <f aca="false">IF(O565="","",IF(OR(P565="",Q565=""),0,(O565-N565)*IF(Q565&gt;1,Q565/100,Q565)))</f>
        <v/>
      </c>
      <c r="S565" s="31" t="str">
        <f aca="false">IF(O565="","",O565-R565)</f>
        <v/>
      </c>
      <c r="T565" s="28"/>
      <c r="U565" s="34" t="str">
        <f aca="false">IF(T565="","",IFERROR(VLOOKUP(T565,REPS!$A$2:$D$40,2,0),""))</f>
        <v/>
      </c>
      <c r="V565" s="31" t="str">
        <f aca="false">IF(O565="","",IF(U565="",0,O565*IF(U565&gt;1,U565/100,U565)))</f>
        <v/>
      </c>
      <c r="W565" s="28"/>
      <c r="X565" s="34" t="str">
        <f aca="false">IF(W565="","",IFERROR(VLOOKUP(W565,REPS!$A$2:$D$40,3,0),""))</f>
        <v/>
      </c>
      <c r="Y565" s="31" t="str">
        <f aca="false">IF(O565="","",IF(X565="",0,O565*IF(X565&gt;1,X565/100,X565)))</f>
        <v/>
      </c>
      <c r="Z565" s="28"/>
      <c r="AA565" s="34" t="str">
        <f aca="false">IF(Z565="","",IFERROR(VLOOKUP(Z565,REPS!$A$2:$D$40,4,0),""))</f>
        <v/>
      </c>
      <c r="AB565" s="31" t="str">
        <f aca="false">IF(O565="","",IF(AA565="",0,O565*IF(AA565&gt;1,AA565/100,AA565)))</f>
        <v/>
      </c>
      <c r="AC565" s="31" t="str">
        <f aca="false">IF(O565="","",V565+Y565+AB565)</f>
        <v/>
      </c>
      <c r="AD565" s="19" t="str">
        <f aca="false">IF(O565="","",O565-R565-AC565)</f>
        <v/>
      </c>
      <c r="AE565" s="20"/>
      <c r="AF565" s="27"/>
      <c r="AG565" s="21" t="n">
        <f aca="false">IF(OR(AE565="",AE565=0),0,AE565*IF(U565="",0,IF(U565&gt;1,U565/100,U565)))</f>
        <v>0</v>
      </c>
      <c r="AH565" s="21" t="n">
        <f aca="false">IF(OR(AE565="",AE565=0),0,AE565*IF(X565="",0,IF(X565&gt;1,X565/100,X565)))</f>
        <v>0</v>
      </c>
      <c r="AI565" s="21" t="n">
        <f aca="false">IF(OR(AE565="",AE565=0),0,AE565*IF(AA565="",0,IF(AA565&gt;1,AA565/100,AA565)))</f>
        <v>0</v>
      </c>
      <c r="AJ565" s="21" t="n">
        <f aca="false">AG565+AH565+AI565</f>
        <v>0</v>
      </c>
      <c r="AK565" s="21" t="n">
        <f aca="false">IF(OR(AE565="",AE565=0),0,AE565-AJ565)</f>
        <v>0</v>
      </c>
      <c r="AL565" s="19" t="str">
        <f aca="false">IF(AD565="","",AD565-AK565)</f>
        <v/>
      </c>
      <c r="AM565" s="26" t="str">
        <f aca="false">IF(C565="","","Waiting for payment")</f>
        <v/>
      </c>
      <c r="AN565" s="27"/>
      <c r="AO565" s="27"/>
      <c r="AP565" s="35" t="str">
        <f aca="false">IF(OR(C565="",I565="",K565=""),"",IF(K565="Monthly",EDATE(C565,ROUND(I565*SETTINGS!$I$8,0)),WORKDAY(C565,ROUND(I565*SETTINGS!$I$8,0))))</f>
        <v/>
      </c>
      <c r="AQ565" s="26" t="str">
        <f aca="true">IF(C565="","",IF(AND(AP565&lt;&gt;"",TODAY()&gt;=AP565),"Refi Ready",IF(TODAY()-C565&gt;=SETTINGS!$I$11,"Prospecting","Performing")))</f>
        <v/>
      </c>
      <c r="AR565" s="35" t="str">
        <f aca="false">IF(OR(C565="",I565="",K565=""),"",IF(K565="Monthly",EDATE(C565,I565),WORKDAY(C565,I565)))</f>
        <v/>
      </c>
      <c r="AS565" s="28"/>
      <c r="AT565" s="36" t="str">
        <f aca="true">IF(C565="","",IF(AM565="Clawed Back","CLAWED",IF(TODAY()&lt;=C565+SETTINGS!$I$2,"⚠ AT RISK","SAFE")))</f>
        <v/>
      </c>
      <c r="AU565" s="28"/>
      <c r="AW565" s="24" t="n">
        <f aca="false">AW564+IF(AND(C565&lt;&gt;"",AO565&lt;&gt;"",OR('REP COMMISSION'!$B$3="",T565='REP COMMISSION'!$B$3,W565='REP COMMISSION'!$B$3,Z565='REP COMMISSION'!$B$3)),1,0)</f>
        <v>0</v>
      </c>
      <c r="AX565" s="24" t="n">
        <f aca="false">AX564+IF(AND(C565&lt;&gt;"",OR(F565="LOC - INITIAL",F565="CONSOLIDATION - UPFRONT COMM",F565="REVERSE - TOTAL FUNDING")),1,0)</f>
        <v>0</v>
      </c>
    </row>
    <row r="566" customFormat="false" ht="15" hidden="false" customHeight="false" outlineLevel="0" collapsed="false">
      <c r="A566" s="8" t="str">
        <f aca="false">IF(C566&lt;&gt;"","F"&amp;COUNT($C$4:C566),"")</f>
        <v/>
      </c>
      <c r="B566" s="9" t="str">
        <f aca="false">IF(OR(F566="LOC - INITIAL",F566="CONSOLIDATION - UPFRONT COMM",F566="REVERSE - TOTAL FUNDING"),A566,"")</f>
        <v/>
      </c>
      <c r="C566" s="10"/>
      <c r="D566" s="11"/>
      <c r="E566" s="11"/>
      <c r="F566" s="11"/>
      <c r="G566" s="12"/>
      <c r="H566" s="13"/>
      <c r="I566" s="11"/>
      <c r="J566" s="14" t="str">
        <f aca="false">IF(AND(G566&lt;&gt;"",H566&lt;&gt;""),G566*H566,"")</f>
        <v/>
      </c>
      <c r="K566" s="11"/>
      <c r="L566" s="15"/>
      <c r="M566" s="15"/>
      <c r="N566" s="14" t="n">
        <f aca="false">IF(OR(G566="",M566=""),0,IF(M566&gt;100,M566,G566*IF(M566&gt;1,M566/100,M566)))</f>
        <v>0</v>
      </c>
      <c r="O566" s="14" t="str">
        <f aca="false">IF(G566="","",G566*IF(L566="",0,IF(L566&gt;1,L566/100,L566))+N566)</f>
        <v/>
      </c>
      <c r="P566" s="11"/>
      <c r="Q566" s="16" t="str">
        <f aca="false">IF(P566="","",IFERROR(VLOOKUP(P566,PARTNERS!$A$2:$B$30,2,0),""))</f>
        <v/>
      </c>
      <c r="R566" s="17" t="str">
        <f aca="false">IF(O566="","",IF(OR(P566="",Q566=""),0,(O566-N566)*IF(Q566&gt;1,Q566/100,Q566)))</f>
        <v/>
      </c>
      <c r="S566" s="14" t="str">
        <f aca="false">IF(O566="","",O566-R566)</f>
        <v/>
      </c>
      <c r="T566" s="11"/>
      <c r="U566" s="18" t="str">
        <f aca="false">IF(T566="","",IFERROR(VLOOKUP(T566,REPS!$A$2:$D$40,2,0),""))</f>
        <v/>
      </c>
      <c r="V566" s="14" t="str">
        <f aca="false">IF(O566="","",IF(U566="",0,O566*IF(U566&gt;1,U566/100,U566)))</f>
        <v/>
      </c>
      <c r="W566" s="11"/>
      <c r="X566" s="18" t="str">
        <f aca="false">IF(W566="","",IFERROR(VLOOKUP(W566,REPS!$A$2:$D$40,3,0),""))</f>
        <v/>
      </c>
      <c r="Y566" s="14" t="str">
        <f aca="false">IF(O566="","",IF(X566="",0,O566*IF(X566&gt;1,X566/100,X566)))</f>
        <v/>
      </c>
      <c r="Z566" s="11"/>
      <c r="AA566" s="18" t="str">
        <f aca="false">IF(Z566="","",IFERROR(VLOOKUP(Z566,REPS!$A$2:$D$40,4,0),""))</f>
        <v/>
      </c>
      <c r="AB566" s="14" t="str">
        <f aca="false">IF(O566="","",IF(AA566="",0,O566*IF(AA566&gt;1,AA566/100,AA566)))</f>
        <v/>
      </c>
      <c r="AC566" s="14" t="str">
        <f aca="false">IF(O566="","",V566+Y566+AB566)</f>
        <v/>
      </c>
      <c r="AD566" s="19" t="str">
        <f aca="false">IF(O566="","",O566-R566-AC566)</f>
        <v/>
      </c>
      <c r="AE566" s="20"/>
      <c r="AF566" s="10"/>
      <c r="AG566" s="21" t="n">
        <f aca="false">IF(OR(AE566="",AE566=0),0,AE566*IF(U566="",0,IF(U566&gt;1,U566/100,U566)))</f>
        <v>0</v>
      </c>
      <c r="AH566" s="21" t="n">
        <f aca="false">IF(OR(AE566="",AE566=0),0,AE566*IF(X566="",0,IF(X566&gt;1,X566/100,X566)))</f>
        <v>0</v>
      </c>
      <c r="AI566" s="21" t="n">
        <f aca="false">IF(OR(AE566="",AE566=0),0,AE566*IF(AA566="",0,IF(AA566&gt;1,AA566/100,AA566)))</f>
        <v>0</v>
      </c>
      <c r="AJ566" s="21" t="n">
        <f aca="false">AG566+AH566+AI566</f>
        <v>0</v>
      </c>
      <c r="AK566" s="21" t="n">
        <f aca="false">IF(OR(AE566="",AE566=0),0,AE566-AJ566)</f>
        <v>0</v>
      </c>
      <c r="AL566" s="19" t="str">
        <f aca="false">IF(AD566="","",AD566-AK566)</f>
        <v/>
      </c>
      <c r="AM566" s="9" t="str">
        <f aca="false">IF(C566="","","Waiting for payment")</f>
        <v/>
      </c>
      <c r="AN566" s="10"/>
      <c r="AO566" s="10"/>
      <c r="AP566" s="22" t="str">
        <f aca="false">IF(OR(C566="",I566="",K566=""),"",IF(K566="Monthly",EDATE(C566,ROUND(I566*SETTINGS!$I$8,0)),WORKDAY(C566,ROUND(I566*SETTINGS!$I$8,0))))</f>
        <v/>
      </c>
      <c r="AQ566" s="9" t="str">
        <f aca="true">IF(C566="","",IF(AND(AP566&lt;&gt;"",TODAY()&gt;=AP566),"Refi Ready",IF(TODAY()-C566&gt;=SETTINGS!$I$11,"Prospecting","Performing")))</f>
        <v/>
      </c>
      <c r="AR566" s="22" t="str">
        <f aca="false">IF(OR(C566="",I566="",K566=""),"",IF(K566="Monthly",EDATE(C566,I566),WORKDAY(C566,I566)))</f>
        <v/>
      </c>
      <c r="AS566" s="11"/>
      <c r="AT566" s="23" t="str">
        <f aca="true">IF(C566="","",IF(AM566="Clawed Back","CLAWED",IF(TODAY()&lt;=C566+SETTINGS!$I$2,"⚠ AT RISK","SAFE")))</f>
        <v/>
      </c>
      <c r="AU566" s="11"/>
      <c r="AW566" s="24" t="n">
        <f aca="false">AW565+IF(AND(C566&lt;&gt;"",AO566&lt;&gt;"",OR('REP COMMISSION'!$B$3="",T566='REP COMMISSION'!$B$3,W566='REP COMMISSION'!$B$3,Z566='REP COMMISSION'!$B$3)),1,0)</f>
        <v>0</v>
      </c>
      <c r="AX566" s="24" t="n">
        <f aca="false">AX565+IF(AND(C566&lt;&gt;"",OR(F566="LOC - INITIAL",F566="CONSOLIDATION - UPFRONT COMM",F566="REVERSE - TOTAL FUNDING")),1,0)</f>
        <v>0</v>
      </c>
    </row>
    <row r="567" customFormat="false" ht="15" hidden="false" customHeight="false" outlineLevel="0" collapsed="false">
      <c r="A567" s="25" t="str">
        <f aca="false">IF(C567&lt;&gt;"","F"&amp;COUNT($C$4:C567),"")</f>
        <v/>
      </c>
      <c r="B567" s="26" t="str">
        <f aca="false">IF(OR(F567="LOC - INITIAL",F567="CONSOLIDATION - UPFRONT COMM",F567="REVERSE - TOTAL FUNDING"),A567,"")</f>
        <v/>
      </c>
      <c r="C567" s="27"/>
      <c r="D567" s="28"/>
      <c r="E567" s="28"/>
      <c r="F567" s="28"/>
      <c r="G567" s="29"/>
      <c r="H567" s="30"/>
      <c r="I567" s="28"/>
      <c r="J567" s="31" t="str">
        <f aca="false">IF(AND(G567&lt;&gt;"",H567&lt;&gt;""),G567*H567,"")</f>
        <v/>
      </c>
      <c r="K567" s="28"/>
      <c r="L567" s="32"/>
      <c r="M567" s="32"/>
      <c r="N567" s="31" t="n">
        <f aca="false">IF(OR(G567="",M567=""),0,IF(M567&gt;100,M567,G567*IF(M567&gt;1,M567/100,M567)))</f>
        <v>0</v>
      </c>
      <c r="O567" s="31" t="str">
        <f aca="false">IF(G567="","",G567*IF(L567="",0,IF(L567&gt;1,L567/100,L567))+N567)</f>
        <v/>
      </c>
      <c r="P567" s="28"/>
      <c r="Q567" s="33" t="str">
        <f aca="false">IF(P567="","",IFERROR(VLOOKUP(P567,PARTNERS!$A$2:$B$30,2,0),""))</f>
        <v/>
      </c>
      <c r="R567" s="17" t="str">
        <f aca="false">IF(O567="","",IF(OR(P567="",Q567=""),0,(O567-N567)*IF(Q567&gt;1,Q567/100,Q567)))</f>
        <v/>
      </c>
      <c r="S567" s="31" t="str">
        <f aca="false">IF(O567="","",O567-R567)</f>
        <v/>
      </c>
      <c r="T567" s="28"/>
      <c r="U567" s="34" t="str">
        <f aca="false">IF(T567="","",IFERROR(VLOOKUP(T567,REPS!$A$2:$D$40,2,0),""))</f>
        <v/>
      </c>
      <c r="V567" s="31" t="str">
        <f aca="false">IF(O567="","",IF(U567="",0,O567*IF(U567&gt;1,U567/100,U567)))</f>
        <v/>
      </c>
      <c r="W567" s="28"/>
      <c r="X567" s="34" t="str">
        <f aca="false">IF(W567="","",IFERROR(VLOOKUP(W567,REPS!$A$2:$D$40,3,0),""))</f>
        <v/>
      </c>
      <c r="Y567" s="31" t="str">
        <f aca="false">IF(O567="","",IF(X567="",0,O567*IF(X567&gt;1,X567/100,X567)))</f>
        <v/>
      </c>
      <c r="Z567" s="28"/>
      <c r="AA567" s="34" t="str">
        <f aca="false">IF(Z567="","",IFERROR(VLOOKUP(Z567,REPS!$A$2:$D$40,4,0),""))</f>
        <v/>
      </c>
      <c r="AB567" s="31" t="str">
        <f aca="false">IF(O567="","",IF(AA567="",0,O567*IF(AA567&gt;1,AA567/100,AA567)))</f>
        <v/>
      </c>
      <c r="AC567" s="31" t="str">
        <f aca="false">IF(O567="","",V567+Y567+AB567)</f>
        <v/>
      </c>
      <c r="AD567" s="19" t="str">
        <f aca="false">IF(O567="","",O567-R567-AC567)</f>
        <v/>
      </c>
      <c r="AE567" s="20"/>
      <c r="AF567" s="27"/>
      <c r="AG567" s="21" t="n">
        <f aca="false">IF(OR(AE567="",AE567=0),0,AE567*IF(U567="",0,IF(U567&gt;1,U567/100,U567)))</f>
        <v>0</v>
      </c>
      <c r="AH567" s="21" t="n">
        <f aca="false">IF(OR(AE567="",AE567=0),0,AE567*IF(X567="",0,IF(X567&gt;1,X567/100,X567)))</f>
        <v>0</v>
      </c>
      <c r="AI567" s="21" t="n">
        <f aca="false">IF(OR(AE567="",AE567=0),0,AE567*IF(AA567="",0,IF(AA567&gt;1,AA567/100,AA567)))</f>
        <v>0</v>
      </c>
      <c r="AJ567" s="21" t="n">
        <f aca="false">AG567+AH567+AI567</f>
        <v>0</v>
      </c>
      <c r="AK567" s="21" t="n">
        <f aca="false">IF(OR(AE567="",AE567=0),0,AE567-AJ567)</f>
        <v>0</v>
      </c>
      <c r="AL567" s="19" t="str">
        <f aca="false">IF(AD567="","",AD567-AK567)</f>
        <v/>
      </c>
      <c r="AM567" s="26" t="str">
        <f aca="false">IF(C567="","","Waiting for payment")</f>
        <v/>
      </c>
      <c r="AN567" s="27"/>
      <c r="AO567" s="27"/>
      <c r="AP567" s="35" t="str">
        <f aca="false">IF(OR(C567="",I567="",K567=""),"",IF(K567="Monthly",EDATE(C567,ROUND(I567*SETTINGS!$I$8,0)),WORKDAY(C567,ROUND(I567*SETTINGS!$I$8,0))))</f>
        <v/>
      </c>
      <c r="AQ567" s="26" t="str">
        <f aca="true">IF(C567="","",IF(AND(AP567&lt;&gt;"",TODAY()&gt;=AP567),"Refi Ready",IF(TODAY()-C567&gt;=SETTINGS!$I$11,"Prospecting","Performing")))</f>
        <v/>
      </c>
      <c r="AR567" s="35" t="str">
        <f aca="false">IF(OR(C567="",I567="",K567=""),"",IF(K567="Monthly",EDATE(C567,I567),WORKDAY(C567,I567)))</f>
        <v/>
      </c>
      <c r="AS567" s="28"/>
      <c r="AT567" s="36" t="str">
        <f aca="true">IF(C567="","",IF(AM567="Clawed Back","CLAWED",IF(TODAY()&lt;=C567+SETTINGS!$I$2,"⚠ AT RISK","SAFE")))</f>
        <v/>
      </c>
      <c r="AU567" s="28"/>
      <c r="AW567" s="24" t="n">
        <f aca="false">AW566+IF(AND(C567&lt;&gt;"",AO567&lt;&gt;"",OR('REP COMMISSION'!$B$3="",T567='REP COMMISSION'!$B$3,W567='REP COMMISSION'!$B$3,Z567='REP COMMISSION'!$B$3)),1,0)</f>
        <v>0</v>
      </c>
      <c r="AX567" s="24" t="n">
        <f aca="false">AX566+IF(AND(C567&lt;&gt;"",OR(F567="LOC - INITIAL",F567="CONSOLIDATION - UPFRONT COMM",F567="REVERSE - TOTAL FUNDING")),1,0)</f>
        <v>0</v>
      </c>
    </row>
    <row r="568" customFormat="false" ht="15" hidden="false" customHeight="false" outlineLevel="0" collapsed="false">
      <c r="A568" s="8" t="str">
        <f aca="false">IF(C568&lt;&gt;"","F"&amp;COUNT($C$4:C568),"")</f>
        <v/>
      </c>
      <c r="B568" s="9" t="str">
        <f aca="false">IF(OR(F568="LOC - INITIAL",F568="CONSOLIDATION - UPFRONT COMM",F568="REVERSE - TOTAL FUNDING"),A568,"")</f>
        <v/>
      </c>
      <c r="C568" s="10"/>
      <c r="D568" s="11"/>
      <c r="E568" s="11"/>
      <c r="F568" s="11"/>
      <c r="G568" s="12"/>
      <c r="H568" s="13"/>
      <c r="I568" s="11"/>
      <c r="J568" s="14" t="str">
        <f aca="false">IF(AND(G568&lt;&gt;"",H568&lt;&gt;""),G568*H568,"")</f>
        <v/>
      </c>
      <c r="K568" s="11"/>
      <c r="L568" s="15"/>
      <c r="M568" s="15"/>
      <c r="N568" s="14" t="n">
        <f aca="false">IF(OR(G568="",M568=""),0,IF(M568&gt;100,M568,G568*IF(M568&gt;1,M568/100,M568)))</f>
        <v>0</v>
      </c>
      <c r="O568" s="14" t="str">
        <f aca="false">IF(G568="","",G568*IF(L568="",0,IF(L568&gt;1,L568/100,L568))+N568)</f>
        <v/>
      </c>
      <c r="P568" s="11"/>
      <c r="Q568" s="16" t="str">
        <f aca="false">IF(P568="","",IFERROR(VLOOKUP(P568,PARTNERS!$A$2:$B$30,2,0),""))</f>
        <v/>
      </c>
      <c r="R568" s="17" t="str">
        <f aca="false">IF(O568="","",IF(OR(P568="",Q568=""),0,(O568-N568)*IF(Q568&gt;1,Q568/100,Q568)))</f>
        <v/>
      </c>
      <c r="S568" s="14" t="str">
        <f aca="false">IF(O568="","",O568-R568)</f>
        <v/>
      </c>
      <c r="T568" s="11"/>
      <c r="U568" s="18" t="str">
        <f aca="false">IF(T568="","",IFERROR(VLOOKUP(T568,REPS!$A$2:$D$40,2,0),""))</f>
        <v/>
      </c>
      <c r="V568" s="14" t="str">
        <f aca="false">IF(O568="","",IF(U568="",0,O568*IF(U568&gt;1,U568/100,U568)))</f>
        <v/>
      </c>
      <c r="W568" s="11"/>
      <c r="X568" s="18" t="str">
        <f aca="false">IF(W568="","",IFERROR(VLOOKUP(W568,REPS!$A$2:$D$40,3,0),""))</f>
        <v/>
      </c>
      <c r="Y568" s="14" t="str">
        <f aca="false">IF(O568="","",IF(X568="",0,O568*IF(X568&gt;1,X568/100,X568)))</f>
        <v/>
      </c>
      <c r="Z568" s="11"/>
      <c r="AA568" s="18" t="str">
        <f aca="false">IF(Z568="","",IFERROR(VLOOKUP(Z568,REPS!$A$2:$D$40,4,0),""))</f>
        <v/>
      </c>
      <c r="AB568" s="14" t="str">
        <f aca="false">IF(O568="","",IF(AA568="",0,O568*IF(AA568&gt;1,AA568/100,AA568)))</f>
        <v/>
      </c>
      <c r="AC568" s="14" t="str">
        <f aca="false">IF(O568="","",V568+Y568+AB568)</f>
        <v/>
      </c>
      <c r="AD568" s="19" t="str">
        <f aca="false">IF(O568="","",O568-R568-AC568)</f>
        <v/>
      </c>
      <c r="AE568" s="20"/>
      <c r="AF568" s="10"/>
      <c r="AG568" s="21" t="n">
        <f aca="false">IF(OR(AE568="",AE568=0),0,AE568*IF(U568="",0,IF(U568&gt;1,U568/100,U568)))</f>
        <v>0</v>
      </c>
      <c r="AH568" s="21" t="n">
        <f aca="false">IF(OR(AE568="",AE568=0),0,AE568*IF(X568="",0,IF(X568&gt;1,X568/100,X568)))</f>
        <v>0</v>
      </c>
      <c r="AI568" s="21" t="n">
        <f aca="false">IF(OR(AE568="",AE568=0),0,AE568*IF(AA568="",0,IF(AA568&gt;1,AA568/100,AA568)))</f>
        <v>0</v>
      </c>
      <c r="AJ568" s="21" t="n">
        <f aca="false">AG568+AH568+AI568</f>
        <v>0</v>
      </c>
      <c r="AK568" s="21" t="n">
        <f aca="false">IF(OR(AE568="",AE568=0),0,AE568-AJ568)</f>
        <v>0</v>
      </c>
      <c r="AL568" s="19" t="str">
        <f aca="false">IF(AD568="","",AD568-AK568)</f>
        <v/>
      </c>
      <c r="AM568" s="9" t="str">
        <f aca="false">IF(C568="","","Waiting for payment")</f>
        <v/>
      </c>
      <c r="AN568" s="10"/>
      <c r="AO568" s="10"/>
      <c r="AP568" s="22" t="str">
        <f aca="false">IF(OR(C568="",I568="",K568=""),"",IF(K568="Monthly",EDATE(C568,ROUND(I568*SETTINGS!$I$8,0)),WORKDAY(C568,ROUND(I568*SETTINGS!$I$8,0))))</f>
        <v/>
      </c>
      <c r="AQ568" s="9" t="str">
        <f aca="true">IF(C568="","",IF(AND(AP568&lt;&gt;"",TODAY()&gt;=AP568),"Refi Ready",IF(TODAY()-C568&gt;=SETTINGS!$I$11,"Prospecting","Performing")))</f>
        <v/>
      </c>
      <c r="AR568" s="22" t="str">
        <f aca="false">IF(OR(C568="",I568="",K568=""),"",IF(K568="Monthly",EDATE(C568,I568),WORKDAY(C568,I568)))</f>
        <v/>
      </c>
      <c r="AS568" s="11"/>
      <c r="AT568" s="23" t="str">
        <f aca="true">IF(C568="","",IF(AM568="Clawed Back","CLAWED",IF(TODAY()&lt;=C568+SETTINGS!$I$2,"⚠ AT RISK","SAFE")))</f>
        <v/>
      </c>
      <c r="AU568" s="11"/>
      <c r="AW568" s="24" t="n">
        <f aca="false">AW567+IF(AND(C568&lt;&gt;"",AO568&lt;&gt;"",OR('REP COMMISSION'!$B$3="",T568='REP COMMISSION'!$B$3,W568='REP COMMISSION'!$B$3,Z568='REP COMMISSION'!$B$3)),1,0)</f>
        <v>0</v>
      </c>
      <c r="AX568" s="24" t="n">
        <f aca="false">AX567+IF(AND(C568&lt;&gt;"",OR(F568="LOC - INITIAL",F568="CONSOLIDATION - UPFRONT COMM",F568="REVERSE - TOTAL FUNDING")),1,0)</f>
        <v>0</v>
      </c>
    </row>
    <row r="569" customFormat="false" ht="15" hidden="false" customHeight="false" outlineLevel="0" collapsed="false">
      <c r="A569" s="25" t="str">
        <f aca="false">IF(C569&lt;&gt;"","F"&amp;COUNT($C$4:C569),"")</f>
        <v/>
      </c>
      <c r="B569" s="26" t="str">
        <f aca="false">IF(OR(F569="LOC - INITIAL",F569="CONSOLIDATION - UPFRONT COMM",F569="REVERSE - TOTAL FUNDING"),A569,"")</f>
        <v/>
      </c>
      <c r="C569" s="27"/>
      <c r="D569" s="28"/>
      <c r="E569" s="28"/>
      <c r="F569" s="28"/>
      <c r="G569" s="29"/>
      <c r="H569" s="30"/>
      <c r="I569" s="28"/>
      <c r="J569" s="31" t="str">
        <f aca="false">IF(AND(G569&lt;&gt;"",H569&lt;&gt;""),G569*H569,"")</f>
        <v/>
      </c>
      <c r="K569" s="28"/>
      <c r="L569" s="32"/>
      <c r="M569" s="32"/>
      <c r="N569" s="31" t="n">
        <f aca="false">IF(OR(G569="",M569=""),0,IF(M569&gt;100,M569,G569*IF(M569&gt;1,M569/100,M569)))</f>
        <v>0</v>
      </c>
      <c r="O569" s="31" t="str">
        <f aca="false">IF(G569="","",G569*IF(L569="",0,IF(L569&gt;1,L569/100,L569))+N569)</f>
        <v/>
      </c>
      <c r="P569" s="28"/>
      <c r="Q569" s="33" t="str">
        <f aca="false">IF(P569="","",IFERROR(VLOOKUP(P569,PARTNERS!$A$2:$B$30,2,0),""))</f>
        <v/>
      </c>
      <c r="R569" s="17" t="str">
        <f aca="false">IF(O569="","",IF(OR(P569="",Q569=""),0,(O569-N569)*IF(Q569&gt;1,Q569/100,Q569)))</f>
        <v/>
      </c>
      <c r="S569" s="31" t="str">
        <f aca="false">IF(O569="","",O569-R569)</f>
        <v/>
      </c>
      <c r="T569" s="28"/>
      <c r="U569" s="34" t="str">
        <f aca="false">IF(T569="","",IFERROR(VLOOKUP(T569,REPS!$A$2:$D$40,2,0),""))</f>
        <v/>
      </c>
      <c r="V569" s="31" t="str">
        <f aca="false">IF(O569="","",IF(U569="",0,O569*IF(U569&gt;1,U569/100,U569)))</f>
        <v/>
      </c>
      <c r="W569" s="28"/>
      <c r="X569" s="34" t="str">
        <f aca="false">IF(W569="","",IFERROR(VLOOKUP(W569,REPS!$A$2:$D$40,3,0),""))</f>
        <v/>
      </c>
      <c r="Y569" s="31" t="str">
        <f aca="false">IF(O569="","",IF(X569="",0,O569*IF(X569&gt;1,X569/100,X569)))</f>
        <v/>
      </c>
      <c r="Z569" s="28"/>
      <c r="AA569" s="34" t="str">
        <f aca="false">IF(Z569="","",IFERROR(VLOOKUP(Z569,REPS!$A$2:$D$40,4,0),""))</f>
        <v/>
      </c>
      <c r="AB569" s="31" t="str">
        <f aca="false">IF(O569="","",IF(AA569="",0,O569*IF(AA569&gt;1,AA569/100,AA569)))</f>
        <v/>
      </c>
      <c r="AC569" s="31" t="str">
        <f aca="false">IF(O569="","",V569+Y569+AB569)</f>
        <v/>
      </c>
      <c r="AD569" s="19" t="str">
        <f aca="false">IF(O569="","",O569-R569-AC569)</f>
        <v/>
      </c>
      <c r="AE569" s="20"/>
      <c r="AF569" s="27"/>
      <c r="AG569" s="21" t="n">
        <f aca="false">IF(OR(AE569="",AE569=0),0,AE569*IF(U569="",0,IF(U569&gt;1,U569/100,U569)))</f>
        <v>0</v>
      </c>
      <c r="AH569" s="21" t="n">
        <f aca="false">IF(OR(AE569="",AE569=0),0,AE569*IF(X569="",0,IF(X569&gt;1,X569/100,X569)))</f>
        <v>0</v>
      </c>
      <c r="AI569" s="21" t="n">
        <f aca="false">IF(OR(AE569="",AE569=0),0,AE569*IF(AA569="",0,IF(AA569&gt;1,AA569/100,AA569)))</f>
        <v>0</v>
      </c>
      <c r="AJ569" s="21" t="n">
        <f aca="false">AG569+AH569+AI569</f>
        <v>0</v>
      </c>
      <c r="AK569" s="21" t="n">
        <f aca="false">IF(OR(AE569="",AE569=0),0,AE569-AJ569)</f>
        <v>0</v>
      </c>
      <c r="AL569" s="19" t="str">
        <f aca="false">IF(AD569="","",AD569-AK569)</f>
        <v/>
      </c>
      <c r="AM569" s="26" t="str">
        <f aca="false">IF(C569="","","Waiting for payment")</f>
        <v/>
      </c>
      <c r="AN569" s="27"/>
      <c r="AO569" s="27"/>
      <c r="AP569" s="35" t="str">
        <f aca="false">IF(OR(C569="",I569="",K569=""),"",IF(K569="Monthly",EDATE(C569,ROUND(I569*SETTINGS!$I$8,0)),WORKDAY(C569,ROUND(I569*SETTINGS!$I$8,0))))</f>
        <v/>
      </c>
      <c r="AQ569" s="26" t="str">
        <f aca="true">IF(C569="","",IF(AND(AP569&lt;&gt;"",TODAY()&gt;=AP569),"Refi Ready",IF(TODAY()-C569&gt;=SETTINGS!$I$11,"Prospecting","Performing")))</f>
        <v/>
      </c>
      <c r="AR569" s="35" t="str">
        <f aca="false">IF(OR(C569="",I569="",K569=""),"",IF(K569="Monthly",EDATE(C569,I569),WORKDAY(C569,I569)))</f>
        <v/>
      </c>
      <c r="AS569" s="28"/>
      <c r="AT569" s="36" t="str">
        <f aca="true">IF(C569="","",IF(AM569="Clawed Back","CLAWED",IF(TODAY()&lt;=C569+SETTINGS!$I$2,"⚠ AT RISK","SAFE")))</f>
        <v/>
      </c>
      <c r="AU569" s="28"/>
      <c r="AW569" s="24" t="n">
        <f aca="false">AW568+IF(AND(C569&lt;&gt;"",AO569&lt;&gt;"",OR('REP COMMISSION'!$B$3="",T569='REP COMMISSION'!$B$3,W569='REP COMMISSION'!$B$3,Z569='REP COMMISSION'!$B$3)),1,0)</f>
        <v>0</v>
      </c>
      <c r="AX569" s="24" t="n">
        <f aca="false">AX568+IF(AND(C569&lt;&gt;"",OR(F569="LOC - INITIAL",F569="CONSOLIDATION - UPFRONT COMM",F569="REVERSE - TOTAL FUNDING")),1,0)</f>
        <v>0</v>
      </c>
    </row>
    <row r="570" customFormat="false" ht="15" hidden="false" customHeight="false" outlineLevel="0" collapsed="false">
      <c r="A570" s="8" t="str">
        <f aca="false">IF(C570&lt;&gt;"","F"&amp;COUNT($C$4:C570),"")</f>
        <v/>
      </c>
      <c r="B570" s="9" t="str">
        <f aca="false">IF(OR(F570="LOC - INITIAL",F570="CONSOLIDATION - UPFRONT COMM",F570="REVERSE - TOTAL FUNDING"),A570,"")</f>
        <v/>
      </c>
      <c r="C570" s="10"/>
      <c r="D570" s="11"/>
      <c r="E570" s="11"/>
      <c r="F570" s="11"/>
      <c r="G570" s="12"/>
      <c r="H570" s="13"/>
      <c r="I570" s="11"/>
      <c r="J570" s="14" t="str">
        <f aca="false">IF(AND(G570&lt;&gt;"",H570&lt;&gt;""),G570*H570,"")</f>
        <v/>
      </c>
      <c r="K570" s="11"/>
      <c r="L570" s="15"/>
      <c r="M570" s="15"/>
      <c r="N570" s="14" t="n">
        <f aca="false">IF(OR(G570="",M570=""),0,IF(M570&gt;100,M570,G570*IF(M570&gt;1,M570/100,M570)))</f>
        <v>0</v>
      </c>
      <c r="O570" s="14" t="str">
        <f aca="false">IF(G570="","",G570*IF(L570="",0,IF(L570&gt;1,L570/100,L570))+N570)</f>
        <v/>
      </c>
      <c r="P570" s="11"/>
      <c r="Q570" s="16" t="str">
        <f aca="false">IF(P570="","",IFERROR(VLOOKUP(P570,PARTNERS!$A$2:$B$30,2,0),""))</f>
        <v/>
      </c>
      <c r="R570" s="17" t="str">
        <f aca="false">IF(O570="","",IF(OR(P570="",Q570=""),0,(O570-N570)*IF(Q570&gt;1,Q570/100,Q570)))</f>
        <v/>
      </c>
      <c r="S570" s="14" t="str">
        <f aca="false">IF(O570="","",O570-R570)</f>
        <v/>
      </c>
      <c r="T570" s="11"/>
      <c r="U570" s="18" t="str">
        <f aca="false">IF(T570="","",IFERROR(VLOOKUP(T570,REPS!$A$2:$D$40,2,0),""))</f>
        <v/>
      </c>
      <c r="V570" s="14" t="str">
        <f aca="false">IF(O570="","",IF(U570="",0,O570*IF(U570&gt;1,U570/100,U570)))</f>
        <v/>
      </c>
      <c r="W570" s="11"/>
      <c r="X570" s="18" t="str">
        <f aca="false">IF(W570="","",IFERROR(VLOOKUP(W570,REPS!$A$2:$D$40,3,0),""))</f>
        <v/>
      </c>
      <c r="Y570" s="14" t="str">
        <f aca="false">IF(O570="","",IF(X570="",0,O570*IF(X570&gt;1,X570/100,X570)))</f>
        <v/>
      </c>
      <c r="Z570" s="11"/>
      <c r="AA570" s="18" t="str">
        <f aca="false">IF(Z570="","",IFERROR(VLOOKUP(Z570,REPS!$A$2:$D$40,4,0),""))</f>
        <v/>
      </c>
      <c r="AB570" s="14" t="str">
        <f aca="false">IF(O570="","",IF(AA570="",0,O570*IF(AA570&gt;1,AA570/100,AA570)))</f>
        <v/>
      </c>
      <c r="AC570" s="14" t="str">
        <f aca="false">IF(O570="","",V570+Y570+AB570)</f>
        <v/>
      </c>
      <c r="AD570" s="19" t="str">
        <f aca="false">IF(O570="","",O570-R570-AC570)</f>
        <v/>
      </c>
      <c r="AE570" s="20"/>
      <c r="AF570" s="10"/>
      <c r="AG570" s="21" t="n">
        <f aca="false">IF(OR(AE570="",AE570=0),0,AE570*IF(U570="",0,IF(U570&gt;1,U570/100,U570)))</f>
        <v>0</v>
      </c>
      <c r="AH570" s="21" t="n">
        <f aca="false">IF(OR(AE570="",AE570=0),0,AE570*IF(X570="",0,IF(X570&gt;1,X570/100,X570)))</f>
        <v>0</v>
      </c>
      <c r="AI570" s="21" t="n">
        <f aca="false">IF(OR(AE570="",AE570=0),0,AE570*IF(AA570="",0,IF(AA570&gt;1,AA570/100,AA570)))</f>
        <v>0</v>
      </c>
      <c r="AJ570" s="21" t="n">
        <f aca="false">AG570+AH570+AI570</f>
        <v>0</v>
      </c>
      <c r="AK570" s="21" t="n">
        <f aca="false">IF(OR(AE570="",AE570=0),0,AE570-AJ570)</f>
        <v>0</v>
      </c>
      <c r="AL570" s="19" t="str">
        <f aca="false">IF(AD570="","",AD570-AK570)</f>
        <v/>
      </c>
      <c r="AM570" s="9" t="str">
        <f aca="false">IF(C570="","","Waiting for payment")</f>
        <v/>
      </c>
      <c r="AN570" s="10"/>
      <c r="AO570" s="10"/>
      <c r="AP570" s="22" t="str">
        <f aca="false">IF(OR(C570="",I570="",K570=""),"",IF(K570="Monthly",EDATE(C570,ROUND(I570*SETTINGS!$I$8,0)),WORKDAY(C570,ROUND(I570*SETTINGS!$I$8,0))))</f>
        <v/>
      </c>
      <c r="AQ570" s="9" t="str">
        <f aca="true">IF(C570="","",IF(AND(AP570&lt;&gt;"",TODAY()&gt;=AP570),"Refi Ready",IF(TODAY()-C570&gt;=SETTINGS!$I$11,"Prospecting","Performing")))</f>
        <v/>
      </c>
      <c r="AR570" s="22" t="str">
        <f aca="false">IF(OR(C570="",I570="",K570=""),"",IF(K570="Monthly",EDATE(C570,I570),WORKDAY(C570,I570)))</f>
        <v/>
      </c>
      <c r="AS570" s="11"/>
      <c r="AT570" s="23" t="str">
        <f aca="true">IF(C570="","",IF(AM570="Clawed Back","CLAWED",IF(TODAY()&lt;=C570+SETTINGS!$I$2,"⚠ AT RISK","SAFE")))</f>
        <v/>
      </c>
      <c r="AU570" s="11"/>
      <c r="AW570" s="24" t="n">
        <f aca="false">AW569+IF(AND(C570&lt;&gt;"",AO570&lt;&gt;"",OR('REP COMMISSION'!$B$3="",T570='REP COMMISSION'!$B$3,W570='REP COMMISSION'!$B$3,Z570='REP COMMISSION'!$B$3)),1,0)</f>
        <v>0</v>
      </c>
      <c r="AX570" s="24" t="n">
        <f aca="false">AX569+IF(AND(C570&lt;&gt;"",OR(F570="LOC - INITIAL",F570="CONSOLIDATION - UPFRONT COMM",F570="REVERSE - TOTAL FUNDING")),1,0)</f>
        <v>0</v>
      </c>
    </row>
    <row r="571" customFormat="false" ht="15" hidden="false" customHeight="false" outlineLevel="0" collapsed="false">
      <c r="A571" s="25" t="str">
        <f aca="false">IF(C571&lt;&gt;"","F"&amp;COUNT($C$4:C571),"")</f>
        <v/>
      </c>
      <c r="B571" s="26" t="str">
        <f aca="false">IF(OR(F571="LOC - INITIAL",F571="CONSOLIDATION - UPFRONT COMM",F571="REVERSE - TOTAL FUNDING"),A571,"")</f>
        <v/>
      </c>
      <c r="C571" s="27"/>
      <c r="D571" s="28"/>
      <c r="E571" s="28"/>
      <c r="F571" s="28"/>
      <c r="G571" s="29"/>
      <c r="H571" s="30"/>
      <c r="I571" s="28"/>
      <c r="J571" s="31" t="str">
        <f aca="false">IF(AND(G571&lt;&gt;"",H571&lt;&gt;""),G571*H571,"")</f>
        <v/>
      </c>
      <c r="K571" s="28"/>
      <c r="L571" s="32"/>
      <c r="M571" s="32"/>
      <c r="N571" s="31" t="n">
        <f aca="false">IF(OR(G571="",M571=""),0,IF(M571&gt;100,M571,G571*IF(M571&gt;1,M571/100,M571)))</f>
        <v>0</v>
      </c>
      <c r="O571" s="31" t="str">
        <f aca="false">IF(G571="","",G571*IF(L571="",0,IF(L571&gt;1,L571/100,L571))+N571)</f>
        <v/>
      </c>
      <c r="P571" s="28"/>
      <c r="Q571" s="33" t="str">
        <f aca="false">IF(P571="","",IFERROR(VLOOKUP(P571,PARTNERS!$A$2:$B$30,2,0),""))</f>
        <v/>
      </c>
      <c r="R571" s="17" t="str">
        <f aca="false">IF(O571="","",IF(OR(P571="",Q571=""),0,(O571-N571)*IF(Q571&gt;1,Q571/100,Q571)))</f>
        <v/>
      </c>
      <c r="S571" s="31" t="str">
        <f aca="false">IF(O571="","",O571-R571)</f>
        <v/>
      </c>
      <c r="T571" s="28"/>
      <c r="U571" s="34" t="str">
        <f aca="false">IF(T571="","",IFERROR(VLOOKUP(T571,REPS!$A$2:$D$40,2,0),""))</f>
        <v/>
      </c>
      <c r="V571" s="31" t="str">
        <f aca="false">IF(O571="","",IF(U571="",0,O571*IF(U571&gt;1,U571/100,U571)))</f>
        <v/>
      </c>
      <c r="W571" s="28"/>
      <c r="X571" s="34" t="str">
        <f aca="false">IF(W571="","",IFERROR(VLOOKUP(W571,REPS!$A$2:$D$40,3,0),""))</f>
        <v/>
      </c>
      <c r="Y571" s="31" t="str">
        <f aca="false">IF(O571="","",IF(X571="",0,O571*IF(X571&gt;1,X571/100,X571)))</f>
        <v/>
      </c>
      <c r="Z571" s="28"/>
      <c r="AA571" s="34" t="str">
        <f aca="false">IF(Z571="","",IFERROR(VLOOKUP(Z571,REPS!$A$2:$D$40,4,0),""))</f>
        <v/>
      </c>
      <c r="AB571" s="31" t="str">
        <f aca="false">IF(O571="","",IF(AA571="",0,O571*IF(AA571&gt;1,AA571/100,AA571)))</f>
        <v/>
      </c>
      <c r="AC571" s="31" t="str">
        <f aca="false">IF(O571="","",V571+Y571+AB571)</f>
        <v/>
      </c>
      <c r="AD571" s="19" t="str">
        <f aca="false">IF(O571="","",O571-R571-AC571)</f>
        <v/>
      </c>
      <c r="AE571" s="20"/>
      <c r="AF571" s="27"/>
      <c r="AG571" s="21" t="n">
        <f aca="false">IF(OR(AE571="",AE571=0),0,AE571*IF(U571="",0,IF(U571&gt;1,U571/100,U571)))</f>
        <v>0</v>
      </c>
      <c r="AH571" s="21" t="n">
        <f aca="false">IF(OR(AE571="",AE571=0),0,AE571*IF(X571="",0,IF(X571&gt;1,X571/100,X571)))</f>
        <v>0</v>
      </c>
      <c r="AI571" s="21" t="n">
        <f aca="false">IF(OR(AE571="",AE571=0),0,AE571*IF(AA571="",0,IF(AA571&gt;1,AA571/100,AA571)))</f>
        <v>0</v>
      </c>
      <c r="AJ571" s="21" t="n">
        <f aca="false">AG571+AH571+AI571</f>
        <v>0</v>
      </c>
      <c r="AK571" s="21" t="n">
        <f aca="false">IF(OR(AE571="",AE571=0),0,AE571-AJ571)</f>
        <v>0</v>
      </c>
      <c r="AL571" s="19" t="str">
        <f aca="false">IF(AD571="","",AD571-AK571)</f>
        <v/>
      </c>
      <c r="AM571" s="26" t="str">
        <f aca="false">IF(C571="","","Waiting for payment")</f>
        <v/>
      </c>
      <c r="AN571" s="27"/>
      <c r="AO571" s="27"/>
      <c r="AP571" s="35" t="str">
        <f aca="false">IF(OR(C571="",I571="",K571=""),"",IF(K571="Monthly",EDATE(C571,ROUND(I571*SETTINGS!$I$8,0)),WORKDAY(C571,ROUND(I571*SETTINGS!$I$8,0))))</f>
        <v/>
      </c>
      <c r="AQ571" s="26" t="str">
        <f aca="true">IF(C571="","",IF(AND(AP571&lt;&gt;"",TODAY()&gt;=AP571),"Refi Ready",IF(TODAY()-C571&gt;=SETTINGS!$I$11,"Prospecting","Performing")))</f>
        <v/>
      </c>
      <c r="AR571" s="35" t="str">
        <f aca="false">IF(OR(C571="",I571="",K571=""),"",IF(K571="Monthly",EDATE(C571,I571),WORKDAY(C571,I571)))</f>
        <v/>
      </c>
      <c r="AS571" s="28"/>
      <c r="AT571" s="36" t="str">
        <f aca="true">IF(C571="","",IF(AM571="Clawed Back","CLAWED",IF(TODAY()&lt;=C571+SETTINGS!$I$2,"⚠ AT RISK","SAFE")))</f>
        <v/>
      </c>
      <c r="AU571" s="28"/>
      <c r="AW571" s="24" t="n">
        <f aca="false">AW570+IF(AND(C571&lt;&gt;"",AO571&lt;&gt;"",OR('REP COMMISSION'!$B$3="",T571='REP COMMISSION'!$B$3,W571='REP COMMISSION'!$B$3,Z571='REP COMMISSION'!$B$3)),1,0)</f>
        <v>0</v>
      </c>
      <c r="AX571" s="24" t="n">
        <f aca="false">AX570+IF(AND(C571&lt;&gt;"",OR(F571="LOC - INITIAL",F571="CONSOLIDATION - UPFRONT COMM",F571="REVERSE - TOTAL FUNDING")),1,0)</f>
        <v>0</v>
      </c>
    </row>
    <row r="572" customFormat="false" ht="15" hidden="false" customHeight="false" outlineLevel="0" collapsed="false">
      <c r="A572" s="8" t="str">
        <f aca="false">IF(C572&lt;&gt;"","F"&amp;COUNT($C$4:C572),"")</f>
        <v/>
      </c>
      <c r="B572" s="9" t="str">
        <f aca="false">IF(OR(F572="LOC - INITIAL",F572="CONSOLIDATION - UPFRONT COMM",F572="REVERSE - TOTAL FUNDING"),A572,"")</f>
        <v/>
      </c>
      <c r="C572" s="10"/>
      <c r="D572" s="11"/>
      <c r="E572" s="11"/>
      <c r="F572" s="11"/>
      <c r="G572" s="12"/>
      <c r="H572" s="13"/>
      <c r="I572" s="11"/>
      <c r="J572" s="14" t="str">
        <f aca="false">IF(AND(G572&lt;&gt;"",H572&lt;&gt;""),G572*H572,"")</f>
        <v/>
      </c>
      <c r="K572" s="11"/>
      <c r="L572" s="15"/>
      <c r="M572" s="15"/>
      <c r="N572" s="14" t="n">
        <f aca="false">IF(OR(G572="",M572=""),0,IF(M572&gt;100,M572,G572*IF(M572&gt;1,M572/100,M572)))</f>
        <v>0</v>
      </c>
      <c r="O572" s="14" t="str">
        <f aca="false">IF(G572="","",G572*IF(L572="",0,IF(L572&gt;1,L572/100,L572))+N572)</f>
        <v/>
      </c>
      <c r="P572" s="11"/>
      <c r="Q572" s="16" t="str">
        <f aca="false">IF(P572="","",IFERROR(VLOOKUP(P572,PARTNERS!$A$2:$B$30,2,0),""))</f>
        <v/>
      </c>
      <c r="R572" s="17" t="str">
        <f aca="false">IF(O572="","",IF(OR(P572="",Q572=""),0,(O572-N572)*IF(Q572&gt;1,Q572/100,Q572)))</f>
        <v/>
      </c>
      <c r="S572" s="14" t="str">
        <f aca="false">IF(O572="","",O572-R572)</f>
        <v/>
      </c>
      <c r="T572" s="11"/>
      <c r="U572" s="18" t="str">
        <f aca="false">IF(T572="","",IFERROR(VLOOKUP(T572,REPS!$A$2:$D$40,2,0),""))</f>
        <v/>
      </c>
      <c r="V572" s="14" t="str">
        <f aca="false">IF(O572="","",IF(U572="",0,O572*IF(U572&gt;1,U572/100,U572)))</f>
        <v/>
      </c>
      <c r="W572" s="11"/>
      <c r="X572" s="18" t="str">
        <f aca="false">IF(W572="","",IFERROR(VLOOKUP(W572,REPS!$A$2:$D$40,3,0),""))</f>
        <v/>
      </c>
      <c r="Y572" s="14" t="str">
        <f aca="false">IF(O572="","",IF(X572="",0,O572*IF(X572&gt;1,X572/100,X572)))</f>
        <v/>
      </c>
      <c r="Z572" s="11"/>
      <c r="AA572" s="18" t="str">
        <f aca="false">IF(Z572="","",IFERROR(VLOOKUP(Z572,REPS!$A$2:$D$40,4,0),""))</f>
        <v/>
      </c>
      <c r="AB572" s="14" t="str">
        <f aca="false">IF(O572="","",IF(AA572="",0,O572*IF(AA572&gt;1,AA572/100,AA572)))</f>
        <v/>
      </c>
      <c r="AC572" s="14" t="str">
        <f aca="false">IF(O572="","",V572+Y572+AB572)</f>
        <v/>
      </c>
      <c r="AD572" s="19" t="str">
        <f aca="false">IF(O572="","",O572-R572-AC572)</f>
        <v/>
      </c>
      <c r="AE572" s="20"/>
      <c r="AF572" s="10"/>
      <c r="AG572" s="21" t="n">
        <f aca="false">IF(OR(AE572="",AE572=0),0,AE572*IF(U572="",0,IF(U572&gt;1,U572/100,U572)))</f>
        <v>0</v>
      </c>
      <c r="AH572" s="21" t="n">
        <f aca="false">IF(OR(AE572="",AE572=0),0,AE572*IF(X572="",0,IF(X572&gt;1,X572/100,X572)))</f>
        <v>0</v>
      </c>
      <c r="AI572" s="21" t="n">
        <f aca="false">IF(OR(AE572="",AE572=0),0,AE572*IF(AA572="",0,IF(AA572&gt;1,AA572/100,AA572)))</f>
        <v>0</v>
      </c>
      <c r="AJ572" s="21" t="n">
        <f aca="false">AG572+AH572+AI572</f>
        <v>0</v>
      </c>
      <c r="AK572" s="21" t="n">
        <f aca="false">IF(OR(AE572="",AE572=0),0,AE572-AJ572)</f>
        <v>0</v>
      </c>
      <c r="AL572" s="19" t="str">
        <f aca="false">IF(AD572="","",AD572-AK572)</f>
        <v/>
      </c>
      <c r="AM572" s="9" t="str">
        <f aca="false">IF(C572="","","Waiting for payment")</f>
        <v/>
      </c>
      <c r="AN572" s="10"/>
      <c r="AO572" s="10"/>
      <c r="AP572" s="22" t="str">
        <f aca="false">IF(OR(C572="",I572="",K572=""),"",IF(K572="Monthly",EDATE(C572,ROUND(I572*SETTINGS!$I$8,0)),WORKDAY(C572,ROUND(I572*SETTINGS!$I$8,0))))</f>
        <v/>
      </c>
      <c r="AQ572" s="9" t="str">
        <f aca="true">IF(C572="","",IF(AND(AP572&lt;&gt;"",TODAY()&gt;=AP572),"Refi Ready",IF(TODAY()-C572&gt;=SETTINGS!$I$11,"Prospecting","Performing")))</f>
        <v/>
      </c>
      <c r="AR572" s="22" t="str">
        <f aca="false">IF(OR(C572="",I572="",K572=""),"",IF(K572="Monthly",EDATE(C572,I572),WORKDAY(C572,I572)))</f>
        <v/>
      </c>
      <c r="AS572" s="11"/>
      <c r="AT572" s="23" t="str">
        <f aca="true">IF(C572="","",IF(AM572="Clawed Back","CLAWED",IF(TODAY()&lt;=C572+SETTINGS!$I$2,"⚠ AT RISK","SAFE")))</f>
        <v/>
      </c>
      <c r="AU572" s="11"/>
      <c r="AW572" s="24" t="n">
        <f aca="false">AW571+IF(AND(C572&lt;&gt;"",AO572&lt;&gt;"",OR('REP COMMISSION'!$B$3="",T572='REP COMMISSION'!$B$3,W572='REP COMMISSION'!$B$3,Z572='REP COMMISSION'!$B$3)),1,0)</f>
        <v>0</v>
      </c>
      <c r="AX572" s="24" t="n">
        <f aca="false">AX571+IF(AND(C572&lt;&gt;"",OR(F572="LOC - INITIAL",F572="CONSOLIDATION - UPFRONT COMM",F572="REVERSE - TOTAL FUNDING")),1,0)</f>
        <v>0</v>
      </c>
    </row>
    <row r="573" customFormat="false" ht="15" hidden="false" customHeight="false" outlineLevel="0" collapsed="false">
      <c r="A573" s="25" t="str">
        <f aca="false">IF(C573&lt;&gt;"","F"&amp;COUNT($C$4:C573),"")</f>
        <v/>
      </c>
      <c r="B573" s="26" t="str">
        <f aca="false">IF(OR(F573="LOC - INITIAL",F573="CONSOLIDATION - UPFRONT COMM",F573="REVERSE - TOTAL FUNDING"),A573,"")</f>
        <v/>
      </c>
      <c r="C573" s="27"/>
      <c r="D573" s="28"/>
      <c r="E573" s="28"/>
      <c r="F573" s="28"/>
      <c r="G573" s="29"/>
      <c r="H573" s="30"/>
      <c r="I573" s="28"/>
      <c r="J573" s="31" t="str">
        <f aca="false">IF(AND(G573&lt;&gt;"",H573&lt;&gt;""),G573*H573,"")</f>
        <v/>
      </c>
      <c r="K573" s="28"/>
      <c r="L573" s="32"/>
      <c r="M573" s="32"/>
      <c r="N573" s="31" t="n">
        <f aca="false">IF(OR(G573="",M573=""),0,IF(M573&gt;100,M573,G573*IF(M573&gt;1,M573/100,M573)))</f>
        <v>0</v>
      </c>
      <c r="O573" s="31" t="str">
        <f aca="false">IF(G573="","",G573*IF(L573="",0,IF(L573&gt;1,L573/100,L573))+N573)</f>
        <v/>
      </c>
      <c r="P573" s="28"/>
      <c r="Q573" s="33" t="str">
        <f aca="false">IF(P573="","",IFERROR(VLOOKUP(P573,PARTNERS!$A$2:$B$30,2,0),""))</f>
        <v/>
      </c>
      <c r="R573" s="17" t="str">
        <f aca="false">IF(O573="","",IF(OR(P573="",Q573=""),0,(O573-N573)*IF(Q573&gt;1,Q573/100,Q573)))</f>
        <v/>
      </c>
      <c r="S573" s="31" t="str">
        <f aca="false">IF(O573="","",O573-R573)</f>
        <v/>
      </c>
      <c r="T573" s="28"/>
      <c r="U573" s="34" t="str">
        <f aca="false">IF(T573="","",IFERROR(VLOOKUP(T573,REPS!$A$2:$D$40,2,0),""))</f>
        <v/>
      </c>
      <c r="V573" s="31" t="str">
        <f aca="false">IF(O573="","",IF(U573="",0,O573*IF(U573&gt;1,U573/100,U573)))</f>
        <v/>
      </c>
      <c r="W573" s="28"/>
      <c r="X573" s="34" t="str">
        <f aca="false">IF(W573="","",IFERROR(VLOOKUP(W573,REPS!$A$2:$D$40,3,0),""))</f>
        <v/>
      </c>
      <c r="Y573" s="31" t="str">
        <f aca="false">IF(O573="","",IF(X573="",0,O573*IF(X573&gt;1,X573/100,X573)))</f>
        <v/>
      </c>
      <c r="Z573" s="28"/>
      <c r="AA573" s="34" t="str">
        <f aca="false">IF(Z573="","",IFERROR(VLOOKUP(Z573,REPS!$A$2:$D$40,4,0),""))</f>
        <v/>
      </c>
      <c r="AB573" s="31" t="str">
        <f aca="false">IF(O573="","",IF(AA573="",0,O573*IF(AA573&gt;1,AA573/100,AA573)))</f>
        <v/>
      </c>
      <c r="AC573" s="31" t="str">
        <f aca="false">IF(O573="","",V573+Y573+AB573)</f>
        <v/>
      </c>
      <c r="AD573" s="19" t="str">
        <f aca="false">IF(O573="","",O573-R573-AC573)</f>
        <v/>
      </c>
      <c r="AE573" s="20"/>
      <c r="AF573" s="27"/>
      <c r="AG573" s="21" t="n">
        <f aca="false">IF(OR(AE573="",AE573=0),0,AE573*IF(U573="",0,IF(U573&gt;1,U573/100,U573)))</f>
        <v>0</v>
      </c>
      <c r="AH573" s="21" t="n">
        <f aca="false">IF(OR(AE573="",AE573=0),0,AE573*IF(X573="",0,IF(X573&gt;1,X573/100,X573)))</f>
        <v>0</v>
      </c>
      <c r="AI573" s="21" t="n">
        <f aca="false">IF(OR(AE573="",AE573=0),0,AE573*IF(AA573="",0,IF(AA573&gt;1,AA573/100,AA573)))</f>
        <v>0</v>
      </c>
      <c r="AJ573" s="21" t="n">
        <f aca="false">AG573+AH573+AI573</f>
        <v>0</v>
      </c>
      <c r="AK573" s="21" t="n">
        <f aca="false">IF(OR(AE573="",AE573=0),0,AE573-AJ573)</f>
        <v>0</v>
      </c>
      <c r="AL573" s="19" t="str">
        <f aca="false">IF(AD573="","",AD573-AK573)</f>
        <v/>
      </c>
      <c r="AM573" s="26" t="str">
        <f aca="false">IF(C573="","","Waiting for payment")</f>
        <v/>
      </c>
      <c r="AN573" s="27"/>
      <c r="AO573" s="27"/>
      <c r="AP573" s="35" t="str">
        <f aca="false">IF(OR(C573="",I573="",K573=""),"",IF(K573="Monthly",EDATE(C573,ROUND(I573*SETTINGS!$I$8,0)),WORKDAY(C573,ROUND(I573*SETTINGS!$I$8,0))))</f>
        <v/>
      </c>
      <c r="AQ573" s="26" t="str">
        <f aca="true">IF(C573="","",IF(AND(AP573&lt;&gt;"",TODAY()&gt;=AP573),"Refi Ready",IF(TODAY()-C573&gt;=SETTINGS!$I$11,"Prospecting","Performing")))</f>
        <v/>
      </c>
      <c r="AR573" s="35" t="str">
        <f aca="false">IF(OR(C573="",I573="",K573=""),"",IF(K573="Monthly",EDATE(C573,I573),WORKDAY(C573,I573)))</f>
        <v/>
      </c>
      <c r="AS573" s="28"/>
      <c r="AT573" s="36" t="str">
        <f aca="true">IF(C573="","",IF(AM573="Clawed Back","CLAWED",IF(TODAY()&lt;=C573+SETTINGS!$I$2,"⚠ AT RISK","SAFE")))</f>
        <v/>
      </c>
      <c r="AU573" s="28"/>
      <c r="AW573" s="24" t="n">
        <f aca="false">AW572+IF(AND(C573&lt;&gt;"",AO573&lt;&gt;"",OR('REP COMMISSION'!$B$3="",T573='REP COMMISSION'!$B$3,W573='REP COMMISSION'!$B$3,Z573='REP COMMISSION'!$B$3)),1,0)</f>
        <v>0</v>
      </c>
      <c r="AX573" s="24" t="n">
        <f aca="false">AX572+IF(AND(C573&lt;&gt;"",OR(F573="LOC - INITIAL",F573="CONSOLIDATION - UPFRONT COMM",F573="REVERSE - TOTAL FUNDING")),1,0)</f>
        <v>0</v>
      </c>
    </row>
    <row r="574" customFormat="false" ht="15" hidden="false" customHeight="false" outlineLevel="0" collapsed="false">
      <c r="A574" s="8" t="str">
        <f aca="false">IF(C574&lt;&gt;"","F"&amp;COUNT($C$4:C574),"")</f>
        <v/>
      </c>
      <c r="B574" s="9" t="str">
        <f aca="false">IF(OR(F574="LOC - INITIAL",F574="CONSOLIDATION - UPFRONT COMM",F574="REVERSE - TOTAL FUNDING"),A574,"")</f>
        <v/>
      </c>
      <c r="C574" s="10"/>
      <c r="D574" s="11"/>
      <c r="E574" s="11"/>
      <c r="F574" s="11"/>
      <c r="G574" s="12"/>
      <c r="H574" s="13"/>
      <c r="I574" s="11"/>
      <c r="J574" s="14" t="str">
        <f aca="false">IF(AND(G574&lt;&gt;"",H574&lt;&gt;""),G574*H574,"")</f>
        <v/>
      </c>
      <c r="K574" s="11"/>
      <c r="L574" s="15"/>
      <c r="M574" s="15"/>
      <c r="N574" s="14" t="n">
        <f aca="false">IF(OR(G574="",M574=""),0,IF(M574&gt;100,M574,G574*IF(M574&gt;1,M574/100,M574)))</f>
        <v>0</v>
      </c>
      <c r="O574" s="14" t="str">
        <f aca="false">IF(G574="","",G574*IF(L574="",0,IF(L574&gt;1,L574/100,L574))+N574)</f>
        <v/>
      </c>
      <c r="P574" s="11"/>
      <c r="Q574" s="16" t="str">
        <f aca="false">IF(P574="","",IFERROR(VLOOKUP(P574,PARTNERS!$A$2:$B$30,2,0),""))</f>
        <v/>
      </c>
      <c r="R574" s="17" t="str">
        <f aca="false">IF(O574="","",IF(OR(P574="",Q574=""),0,(O574-N574)*IF(Q574&gt;1,Q574/100,Q574)))</f>
        <v/>
      </c>
      <c r="S574" s="14" t="str">
        <f aca="false">IF(O574="","",O574-R574)</f>
        <v/>
      </c>
      <c r="T574" s="11"/>
      <c r="U574" s="18" t="str">
        <f aca="false">IF(T574="","",IFERROR(VLOOKUP(T574,REPS!$A$2:$D$40,2,0),""))</f>
        <v/>
      </c>
      <c r="V574" s="14" t="str">
        <f aca="false">IF(O574="","",IF(U574="",0,O574*IF(U574&gt;1,U574/100,U574)))</f>
        <v/>
      </c>
      <c r="W574" s="11"/>
      <c r="X574" s="18" t="str">
        <f aca="false">IF(W574="","",IFERROR(VLOOKUP(W574,REPS!$A$2:$D$40,3,0),""))</f>
        <v/>
      </c>
      <c r="Y574" s="14" t="str">
        <f aca="false">IF(O574="","",IF(X574="",0,O574*IF(X574&gt;1,X574/100,X574)))</f>
        <v/>
      </c>
      <c r="Z574" s="11"/>
      <c r="AA574" s="18" t="str">
        <f aca="false">IF(Z574="","",IFERROR(VLOOKUP(Z574,REPS!$A$2:$D$40,4,0),""))</f>
        <v/>
      </c>
      <c r="AB574" s="14" t="str">
        <f aca="false">IF(O574="","",IF(AA574="",0,O574*IF(AA574&gt;1,AA574/100,AA574)))</f>
        <v/>
      </c>
      <c r="AC574" s="14" t="str">
        <f aca="false">IF(O574="","",V574+Y574+AB574)</f>
        <v/>
      </c>
      <c r="AD574" s="19" t="str">
        <f aca="false">IF(O574="","",O574-R574-AC574)</f>
        <v/>
      </c>
      <c r="AE574" s="20"/>
      <c r="AF574" s="10"/>
      <c r="AG574" s="21" t="n">
        <f aca="false">IF(OR(AE574="",AE574=0),0,AE574*IF(U574="",0,IF(U574&gt;1,U574/100,U574)))</f>
        <v>0</v>
      </c>
      <c r="AH574" s="21" t="n">
        <f aca="false">IF(OR(AE574="",AE574=0),0,AE574*IF(X574="",0,IF(X574&gt;1,X574/100,X574)))</f>
        <v>0</v>
      </c>
      <c r="AI574" s="21" t="n">
        <f aca="false">IF(OR(AE574="",AE574=0),0,AE574*IF(AA574="",0,IF(AA574&gt;1,AA574/100,AA574)))</f>
        <v>0</v>
      </c>
      <c r="AJ574" s="21" t="n">
        <f aca="false">AG574+AH574+AI574</f>
        <v>0</v>
      </c>
      <c r="AK574" s="21" t="n">
        <f aca="false">IF(OR(AE574="",AE574=0),0,AE574-AJ574)</f>
        <v>0</v>
      </c>
      <c r="AL574" s="19" t="str">
        <f aca="false">IF(AD574="","",AD574-AK574)</f>
        <v/>
      </c>
      <c r="AM574" s="9" t="str">
        <f aca="false">IF(C574="","","Waiting for payment")</f>
        <v/>
      </c>
      <c r="AN574" s="10"/>
      <c r="AO574" s="10"/>
      <c r="AP574" s="22" t="str">
        <f aca="false">IF(OR(C574="",I574="",K574=""),"",IF(K574="Monthly",EDATE(C574,ROUND(I574*SETTINGS!$I$8,0)),WORKDAY(C574,ROUND(I574*SETTINGS!$I$8,0))))</f>
        <v/>
      </c>
      <c r="AQ574" s="9" t="str">
        <f aca="true">IF(C574="","",IF(AND(AP574&lt;&gt;"",TODAY()&gt;=AP574),"Refi Ready",IF(TODAY()-C574&gt;=SETTINGS!$I$11,"Prospecting","Performing")))</f>
        <v/>
      </c>
      <c r="AR574" s="22" t="str">
        <f aca="false">IF(OR(C574="",I574="",K574=""),"",IF(K574="Monthly",EDATE(C574,I574),WORKDAY(C574,I574)))</f>
        <v/>
      </c>
      <c r="AS574" s="11"/>
      <c r="AT574" s="23" t="str">
        <f aca="true">IF(C574="","",IF(AM574="Clawed Back","CLAWED",IF(TODAY()&lt;=C574+SETTINGS!$I$2,"⚠ AT RISK","SAFE")))</f>
        <v/>
      </c>
      <c r="AU574" s="11"/>
      <c r="AW574" s="24" t="n">
        <f aca="false">AW573+IF(AND(C574&lt;&gt;"",AO574&lt;&gt;"",OR('REP COMMISSION'!$B$3="",T574='REP COMMISSION'!$B$3,W574='REP COMMISSION'!$B$3,Z574='REP COMMISSION'!$B$3)),1,0)</f>
        <v>0</v>
      </c>
      <c r="AX574" s="24" t="n">
        <f aca="false">AX573+IF(AND(C574&lt;&gt;"",OR(F574="LOC - INITIAL",F574="CONSOLIDATION - UPFRONT COMM",F574="REVERSE - TOTAL FUNDING")),1,0)</f>
        <v>0</v>
      </c>
    </row>
    <row r="575" customFormat="false" ht="15" hidden="false" customHeight="false" outlineLevel="0" collapsed="false">
      <c r="A575" s="25" t="str">
        <f aca="false">IF(C575&lt;&gt;"","F"&amp;COUNT($C$4:C575),"")</f>
        <v/>
      </c>
      <c r="B575" s="26" t="str">
        <f aca="false">IF(OR(F575="LOC - INITIAL",F575="CONSOLIDATION - UPFRONT COMM",F575="REVERSE - TOTAL FUNDING"),A575,"")</f>
        <v/>
      </c>
      <c r="C575" s="27"/>
      <c r="D575" s="28"/>
      <c r="E575" s="28"/>
      <c r="F575" s="28"/>
      <c r="G575" s="29"/>
      <c r="H575" s="30"/>
      <c r="I575" s="28"/>
      <c r="J575" s="31" t="str">
        <f aca="false">IF(AND(G575&lt;&gt;"",H575&lt;&gt;""),G575*H575,"")</f>
        <v/>
      </c>
      <c r="K575" s="28"/>
      <c r="L575" s="32"/>
      <c r="M575" s="32"/>
      <c r="N575" s="31" t="n">
        <f aca="false">IF(OR(G575="",M575=""),0,IF(M575&gt;100,M575,G575*IF(M575&gt;1,M575/100,M575)))</f>
        <v>0</v>
      </c>
      <c r="O575" s="31" t="str">
        <f aca="false">IF(G575="","",G575*IF(L575="",0,IF(L575&gt;1,L575/100,L575))+N575)</f>
        <v/>
      </c>
      <c r="P575" s="28"/>
      <c r="Q575" s="33" t="str">
        <f aca="false">IF(P575="","",IFERROR(VLOOKUP(P575,PARTNERS!$A$2:$B$30,2,0),""))</f>
        <v/>
      </c>
      <c r="R575" s="17" t="str">
        <f aca="false">IF(O575="","",IF(OR(P575="",Q575=""),0,(O575-N575)*IF(Q575&gt;1,Q575/100,Q575)))</f>
        <v/>
      </c>
      <c r="S575" s="31" t="str">
        <f aca="false">IF(O575="","",O575-R575)</f>
        <v/>
      </c>
      <c r="T575" s="28"/>
      <c r="U575" s="34" t="str">
        <f aca="false">IF(T575="","",IFERROR(VLOOKUP(T575,REPS!$A$2:$D$40,2,0),""))</f>
        <v/>
      </c>
      <c r="V575" s="31" t="str">
        <f aca="false">IF(O575="","",IF(U575="",0,O575*IF(U575&gt;1,U575/100,U575)))</f>
        <v/>
      </c>
      <c r="W575" s="28"/>
      <c r="X575" s="34" t="str">
        <f aca="false">IF(W575="","",IFERROR(VLOOKUP(W575,REPS!$A$2:$D$40,3,0),""))</f>
        <v/>
      </c>
      <c r="Y575" s="31" t="str">
        <f aca="false">IF(O575="","",IF(X575="",0,O575*IF(X575&gt;1,X575/100,X575)))</f>
        <v/>
      </c>
      <c r="Z575" s="28"/>
      <c r="AA575" s="34" t="str">
        <f aca="false">IF(Z575="","",IFERROR(VLOOKUP(Z575,REPS!$A$2:$D$40,4,0),""))</f>
        <v/>
      </c>
      <c r="AB575" s="31" t="str">
        <f aca="false">IF(O575="","",IF(AA575="",0,O575*IF(AA575&gt;1,AA575/100,AA575)))</f>
        <v/>
      </c>
      <c r="AC575" s="31" t="str">
        <f aca="false">IF(O575="","",V575+Y575+AB575)</f>
        <v/>
      </c>
      <c r="AD575" s="19" t="str">
        <f aca="false">IF(O575="","",O575-R575-AC575)</f>
        <v/>
      </c>
      <c r="AE575" s="20"/>
      <c r="AF575" s="27"/>
      <c r="AG575" s="21" t="n">
        <f aca="false">IF(OR(AE575="",AE575=0),0,AE575*IF(U575="",0,IF(U575&gt;1,U575/100,U575)))</f>
        <v>0</v>
      </c>
      <c r="AH575" s="21" t="n">
        <f aca="false">IF(OR(AE575="",AE575=0),0,AE575*IF(X575="",0,IF(X575&gt;1,X575/100,X575)))</f>
        <v>0</v>
      </c>
      <c r="AI575" s="21" t="n">
        <f aca="false">IF(OR(AE575="",AE575=0),0,AE575*IF(AA575="",0,IF(AA575&gt;1,AA575/100,AA575)))</f>
        <v>0</v>
      </c>
      <c r="AJ575" s="21" t="n">
        <f aca="false">AG575+AH575+AI575</f>
        <v>0</v>
      </c>
      <c r="AK575" s="21" t="n">
        <f aca="false">IF(OR(AE575="",AE575=0),0,AE575-AJ575)</f>
        <v>0</v>
      </c>
      <c r="AL575" s="19" t="str">
        <f aca="false">IF(AD575="","",AD575-AK575)</f>
        <v/>
      </c>
      <c r="AM575" s="26" t="str">
        <f aca="false">IF(C575="","","Waiting for payment")</f>
        <v/>
      </c>
      <c r="AN575" s="27"/>
      <c r="AO575" s="27"/>
      <c r="AP575" s="35" t="str">
        <f aca="false">IF(OR(C575="",I575="",K575=""),"",IF(K575="Monthly",EDATE(C575,ROUND(I575*SETTINGS!$I$8,0)),WORKDAY(C575,ROUND(I575*SETTINGS!$I$8,0))))</f>
        <v/>
      </c>
      <c r="AQ575" s="26" t="str">
        <f aca="true">IF(C575="","",IF(AND(AP575&lt;&gt;"",TODAY()&gt;=AP575),"Refi Ready",IF(TODAY()-C575&gt;=SETTINGS!$I$11,"Prospecting","Performing")))</f>
        <v/>
      </c>
      <c r="AR575" s="35" t="str">
        <f aca="false">IF(OR(C575="",I575="",K575=""),"",IF(K575="Monthly",EDATE(C575,I575),WORKDAY(C575,I575)))</f>
        <v/>
      </c>
      <c r="AS575" s="28"/>
      <c r="AT575" s="36" t="str">
        <f aca="true">IF(C575="","",IF(AM575="Clawed Back","CLAWED",IF(TODAY()&lt;=C575+SETTINGS!$I$2,"⚠ AT RISK","SAFE")))</f>
        <v/>
      </c>
      <c r="AU575" s="28"/>
      <c r="AW575" s="24" t="n">
        <f aca="false">AW574+IF(AND(C575&lt;&gt;"",AO575&lt;&gt;"",OR('REP COMMISSION'!$B$3="",T575='REP COMMISSION'!$B$3,W575='REP COMMISSION'!$B$3,Z575='REP COMMISSION'!$B$3)),1,0)</f>
        <v>0</v>
      </c>
      <c r="AX575" s="24" t="n">
        <f aca="false">AX574+IF(AND(C575&lt;&gt;"",OR(F575="LOC - INITIAL",F575="CONSOLIDATION - UPFRONT COMM",F575="REVERSE - TOTAL FUNDING")),1,0)</f>
        <v>0</v>
      </c>
    </row>
    <row r="576" customFormat="false" ht="15" hidden="false" customHeight="false" outlineLevel="0" collapsed="false">
      <c r="A576" s="8" t="str">
        <f aca="false">IF(C576&lt;&gt;"","F"&amp;COUNT($C$4:C576),"")</f>
        <v/>
      </c>
      <c r="B576" s="9" t="str">
        <f aca="false">IF(OR(F576="LOC - INITIAL",F576="CONSOLIDATION - UPFRONT COMM",F576="REVERSE - TOTAL FUNDING"),A576,"")</f>
        <v/>
      </c>
      <c r="C576" s="10"/>
      <c r="D576" s="11"/>
      <c r="E576" s="11"/>
      <c r="F576" s="11"/>
      <c r="G576" s="12"/>
      <c r="H576" s="13"/>
      <c r="I576" s="11"/>
      <c r="J576" s="14" t="str">
        <f aca="false">IF(AND(G576&lt;&gt;"",H576&lt;&gt;""),G576*H576,"")</f>
        <v/>
      </c>
      <c r="K576" s="11"/>
      <c r="L576" s="15"/>
      <c r="M576" s="15"/>
      <c r="N576" s="14" t="n">
        <f aca="false">IF(OR(G576="",M576=""),0,IF(M576&gt;100,M576,G576*IF(M576&gt;1,M576/100,M576)))</f>
        <v>0</v>
      </c>
      <c r="O576" s="14" t="str">
        <f aca="false">IF(G576="","",G576*IF(L576="",0,IF(L576&gt;1,L576/100,L576))+N576)</f>
        <v/>
      </c>
      <c r="P576" s="11"/>
      <c r="Q576" s="16" t="str">
        <f aca="false">IF(P576="","",IFERROR(VLOOKUP(P576,PARTNERS!$A$2:$B$30,2,0),""))</f>
        <v/>
      </c>
      <c r="R576" s="17" t="str">
        <f aca="false">IF(O576="","",IF(OR(P576="",Q576=""),0,(O576-N576)*IF(Q576&gt;1,Q576/100,Q576)))</f>
        <v/>
      </c>
      <c r="S576" s="14" t="str">
        <f aca="false">IF(O576="","",O576-R576)</f>
        <v/>
      </c>
      <c r="T576" s="11"/>
      <c r="U576" s="18" t="str">
        <f aca="false">IF(T576="","",IFERROR(VLOOKUP(T576,REPS!$A$2:$D$40,2,0),""))</f>
        <v/>
      </c>
      <c r="V576" s="14" t="str">
        <f aca="false">IF(O576="","",IF(U576="",0,O576*IF(U576&gt;1,U576/100,U576)))</f>
        <v/>
      </c>
      <c r="W576" s="11"/>
      <c r="X576" s="18" t="str">
        <f aca="false">IF(W576="","",IFERROR(VLOOKUP(W576,REPS!$A$2:$D$40,3,0),""))</f>
        <v/>
      </c>
      <c r="Y576" s="14" t="str">
        <f aca="false">IF(O576="","",IF(X576="",0,O576*IF(X576&gt;1,X576/100,X576)))</f>
        <v/>
      </c>
      <c r="Z576" s="11"/>
      <c r="AA576" s="18" t="str">
        <f aca="false">IF(Z576="","",IFERROR(VLOOKUP(Z576,REPS!$A$2:$D$40,4,0),""))</f>
        <v/>
      </c>
      <c r="AB576" s="14" t="str">
        <f aca="false">IF(O576="","",IF(AA576="",0,O576*IF(AA576&gt;1,AA576/100,AA576)))</f>
        <v/>
      </c>
      <c r="AC576" s="14" t="str">
        <f aca="false">IF(O576="","",V576+Y576+AB576)</f>
        <v/>
      </c>
      <c r="AD576" s="19" t="str">
        <f aca="false">IF(O576="","",O576-R576-AC576)</f>
        <v/>
      </c>
      <c r="AE576" s="20"/>
      <c r="AF576" s="10"/>
      <c r="AG576" s="21" t="n">
        <f aca="false">IF(OR(AE576="",AE576=0),0,AE576*IF(U576="",0,IF(U576&gt;1,U576/100,U576)))</f>
        <v>0</v>
      </c>
      <c r="AH576" s="21" t="n">
        <f aca="false">IF(OR(AE576="",AE576=0),0,AE576*IF(X576="",0,IF(X576&gt;1,X576/100,X576)))</f>
        <v>0</v>
      </c>
      <c r="AI576" s="21" t="n">
        <f aca="false">IF(OR(AE576="",AE576=0),0,AE576*IF(AA576="",0,IF(AA576&gt;1,AA576/100,AA576)))</f>
        <v>0</v>
      </c>
      <c r="AJ576" s="21" t="n">
        <f aca="false">AG576+AH576+AI576</f>
        <v>0</v>
      </c>
      <c r="AK576" s="21" t="n">
        <f aca="false">IF(OR(AE576="",AE576=0),0,AE576-AJ576)</f>
        <v>0</v>
      </c>
      <c r="AL576" s="19" t="str">
        <f aca="false">IF(AD576="","",AD576-AK576)</f>
        <v/>
      </c>
      <c r="AM576" s="9" t="str">
        <f aca="false">IF(C576="","","Waiting for payment")</f>
        <v/>
      </c>
      <c r="AN576" s="10"/>
      <c r="AO576" s="10"/>
      <c r="AP576" s="22" t="str">
        <f aca="false">IF(OR(C576="",I576="",K576=""),"",IF(K576="Monthly",EDATE(C576,ROUND(I576*SETTINGS!$I$8,0)),WORKDAY(C576,ROUND(I576*SETTINGS!$I$8,0))))</f>
        <v/>
      </c>
      <c r="AQ576" s="9" t="str">
        <f aca="true">IF(C576="","",IF(AND(AP576&lt;&gt;"",TODAY()&gt;=AP576),"Refi Ready",IF(TODAY()-C576&gt;=SETTINGS!$I$11,"Prospecting","Performing")))</f>
        <v/>
      </c>
      <c r="AR576" s="22" t="str">
        <f aca="false">IF(OR(C576="",I576="",K576=""),"",IF(K576="Monthly",EDATE(C576,I576),WORKDAY(C576,I576)))</f>
        <v/>
      </c>
      <c r="AS576" s="11"/>
      <c r="AT576" s="23" t="str">
        <f aca="true">IF(C576="","",IF(AM576="Clawed Back","CLAWED",IF(TODAY()&lt;=C576+SETTINGS!$I$2,"⚠ AT RISK","SAFE")))</f>
        <v/>
      </c>
      <c r="AU576" s="11"/>
      <c r="AW576" s="24" t="n">
        <f aca="false">AW575+IF(AND(C576&lt;&gt;"",AO576&lt;&gt;"",OR('REP COMMISSION'!$B$3="",T576='REP COMMISSION'!$B$3,W576='REP COMMISSION'!$B$3,Z576='REP COMMISSION'!$B$3)),1,0)</f>
        <v>0</v>
      </c>
      <c r="AX576" s="24" t="n">
        <f aca="false">AX575+IF(AND(C576&lt;&gt;"",OR(F576="LOC - INITIAL",F576="CONSOLIDATION - UPFRONT COMM",F576="REVERSE - TOTAL FUNDING")),1,0)</f>
        <v>0</v>
      </c>
    </row>
    <row r="577" customFormat="false" ht="15" hidden="false" customHeight="false" outlineLevel="0" collapsed="false">
      <c r="A577" s="25" t="str">
        <f aca="false">IF(C577&lt;&gt;"","F"&amp;COUNT($C$4:C577),"")</f>
        <v/>
      </c>
      <c r="B577" s="26" t="str">
        <f aca="false">IF(OR(F577="LOC - INITIAL",F577="CONSOLIDATION - UPFRONT COMM",F577="REVERSE - TOTAL FUNDING"),A577,"")</f>
        <v/>
      </c>
      <c r="C577" s="27"/>
      <c r="D577" s="28"/>
      <c r="E577" s="28"/>
      <c r="F577" s="28"/>
      <c r="G577" s="29"/>
      <c r="H577" s="30"/>
      <c r="I577" s="28"/>
      <c r="J577" s="31" t="str">
        <f aca="false">IF(AND(G577&lt;&gt;"",H577&lt;&gt;""),G577*H577,"")</f>
        <v/>
      </c>
      <c r="K577" s="28"/>
      <c r="L577" s="32"/>
      <c r="M577" s="32"/>
      <c r="N577" s="31" t="n">
        <f aca="false">IF(OR(G577="",M577=""),0,IF(M577&gt;100,M577,G577*IF(M577&gt;1,M577/100,M577)))</f>
        <v>0</v>
      </c>
      <c r="O577" s="31" t="str">
        <f aca="false">IF(G577="","",G577*IF(L577="",0,IF(L577&gt;1,L577/100,L577))+N577)</f>
        <v/>
      </c>
      <c r="P577" s="28"/>
      <c r="Q577" s="33" t="str">
        <f aca="false">IF(P577="","",IFERROR(VLOOKUP(P577,PARTNERS!$A$2:$B$30,2,0),""))</f>
        <v/>
      </c>
      <c r="R577" s="17" t="str">
        <f aca="false">IF(O577="","",IF(OR(P577="",Q577=""),0,(O577-N577)*IF(Q577&gt;1,Q577/100,Q577)))</f>
        <v/>
      </c>
      <c r="S577" s="31" t="str">
        <f aca="false">IF(O577="","",O577-R577)</f>
        <v/>
      </c>
      <c r="T577" s="28"/>
      <c r="U577" s="34" t="str">
        <f aca="false">IF(T577="","",IFERROR(VLOOKUP(T577,REPS!$A$2:$D$40,2,0),""))</f>
        <v/>
      </c>
      <c r="V577" s="31" t="str">
        <f aca="false">IF(O577="","",IF(U577="",0,O577*IF(U577&gt;1,U577/100,U577)))</f>
        <v/>
      </c>
      <c r="W577" s="28"/>
      <c r="X577" s="34" t="str">
        <f aca="false">IF(W577="","",IFERROR(VLOOKUP(W577,REPS!$A$2:$D$40,3,0),""))</f>
        <v/>
      </c>
      <c r="Y577" s="31" t="str">
        <f aca="false">IF(O577="","",IF(X577="",0,O577*IF(X577&gt;1,X577/100,X577)))</f>
        <v/>
      </c>
      <c r="Z577" s="28"/>
      <c r="AA577" s="34" t="str">
        <f aca="false">IF(Z577="","",IFERROR(VLOOKUP(Z577,REPS!$A$2:$D$40,4,0),""))</f>
        <v/>
      </c>
      <c r="AB577" s="31" t="str">
        <f aca="false">IF(O577="","",IF(AA577="",0,O577*IF(AA577&gt;1,AA577/100,AA577)))</f>
        <v/>
      </c>
      <c r="AC577" s="31" t="str">
        <f aca="false">IF(O577="","",V577+Y577+AB577)</f>
        <v/>
      </c>
      <c r="AD577" s="19" t="str">
        <f aca="false">IF(O577="","",O577-R577-AC577)</f>
        <v/>
      </c>
      <c r="AE577" s="20"/>
      <c r="AF577" s="27"/>
      <c r="AG577" s="21" t="n">
        <f aca="false">IF(OR(AE577="",AE577=0),0,AE577*IF(U577="",0,IF(U577&gt;1,U577/100,U577)))</f>
        <v>0</v>
      </c>
      <c r="AH577" s="21" t="n">
        <f aca="false">IF(OR(AE577="",AE577=0),0,AE577*IF(X577="",0,IF(X577&gt;1,X577/100,X577)))</f>
        <v>0</v>
      </c>
      <c r="AI577" s="21" t="n">
        <f aca="false">IF(OR(AE577="",AE577=0),0,AE577*IF(AA577="",0,IF(AA577&gt;1,AA577/100,AA577)))</f>
        <v>0</v>
      </c>
      <c r="AJ577" s="21" t="n">
        <f aca="false">AG577+AH577+AI577</f>
        <v>0</v>
      </c>
      <c r="AK577" s="21" t="n">
        <f aca="false">IF(OR(AE577="",AE577=0),0,AE577-AJ577)</f>
        <v>0</v>
      </c>
      <c r="AL577" s="19" t="str">
        <f aca="false">IF(AD577="","",AD577-AK577)</f>
        <v/>
      </c>
      <c r="AM577" s="26" t="str">
        <f aca="false">IF(C577="","","Waiting for payment")</f>
        <v/>
      </c>
      <c r="AN577" s="27"/>
      <c r="AO577" s="27"/>
      <c r="AP577" s="35" t="str">
        <f aca="false">IF(OR(C577="",I577="",K577=""),"",IF(K577="Monthly",EDATE(C577,ROUND(I577*SETTINGS!$I$8,0)),WORKDAY(C577,ROUND(I577*SETTINGS!$I$8,0))))</f>
        <v/>
      </c>
      <c r="AQ577" s="26" t="str">
        <f aca="true">IF(C577="","",IF(AND(AP577&lt;&gt;"",TODAY()&gt;=AP577),"Refi Ready",IF(TODAY()-C577&gt;=SETTINGS!$I$11,"Prospecting","Performing")))</f>
        <v/>
      </c>
      <c r="AR577" s="35" t="str">
        <f aca="false">IF(OR(C577="",I577="",K577=""),"",IF(K577="Monthly",EDATE(C577,I577),WORKDAY(C577,I577)))</f>
        <v/>
      </c>
      <c r="AS577" s="28"/>
      <c r="AT577" s="36" t="str">
        <f aca="true">IF(C577="","",IF(AM577="Clawed Back","CLAWED",IF(TODAY()&lt;=C577+SETTINGS!$I$2,"⚠ AT RISK","SAFE")))</f>
        <v/>
      </c>
      <c r="AU577" s="28"/>
      <c r="AW577" s="24" t="n">
        <f aca="false">AW576+IF(AND(C577&lt;&gt;"",AO577&lt;&gt;"",OR('REP COMMISSION'!$B$3="",T577='REP COMMISSION'!$B$3,W577='REP COMMISSION'!$B$3,Z577='REP COMMISSION'!$B$3)),1,0)</f>
        <v>0</v>
      </c>
      <c r="AX577" s="24" t="n">
        <f aca="false">AX576+IF(AND(C577&lt;&gt;"",OR(F577="LOC - INITIAL",F577="CONSOLIDATION - UPFRONT COMM",F577="REVERSE - TOTAL FUNDING")),1,0)</f>
        <v>0</v>
      </c>
    </row>
    <row r="578" customFormat="false" ht="15" hidden="false" customHeight="false" outlineLevel="0" collapsed="false">
      <c r="A578" s="8" t="str">
        <f aca="false">IF(C578&lt;&gt;"","F"&amp;COUNT($C$4:C578),"")</f>
        <v/>
      </c>
      <c r="B578" s="9" t="str">
        <f aca="false">IF(OR(F578="LOC - INITIAL",F578="CONSOLIDATION - UPFRONT COMM",F578="REVERSE - TOTAL FUNDING"),A578,"")</f>
        <v/>
      </c>
      <c r="C578" s="10"/>
      <c r="D578" s="11"/>
      <c r="E578" s="11"/>
      <c r="F578" s="11"/>
      <c r="G578" s="12"/>
      <c r="H578" s="13"/>
      <c r="I578" s="11"/>
      <c r="J578" s="14" t="str">
        <f aca="false">IF(AND(G578&lt;&gt;"",H578&lt;&gt;""),G578*H578,"")</f>
        <v/>
      </c>
      <c r="K578" s="11"/>
      <c r="L578" s="15"/>
      <c r="M578" s="15"/>
      <c r="N578" s="14" t="n">
        <f aca="false">IF(OR(G578="",M578=""),0,IF(M578&gt;100,M578,G578*IF(M578&gt;1,M578/100,M578)))</f>
        <v>0</v>
      </c>
      <c r="O578" s="14" t="str">
        <f aca="false">IF(G578="","",G578*IF(L578="",0,IF(L578&gt;1,L578/100,L578))+N578)</f>
        <v/>
      </c>
      <c r="P578" s="11"/>
      <c r="Q578" s="16" t="str">
        <f aca="false">IF(P578="","",IFERROR(VLOOKUP(P578,PARTNERS!$A$2:$B$30,2,0),""))</f>
        <v/>
      </c>
      <c r="R578" s="17" t="str">
        <f aca="false">IF(O578="","",IF(OR(P578="",Q578=""),0,(O578-N578)*IF(Q578&gt;1,Q578/100,Q578)))</f>
        <v/>
      </c>
      <c r="S578" s="14" t="str">
        <f aca="false">IF(O578="","",O578-R578)</f>
        <v/>
      </c>
      <c r="T578" s="11"/>
      <c r="U578" s="18" t="str">
        <f aca="false">IF(T578="","",IFERROR(VLOOKUP(T578,REPS!$A$2:$D$40,2,0),""))</f>
        <v/>
      </c>
      <c r="V578" s="14" t="str">
        <f aca="false">IF(O578="","",IF(U578="",0,O578*IF(U578&gt;1,U578/100,U578)))</f>
        <v/>
      </c>
      <c r="W578" s="11"/>
      <c r="X578" s="18" t="str">
        <f aca="false">IF(W578="","",IFERROR(VLOOKUP(W578,REPS!$A$2:$D$40,3,0),""))</f>
        <v/>
      </c>
      <c r="Y578" s="14" t="str">
        <f aca="false">IF(O578="","",IF(X578="",0,O578*IF(X578&gt;1,X578/100,X578)))</f>
        <v/>
      </c>
      <c r="Z578" s="11"/>
      <c r="AA578" s="18" t="str">
        <f aca="false">IF(Z578="","",IFERROR(VLOOKUP(Z578,REPS!$A$2:$D$40,4,0),""))</f>
        <v/>
      </c>
      <c r="AB578" s="14" t="str">
        <f aca="false">IF(O578="","",IF(AA578="",0,O578*IF(AA578&gt;1,AA578/100,AA578)))</f>
        <v/>
      </c>
      <c r="AC578" s="14" t="str">
        <f aca="false">IF(O578="","",V578+Y578+AB578)</f>
        <v/>
      </c>
      <c r="AD578" s="19" t="str">
        <f aca="false">IF(O578="","",O578-R578-AC578)</f>
        <v/>
      </c>
      <c r="AE578" s="20"/>
      <c r="AF578" s="10"/>
      <c r="AG578" s="21" t="n">
        <f aca="false">IF(OR(AE578="",AE578=0),0,AE578*IF(U578="",0,IF(U578&gt;1,U578/100,U578)))</f>
        <v>0</v>
      </c>
      <c r="AH578" s="21" t="n">
        <f aca="false">IF(OR(AE578="",AE578=0),0,AE578*IF(X578="",0,IF(X578&gt;1,X578/100,X578)))</f>
        <v>0</v>
      </c>
      <c r="AI578" s="21" t="n">
        <f aca="false">IF(OR(AE578="",AE578=0),0,AE578*IF(AA578="",0,IF(AA578&gt;1,AA578/100,AA578)))</f>
        <v>0</v>
      </c>
      <c r="AJ578" s="21" t="n">
        <f aca="false">AG578+AH578+AI578</f>
        <v>0</v>
      </c>
      <c r="AK578" s="21" t="n">
        <f aca="false">IF(OR(AE578="",AE578=0),0,AE578-AJ578)</f>
        <v>0</v>
      </c>
      <c r="AL578" s="19" t="str">
        <f aca="false">IF(AD578="","",AD578-AK578)</f>
        <v/>
      </c>
      <c r="AM578" s="9" t="str">
        <f aca="false">IF(C578="","","Waiting for payment")</f>
        <v/>
      </c>
      <c r="AN578" s="10"/>
      <c r="AO578" s="10"/>
      <c r="AP578" s="22" t="str">
        <f aca="false">IF(OR(C578="",I578="",K578=""),"",IF(K578="Monthly",EDATE(C578,ROUND(I578*SETTINGS!$I$8,0)),WORKDAY(C578,ROUND(I578*SETTINGS!$I$8,0))))</f>
        <v/>
      </c>
      <c r="AQ578" s="9" t="str">
        <f aca="true">IF(C578="","",IF(AND(AP578&lt;&gt;"",TODAY()&gt;=AP578),"Refi Ready",IF(TODAY()-C578&gt;=SETTINGS!$I$11,"Prospecting","Performing")))</f>
        <v/>
      </c>
      <c r="AR578" s="22" t="str">
        <f aca="false">IF(OR(C578="",I578="",K578=""),"",IF(K578="Monthly",EDATE(C578,I578),WORKDAY(C578,I578)))</f>
        <v/>
      </c>
      <c r="AS578" s="11"/>
      <c r="AT578" s="23" t="str">
        <f aca="true">IF(C578="","",IF(AM578="Clawed Back","CLAWED",IF(TODAY()&lt;=C578+SETTINGS!$I$2,"⚠ AT RISK","SAFE")))</f>
        <v/>
      </c>
      <c r="AU578" s="11"/>
      <c r="AW578" s="24" t="n">
        <f aca="false">AW577+IF(AND(C578&lt;&gt;"",AO578&lt;&gt;"",OR('REP COMMISSION'!$B$3="",T578='REP COMMISSION'!$B$3,W578='REP COMMISSION'!$B$3,Z578='REP COMMISSION'!$B$3)),1,0)</f>
        <v>0</v>
      </c>
      <c r="AX578" s="24" t="n">
        <f aca="false">AX577+IF(AND(C578&lt;&gt;"",OR(F578="LOC - INITIAL",F578="CONSOLIDATION - UPFRONT COMM",F578="REVERSE - TOTAL FUNDING")),1,0)</f>
        <v>0</v>
      </c>
    </row>
    <row r="579" customFormat="false" ht="15" hidden="false" customHeight="false" outlineLevel="0" collapsed="false">
      <c r="A579" s="25" t="str">
        <f aca="false">IF(C579&lt;&gt;"","F"&amp;COUNT($C$4:C579),"")</f>
        <v/>
      </c>
      <c r="B579" s="26" t="str">
        <f aca="false">IF(OR(F579="LOC - INITIAL",F579="CONSOLIDATION - UPFRONT COMM",F579="REVERSE - TOTAL FUNDING"),A579,"")</f>
        <v/>
      </c>
      <c r="C579" s="27"/>
      <c r="D579" s="28"/>
      <c r="E579" s="28"/>
      <c r="F579" s="28"/>
      <c r="G579" s="29"/>
      <c r="H579" s="30"/>
      <c r="I579" s="28"/>
      <c r="J579" s="31" t="str">
        <f aca="false">IF(AND(G579&lt;&gt;"",H579&lt;&gt;""),G579*H579,"")</f>
        <v/>
      </c>
      <c r="K579" s="28"/>
      <c r="L579" s="32"/>
      <c r="M579" s="32"/>
      <c r="N579" s="31" t="n">
        <f aca="false">IF(OR(G579="",M579=""),0,IF(M579&gt;100,M579,G579*IF(M579&gt;1,M579/100,M579)))</f>
        <v>0</v>
      </c>
      <c r="O579" s="31" t="str">
        <f aca="false">IF(G579="","",G579*IF(L579="",0,IF(L579&gt;1,L579/100,L579))+N579)</f>
        <v/>
      </c>
      <c r="P579" s="28"/>
      <c r="Q579" s="33" t="str">
        <f aca="false">IF(P579="","",IFERROR(VLOOKUP(P579,PARTNERS!$A$2:$B$30,2,0),""))</f>
        <v/>
      </c>
      <c r="R579" s="17" t="str">
        <f aca="false">IF(O579="","",IF(OR(P579="",Q579=""),0,(O579-N579)*IF(Q579&gt;1,Q579/100,Q579)))</f>
        <v/>
      </c>
      <c r="S579" s="31" t="str">
        <f aca="false">IF(O579="","",O579-R579)</f>
        <v/>
      </c>
      <c r="T579" s="28"/>
      <c r="U579" s="34" t="str">
        <f aca="false">IF(T579="","",IFERROR(VLOOKUP(T579,REPS!$A$2:$D$40,2,0),""))</f>
        <v/>
      </c>
      <c r="V579" s="31" t="str">
        <f aca="false">IF(O579="","",IF(U579="",0,O579*IF(U579&gt;1,U579/100,U579)))</f>
        <v/>
      </c>
      <c r="W579" s="28"/>
      <c r="X579" s="34" t="str">
        <f aca="false">IF(W579="","",IFERROR(VLOOKUP(W579,REPS!$A$2:$D$40,3,0),""))</f>
        <v/>
      </c>
      <c r="Y579" s="31" t="str">
        <f aca="false">IF(O579="","",IF(X579="",0,O579*IF(X579&gt;1,X579/100,X579)))</f>
        <v/>
      </c>
      <c r="Z579" s="28"/>
      <c r="AA579" s="34" t="str">
        <f aca="false">IF(Z579="","",IFERROR(VLOOKUP(Z579,REPS!$A$2:$D$40,4,0),""))</f>
        <v/>
      </c>
      <c r="AB579" s="31" t="str">
        <f aca="false">IF(O579="","",IF(AA579="",0,O579*IF(AA579&gt;1,AA579/100,AA579)))</f>
        <v/>
      </c>
      <c r="AC579" s="31" t="str">
        <f aca="false">IF(O579="","",V579+Y579+AB579)</f>
        <v/>
      </c>
      <c r="AD579" s="19" t="str">
        <f aca="false">IF(O579="","",O579-R579-AC579)</f>
        <v/>
      </c>
      <c r="AE579" s="20"/>
      <c r="AF579" s="27"/>
      <c r="AG579" s="21" t="n">
        <f aca="false">IF(OR(AE579="",AE579=0),0,AE579*IF(U579="",0,IF(U579&gt;1,U579/100,U579)))</f>
        <v>0</v>
      </c>
      <c r="AH579" s="21" t="n">
        <f aca="false">IF(OR(AE579="",AE579=0),0,AE579*IF(X579="",0,IF(X579&gt;1,X579/100,X579)))</f>
        <v>0</v>
      </c>
      <c r="AI579" s="21" t="n">
        <f aca="false">IF(OR(AE579="",AE579=0),0,AE579*IF(AA579="",0,IF(AA579&gt;1,AA579/100,AA579)))</f>
        <v>0</v>
      </c>
      <c r="AJ579" s="21" t="n">
        <f aca="false">AG579+AH579+AI579</f>
        <v>0</v>
      </c>
      <c r="AK579" s="21" t="n">
        <f aca="false">IF(OR(AE579="",AE579=0),0,AE579-AJ579)</f>
        <v>0</v>
      </c>
      <c r="AL579" s="19" t="str">
        <f aca="false">IF(AD579="","",AD579-AK579)</f>
        <v/>
      </c>
      <c r="AM579" s="26" t="str">
        <f aca="false">IF(C579="","","Waiting for payment")</f>
        <v/>
      </c>
      <c r="AN579" s="27"/>
      <c r="AO579" s="27"/>
      <c r="AP579" s="35" t="str">
        <f aca="false">IF(OR(C579="",I579="",K579=""),"",IF(K579="Monthly",EDATE(C579,ROUND(I579*SETTINGS!$I$8,0)),WORKDAY(C579,ROUND(I579*SETTINGS!$I$8,0))))</f>
        <v/>
      </c>
      <c r="AQ579" s="26" t="str">
        <f aca="true">IF(C579="","",IF(AND(AP579&lt;&gt;"",TODAY()&gt;=AP579),"Refi Ready",IF(TODAY()-C579&gt;=SETTINGS!$I$11,"Prospecting","Performing")))</f>
        <v/>
      </c>
      <c r="AR579" s="35" t="str">
        <f aca="false">IF(OR(C579="",I579="",K579=""),"",IF(K579="Monthly",EDATE(C579,I579),WORKDAY(C579,I579)))</f>
        <v/>
      </c>
      <c r="AS579" s="28"/>
      <c r="AT579" s="36" t="str">
        <f aca="true">IF(C579="","",IF(AM579="Clawed Back","CLAWED",IF(TODAY()&lt;=C579+SETTINGS!$I$2,"⚠ AT RISK","SAFE")))</f>
        <v/>
      </c>
      <c r="AU579" s="28"/>
      <c r="AW579" s="24" t="n">
        <f aca="false">AW578+IF(AND(C579&lt;&gt;"",AO579&lt;&gt;"",OR('REP COMMISSION'!$B$3="",T579='REP COMMISSION'!$B$3,W579='REP COMMISSION'!$B$3,Z579='REP COMMISSION'!$B$3)),1,0)</f>
        <v>0</v>
      </c>
      <c r="AX579" s="24" t="n">
        <f aca="false">AX578+IF(AND(C579&lt;&gt;"",OR(F579="LOC - INITIAL",F579="CONSOLIDATION - UPFRONT COMM",F579="REVERSE - TOTAL FUNDING")),1,0)</f>
        <v>0</v>
      </c>
    </row>
    <row r="580" customFormat="false" ht="15" hidden="false" customHeight="false" outlineLevel="0" collapsed="false">
      <c r="A580" s="8" t="str">
        <f aca="false">IF(C580&lt;&gt;"","F"&amp;COUNT($C$4:C580),"")</f>
        <v/>
      </c>
      <c r="B580" s="9" t="str">
        <f aca="false">IF(OR(F580="LOC - INITIAL",F580="CONSOLIDATION - UPFRONT COMM",F580="REVERSE - TOTAL FUNDING"),A580,"")</f>
        <v/>
      </c>
      <c r="C580" s="10"/>
      <c r="D580" s="11"/>
      <c r="E580" s="11"/>
      <c r="F580" s="11"/>
      <c r="G580" s="12"/>
      <c r="H580" s="13"/>
      <c r="I580" s="11"/>
      <c r="J580" s="14" t="str">
        <f aca="false">IF(AND(G580&lt;&gt;"",H580&lt;&gt;""),G580*H580,"")</f>
        <v/>
      </c>
      <c r="K580" s="11"/>
      <c r="L580" s="15"/>
      <c r="M580" s="15"/>
      <c r="N580" s="14" t="n">
        <f aca="false">IF(OR(G580="",M580=""),0,IF(M580&gt;100,M580,G580*IF(M580&gt;1,M580/100,M580)))</f>
        <v>0</v>
      </c>
      <c r="O580" s="14" t="str">
        <f aca="false">IF(G580="","",G580*IF(L580="",0,IF(L580&gt;1,L580/100,L580))+N580)</f>
        <v/>
      </c>
      <c r="P580" s="11"/>
      <c r="Q580" s="16" t="str">
        <f aca="false">IF(P580="","",IFERROR(VLOOKUP(P580,PARTNERS!$A$2:$B$30,2,0),""))</f>
        <v/>
      </c>
      <c r="R580" s="17" t="str">
        <f aca="false">IF(O580="","",IF(OR(P580="",Q580=""),0,(O580-N580)*IF(Q580&gt;1,Q580/100,Q580)))</f>
        <v/>
      </c>
      <c r="S580" s="14" t="str">
        <f aca="false">IF(O580="","",O580-R580)</f>
        <v/>
      </c>
      <c r="T580" s="11"/>
      <c r="U580" s="18" t="str">
        <f aca="false">IF(T580="","",IFERROR(VLOOKUP(T580,REPS!$A$2:$D$40,2,0),""))</f>
        <v/>
      </c>
      <c r="V580" s="14" t="str">
        <f aca="false">IF(O580="","",IF(U580="",0,O580*IF(U580&gt;1,U580/100,U580)))</f>
        <v/>
      </c>
      <c r="W580" s="11"/>
      <c r="X580" s="18" t="str">
        <f aca="false">IF(W580="","",IFERROR(VLOOKUP(W580,REPS!$A$2:$D$40,3,0),""))</f>
        <v/>
      </c>
      <c r="Y580" s="14" t="str">
        <f aca="false">IF(O580="","",IF(X580="",0,O580*IF(X580&gt;1,X580/100,X580)))</f>
        <v/>
      </c>
      <c r="Z580" s="11"/>
      <c r="AA580" s="18" t="str">
        <f aca="false">IF(Z580="","",IFERROR(VLOOKUP(Z580,REPS!$A$2:$D$40,4,0),""))</f>
        <v/>
      </c>
      <c r="AB580" s="14" t="str">
        <f aca="false">IF(O580="","",IF(AA580="",0,O580*IF(AA580&gt;1,AA580/100,AA580)))</f>
        <v/>
      </c>
      <c r="AC580" s="14" t="str">
        <f aca="false">IF(O580="","",V580+Y580+AB580)</f>
        <v/>
      </c>
      <c r="AD580" s="19" t="str">
        <f aca="false">IF(O580="","",O580-R580-AC580)</f>
        <v/>
      </c>
      <c r="AE580" s="20"/>
      <c r="AF580" s="10"/>
      <c r="AG580" s="21" t="n">
        <f aca="false">IF(OR(AE580="",AE580=0),0,AE580*IF(U580="",0,IF(U580&gt;1,U580/100,U580)))</f>
        <v>0</v>
      </c>
      <c r="AH580" s="21" t="n">
        <f aca="false">IF(OR(AE580="",AE580=0),0,AE580*IF(X580="",0,IF(X580&gt;1,X580/100,X580)))</f>
        <v>0</v>
      </c>
      <c r="AI580" s="21" t="n">
        <f aca="false">IF(OR(AE580="",AE580=0),0,AE580*IF(AA580="",0,IF(AA580&gt;1,AA580/100,AA580)))</f>
        <v>0</v>
      </c>
      <c r="AJ580" s="21" t="n">
        <f aca="false">AG580+AH580+AI580</f>
        <v>0</v>
      </c>
      <c r="AK580" s="21" t="n">
        <f aca="false">IF(OR(AE580="",AE580=0),0,AE580-AJ580)</f>
        <v>0</v>
      </c>
      <c r="AL580" s="19" t="str">
        <f aca="false">IF(AD580="","",AD580-AK580)</f>
        <v/>
      </c>
      <c r="AM580" s="9" t="str">
        <f aca="false">IF(C580="","","Waiting for payment")</f>
        <v/>
      </c>
      <c r="AN580" s="10"/>
      <c r="AO580" s="10"/>
      <c r="AP580" s="22" t="str">
        <f aca="false">IF(OR(C580="",I580="",K580=""),"",IF(K580="Monthly",EDATE(C580,ROUND(I580*SETTINGS!$I$8,0)),WORKDAY(C580,ROUND(I580*SETTINGS!$I$8,0))))</f>
        <v/>
      </c>
      <c r="AQ580" s="9" t="str">
        <f aca="true">IF(C580="","",IF(AND(AP580&lt;&gt;"",TODAY()&gt;=AP580),"Refi Ready",IF(TODAY()-C580&gt;=SETTINGS!$I$11,"Prospecting","Performing")))</f>
        <v/>
      </c>
      <c r="AR580" s="22" t="str">
        <f aca="false">IF(OR(C580="",I580="",K580=""),"",IF(K580="Monthly",EDATE(C580,I580),WORKDAY(C580,I580)))</f>
        <v/>
      </c>
      <c r="AS580" s="11"/>
      <c r="AT580" s="23" t="str">
        <f aca="true">IF(C580="","",IF(AM580="Clawed Back","CLAWED",IF(TODAY()&lt;=C580+SETTINGS!$I$2,"⚠ AT RISK","SAFE")))</f>
        <v/>
      </c>
      <c r="AU580" s="11"/>
      <c r="AW580" s="24" t="n">
        <f aca="false">AW579+IF(AND(C580&lt;&gt;"",AO580&lt;&gt;"",OR('REP COMMISSION'!$B$3="",T580='REP COMMISSION'!$B$3,W580='REP COMMISSION'!$B$3,Z580='REP COMMISSION'!$B$3)),1,0)</f>
        <v>0</v>
      </c>
      <c r="AX580" s="24" t="n">
        <f aca="false">AX579+IF(AND(C580&lt;&gt;"",OR(F580="LOC - INITIAL",F580="CONSOLIDATION - UPFRONT COMM",F580="REVERSE - TOTAL FUNDING")),1,0)</f>
        <v>0</v>
      </c>
    </row>
    <row r="581" customFormat="false" ht="15" hidden="false" customHeight="false" outlineLevel="0" collapsed="false">
      <c r="A581" s="25" t="str">
        <f aca="false">IF(C581&lt;&gt;"","F"&amp;COUNT($C$4:C581),"")</f>
        <v/>
      </c>
      <c r="B581" s="26" t="str">
        <f aca="false">IF(OR(F581="LOC - INITIAL",F581="CONSOLIDATION - UPFRONT COMM",F581="REVERSE - TOTAL FUNDING"),A581,"")</f>
        <v/>
      </c>
      <c r="C581" s="27"/>
      <c r="D581" s="28"/>
      <c r="E581" s="28"/>
      <c r="F581" s="28"/>
      <c r="G581" s="29"/>
      <c r="H581" s="30"/>
      <c r="I581" s="28"/>
      <c r="J581" s="31" t="str">
        <f aca="false">IF(AND(G581&lt;&gt;"",H581&lt;&gt;""),G581*H581,"")</f>
        <v/>
      </c>
      <c r="K581" s="28"/>
      <c r="L581" s="32"/>
      <c r="M581" s="32"/>
      <c r="N581" s="31" t="n">
        <f aca="false">IF(OR(G581="",M581=""),0,IF(M581&gt;100,M581,G581*IF(M581&gt;1,M581/100,M581)))</f>
        <v>0</v>
      </c>
      <c r="O581" s="31" t="str">
        <f aca="false">IF(G581="","",G581*IF(L581="",0,IF(L581&gt;1,L581/100,L581))+N581)</f>
        <v/>
      </c>
      <c r="P581" s="28"/>
      <c r="Q581" s="33" t="str">
        <f aca="false">IF(P581="","",IFERROR(VLOOKUP(P581,PARTNERS!$A$2:$B$30,2,0),""))</f>
        <v/>
      </c>
      <c r="R581" s="17" t="str">
        <f aca="false">IF(O581="","",IF(OR(P581="",Q581=""),0,(O581-N581)*IF(Q581&gt;1,Q581/100,Q581)))</f>
        <v/>
      </c>
      <c r="S581" s="31" t="str">
        <f aca="false">IF(O581="","",O581-R581)</f>
        <v/>
      </c>
      <c r="T581" s="28"/>
      <c r="U581" s="34" t="str">
        <f aca="false">IF(T581="","",IFERROR(VLOOKUP(T581,REPS!$A$2:$D$40,2,0),""))</f>
        <v/>
      </c>
      <c r="V581" s="31" t="str">
        <f aca="false">IF(O581="","",IF(U581="",0,O581*IF(U581&gt;1,U581/100,U581)))</f>
        <v/>
      </c>
      <c r="W581" s="28"/>
      <c r="X581" s="34" t="str">
        <f aca="false">IF(W581="","",IFERROR(VLOOKUP(W581,REPS!$A$2:$D$40,3,0),""))</f>
        <v/>
      </c>
      <c r="Y581" s="31" t="str">
        <f aca="false">IF(O581="","",IF(X581="",0,O581*IF(X581&gt;1,X581/100,X581)))</f>
        <v/>
      </c>
      <c r="Z581" s="28"/>
      <c r="AA581" s="34" t="str">
        <f aca="false">IF(Z581="","",IFERROR(VLOOKUP(Z581,REPS!$A$2:$D$40,4,0),""))</f>
        <v/>
      </c>
      <c r="AB581" s="31" t="str">
        <f aca="false">IF(O581="","",IF(AA581="",0,O581*IF(AA581&gt;1,AA581/100,AA581)))</f>
        <v/>
      </c>
      <c r="AC581" s="31" t="str">
        <f aca="false">IF(O581="","",V581+Y581+AB581)</f>
        <v/>
      </c>
      <c r="AD581" s="19" t="str">
        <f aca="false">IF(O581="","",O581-R581-AC581)</f>
        <v/>
      </c>
      <c r="AE581" s="20"/>
      <c r="AF581" s="27"/>
      <c r="AG581" s="21" t="n">
        <f aca="false">IF(OR(AE581="",AE581=0),0,AE581*IF(U581="",0,IF(U581&gt;1,U581/100,U581)))</f>
        <v>0</v>
      </c>
      <c r="AH581" s="21" t="n">
        <f aca="false">IF(OR(AE581="",AE581=0),0,AE581*IF(X581="",0,IF(X581&gt;1,X581/100,X581)))</f>
        <v>0</v>
      </c>
      <c r="AI581" s="21" t="n">
        <f aca="false">IF(OR(AE581="",AE581=0),0,AE581*IF(AA581="",0,IF(AA581&gt;1,AA581/100,AA581)))</f>
        <v>0</v>
      </c>
      <c r="AJ581" s="21" t="n">
        <f aca="false">AG581+AH581+AI581</f>
        <v>0</v>
      </c>
      <c r="AK581" s="21" t="n">
        <f aca="false">IF(OR(AE581="",AE581=0),0,AE581-AJ581)</f>
        <v>0</v>
      </c>
      <c r="AL581" s="19" t="str">
        <f aca="false">IF(AD581="","",AD581-AK581)</f>
        <v/>
      </c>
      <c r="AM581" s="26" t="str">
        <f aca="false">IF(C581="","","Waiting for payment")</f>
        <v/>
      </c>
      <c r="AN581" s="27"/>
      <c r="AO581" s="27"/>
      <c r="AP581" s="35" t="str">
        <f aca="false">IF(OR(C581="",I581="",K581=""),"",IF(K581="Monthly",EDATE(C581,ROUND(I581*SETTINGS!$I$8,0)),WORKDAY(C581,ROUND(I581*SETTINGS!$I$8,0))))</f>
        <v/>
      </c>
      <c r="AQ581" s="26" t="str">
        <f aca="true">IF(C581="","",IF(AND(AP581&lt;&gt;"",TODAY()&gt;=AP581),"Refi Ready",IF(TODAY()-C581&gt;=SETTINGS!$I$11,"Prospecting","Performing")))</f>
        <v/>
      </c>
      <c r="AR581" s="35" t="str">
        <f aca="false">IF(OR(C581="",I581="",K581=""),"",IF(K581="Monthly",EDATE(C581,I581),WORKDAY(C581,I581)))</f>
        <v/>
      </c>
      <c r="AS581" s="28"/>
      <c r="AT581" s="36" t="str">
        <f aca="true">IF(C581="","",IF(AM581="Clawed Back","CLAWED",IF(TODAY()&lt;=C581+SETTINGS!$I$2,"⚠ AT RISK","SAFE")))</f>
        <v/>
      </c>
      <c r="AU581" s="28"/>
      <c r="AW581" s="24" t="n">
        <f aca="false">AW580+IF(AND(C581&lt;&gt;"",AO581&lt;&gt;"",OR('REP COMMISSION'!$B$3="",T581='REP COMMISSION'!$B$3,W581='REP COMMISSION'!$B$3,Z581='REP COMMISSION'!$B$3)),1,0)</f>
        <v>0</v>
      </c>
      <c r="AX581" s="24" t="n">
        <f aca="false">AX580+IF(AND(C581&lt;&gt;"",OR(F581="LOC - INITIAL",F581="CONSOLIDATION - UPFRONT COMM",F581="REVERSE - TOTAL FUNDING")),1,0)</f>
        <v>0</v>
      </c>
    </row>
    <row r="582" customFormat="false" ht="15" hidden="false" customHeight="false" outlineLevel="0" collapsed="false">
      <c r="A582" s="8" t="str">
        <f aca="false">IF(C582&lt;&gt;"","F"&amp;COUNT($C$4:C582),"")</f>
        <v/>
      </c>
      <c r="B582" s="9" t="str">
        <f aca="false">IF(OR(F582="LOC - INITIAL",F582="CONSOLIDATION - UPFRONT COMM",F582="REVERSE - TOTAL FUNDING"),A582,"")</f>
        <v/>
      </c>
      <c r="C582" s="10"/>
      <c r="D582" s="11"/>
      <c r="E582" s="11"/>
      <c r="F582" s="11"/>
      <c r="G582" s="12"/>
      <c r="H582" s="13"/>
      <c r="I582" s="11"/>
      <c r="J582" s="14" t="str">
        <f aca="false">IF(AND(G582&lt;&gt;"",H582&lt;&gt;""),G582*H582,"")</f>
        <v/>
      </c>
      <c r="K582" s="11"/>
      <c r="L582" s="15"/>
      <c r="M582" s="15"/>
      <c r="N582" s="14" t="n">
        <f aca="false">IF(OR(G582="",M582=""),0,IF(M582&gt;100,M582,G582*IF(M582&gt;1,M582/100,M582)))</f>
        <v>0</v>
      </c>
      <c r="O582" s="14" t="str">
        <f aca="false">IF(G582="","",G582*IF(L582="",0,IF(L582&gt;1,L582/100,L582))+N582)</f>
        <v/>
      </c>
      <c r="P582" s="11"/>
      <c r="Q582" s="16" t="str">
        <f aca="false">IF(P582="","",IFERROR(VLOOKUP(P582,PARTNERS!$A$2:$B$30,2,0),""))</f>
        <v/>
      </c>
      <c r="R582" s="17" t="str">
        <f aca="false">IF(O582="","",IF(OR(P582="",Q582=""),0,(O582-N582)*IF(Q582&gt;1,Q582/100,Q582)))</f>
        <v/>
      </c>
      <c r="S582" s="14" t="str">
        <f aca="false">IF(O582="","",O582-R582)</f>
        <v/>
      </c>
      <c r="T582" s="11"/>
      <c r="U582" s="18" t="str">
        <f aca="false">IF(T582="","",IFERROR(VLOOKUP(T582,REPS!$A$2:$D$40,2,0),""))</f>
        <v/>
      </c>
      <c r="V582" s="14" t="str">
        <f aca="false">IF(O582="","",IF(U582="",0,O582*IF(U582&gt;1,U582/100,U582)))</f>
        <v/>
      </c>
      <c r="W582" s="11"/>
      <c r="X582" s="18" t="str">
        <f aca="false">IF(W582="","",IFERROR(VLOOKUP(W582,REPS!$A$2:$D$40,3,0),""))</f>
        <v/>
      </c>
      <c r="Y582" s="14" t="str">
        <f aca="false">IF(O582="","",IF(X582="",0,O582*IF(X582&gt;1,X582/100,X582)))</f>
        <v/>
      </c>
      <c r="Z582" s="11"/>
      <c r="AA582" s="18" t="str">
        <f aca="false">IF(Z582="","",IFERROR(VLOOKUP(Z582,REPS!$A$2:$D$40,4,0),""))</f>
        <v/>
      </c>
      <c r="AB582" s="14" t="str">
        <f aca="false">IF(O582="","",IF(AA582="",0,O582*IF(AA582&gt;1,AA582/100,AA582)))</f>
        <v/>
      </c>
      <c r="AC582" s="14" t="str">
        <f aca="false">IF(O582="","",V582+Y582+AB582)</f>
        <v/>
      </c>
      <c r="AD582" s="19" t="str">
        <f aca="false">IF(O582="","",O582-R582-AC582)</f>
        <v/>
      </c>
      <c r="AE582" s="20"/>
      <c r="AF582" s="10"/>
      <c r="AG582" s="21" t="n">
        <f aca="false">IF(OR(AE582="",AE582=0),0,AE582*IF(U582="",0,IF(U582&gt;1,U582/100,U582)))</f>
        <v>0</v>
      </c>
      <c r="AH582" s="21" t="n">
        <f aca="false">IF(OR(AE582="",AE582=0),0,AE582*IF(X582="",0,IF(X582&gt;1,X582/100,X582)))</f>
        <v>0</v>
      </c>
      <c r="AI582" s="21" t="n">
        <f aca="false">IF(OR(AE582="",AE582=0),0,AE582*IF(AA582="",0,IF(AA582&gt;1,AA582/100,AA582)))</f>
        <v>0</v>
      </c>
      <c r="AJ582" s="21" t="n">
        <f aca="false">AG582+AH582+AI582</f>
        <v>0</v>
      </c>
      <c r="AK582" s="21" t="n">
        <f aca="false">IF(OR(AE582="",AE582=0),0,AE582-AJ582)</f>
        <v>0</v>
      </c>
      <c r="AL582" s="19" t="str">
        <f aca="false">IF(AD582="","",AD582-AK582)</f>
        <v/>
      </c>
      <c r="AM582" s="9" t="str">
        <f aca="false">IF(C582="","","Waiting for payment")</f>
        <v/>
      </c>
      <c r="AN582" s="10"/>
      <c r="AO582" s="10"/>
      <c r="AP582" s="22" t="str">
        <f aca="false">IF(OR(C582="",I582="",K582=""),"",IF(K582="Monthly",EDATE(C582,ROUND(I582*SETTINGS!$I$8,0)),WORKDAY(C582,ROUND(I582*SETTINGS!$I$8,0))))</f>
        <v/>
      </c>
      <c r="AQ582" s="9" t="str">
        <f aca="true">IF(C582="","",IF(AND(AP582&lt;&gt;"",TODAY()&gt;=AP582),"Refi Ready",IF(TODAY()-C582&gt;=SETTINGS!$I$11,"Prospecting","Performing")))</f>
        <v/>
      </c>
      <c r="AR582" s="22" t="str">
        <f aca="false">IF(OR(C582="",I582="",K582=""),"",IF(K582="Monthly",EDATE(C582,I582),WORKDAY(C582,I582)))</f>
        <v/>
      </c>
      <c r="AS582" s="11"/>
      <c r="AT582" s="23" t="str">
        <f aca="true">IF(C582="","",IF(AM582="Clawed Back","CLAWED",IF(TODAY()&lt;=C582+SETTINGS!$I$2,"⚠ AT RISK","SAFE")))</f>
        <v/>
      </c>
      <c r="AU582" s="11"/>
      <c r="AW582" s="24" t="n">
        <f aca="false">AW581+IF(AND(C582&lt;&gt;"",AO582&lt;&gt;"",OR('REP COMMISSION'!$B$3="",T582='REP COMMISSION'!$B$3,W582='REP COMMISSION'!$B$3,Z582='REP COMMISSION'!$B$3)),1,0)</f>
        <v>0</v>
      </c>
      <c r="AX582" s="24" t="n">
        <f aca="false">AX581+IF(AND(C582&lt;&gt;"",OR(F582="LOC - INITIAL",F582="CONSOLIDATION - UPFRONT COMM",F582="REVERSE - TOTAL FUNDING")),1,0)</f>
        <v>0</v>
      </c>
    </row>
    <row r="583" customFormat="false" ht="15" hidden="false" customHeight="false" outlineLevel="0" collapsed="false">
      <c r="A583" s="25" t="str">
        <f aca="false">IF(C583&lt;&gt;"","F"&amp;COUNT($C$4:C583),"")</f>
        <v/>
      </c>
      <c r="B583" s="26" t="str">
        <f aca="false">IF(OR(F583="LOC - INITIAL",F583="CONSOLIDATION - UPFRONT COMM",F583="REVERSE - TOTAL FUNDING"),A583,"")</f>
        <v/>
      </c>
      <c r="C583" s="27"/>
      <c r="D583" s="28"/>
      <c r="E583" s="28"/>
      <c r="F583" s="28"/>
      <c r="G583" s="29"/>
      <c r="H583" s="30"/>
      <c r="I583" s="28"/>
      <c r="J583" s="31" t="str">
        <f aca="false">IF(AND(G583&lt;&gt;"",H583&lt;&gt;""),G583*H583,"")</f>
        <v/>
      </c>
      <c r="K583" s="28"/>
      <c r="L583" s="32"/>
      <c r="M583" s="32"/>
      <c r="N583" s="31" t="n">
        <f aca="false">IF(OR(G583="",M583=""),0,IF(M583&gt;100,M583,G583*IF(M583&gt;1,M583/100,M583)))</f>
        <v>0</v>
      </c>
      <c r="O583" s="31" t="str">
        <f aca="false">IF(G583="","",G583*IF(L583="",0,IF(L583&gt;1,L583/100,L583))+N583)</f>
        <v/>
      </c>
      <c r="P583" s="28"/>
      <c r="Q583" s="33" t="str">
        <f aca="false">IF(P583="","",IFERROR(VLOOKUP(P583,PARTNERS!$A$2:$B$30,2,0),""))</f>
        <v/>
      </c>
      <c r="R583" s="17" t="str">
        <f aca="false">IF(O583="","",IF(OR(P583="",Q583=""),0,(O583-N583)*IF(Q583&gt;1,Q583/100,Q583)))</f>
        <v/>
      </c>
      <c r="S583" s="31" t="str">
        <f aca="false">IF(O583="","",O583-R583)</f>
        <v/>
      </c>
      <c r="T583" s="28"/>
      <c r="U583" s="34" t="str">
        <f aca="false">IF(T583="","",IFERROR(VLOOKUP(T583,REPS!$A$2:$D$40,2,0),""))</f>
        <v/>
      </c>
      <c r="V583" s="31" t="str">
        <f aca="false">IF(O583="","",IF(U583="",0,O583*IF(U583&gt;1,U583/100,U583)))</f>
        <v/>
      </c>
      <c r="W583" s="28"/>
      <c r="X583" s="34" t="str">
        <f aca="false">IF(W583="","",IFERROR(VLOOKUP(W583,REPS!$A$2:$D$40,3,0),""))</f>
        <v/>
      </c>
      <c r="Y583" s="31" t="str">
        <f aca="false">IF(O583="","",IF(X583="",0,O583*IF(X583&gt;1,X583/100,X583)))</f>
        <v/>
      </c>
      <c r="Z583" s="28"/>
      <c r="AA583" s="34" t="str">
        <f aca="false">IF(Z583="","",IFERROR(VLOOKUP(Z583,REPS!$A$2:$D$40,4,0),""))</f>
        <v/>
      </c>
      <c r="AB583" s="31" t="str">
        <f aca="false">IF(O583="","",IF(AA583="",0,O583*IF(AA583&gt;1,AA583/100,AA583)))</f>
        <v/>
      </c>
      <c r="AC583" s="31" t="str">
        <f aca="false">IF(O583="","",V583+Y583+AB583)</f>
        <v/>
      </c>
      <c r="AD583" s="19" t="str">
        <f aca="false">IF(O583="","",O583-R583-AC583)</f>
        <v/>
      </c>
      <c r="AE583" s="20"/>
      <c r="AF583" s="27"/>
      <c r="AG583" s="21" t="n">
        <f aca="false">IF(OR(AE583="",AE583=0),0,AE583*IF(U583="",0,IF(U583&gt;1,U583/100,U583)))</f>
        <v>0</v>
      </c>
      <c r="AH583" s="21" t="n">
        <f aca="false">IF(OR(AE583="",AE583=0),0,AE583*IF(X583="",0,IF(X583&gt;1,X583/100,X583)))</f>
        <v>0</v>
      </c>
      <c r="AI583" s="21" t="n">
        <f aca="false">IF(OR(AE583="",AE583=0),0,AE583*IF(AA583="",0,IF(AA583&gt;1,AA583/100,AA583)))</f>
        <v>0</v>
      </c>
      <c r="AJ583" s="21" t="n">
        <f aca="false">AG583+AH583+AI583</f>
        <v>0</v>
      </c>
      <c r="AK583" s="21" t="n">
        <f aca="false">IF(OR(AE583="",AE583=0),0,AE583-AJ583)</f>
        <v>0</v>
      </c>
      <c r="AL583" s="19" t="str">
        <f aca="false">IF(AD583="","",AD583-AK583)</f>
        <v/>
      </c>
      <c r="AM583" s="26" t="str">
        <f aca="false">IF(C583="","","Waiting for payment")</f>
        <v/>
      </c>
      <c r="AN583" s="27"/>
      <c r="AO583" s="27"/>
      <c r="AP583" s="35" t="str">
        <f aca="false">IF(OR(C583="",I583="",K583=""),"",IF(K583="Monthly",EDATE(C583,ROUND(I583*SETTINGS!$I$8,0)),WORKDAY(C583,ROUND(I583*SETTINGS!$I$8,0))))</f>
        <v/>
      </c>
      <c r="AQ583" s="26" t="str">
        <f aca="true">IF(C583="","",IF(AND(AP583&lt;&gt;"",TODAY()&gt;=AP583),"Refi Ready",IF(TODAY()-C583&gt;=SETTINGS!$I$11,"Prospecting","Performing")))</f>
        <v/>
      </c>
      <c r="AR583" s="35" t="str">
        <f aca="false">IF(OR(C583="",I583="",K583=""),"",IF(K583="Monthly",EDATE(C583,I583),WORKDAY(C583,I583)))</f>
        <v/>
      </c>
      <c r="AS583" s="28"/>
      <c r="AT583" s="36" t="str">
        <f aca="true">IF(C583="","",IF(AM583="Clawed Back","CLAWED",IF(TODAY()&lt;=C583+SETTINGS!$I$2,"⚠ AT RISK","SAFE")))</f>
        <v/>
      </c>
      <c r="AU583" s="28"/>
      <c r="AW583" s="24" t="n">
        <f aca="false">AW582+IF(AND(C583&lt;&gt;"",AO583&lt;&gt;"",OR('REP COMMISSION'!$B$3="",T583='REP COMMISSION'!$B$3,W583='REP COMMISSION'!$B$3,Z583='REP COMMISSION'!$B$3)),1,0)</f>
        <v>0</v>
      </c>
      <c r="AX583" s="24" t="n">
        <f aca="false">AX582+IF(AND(C583&lt;&gt;"",OR(F583="LOC - INITIAL",F583="CONSOLIDATION - UPFRONT COMM",F583="REVERSE - TOTAL FUNDING")),1,0)</f>
        <v>0</v>
      </c>
    </row>
    <row r="584" customFormat="false" ht="15" hidden="false" customHeight="false" outlineLevel="0" collapsed="false">
      <c r="A584" s="8" t="str">
        <f aca="false">IF(C584&lt;&gt;"","F"&amp;COUNT($C$4:C584),"")</f>
        <v/>
      </c>
      <c r="B584" s="9" t="str">
        <f aca="false">IF(OR(F584="LOC - INITIAL",F584="CONSOLIDATION - UPFRONT COMM",F584="REVERSE - TOTAL FUNDING"),A584,"")</f>
        <v/>
      </c>
      <c r="C584" s="10"/>
      <c r="D584" s="11"/>
      <c r="E584" s="11"/>
      <c r="F584" s="11"/>
      <c r="G584" s="12"/>
      <c r="H584" s="13"/>
      <c r="I584" s="11"/>
      <c r="J584" s="14" t="str">
        <f aca="false">IF(AND(G584&lt;&gt;"",H584&lt;&gt;""),G584*H584,"")</f>
        <v/>
      </c>
      <c r="K584" s="11"/>
      <c r="L584" s="15"/>
      <c r="M584" s="15"/>
      <c r="N584" s="14" t="n">
        <f aca="false">IF(OR(G584="",M584=""),0,IF(M584&gt;100,M584,G584*IF(M584&gt;1,M584/100,M584)))</f>
        <v>0</v>
      </c>
      <c r="O584" s="14" t="str">
        <f aca="false">IF(G584="","",G584*IF(L584="",0,IF(L584&gt;1,L584/100,L584))+N584)</f>
        <v/>
      </c>
      <c r="P584" s="11"/>
      <c r="Q584" s="16" t="str">
        <f aca="false">IF(P584="","",IFERROR(VLOOKUP(P584,PARTNERS!$A$2:$B$30,2,0),""))</f>
        <v/>
      </c>
      <c r="R584" s="17" t="str">
        <f aca="false">IF(O584="","",IF(OR(P584="",Q584=""),0,(O584-N584)*IF(Q584&gt;1,Q584/100,Q584)))</f>
        <v/>
      </c>
      <c r="S584" s="14" t="str">
        <f aca="false">IF(O584="","",O584-R584)</f>
        <v/>
      </c>
      <c r="T584" s="11"/>
      <c r="U584" s="18" t="str">
        <f aca="false">IF(T584="","",IFERROR(VLOOKUP(T584,REPS!$A$2:$D$40,2,0),""))</f>
        <v/>
      </c>
      <c r="V584" s="14" t="str">
        <f aca="false">IF(O584="","",IF(U584="",0,O584*IF(U584&gt;1,U584/100,U584)))</f>
        <v/>
      </c>
      <c r="W584" s="11"/>
      <c r="X584" s="18" t="str">
        <f aca="false">IF(W584="","",IFERROR(VLOOKUP(W584,REPS!$A$2:$D$40,3,0),""))</f>
        <v/>
      </c>
      <c r="Y584" s="14" t="str">
        <f aca="false">IF(O584="","",IF(X584="",0,O584*IF(X584&gt;1,X584/100,X584)))</f>
        <v/>
      </c>
      <c r="Z584" s="11"/>
      <c r="AA584" s="18" t="str">
        <f aca="false">IF(Z584="","",IFERROR(VLOOKUP(Z584,REPS!$A$2:$D$40,4,0),""))</f>
        <v/>
      </c>
      <c r="AB584" s="14" t="str">
        <f aca="false">IF(O584="","",IF(AA584="",0,O584*IF(AA584&gt;1,AA584/100,AA584)))</f>
        <v/>
      </c>
      <c r="AC584" s="14" t="str">
        <f aca="false">IF(O584="","",V584+Y584+AB584)</f>
        <v/>
      </c>
      <c r="AD584" s="19" t="str">
        <f aca="false">IF(O584="","",O584-R584-AC584)</f>
        <v/>
      </c>
      <c r="AE584" s="20"/>
      <c r="AF584" s="10"/>
      <c r="AG584" s="21" t="n">
        <f aca="false">IF(OR(AE584="",AE584=0),0,AE584*IF(U584="",0,IF(U584&gt;1,U584/100,U584)))</f>
        <v>0</v>
      </c>
      <c r="AH584" s="21" t="n">
        <f aca="false">IF(OR(AE584="",AE584=0),0,AE584*IF(X584="",0,IF(X584&gt;1,X584/100,X584)))</f>
        <v>0</v>
      </c>
      <c r="AI584" s="21" t="n">
        <f aca="false">IF(OR(AE584="",AE584=0),0,AE584*IF(AA584="",0,IF(AA584&gt;1,AA584/100,AA584)))</f>
        <v>0</v>
      </c>
      <c r="AJ584" s="21" t="n">
        <f aca="false">AG584+AH584+AI584</f>
        <v>0</v>
      </c>
      <c r="AK584" s="21" t="n">
        <f aca="false">IF(OR(AE584="",AE584=0),0,AE584-AJ584)</f>
        <v>0</v>
      </c>
      <c r="AL584" s="19" t="str">
        <f aca="false">IF(AD584="","",AD584-AK584)</f>
        <v/>
      </c>
      <c r="AM584" s="9" t="str">
        <f aca="false">IF(C584="","","Waiting for payment")</f>
        <v/>
      </c>
      <c r="AN584" s="10"/>
      <c r="AO584" s="10"/>
      <c r="AP584" s="22" t="str">
        <f aca="false">IF(OR(C584="",I584="",K584=""),"",IF(K584="Monthly",EDATE(C584,ROUND(I584*SETTINGS!$I$8,0)),WORKDAY(C584,ROUND(I584*SETTINGS!$I$8,0))))</f>
        <v/>
      </c>
      <c r="AQ584" s="9" t="str">
        <f aca="true">IF(C584="","",IF(AND(AP584&lt;&gt;"",TODAY()&gt;=AP584),"Refi Ready",IF(TODAY()-C584&gt;=SETTINGS!$I$11,"Prospecting","Performing")))</f>
        <v/>
      </c>
      <c r="AR584" s="22" t="str">
        <f aca="false">IF(OR(C584="",I584="",K584=""),"",IF(K584="Monthly",EDATE(C584,I584),WORKDAY(C584,I584)))</f>
        <v/>
      </c>
      <c r="AS584" s="11"/>
      <c r="AT584" s="23" t="str">
        <f aca="true">IF(C584="","",IF(AM584="Clawed Back","CLAWED",IF(TODAY()&lt;=C584+SETTINGS!$I$2,"⚠ AT RISK","SAFE")))</f>
        <v/>
      </c>
      <c r="AU584" s="11"/>
      <c r="AW584" s="24" t="n">
        <f aca="false">AW583+IF(AND(C584&lt;&gt;"",AO584&lt;&gt;"",OR('REP COMMISSION'!$B$3="",T584='REP COMMISSION'!$B$3,W584='REP COMMISSION'!$B$3,Z584='REP COMMISSION'!$B$3)),1,0)</f>
        <v>0</v>
      </c>
      <c r="AX584" s="24" t="n">
        <f aca="false">AX583+IF(AND(C584&lt;&gt;"",OR(F584="LOC - INITIAL",F584="CONSOLIDATION - UPFRONT COMM",F584="REVERSE - TOTAL FUNDING")),1,0)</f>
        <v>0</v>
      </c>
    </row>
    <row r="585" customFormat="false" ht="15" hidden="false" customHeight="false" outlineLevel="0" collapsed="false">
      <c r="A585" s="25" t="str">
        <f aca="false">IF(C585&lt;&gt;"","F"&amp;COUNT($C$4:C585),"")</f>
        <v/>
      </c>
      <c r="B585" s="26" t="str">
        <f aca="false">IF(OR(F585="LOC - INITIAL",F585="CONSOLIDATION - UPFRONT COMM",F585="REVERSE - TOTAL FUNDING"),A585,"")</f>
        <v/>
      </c>
      <c r="C585" s="27"/>
      <c r="D585" s="28"/>
      <c r="E585" s="28"/>
      <c r="F585" s="28"/>
      <c r="G585" s="29"/>
      <c r="H585" s="30"/>
      <c r="I585" s="28"/>
      <c r="J585" s="31" t="str">
        <f aca="false">IF(AND(G585&lt;&gt;"",H585&lt;&gt;""),G585*H585,"")</f>
        <v/>
      </c>
      <c r="K585" s="28"/>
      <c r="L585" s="32"/>
      <c r="M585" s="32"/>
      <c r="N585" s="31" t="n">
        <f aca="false">IF(OR(G585="",M585=""),0,IF(M585&gt;100,M585,G585*IF(M585&gt;1,M585/100,M585)))</f>
        <v>0</v>
      </c>
      <c r="O585" s="31" t="str">
        <f aca="false">IF(G585="","",G585*IF(L585="",0,IF(L585&gt;1,L585/100,L585))+N585)</f>
        <v/>
      </c>
      <c r="P585" s="28"/>
      <c r="Q585" s="33" t="str">
        <f aca="false">IF(P585="","",IFERROR(VLOOKUP(P585,PARTNERS!$A$2:$B$30,2,0),""))</f>
        <v/>
      </c>
      <c r="R585" s="17" t="str">
        <f aca="false">IF(O585="","",IF(OR(P585="",Q585=""),0,(O585-N585)*IF(Q585&gt;1,Q585/100,Q585)))</f>
        <v/>
      </c>
      <c r="S585" s="31" t="str">
        <f aca="false">IF(O585="","",O585-R585)</f>
        <v/>
      </c>
      <c r="T585" s="28"/>
      <c r="U585" s="34" t="str">
        <f aca="false">IF(T585="","",IFERROR(VLOOKUP(T585,REPS!$A$2:$D$40,2,0),""))</f>
        <v/>
      </c>
      <c r="V585" s="31" t="str">
        <f aca="false">IF(O585="","",IF(U585="",0,O585*IF(U585&gt;1,U585/100,U585)))</f>
        <v/>
      </c>
      <c r="W585" s="28"/>
      <c r="X585" s="34" t="str">
        <f aca="false">IF(W585="","",IFERROR(VLOOKUP(W585,REPS!$A$2:$D$40,3,0),""))</f>
        <v/>
      </c>
      <c r="Y585" s="31" t="str">
        <f aca="false">IF(O585="","",IF(X585="",0,O585*IF(X585&gt;1,X585/100,X585)))</f>
        <v/>
      </c>
      <c r="Z585" s="28"/>
      <c r="AA585" s="34" t="str">
        <f aca="false">IF(Z585="","",IFERROR(VLOOKUP(Z585,REPS!$A$2:$D$40,4,0),""))</f>
        <v/>
      </c>
      <c r="AB585" s="31" t="str">
        <f aca="false">IF(O585="","",IF(AA585="",0,O585*IF(AA585&gt;1,AA585/100,AA585)))</f>
        <v/>
      </c>
      <c r="AC585" s="31" t="str">
        <f aca="false">IF(O585="","",V585+Y585+AB585)</f>
        <v/>
      </c>
      <c r="AD585" s="19" t="str">
        <f aca="false">IF(O585="","",O585-R585-AC585)</f>
        <v/>
      </c>
      <c r="AE585" s="20"/>
      <c r="AF585" s="27"/>
      <c r="AG585" s="21" t="n">
        <f aca="false">IF(OR(AE585="",AE585=0),0,AE585*IF(U585="",0,IF(U585&gt;1,U585/100,U585)))</f>
        <v>0</v>
      </c>
      <c r="AH585" s="21" t="n">
        <f aca="false">IF(OR(AE585="",AE585=0),0,AE585*IF(X585="",0,IF(X585&gt;1,X585/100,X585)))</f>
        <v>0</v>
      </c>
      <c r="AI585" s="21" t="n">
        <f aca="false">IF(OR(AE585="",AE585=0),0,AE585*IF(AA585="",0,IF(AA585&gt;1,AA585/100,AA585)))</f>
        <v>0</v>
      </c>
      <c r="AJ585" s="21" t="n">
        <f aca="false">AG585+AH585+AI585</f>
        <v>0</v>
      </c>
      <c r="AK585" s="21" t="n">
        <f aca="false">IF(OR(AE585="",AE585=0),0,AE585-AJ585)</f>
        <v>0</v>
      </c>
      <c r="AL585" s="19" t="str">
        <f aca="false">IF(AD585="","",AD585-AK585)</f>
        <v/>
      </c>
      <c r="AM585" s="26" t="str">
        <f aca="false">IF(C585="","","Waiting for payment")</f>
        <v/>
      </c>
      <c r="AN585" s="27"/>
      <c r="AO585" s="27"/>
      <c r="AP585" s="35" t="str">
        <f aca="false">IF(OR(C585="",I585="",K585=""),"",IF(K585="Monthly",EDATE(C585,ROUND(I585*SETTINGS!$I$8,0)),WORKDAY(C585,ROUND(I585*SETTINGS!$I$8,0))))</f>
        <v/>
      </c>
      <c r="AQ585" s="26" t="str">
        <f aca="true">IF(C585="","",IF(AND(AP585&lt;&gt;"",TODAY()&gt;=AP585),"Refi Ready",IF(TODAY()-C585&gt;=SETTINGS!$I$11,"Prospecting","Performing")))</f>
        <v/>
      </c>
      <c r="AR585" s="35" t="str">
        <f aca="false">IF(OR(C585="",I585="",K585=""),"",IF(K585="Monthly",EDATE(C585,I585),WORKDAY(C585,I585)))</f>
        <v/>
      </c>
      <c r="AS585" s="28"/>
      <c r="AT585" s="36" t="str">
        <f aca="true">IF(C585="","",IF(AM585="Clawed Back","CLAWED",IF(TODAY()&lt;=C585+SETTINGS!$I$2,"⚠ AT RISK","SAFE")))</f>
        <v/>
      </c>
      <c r="AU585" s="28"/>
      <c r="AW585" s="24" t="n">
        <f aca="false">AW584+IF(AND(C585&lt;&gt;"",AO585&lt;&gt;"",OR('REP COMMISSION'!$B$3="",T585='REP COMMISSION'!$B$3,W585='REP COMMISSION'!$B$3,Z585='REP COMMISSION'!$B$3)),1,0)</f>
        <v>0</v>
      </c>
      <c r="AX585" s="24" t="n">
        <f aca="false">AX584+IF(AND(C585&lt;&gt;"",OR(F585="LOC - INITIAL",F585="CONSOLIDATION - UPFRONT COMM",F585="REVERSE - TOTAL FUNDING")),1,0)</f>
        <v>0</v>
      </c>
    </row>
    <row r="586" customFormat="false" ht="15" hidden="false" customHeight="false" outlineLevel="0" collapsed="false">
      <c r="A586" s="8" t="str">
        <f aca="false">IF(C586&lt;&gt;"","F"&amp;COUNT($C$4:C586),"")</f>
        <v/>
      </c>
      <c r="B586" s="9" t="str">
        <f aca="false">IF(OR(F586="LOC - INITIAL",F586="CONSOLIDATION - UPFRONT COMM",F586="REVERSE - TOTAL FUNDING"),A586,"")</f>
        <v/>
      </c>
      <c r="C586" s="10"/>
      <c r="D586" s="11"/>
      <c r="E586" s="11"/>
      <c r="F586" s="11"/>
      <c r="G586" s="12"/>
      <c r="H586" s="13"/>
      <c r="I586" s="11"/>
      <c r="J586" s="14" t="str">
        <f aca="false">IF(AND(G586&lt;&gt;"",H586&lt;&gt;""),G586*H586,"")</f>
        <v/>
      </c>
      <c r="K586" s="11"/>
      <c r="L586" s="15"/>
      <c r="M586" s="15"/>
      <c r="N586" s="14" t="n">
        <f aca="false">IF(OR(G586="",M586=""),0,IF(M586&gt;100,M586,G586*IF(M586&gt;1,M586/100,M586)))</f>
        <v>0</v>
      </c>
      <c r="O586" s="14" t="str">
        <f aca="false">IF(G586="","",G586*IF(L586="",0,IF(L586&gt;1,L586/100,L586))+N586)</f>
        <v/>
      </c>
      <c r="P586" s="11"/>
      <c r="Q586" s="16" t="str">
        <f aca="false">IF(P586="","",IFERROR(VLOOKUP(P586,PARTNERS!$A$2:$B$30,2,0),""))</f>
        <v/>
      </c>
      <c r="R586" s="17" t="str">
        <f aca="false">IF(O586="","",IF(OR(P586="",Q586=""),0,(O586-N586)*IF(Q586&gt;1,Q586/100,Q586)))</f>
        <v/>
      </c>
      <c r="S586" s="14" t="str">
        <f aca="false">IF(O586="","",O586-R586)</f>
        <v/>
      </c>
      <c r="T586" s="11"/>
      <c r="U586" s="18" t="str">
        <f aca="false">IF(T586="","",IFERROR(VLOOKUP(T586,REPS!$A$2:$D$40,2,0),""))</f>
        <v/>
      </c>
      <c r="V586" s="14" t="str">
        <f aca="false">IF(O586="","",IF(U586="",0,O586*IF(U586&gt;1,U586/100,U586)))</f>
        <v/>
      </c>
      <c r="W586" s="11"/>
      <c r="X586" s="18" t="str">
        <f aca="false">IF(W586="","",IFERROR(VLOOKUP(W586,REPS!$A$2:$D$40,3,0),""))</f>
        <v/>
      </c>
      <c r="Y586" s="14" t="str">
        <f aca="false">IF(O586="","",IF(X586="",0,O586*IF(X586&gt;1,X586/100,X586)))</f>
        <v/>
      </c>
      <c r="Z586" s="11"/>
      <c r="AA586" s="18" t="str">
        <f aca="false">IF(Z586="","",IFERROR(VLOOKUP(Z586,REPS!$A$2:$D$40,4,0),""))</f>
        <v/>
      </c>
      <c r="AB586" s="14" t="str">
        <f aca="false">IF(O586="","",IF(AA586="",0,O586*IF(AA586&gt;1,AA586/100,AA586)))</f>
        <v/>
      </c>
      <c r="AC586" s="14" t="str">
        <f aca="false">IF(O586="","",V586+Y586+AB586)</f>
        <v/>
      </c>
      <c r="AD586" s="19" t="str">
        <f aca="false">IF(O586="","",O586-R586-AC586)</f>
        <v/>
      </c>
      <c r="AE586" s="20"/>
      <c r="AF586" s="10"/>
      <c r="AG586" s="21" t="n">
        <f aca="false">IF(OR(AE586="",AE586=0),0,AE586*IF(U586="",0,IF(U586&gt;1,U586/100,U586)))</f>
        <v>0</v>
      </c>
      <c r="AH586" s="21" t="n">
        <f aca="false">IF(OR(AE586="",AE586=0),0,AE586*IF(X586="",0,IF(X586&gt;1,X586/100,X586)))</f>
        <v>0</v>
      </c>
      <c r="AI586" s="21" t="n">
        <f aca="false">IF(OR(AE586="",AE586=0),0,AE586*IF(AA586="",0,IF(AA586&gt;1,AA586/100,AA586)))</f>
        <v>0</v>
      </c>
      <c r="AJ586" s="21" t="n">
        <f aca="false">AG586+AH586+AI586</f>
        <v>0</v>
      </c>
      <c r="AK586" s="21" t="n">
        <f aca="false">IF(OR(AE586="",AE586=0),0,AE586-AJ586)</f>
        <v>0</v>
      </c>
      <c r="AL586" s="19" t="str">
        <f aca="false">IF(AD586="","",AD586-AK586)</f>
        <v/>
      </c>
      <c r="AM586" s="9" t="str">
        <f aca="false">IF(C586="","","Waiting for payment")</f>
        <v/>
      </c>
      <c r="AN586" s="10"/>
      <c r="AO586" s="10"/>
      <c r="AP586" s="22" t="str">
        <f aca="false">IF(OR(C586="",I586="",K586=""),"",IF(K586="Monthly",EDATE(C586,ROUND(I586*SETTINGS!$I$8,0)),WORKDAY(C586,ROUND(I586*SETTINGS!$I$8,0))))</f>
        <v/>
      </c>
      <c r="AQ586" s="9" t="str">
        <f aca="true">IF(C586="","",IF(AND(AP586&lt;&gt;"",TODAY()&gt;=AP586),"Refi Ready",IF(TODAY()-C586&gt;=SETTINGS!$I$11,"Prospecting","Performing")))</f>
        <v/>
      </c>
      <c r="AR586" s="22" t="str">
        <f aca="false">IF(OR(C586="",I586="",K586=""),"",IF(K586="Monthly",EDATE(C586,I586),WORKDAY(C586,I586)))</f>
        <v/>
      </c>
      <c r="AS586" s="11"/>
      <c r="AT586" s="23" t="str">
        <f aca="true">IF(C586="","",IF(AM586="Clawed Back","CLAWED",IF(TODAY()&lt;=C586+SETTINGS!$I$2,"⚠ AT RISK","SAFE")))</f>
        <v/>
      </c>
      <c r="AU586" s="11"/>
      <c r="AW586" s="24" t="n">
        <f aca="false">AW585+IF(AND(C586&lt;&gt;"",AO586&lt;&gt;"",OR('REP COMMISSION'!$B$3="",T586='REP COMMISSION'!$B$3,W586='REP COMMISSION'!$B$3,Z586='REP COMMISSION'!$B$3)),1,0)</f>
        <v>0</v>
      </c>
      <c r="AX586" s="24" t="n">
        <f aca="false">AX585+IF(AND(C586&lt;&gt;"",OR(F586="LOC - INITIAL",F586="CONSOLIDATION - UPFRONT COMM",F586="REVERSE - TOTAL FUNDING")),1,0)</f>
        <v>0</v>
      </c>
    </row>
    <row r="587" customFormat="false" ht="15" hidden="false" customHeight="false" outlineLevel="0" collapsed="false">
      <c r="A587" s="25" t="str">
        <f aca="false">IF(C587&lt;&gt;"","F"&amp;COUNT($C$4:C587),"")</f>
        <v/>
      </c>
      <c r="B587" s="26" t="str">
        <f aca="false">IF(OR(F587="LOC - INITIAL",F587="CONSOLIDATION - UPFRONT COMM",F587="REVERSE - TOTAL FUNDING"),A587,"")</f>
        <v/>
      </c>
      <c r="C587" s="27"/>
      <c r="D587" s="28"/>
      <c r="E587" s="28"/>
      <c r="F587" s="28"/>
      <c r="G587" s="29"/>
      <c r="H587" s="30"/>
      <c r="I587" s="28"/>
      <c r="J587" s="31" t="str">
        <f aca="false">IF(AND(G587&lt;&gt;"",H587&lt;&gt;""),G587*H587,"")</f>
        <v/>
      </c>
      <c r="K587" s="28"/>
      <c r="L587" s="32"/>
      <c r="M587" s="32"/>
      <c r="N587" s="31" t="n">
        <f aca="false">IF(OR(G587="",M587=""),0,IF(M587&gt;100,M587,G587*IF(M587&gt;1,M587/100,M587)))</f>
        <v>0</v>
      </c>
      <c r="O587" s="31" t="str">
        <f aca="false">IF(G587="","",G587*IF(L587="",0,IF(L587&gt;1,L587/100,L587))+N587)</f>
        <v/>
      </c>
      <c r="P587" s="28"/>
      <c r="Q587" s="33" t="str">
        <f aca="false">IF(P587="","",IFERROR(VLOOKUP(P587,PARTNERS!$A$2:$B$30,2,0),""))</f>
        <v/>
      </c>
      <c r="R587" s="17" t="str">
        <f aca="false">IF(O587="","",IF(OR(P587="",Q587=""),0,(O587-N587)*IF(Q587&gt;1,Q587/100,Q587)))</f>
        <v/>
      </c>
      <c r="S587" s="31" t="str">
        <f aca="false">IF(O587="","",O587-R587)</f>
        <v/>
      </c>
      <c r="T587" s="28"/>
      <c r="U587" s="34" t="str">
        <f aca="false">IF(T587="","",IFERROR(VLOOKUP(T587,REPS!$A$2:$D$40,2,0),""))</f>
        <v/>
      </c>
      <c r="V587" s="31" t="str">
        <f aca="false">IF(O587="","",IF(U587="",0,O587*IF(U587&gt;1,U587/100,U587)))</f>
        <v/>
      </c>
      <c r="W587" s="28"/>
      <c r="X587" s="34" t="str">
        <f aca="false">IF(W587="","",IFERROR(VLOOKUP(W587,REPS!$A$2:$D$40,3,0),""))</f>
        <v/>
      </c>
      <c r="Y587" s="31" t="str">
        <f aca="false">IF(O587="","",IF(X587="",0,O587*IF(X587&gt;1,X587/100,X587)))</f>
        <v/>
      </c>
      <c r="Z587" s="28"/>
      <c r="AA587" s="34" t="str">
        <f aca="false">IF(Z587="","",IFERROR(VLOOKUP(Z587,REPS!$A$2:$D$40,4,0),""))</f>
        <v/>
      </c>
      <c r="AB587" s="31" t="str">
        <f aca="false">IF(O587="","",IF(AA587="",0,O587*IF(AA587&gt;1,AA587/100,AA587)))</f>
        <v/>
      </c>
      <c r="AC587" s="31" t="str">
        <f aca="false">IF(O587="","",V587+Y587+AB587)</f>
        <v/>
      </c>
      <c r="AD587" s="19" t="str">
        <f aca="false">IF(O587="","",O587-R587-AC587)</f>
        <v/>
      </c>
      <c r="AE587" s="20"/>
      <c r="AF587" s="27"/>
      <c r="AG587" s="21" t="n">
        <f aca="false">IF(OR(AE587="",AE587=0),0,AE587*IF(U587="",0,IF(U587&gt;1,U587/100,U587)))</f>
        <v>0</v>
      </c>
      <c r="AH587" s="21" t="n">
        <f aca="false">IF(OR(AE587="",AE587=0),0,AE587*IF(X587="",0,IF(X587&gt;1,X587/100,X587)))</f>
        <v>0</v>
      </c>
      <c r="AI587" s="21" t="n">
        <f aca="false">IF(OR(AE587="",AE587=0),0,AE587*IF(AA587="",0,IF(AA587&gt;1,AA587/100,AA587)))</f>
        <v>0</v>
      </c>
      <c r="AJ587" s="21" t="n">
        <f aca="false">AG587+AH587+AI587</f>
        <v>0</v>
      </c>
      <c r="AK587" s="21" t="n">
        <f aca="false">IF(OR(AE587="",AE587=0),0,AE587-AJ587)</f>
        <v>0</v>
      </c>
      <c r="AL587" s="19" t="str">
        <f aca="false">IF(AD587="","",AD587-AK587)</f>
        <v/>
      </c>
      <c r="AM587" s="26" t="str">
        <f aca="false">IF(C587="","","Waiting for payment")</f>
        <v/>
      </c>
      <c r="AN587" s="27"/>
      <c r="AO587" s="27"/>
      <c r="AP587" s="35" t="str">
        <f aca="false">IF(OR(C587="",I587="",K587=""),"",IF(K587="Monthly",EDATE(C587,ROUND(I587*SETTINGS!$I$8,0)),WORKDAY(C587,ROUND(I587*SETTINGS!$I$8,0))))</f>
        <v/>
      </c>
      <c r="AQ587" s="26" t="str">
        <f aca="true">IF(C587="","",IF(AND(AP587&lt;&gt;"",TODAY()&gt;=AP587),"Refi Ready",IF(TODAY()-C587&gt;=SETTINGS!$I$11,"Prospecting","Performing")))</f>
        <v/>
      </c>
      <c r="AR587" s="35" t="str">
        <f aca="false">IF(OR(C587="",I587="",K587=""),"",IF(K587="Monthly",EDATE(C587,I587),WORKDAY(C587,I587)))</f>
        <v/>
      </c>
      <c r="AS587" s="28"/>
      <c r="AT587" s="36" t="str">
        <f aca="true">IF(C587="","",IF(AM587="Clawed Back","CLAWED",IF(TODAY()&lt;=C587+SETTINGS!$I$2,"⚠ AT RISK","SAFE")))</f>
        <v/>
      </c>
      <c r="AU587" s="28"/>
      <c r="AW587" s="24" t="n">
        <f aca="false">AW586+IF(AND(C587&lt;&gt;"",AO587&lt;&gt;"",OR('REP COMMISSION'!$B$3="",T587='REP COMMISSION'!$B$3,W587='REP COMMISSION'!$B$3,Z587='REP COMMISSION'!$B$3)),1,0)</f>
        <v>0</v>
      </c>
      <c r="AX587" s="24" t="n">
        <f aca="false">AX586+IF(AND(C587&lt;&gt;"",OR(F587="LOC - INITIAL",F587="CONSOLIDATION - UPFRONT COMM",F587="REVERSE - TOTAL FUNDING")),1,0)</f>
        <v>0</v>
      </c>
    </row>
    <row r="588" customFormat="false" ht="15" hidden="false" customHeight="false" outlineLevel="0" collapsed="false">
      <c r="A588" s="8" t="str">
        <f aca="false">IF(C588&lt;&gt;"","F"&amp;COUNT($C$4:C588),"")</f>
        <v/>
      </c>
      <c r="B588" s="9" t="str">
        <f aca="false">IF(OR(F588="LOC - INITIAL",F588="CONSOLIDATION - UPFRONT COMM",F588="REVERSE - TOTAL FUNDING"),A588,"")</f>
        <v/>
      </c>
      <c r="C588" s="10"/>
      <c r="D588" s="11"/>
      <c r="E588" s="11"/>
      <c r="F588" s="11"/>
      <c r="G588" s="12"/>
      <c r="H588" s="13"/>
      <c r="I588" s="11"/>
      <c r="J588" s="14" t="str">
        <f aca="false">IF(AND(G588&lt;&gt;"",H588&lt;&gt;""),G588*H588,"")</f>
        <v/>
      </c>
      <c r="K588" s="11"/>
      <c r="L588" s="15"/>
      <c r="M588" s="15"/>
      <c r="N588" s="14" t="n">
        <f aca="false">IF(OR(G588="",M588=""),0,IF(M588&gt;100,M588,G588*IF(M588&gt;1,M588/100,M588)))</f>
        <v>0</v>
      </c>
      <c r="O588" s="14" t="str">
        <f aca="false">IF(G588="","",G588*IF(L588="",0,IF(L588&gt;1,L588/100,L588))+N588)</f>
        <v/>
      </c>
      <c r="P588" s="11"/>
      <c r="Q588" s="16" t="str">
        <f aca="false">IF(P588="","",IFERROR(VLOOKUP(P588,PARTNERS!$A$2:$B$30,2,0),""))</f>
        <v/>
      </c>
      <c r="R588" s="17" t="str">
        <f aca="false">IF(O588="","",IF(OR(P588="",Q588=""),0,(O588-N588)*IF(Q588&gt;1,Q588/100,Q588)))</f>
        <v/>
      </c>
      <c r="S588" s="14" t="str">
        <f aca="false">IF(O588="","",O588-R588)</f>
        <v/>
      </c>
      <c r="T588" s="11"/>
      <c r="U588" s="18" t="str">
        <f aca="false">IF(T588="","",IFERROR(VLOOKUP(T588,REPS!$A$2:$D$40,2,0),""))</f>
        <v/>
      </c>
      <c r="V588" s="14" t="str">
        <f aca="false">IF(O588="","",IF(U588="",0,O588*IF(U588&gt;1,U588/100,U588)))</f>
        <v/>
      </c>
      <c r="W588" s="11"/>
      <c r="X588" s="18" t="str">
        <f aca="false">IF(W588="","",IFERROR(VLOOKUP(W588,REPS!$A$2:$D$40,3,0),""))</f>
        <v/>
      </c>
      <c r="Y588" s="14" t="str">
        <f aca="false">IF(O588="","",IF(X588="",0,O588*IF(X588&gt;1,X588/100,X588)))</f>
        <v/>
      </c>
      <c r="Z588" s="11"/>
      <c r="AA588" s="18" t="str">
        <f aca="false">IF(Z588="","",IFERROR(VLOOKUP(Z588,REPS!$A$2:$D$40,4,0),""))</f>
        <v/>
      </c>
      <c r="AB588" s="14" t="str">
        <f aca="false">IF(O588="","",IF(AA588="",0,O588*IF(AA588&gt;1,AA588/100,AA588)))</f>
        <v/>
      </c>
      <c r="AC588" s="14" t="str">
        <f aca="false">IF(O588="","",V588+Y588+AB588)</f>
        <v/>
      </c>
      <c r="AD588" s="19" t="str">
        <f aca="false">IF(O588="","",O588-R588-AC588)</f>
        <v/>
      </c>
      <c r="AE588" s="20"/>
      <c r="AF588" s="10"/>
      <c r="AG588" s="21" t="n">
        <f aca="false">IF(OR(AE588="",AE588=0),0,AE588*IF(U588="",0,IF(U588&gt;1,U588/100,U588)))</f>
        <v>0</v>
      </c>
      <c r="AH588" s="21" t="n">
        <f aca="false">IF(OR(AE588="",AE588=0),0,AE588*IF(X588="",0,IF(X588&gt;1,X588/100,X588)))</f>
        <v>0</v>
      </c>
      <c r="AI588" s="21" t="n">
        <f aca="false">IF(OR(AE588="",AE588=0),0,AE588*IF(AA588="",0,IF(AA588&gt;1,AA588/100,AA588)))</f>
        <v>0</v>
      </c>
      <c r="AJ588" s="21" t="n">
        <f aca="false">AG588+AH588+AI588</f>
        <v>0</v>
      </c>
      <c r="AK588" s="21" t="n">
        <f aca="false">IF(OR(AE588="",AE588=0),0,AE588-AJ588)</f>
        <v>0</v>
      </c>
      <c r="AL588" s="19" t="str">
        <f aca="false">IF(AD588="","",AD588-AK588)</f>
        <v/>
      </c>
      <c r="AM588" s="9" t="str">
        <f aca="false">IF(C588="","","Waiting for payment")</f>
        <v/>
      </c>
      <c r="AN588" s="10"/>
      <c r="AO588" s="10"/>
      <c r="AP588" s="22" t="str">
        <f aca="false">IF(OR(C588="",I588="",K588=""),"",IF(K588="Monthly",EDATE(C588,ROUND(I588*SETTINGS!$I$8,0)),WORKDAY(C588,ROUND(I588*SETTINGS!$I$8,0))))</f>
        <v/>
      </c>
      <c r="AQ588" s="9" t="str">
        <f aca="true">IF(C588="","",IF(AND(AP588&lt;&gt;"",TODAY()&gt;=AP588),"Refi Ready",IF(TODAY()-C588&gt;=SETTINGS!$I$11,"Prospecting","Performing")))</f>
        <v/>
      </c>
      <c r="AR588" s="22" t="str">
        <f aca="false">IF(OR(C588="",I588="",K588=""),"",IF(K588="Monthly",EDATE(C588,I588),WORKDAY(C588,I588)))</f>
        <v/>
      </c>
      <c r="AS588" s="11"/>
      <c r="AT588" s="23" t="str">
        <f aca="true">IF(C588="","",IF(AM588="Clawed Back","CLAWED",IF(TODAY()&lt;=C588+SETTINGS!$I$2,"⚠ AT RISK","SAFE")))</f>
        <v/>
      </c>
      <c r="AU588" s="11"/>
      <c r="AW588" s="24" t="n">
        <f aca="false">AW587+IF(AND(C588&lt;&gt;"",AO588&lt;&gt;"",OR('REP COMMISSION'!$B$3="",T588='REP COMMISSION'!$B$3,W588='REP COMMISSION'!$B$3,Z588='REP COMMISSION'!$B$3)),1,0)</f>
        <v>0</v>
      </c>
      <c r="AX588" s="24" t="n">
        <f aca="false">AX587+IF(AND(C588&lt;&gt;"",OR(F588="LOC - INITIAL",F588="CONSOLIDATION - UPFRONT COMM",F588="REVERSE - TOTAL FUNDING")),1,0)</f>
        <v>0</v>
      </c>
    </row>
    <row r="589" customFormat="false" ht="15" hidden="false" customHeight="false" outlineLevel="0" collapsed="false">
      <c r="A589" s="25" t="str">
        <f aca="false">IF(C589&lt;&gt;"","F"&amp;COUNT($C$4:C589),"")</f>
        <v/>
      </c>
      <c r="B589" s="26" t="str">
        <f aca="false">IF(OR(F589="LOC - INITIAL",F589="CONSOLIDATION - UPFRONT COMM",F589="REVERSE - TOTAL FUNDING"),A589,"")</f>
        <v/>
      </c>
      <c r="C589" s="27"/>
      <c r="D589" s="28"/>
      <c r="E589" s="28"/>
      <c r="F589" s="28"/>
      <c r="G589" s="29"/>
      <c r="H589" s="30"/>
      <c r="I589" s="28"/>
      <c r="J589" s="31" t="str">
        <f aca="false">IF(AND(G589&lt;&gt;"",H589&lt;&gt;""),G589*H589,"")</f>
        <v/>
      </c>
      <c r="K589" s="28"/>
      <c r="L589" s="32"/>
      <c r="M589" s="32"/>
      <c r="N589" s="31" t="n">
        <f aca="false">IF(OR(G589="",M589=""),0,IF(M589&gt;100,M589,G589*IF(M589&gt;1,M589/100,M589)))</f>
        <v>0</v>
      </c>
      <c r="O589" s="31" t="str">
        <f aca="false">IF(G589="","",G589*IF(L589="",0,IF(L589&gt;1,L589/100,L589))+N589)</f>
        <v/>
      </c>
      <c r="P589" s="28"/>
      <c r="Q589" s="33" t="str">
        <f aca="false">IF(P589="","",IFERROR(VLOOKUP(P589,PARTNERS!$A$2:$B$30,2,0),""))</f>
        <v/>
      </c>
      <c r="R589" s="17" t="str">
        <f aca="false">IF(O589="","",IF(OR(P589="",Q589=""),0,(O589-N589)*IF(Q589&gt;1,Q589/100,Q589)))</f>
        <v/>
      </c>
      <c r="S589" s="31" t="str">
        <f aca="false">IF(O589="","",O589-R589)</f>
        <v/>
      </c>
      <c r="T589" s="28"/>
      <c r="U589" s="34" t="str">
        <f aca="false">IF(T589="","",IFERROR(VLOOKUP(T589,REPS!$A$2:$D$40,2,0),""))</f>
        <v/>
      </c>
      <c r="V589" s="31" t="str">
        <f aca="false">IF(O589="","",IF(U589="",0,O589*IF(U589&gt;1,U589/100,U589)))</f>
        <v/>
      </c>
      <c r="W589" s="28"/>
      <c r="X589" s="34" t="str">
        <f aca="false">IF(W589="","",IFERROR(VLOOKUP(W589,REPS!$A$2:$D$40,3,0),""))</f>
        <v/>
      </c>
      <c r="Y589" s="31" t="str">
        <f aca="false">IF(O589="","",IF(X589="",0,O589*IF(X589&gt;1,X589/100,X589)))</f>
        <v/>
      </c>
      <c r="Z589" s="28"/>
      <c r="AA589" s="34" t="str">
        <f aca="false">IF(Z589="","",IFERROR(VLOOKUP(Z589,REPS!$A$2:$D$40,4,0),""))</f>
        <v/>
      </c>
      <c r="AB589" s="31" t="str">
        <f aca="false">IF(O589="","",IF(AA589="",0,O589*IF(AA589&gt;1,AA589/100,AA589)))</f>
        <v/>
      </c>
      <c r="AC589" s="31" t="str">
        <f aca="false">IF(O589="","",V589+Y589+AB589)</f>
        <v/>
      </c>
      <c r="AD589" s="19" t="str">
        <f aca="false">IF(O589="","",O589-R589-AC589)</f>
        <v/>
      </c>
      <c r="AE589" s="20"/>
      <c r="AF589" s="27"/>
      <c r="AG589" s="21" t="n">
        <f aca="false">IF(OR(AE589="",AE589=0),0,AE589*IF(U589="",0,IF(U589&gt;1,U589/100,U589)))</f>
        <v>0</v>
      </c>
      <c r="AH589" s="21" t="n">
        <f aca="false">IF(OR(AE589="",AE589=0),0,AE589*IF(X589="",0,IF(X589&gt;1,X589/100,X589)))</f>
        <v>0</v>
      </c>
      <c r="AI589" s="21" t="n">
        <f aca="false">IF(OR(AE589="",AE589=0),0,AE589*IF(AA589="",0,IF(AA589&gt;1,AA589/100,AA589)))</f>
        <v>0</v>
      </c>
      <c r="AJ589" s="21" t="n">
        <f aca="false">AG589+AH589+AI589</f>
        <v>0</v>
      </c>
      <c r="AK589" s="21" t="n">
        <f aca="false">IF(OR(AE589="",AE589=0),0,AE589-AJ589)</f>
        <v>0</v>
      </c>
      <c r="AL589" s="19" t="str">
        <f aca="false">IF(AD589="","",AD589-AK589)</f>
        <v/>
      </c>
      <c r="AM589" s="26" t="str">
        <f aca="false">IF(C589="","","Waiting for payment")</f>
        <v/>
      </c>
      <c r="AN589" s="27"/>
      <c r="AO589" s="27"/>
      <c r="AP589" s="35" t="str">
        <f aca="false">IF(OR(C589="",I589="",K589=""),"",IF(K589="Monthly",EDATE(C589,ROUND(I589*SETTINGS!$I$8,0)),WORKDAY(C589,ROUND(I589*SETTINGS!$I$8,0))))</f>
        <v/>
      </c>
      <c r="AQ589" s="26" t="str">
        <f aca="true">IF(C589="","",IF(AND(AP589&lt;&gt;"",TODAY()&gt;=AP589),"Refi Ready",IF(TODAY()-C589&gt;=SETTINGS!$I$11,"Prospecting","Performing")))</f>
        <v/>
      </c>
      <c r="AR589" s="35" t="str">
        <f aca="false">IF(OR(C589="",I589="",K589=""),"",IF(K589="Monthly",EDATE(C589,I589),WORKDAY(C589,I589)))</f>
        <v/>
      </c>
      <c r="AS589" s="28"/>
      <c r="AT589" s="36" t="str">
        <f aca="true">IF(C589="","",IF(AM589="Clawed Back","CLAWED",IF(TODAY()&lt;=C589+SETTINGS!$I$2,"⚠ AT RISK","SAFE")))</f>
        <v/>
      </c>
      <c r="AU589" s="28"/>
      <c r="AW589" s="24" t="n">
        <f aca="false">AW588+IF(AND(C589&lt;&gt;"",AO589&lt;&gt;"",OR('REP COMMISSION'!$B$3="",T589='REP COMMISSION'!$B$3,W589='REP COMMISSION'!$B$3,Z589='REP COMMISSION'!$B$3)),1,0)</f>
        <v>0</v>
      </c>
      <c r="AX589" s="24" t="n">
        <f aca="false">AX588+IF(AND(C589&lt;&gt;"",OR(F589="LOC - INITIAL",F589="CONSOLIDATION - UPFRONT COMM",F589="REVERSE - TOTAL FUNDING")),1,0)</f>
        <v>0</v>
      </c>
    </row>
    <row r="590" customFormat="false" ht="15" hidden="false" customHeight="false" outlineLevel="0" collapsed="false">
      <c r="A590" s="8" t="str">
        <f aca="false">IF(C590&lt;&gt;"","F"&amp;COUNT($C$4:C590),"")</f>
        <v/>
      </c>
      <c r="B590" s="9" t="str">
        <f aca="false">IF(OR(F590="LOC - INITIAL",F590="CONSOLIDATION - UPFRONT COMM",F590="REVERSE - TOTAL FUNDING"),A590,"")</f>
        <v/>
      </c>
      <c r="C590" s="10"/>
      <c r="D590" s="11"/>
      <c r="E590" s="11"/>
      <c r="F590" s="11"/>
      <c r="G590" s="12"/>
      <c r="H590" s="13"/>
      <c r="I590" s="11"/>
      <c r="J590" s="14" t="str">
        <f aca="false">IF(AND(G590&lt;&gt;"",H590&lt;&gt;""),G590*H590,"")</f>
        <v/>
      </c>
      <c r="K590" s="11"/>
      <c r="L590" s="15"/>
      <c r="M590" s="15"/>
      <c r="N590" s="14" t="n">
        <f aca="false">IF(OR(G590="",M590=""),0,IF(M590&gt;100,M590,G590*IF(M590&gt;1,M590/100,M590)))</f>
        <v>0</v>
      </c>
      <c r="O590" s="14" t="str">
        <f aca="false">IF(G590="","",G590*IF(L590="",0,IF(L590&gt;1,L590/100,L590))+N590)</f>
        <v/>
      </c>
      <c r="P590" s="11"/>
      <c r="Q590" s="16" t="str">
        <f aca="false">IF(P590="","",IFERROR(VLOOKUP(P590,PARTNERS!$A$2:$B$30,2,0),""))</f>
        <v/>
      </c>
      <c r="R590" s="17" t="str">
        <f aca="false">IF(O590="","",IF(OR(P590="",Q590=""),0,(O590-N590)*IF(Q590&gt;1,Q590/100,Q590)))</f>
        <v/>
      </c>
      <c r="S590" s="14" t="str">
        <f aca="false">IF(O590="","",O590-R590)</f>
        <v/>
      </c>
      <c r="T590" s="11"/>
      <c r="U590" s="18" t="str">
        <f aca="false">IF(T590="","",IFERROR(VLOOKUP(T590,REPS!$A$2:$D$40,2,0),""))</f>
        <v/>
      </c>
      <c r="V590" s="14" t="str">
        <f aca="false">IF(O590="","",IF(U590="",0,O590*IF(U590&gt;1,U590/100,U590)))</f>
        <v/>
      </c>
      <c r="W590" s="11"/>
      <c r="X590" s="18" t="str">
        <f aca="false">IF(W590="","",IFERROR(VLOOKUP(W590,REPS!$A$2:$D$40,3,0),""))</f>
        <v/>
      </c>
      <c r="Y590" s="14" t="str">
        <f aca="false">IF(O590="","",IF(X590="",0,O590*IF(X590&gt;1,X590/100,X590)))</f>
        <v/>
      </c>
      <c r="Z590" s="11"/>
      <c r="AA590" s="18" t="str">
        <f aca="false">IF(Z590="","",IFERROR(VLOOKUP(Z590,REPS!$A$2:$D$40,4,0),""))</f>
        <v/>
      </c>
      <c r="AB590" s="14" t="str">
        <f aca="false">IF(O590="","",IF(AA590="",0,O590*IF(AA590&gt;1,AA590/100,AA590)))</f>
        <v/>
      </c>
      <c r="AC590" s="14" t="str">
        <f aca="false">IF(O590="","",V590+Y590+AB590)</f>
        <v/>
      </c>
      <c r="AD590" s="19" t="str">
        <f aca="false">IF(O590="","",O590-R590-AC590)</f>
        <v/>
      </c>
      <c r="AE590" s="20"/>
      <c r="AF590" s="10"/>
      <c r="AG590" s="21" t="n">
        <f aca="false">IF(OR(AE590="",AE590=0),0,AE590*IF(U590="",0,IF(U590&gt;1,U590/100,U590)))</f>
        <v>0</v>
      </c>
      <c r="AH590" s="21" t="n">
        <f aca="false">IF(OR(AE590="",AE590=0),0,AE590*IF(X590="",0,IF(X590&gt;1,X590/100,X590)))</f>
        <v>0</v>
      </c>
      <c r="AI590" s="21" t="n">
        <f aca="false">IF(OR(AE590="",AE590=0),0,AE590*IF(AA590="",0,IF(AA590&gt;1,AA590/100,AA590)))</f>
        <v>0</v>
      </c>
      <c r="AJ590" s="21" t="n">
        <f aca="false">AG590+AH590+AI590</f>
        <v>0</v>
      </c>
      <c r="AK590" s="21" t="n">
        <f aca="false">IF(OR(AE590="",AE590=0),0,AE590-AJ590)</f>
        <v>0</v>
      </c>
      <c r="AL590" s="19" t="str">
        <f aca="false">IF(AD590="","",AD590-AK590)</f>
        <v/>
      </c>
      <c r="AM590" s="9" t="str">
        <f aca="false">IF(C590="","","Waiting for payment")</f>
        <v/>
      </c>
      <c r="AN590" s="10"/>
      <c r="AO590" s="10"/>
      <c r="AP590" s="22" t="str">
        <f aca="false">IF(OR(C590="",I590="",K590=""),"",IF(K590="Monthly",EDATE(C590,ROUND(I590*SETTINGS!$I$8,0)),WORKDAY(C590,ROUND(I590*SETTINGS!$I$8,0))))</f>
        <v/>
      </c>
      <c r="AQ590" s="9" t="str">
        <f aca="true">IF(C590="","",IF(AND(AP590&lt;&gt;"",TODAY()&gt;=AP590),"Refi Ready",IF(TODAY()-C590&gt;=SETTINGS!$I$11,"Prospecting","Performing")))</f>
        <v/>
      </c>
      <c r="AR590" s="22" t="str">
        <f aca="false">IF(OR(C590="",I590="",K590=""),"",IF(K590="Monthly",EDATE(C590,I590),WORKDAY(C590,I590)))</f>
        <v/>
      </c>
      <c r="AS590" s="11"/>
      <c r="AT590" s="23" t="str">
        <f aca="true">IF(C590="","",IF(AM590="Clawed Back","CLAWED",IF(TODAY()&lt;=C590+SETTINGS!$I$2,"⚠ AT RISK","SAFE")))</f>
        <v/>
      </c>
      <c r="AU590" s="11"/>
      <c r="AW590" s="24" t="n">
        <f aca="false">AW589+IF(AND(C590&lt;&gt;"",AO590&lt;&gt;"",OR('REP COMMISSION'!$B$3="",T590='REP COMMISSION'!$B$3,W590='REP COMMISSION'!$B$3,Z590='REP COMMISSION'!$B$3)),1,0)</f>
        <v>0</v>
      </c>
      <c r="AX590" s="24" t="n">
        <f aca="false">AX589+IF(AND(C590&lt;&gt;"",OR(F590="LOC - INITIAL",F590="CONSOLIDATION - UPFRONT COMM",F590="REVERSE - TOTAL FUNDING")),1,0)</f>
        <v>0</v>
      </c>
    </row>
    <row r="591" customFormat="false" ht="15" hidden="false" customHeight="false" outlineLevel="0" collapsed="false">
      <c r="A591" s="25" t="str">
        <f aca="false">IF(C591&lt;&gt;"","F"&amp;COUNT($C$4:C591),"")</f>
        <v/>
      </c>
      <c r="B591" s="26" t="str">
        <f aca="false">IF(OR(F591="LOC - INITIAL",F591="CONSOLIDATION - UPFRONT COMM",F591="REVERSE - TOTAL FUNDING"),A591,"")</f>
        <v/>
      </c>
      <c r="C591" s="27"/>
      <c r="D591" s="28"/>
      <c r="E591" s="28"/>
      <c r="F591" s="28"/>
      <c r="G591" s="29"/>
      <c r="H591" s="30"/>
      <c r="I591" s="28"/>
      <c r="J591" s="31" t="str">
        <f aca="false">IF(AND(G591&lt;&gt;"",H591&lt;&gt;""),G591*H591,"")</f>
        <v/>
      </c>
      <c r="K591" s="28"/>
      <c r="L591" s="32"/>
      <c r="M591" s="32"/>
      <c r="N591" s="31" t="n">
        <f aca="false">IF(OR(G591="",M591=""),0,IF(M591&gt;100,M591,G591*IF(M591&gt;1,M591/100,M591)))</f>
        <v>0</v>
      </c>
      <c r="O591" s="31" t="str">
        <f aca="false">IF(G591="","",G591*IF(L591="",0,IF(L591&gt;1,L591/100,L591))+N591)</f>
        <v/>
      </c>
      <c r="P591" s="28"/>
      <c r="Q591" s="33" t="str">
        <f aca="false">IF(P591="","",IFERROR(VLOOKUP(P591,PARTNERS!$A$2:$B$30,2,0),""))</f>
        <v/>
      </c>
      <c r="R591" s="17" t="str">
        <f aca="false">IF(O591="","",IF(OR(P591="",Q591=""),0,(O591-N591)*IF(Q591&gt;1,Q591/100,Q591)))</f>
        <v/>
      </c>
      <c r="S591" s="31" t="str">
        <f aca="false">IF(O591="","",O591-R591)</f>
        <v/>
      </c>
      <c r="T591" s="28"/>
      <c r="U591" s="34" t="str">
        <f aca="false">IF(T591="","",IFERROR(VLOOKUP(T591,REPS!$A$2:$D$40,2,0),""))</f>
        <v/>
      </c>
      <c r="V591" s="31" t="str">
        <f aca="false">IF(O591="","",IF(U591="",0,O591*IF(U591&gt;1,U591/100,U591)))</f>
        <v/>
      </c>
      <c r="W591" s="28"/>
      <c r="X591" s="34" t="str">
        <f aca="false">IF(W591="","",IFERROR(VLOOKUP(W591,REPS!$A$2:$D$40,3,0),""))</f>
        <v/>
      </c>
      <c r="Y591" s="31" t="str">
        <f aca="false">IF(O591="","",IF(X591="",0,O591*IF(X591&gt;1,X591/100,X591)))</f>
        <v/>
      </c>
      <c r="Z591" s="28"/>
      <c r="AA591" s="34" t="str">
        <f aca="false">IF(Z591="","",IFERROR(VLOOKUP(Z591,REPS!$A$2:$D$40,4,0),""))</f>
        <v/>
      </c>
      <c r="AB591" s="31" t="str">
        <f aca="false">IF(O591="","",IF(AA591="",0,O591*IF(AA591&gt;1,AA591/100,AA591)))</f>
        <v/>
      </c>
      <c r="AC591" s="31" t="str">
        <f aca="false">IF(O591="","",V591+Y591+AB591)</f>
        <v/>
      </c>
      <c r="AD591" s="19" t="str">
        <f aca="false">IF(O591="","",O591-R591-AC591)</f>
        <v/>
      </c>
      <c r="AE591" s="20"/>
      <c r="AF591" s="27"/>
      <c r="AG591" s="21" t="n">
        <f aca="false">IF(OR(AE591="",AE591=0),0,AE591*IF(U591="",0,IF(U591&gt;1,U591/100,U591)))</f>
        <v>0</v>
      </c>
      <c r="AH591" s="21" t="n">
        <f aca="false">IF(OR(AE591="",AE591=0),0,AE591*IF(X591="",0,IF(X591&gt;1,X591/100,X591)))</f>
        <v>0</v>
      </c>
      <c r="AI591" s="21" t="n">
        <f aca="false">IF(OR(AE591="",AE591=0),0,AE591*IF(AA591="",0,IF(AA591&gt;1,AA591/100,AA591)))</f>
        <v>0</v>
      </c>
      <c r="AJ591" s="21" t="n">
        <f aca="false">AG591+AH591+AI591</f>
        <v>0</v>
      </c>
      <c r="AK591" s="21" t="n">
        <f aca="false">IF(OR(AE591="",AE591=0),0,AE591-AJ591)</f>
        <v>0</v>
      </c>
      <c r="AL591" s="19" t="str">
        <f aca="false">IF(AD591="","",AD591-AK591)</f>
        <v/>
      </c>
      <c r="AM591" s="26" t="str">
        <f aca="false">IF(C591="","","Waiting for payment")</f>
        <v/>
      </c>
      <c r="AN591" s="27"/>
      <c r="AO591" s="27"/>
      <c r="AP591" s="35" t="str">
        <f aca="false">IF(OR(C591="",I591="",K591=""),"",IF(K591="Monthly",EDATE(C591,ROUND(I591*SETTINGS!$I$8,0)),WORKDAY(C591,ROUND(I591*SETTINGS!$I$8,0))))</f>
        <v/>
      </c>
      <c r="AQ591" s="26" t="str">
        <f aca="true">IF(C591="","",IF(AND(AP591&lt;&gt;"",TODAY()&gt;=AP591),"Refi Ready",IF(TODAY()-C591&gt;=SETTINGS!$I$11,"Prospecting","Performing")))</f>
        <v/>
      </c>
      <c r="AR591" s="35" t="str">
        <f aca="false">IF(OR(C591="",I591="",K591=""),"",IF(K591="Monthly",EDATE(C591,I591),WORKDAY(C591,I591)))</f>
        <v/>
      </c>
      <c r="AS591" s="28"/>
      <c r="AT591" s="36" t="str">
        <f aca="true">IF(C591="","",IF(AM591="Clawed Back","CLAWED",IF(TODAY()&lt;=C591+SETTINGS!$I$2,"⚠ AT RISK","SAFE")))</f>
        <v/>
      </c>
      <c r="AU591" s="28"/>
      <c r="AW591" s="24" t="n">
        <f aca="false">AW590+IF(AND(C591&lt;&gt;"",AO591&lt;&gt;"",OR('REP COMMISSION'!$B$3="",T591='REP COMMISSION'!$B$3,W591='REP COMMISSION'!$B$3,Z591='REP COMMISSION'!$B$3)),1,0)</f>
        <v>0</v>
      </c>
      <c r="AX591" s="24" t="n">
        <f aca="false">AX590+IF(AND(C591&lt;&gt;"",OR(F591="LOC - INITIAL",F591="CONSOLIDATION - UPFRONT COMM",F591="REVERSE - TOTAL FUNDING")),1,0)</f>
        <v>0</v>
      </c>
    </row>
    <row r="592" customFormat="false" ht="15" hidden="false" customHeight="false" outlineLevel="0" collapsed="false">
      <c r="A592" s="8" t="str">
        <f aca="false">IF(C592&lt;&gt;"","F"&amp;COUNT($C$4:C592),"")</f>
        <v/>
      </c>
      <c r="B592" s="9" t="str">
        <f aca="false">IF(OR(F592="LOC - INITIAL",F592="CONSOLIDATION - UPFRONT COMM",F592="REVERSE - TOTAL FUNDING"),A592,"")</f>
        <v/>
      </c>
      <c r="C592" s="10"/>
      <c r="D592" s="11"/>
      <c r="E592" s="11"/>
      <c r="F592" s="11"/>
      <c r="G592" s="12"/>
      <c r="H592" s="13"/>
      <c r="I592" s="11"/>
      <c r="J592" s="14" t="str">
        <f aca="false">IF(AND(G592&lt;&gt;"",H592&lt;&gt;""),G592*H592,"")</f>
        <v/>
      </c>
      <c r="K592" s="11"/>
      <c r="L592" s="15"/>
      <c r="M592" s="15"/>
      <c r="N592" s="14" t="n">
        <f aca="false">IF(OR(G592="",M592=""),0,IF(M592&gt;100,M592,G592*IF(M592&gt;1,M592/100,M592)))</f>
        <v>0</v>
      </c>
      <c r="O592" s="14" t="str">
        <f aca="false">IF(G592="","",G592*IF(L592="",0,IF(L592&gt;1,L592/100,L592))+N592)</f>
        <v/>
      </c>
      <c r="P592" s="11"/>
      <c r="Q592" s="16" t="str">
        <f aca="false">IF(P592="","",IFERROR(VLOOKUP(P592,PARTNERS!$A$2:$B$30,2,0),""))</f>
        <v/>
      </c>
      <c r="R592" s="17" t="str">
        <f aca="false">IF(O592="","",IF(OR(P592="",Q592=""),0,(O592-N592)*IF(Q592&gt;1,Q592/100,Q592)))</f>
        <v/>
      </c>
      <c r="S592" s="14" t="str">
        <f aca="false">IF(O592="","",O592-R592)</f>
        <v/>
      </c>
      <c r="T592" s="11"/>
      <c r="U592" s="18" t="str">
        <f aca="false">IF(T592="","",IFERROR(VLOOKUP(T592,REPS!$A$2:$D$40,2,0),""))</f>
        <v/>
      </c>
      <c r="V592" s="14" t="str">
        <f aca="false">IF(O592="","",IF(U592="",0,O592*IF(U592&gt;1,U592/100,U592)))</f>
        <v/>
      </c>
      <c r="W592" s="11"/>
      <c r="X592" s="18" t="str">
        <f aca="false">IF(W592="","",IFERROR(VLOOKUP(W592,REPS!$A$2:$D$40,3,0),""))</f>
        <v/>
      </c>
      <c r="Y592" s="14" t="str">
        <f aca="false">IF(O592="","",IF(X592="",0,O592*IF(X592&gt;1,X592/100,X592)))</f>
        <v/>
      </c>
      <c r="Z592" s="11"/>
      <c r="AA592" s="18" t="str">
        <f aca="false">IF(Z592="","",IFERROR(VLOOKUP(Z592,REPS!$A$2:$D$40,4,0),""))</f>
        <v/>
      </c>
      <c r="AB592" s="14" t="str">
        <f aca="false">IF(O592="","",IF(AA592="",0,O592*IF(AA592&gt;1,AA592/100,AA592)))</f>
        <v/>
      </c>
      <c r="AC592" s="14" t="str">
        <f aca="false">IF(O592="","",V592+Y592+AB592)</f>
        <v/>
      </c>
      <c r="AD592" s="19" t="str">
        <f aca="false">IF(O592="","",O592-R592-AC592)</f>
        <v/>
      </c>
      <c r="AE592" s="20"/>
      <c r="AF592" s="10"/>
      <c r="AG592" s="21" t="n">
        <f aca="false">IF(OR(AE592="",AE592=0),0,AE592*IF(U592="",0,IF(U592&gt;1,U592/100,U592)))</f>
        <v>0</v>
      </c>
      <c r="AH592" s="21" t="n">
        <f aca="false">IF(OR(AE592="",AE592=0),0,AE592*IF(X592="",0,IF(X592&gt;1,X592/100,X592)))</f>
        <v>0</v>
      </c>
      <c r="AI592" s="21" t="n">
        <f aca="false">IF(OR(AE592="",AE592=0),0,AE592*IF(AA592="",0,IF(AA592&gt;1,AA592/100,AA592)))</f>
        <v>0</v>
      </c>
      <c r="AJ592" s="21" t="n">
        <f aca="false">AG592+AH592+AI592</f>
        <v>0</v>
      </c>
      <c r="AK592" s="21" t="n">
        <f aca="false">IF(OR(AE592="",AE592=0),0,AE592-AJ592)</f>
        <v>0</v>
      </c>
      <c r="AL592" s="19" t="str">
        <f aca="false">IF(AD592="","",AD592-AK592)</f>
        <v/>
      </c>
      <c r="AM592" s="9" t="str">
        <f aca="false">IF(C592="","","Waiting for payment")</f>
        <v/>
      </c>
      <c r="AN592" s="10"/>
      <c r="AO592" s="10"/>
      <c r="AP592" s="22" t="str">
        <f aca="false">IF(OR(C592="",I592="",K592=""),"",IF(K592="Monthly",EDATE(C592,ROUND(I592*SETTINGS!$I$8,0)),WORKDAY(C592,ROUND(I592*SETTINGS!$I$8,0))))</f>
        <v/>
      </c>
      <c r="AQ592" s="9" t="str">
        <f aca="true">IF(C592="","",IF(AND(AP592&lt;&gt;"",TODAY()&gt;=AP592),"Refi Ready",IF(TODAY()-C592&gt;=SETTINGS!$I$11,"Prospecting","Performing")))</f>
        <v/>
      </c>
      <c r="AR592" s="22" t="str">
        <f aca="false">IF(OR(C592="",I592="",K592=""),"",IF(K592="Monthly",EDATE(C592,I592),WORKDAY(C592,I592)))</f>
        <v/>
      </c>
      <c r="AS592" s="11"/>
      <c r="AT592" s="23" t="str">
        <f aca="true">IF(C592="","",IF(AM592="Clawed Back","CLAWED",IF(TODAY()&lt;=C592+SETTINGS!$I$2,"⚠ AT RISK","SAFE")))</f>
        <v/>
      </c>
      <c r="AU592" s="11"/>
      <c r="AW592" s="24" t="n">
        <f aca="false">AW591+IF(AND(C592&lt;&gt;"",AO592&lt;&gt;"",OR('REP COMMISSION'!$B$3="",T592='REP COMMISSION'!$B$3,W592='REP COMMISSION'!$B$3,Z592='REP COMMISSION'!$B$3)),1,0)</f>
        <v>0</v>
      </c>
      <c r="AX592" s="24" t="n">
        <f aca="false">AX591+IF(AND(C592&lt;&gt;"",OR(F592="LOC - INITIAL",F592="CONSOLIDATION - UPFRONT COMM",F592="REVERSE - TOTAL FUNDING")),1,0)</f>
        <v>0</v>
      </c>
    </row>
    <row r="593" customFormat="false" ht="15" hidden="false" customHeight="false" outlineLevel="0" collapsed="false">
      <c r="A593" s="25" t="str">
        <f aca="false">IF(C593&lt;&gt;"","F"&amp;COUNT($C$4:C593),"")</f>
        <v/>
      </c>
      <c r="B593" s="26" t="str">
        <f aca="false">IF(OR(F593="LOC - INITIAL",F593="CONSOLIDATION - UPFRONT COMM",F593="REVERSE - TOTAL FUNDING"),A593,"")</f>
        <v/>
      </c>
      <c r="C593" s="27"/>
      <c r="D593" s="28"/>
      <c r="E593" s="28"/>
      <c r="F593" s="28"/>
      <c r="G593" s="29"/>
      <c r="H593" s="30"/>
      <c r="I593" s="28"/>
      <c r="J593" s="31" t="str">
        <f aca="false">IF(AND(G593&lt;&gt;"",H593&lt;&gt;""),G593*H593,"")</f>
        <v/>
      </c>
      <c r="K593" s="28"/>
      <c r="L593" s="32"/>
      <c r="M593" s="32"/>
      <c r="N593" s="31" t="n">
        <f aca="false">IF(OR(G593="",M593=""),0,IF(M593&gt;100,M593,G593*IF(M593&gt;1,M593/100,M593)))</f>
        <v>0</v>
      </c>
      <c r="O593" s="31" t="str">
        <f aca="false">IF(G593="","",G593*IF(L593="",0,IF(L593&gt;1,L593/100,L593))+N593)</f>
        <v/>
      </c>
      <c r="P593" s="28"/>
      <c r="Q593" s="33" t="str">
        <f aca="false">IF(P593="","",IFERROR(VLOOKUP(P593,PARTNERS!$A$2:$B$30,2,0),""))</f>
        <v/>
      </c>
      <c r="R593" s="17" t="str">
        <f aca="false">IF(O593="","",IF(OR(P593="",Q593=""),0,(O593-N593)*IF(Q593&gt;1,Q593/100,Q593)))</f>
        <v/>
      </c>
      <c r="S593" s="31" t="str">
        <f aca="false">IF(O593="","",O593-R593)</f>
        <v/>
      </c>
      <c r="T593" s="28"/>
      <c r="U593" s="34" t="str">
        <f aca="false">IF(T593="","",IFERROR(VLOOKUP(T593,REPS!$A$2:$D$40,2,0),""))</f>
        <v/>
      </c>
      <c r="V593" s="31" t="str">
        <f aca="false">IF(O593="","",IF(U593="",0,O593*IF(U593&gt;1,U593/100,U593)))</f>
        <v/>
      </c>
      <c r="W593" s="28"/>
      <c r="X593" s="34" t="str">
        <f aca="false">IF(W593="","",IFERROR(VLOOKUP(W593,REPS!$A$2:$D$40,3,0),""))</f>
        <v/>
      </c>
      <c r="Y593" s="31" t="str">
        <f aca="false">IF(O593="","",IF(X593="",0,O593*IF(X593&gt;1,X593/100,X593)))</f>
        <v/>
      </c>
      <c r="Z593" s="28"/>
      <c r="AA593" s="34" t="str">
        <f aca="false">IF(Z593="","",IFERROR(VLOOKUP(Z593,REPS!$A$2:$D$40,4,0),""))</f>
        <v/>
      </c>
      <c r="AB593" s="31" t="str">
        <f aca="false">IF(O593="","",IF(AA593="",0,O593*IF(AA593&gt;1,AA593/100,AA593)))</f>
        <v/>
      </c>
      <c r="AC593" s="31" t="str">
        <f aca="false">IF(O593="","",V593+Y593+AB593)</f>
        <v/>
      </c>
      <c r="AD593" s="19" t="str">
        <f aca="false">IF(O593="","",O593-R593-AC593)</f>
        <v/>
      </c>
      <c r="AE593" s="20"/>
      <c r="AF593" s="27"/>
      <c r="AG593" s="21" t="n">
        <f aca="false">IF(OR(AE593="",AE593=0),0,AE593*IF(U593="",0,IF(U593&gt;1,U593/100,U593)))</f>
        <v>0</v>
      </c>
      <c r="AH593" s="21" t="n">
        <f aca="false">IF(OR(AE593="",AE593=0),0,AE593*IF(X593="",0,IF(X593&gt;1,X593/100,X593)))</f>
        <v>0</v>
      </c>
      <c r="AI593" s="21" t="n">
        <f aca="false">IF(OR(AE593="",AE593=0),0,AE593*IF(AA593="",0,IF(AA593&gt;1,AA593/100,AA593)))</f>
        <v>0</v>
      </c>
      <c r="AJ593" s="21" t="n">
        <f aca="false">AG593+AH593+AI593</f>
        <v>0</v>
      </c>
      <c r="AK593" s="21" t="n">
        <f aca="false">IF(OR(AE593="",AE593=0),0,AE593-AJ593)</f>
        <v>0</v>
      </c>
      <c r="AL593" s="19" t="str">
        <f aca="false">IF(AD593="","",AD593-AK593)</f>
        <v/>
      </c>
      <c r="AM593" s="26" t="str">
        <f aca="false">IF(C593="","","Waiting for payment")</f>
        <v/>
      </c>
      <c r="AN593" s="27"/>
      <c r="AO593" s="27"/>
      <c r="AP593" s="35" t="str">
        <f aca="false">IF(OR(C593="",I593="",K593=""),"",IF(K593="Monthly",EDATE(C593,ROUND(I593*SETTINGS!$I$8,0)),WORKDAY(C593,ROUND(I593*SETTINGS!$I$8,0))))</f>
        <v/>
      </c>
      <c r="AQ593" s="26" t="str">
        <f aca="true">IF(C593="","",IF(AND(AP593&lt;&gt;"",TODAY()&gt;=AP593),"Refi Ready",IF(TODAY()-C593&gt;=SETTINGS!$I$11,"Prospecting","Performing")))</f>
        <v/>
      </c>
      <c r="AR593" s="35" t="str">
        <f aca="false">IF(OR(C593="",I593="",K593=""),"",IF(K593="Monthly",EDATE(C593,I593),WORKDAY(C593,I593)))</f>
        <v/>
      </c>
      <c r="AS593" s="28"/>
      <c r="AT593" s="36" t="str">
        <f aca="true">IF(C593="","",IF(AM593="Clawed Back","CLAWED",IF(TODAY()&lt;=C593+SETTINGS!$I$2,"⚠ AT RISK","SAFE")))</f>
        <v/>
      </c>
      <c r="AU593" s="28"/>
      <c r="AW593" s="24" t="n">
        <f aca="false">AW592+IF(AND(C593&lt;&gt;"",AO593&lt;&gt;"",OR('REP COMMISSION'!$B$3="",T593='REP COMMISSION'!$B$3,W593='REP COMMISSION'!$B$3,Z593='REP COMMISSION'!$B$3)),1,0)</f>
        <v>0</v>
      </c>
      <c r="AX593" s="24" t="n">
        <f aca="false">AX592+IF(AND(C593&lt;&gt;"",OR(F593="LOC - INITIAL",F593="CONSOLIDATION - UPFRONT COMM",F593="REVERSE - TOTAL FUNDING")),1,0)</f>
        <v>0</v>
      </c>
    </row>
    <row r="594" customFormat="false" ht="15" hidden="false" customHeight="false" outlineLevel="0" collapsed="false">
      <c r="A594" s="8" t="str">
        <f aca="false">IF(C594&lt;&gt;"","F"&amp;COUNT($C$4:C594),"")</f>
        <v/>
      </c>
      <c r="B594" s="9" t="str">
        <f aca="false">IF(OR(F594="LOC - INITIAL",F594="CONSOLIDATION - UPFRONT COMM",F594="REVERSE - TOTAL FUNDING"),A594,"")</f>
        <v/>
      </c>
      <c r="C594" s="10"/>
      <c r="D594" s="11"/>
      <c r="E594" s="11"/>
      <c r="F594" s="11"/>
      <c r="G594" s="12"/>
      <c r="H594" s="13"/>
      <c r="I594" s="11"/>
      <c r="J594" s="14" t="str">
        <f aca="false">IF(AND(G594&lt;&gt;"",H594&lt;&gt;""),G594*H594,"")</f>
        <v/>
      </c>
      <c r="K594" s="11"/>
      <c r="L594" s="15"/>
      <c r="M594" s="15"/>
      <c r="N594" s="14" t="n">
        <f aca="false">IF(OR(G594="",M594=""),0,IF(M594&gt;100,M594,G594*IF(M594&gt;1,M594/100,M594)))</f>
        <v>0</v>
      </c>
      <c r="O594" s="14" t="str">
        <f aca="false">IF(G594="","",G594*IF(L594="",0,IF(L594&gt;1,L594/100,L594))+N594)</f>
        <v/>
      </c>
      <c r="P594" s="11"/>
      <c r="Q594" s="16" t="str">
        <f aca="false">IF(P594="","",IFERROR(VLOOKUP(P594,PARTNERS!$A$2:$B$30,2,0),""))</f>
        <v/>
      </c>
      <c r="R594" s="17" t="str">
        <f aca="false">IF(O594="","",IF(OR(P594="",Q594=""),0,(O594-N594)*IF(Q594&gt;1,Q594/100,Q594)))</f>
        <v/>
      </c>
      <c r="S594" s="14" t="str">
        <f aca="false">IF(O594="","",O594-R594)</f>
        <v/>
      </c>
      <c r="T594" s="11"/>
      <c r="U594" s="18" t="str">
        <f aca="false">IF(T594="","",IFERROR(VLOOKUP(T594,REPS!$A$2:$D$40,2,0),""))</f>
        <v/>
      </c>
      <c r="V594" s="14" t="str">
        <f aca="false">IF(O594="","",IF(U594="",0,O594*IF(U594&gt;1,U594/100,U594)))</f>
        <v/>
      </c>
      <c r="W594" s="11"/>
      <c r="X594" s="18" t="str">
        <f aca="false">IF(W594="","",IFERROR(VLOOKUP(W594,REPS!$A$2:$D$40,3,0),""))</f>
        <v/>
      </c>
      <c r="Y594" s="14" t="str">
        <f aca="false">IF(O594="","",IF(X594="",0,O594*IF(X594&gt;1,X594/100,X594)))</f>
        <v/>
      </c>
      <c r="Z594" s="11"/>
      <c r="AA594" s="18" t="str">
        <f aca="false">IF(Z594="","",IFERROR(VLOOKUP(Z594,REPS!$A$2:$D$40,4,0),""))</f>
        <v/>
      </c>
      <c r="AB594" s="14" t="str">
        <f aca="false">IF(O594="","",IF(AA594="",0,O594*IF(AA594&gt;1,AA594/100,AA594)))</f>
        <v/>
      </c>
      <c r="AC594" s="14" t="str">
        <f aca="false">IF(O594="","",V594+Y594+AB594)</f>
        <v/>
      </c>
      <c r="AD594" s="19" t="str">
        <f aca="false">IF(O594="","",O594-R594-AC594)</f>
        <v/>
      </c>
      <c r="AE594" s="20"/>
      <c r="AF594" s="10"/>
      <c r="AG594" s="21" t="n">
        <f aca="false">IF(OR(AE594="",AE594=0),0,AE594*IF(U594="",0,IF(U594&gt;1,U594/100,U594)))</f>
        <v>0</v>
      </c>
      <c r="AH594" s="21" t="n">
        <f aca="false">IF(OR(AE594="",AE594=0),0,AE594*IF(X594="",0,IF(X594&gt;1,X594/100,X594)))</f>
        <v>0</v>
      </c>
      <c r="AI594" s="21" t="n">
        <f aca="false">IF(OR(AE594="",AE594=0),0,AE594*IF(AA594="",0,IF(AA594&gt;1,AA594/100,AA594)))</f>
        <v>0</v>
      </c>
      <c r="AJ594" s="21" t="n">
        <f aca="false">AG594+AH594+AI594</f>
        <v>0</v>
      </c>
      <c r="AK594" s="21" t="n">
        <f aca="false">IF(OR(AE594="",AE594=0),0,AE594-AJ594)</f>
        <v>0</v>
      </c>
      <c r="AL594" s="19" t="str">
        <f aca="false">IF(AD594="","",AD594-AK594)</f>
        <v/>
      </c>
      <c r="AM594" s="9" t="str">
        <f aca="false">IF(C594="","","Waiting for payment")</f>
        <v/>
      </c>
      <c r="AN594" s="10"/>
      <c r="AO594" s="10"/>
      <c r="AP594" s="22" t="str">
        <f aca="false">IF(OR(C594="",I594="",K594=""),"",IF(K594="Monthly",EDATE(C594,ROUND(I594*SETTINGS!$I$8,0)),WORKDAY(C594,ROUND(I594*SETTINGS!$I$8,0))))</f>
        <v/>
      </c>
      <c r="AQ594" s="9" t="str">
        <f aca="true">IF(C594="","",IF(AND(AP594&lt;&gt;"",TODAY()&gt;=AP594),"Refi Ready",IF(TODAY()-C594&gt;=SETTINGS!$I$11,"Prospecting","Performing")))</f>
        <v/>
      </c>
      <c r="AR594" s="22" t="str">
        <f aca="false">IF(OR(C594="",I594="",K594=""),"",IF(K594="Monthly",EDATE(C594,I594),WORKDAY(C594,I594)))</f>
        <v/>
      </c>
      <c r="AS594" s="11"/>
      <c r="AT594" s="23" t="str">
        <f aca="true">IF(C594="","",IF(AM594="Clawed Back","CLAWED",IF(TODAY()&lt;=C594+SETTINGS!$I$2,"⚠ AT RISK","SAFE")))</f>
        <v/>
      </c>
      <c r="AU594" s="11"/>
      <c r="AW594" s="24" t="n">
        <f aca="false">AW593+IF(AND(C594&lt;&gt;"",AO594&lt;&gt;"",OR('REP COMMISSION'!$B$3="",T594='REP COMMISSION'!$B$3,W594='REP COMMISSION'!$B$3,Z594='REP COMMISSION'!$B$3)),1,0)</f>
        <v>0</v>
      </c>
      <c r="AX594" s="24" t="n">
        <f aca="false">AX593+IF(AND(C594&lt;&gt;"",OR(F594="LOC - INITIAL",F594="CONSOLIDATION - UPFRONT COMM",F594="REVERSE - TOTAL FUNDING")),1,0)</f>
        <v>0</v>
      </c>
    </row>
    <row r="595" customFormat="false" ht="15" hidden="false" customHeight="false" outlineLevel="0" collapsed="false">
      <c r="A595" s="25" t="str">
        <f aca="false">IF(C595&lt;&gt;"","F"&amp;COUNT($C$4:C595),"")</f>
        <v/>
      </c>
      <c r="B595" s="26" t="str">
        <f aca="false">IF(OR(F595="LOC - INITIAL",F595="CONSOLIDATION - UPFRONT COMM",F595="REVERSE - TOTAL FUNDING"),A595,"")</f>
        <v/>
      </c>
      <c r="C595" s="27"/>
      <c r="D595" s="28"/>
      <c r="E595" s="28"/>
      <c r="F595" s="28"/>
      <c r="G595" s="29"/>
      <c r="H595" s="30"/>
      <c r="I595" s="28"/>
      <c r="J595" s="31" t="str">
        <f aca="false">IF(AND(G595&lt;&gt;"",H595&lt;&gt;""),G595*H595,"")</f>
        <v/>
      </c>
      <c r="K595" s="28"/>
      <c r="L595" s="32"/>
      <c r="M595" s="32"/>
      <c r="N595" s="31" t="n">
        <f aca="false">IF(OR(G595="",M595=""),0,IF(M595&gt;100,M595,G595*IF(M595&gt;1,M595/100,M595)))</f>
        <v>0</v>
      </c>
      <c r="O595" s="31" t="str">
        <f aca="false">IF(G595="","",G595*IF(L595="",0,IF(L595&gt;1,L595/100,L595))+N595)</f>
        <v/>
      </c>
      <c r="P595" s="28"/>
      <c r="Q595" s="33" t="str">
        <f aca="false">IF(P595="","",IFERROR(VLOOKUP(P595,PARTNERS!$A$2:$B$30,2,0),""))</f>
        <v/>
      </c>
      <c r="R595" s="17" t="str">
        <f aca="false">IF(O595="","",IF(OR(P595="",Q595=""),0,(O595-N595)*IF(Q595&gt;1,Q595/100,Q595)))</f>
        <v/>
      </c>
      <c r="S595" s="31" t="str">
        <f aca="false">IF(O595="","",O595-R595)</f>
        <v/>
      </c>
      <c r="T595" s="28"/>
      <c r="U595" s="34" t="str">
        <f aca="false">IF(T595="","",IFERROR(VLOOKUP(T595,REPS!$A$2:$D$40,2,0),""))</f>
        <v/>
      </c>
      <c r="V595" s="31" t="str">
        <f aca="false">IF(O595="","",IF(U595="",0,O595*IF(U595&gt;1,U595/100,U595)))</f>
        <v/>
      </c>
      <c r="W595" s="28"/>
      <c r="X595" s="34" t="str">
        <f aca="false">IF(W595="","",IFERROR(VLOOKUP(W595,REPS!$A$2:$D$40,3,0),""))</f>
        <v/>
      </c>
      <c r="Y595" s="31" t="str">
        <f aca="false">IF(O595="","",IF(X595="",0,O595*IF(X595&gt;1,X595/100,X595)))</f>
        <v/>
      </c>
      <c r="Z595" s="28"/>
      <c r="AA595" s="34" t="str">
        <f aca="false">IF(Z595="","",IFERROR(VLOOKUP(Z595,REPS!$A$2:$D$40,4,0),""))</f>
        <v/>
      </c>
      <c r="AB595" s="31" t="str">
        <f aca="false">IF(O595="","",IF(AA595="",0,O595*IF(AA595&gt;1,AA595/100,AA595)))</f>
        <v/>
      </c>
      <c r="AC595" s="31" t="str">
        <f aca="false">IF(O595="","",V595+Y595+AB595)</f>
        <v/>
      </c>
      <c r="AD595" s="19" t="str">
        <f aca="false">IF(O595="","",O595-R595-AC595)</f>
        <v/>
      </c>
      <c r="AE595" s="20"/>
      <c r="AF595" s="27"/>
      <c r="AG595" s="21" t="n">
        <f aca="false">IF(OR(AE595="",AE595=0),0,AE595*IF(U595="",0,IF(U595&gt;1,U595/100,U595)))</f>
        <v>0</v>
      </c>
      <c r="AH595" s="21" t="n">
        <f aca="false">IF(OR(AE595="",AE595=0),0,AE595*IF(X595="",0,IF(X595&gt;1,X595/100,X595)))</f>
        <v>0</v>
      </c>
      <c r="AI595" s="21" t="n">
        <f aca="false">IF(OR(AE595="",AE595=0),0,AE595*IF(AA595="",0,IF(AA595&gt;1,AA595/100,AA595)))</f>
        <v>0</v>
      </c>
      <c r="AJ595" s="21" t="n">
        <f aca="false">AG595+AH595+AI595</f>
        <v>0</v>
      </c>
      <c r="AK595" s="21" t="n">
        <f aca="false">IF(OR(AE595="",AE595=0),0,AE595-AJ595)</f>
        <v>0</v>
      </c>
      <c r="AL595" s="19" t="str">
        <f aca="false">IF(AD595="","",AD595-AK595)</f>
        <v/>
      </c>
      <c r="AM595" s="26" t="str">
        <f aca="false">IF(C595="","","Waiting for payment")</f>
        <v/>
      </c>
      <c r="AN595" s="27"/>
      <c r="AO595" s="27"/>
      <c r="AP595" s="35" t="str">
        <f aca="false">IF(OR(C595="",I595="",K595=""),"",IF(K595="Monthly",EDATE(C595,ROUND(I595*SETTINGS!$I$8,0)),WORKDAY(C595,ROUND(I595*SETTINGS!$I$8,0))))</f>
        <v/>
      </c>
      <c r="AQ595" s="26" t="str">
        <f aca="true">IF(C595="","",IF(AND(AP595&lt;&gt;"",TODAY()&gt;=AP595),"Refi Ready",IF(TODAY()-C595&gt;=SETTINGS!$I$11,"Prospecting","Performing")))</f>
        <v/>
      </c>
      <c r="AR595" s="35" t="str">
        <f aca="false">IF(OR(C595="",I595="",K595=""),"",IF(K595="Monthly",EDATE(C595,I595),WORKDAY(C595,I595)))</f>
        <v/>
      </c>
      <c r="AS595" s="28"/>
      <c r="AT595" s="36" t="str">
        <f aca="true">IF(C595="","",IF(AM595="Clawed Back","CLAWED",IF(TODAY()&lt;=C595+SETTINGS!$I$2,"⚠ AT RISK","SAFE")))</f>
        <v/>
      </c>
      <c r="AU595" s="28"/>
      <c r="AW595" s="24" t="n">
        <f aca="false">AW594+IF(AND(C595&lt;&gt;"",AO595&lt;&gt;"",OR('REP COMMISSION'!$B$3="",T595='REP COMMISSION'!$B$3,W595='REP COMMISSION'!$B$3,Z595='REP COMMISSION'!$B$3)),1,0)</f>
        <v>0</v>
      </c>
      <c r="AX595" s="24" t="n">
        <f aca="false">AX594+IF(AND(C595&lt;&gt;"",OR(F595="LOC - INITIAL",F595="CONSOLIDATION - UPFRONT COMM",F595="REVERSE - TOTAL FUNDING")),1,0)</f>
        <v>0</v>
      </c>
    </row>
    <row r="596" customFormat="false" ht="15" hidden="false" customHeight="false" outlineLevel="0" collapsed="false">
      <c r="A596" s="8" t="str">
        <f aca="false">IF(C596&lt;&gt;"","F"&amp;COUNT($C$4:C596),"")</f>
        <v/>
      </c>
      <c r="B596" s="9" t="str">
        <f aca="false">IF(OR(F596="LOC - INITIAL",F596="CONSOLIDATION - UPFRONT COMM",F596="REVERSE - TOTAL FUNDING"),A596,"")</f>
        <v/>
      </c>
      <c r="C596" s="10"/>
      <c r="D596" s="11"/>
      <c r="E596" s="11"/>
      <c r="F596" s="11"/>
      <c r="G596" s="12"/>
      <c r="H596" s="13"/>
      <c r="I596" s="11"/>
      <c r="J596" s="14" t="str">
        <f aca="false">IF(AND(G596&lt;&gt;"",H596&lt;&gt;""),G596*H596,"")</f>
        <v/>
      </c>
      <c r="K596" s="11"/>
      <c r="L596" s="15"/>
      <c r="M596" s="15"/>
      <c r="N596" s="14" t="n">
        <f aca="false">IF(OR(G596="",M596=""),0,IF(M596&gt;100,M596,G596*IF(M596&gt;1,M596/100,M596)))</f>
        <v>0</v>
      </c>
      <c r="O596" s="14" t="str">
        <f aca="false">IF(G596="","",G596*IF(L596="",0,IF(L596&gt;1,L596/100,L596))+N596)</f>
        <v/>
      </c>
      <c r="P596" s="11"/>
      <c r="Q596" s="16" t="str">
        <f aca="false">IF(P596="","",IFERROR(VLOOKUP(P596,PARTNERS!$A$2:$B$30,2,0),""))</f>
        <v/>
      </c>
      <c r="R596" s="17" t="str">
        <f aca="false">IF(O596="","",IF(OR(P596="",Q596=""),0,(O596-N596)*IF(Q596&gt;1,Q596/100,Q596)))</f>
        <v/>
      </c>
      <c r="S596" s="14" t="str">
        <f aca="false">IF(O596="","",O596-R596)</f>
        <v/>
      </c>
      <c r="T596" s="11"/>
      <c r="U596" s="18" t="str">
        <f aca="false">IF(T596="","",IFERROR(VLOOKUP(T596,REPS!$A$2:$D$40,2,0),""))</f>
        <v/>
      </c>
      <c r="V596" s="14" t="str">
        <f aca="false">IF(O596="","",IF(U596="",0,O596*IF(U596&gt;1,U596/100,U596)))</f>
        <v/>
      </c>
      <c r="W596" s="11"/>
      <c r="X596" s="18" t="str">
        <f aca="false">IF(W596="","",IFERROR(VLOOKUP(W596,REPS!$A$2:$D$40,3,0),""))</f>
        <v/>
      </c>
      <c r="Y596" s="14" t="str">
        <f aca="false">IF(O596="","",IF(X596="",0,O596*IF(X596&gt;1,X596/100,X596)))</f>
        <v/>
      </c>
      <c r="Z596" s="11"/>
      <c r="AA596" s="18" t="str">
        <f aca="false">IF(Z596="","",IFERROR(VLOOKUP(Z596,REPS!$A$2:$D$40,4,0),""))</f>
        <v/>
      </c>
      <c r="AB596" s="14" t="str">
        <f aca="false">IF(O596="","",IF(AA596="",0,O596*IF(AA596&gt;1,AA596/100,AA596)))</f>
        <v/>
      </c>
      <c r="AC596" s="14" t="str">
        <f aca="false">IF(O596="","",V596+Y596+AB596)</f>
        <v/>
      </c>
      <c r="AD596" s="19" t="str">
        <f aca="false">IF(O596="","",O596-R596-AC596)</f>
        <v/>
      </c>
      <c r="AE596" s="20"/>
      <c r="AF596" s="10"/>
      <c r="AG596" s="21" t="n">
        <f aca="false">IF(OR(AE596="",AE596=0),0,AE596*IF(U596="",0,IF(U596&gt;1,U596/100,U596)))</f>
        <v>0</v>
      </c>
      <c r="AH596" s="21" t="n">
        <f aca="false">IF(OR(AE596="",AE596=0),0,AE596*IF(X596="",0,IF(X596&gt;1,X596/100,X596)))</f>
        <v>0</v>
      </c>
      <c r="AI596" s="21" t="n">
        <f aca="false">IF(OR(AE596="",AE596=0),0,AE596*IF(AA596="",0,IF(AA596&gt;1,AA596/100,AA596)))</f>
        <v>0</v>
      </c>
      <c r="AJ596" s="21" t="n">
        <f aca="false">AG596+AH596+AI596</f>
        <v>0</v>
      </c>
      <c r="AK596" s="21" t="n">
        <f aca="false">IF(OR(AE596="",AE596=0),0,AE596-AJ596)</f>
        <v>0</v>
      </c>
      <c r="AL596" s="19" t="str">
        <f aca="false">IF(AD596="","",AD596-AK596)</f>
        <v/>
      </c>
      <c r="AM596" s="9" t="str">
        <f aca="false">IF(C596="","","Waiting for payment")</f>
        <v/>
      </c>
      <c r="AN596" s="10"/>
      <c r="AO596" s="10"/>
      <c r="AP596" s="22" t="str">
        <f aca="false">IF(OR(C596="",I596="",K596=""),"",IF(K596="Monthly",EDATE(C596,ROUND(I596*SETTINGS!$I$8,0)),WORKDAY(C596,ROUND(I596*SETTINGS!$I$8,0))))</f>
        <v/>
      </c>
      <c r="AQ596" s="9" t="str">
        <f aca="true">IF(C596="","",IF(AND(AP596&lt;&gt;"",TODAY()&gt;=AP596),"Refi Ready",IF(TODAY()-C596&gt;=SETTINGS!$I$11,"Prospecting","Performing")))</f>
        <v/>
      </c>
      <c r="AR596" s="22" t="str">
        <f aca="false">IF(OR(C596="",I596="",K596=""),"",IF(K596="Monthly",EDATE(C596,I596),WORKDAY(C596,I596)))</f>
        <v/>
      </c>
      <c r="AS596" s="11"/>
      <c r="AT596" s="23" t="str">
        <f aca="true">IF(C596="","",IF(AM596="Clawed Back","CLAWED",IF(TODAY()&lt;=C596+SETTINGS!$I$2,"⚠ AT RISK","SAFE")))</f>
        <v/>
      </c>
      <c r="AU596" s="11"/>
      <c r="AW596" s="24" t="n">
        <f aca="false">AW595+IF(AND(C596&lt;&gt;"",AO596&lt;&gt;"",OR('REP COMMISSION'!$B$3="",T596='REP COMMISSION'!$B$3,W596='REP COMMISSION'!$B$3,Z596='REP COMMISSION'!$B$3)),1,0)</f>
        <v>0</v>
      </c>
      <c r="AX596" s="24" t="n">
        <f aca="false">AX595+IF(AND(C596&lt;&gt;"",OR(F596="LOC - INITIAL",F596="CONSOLIDATION - UPFRONT COMM",F596="REVERSE - TOTAL FUNDING")),1,0)</f>
        <v>0</v>
      </c>
    </row>
    <row r="597" customFormat="false" ht="15" hidden="false" customHeight="false" outlineLevel="0" collapsed="false">
      <c r="A597" s="25" t="str">
        <f aca="false">IF(C597&lt;&gt;"","F"&amp;COUNT($C$4:C597),"")</f>
        <v/>
      </c>
      <c r="B597" s="26" t="str">
        <f aca="false">IF(OR(F597="LOC - INITIAL",F597="CONSOLIDATION - UPFRONT COMM",F597="REVERSE - TOTAL FUNDING"),A597,"")</f>
        <v/>
      </c>
      <c r="C597" s="27"/>
      <c r="D597" s="28"/>
      <c r="E597" s="28"/>
      <c r="F597" s="28"/>
      <c r="G597" s="29"/>
      <c r="H597" s="30"/>
      <c r="I597" s="28"/>
      <c r="J597" s="31" t="str">
        <f aca="false">IF(AND(G597&lt;&gt;"",H597&lt;&gt;""),G597*H597,"")</f>
        <v/>
      </c>
      <c r="K597" s="28"/>
      <c r="L597" s="32"/>
      <c r="M597" s="32"/>
      <c r="N597" s="31" t="n">
        <f aca="false">IF(OR(G597="",M597=""),0,IF(M597&gt;100,M597,G597*IF(M597&gt;1,M597/100,M597)))</f>
        <v>0</v>
      </c>
      <c r="O597" s="31" t="str">
        <f aca="false">IF(G597="","",G597*IF(L597="",0,IF(L597&gt;1,L597/100,L597))+N597)</f>
        <v/>
      </c>
      <c r="P597" s="28"/>
      <c r="Q597" s="33" t="str">
        <f aca="false">IF(P597="","",IFERROR(VLOOKUP(P597,PARTNERS!$A$2:$B$30,2,0),""))</f>
        <v/>
      </c>
      <c r="R597" s="17" t="str">
        <f aca="false">IF(O597="","",IF(OR(P597="",Q597=""),0,(O597-N597)*IF(Q597&gt;1,Q597/100,Q597)))</f>
        <v/>
      </c>
      <c r="S597" s="31" t="str">
        <f aca="false">IF(O597="","",O597-R597)</f>
        <v/>
      </c>
      <c r="T597" s="28"/>
      <c r="U597" s="34" t="str">
        <f aca="false">IF(T597="","",IFERROR(VLOOKUP(T597,REPS!$A$2:$D$40,2,0),""))</f>
        <v/>
      </c>
      <c r="V597" s="31" t="str">
        <f aca="false">IF(O597="","",IF(U597="",0,O597*IF(U597&gt;1,U597/100,U597)))</f>
        <v/>
      </c>
      <c r="W597" s="28"/>
      <c r="X597" s="34" t="str">
        <f aca="false">IF(W597="","",IFERROR(VLOOKUP(W597,REPS!$A$2:$D$40,3,0),""))</f>
        <v/>
      </c>
      <c r="Y597" s="31" t="str">
        <f aca="false">IF(O597="","",IF(X597="",0,O597*IF(X597&gt;1,X597/100,X597)))</f>
        <v/>
      </c>
      <c r="Z597" s="28"/>
      <c r="AA597" s="34" t="str">
        <f aca="false">IF(Z597="","",IFERROR(VLOOKUP(Z597,REPS!$A$2:$D$40,4,0),""))</f>
        <v/>
      </c>
      <c r="AB597" s="31" t="str">
        <f aca="false">IF(O597="","",IF(AA597="",0,O597*IF(AA597&gt;1,AA597/100,AA597)))</f>
        <v/>
      </c>
      <c r="AC597" s="31" t="str">
        <f aca="false">IF(O597="","",V597+Y597+AB597)</f>
        <v/>
      </c>
      <c r="AD597" s="19" t="str">
        <f aca="false">IF(O597="","",O597-R597-AC597)</f>
        <v/>
      </c>
      <c r="AE597" s="20"/>
      <c r="AF597" s="27"/>
      <c r="AG597" s="21" t="n">
        <f aca="false">IF(OR(AE597="",AE597=0),0,AE597*IF(U597="",0,IF(U597&gt;1,U597/100,U597)))</f>
        <v>0</v>
      </c>
      <c r="AH597" s="21" t="n">
        <f aca="false">IF(OR(AE597="",AE597=0),0,AE597*IF(X597="",0,IF(X597&gt;1,X597/100,X597)))</f>
        <v>0</v>
      </c>
      <c r="AI597" s="21" t="n">
        <f aca="false">IF(OR(AE597="",AE597=0),0,AE597*IF(AA597="",0,IF(AA597&gt;1,AA597/100,AA597)))</f>
        <v>0</v>
      </c>
      <c r="AJ597" s="21" t="n">
        <f aca="false">AG597+AH597+AI597</f>
        <v>0</v>
      </c>
      <c r="AK597" s="21" t="n">
        <f aca="false">IF(OR(AE597="",AE597=0),0,AE597-AJ597)</f>
        <v>0</v>
      </c>
      <c r="AL597" s="19" t="str">
        <f aca="false">IF(AD597="","",AD597-AK597)</f>
        <v/>
      </c>
      <c r="AM597" s="26" t="str">
        <f aca="false">IF(C597="","","Waiting for payment")</f>
        <v/>
      </c>
      <c r="AN597" s="27"/>
      <c r="AO597" s="27"/>
      <c r="AP597" s="35" t="str">
        <f aca="false">IF(OR(C597="",I597="",K597=""),"",IF(K597="Monthly",EDATE(C597,ROUND(I597*SETTINGS!$I$8,0)),WORKDAY(C597,ROUND(I597*SETTINGS!$I$8,0))))</f>
        <v/>
      </c>
      <c r="AQ597" s="26" t="str">
        <f aca="true">IF(C597="","",IF(AND(AP597&lt;&gt;"",TODAY()&gt;=AP597),"Refi Ready",IF(TODAY()-C597&gt;=SETTINGS!$I$11,"Prospecting","Performing")))</f>
        <v/>
      </c>
      <c r="AR597" s="35" t="str">
        <f aca="false">IF(OR(C597="",I597="",K597=""),"",IF(K597="Monthly",EDATE(C597,I597),WORKDAY(C597,I597)))</f>
        <v/>
      </c>
      <c r="AS597" s="28"/>
      <c r="AT597" s="36" t="str">
        <f aca="true">IF(C597="","",IF(AM597="Clawed Back","CLAWED",IF(TODAY()&lt;=C597+SETTINGS!$I$2,"⚠ AT RISK","SAFE")))</f>
        <v/>
      </c>
      <c r="AU597" s="28"/>
      <c r="AW597" s="24" t="n">
        <f aca="false">AW596+IF(AND(C597&lt;&gt;"",AO597&lt;&gt;"",OR('REP COMMISSION'!$B$3="",T597='REP COMMISSION'!$B$3,W597='REP COMMISSION'!$B$3,Z597='REP COMMISSION'!$B$3)),1,0)</f>
        <v>0</v>
      </c>
      <c r="AX597" s="24" t="n">
        <f aca="false">AX596+IF(AND(C597&lt;&gt;"",OR(F597="LOC - INITIAL",F597="CONSOLIDATION - UPFRONT COMM",F597="REVERSE - TOTAL FUNDING")),1,0)</f>
        <v>0</v>
      </c>
    </row>
    <row r="598" customFormat="false" ht="15" hidden="false" customHeight="false" outlineLevel="0" collapsed="false">
      <c r="A598" s="8" t="str">
        <f aca="false">IF(C598&lt;&gt;"","F"&amp;COUNT($C$4:C598),"")</f>
        <v/>
      </c>
      <c r="B598" s="9" t="str">
        <f aca="false">IF(OR(F598="LOC - INITIAL",F598="CONSOLIDATION - UPFRONT COMM",F598="REVERSE - TOTAL FUNDING"),A598,"")</f>
        <v/>
      </c>
      <c r="C598" s="10"/>
      <c r="D598" s="11"/>
      <c r="E598" s="11"/>
      <c r="F598" s="11"/>
      <c r="G598" s="12"/>
      <c r="H598" s="13"/>
      <c r="I598" s="11"/>
      <c r="J598" s="14" t="str">
        <f aca="false">IF(AND(G598&lt;&gt;"",H598&lt;&gt;""),G598*H598,"")</f>
        <v/>
      </c>
      <c r="K598" s="11"/>
      <c r="L598" s="15"/>
      <c r="M598" s="15"/>
      <c r="N598" s="14" t="n">
        <f aca="false">IF(OR(G598="",M598=""),0,IF(M598&gt;100,M598,G598*IF(M598&gt;1,M598/100,M598)))</f>
        <v>0</v>
      </c>
      <c r="O598" s="14" t="str">
        <f aca="false">IF(G598="","",G598*IF(L598="",0,IF(L598&gt;1,L598/100,L598))+N598)</f>
        <v/>
      </c>
      <c r="P598" s="11"/>
      <c r="Q598" s="16" t="str">
        <f aca="false">IF(P598="","",IFERROR(VLOOKUP(P598,PARTNERS!$A$2:$B$30,2,0),""))</f>
        <v/>
      </c>
      <c r="R598" s="17" t="str">
        <f aca="false">IF(O598="","",IF(OR(P598="",Q598=""),0,(O598-N598)*IF(Q598&gt;1,Q598/100,Q598)))</f>
        <v/>
      </c>
      <c r="S598" s="14" t="str">
        <f aca="false">IF(O598="","",O598-R598)</f>
        <v/>
      </c>
      <c r="T598" s="11"/>
      <c r="U598" s="18" t="str">
        <f aca="false">IF(T598="","",IFERROR(VLOOKUP(T598,REPS!$A$2:$D$40,2,0),""))</f>
        <v/>
      </c>
      <c r="V598" s="14" t="str">
        <f aca="false">IF(O598="","",IF(U598="",0,O598*IF(U598&gt;1,U598/100,U598)))</f>
        <v/>
      </c>
      <c r="W598" s="11"/>
      <c r="X598" s="18" t="str">
        <f aca="false">IF(W598="","",IFERROR(VLOOKUP(W598,REPS!$A$2:$D$40,3,0),""))</f>
        <v/>
      </c>
      <c r="Y598" s="14" t="str">
        <f aca="false">IF(O598="","",IF(X598="",0,O598*IF(X598&gt;1,X598/100,X598)))</f>
        <v/>
      </c>
      <c r="Z598" s="11"/>
      <c r="AA598" s="18" t="str">
        <f aca="false">IF(Z598="","",IFERROR(VLOOKUP(Z598,REPS!$A$2:$D$40,4,0),""))</f>
        <v/>
      </c>
      <c r="AB598" s="14" t="str">
        <f aca="false">IF(O598="","",IF(AA598="",0,O598*IF(AA598&gt;1,AA598/100,AA598)))</f>
        <v/>
      </c>
      <c r="AC598" s="14" t="str">
        <f aca="false">IF(O598="","",V598+Y598+AB598)</f>
        <v/>
      </c>
      <c r="AD598" s="19" t="str">
        <f aca="false">IF(O598="","",O598-R598-AC598)</f>
        <v/>
      </c>
      <c r="AE598" s="20"/>
      <c r="AF598" s="10"/>
      <c r="AG598" s="21" t="n">
        <f aca="false">IF(OR(AE598="",AE598=0),0,AE598*IF(U598="",0,IF(U598&gt;1,U598/100,U598)))</f>
        <v>0</v>
      </c>
      <c r="AH598" s="21" t="n">
        <f aca="false">IF(OR(AE598="",AE598=0),0,AE598*IF(X598="",0,IF(X598&gt;1,X598/100,X598)))</f>
        <v>0</v>
      </c>
      <c r="AI598" s="21" t="n">
        <f aca="false">IF(OR(AE598="",AE598=0),0,AE598*IF(AA598="",0,IF(AA598&gt;1,AA598/100,AA598)))</f>
        <v>0</v>
      </c>
      <c r="AJ598" s="21" t="n">
        <f aca="false">AG598+AH598+AI598</f>
        <v>0</v>
      </c>
      <c r="AK598" s="21" t="n">
        <f aca="false">IF(OR(AE598="",AE598=0),0,AE598-AJ598)</f>
        <v>0</v>
      </c>
      <c r="AL598" s="19" t="str">
        <f aca="false">IF(AD598="","",AD598-AK598)</f>
        <v/>
      </c>
      <c r="AM598" s="9" t="str">
        <f aca="false">IF(C598="","","Waiting for payment")</f>
        <v/>
      </c>
      <c r="AN598" s="10"/>
      <c r="AO598" s="10"/>
      <c r="AP598" s="22" t="str">
        <f aca="false">IF(OR(C598="",I598="",K598=""),"",IF(K598="Monthly",EDATE(C598,ROUND(I598*SETTINGS!$I$8,0)),WORKDAY(C598,ROUND(I598*SETTINGS!$I$8,0))))</f>
        <v/>
      </c>
      <c r="AQ598" s="9" t="str">
        <f aca="true">IF(C598="","",IF(AND(AP598&lt;&gt;"",TODAY()&gt;=AP598),"Refi Ready",IF(TODAY()-C598&gt;=SETTINGS!$I$11,"Prospecting","Performing")))</f>
        <v/>
      </c>
      <c r="AR598" s="22" t="str">
        <f aca="false">IF(OR(C598="",I598="",K598=""),"",IF(K598="Monthly",EDATE(C598,I598),WORKDAY(C598,I598)))</f>
        <v/>
      </c>
      <c r="AS598" s="11"/>
      <c r="AT598" s="23" t="str">
        <f aca="true">IF(C598="","",IF(AM598="Clawed Back","CLAWED",IF(TODAY()&lt;=C598+SETTINGS!$I$2,"⚠ AT RISK","SAFE")))</f>
        <v/>
      </c>
      <c r="AU598" s="11"/>
      <c r="AW598" s="24" t="n">
        <f aca="false">AW597+IF(AND(C598&lt;&gt;"",AO598&lt;&gt;"",OR('REP COMMISSION'!$B$3="",T598='REP COMMISSION'!$B$3,W598='REP COMMISSION'!$B$3,Z598='REP COMMISSION'!$B$3)),1,0)</f>
        <v>0</v>
      </c>
      <c r="AX598" s="24" t="n">
        <f aca="false">AX597+IF(AND(C598&lt;&gt;"",OR(F598="LOC - INITIAL",F598="CONSOLIDATION - UPFRONT COMM",F598="REVERSE - TOTAL FUNDING")),1,0)</f>
        <v>0</v>
      </c>
    </row>
    <row r="599" customFormat="false" ht="15" hidden="false" customHeight="false" outlineLevel="0" collapsed="false">
      <c r="A599" s="25" t="str">
        <f aca="false">IF(C599&lt;&gt;"","F"&amp;COUNT($C$4:C599),"")</f>
        <v/>
      </c>
      <c r="B599" s="26" t="str">
        <f aca="false">IF(OR(F599="LOC - INITIAL",F599="CONSOLIDATION - UPFRONT COMM",F599="REVERSE - TOTAL FUNDING"),A599,"")</f>
        <v/>
      </c>
      <c r="C599" s="27"/>
      <c r="D599" s="28"/>
      <c r="E599" s="28"/>
      <c r="F599" s="28"/>
      <c r="G599" s="29"/>
      <c r="H599" s="30"/>
      <c r="I599" s="28"/>
      <c r="J599" s="31" t="str">
        <f aca="false">IF(AND(G599&lt;&gt;"",H599&lt;&gt;""),G599*H599,"")</f>
        <v/>
      </c>
      <c r="K599" s="28"/>
      <c r="L599" s="32"/>
      <c r="M599" s="32"/>
      <c r="N599" s="31" t="n">
        <f aca="false">IF(OR(G599="",M599=""),0,IF(M599&gt;100,M599,G599*IF(M599&gt;1,M599/100,M599)))</f>
        <v>0</v>
      </c>
      <c r="O599" s="31" t="str">
        <f aca="false">IF(G599="","",G599*IF(L599="",0,IF(L599&gt;1,L599/100,L599))+N599)</f>
        <v/>
      </c>
      <c r="P599" s="28"/>
      <c r="Q599" s="33" t="str">
        <f aca="false">IF(P599="","",IFERROR(VLOOKUP(P599,PARTNERS!$A$2:$B$30,2,0),""))</f>
        <v/>
      </c>
      <c r="R599" s="17" t="str">
        <f aca="false">IF(O599="","",IF(OR(P599="",Q599=""),0,(O599-N599)*IF(Q599&gt;1,Q599/100,Q599)))</f>
        <v/>
      </c>
      <c r="S599" s="31" t="str">
        <f aca="false">IF(O599="","",O599-R599)</f>
        <v/>
      </c>
      <c r="T599" s="28"/>
      <c r="U599" s="34" t="str">
        <f aca="false">IF(T599="","",IFERROR(VLOOKUP(T599,REPS!$A$2:$D$40,2,0),""))</f>
        <v/>
      </c>
      <c r="V599" s="31" t="str">
        <f aca="false">IF(O599="","",IF(U599="",0,O599*IF(U599&gt;1,U599/100,U599)))</f>
        <v/>
      </c>
      <c r="W599" s="28"/>
      <c r="X599" s="34" t="str">
        <f aca="false">IF(W599="","",IFERROR(VLOOKUP(W599,REPS!$A$2:$D$40,3,0),""))</f>
        <v/>
      </c>
      <c r="Y599" s="31" t="str">
        <f aca="false">IF(O599="","",IF(X599="",0,O599*IF(X599&gt;1,X599/100,X599)))</f>
        <v/>
      </c>
      <c r="Z599" s="28"/>
      <c r="AA599" s="34" t="str">
        <f aca="false">IF(Z599="","",IFERROR(VLOOKUP(Z599,REPS!$A$2:$D$40,4,0),""))</f>
        <v/>
      </c>
      <c r="AB599" s="31" t="str">
        <f aca="false">IF(O599="","",IF(AA599="",0,O599*IF(AA599&gt;1,AA599/100,AA599)))</f>
        <v/>
      </c>
      <c r="AC599" s="31" t="str">
        <f aca="false">IF(O599="","",V599+Y599+AB599)</f>
        <v/>
      </c>
      <c r="AD599" s="19" t="str">
        <f aca="false">IF(O599="","",O599-R599-AC599)</f>
        <v/>
      </c>
      <c r="AE599" s="20"/>
      <c r="AF599" s="27"/>
      <c r="AG599" s="21" t="n">
        <f aca="false">IF(OR(AE599="",AE599=0),0,AE599*IF(U599="",0,IF(U599&gt;1,U599/100,U599)))</f>
        <v>0</v>
      </c>
      <c r="AH599" s="21" t="n">
        <f aca="false">IF(OR(AE599="",AE599=0),0,AE599*IF(X599="",0,IF(X599&gt;1,X599/100,X599)))</f>
        <v>0</v>
      </c>
      <c r="AI599" s="21" t="n">
        <f aca="false">IF(OR(AE599="",AE599=0),0,AE599*IF(AA599="",0,IF(AA599&gt;1,AA599/100,AA599)))</f>
        <v>0</v>
      </c>
      <c r="AJ599" s="21" t="n">
        <f aca="false">AG599+AH599+AI599</f>
        <v>0</v>
      </c>
      <c r="AK599" s="21" t="n">
        <f aca="false">IF(OR(AE599="",AE599=0),0,AE599-AJ599)</f>
        <v>0</v>
      </c>
      <c r="AL599" s="19" t="str">
        <f aca="false">IF(AD599="","",AD599-AK599)</f>
        <v/>
      </c>
      <c r="AM599" s="26" t="str">
        <f aca="false">IF(C599="","","Waiting for payment")</f>
        <v/>
      </c>
      <c r="AN599" s="27"/>
      <c r="AO599" s="27"/>
      <c r="AP599" s="35" t="str">
        <f aca="false">IF(OR(C599="",I599="",K599=""),"",IF(K599="Monthly",EDATE(C599,ROUND(I599*SETTINGS!$I$8,0)),WORKDAY(C599,ROUND(I599*SETTINGS!$I$8,0))))</f>
        <v/>
      </c>
      <c r="AQ599" s="26" t="str">
        <f aca="true">IF(C599="","",IF(AND(AP599&lt;&gt;"",TODAY()&gt;=AP599),"Refi Ready",IF(TODAY()-C599&gt;=SETTINGS!$I$11,"Prospecting","Performing")))</f>
        <v/>
      </c>
      <c r="AR599" s="35" t="str">
        <f aca="false">IF(OR(C599="",I599="",K599=""),"",IF(K599="Monthly",EDATE(C599,I599),WORKDAY(C599,I599)))</f>
        <v/>
      </c>
      <c r="AS599" s="28"/>
      <c r="AT599" s="36" t="str">
        <f aca="true">IF(C599="","",IF(AM599="Clawed Back","CLAWED",IF(TODAY()&lt;=C599+SETTINGS!$I$2,"⚠ AT RISK","SAFE")))</f>
        <v/>
      </c>
      <c r="AU599" s="28"/>
      <c r="AW599" s="24" t="n">
        <f aca="false">AW598+IF(AND(C599&lt;&gt;"",AO599&lt;&gt;"",OR('REP COMMISSION'!$B$3="",T599='REP COMMISSION'!$B$3,W599='REP COMMISSION'!$B$3,Z599='REP COMMISSION'!$B$3)),1,0)</f>
        <v>0</v>
      </c>
      <c r="AX599" s="24" t="n">
        <f aca="false">AX598+IF(AND(C599&lt;&gt;"",OR(F599="LOC - INITIAL",F599="CONSOLIDATION - UPFRONT COMM",F599="REVERSE - TOTAL FUNDING")),1,0)</f>
        <v>0</v>
      </c>
    </row>
    <row r="600" customFormat="false" ht="15" hidden="false" customHeight="false" outlineLevel="0" collapsed="false">
      <c r="A600" s="8" t="str">
        <f aca="false">IF(C600&lt;&gt;"","F"&amp;COUNT($C$4:C600),"")</f>
        <v/>
      </c>
      <c r="B600" s="9" t="str">
        <f aca="false">IF(OR(F600="LOC - INITIAL",F600="CONSOLIDATION - UPFRONT COMM",F600="REVERSE - TOTAL FUNDING"),A600,"")</f>
        <v/>
      </c>
      <c r="C600" s="10"/>
      <c r="D600" s="11"/>
      <c r="E600" s="11"/>
      <c r="F600" s="11"/>
      <c r="G600" s="12"/>
      <c r="H600" s="13"/>
      <c r="I600" s="11"/>
      <c r="J600" s="14" t="str">
        <f aca="false">IF(AND(G600&lt;&gt;"",H600&lt;&gt;""),G600*H600,"")</f>
        <v/>
      </c>
      <c r="K600" s="11"/>
      <c r="L600" s="15"/>
      <c r="M600" s="15"/>
      <c r="N600" s="14" t="n">
        <f aca="false">IF(OR(G600="",M600=""),0,IF(M600&gt;100,M600,G600*IF(M600&gt;1,M600/100,M600)))</f>
        <v>0</v>
      </c>
      <c r="O600" s="14" t="str">
        <f aca="false">IF(G600="","",G600*IF(L600="",0,IF(L600&gt;1,L600/100,L600))+N600)</f>
        <v/>
      </c>
      <c r="P600" s="11"/>
      <c r="Q600" s="16" t="str">
        <f aca="false">IF(P600="","",IFERROR(VLOOKUP(P600,PARTNERS!$A$2:$B$30,2,0),""))</f>
        <v/>
      </c>
      <c r="R600" s="17" t="str">
        <f aca="false">IF(O600="","",IF(OR(P600="",Q600=""),0,(O600-N600)*IF(Q600&gt;1,Q600/100,Q600)))</f>
        <v/>
      </c>
      <c r="S600" s="14" t="str">
        <f aca="false">IF(O600="","",O600-R600)</f>
        <v/>
      </c>
      <c r="T600" s="11"/>
      <c r="U600" s="18" t="str">
        <f aca="false">IF(T600="","",IFERROR(VLOOKUP(T600,REPS!$A$2:$D$40,2,0),""))</f>
        <v/>
      </c>
      <c r="V600" s="14" t="str">
        <f aca="false">IF(O600="","",IF(U600="",0,O600*IF(U600&gt;1,U600/100,U600)))</f>
        <v/>
      </c>
      <c r="W600" s="11"/>
      <c r="X600" s="18" t="str">
        <f aca="false">IF(W600="","",IFERROR(VLOOKUP(W600,REPS!$A$2:$D$40,3,0),""))</f>
        <v/>
      </c>
      <c r="Y600" s="14" t="str">
        <f aca="false">IF(O600="","",IF(X600="",0,O600*IF(X600&gt;1,X600/100,X600)))</f>
        <v/>
      </c>
      <c r="Z600" s="11"/>
      <c r="AA600" s="18" t="str">
        <f aca="false">IF(Z600="","",IFERROR(VLOOKUP(Z600,REPS!$A$2:$D$40,4,0),""))</f>
        <v/>
      </c>
      <c r="AB600" s="14" t="str">
        <f aca="false">IF(O600="","",IF(AA600="",0,O600*IF(AA600&gt;1,AA600/100,AA600)))</f>
        <v/>
      </c>
      <c r="AC600" s="14" t="str">
        <f aca="false">IF(O600="","",V600+Y600+AB600)</f>
        <v/>
      </c>
      <c r="AD600" s="19" t="str">
        <f aca="false">IF(O600="","",O600-R600-AC600)</f>
        <v/>
      </c>
      <c r="AE600" s="20"/>
      <c r="AF600" s="10"/>
      <c r="AG600" s="21" t="n">
        <f aca="false">IF(OR(AE600="",AE600=0),0,AE600*IF(U600="",0,IF(U600&gt;1,U600/100,U600)))</f>
        <v>0</v>
      </c>
      <c r="AH600" s="21" t="n">
        <f aca="false">IF(OR(AE600="",AE600=0),0,AE600*IF(X600="",0,IF(X600&gt;1,X600/100,X600)))</f>
        <v>0</v>
      </c>
      <c r="AI600" s="21" t="n">
        <f aca="false">IF(OR(AE600="",AE600=0),0,AE600*IF(AA600="",0,IF(AA600&gt;1,AA600/100,AA600)))</f>
        <v>0</v>
      </c>
      <c r="AJ600" s="21" t="n">
        <f aca="false">AG600+AH600+AI600</f>
        <v>0</v>
      </c>
      <c r="AK600" s="21" t="n">
        <f aca="false">IF(OR(AE600="",AE600=0),0,AE600-AJ600)</f>
        <v>0</v>
      </c>
      <c r="AL600" s="19" t="str">
        <f aca="false">IF(AD600="","",AD600-AK600)</f>
        <v/>
      </c>
      <c r="AM600" s="9" t="str">
        <f aca="false">IF(C600="","","Waiting for payment")</f>
        <v/>
      </c>
      <c r="AN600" s="10"/>
      <c r="AO600" s="10"/>
      <c r="AP600" s="22" t="str">
        <f aca="false">IF(OR(C600="",I600="",K600=""),"",IF(K600="Monthly",EDATE(C600,ROUND(I600*SETTINGS!$I$8,0)),WORKDAY(C600,ROUND(I600*SETTINGS!$I$8,0))))</f>
        <v/>
      </c>
      <c r="AQ600" s="9" t="str">
        <f aca="true">IF(C600="","",IF(AND(AP600&lt;&gt;"",TODAY()&gt;=AP600),"Refi Ready",IF(TODAY()-C600&gt;=SETTINGS!$I$11,"Prospecting","Performing")))</f>
        <v/>
      </c>
      <c r="AR600" s="22" t="str">
        <f aca="false">IF(OR(C600="",I600="",K600=""),"",IF(K600="Monthly",EDATE(C600,I600),WORKDAY(C600,I600)))</f>
        <v/>
      </c>
      <c r="AS600" s="11"/>
      <c r="AT600" s="23" t="str">
        <f aca="true">IF(C600="","",IF(AM600="Clawed Back","CLAWED",IF(TODAY()&lt;=C600+SETTINGS!$I$2,"⚠ AT RISK","SAFE")))</f>
        <v/>
      </c>
      <c r="AU600" s="11"/>
      <c r="AW600" s="24" t="n">
        <f aca="false">AW599+IF(AND(C600&lt;&gt;"",AO600&lt;&gt;"",OR('REP COMMISSION'!$B$3="",T600='REP COMMISSION'!$B$3,W600='REP COMMISSION'!$B$3,Z600='REP COMMISSION'!$B$3)),1,0)</f>
        <v>0</v>
      </c>
      <c r="AX600" s="24" t="n">
        <f aca="false">AX599+IF(AND(C600&lt;&gt;"",OR(F600="LOC - INITIAL",F600="CONSOLIDATION - UPFRONT COMM",F600="REVERSE - TOTAL FUNDING")),1,0)</f>
        <v>0</v>
      </c>
    </row>
    <row r="601" customFormat="false" ht="15" hidden="false" customHeight="false" outlineLevel="0" collapsed="false">
      <c r="A601" s="25" t="str">
        <f aca="false">IF(C601&lt;&gt;"","F"&amp;COUNT($C$4:C601),"")</f>
        <v/>
      </c>
      <c r="B601" s="26" t="str">
        <f aca="false">IF(OR(F601="LOC - INITIAL",F601="CONSOLIDATION - UPFRONT COMM",F601="REVERSE - TOTAL FUNDING"),A601,"")</f>
        <v/>
      </c>
      <c r="C601" s="27"/>
      <c r="D601" s="28"/>
      <c r="E601" s="28"/>
      <c r="F601" s="28"/>
      <c r="G601" s="29"/>
      <c r="H601" s="30"/>
      <c r="I601" s="28"/>
      <c r="J601" s="31" t="str">
        <f aca="false">IF(AND(G601&lt;&gt;"",H601&lt;&gt;""),G601*H601,"")</f>
        <v/>
      </c>
      <c r="K601" s="28"/>
      <c r="L601" s="32"/>
      <c r="M601" s="32"/>
      <c r="N601" s="31" t="n">
        <f aca="false">IF(OR(G601="",M601=""),0,IF(M601&gt;100,M601,G601*IF(M601&gt;1,M601/100,M601)))</f>
        <v>0</v>
      </c>
      <c r="O601" s="31" t="str">
        <f aca="false">IF(G601="","",G601*IF(L601="",0,IF(L601&gt;1,L601/100,L601))+N601)</f>
        <v/>
      </c>
      <c r="P601" s="28"/>
      <c r="Q601" s="33" t="str">
        <f aca="false">IF(P601="","",IFERROR(VLOOKUP(P601,PARTNERS!$A$2:$B$30,2,0),""))</f>
        <v/>
      </c>
      <c r="R601" s="17" t="str">
        <f aca="false">IF(O601="","",IF(OR(P601="",Q601=""),0,(O601-N601)*IF(Q601&gt;1,Q601/100,Q601)))</f>
        <v/>
      </c>
      <c r="S601" s="31" t="str">
        <f aca="false">IF(O601="","",O601-R601)</f>
        <v/>
      </c>
      <c r="T601" s="28"/>
      <c r="U601" s="34" t="str">
        <f aca="false">IF(T601="","",IFERROR(VLOOKUP(T601,REPS!$A$2:$D$40,2,0),""))</f>
        <v/>
      </c>
      <c r="V601" s="31" t="str">
        <f aca="false">IF(O601="","",IF(U601="",0,O601*IF(U601&gt;1,U601/100,U601)))</f>
        <v/>
      </c>
      <c r="W601" s="28"/>
      <c r="X601" s="34" t="str">
        <f aca="false">IF(W601="","",IFERROR(VLOOKUP(W601,REPS!$A$2:$D$40,3,0),""))</f>
        <v/>
      </c>
      <c r="Y601" s="31" t="str">
        <f aca="false">IF(O601="","",IF(X601="",0,O601*IF(X601&gt;1,X601/100,X601)))</f>
        <v/>
      </c>
      <c r="Z601" s="28"/>
      <c r="AA601" s="34" t="str">
        <f aca="false">IF(Z601="","",IFERROR(VLOOKUP(Z601,REPS!$A$2:$D$40,4,0),""))</f>
        <v/>
      </c>
      <c r="AB601" s="31" t="str">
        <f aca="false">IF(O601="","",IF(AA601="",0,O601*IF(AA601&gt;1,AA601/100,AA601)))</f>
        <v/>
      </c>
      <c r="AC601" s="31" t="str">
        <f aca="false">IF(O601="","",V601+Y601+AB601)</f>
        <v/>
      </c>
      <c r="AD601" s="19" t="str">
        <f aca="false">IF(O601="","",O601-R601-AC601)</f>
        <v/>
      </c>
      <c r="AE601" s="20"/>
      <c r="AF601" s="27"/>
      <c r="AG601" s="21" t="n">
        <f aca="false">IF(OR(AE601="",AE601=0),0,AE601*IF(U601="",0,IF(U601&gt;1,U601/100,U601)))</f>
        <v>0</v>
      </c>
      <c r="AH601" s="21" t="n">
        <f aca="false">IF(OR(AE601="",AE601=0),0,AE601*IF(X601="",0,IF(X601&gt;1,X601/100,X601)))</f>
        <v>0</v>
      </c>
      <c r="AI601" s="21" t="n">
        <f aca="false">IF(OR(AE601="",AE601=0),0,AE601*IF(AA601="",0,IF(AA601&gt;1,AA601/100,AA601)))</f>
        <v>0</v>
      </c>
      <c r="AJ601" s="21" t="n">
        <f aca="false">AG601+AH601+AI601</f>
        <v>0</v>
      </c>
      <c r="AK601" s="21" t="n">
        <f aca="false">IF(OR(AE601="",AE601=0),0,AE601-AJ601)</f>
        <v>0</v>
      </c>
      <c r="AL601" s="19" t="str">
        <f aca="false">IF(AD601="","",AD601-AK601)</f>
        <v/>
      </c>
      <c r="AM601" s="26" t="str">
        <f aca="false">IF(C601="","","Waiting for payment")</f>
        <v/>
      </c>
      <c r="AN601" s="27"/>
      <c r="AO601" s="27"/>
      <c r="AP601" s="35" t="str">
        <f aca="false">IF(OR(C601="",I601="",K601=""),"",IF(K601="Monthly",EDATE(C601,ROUND(I601*SETTINGS!$I$8,0)),WORKDAY(C601,ROUND(I601*SETTINGS!$I$8,0))))</f>
        <v/>
      </c>
      <c r="AQ601" s="26" t="str">
        <f aca="true">IF(C601="","",IF(AND(AP601&lt;&gt;"",TODAY()&gt;=AP601),"Refi Ready",IF(TODAY()-C601&gt;=SETTINGS!$I$11,"Prospecting","Performing")))</f>
        <v/>
      </c>
      <c r="AR601" s="35" t="str">
        <f aca="false">IF(OR(C601="",I601="",K601=""),"",IF(K601="Monthly",EDATE(C601,I601),WORKDAY(C601,I601)))</f>
        <v/>
      </c>
      <c r="AS601" s="28"/>
      <c r="AT601" s="36" t="str">
        <f aca="true">IF(C601="","",IF(AM601="Clawed Back","CLAWED",IF(TODAY()&lt;=C601+SETTINGS!$I$2,"⚠ AT RISK","SAFE")))</f>
        <v/>
      </c>
      <c r="AU601" s="28"/>
      <c r="AW601" s="24" t="n">
        <f aca="false">AW600+IF(AND(C601&lt;&gt;"",AO601&lt;&gt;"",OR('REP COMMISSION'!$B$3="",T601='REP COMMISSION'!$B$3,W601='REP COMMISSION'!$B$3,Z601='REP COMMISSION'!$B$3)),1,0)</f>
        <v>0</v>
      </c>
      <c r="AX601" s="24" t="n">
        <f aca="false">AX600+IF(AND(C601&lt;&gt;"",OR(F601="LOC - INITIAL",F601="CONSOLIDATION - UPFRONT COMM",F601="REVERSE - TOTAL FUNDING")),1,0)</f>
        <v>0</v>
      </c>
    </row>
    <row r="602" customFormat="false" ht="15" hidden="false" customHeight="false" outlineLevel="0" collapsed="false">
      <c r="A602" s="8" t="str">
        <f aca="false">IF(C602&lt;&gt;"","F"&amp;COUNT($C$4:C602),"")</f>
        <v/>
      </c>
      <c r="B602" s="9" t="str">
        <f aca="false">IF(OR(F602="LOC - INITIAL",F602="CONSOLIDATION - UPFRONT COMM",F602="REVERSE - TOTAL FUNDING"),A602,"")</f>
        <v/>
      </c>
      <c r="C602" s="10"/>
      <c r="D602" s="11"/>
      <c r="E602" s="11"/>
      <c r="F602" s="11"/>
      <c r="G602" s="12"/>
      <c r="H602" s="13"/>
      <c r="I602" s="11"/>
      <c r="J602" s="14" t="str">
        <f aca="false">IF(AND(G602&lt;&gt;"",H602&lt;&gt;""),G602*H602,"")</f>
        <v/>
      </c>
      <c r="K602" s="11"/>
      <c r="L602" s="15"/>
      <c r="M602" s="15"/>
      <c r="N602" s="14" t="n">
        <f aca="false">IF(OR(G602="",M602=""),0,IF(M602&gt;100,M602,G602*IF(M602&gt;1,M602/100,M602)))</f>
        <v>0</v>
      </c>
      <c r="O602" s="14" t="str">
        <f aca="false">IF(G602="","",G602*IF(L602="",0,IF(L602&gt;1,L602/100,L602))+N602)</f>
        <v/>
      </c>
      <c r="P602" s="11"/>
      <c r="Q602" s="16" t="str">
        <f aca="false">IF(P602="","",IFERROR(VLOOKUP(P602,PARTNERS!$A$2:$B$30,2,0),""))</f>
        <v/>
      </c>
      <c r="R602" s="17" t="str">
        <f aca="false">IF(O602="","",IF(OR(P602="",Q602=""),0,(O602-N602)*IF(Q602&gt;1,Q602/100,Q602)))</f>
        <v/>
      </c>
      <c r="S602" s="14" t="str">
        <f aca="false">IF(O602="","",O602-R602)</f>
        <v/>
      </c>
      <c r="T602" s="11"/>
      <c r="U602" s="18" t="str">
        <f aca="false">IF(T602="","",IFERROR(VLOOKUP(T602,REPS!$A$2:$D$40,2,0),""))</f>
        <v/>
      </c>
      <c r="V602" s="14" t="str">
        <f aca="false">IF(O602="","",IF(U602="",0,O602*IF(U602&gt;1,U602/100,U602)))</f>
        <v/>
      </c>
      <c r="W602" s="11"/>
      <c r="X602" s="18" t="str">
        <f aca="false">IF(W602="","",IFERROR(VLOOKUP(W602,REPS!$A$2:$D$40,3,0),""))</f>
        <v/>
      </c>
      <c r="Y602" s="14" t="str">
        <f aca="false">IF(O602="","",IF(X602="",0,O602*IF(X602&gt;1,X602/100,X602)))</f>
        <v/>
      </c>
      <c r="Z602" s="11"/>
      <c r="AA602" s="18" t="str">
        <f aca="false">IF(Z602="","",IFERROR(VLOOKUP(Z602,REPS!$A$2:$D$40,4,0),""))</f>
        <v/>
      </c>
      <c r="AB602" s="14" t="str">
        <f aca="false">IF(O602="","",IF(AA602="",0,O602*IF(AA602&gt;1,AA602/100,AA602)))</f>
        <v/>
      </c>
      <c r="AC602" s="14" t="str">
        <f aca="false">IF(O602="","",V602+Y602+AB602)</f>
        <v/>
      </c>
      <c r="AD602" s="19" t="str">
        <f aca="false">IF(O602="","",O602-R602-AC602)</f>
        <v/>
      </c>
      <c r="AE602" s="20"/>
      <c r="AF602" s="10"/>
      <c r="AG602" s="21" t="n">
        <f aca="false">IF(OR(AE602="",AE602=0),0,AE602*IF(U602="",0,IF(U602&gt;1,U602/100,U602)))</f>
        <v>0</v>
      </c>
      <c r="AH602" s="21" t="n">
        <f aca="false">IF(OR(AE602="",AE602=0),0,AE602*IF(X602="",0,IF(X602&gt;1,X602/100,X602)))</f>
        <v>0</v>
      </c>
      <c r="AI602" s="21" t="n">
        <f aca="false">IF(OR(AE602="",AE602=0),0,AE602*IF(AA602="",0,IF(AA602&gt;1,AA602/100,AA602)))</f>
        <v>0</v>
      </c>
      <c r="AJ602" s="21" t="n">
        <f aca="false">AG602+AH602+AI602</f>
        <v>0</v>
      </c>
      <c r="AK602" s="21" t="n">
        <f aca="false">IF(OR(AE602="",AE602=0),0,AE602-AJ602)</f>
        <v>0</v>
      </c>
      <c r="AL602" s="19" t="str">
        <f aca="false">IF(AD602="","",AD602-AK602)</f>
        <v/>
      </c>
      <c r="AM602" s="9" t="str">
        <f aca="false">IF(C602="","","Waiting for payment")</f>
        <v/>
      </c>
      <c r="AN602" s="10"/>
      <c r="AO602" s="10"/>
      <c r="AP602" s="22" t="str">
        <f aca="false">IF(OR(C602="",I602="",K602=""),"",IF(K602="Monthly",EDATE(C602,ROUND(I602*SETTINGS!$I$8,0)),WORKDAY(C602,ROUND(I602*SETTINGS!$I$8,0))))</f>
        <v/>
      </c>
      <c r="AQ602" s="9" t="str">
        <f aca="true">IF(C602="","",IF(AND(AP602&lt;&gt;"",TODAY()&gt;=AP602),"Refi Ready",IF(TODAY()-C602&gt;=SETTINGS!$I$11,"Prospecting","Performing")))</f>
        <v/>
      </c>
      <c r="AR602" s="22" t="str">
        <f aca="false">IF(OR(C602="",I602="",K602=""),"",IF(K602="Monthly",EDATE(C602,I602),WORKDAY(C602,I602)))</f>
        <v/>
      </c>
      <c r="AS602" s="11"/>
      <c r="AT602" s="23" t="str">
        <f aca="true">IF(C602="","",IF(AM602="Clawed Back","CLAWED",IF(TODAY()&lt;=C602+SETTINGS!$I$2,"⚠ AT RISK","SAFE")))</f>
        <v/>
      </c>
      <c r="AU602" s="11"/>
      <c r="AW602" s="24" t="n">
        <f aca="false">AW601+IF(AND(C602&lt;&gt;"",AO602&lt;&gt;"",OR('REP COMMISSION'!$B$3="",T602='REP COMMISSION'!$B$3,W602='REP COMMISSION'!$B$3,Z602='REP COMMISSION'!$B$3)),1,0)</f>
        <v>0</v>
      </c>
      <c r="AX602" s="24" t="n">
        <f aca="false">AX601+IF(AND(C602&lt;&gt;"",OR(F602="LOC - INITIAL",F602="CONSOLIDATION - UPFRONT COMM",F602="REVERSE - TOTAL FUNDING")),1,0)</f>
        <v>0</v>
      </c>
    </row>
    <row r="603" customFormat="false" ht="15" hidden="false" customHeight="false" outlineLevel="0" collapsed="false">
      <c r="A603" s="25" t="str">
        <f aca="false">IF(C603&lt;&gt;"","F"&amp;COUNT($C$4:C603),"")</f>
        <v/>
      </c>
      <c r="B603" s="26" t="str">
        <f aca="false">IF(OR(F603="LOC - INITIAL",F603="CONSOLIDATION - UPFRONT COMM",F603="REVERSE - TOTAL FUNDING"),A603,"")</f>
        <v/>
      </c>
      <c r="C603" s="27"/>
      <c r="D603" s="28"/>
      <c r="E603" s="28"/>
      <c r="F603" s="28"/>
      <c r="G603" s="29"/>
      <c r="H603" s="30"/>
      <c r="I603" s="28"/>
      <c r="J603" s="31" t="str">
        <f aca="false">IF(AND(G603&lt;&gt;"",H603&lt;&gt;""),G603*H603,"")</f>
        <v/>
      </c>
      <c r="K603" s="28"/>
      <c r="L603" s="32"/>
      <c r="M603" s="32"/>
      <c r="N603" s="31" t="n">
        <f aca="false">IF(OR(G603="",M603=""),0,IF(M603&gt;100,M603,G603*IF(M603&gt;1,M603/100,M603)))</f>
        <v>0</v>
      </c>
      <c r="O603" s="31" t="str">
        <f aca="false">IF(G603="","",G603*IF(L603="",0,IF(L603&gt;1,L603/100,L603))+N603)</f>
        <v/>
      </c>
      <c r="P603" s="28"/>
      <c r="Q603" s="33" t="str">
        <f aca="false">IF(P603="","",IFERROR(VLOOKUP(P603,PARTNERS!$A$2:$B$30,2,0),""))</f>
        <v/>
      </c>
      <c r="R603" s="17" t="str">
        <f aca="false">IF(O603="","",IF(OR(P603="",Q603=""),0,(O603-N603)*IF(Q603&gt;1,Q603/100,Q603)))</f>
        <v/>
      </c>
      <c r="S603" s="31" t="str">
        <f aca="false">IF(O603="","",O603-R603)</f>
        <v/>
      </c>
      <c r="T603" s="28"/>
      <c r="U603" s="34" t="str">
        <f aca="false">IF(T603="","",IFERROR(VLOOKUP(T603,REPS!$A$2:$D$40,2,0),""))</f>
        <v/>
      </c>
      <c r="V603" s="31" t="str">
        <f aca="false">IF(O603="","",IF(U603="",0,O603*IF(U603&gt;1,U603/100,U603)))</f>
        <v/>
      </c>
      <c r="W603" s="28"/>
      <c r="X603" s="34" t="str">
        <f aca="false">IF(W603="","",IFERROR(VLOOKUP(W603,REPS!$A$2:$D$40,3,0),""))</f>
        <v/>
      </c>
      <c r="Y603" s="31" t="str">
        <f aca="false">IF(O603="","",IF(X603="",0,O603*IF(X603&gt;1,X603/100,X603)))</f>
        <v/>
      </c>
      <c r="Z603" s="28"/>
      <c r="AA603" s="34" t="str">
        <f aca="false">IF(Z603="","",IFERROR(VLOOKUP(Z603,REPS!$A$2:$D$40,4,0),""))</f>
        <v/>
      </c>
      <c r="AB603" s="31" t="str">
        <f aca="false">IF(O603="","",IF(AA603="",0,O603*IF(AA603&gt;1,AA603/100,AA603)))</f>
        <v/>
      </c>
      <c r="AC603" s="31" t="str">
        <f aca="false">IF(O603="","",V603+Y603+AB603)</f>
        <v/>
      </c>
      <c r="AD603" s="19" t="str">
        <f aca="false">IF(O603="","",O603-R603-AC603)</f>
        <v/>
      </c>
      <c r="AE603" s="20"/>
      <c r="AF603" s="27"/>
      <c r="AG603" s="21" t="n">
        <f aca="false">IF(OR(AE603="",AE603=0),0,AE603*IF(U603="",0,IF(U603&gt;1,U603/100,U603)))</f>
        <v>0</v>
      </c>
      <c r="AH603" s="21" t="n">
        <f aca="false">IF(OR(AE603="",AE603=0),0,AE603*IF(X603="",0,IF(X603&gt;1,X603/100,X603)))</f>
        <v>0</v>
      </c>
      <c r="AI603" s="21" t="n">
        <f aca="false">IF(OR(AE603="",AE603=0),0,AE603*IF(AA603="",0,IF(AA603&gt;1,AA603/100,AA603)))</f>
        <v>0</v>
      </c>
      <c r="AJ603" s="21" t="n">
        <f aca="false">AG603+AH603+AI603</f>
        <v>0</v>
      </c>
      <c r="AK603" s="21" t="n">
        <f aca="false">IF(OR(AE603="",AE603=0),0,AE603-AJ603)</f>
        <v>0</v>
      </c>
      <c r="AL603" s="19" t="str">
        <f aca="false">IF(AD603="","",AD603-AK603)</f>
        <v/>
      </c>
      <c r="AM603" s="26" t="str">
        <f aca="false">IF(C603="","","Waiting for payment")</f>
        <v/>
      </c>
      <c r="AN603" s="27"/>
      <c r="AO603" s="27"/>
      <c r="AP603" s="35" t="str">
        <f aca="false">IF(OR(C603="",I603="",K603=""),"",IF(K603="Monthly",EDATE(C603,ROUND(I603*SETTINGS!$I$8,0)),WORKDAY(C603,ROUND(I603*SETTINGS!$I$8,0))))</f>
        <v/>
      </c>
      <c r="AQ603" s="26" t="str">
        <f aca="true">IF(C603="","",IF(AND(AP603&lt;&gt;"",TODAY()&gt;=AP603),"Refi Ready",IF(TODAY()-C603&gt;=SETTINGS!$I$11,"Prospecting","Performing")))</f>
        <v/>
      </c>
      <c r="AR603" s="35" t="str">
        <f aca="false">IF(OR(C603="",I603="",K603=""),"",IF(K603="Monthly",EDATE(C603,I603),WORKDAY(C603,I603)))</f>
        <v/>
      </c>
      <c r="AS603" s="28"/>
      <c r="AT603" s="36" t="str">
        <f aca="true">IF(C603="","",IF(AM603="Clawed Back","CLAWED",IF(TODAY()&lt;=C603+SETTINGS!$I$2,"⚠ AT RISK","SAFE")))</f>
        <v/>
      </c>
      <c r="AU603" s="28"/>
      <c r="AW603" s="24" t="n">
        <f aca="false">AW602+IF(AND(C603&lt;&gt;"",AO603&lt;&gt;"",OR('REP COMMISSION'!$B$3="",T603='REP COMMISSION'!$B$3,W603='REP COMMISSION'!$B$3,Z603='REP COMMISSION'!$B$3)),1,0)</f>
        <v>0</v>
      </c>
      <c r="AX603" s="24" t="n">
        <f aca="false">AX602+IF(AND(C603&lt;&gt;"",OR(F603="LOC - INITIAL",F603="CONSOLIDATION - UPFRONT COMM",F603="REVERSE - TOTAL FUNDING")),1,0)</f>
        <v>0</v>
      </c>
    </row>
    <row r="604" customFormat="false" ht="15" hidden="false" customHeight="false" outlineLevel="0" collapsed="false">
      <c r="A604" s="8" t="str">
        <f aca="false">IF(C604&lt;&gt;"","F"&amp;COUNT($C$4:C604),"")</f>
        <v/>
      </c>
      <c r="B604" s="9" t="str">
        <f aca="false">IF(OR(F604="LOC - INITIAL",F604="CONSOLIDATION - UPFRONT COMM",F604="REVERSE - TOTAL FUNDING"),A604,"")</f>
        <v/>
      </c>
      <c r="C604" s="10"/>
      <c r="D604" s="11"/>
      <c r="E604" s="11"/>
      <c r="F604" s="11"/>
      <c r="G604" s="12"/>
      <c r="H604" s="13"/>
      <c r="I604" s="11"/>
      <c r="J604" s="14" t="str">
        <f aca="false">IF(AND(G604&lt;&gt;"",H604&lt;&gt;""),G604*H604,"")</f>
        <v/>
      </c>
      <c r="K604" s="11"/>
      <c r="L604" s="15"/>
      <c r="M604" s="15"/>
      <c r="N604" s="14" t="n">
        <f aca="false">IF(OR(G604="",M604=""),0,IF(M604&gt;100,M604,G604*IF(M604&gt;1,M604/100,M604)))</f>
        <v>0</v>
      </c>
      <c r="O604" s="14" t="str">
        <f aca="false">IF(G604="","",G604*IF(L604="",0,IF(L604&gt;1,L604/100,L604))+N604)</f>
        <v/>
      </c>
      <c r="P604" s="11"/>
      <c r="Q604" s="16" t="str">
        <f aca="false">IF(P604="","",IFERROR(VLOOKUP(P604,PARTNERS!$A$2:$B$30,2,0),""))</f>
        <v/>
      </c>
      <c r="R604" s="17" t="str">
        <f aca="false">IF(O604="","",IF(OR(P604="",Q604=""),0,(O604-N604)*IF(Q604&gt;1,Q604/100,Q604)))</f>
        <v/>
      </c>
      <c r="S604" s="14" t="str">
        <f aca="false">IF(O604="","",O604-R604)</f>
        <v/>
      </c>
      <c r="T604" s="11"/>
      <c r="U604" s="18" t="str">
        <f aca="false">IF(T604="","",IFERROR(VLOOKUP(T604,REPS!$A$2:$D$40,2,0),""))</f>
        <v/>
      </c>
      <c r="V604" s="14" t="str">
        <f aca="false">IF(O604="","",IF(U604="",0,O604*IF(U604&gt;1,U604/100,U604)))</f>
        <v/>
      </c>
      <c r="W604" s="11"/>
      <c r="X604" s="18" t="str">
        <f aca="false">IF(W604="","",IFERROR(VLOOKUP(W604,REPS!$A$2:$D$40,3,0),""))</f>
        <v/>
      </c>
      <c r="Y604" s="14" t="str">
        <f aca="false">IF(O604="","",IF(X604="",0,O604*IF(X604&gt;1,X604/100,X604)))</f>
        <v/>
      </c>
      <c r="Z604" s="11"/>
      <c r="AA604" s="18" t="str">
        <f aca="false">IF(Z604="","",IFERROR(VLOOKUP(Z604,REPS!$A$2:$D$40,4,0),""))</f>
        <v/>
      </c>
      <c r="AB604" s="14" t="str">
        <f aca="false">IF(O604="","",IF(AA604="",0,O604*IF(AA604&gt;1,AA604/100,AA604)))</f>
        <v/>
      </c>
      <c r="AC604" s="14" t="str">
        <f aca="false">IF(O604="","",V604+Y604+AB604)</f>
        <v/>
      </c>
      <c r="AD604" s="19" t="str">
        <f aca="false">IF(O604="","",O604-R604-AC604)</f>
        <v/>
      </c>
      <c r="AE604" s="20"/>
      <c r="AF604" s="10"/>
      <c r="AG604" s="21" t="n">
        <f aca="false">IF(OR(AE604="",AE604=0),0,AE604*IF(U604="",0,IF(U604&gt;1,U604/100,U604)))</f>
        <v>0</v>
      </c>
      <c r="AH604" s="21" t="n">
        <f aca="false">IF(OR(AE604="",AE604=0),0,AE604*IF(X604="",0,IF(X604&gt;1,X604/100,X604)))</f>
        <v>0</v>
      </c>
      <c r="AI604" s="21" t="n">
        <f aca="false">IF(OR(AE604="",AE604=0),0,AE604*IF(AA604="",0,IF(AA604&gt;1,AA604/100,AA604)))</f>
        <v>0</v>
      </c>
      <c r="AJ604" s="21" t="n">
        <f aca="false">AG604+AH604+AI604</f>
        <v>0</v>
      </c>
      <c r="AK604" s="21" t="n">
        <f aca="false">IF(OR(AE604="",AE604=0),0,AE604-AJ604)</f>
        <v>0</v>
      </c>
      <c r="AL604" s="19" t="str">
        <f aca="false">IF(AD604="","",AD604-AK604)</f>
        <v/>
      </c>
      <c r="AM604" s="9" t="str">
        <f aca="false">IF(C604="","","Waiting for payment")</f>
        <v/>
      </c>
      <c r="AN604" s="10"/>
      <c r="AO604" s="10"/>
      <c r="AP604" s="22" t="str">
        <f aca="false">IF(OR(C604="",I604="",K604=""),"",IF(K604="Monthly",EDATE(C604,ROUND(I604*SETTINGS!$I$8,0)),WORKDAY(C604,ROUND(I604*SETTINGS!$I$8,0))))</f>
        <v/>
      </c>
      <c r="AQ604" s="9" t="str">
        <f aca="true">IF(C604="","",IF(AND(AP604&lt;&gt;"",TODAY()&gt;=AP604),"Refi Ready",IF(TODAY()-C604&gt;=SETTINGS!$I$11,"Prospecting","Performing")))</f>
        <v/>
      </c>
      <c r="AR604" s="22" t="str">
        <f aca="false">IF(OR(C604="",I604="",K604=""),"",IF(K604="Monthly",EDATE(C604,I604),WORKDAY(C604,I604)))</f>
        <v/>
      </c>
      <c r="AS604" s="11"/>
      <c r="AT604" s="23" t="str">
        <f aca="true">IF(C604="","",IF(AM604="Clawed Back","CLAWED",IF(TODAY()&lt;=C604+SETTINGS!$I$2,"⚠ AT RISK","SAFE")))</f>
        <v/>
      </c>
      <c r="AU604" s="11"/>
      <c r="AW604" s="24" t="n">
        <f aca="false">AW603+IF(AND(C604&lt;&gt;"",AO604&lt;&gt;"",OR('REP COMMISSION'!$B$3="",T604='REP COMMISSION'!$B$3,W604='REP COMMISSION'!$B$3,Z604='REP COMMISSION'!$B$3)),1,0)</f>
        <v>0</v>
      </c>
      <c r="AX604" s="24" t="n">
        <f aca="false">AX603+IF(AND(C604&lt;&gt;"",OR(F604="LOC - INITIAL",F604="CONSOLIDATION - UPFRONT COMM",F604="REVERSE - TOTAL FUNDING")),1,0)</f>
        <v>0</v>
      </c>
    </row>
    <row r="605" customFormat="false" ht="15" hidden="false" customHeight="false" outlineLevel="0" collapsed="false">
      <c r="A605" s="25" t="str">
        <f aca="false">IF(C605&lt;&gt;"","F"&amp;COUNT($C$4:C605),"")</f>
        <v/>
      </c>
      <c r="B605" s="26" t="str">
        <f aca="false">IF(OR(F605="LOC - INITIAL",F605="CONSOLIDATION - UPFRONT COMM",F605="REVERSE - TOTAL FUNDING"),A605,"")</f>
        <v/>
      </c>
      <c r="C605" s="27"/>
      <c r="D605" s="28"/>
      <c r="E605" s="28"/>
      <c r="F605" s="28"/>
      <c r="G605" s="29"/>
      <c r="H605" s="30"/>
      <c r="I605" s="28"/>
      <c r="J605" s="31" t="str">
        <f aca="false">IF(AND(G605&lt;&gt;"",H605&lt;&gt;""),G605*H605,"")</f>
        <v/>
      </c>
      <c r="K605" s="28"/>
      <c r="L605" s="32"/>
      <c r="M605" s="32"/>
      <c r="N605" s="31" t="n">
        <f aca="false">IF(OR(G605="",M605=""),0,IF(M605&gt;100,M605,G605*IF(M605&gt;1,M605/100,M605)))</f>
        <v>0</v>
      </c>
      <c r="O605" s="31" t="str">
        <f aca="false">IF(G605="","",G605*IF(L605="",0,IF(L605&gt;1,L605/100,L605))+N605)</f>
        <v/>
      </c>
      <c r="P605" s="28"/>
      <c r="Q605" s="33" t="str">
        <f aca="false">IF(P605="","",IFERROR(VLOOKUP(P605,PARTNERS!$A$2:$B$30,2,0),""))</f>
        <v/>
      </c>
      <c r="R605" s="17" t="str">
        <f aca="false">IF(O605="","",IF(OR(P605="",Q605=""),0,(O605-N605)*IF(Q605&gt;1,Q605/100,Q605)))</f>
        <v/>
      </c>
      <c r="S605" s="31" t="str">
        <f aca="false">IF(O605="","",O605-R605)</f>
        <v/>
      </c>
      <c r="T605" s="28"/>
      <c r="U605" s="34" t="str">
        <f aca="false">IF(T605="","",IFERROR(VLOOKUP(T605,REPS!$A$2:$D$40,2,0),""))</f>
        <v/>
      </c>
      <c r="V605" s="31" t="str">
        <f aca="false">IF(O605="","",IF(U605="",0,O605*IF(U605&gt;1,U605/100,U605)))</f>
        <v/>
      </c>
      <c r="W605" s="28"/>
      <c r="X605" s="34" t="str">
        <f aca="false">IF(W605="","",IFERROR(VLOOKUP(W605,REPS!$A$2:$D$40,3,0),""))</f>
        <v/>
      </c>
      <c r="Y605" s="31" t="str">
        <f aca="false">IF(O605="","",IF(X605="",0,O605*IF(X605&gt;1,X605/100,X605)))</f>
        <v/>
      </c>
      <c r="Z605" s="28"/>
      <c r="AA605" s="34" t="str">
        <f aca="false">IF(Z605="","",IFERROR(VLOOKUP(Z605,REPS!$A$2:$D$40,4,0),""))</f>
        <v/>
      </c>
      <c r="AB605" s="31" t="str">
        <f aca="false">IF(O605="","",IF(AA605="",0,O605*IF(AA605&gt;1,AA605/100,AA605)))</f>
        <v/>
      </c>
      <c r="AC605" s="31" t="str">
        <f aca="false">IF(O605="","",V605+Y605+AB605)</f>
        <v/>
      </c>
      <c r="AD605" s="19" t="str">
        <f aca="false">IF(O605="","",O605-R605-AC605)</f>
        <v/>
      </c>
      <c r="AE605" s="20"/>
      <c r="AF605" s="27"/>
      <c r="AG605" s="21" t="n">
        <f aca="false">IF(OR(AE605="",AE605=0),0,AE605*IF(U605="",0,IF(U605&gt;1,U605/100,U605)))</f>
        <v>0</v>
      </c>
      <c r="AH605" s="21" t="n">
        <f aca="false">IF(OR(AE605="",AE605=0),0,AE605*IF(X605="",0,IF(X605&gt;1,X605/100,X605)))</f>
        <v>0</v>
      </c>
      <c r="AI605" s="21" t="n">
        <f aca="false">IF(OR(AE605="",AE605=0),0,AE605*IF(AA605="",0,IF(AA605&gt;1,AA605/100,AA605)))</f>
        <v>0</v>
      </c>
      <c r="AJ605" s="21" t="n">
        <f aca="false">AG605+AH605+AI605</f>
        <v>0</v>
      </c>
      <c r="AK605" s="21" t="n">
        <f aca="false">IF(OR(AE605="",AE605=0),0,AE605-AJ605)</f>
        <v>0</v>
      </c>
      <c r="AL605" s="19" t="str">
        <f aca="false">IF(AD605="","",AD605-AK605)</f>
        <v/>
      </c>
      <c r="AM605" s="26" t="str">
        <f aca="false">IF(C605="","","Waiting for payment")</f>
        <v/>
      </c>
      <c r="AN605" s="27"/>
      <c r="AO605" s="27"/>
      <c r="AP605" s="35" t="str">
        <f aca="false">IF(OR(C605="",I605="",K605=""),"",IF(K605="Monthly",EDATE(C605,ROUND(I605*SETTINGS!$I$8,0)),WORKDAY(C605,ROUND(I605*SETTINGS!$I$8,0))))</f>
        <v/>
      </c>
      <c r="AQ605" s="26" t="str">
        <f aca="true">IF(C605="","",IF(AND(AP605&lt;&gt;"",TODAY()&gt;=AP605),"Refi Ready",IF(TODAY()-C605&gt;=SETTINGS!$I$11,"Prospecting","Performing")))</f>
        <v/>
      </c>
      <c r="AR605" s="35" t="str">
        <f aca="false">IF(OR(C605="",I605="",K605=""),"",IF(K605="Monthly",EDATE(C605,I605),WORKDAY(C605,I605)))</f>
        <v/>
      </c>
      <c r="AS605" s="28"/>
      <c r="AT605" s="36" t="str">
        <f aca="true">IF(C605="","",IF(AM605="Clawed Back","CLAWED",IF(TODAY()&lt;=C605+SETTINGS!$I$2,"⚠ AT RISK","SAFE")))</f>
        <v/>
      </c>
      <c r="AU605" s="28"/>
      <c r="AW605" s="24" t="n">
        <f aca="false">AW604+IF(AND(C605&lt;&gt;"",AO605&lt;&gt;"",OR('REP COMMISSION'!$B$3="",T605='REP COMMISSION'!$B$3,W605='REP COMMISSION'!$B$3,Z605='REP COMMISSION'!$B$3)),1,0)</f>
        <v>0</v>
      </c>
      <c r="AX605" s="24" t="n">
        <f aca="false">AX604+IF(AND(C605&lt;&gt;"",OR(F605="LOC - INITIAL",F605="CONSOLIDATION - UPFRONT COMM",F605="REVERSE - TOTAL FUNDING")),1,0)</f>
        <v>0</v>
      </c>
    </row>
    <row r="606" customFormat="false" ht="15" hidden="false" customHeight="false" outlineLevel="0" collapsed="false">
      <c r="A606" s="8" t="str">
        <f aca="false">IF(C606&lt;&gt;"","F"&amp;COUNT($C$4:C606),"")</f>
        <v/>
      </c>
      <c r="B606" s="9" t="str">
        <f aca="false">IF(OR(F606="LOC - INITIAL",F606="CONSOLIDATION - UPFRONT COMM",F606="REVERSE - TOTAL FUNDING"),A606,"")</f>
        <v/>
      </c>
      <c r="C606" s="10"/>
      <c r="D606" s="11"/>
      <c r="E606" s="11"/>
      <c r="F606" s="11"/>
      <c r="G606" s="12"/>
      <c r="H606" s="13"/>
      <c r="I606" s="11"/>
      <c r="J606" s="14" t="str">
        <f aca="false">IF(AND(G606&lt;&gt;"",H606&lt;&gt;""),G606*H606,"")</f>
        <v/>
      </c>
      <c r="K606" s="11"/>
      <c r="L606" s="15"/>
      <c r="M606" s="15"/>
      <c r="N606" s="14" t="n">
        <f aca="false">IF(OR(G606="",M606=""),0,IF(M606&gt;100,M606,G606*IF(M606&gt;1,M606/100,M606)))</f>
        <v>0</v>
      </c>
      <c r="O606" s="14" t="str">
        <f aca="false">IF(G606="","",G606*IF(L606="",0,IF(L606&gt;1,L606/100,L606))+N606)</f>
        <v/>
      </c>
      <c r="P606" s="11"/>
      <c r="Q606" s="16" t="str">
        <f aca="false">IF(P606="","",IFERROR(VLOOKUP(P606,PARTNERS!$A$2:$B$30,2,0),""))</f>
        <v/>
      </c>
      <c r="R606" s="17" t="str">
        <f aca="false">IF(O606="","",IF(OR(P606="",Q606=""),0,(O606-N606)*IF(Q606&gt;1,Q606/100,Q606)))</f>
        <v/>
      </c>
      <c r="S606" s="14" t="str">
        <f aca="false">IF(O606="","",O606-R606)</f>
        <v/>
      </c>
      <c r="T606" s="11"/>
      <c r="U606" s="18" t="str">
        <f aca="false">IF(T606="","",IFERROR(VLOOKUP(T606,REPS!$A$2:$D$40,2,0),""))</f>
        <v/>
      </c>
      <c r="V606" s="14" t="str">
        <f aca="false">IF(O606="","",IF(U606="",0,O606*IF(U606&gt;1,U606/100,U606)))</f>
        <v/>
      </c>
      <c r="W606" s="11"/>
      <c r="X606" s="18" t="str">
        <f aca="false">IF(W606="","",IFERROR(VLOOKUP(W606,REPS!$A$2:$D$40,3,0),""))</f>
        <v/>
      </c>
      <c r="Y606" s="14" t="str">
        <f aca="false">IF(O606="","",IF(X606="",0,O606*IF(X606&gt;1,X606/100,X606)))</f>
        <v/>
      </c>
      <c r="Z606" s="11"/>
      <c r="AA606" s="18" t="str">
        <f aca="false">IF(Z606="","",IFERROR(VLOOKUP(Z606,REPS!$A$2:$D$40,4,0),""))</f>
        <v/>
      </c>
      <c r="AB606" s="14" t="str">
        <f aca="false">IF(O606="","",IF(AA606="",0,O606*IF(AA606&gt;1,AA606/100,AA606)))</f>
        <v/>
      </c>
      <c r="AC606" s="14" t="str">
        <f aca="false">IF(O606="","",V606+Y606+AB606)</f>
        <v/>
      </c>
      <c r="AD606" s="19" t="str">
        <f aca="false">IF(O606="","",O606-R606-AC606)</f>
        <v/>
      </c>
      <c r="AE606" s="20"/>
      <c r="AF606" s="10"/>
      <c r="AG606" s="21" t="n">
        <f aca="false">IF(OR(AE606="",AE606=0),0,AE606*IF(U606="",0,IF(U606&gt;1,U606/100,U606)))</f>
        <v>0</v>
      </c>
      <c r="AH606" s="21" t="n">
        <f aca="false">IF(OR(AE606="",AE606=0),0,AE606*IF(X606="",0,IF(X606&gt;1,X606/100,X606)))</f>
        <v>0</v>
      </c>
      <c r="AI606" s="21" t="n">
        <f aca="false">IF(OR(AE606="",AE606=0),0,AE606*IF(AA606="",0,IF(AA606&gt;1,AA606/100,AA606)))</f>
        <v>0</v>
      </c>
      <c r="AJ606" s="21" t="n">
        <f aca="false">AG606+AH606+AI606</f>
        <v>0</v>
      </c>
      <c r="AK606" s="21" t="n">
        <f aca="false">IF(OR(AE606="",AE606=0),0,AE606-AJ606)</f>
        <v>0</v>
      </c>
      <c r="AL606" s="19" t="str">
        <f aca="false">IF(AD606="","",AD606-AK606)</f>
        <v/>
      </c>
      <c r="AM606" s="9" t="str">
        <f aca="false">IF(C606="","","Waiting for payment")</f>
        <v/>
      </c>
      <c r="AN606" s="10"/>
      <c r="AO606" s="10"/>
      <c r="AP606" s="22" t="str">
        <f aca="false">IF(OR(C606="",I606="",K606=""),"",IF(K606="Monthly",EDATE(C606,ROUND(I606*SETTINGS!$I$8,0)),WORKDAY(C606,ROUND(I606*SETTINGS!$I$8,0))))</f>
        <v/>
      </c>
      <c r="AQ606" s="9" t="str">
        <f aca="true">IF(C606="","",IF(AND(AP606&lt;&gt;"",TODAY()&gt;=AP606),"Refi Ready",IF(TODAY()-C606&gt;=SETTINGS!$I$11,"Prospecting","Performing")))</f>
        <v/>
      </c>
      <c r="AR606" s="22" t="str">
        <f aca="false">IF(OR(C606="",I606="",K606=""),"",IF(K606="Monthly",EDATE(C606,I606),WORKDAY(C606,I606)))</f>
        <v/>
      </c>
      <c r="AS606" s="11"/>
      <c r="AT606" s="23" t="str">
        <f aca="true">IF(C606="","",IF(AM606="Clawed Back","CLAWED",IF(TODAY()&lt;=C606+SETTINGS!$I$2,"⚠ AT RISK","SAFE")))</f>
        <v/>
      </c>
      <c r="AU606" s="11"/>
      <c r="AW606" s="24" t="n">
        <f aca="false">AW605+IF(AND(C606&lt;&gt;"",AO606&lt;&gt;"",OR('REP COMMISSION'!$B$3="",T606='REP COMMISSION'!$B$3,W606='REP COMMISSION'!$B$3,Z606='REP COMMISSION'!$B$3)),1,0)</f>
        <v>0</v>
      </c>
      <c r="AX606" s="24" t="n">
        <f aca="false">AX605+IF(AND(C606&lt;&gt;"",OR(F606="LOC - INITIAL",F606="CONSOLIDATION - UPFRONT COMM",F606="REVERSE - TOTAL FUNDING")),1,0)</f>
        <v>0</v>
      </c>
    </row>
    <row r="607" customFormat="false" ht="15" hidden="false" customHeight="false" outlineLevel="0" collapsed="false">
      <c r="A607" s="25" t="str">
        <f aca="false">IF(C607&lt;&gt;"","F"&amp;COUNT($C$4:C607),"")</f>
        <v/>
      </c>
      <c r="B607" s="26" t="str">
        <f aca="false">IF(OR(F607="LOC - INITIAL",F607="CONSOLIDATION - UPFRONT COMM",F607="REVERSE - TOTAL FUNDING"),A607,"")</f>
        <v/>
      </c>
      <c r="C607" s="27"/>
      <c r="D607" s="28"/>
      <c r="E607" s="28"/>
      <c r="F607" s="28"/>
      <c r="G607" s="29"/>
      <c r="H607" s="30"/>
      <c r="I607" s="28"/>
      <c r="J607" s="31" t="str">
        <f aca="false">IF(AND(G607&lt;&gt;"",H607&lt;&gt;""),G607*H607,"")</f>
        <v/>
      </c>
      <c r="K607" s="28"/>
      <c r="L607" s="32"/>
      <c r="M607" s="32"/>
      <c r="N607" s="31" t="n">
        <f aca="false">IF(OR(G607="",M607=""),0,IF(M607&gt;100,M607,G607*IF(M607&gt;1,M607/100,M607)))</f>
        <v>0</v>
      </c>
      <c r="O607" s="31" t="str">
        <f aca="false">IF(G607="","",G607*IF(L607="",0,IF(L607&gt;1,L607/100,L607))+N607)</f>
        <v/>
      </c>
      <c r="P607" s="28"/>
      <c r="Q607" s="33" t="str">
        <f aca="false">IF(P607="","",IFERROR(VLOOKUP(P607,PARTNERS!$A$2:$B$30,2,0),""))</f>
        <v/>
      </c>
      <c r="R607" s="17" t="str">
        <f aca="false">IF(O607="","",IF(OR(P607="",Q607=""),0,(O607-N607)*IF(Q607&gt;1,Q607/100,Q607)))</f>
        <v/>
      </c>
      <c r="S607" s="31" t="str">
        <f aca="false">IF(O607="","",O607-R607)</f>
        <v/>
      </c>
      <c r="T607" s="28"/>
      <c r="U607" s="34" t="str">
        <f aca="false">IF(T607="","",IFERROR(VLOOKUP(T607,REPS!$A$2:$D$40,2,0),""))</f>
        <v/>
      </c>
      <c r="V607" s="31" t="str">
        <f aca="false">IF(O607="","",IF(U607="",0,O607*IF(U607&gt;1,U607/100,U607)))</f>
        <v/>
      </c>
      <c r="W607" s="28"/>
      <c r="X607" s="34" t="str">
        <f aca="false">IF(W607="","",IFERROR(VLOOKUP(W607,REPS!$A$2:$D$40,3,0),""))</f>
        <v/>
      </c>
      <c r="Y607" s="31" t="str">
        <f aca="false">IF(O607="","",IF(X607="",0,O607*IF(X607&gt;1,X607/100,X607)))</f>
        <v/>
      </c>
      <c r="Z607" s="28"/>
      <c r="AA607" s="34" t="str">
        <f aca="false">IF(Z607="","",IFERROR(VLOOKUP(Z607,REPS!$A$2:$D$40,4,0),""))</f>
        <v/>
      </c>
      <c r="AB607" s="31" t="str">
        <f aca="false">IF(O607="","",IF(AA607="",0,O607*IF(AA607&gt;1,AA607/100,AA607)))</f>
        <v/>
      </c>
      <c r="AC607" s="31" t="str">
        <f aca="false">IF(O607="","",V607+Y607+AB607)</f>
        <v/>
      </c>
      <c r="AD607" s="19" t="str">
        <f aca="false">IF(O607="","",O607-R607-AC607)</f>
        <v/>
      </c>
      <c r="AE607" s="20"/>
      <c r="AF607" s="27"/>
      <c r="AG607" s="21" t="n">
        <f aca="false">IF(OR(AE607="",AE607=0),0,AE607*IF(U607="",0,IF(U607&gt;1,U607/100,U607)))</f>
        <v>0</v>
      </c>
      <c r="AH607" s="21" t="n">
        <f aca="false">IF(OR(AE607="",AE607=0),0,AE607*IF(X607="",0,IF(X607&gt;1,X607/100,X607)))</f>
        <v>0</v>
      </c>
      <c r="AI607" s="21" t="n">
        <f aca="false">IF(OR(AE607="",AE607=0),0,AE607*IF(AA607="",0,IF(AA607&gt;1,AA607/100,AA607)))</f>
        <v>0</v>
      </c>
      <c r="AJ607" s="21" t="n">
        <f aca="false">AG607+AH607+AI607</f>
        <v>0</v>
      </c>
      <c r="AK607" s="21" t="n">
        <f aca="false">IF(OR(AE607="",AE607=0),0,AE607-AJ607)</f>
        <v>0</v>
      </c>
      <c r="AL607" s="19" t="str">
        <f aca="false">IF(AD607="","",AD607-AK607)</f>
        <v/>
      </c>
      <c r="AM607" s="26" t="str">
        <f aca="false">IF(C607="","","Waiting for payment")</f>
        <v/>
      </c>
      <c r="AN607" s="27"/>
      <c r="AO607" s="27"/>
      <c r="AP607" s="35" t="str">
        <f aca="false">IF(OR(C607="",I607="",K607=""),"",IF(K607="Monthly",EDATE(C607,ROUND(I607*SETTINGS!$I$8,0)),WORKDAY(C607,ROUND(I607*SETTINGS!$I$8,0))))</f>
        <v/>
      </c>
      <c r="AQ607" s="26" t="str">
        <f aca="true">IF(C607="","",IF(AND(AP607&lt;&gt;"",TODAY()&gt;=AP607),"Refi Ready",IF(TODAY()-C607&gt;=SETTINGS!$I$11,"Prospecting","Performing")))</f>
        <v/>
      </c>
      <c r="AR607" s="35" t="str">
        <f aca="false">IF(OR(C607="",I607="",K607=""),"",IF(K607="Monthly",EDATE(C607,I607),WORKDAY(C607,I607)))</f>
        <v/>
      </c>
      <c r="AS607" s="28"/>
      <c r="AT607" s="36" t="str">
        <f aca="true">IF(C607="","",IF(AM607="Clawed Back","CLAWED",IF(TODAY()&lt;=C607+SETTINGS!$I$2,"⚠ AT RISK","SAFE")))</f>
        <v/>
      </c>
      <c r="AU607" s="28"/>
      <c r="AW607" s="24" t="n">
        <f aca="false">AW606+IF(AND(C607&lt;&gt;"",AO607&lt;&gt;"",OR('REP COMMISSION'!$B$3="",T607='REP COMMISSION'!$B$3,W607='REP COMMISSION'!$B$3,Z607='REP COMMISSION'!$B$3)),1,0)</f>
        <v>0</v>
      </c>
      <c r="AX607" s="24" t="n">
        <f aca="false">AX606+IF(AND(C607&lt;&gt;"",OR(F607="LOC - INITIAL",F607="CONSOLIDATION - UPFRONT COMM",F607="REVERSE - TOTAL FUNDING")),1,0)</f>
        <v>0</v>
      </c>
    </row>
    <row r="608" customFormat="false" ht="15" hidden="false" customHeight="false" outlineLevel="0" collapsed="false">
      <c r="A608" s="8" t="str">
        <f aca="false">IF(C608&lt;&gt;"","F"&amp;COUNT($C$4:C608),"")</f>
        <v/>
      </c>
      <c r="B608" s="9" t="str">
        <f aca="false">IF(OR(F608="LOC - INITIAL",F608="CONSOLIDATION - UPFRONT COMM",F608="REVERSE - TOTAL FUNDING"),A608,"")</f>
        <v/>
      </c>
      <c r="C608" s="10"/>
      <c r="D608" s="11"/>
      <c r="E608" s="11"/>
      <c r="F608" s="11"/>
      <c r="G608" s="12"/>
      <c r="H608" s="13"/>
      <c r="I608" s="11"/>
      <c r="J608" s="14" t="str">
        <f aca="false">IF(AND(G608&lt;&gt;"",H608&lt;&gt;""),G608*H608,"")</f>
        <v/>
      </c>
      <c r="K608" s="11"/>
      <c r="L608" s="15"/>
      <c r="M608" s="15"/>
      <c r="N608" s="14" t="n">
        <f aca="false">IF(OR(G608="",M608=""),0,IF(M608&gt;100,M608,G608*IF(M608&gt;1,M608/100,M608)))</f>
        <v>0</v>
      </c>
      <c r="O608" s="14" t="str">
        <f aca="false">IF(G608="","",G608*IF(L608="",0,IF(L608&gt;1,L608/100,L608))+N608)</f>
        <v/>
      </c>
      <c r="P608" s="11"/>
      <c r="Q608" s="16" t="str">
        <f aca="false">IF(P608="","",IFERROR(VLOOKUP(P608,PARTNERS!$A$2:$B$30,2,0),""))</f>
        <v/>
      </c>
      <c r="R608" s="17" t="str">
        <f aca="false">IF(O608="","",IF(OR(P608="",Q608=""),0,(O608-N608)*IF(Q608&gt;1,Q608/100,Q608)))</f>
        <v/>
      </c>
      <c r="S608" s="14" t="str">
        <f aca="false">IF(O608="","",O608-R608)</f>
        <v/>
      </c>
      <c r="T608" s="11"/>
      <c r="U608" s="18" t="str">
        <f aca="false">IF(T608="","",IFERROR(VLOOKUP(T608,REPS!$A$2:$D$40,2,0),""))</f>
        <v/>
      </c>
      <c r="V608" s="14" t="str">
        <f aca="false">IF(O608="","",IF(U608="",0,O608*IF(U608&gt;1,U608/100,U608)))</f>
        <v/>
      </c>
      <c r="W608" s="11"/>
      <c r="X608" s="18" t="str">
        <f aca="false">IF(W608="","",IFERROR(VLOOKUP(W608,REPS!$A$2:$D$40,3,0),""))</f>
        <v/>
      </c>
      <c r="Y608" s="14" t="str">
        <f aca="false">IF(O608="","",IF(X608="",0,O608*IF(X608&gt;1,X608/100,X608)))</f>
        <v/>
      </c>
      <c r="Z608" s="11"/>
      <c r="AA608" s="18" t="str">
        <f aca="false">IF(Z608="","",IFERROR(VLOOKUP(Z608,REPS!$A$2:$D$40,4,0),""))</f>
        <v/>
      </c>
      <c r="AB608" s="14" t="str">
        <f aca="false">IF(O608="","",IF(AA608="",0,O608*IF(AA608&gt;1,AA608/100,AA608)))</f>
        <v/>
      </c>
      <c r="AC608" s="14" t="str">
        <f aca="false">IF(O608="","",V608+Y608+AB608)</f>
        <v/>
      </c>
      <c r="AD608" s="19" t="str">
        <f aca="false">IF(O608="","",O608-R608-AC608)</f>
        <v/>
      </c>
      <c r="AE608" s="20"/>
      <c r="AF608" s="10"/>
      <c r="AG608" s="21" t="n">
        <f aca="false">IF(OR(AE608="",AE608=0),0,AE608*IF(U608="",0,IF(U608&gt;1,U608/100,U608)))</f>
        <v>0</v>
      </c>
      <c r="AH608" s="21" t="n">
        <f aca="false">IF(OR(AE608="",AE608=0),0,AE608*IF(X608="",0,IF(X608&gt;1,X608/100,X608)))</f>
        <v>0</v>
      </c>
      <c r="AI608" s="21" t="n">
        <f aca="false">IF(OR(AE608="",AE608=0),0,AE608*IF(AA608="",0,IF(AA608&gt;1,AA608/100,AA608)))</f>
        <v>0</v>
      </c>
      <c r="AJ608" s="21" t="n">
        <f aca="false">AG608+AH608+AI608</f>
        <v>0</v>
      </c>
      <c r="AK608" s="21" t="n">
        <f aca="false">IF(OR(AE608="",AE608=0),0,AE608-AJ608)</f>
        <v>0</v>
      </c>
      <c r="AL608" s="19" t="str">
        <f aca="false">IF(AD608="","",AD608-AK608)</f>
        <v/>
      </c>
      <c r="AM608" s="9" t="str">
        <f aca="false">IF(C608="","","Waiting for payment")</f>
        <v/>
      </c>
      <c r="AN608" s="10"/>
      <c r="AO608" s="10"/>
      <c r="AP608" s="22" t="str">
        <f aca="false">IF(OR(C608="",I608="",K608=""),"",IF(K608="Monthly",EDATE(C608,ROUND(I608*SETTINGS!$I$8,0)),WORKDAY(C608,ROUND(I608*SETTINGS!$I$8,0))))</f>
        <v/>
      </c>
      <c r="AQ608" s="9" t="str">
        <f aca="true">IF(C608="","",IF(AND(AP608&lt;&gt;"",TODAY()&gt;=AP608),"Refi Ready",IF(TODAY()-C608&gt;=SETTINGS!$I$11,"Prospecting","Performing")))</f>
        <v/>
      </c>
      <c r="AR608" s="22" t="str">
        <f aca="false">IF(OR(C608="",I608="",K608=""),"",IF(K608="Monthly",EDATE(C608,I608),WORKDAY(C608,I608)))</f>
        <v/>
      </c>
      <c r="AS608" s="11"/>
      <c r="AT608" s="23" t="str">
        <f aca="true">IF(C608="","",IF(AM608="Clawed Back","CLAWED",IF(TODAY()&lt;=C608+SETTINGS!$I$2,"⚠ AT RISK","SAFE")))</f>
        <v/>
      </c>
      <c r="AU608" s="11"/>
      <c r="AW608" s="24" t="n">
        <f aca="false">AW607+IF(AND(C608&lt;&gt;"",AO608&lt;&gt;"",OR('REP COMMISSION'!$B$3="",T608='REP COMMISSION'!$B$3,W608='REP COMMISSION'!$B$3,Z608='REP COMMISSION'!$B$3)),1,0)</f>
        <v>0</v>
      </c>
      <c r="AX608" s="24" t="n">
        <f aca="false">AX607+IF(AND(C608&lt;&gt;"",OR(F608="LOC - INITIAL",F608="CONSOLIDATION - UPFRONT COMM",F608="REVERSE - TOTAL FUNDING")),1,0)</f>
        <v>0</v>
      </c>
    </row>
    <row r="609" customFormat="false" ht="15" hidden="false" customHeight="false" outlineLevel="0" collapsed="false">
      <c r="A609" s="25" t="str">
        <f aca="false">IF(C609&lt;&gt;"","F"&amp;COUNT($C$4:C609),"")</f>
        <v/>
      </c>
      <c r="B609" s="26" t="str">
        <f aca="false">IF(OR(F609="LOC - INITIAL",F609="CONSOLIDATION - UPFRONT COMM",F609="REVERSE - TOTAL FUNDING"),A609,"")</f>
        <v/>
      </c>
      <c r="C609" s="27"/>
      <c r="D609" s="28"/>
      <c r="E609" s="28"/>
      <c r="F609" s="28"/>
      <c r="G609" s="29"/>
      <c r="H609" s="30"/>
      <c r="I609" s="28"/>
      <c r="J609" s="31" t="str">
        <f aca="false">IF(AND(G609&lt;&gt;"",H609&lt;&gt;""),G609*H609,"")</f>
        <v/>
      </c>
      <c r="K609" s="28"/>
      <c r="L609" s="32"/>
      <c r="M609" s="32"/>
      <c r="N609" s="31" t="n">
        <f aca="false">IF(OR(G609="",M609=""),0,IF(M609&gt;100,M609,G609*IF(M609&gt;1,M609/100,M609)))</f>
        <v>0</v>
      </c>
      <c r="O609" s="31" t="str">
        <f aca="false">IF(G609="","",G609*IF(L609="",0,IF(L609&gt;1,L609/100,L609))+N609)</f>
        <v/>
      </c>
      <c r="P609" s="28"/>
      <c r="Q609" s="33" t="str">
        <f aca="false">IF(P609="","",IFERROR(VLOOKUP(P609,PARTNERS!$A$2:$B$30,2,0),""))</f>
        <v/>
      </c>
      <c r="R609" s="17" t="str">
        <f aca="false">IF(O609="","",IF(OR(P609="",Q609=""),0,(O609-N609)*IF(Q609&gt;1,Q609/100,Q609)))</f>
        <v/>
      </c>
      <c r="S609" s="31" t="str">
        <f aca="false">IF(O609="","",O609-R609)</f>
        <v/>
      </c>
      <c r="T609" s="28"/>
      <c r="U609" s="34" t="str">
        <f aca="false">IF(T609="","",IFERROR(VLOOKUP(T609,REPS!$A$2:$D$40,2,0),""))</f>
        <v/>
      </c>
      <c r="V609" s="31" t="str">
        <f aca="false">IF(O609="","",IF(U609="",0,O609*IF(U609&gt;1,U609/100,U609)))</f>
        <v/>
      </c>
      <c r="W609" s="28"/>
      <c r="X609" s="34" t="str">
        <f aca="false">IF(W609="","",IFERROR(VLOOKUP(W609,REPS!$A$2:$D$40,3,0),""))</f>
        <v/>
      </c>
      <c r="Y609" s="31" t="str">
        <f aca="false">IF(O609="","",IF(X609="",0,O609*IF(X609&gt;1,X609/100,X609)))</f>
        <v/>
      </c>
      <c r="Z609" s="28"/>
      <c r="AA609" s="34" t="str">
        <f aca="false">IF(Z609="","",IFERROR(VLOOKUP(Z609,REPS!$A$2:$D$40,4,0),""))</f>
        <v/>
      </c>
      <c r="AB609" s="31" t="str">
        <f aca="false">IF(O609="","",IF(AA609="",0,O609*IF(AA609&gt;1,AA609/100,AA609)))</f>
        <v/>
      </c>
      <c r="AC609" s="31" t="str">
        <f aca="false">IF(O609="","",V609+Y609+AB609)</f>
        <v/>
      </c>
      <c r="AD609" s="19" t="str">
        <f aca="false">IF(O609="","",O609-R609-AC609)</f>
        <v/>
      </c>
      <c r="AE609" s="20"/>
      <c r="AF609" s="27"/>
      <c r="AG609" s="21" t="n">
        <f aca="false">IF(OR(AE609="",AE609=0),0,AE609*IF(U609="",0,IF(U609&gt;1,U609/100,U609)))</f>
        <v>0</v>
      </c>
      <c r="AH609" s="21" t="n">
        <f aca="false">IF(OR(AE609="",AE609=0),0,AE609*IF(X609="",0,IF(X609&gt;1,X609/100,X609)))</f>
        <v>0</v>
      </c>
      <c r="AI609" s="21" t="n">
        <f aca="false">IF(OR(AE609="",AE609=0),0,AE609*IF(AA609="",0,IF(AA609&gt;1,AA609/100,AA609)))</f>
        <v>0</v>
      </c>
      <c r="AJ609" s="21" t="n">
        <f aca="false">AG609+AH609+AI609</f>
        <v>0</v>
      </c>
      <c r="AK609" s="21" t="n">
        <f aca="false">IF(OR(AE609="",AE609=0),0,AE609-AJ609)</f>
        <v>0</v>
      </c>
      <c r="AL609" s="19" t="str">
        <f aca="false">IF(AD609="","",AD609-AK609)</f>
        <v/>
      </c>
      <c r="AM609" s="26" t="str">
        <f aca="false">IF(C609="","","Waiting for payment")</f>
        <v/>
      </c>
      <c r="AN609" s="27"/>
      <c r="AO609" s="27"/>
      <c r="AP609" s="35" t="str">
        <f aca="false">IF(OR(C609="",I609="",K609=""),"",IF(K609="Monthly",EDATE(C609,ROUND(I609*SETTINGS!$I$8,0)),WORKDAY(C609,ROUND(I609*SETTINGS!$I$8,0))))</f>
        <v/>
      </c>
      <c r="AQ609" s="26" t="str">
        <f aca="true">IF(C609="","",IF(AND(AP609&lt;&gt;"",TODAY()&gt;=AP609),"Refi Ready",IF(TODAY()-C609&gt;=SETTINGS!$I$11,"Prospecting","Performing")))</f>
        <v/>
      </c>
      <c r="AR609" s="35" t="str">
        <f aca="false">IF(OR(C609="",I609="",K609=""),"",IF(K609="Monthly",EDATE(C609,I609),WORKDAY(C609,I609)))</f>
        <v/>
      </c>
      <c r="AS609" s="28"/>
      <c r="AT609" s="36" t="str">
        <f aca="true">IF(C609="","",IF(AM609="Clawed Back","CLAWED",IF(TODAY()&lt;=C609+SETTINGS!$I$2,"⚠ AT RISK","SAFE")))</f>
        <v/>
      </c>
      <c r="AU609" s="28"/>
      <c r="AW609" s="24" t="n">
        <f aca="false">AW608+IF(AND(C609&lt;&gt;"",AO609&lt;&gt;"",OR('REP COMMISSION'!$B$3="",T609='REP COMMISSION'!$B$3,W609='REP COMMISSION'!$B$3,Z609='REP COMMISSION'!$B$3)),1,0)</f>
        <v>0</v>
      </c>
      <c r="AX609" s="24" t="n">
        <f aca="false">AX608+IF(AND(C609&lt;&gt;"",OR(F609="LOC - INITIAL",F609="CONSOLIDATION - UPFRONT COMM",F609="REVERSE - TOTAL FUNDING")),1,0)</f>
        <v>0</v>
      </c>
    </row>
    <row r="610" customFormat="false" ht="15" hidden="false" customHeight="false" outlineLevel="0" collapsed="false">
      <c r="A610" s="8" t="str">
        <f aca="false">IF(C610&lt;&gt;"","F"&amp;COUNT($C$4:C610),"")</f>
        <v/>
      </c>
      <c r="B610" s="9" t="str">
        <f aca="false">IF(OR(F610="LOC - INITIAL",F610="CONSOLIDATION - UPFRONT COMM",F610="REVERSE - TOTAL FUNDING"),A610,"")</f>
        <v/>
      </c>
      <c r="C610" s="10"/>
      <c r="D610" s="11"/>
      <c r="E610" s="11"/>
      <c r="F610" s="11"/>
      <c r="G610" s="12"/>
      <c r="H610" s="13"/>
      <c r="I610" s="11"/>
      <c r="J610" s="14" t="str">
        <f aca="false">IF(AND(G610&lt;&gt;"",H610&lt;&gt;""),G610*H610,"")</f>
        <v/>
      </c>
      <c r="K610" s="11"/>
      <c r="L610" s="15"/>
      <c r="M610" s="15"/>
      <c r="N610" s="14" t="n">
        <f aca="false">IF(OR(G610="",M610=""),0,IF(M610&gt;100,M610,G610*IF(M610&gt;1,M610/100,M610)))</f>
        <v>0</v>
      </c>
      <c r="O610" s="14" t="str">
        <f aca="false">IF(G610="","",G610*IF(L610="",0,IF(L610&gt;1,L610/100,L610))+N610)</f>
        <v/>
      </c>
      <c r="P610" s="11"/>
      <c r="Q610" s="16" t="str">
        <f aca="false">IF(P610="","",IFERROR(VLOOKUP(P610,PARTNERS!$A$2:$B$30,2,0),""))</f>
        <v/>
      </c>
      <c r="R610" s="17" t="str">
        <f aca="false">IF(O610="","",IF(OR(P610="",Q610=""),0,(O610-N610)*IF(Q610&gt;1,Q610/100,Q610)))</f>
        <v/>
      </c>
      <c r="S610" s="14" t="str">
        <f aca="false">IF(O610="","",O610-R610)</f>
        <v/>
      </c>
      <c r="T610" s="11"/>
      <c r="U610" s="18" t="str">
        <f aca="false">IF(T610="","",IFERROR(VLOOKUP(T610,REPS!$A$2:$D$40,2,0),""))</f>
        <v/>
      </c>
      <c r="V610" s="14" t="str">
        <f aca="false">IF(O610="","",IF(U610="",0,O610*IF(U610&gt;1,U610/100,U610)))</f>
        <v/>
      </c>
      <c r="W610" s="11"/>
      <c r="X610" s="18" t="str">
        <f aca="false">IF(W610="","",IFERROR(VLOOKUP(W610,REPS!$A$2:$D$40,3,0),""))</f>
        <v/>
      </c>
      <c r="Y610" s="14" t="str">
        <f aca="false">IF(O610="","",IF(X610="",0,O610*IF(X610&gt;1,X610/100,X610)))</f>
        <v/>
      </c>
      <c r="Z610" s="11"/>
      <c r="AA610" s="18" t="str">
        <f aca="false">IF(Z610="","",IFERROR(VLOOKUP(Z610,REPS!$A$2:$D$40,4,0),""))</f>
        <v/>
      </c>
      <c r="AB610" s="14" t="str">
        <f aca="false">IF(O610="","",IF(AA610="",0,O610*IF(AA610&gt;1,AA610/100,AA610)))</f>
        <v/>
      </c>
      <c r="AC610" s="14" t="str">
        <f aca="false">IF(O610="","",V610+Y610+AB610)</f>
        <v/>
      </c>
      <c r="AD610" s="19" t="str">
        <f aca="false">IF(O610="","",O610-R610-AC610)</f>
        <v/>
      </c>
      <c r="AE610" s="20"/>
      <c r="AF610" s="10"/>
      <c r="AG610" s="21" t="n">
        <f aca="false">IF(OR(AE610="",AE610=0),0,AE610*IF(U610="",0,IF(U610&gt;1,U610/100,U610)))</f>
        <v>0</v>
      </c>
      <c r="AH610" s="21" t="n">
        <f aca="false">IF(OR(AE610="",AE610=0),0,AE610*IF(X610="",0,IF(X610&gt;1,X610/100,X610)))</f>
        <v>0</v>
      </c>
      <c r="AI610" s="21" t="n">
        <f aca="false">IF(OR(AE610="",AE610=0),0,AE610*IF(AA610="",0,IF(AA610&gt;1,AA610/100,AA610)))</f>
        <v>0</v>
      </c>
      <c r="AJ610" s="21" t="n">
        <f aca="false">AG610+AH610+AI610</f>
        <v>0</v>
      </c>
      <c r="AK610" s="21" t="n">
        <f aca="false">IF(OR(AE610="",AE610=0),0,AE610-AJ610)</f>
        <v>0</v>
      </c>
      <c r="AL610" s="19" t="str">
        <f aca="false">IF(AD610="","",AD610-AK610)</f>
        <v/>
      </c>
      <c r="AM610" s="9" t="str">
        <f aca="false">IF(C610="","","Waiting for payment")</f>
        <v/>
      </c>
      <c r="AN610" s="10"/>
      <c r="AO610" s="10"/>
      <c r="AP610" s="22" t="str">
        <f aca="false">IF(OR(C610="",I610="",K610=""),"",IF(K610="Monthly",EDATE(C610,ROUND(I610*SETTINGS!$I$8,0)),WORKDAY(C610,ROUND(I610*SETTINGS!$I$8,0))))</f>
        <v/>
      </c>
      <c r="AQ610" s="9" t="str">
        <f aca="true">IF(C610="","",IF(AND(AP610&lt;&gt;"",TODAY()&gt;=AP610),"Refi Ready",IF(TODAY()-C610&gt;=SETTINGS!$I$11,"Prospecting","Performing")))</f>
        <v/>
      </c>
      <c r="AR610" s="22" t="str">
        <f aca="false">IF(OR(C610="",I610="",K610=""),"",IF(K610="Monthly",EDATE(C610,I610),WORKDAY(C610,I610)))</f>
        <v/>
      </c>
      <c r="AS610" s="11"/>
      <c r="AT610" s="23" t="str">
        <f aca="true">IF(C610="","",IF(AM610="Clawed Back","CLAWED",IF(TODAY()&lt;=C610+SETTINGS!$I$2,"⚠ AT RISK","SAFE")))</f>
        <v/>
      </c>
      <c r="AU610" s="11"/>
      <c r="AW610" s="24" t="n">
        <f aca="false">AW609+IF(AND(C610&lt;&gt;"",AO610&lt;&gt;"",OR('REP COMMISSION'!$B$3="",T610='REP COMMISSION'!$B$3,W610='REP COMMISSION'!$B$3,Z610='REP COMMISSION'!$B$3)),1,0)</f>
        <v>0</v>
      </c>
      <c r="AX610" s="24" t="n">
        <f aca="false">AX609+IF(AND(C610&lt;&gt;"",OR(F610="LOC - INITIAL",F610="CONSOLIDATION - UPFRONT COMM",F610="REVERSE - TOTAL FUNDING")),1,0)</f>
        <v>0</v>
      </c>
    </row>
    <row r="611" customFormat="false" ht="15" hidden="false" customHeight="false" outlineLevel="0" collapsed="false">
      <c r="A611" s="25" t="str">
        <f aca="false">IF(C611&lt;&gt;"","F"&amp;COUNT($C$4:C611),"")</f>
        <v/>
      </c>
      <c r="B611" s="26" t="str">
        <f aca="false">IF(OR(F611="LOC - INITIAL",F611="CONSOLIDATION - UPFRONT COMM",F611="REVERSE - TOTAL FUNDING"),A611,"")</f>
        <v/>
      </c>
      <c r="C611" s="27"/>
      <c r="D611" s="28"/>
      <c r="E611" s="28"/>
      <c r="F611" s="28"/>
      <c r="G611" s="29"/>
      <c r="H611" s="30"/>
      <c r="I611" s="28"/>
      <c r="J611" s="31" t="str">
        <f aca="false">IF(AND(G611&lt;&gt;"",H611&lt;&gt;""),G611*H611,"")</f>
        <v/>
      </c>
      <c r="K611" s="28"/>
      <c r="L611" s="32"/>
      <c r="M611" s="32"/>
      <c r="N611" s="31" t="n">
        <f aca="false">IF(OR(G611="",M611=""),0,IF(M611&gt;100,M611,G611*IF(M611&gt;1,M611/100,M611)))</f>
        <v>0</v>
      </c>
      <c r="O611" s="31" t="str">
        <f aca="false">IF(G611="","",G611*IF(L611="",0,IF(L611&gt;1,L611/100,L611))+N611)</f>
        <v/>
      </c>
      <c r="P611" s="28"/>
      <c r="Q611" s="33" t="str">
        <f aca="false">IF(P611="","",IFERROR(VLOOKUP(P611,PARTNERS!$A$2:$B$30,2,0),""))</f>
        <v/>
      </c>
      <c r="R611" s="17" t="str">
        <f aca="false">IF(O611="","",IF(OR(P611="",Q611=""),0,(O611-N611)*IF(Q611&gt;1,Q611/100,Q611)))</f>
        <v/>
      </c>
      <c r="S611" s="31" t="str">
        <f aca="false">IF(O611="","",O611-R611)</f>
        <v/>
      </c>
      <c r="T611" s="28"/>
      <c r="U611" s="34" t="str">
        <f aca="false">IF(T611="","",IFERROR(VLOOKUP(T611,REPS!$A$2:$D$40,2,0),""))</f>
        <v/>
      </c>
      <c r="V611" s="31" t="str">
        <f aca="false">IF(O611="","",IF(U611="",0,O611*IF(U611&gt;1,U611/100,U611)))</f>
        <v/>
      </c>
      <c r="W611" s="28"/>
      <c r="X611" s="34" t="str">
        <f aca="false">IF(W611="","",IFERROR(VLOOKUP(W611,REPS!$A$2:$D$40,3,0),""))</f>
        <v/>
      </c>
      <c r="Y611" s="31" t="str">
        <f aca="false">IF(O611="","",IF(X611="",0,O611*IF(X611&gt;1,X611/100,X611)))</f>
        <v/>
      </c>
      <c r="Z611" s="28"/>
      <c r="AA611" s="34" t="str">
        <f aca="false">IF(Z611="","",IFERROR(VLOOKUP(Z611,REPS!$A$2:$D$40,4,0),""))</f>
        <v/>
      </c>
      <c r="AB611" s="31" t="str">
        <f aca="false">IF(O611="","",IF(AA611="",0,O611*IF(AA611&gt;1,AA611/100,AA611)))</f>
        <v/>
      </c>
      <c r="AC611" s="31" t="str">
        <f aca="false">IF(O611="","",V611+Y611+AB611)</f>
        <v/>
      </c>
      <c r="AD611" s="19" t="str">
        <f aca="false">IF(O611="","",O611-R611-AC611)</f>
        <v/>
      </c>
      <c r="AE611" s="20"/>
      <c r="AF611" s="27"/>
      <c r="AG611" s="21" t="n">
        <f aca="false">IF(OR(AE611="",AE611=0),0,AE611*IF(U611="",0,IF(U611&gt;1,U611/100,U611)))</f>
        <v>0</v>
      </c>
      <c r="AH611" s="21" t="n">
        <f aca="false">IF(OR(AE611="",AE611=0),0,AE611*IF(X611="",0,IF(X611&gt;1,X611/100,X611)))</f>
        <v>0</v>
      </c>
      <c r="AI611" s="21" t="n">
        <f aca="false">IF(OR(AE611="",AE611=0),0,AE611*IF(AA611="",0,IF(AA611&gt;1,AA611/100,AA611)))</f>
        <v>0</v>
      </c>
      <c r="AJ611" s="21" t="n">
        <f aca="false">AG611+AH611+AI611</f>
        <v>0</v>
      </c>
      <c r="AK611" s="21" t="n">
        <f aca="false">IF(OR(AE611="",AE611=0),0,AE611-AJ611)</f>
        <v>0</v>
      </c>
      <c r="AL611" s="19" t="str">
        <f aca="false">IF(AD611="","",AD611-AK611)</f>
        <v/>
      </c>
      <c r="AM611" s="26" t="str">
        <f aca="false">IF(C611="","","Waiting for payment")</f>
        <v/>
      </c>
      <c r="AN611" s="27"/>
      <c r="AO611" s="27"/>
      <c r="AP611" s="35" t="str">
        <f aca="false">IF(OR(C611="",I611="",K611=""),"",IF(K611="Monthly",EDATE(C611,ROUND(I611*SETTINGS!$I$8,0)),WORKDAY(C611,ROUND(I611*SETTINGS!$I$8,0))))</f>
        <v/>
      </c>
      <c r="AQ611" s="26" t="str">
        <f aca="true">IF(C611="","",IF(AND(AP611&lt;&gt;"",TODAY()&gt;=AP611),"Refi Ready",IF(TODAY()-C611&gt;=SETTINGS!$I$11,"Prospecting","Performing")))</f>
        <v/>
      </c>
      <c r="AR611" s="35" t="str">
        <f aca="false">IF(OR(C611="",I611="",K611=""),"",IF(K611="Monthly",EDATE(C611,I611),WORKDAY(C611,I611)))</f>
        <v/>
      </c>
      <c r="AS611" s="28"/>
      <c r="AT611" s="36" t="str">
        <f aca="true">IF(C611="","",IF(AM611="Clawed Back","CLAWED",IF(TODAY()&lt;=C611+SETTINGS!$I$2,"⚠ AT RISK","SAFE")))</f>
        <v/>
      </c>
      <c r="AU611" s="28"/>
      <c r="AW611" s="24" t="n">
        <f aca="false">AW610+IF(AND(C611&lt;&gt;"",AO611&lt;&gt;"",OR('REP COMMISSION'!$B$3="",T611='REP COMMISSION'!$B$3,W611='REP COMMISSION'!$B$3,Z611='REP COMMISSION'!$B$3)),1,0)</f>
        <v>0</v>
      </c>
      <c r="AX611" s="24" t="n">
        <f aca="false">AX610+IF(AND(C611&lt;&gt;"",OR(F611="LOC - INITIAL",F611="CONSOLIDATION - UPFRONT COMM",F611="REVERSE - TOTAL FUNDING")),1,0)</f>
        <v>0</v>
      </c>
    </row>
    <row r="612" customFormat="false" ht="15" hidden="false" customHeight="false" outlineLevel="0" collapsed="false">
      <c r="A612" s="8" t="str">
        <f aca="false">IF(C612&lt;&gt;"","F"&amp;COUNT($C$4:C612),"")</f>
        <v/>
      </c>
      <c r="B612" s="9" t="str">
        <f aca="false">IF(OR(F612="LOC - INITIAL",F612="CONSOLIDATION - UPFRONT COMM",F612="REVERSE - TOTAL FUNDING"),A612,"")</f>
        <v/>
      </c>
      <c r="C612" s="10"/>
      <c r="D612" s="11"/>
      <c r="E612" s="11"/>
      <c r="F612" s="11"/>
      <c r="G612" s="12"/>
      <c r="H612" s="13"/>
      <c r="I612" s="11"/>
      <c r="J612" s="14" t="str">
        <f aca="false">IF(AND(G612&lt;&gt;"",H612&lt;&gt;""),G612*H612,"")</f>
        <v/>
      </c>
      <c r="K612" s="11"/>
      <c r="L612" s="15"/>
      <c r="M612" s="15"/>
      <c r="N612" s="14" t="n">
        <f aca="false">IF(OR(G612="",M612=""),0,IF(M612&gt;100,M612,G612*IF(M612&gt;1,M612/100,M612)))</f>
        <v>0</v>
      </c>
      <c r="O612" s="14" t="str">
        <f aca="false">IF(G612="","",G612*IF(L612="",0,IF(L612&gt;1,L612/100,L612))+N612)</f>
        <v/>
      </c>
      <c r="P612" s="11"/>
      <c r="Q612" s="16" t="str">
        <f aca="false">IF(P612="","",IFERROR(VLOOKUP(P612,PARTNERS!$A$2:$B$30,2,0),""))</f>
        <v/>
      </c>
      <c r="R612" s="17" t="str">
        <f aca="false">IF(O612="","",IF(OR(P612="",Q612=""),0,(O612-N612)*IF(Q612&gt;1,Q612/100,Q612)))</f>
        <v/>
      </c>
      <c r="S612" s="14" t="str">
        <f aca="false">IF(O612="","",O612-R612)</f>
        <v/>
      </c>
      <c r="T612" s="11"/>
      <c r="U612" s="18" t="str">
        <f aca="false">IF(T612="","",IFERROR(VLOOKUP(T612,REPS!$A$2:$D$40,2,0),""))</f>
        <v/>
      </c>
      <c r="V612" s="14" t="str">
        <f aca="false">IF(O612="","",IF(U612="",0,O612*IF(U612&gt;1,U612/100,U612)))</f>
        <v/>
      </c>
      <c r="W612" s="11"/>
      <c r="X612" s="18" t="str">
        <f aca="false">IF(W612="","",IFERROR(VLOOKUP(W612,REPS!$A$2:$D$40,3,0),""))</f>
        <v/>
      </c>
      <c r="Y612" s="14" t="str">
        <f aca="false">IF(O612="","",IF(X612="",0,O612*IF(X612&gt;1,X612/100,X612)))</f>
        <v/>
      </c>
      <c r="Z612" s="11"/>
      <c r="AA612" s="18" t="str">
        <f aca="false">IF(Z612="","",IFERROR(VLOOKUP(Z612,REPS!$A$2:$D$40,4,0),""))</f>
        <v/>
      </c>
      <c r="AB612" s="14" t="str">
        <f aca="false">IF(O612="","",IF(AA612="",0,O612*IF(AA612&gt;1,AA612/100,AA612)))</f>
        <v/>
      </c>
      <c r="AC612" s="14" t="str">
        <f aca="false">IF(O612="","",V612+Y612+AB612)</f>
        <v/>
      </c>
      <c r="AD612" s="19" t="str">
        <f aca="false">IF(O612="","",O612-R612-AC612)</f>
        <v/>
      </c>
      <c r="AE612" s="20"/>
      <c r="AF612" s="10"/>
      <c r="AG612" s="21" t="n">
        <f aca="false">IF(OR(AE612="",AE612=0),0,AE612*IF(U612="",0,IF(U612&gt;1,U612/100,U612)))</f>
        <v>0</v>
      </c>
      <c r="AH612" s="21" t="n">
        <f aca="false">IF(OR(AE612="",AE612=0),0,AE612*IF(X612="",0,IF(X612&gt;1,X612/100,X612)))</f>
        <v>0</v>
      </c>
      <c r="AI612" s="21" t="n">
        <f aca="false">IF(OR(AE612="",AE612=0),0,AE612*IF(AA612="",0,IF(AA612&gt;1,AA612/100,AA612)))</f>
        <v>0</v>
      </c>
      <c r="AJ612" s="21" t="n">
        <f aca="false">AG612+AH612+AI612</f>
        <v>0</v>
      </c>
      <c r="AK612" s="21" t="n">
        <f aca="false">IF(OR(AE612="",AE612=0),0,AE612-AJ612)</f>
        <v>0</v>
      </c>
      <c r="AL612" s="19" t="str">
        <f aca="false">IF(AD612="","",AD612-AK612)</f>
        <v/>
      </c>
      <c r="AM612" s="9" t="str">
        <f aca="false">IF(C612="","","Waiting for payment")</f>
        <v/>
      </c>
      <c r="AN612" s="10"/>
      <c r="AO612" s="10"/>
      <c r="AP612" s="22" t="str">
        <f aca="false">IF(OR(C612="",I612="",K612=""),"",IF(K612="Monthly",EDATE(C612,ROUND(I612*SETTINGS!$I$8,0)),WORKDAY(C612,ROUND(I612*SETTINGS!$I$8,0))))</f>
        <v/>
      </c>
      <c r="AQ612" s="9" t="str">
        <f aca="true">IF(C612="","",IF(AND(AP612&lt;&gt;"",TODAY()&gt;=AP612),"Refi Ready",IF(TODAY()-C612&gt;=SETTINGS!$I$11,"Prospecting","Performing")))</f>
        <v/>
      </c>
      <c r="AR612" s="22" t="str">
        <f aca="false">IF(OR(C612="",I612="",K612=""),"",IF(K612="Monthly",EDATE(C612,I612),WORKDAY(C612,I612)))</f>
        <v/>
      </c>
      <c r="AS612" s="11"/>
      <c r="AT612" s="23" t="str">
        <f aca="true">IF(C612="","",IF(AM612="Clawed Back","CLAWED",IF(TODAY()&lt;=C612+SETTINGS!$I$2,"⚠ AT RISK","SAFE")))</f>
        <v/>
      </c>
      <c r="AU612" s="11"/>
      <c r="AW612" s="24" t="n">
        <f aca="false">AW611+IF(AND(C612&lt;&gt;"",AO612&lt;&gt;"",OR('REP COMMISSION'!$B$3="",T612='REP COMMISSION'!$B$3,W612='REP COMMISSION'!$B$3,Z612='REP COMMISSION'!$B$3)),1,0)</f>
        <v>0</v>
      </c>
      <c r="AX612" s="24" t="n">
        <f aca="false">AX611+IF(AND(C612&lt;&gt;"",OR(F612="LOC - INITIAL",F612="CONSOLIDATION - UPFRONT COMM",F612="REVERSE - TOTAL FUNDING")),1,0)</f>
        <v>0</v>
      </c>
    </row>
    <row r="613" customFormat="false" ht="15" hidden="false" customHeight="false" outlineLevel="0" collapsed="false">
      <c r="A613" s="25" t="str">
        <f aca="false">IF(C613&lt;&gt;"","F"&amp;COUNT($C$4:C613),"")</f>
        <v/>
      </c>
      <c r="B613" s="26" t="str">
        <f aca="false">IF(OR(F613="LOC - INITIAL",F613="CONSOLIDATION - UPFRONT COMM",F613="REVERSE - TOTAL FUNDING"),A613,"")</f>
        <v/>
      </c>
      <c r="C613" s="27"/>
      <c r="D613" s="28"/>
      <c r="E613" s="28"/>
      <c r="F613" s="28"/>
      <c r="G613" s="29"/>
      <c r="H613" s="30"/>
      <c r="I613" s="28"/>
      <c r="J613" s="31" t="str">
        <f aca="false">IF(AND(G613&lt;&gt;"",H613&lt;&gt;""),G613*H613,"")</f>
        <v/>
      </c>
      <c r="K613" s="28"/>
      <c r="L613" s="32"/>
      <c r="M613" s="32"/>
      <c r="N613" s="31" t="n">
        <f aca="false">IF(OR(G613="",M613=""),0,IF(M613&gt;100,M613,G613*IF(M613&gt;1,M613/100,M613)))</f>
        <v>0</v>
      </c>
      <c r="O613" s="31" t="str">
        <f aca="false">IF(G613="","",G613*IF(L613="",0,IF(L613&gt;1,L613/100,L613))+N613)</f>
        <v/>
      </c>
      <c r="P613" s="28"/>
      <c r="Q613" s="33" t="str">
        <f aca="false">IF(P613="","",IFERROR(VLOOKUP(P613,PARTNERS!$A$2:$B$30,2,0),""))</f>
        <v/>
      </c>
      <c r="R613" s="17" t="str">
        <f aca="false">IF(O613="","",IF(OR(P613="",Q613=""),0,(O613-N613)*IF(Q613&gt;1,Q613/100,Q613)))</f>
        <v/>
      </c>
      <c r="S613" s="31" t="str">
        <f aca="false">IF(O613="","",O613-R613)</f>
        <v/>
      </c>
      <c r="T613" s="28"/>
      <c r="U613" s="34" t="str">
        <f aca="false">IF(T613="","",IFERROR(VLOOKUP(T613,REPS!$A$2:$D$40,2,0),""))</f>
        <v/>
      </c>
      <c r="V613" s="31" t="str">
        <f aca="false">IF(O613="","",IF(U613="",0,O613*IF(U613&gt;1,U613/100,U613)))</f>
        <v/>
      </c>
      <c r="W613" s="28"/>
      <c r="X613" s="34" t="str">
        <f aca="false">IF(W613="","",IFERROR(VLOOKUP(W613,REPS!$A$2:$D$40,3,0),""))</f>
        <v/>
      </c>
      <c r="Y613" s="31" t="str">
        <f aca="false">IF(O613="","",IF(X613="",0,O613*IF(X613&gt;1,X613/100,X613)))</f>
        <v/>
      </c>
      <c r="Z613" s="28"/>
      <c r="AA613" s="34" t="str">
        <f aca="false">IF(Z613="","",IFERROR(VLOOKUP(Z613,REPS!$A$2:$D$40,4,0),""))</f>
        <v/>
      </c>
      <c r="AB613" s="31" t="str">
        <f aca="false">IF(O613="","",IF(AA613="",0,O613*IF(AA613&gt;1,AA613/100,AA613)))</f>
        <v/>
      </c>
      <c r="AC613" s="31" t="str">
        <f aca="false">IF(O613="","",V613+Y613+AB613)</f>
        <v/>
      </c>
      <c r="AD613" s="19" t="str">
        <f aca="false">IF(O613="","",O613-R613-AC613)</f>
        <v/>
      </c>
      <c r="AE613" s="20"/>
      <c r="AF613" s="27"/>
      <c r="AG613" s="21" t="n">
        <f aca="false">IF(OR(AE613="",AE613=0),0,AE613*IF(U613="",0,IF(U613&gt;1,U613/100,U613)))</f>
        <v>0</v>
      </c>
      <c r="AH613" s="21" t="n">
        <f aca="false">IF(OR(AE613="",AE613=0),0,AE613*IF(X613="",0,IF(X613&gt;1,X613/100,X613)))</f>
        <v>0</v>
      </c>
      <c r="AI613" s="21" t="n">
        <f aca="false">IF(OR(AE613="",AE613=0),0,AE613*IF(AA613="",0,IF(AA613&gt;1,AA613/100,AA613)))</f>
        <v>0</v>
      </c>
      <c r="AJ613" s="21" t="n">
        <f aca="false">AG613+AH613+AI613</f>
        <v>0</v>
      </c>
      <c r="AK613" s="21" t="n">
        <f aca="false">IF(OR(AE613="",AE613=0),0,AE613-AJ613)</f>
        <v>0</v>
      </c>
      <c r="AL613" s="19" t="str">
        <f aca="false">IF(AD613="","",AD613-AK613)</f>
        <v/>
      </c>
      <c r="AM613" s="26" t="str">
        <f aca="false">IF(C613="","","Waiting for payment")</f>
        <v/>
      </c>
      <c r="AN613" s="27"/>
      <c r="AO613" s="27"/>
      <c r="AP613" s="35" t="str">
        <f aca="false">IF(OR(C613="",I613="",K613=""),"",IF(K613="Monthly",EDATE(C613,ROUND(I613*SETTINGS!$I$8,0)),WORKDAY(C613,ROUND(I613*SETTINGS!$I$8,0))))</f>
        <v/>
      </c>
      <c r="AQ613" s="26" t="str">
        <f aca="true">IF(C613="","",IF(AND(AP613&lt;&gt;"",TODAY()&gt;=AP613),"Refi Ready",IF(TODAY()-C613&gt;=SETTINGS!$I$11,"Prospecting","Performing")))</f>
        <v/>
      </c>
      <c r="AR613" s="35" t="str">
        <f aca="false">IF(OR(C613="",I613="",K613=""),"",IF(K613="Monthly",EDATE(C613,I613),WORKDAY(C613,I613)))</f>
        <v/>
      </c>
      <c r="AS613" s="28"/>
      <c r="AT613" s="36" t="str">
        <f aca="true">IF(C613="","",IF(AM613="Clawed Back","CLAWED",IF(TODAY()&lt;=C613+SETTINGS!$I$2,"⚠ AT RISK","SAFE")))</f>
        <v/>
      </c>
      <c r="AU613" s="28"/>
      <c r="AW613" s="24" t="n">
        <f aca="false">AW612+IF(AND(C613&lt;&gt;"",AO613&lt;&gt;"",OR('REP COMMISSION'!$B$3="",T613='REP COMMISSION'!$B$3,W613='REP COMMISSION'!$B$3,Z613='REP COMMISSION'!$B$3)),1,0)</f>
        <v>0</v>
      </c>
      <c r="AX613" s="24" t="n">
        <f aca="false">AX612+IF(AND(C613&lt;&gt;"",OR(F613="LOC - INITIAL",F613="CONSOLIDATION - UPFRONT COMM",F613="REVERSE - TOTAL FUNDING")),1,0)</f>
        <v>0</v>
      </c>
    </row>
    <row r="614" customFormat="false" ht="18" hidden="false" customHeight="true" outlineLevel="0" collapsed="false">
      <c r="A614" s="37" t="s">
        <v>59</v>
      </c>
      <c r="B614" s="38"/>
      <c r="C614" s="38"/>
      <c r="D614" s="37" t="str">
        <f aca="false">COUNT(C514:C613)&amp;" units"</f>
        <v>0 units</v>
      </c>
      <c r="E614" s="38"/>
      <c r="F614" s="38"/>
      <c r="G614" s="39" t="n">
        <f aca="false">SUM(G514:G613)</f>
        <v>0</v>
      </c>
      <c r="H614" s="38"/>
      <c r="I614" s="38"/>
      <c r="J614" s="38"/>
      <c r="K614" s="38"/>
      <c r="L614" s="38"/>
      <c r="M614" s="38"/>
      <c r="N614" s="39" t="n">
        <f aca="false">SUM(N514:N613)</f>
        <v>0</v>
      </c>
      <c r="O614" s="39" t="n">
        <f aca="false">SUM(O514:O613)</f>
        <v>0</v>
      </c>
      <c r="P614" s="38"/>
      <c r="Q614" s="38"/>
      <c r="R614" s="39" t="n">
        <f aca="false">SUM(R514:R613)</f>
        <v>0</v>
      </c>
      <c r="S614" s="39" t="n">
        <f aca="false">SUM(S514:S613)</f>
        <v>0</v>
      </c>
      <c r="T614" s="38"/>
      <c r="U614" s="38"/>
      <c r="V614" s="38"/>
      <c r="W614" s="38"/>
      <c r="X614" s="38"/>
      <c r="Y614" s="38"/>
      <c r="Z614" s="38"/>
      <c r="AA614" s="38"/>
      <c r="AB614" s="38"/>
      <c r="AC614" s="39" t="n">
        <f aca="false">SUM(AC514:AC613)</f>
        <v>0</v>
      </c>
      <c r="AD614" s="39" t="n">
        <f aca="false">SUM(AD514:AD613)</f>
        <v>0</v>
      </c>
      <c r="AE614" s="39" t="n">
        <f aca="false">SUM(AE514:AE613)</f>
        <v>0</v>
      </c>
      <c r="AF614" s="38"/>
      <c r="AG614" s="38"/>
      <c r="AH614" s="38"/>
      <c r="AI614" s="38"/>
      <c r="AJ614" s="39" t="n">
        <f aca="false">SUM(AJ514:AJ613)</f>
        <v>0</v>
      </c>
      <c r="AK614" s="39" t="n">
        <f aca="false">SUM(AK514:AK613)</f>
        <v>0</v>
      </c>
      <c r="AL614" s="39" t="n">
        <f aca="false">SUM(AL514:AL613)</f>
        <v>0</v>
      </c>
      <c r="AM614" s="38"/>
      <c r="AN614" s="38"/>
      <c r="AO614" s="38"/>
      <c r="AP614" s="38"/>
      <c r="AQ614" s="38"/>
      <c r="AR614" s="38"/>
      <c r="AS614" s="38"/>
      <c r="AT614" s="38"/>
      <c r="AU614" s="38"/>
      <c r="AW614" s="24" t="n">
        <f aca="false">AW613</f>
        <v>0</v>
      </c>
      <c r="AX614" s="24" t="n">
        <f aca="false">AX613</f>
        <v>0</v>
      </c>
    </row>
    <row r="615" customFormat="false" ht="19.5" hidden="false" customHeight="true" outlineLevel="0" collapsed="false">
      <c r="A615" s="6" t="s">
        <v>60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W615" s="24" t="n">
        <f aca="false">AW614</f>
        <v>0</v>
      </c>
      <c r="AX615" s="24" t="n">
        <f aca="false">AX614</f>
        <v>0</v>
      </c>
    </row>
    <row r="616" customFormat="false" ht="15" hidden="false" customHeight="false" outlineLevel="0" collapsed="false">
      <c r="A616" s="8" t="str">
        <f aca="false">IF(C616&lt;&gt;"","F"&amp;COUNT($C$4:C616),"")</f>
        <v/>
      </c>
      <c r="B616" s="9" t="str">
        <f aca="false">IF(OR(F616="LOC - INITIAL",F616="CONSOLIDATION - UPFRONT COMM",F616="REVERSE - TOTAL FUNDING"),A616,"")</f>
        <v/>
      </c>
      <c r="C616" s="10"/>
      <c r="D616" s="11"/>
      <c r="E616" s="11"/>
      <c r="F616" s="11"/>
      <c r="G616" s="12"/>
      <c r="H616" s="13"/>
      <c r="I616" s="11"/>
      <c r="J616" s="14" t="str">
        <f aca="false">IF(AND(G616&lt;&gt;"",H616&lt;&gt;""),G616*H616,"")</f>
        <v/>
      </c>
      <c r="K616" s="11"/>
      <c r="L616" s="15"/>
      <c r="M616" s="15"/>
      <c r="N616" s="14" t="n">
        <f aca="false">IF(OR(G616="",M616=""),0,IF(M616&gt;100,M616,G616*IF(M616&gt;1,M616/100,M616)))</f>
        <v>0</v>
      </c>
      <c r="O616" s="14" t="str">
        <f aca="false">IF(G616="","",G616*IF(L616="",0,IF(L616&gt;1,L616/100,L616))+N616)</f>
        <v/>
      </c>
      <c r="P616" s="11"/>
      <c r="Q616" s="16" t="str">
        <f aca="false">IF(P616="","",IFERROR(VLOOKUP(P616,PARTNERS!$A$2:$B$30,2,0),""))</f>
        <v/>
      </c>
      <c r="R616" s="17" t="str">
        <f aca="false">IF(O616="","",IF(OR(P616="",Q616=""),0,(O616-N616)*IF(Q616&gt;1,Q616/100,Q616)))</f>
        <v/>
      </c>
      <c r="S616" s="14" t="str">
        <f aca="false">IF(O616="","",O616-R616)</f>
        <v/>
      </c>
      <c r="T616" s="11"/>
      <c r="U616" s="18" t="str">
        <f aca="false">IF(T616="","",IFERROR(VLOOKUP(T616,REPS!$A$2:$D$40,2,0),""))</f>
        <v/>
      </c>
      <c r="V616" s="14" t="str">
        <f aca="false">IF(O616="","",IF(U616="",0,O616*IF(U616&gt;1,U616/100,U616)))</f>
        <v/>
      </c>
      <c r="W616" s="11"/>
      <c r="X616" s="18" t="str">
        <f aca="false">IF(W616="","",IFERROR(VLOOKUP(W616,REPS!$A$2:$D$40,3,0),""))</f>
        <v/>
      </c>
      <c r="Y616" s="14" t="str">
        <f aca="false">IF(O616="","",IF(X616="",0,O616*IF(X616&gt;1,X616/100,X616)))</f>
        <v/>
      </c>
      <c r="Z616" s="11"/>
      <c r="AA616" s="18" t="str">
        <f aca="false">IF(Z616="","",IFERROR(VLOOKUP(Z616,REPS!$A$2:$D$40,4,0),""))</f>
        <v/>
      </c>
      <c r="AB616" s="14" t="str">
        <f aca="false">IF(O616="","",IF(AA616="",0,O616*IF(AA616&gt;1,AA616/100,AA616)))</f>
        <v/>
      </c>
      <c r="AC616" s="14" t="str">
        <f aca="false">IF(O616="","",V616+Y616+AB616)</f>
        <v/>
      </c>
      <c r="AD616" s="19" t="str">
        <f aca="false">IF(O616="","",O616-R616-AC616)</f>
        <v/>
      </c>
      <c r="AE616" s="20"/>
      <c r="AF616" s="10"/>
      <c r="AG616" s="21" t="n">
        <f aca="false">IF(OR(AE616="",AE616=0),0,AE616*IF(U616="",0,IF(U616&gt;1,U616/100,U616)))</f>
        <v>0</v>
      </c>
      <c r="AH616" s="21" t="n">
        <f aca="false">IF(OR(AE616="",AE616=0),0,AE616*IF(X616="",0,IF(X616&gt;1,X616/100,X616)))</f>
        <v>0</v>
      </c>
      <c r="AI616" s="21" t="n">
        <f aca="false">IF(OR(AE616="",AE616=0),0,AE616*IF(AA616="",0,IF(AA616&gt;1,AA616/100,AA616)))</f>
        <v>0</v>
      </c>
      <c r="AJ616" s="21" t="n">
        <f aca="false">AG616+AH616+AI616</f>
        <v>0</v>
      </c>
      <c r="AK616" s="21" t="n">
        <f aca="false">IF(OR(AE616="",AE616=0),0,AE616-AJ616)</f>
        <v>0</v>
      </c>
      <c r="AL616" s="19" t="str">
        <f aca="false">IF(AD616="","",AD616-AK616)</f>
        <v/>
      </c>
      <c r="AM616" s="9" t="str">
        <f aca="false">IF(C616="","","Waiting for payment")</f>
        <v/>
      </c>
      <c r="AN616" s="10"/>
      <c r="AO616" s="10"/>
      <c r="AP616" s="22" t="str">
        <f aca="false">IF(OR(C616="",I616="",K616=""),"",IF(K616="Monthly",EDATE(C616,ROUND(I616*SETTINGS!$I$8,0)),WORKDAY(C616,ROUND(I616*SETTINGS!$I$8,0))))</f>
        <v/>
      </c>
      <c r="AQ616" s="9" t="str">
        <f aca="true">IF(C616="","",IF(AND(AP616&lt;&gt;"",TODAY()&gt;=AP616),"Refi Ready",IF(TODAY()-C616&gt;=SETTINGS!$I$11,"Prospecting","Performing")))</f>
        <v/>
      </c>
      <c r="AR616" s="22" t="str">
        <f aca="false">IF(OR(C616="",I616="",K616=""),"",IF(K616="Monthly",EDATE(C616,I616),WORKDAY(C616,I616)))</f>
        <v/>
      </c>
      <c r="AS616" s="11"/>
      <c r="AT616" s="23" t="str">
        <f aca="true">IF(C616="","",IF(AM616="Clawed Back","CLAWED",IF(TODAY()&lt;=C616+SETTINGS!$I$2,"⚠ AT RISK","SAFE")))</f>
        <v/>
      </c>
      <c r="AU616" s="11"/>
      <c r="AW616" s="24" t="n">
        <f aca="false">AW615+IF(AND(C616&lt;&gt;"",AO616&lt;&gt;"",OR('REP COMMISSION'!$B$3="",T616='REP COMMISSION'!$B$3,W616='REP COMMISSION'!$B$3,Z616='REP COMMISSION'!$B$3)),1,0)</f>
        <v>0</v>
      </c>
      <c r="AX616" s="24" t="n">
        <f aca="false">AX615+IF(AND(C616&lt;&gt;"",OR(F616="LOC - INITIAL",F616="CONSOLIDATION - UPFRONT COMM",F616="REVERSE - TOTAL FUNDING")),1,0)</f>
        <v>0</v>
      </c>
    </row>
    <row r="617" customFormat="false" ht="15" hidden="false" customHeight="false" outlineLevel="0" collapsed="false">
      <c r="A617" s="25" t="str">
        <f aca="false">IF(C617&lt;&gt;"","F"&amp;COUNT($C$4:C617),"")</f>
        <v/>
      </c>
      <c r="B617" s="26" t="str">
        <f aca="false">IF(OR(F617="LOC - INITIAL",F617="CONSOLIDATION - UPFRONT COMM",F617="REVERSE - TOTAL FUNDING"),A617,"")</f>
        <v/>
      </c>
      <c r="C617" s="27"/>
      <c r="D617" s="28"/>
      <c r="E617" s="28"/>
      <c r="F617" s="28"/>
      <c r="G617" s="29"/>
      <c r="H617" s="30"/>
      <c r="I617" s="28"/>
      <c r="J617" s="31" t="str">
        <f aca="false">IF(AND(G617&lt;&gt;"",H617&lt;&gt;""),G617*H617,"")</f>
        <v/>
      </c>
      <c r="K617" s="28"/>
      <c r="L617" s="32"/>
      <c r="M617" s="32"/>
      <c r="N617" s="31" t="n">
        <f aca="false">IF(OR(G617="",M617=""),0,IF(M617&gt;100,M617,G617*IF(M617&gt;1,M617/100,M617)))</f>
        <v>0</v>
      </c>
      <c r="O617" s="31" t="str">
        <f aca="false">IF(G617="","",G617*IF(L617="",0,IF(L617&gt;1,L617/100,L617))+N617)</f>
        <v/>
      </c>
      <c r="P617" s="28"/>
      <c r="Q617" s="33" t="str">
        <f aca="false">IF(P617="","",IFERROR(VLOOKUP(P617,PARTNERS!$A$2:$B$30,2,0),""))</f>
        <v/>
      </c>
      <c r="R617" s="17" t="str">
        <f aca="false">IF(O617="","",IF(OR(P617="",Q617=""),0,(O617-N617)*IF(Q617&gt;1,Q617/100,Q617)))</f>
        <v/>
      </c>
      <c r="S617" s="31" t="str">
        <f aca="false">IF(O617="","",O617-R617)</f>
        <v/>
      </c>
      <c r="T617" s="28"/>
      <c r="U617" s="34" t="str">
        <f aca="false">IF(T617="","",IFERROR(VLOOKUP(T617,REPS!$A$2:$D$40,2,0),""))</f>
        <v/>
      </c>
      <c r="V617" s="31" t="str">
        <f aca="false">IF(O617="","",IF(U617="",0,O617*IF(U617&gt;1,U617/100,U617)))</f>
        <v/>
      </c>
      <c r="W617" s="28"/>
      <c r="X617" s="34" t="str">
        <f aca="false">IF(W617="","",IFERROR(VLOOKUP(W617,REPS!$A$2:$D$40,3,0),""))</f>
        <v/>
      </c>
      <c r="Y617" s="31" t="str">
        <f aca="false">IF(O617="","",IF(X617="",0,O617*IF(X617&gt;1,X617/100,X617)))</f>
        <v/>
      </c>
      <c r="Z617" s="28"/>
      <c r="AA617" s="34" t="str">
        <f aca="false">IF(Z617="","",IFERROR(VLOOKUP(Z617,REPS!$A$2:$D$40,4,0),""))</f>
        <v/>
      </c>
      <c r="AB617" s="31" t="str">
        <f aca="false">IF(O617="","",IF(AA617="",0,O617*IF(AA617&gt;1,AA617/100,AA617)))</f>
        <v/>
      </c>
      <c r="AC617" s="31" t="str">
        <f aca="false">IF(O617="","",V617+Y617+AB617)</f>
        <v/>
      </c>
      <c r="AD617" s="19" t="str">
        <f aca="false">IF(O617="","",O617-R617-AC617)</f>
        <v/>
      </c>
      <c r="AE617" s="20"/>
      <c r="AF617" s="27"/>
      <c r="AG617" s="21" t="n">
        <f aca="false">IF(OR(AE617="",AE617=0),0,AE617*IF(U617="",0,IF(U617&gt;1,U617/100,U617)))</f>
        <v>0</v>
      </c>
      <c r="AH617" s="21" t="n">
        <f aca="false">IF(OR(AE617="",AE617=0),0,AE617*IF(X617="",0,IF(X617&gt;1,X617/100,X617)))</f>
        <v>0</v>
      </c>
      <c r="AI617" s="21" t="n">
        <f aca="false">IF(OR(AE617="",AE617=0),0,AE617*IF(AA617="",0,IF(AA617&gt;1,AA617/100,AA617)))</f>
        <v>0</v>
      </c>
      <c r="AJ617" s="21" t="n">
        <f aca="false">AG617+AH617+AI617</f>
        <v>0</v>
      </c>
      <c r="AK617" s="21" t="n">
        <f aca="false">IF(OR(AE617="",AE617=0),0,AE617-AJ617)</f>
        <v>0</v>
      </c>
      <c r="AL617" s="19" t="str">
        <f aca="false">IF(AD617="","",AD617-AK617)</f>
        <v/>
      </c>
      <c r="AM617" s="26" t="str">
        <f aca="false">IF(C617="","","Waiting for payment")</f>
        <v/>
      </c>
      <c r="AN617" s="27"/>
      <c r="AO617" s="27"/>
      <c r="AP617" s="35" t="str">
        <f aca="false">IF(OR(C617="",I617="",K617=""),"",IF(K617="Monthly",EDATE(C617,ROUND(I617*SETTINGS!$I$8,0)),WORKDAY(C617,ROUND(I617*SETTINGS!$I$8,0))))</f>
        <v/>
      </c>
      <c r="AQ617" s="26" t="str">
        <f aca="true">IF(C617="","",IF(AND(AP617&lt;&gt;"",TODAY()&gt;=AP617),"Refi Ready",IF(TODAY()-C617&gt;=SETTINGS!$I$11,"Prospecting","Performing")))</f>
        <v/>
      </c>
      <c r="AR617" s="35" t="str">
        <f aca="false">IF(OR(C617="",I617="",K617=""),"",IF(K617="Monthly",EDATE(C617,I617),WORKDAY(C617,I617)))</f>
        <v/>
      </c>
      <c r="AS617" s="28"/>
      <c r="AT617" s="36" t="str">
        <f aca="true">IF(C617="","",IF(AM617="Clawed Back","CLAWED",IF(TODAY()&lt;=C617+SETTINGS!$I$2,"⚠ AT RISK","SAFE")))</f>
        <v/>
      </c>
      <c r="AU617" s="28"/>
      <c r="AW617" s="24" t="n">
        <f aca="false">AW616+IF(AND(C617&lt;&gt;"",AO617&lt;&gt;"",OR('REP COMMISSION'!$B$3="",T617='REP COMMISSION'!$B$3,W617='REP COMMISSION'!$B$3,Z617='REP COMMISSION'!$B$3)),1,0)</f>
        <v>0</v>
      </c>
      <c r="AX617" s="24" t="n">
        <f aca="false">AX616+IF(AND(C617&lt;&gt;"",OR(F617="LOC - INITIAL",F617="CONSOLIDATION - UPFRONT COMM",F617="REVERSE - TOTAL FUNDING")),1,0)</f>
        <v>0</v>
      </c>
    </row>
    <row r="618" customFormat="false" ht="15" hidden="false" customHeight="false" outlineLevel="0" collapsed="false">
      <c r="A618" s="8" t="str">
        <f aca="false">IF(C618&lt;&gt;"","F"&amp;COUNT($C$4:C618),"")</f>
        <v/>
      </c>
      <c r="B618" s="9" t="str">
        <f aca="false">IF(OR(F618="LOC - INITIAL",F618="CONSOLIDATION - UPFRONT COMM",F618="REVERSE - TOTAL FUNDING"),A618,"")</f>
        <v/>
      </c>
      <c r="C618" s="10"/>
      <c r="D618" s="11"/>
      <c r="E618" s="11"/>
      <c r="F618" s="11"/>
      <c r="G618" s="12"/>
      <c r="H618" s="13"/>
      <c r="I618" s="11"/>
      <c r="J618" s="14" t="str">
        <f aca="false">IF(AND(G618&lt;&gt;"",H618&lt;&gt;""),G618*H618,"")</f>
        <v/>
      </c>
      <c r="K618" s="11"/>
      <c r="L618" s="15"/>
      <c r="M618" s="15"/>
      <c r="N618" s="14" t="n">
        <f aca="false">IF(OR(G618="",M618=""),0,IF(M618&gt;100,M618,G618*IF(M618&gt;1,M618/100,M618)))</f>
        <v>0</v>
      </c>
      <c r="O618" s="14" t="str">
        <f aca="false">IF(G618="","",G618*IF(L618="",0,IF(L618&gt;1,L618/100,L618))+N618)</f>
        <v/>
      </c>
      <c r="P618" s="11"/>
      <c r="Q618" s="16" t="str">
        <f aca="false">IF(P618="","",IFERROR(VLOOKUP(P618,PARTNERS!$A$2:$B$30,2,0),""))</f>
        <v/>
      </c>
      <c r="R618" s="17" t="str">
        <f aca="false">IF(O618="","",IF(OR(P618="",Q618=""),0,(O618-N618)*IF(Q618&gt;1,Q618/100,Q618)))</f>
        <v/>
      </c>
      <c r="S618" s="14" t="str">
        <f aca="false">IF(O618="","",O618-R618)</f>
        <v/>
      </c>
      <c r="T618" s="11"/>
      <c r="U618" s="18" t="str">
        <f aca="false">IF(T618="","",IFERROR(VLOOKUP(T618,REPS!$A$2:$D$40,2,0),""))</f>
        <v/>
      </c>
      <c r="V618" s="14" t="str">
        <f aca="false">IF(O618="","",IF(U618="",0,O618*IF(U618&gt;1,U618/100,U618)))</f>
        <v/>
      </c>
      <c r="W618" s="11"/>
      <c r="X618" s="18" t="str">
        <f aca="false">IF(W618="","",IFERROR(VLOOKUP(W618,REPS!$A$2:$D$40,3,0),""))</f>
        <v/>
      </c>
      <c r="Y618" s="14" t="str">
        <f aca="false">IF(O618="","",IF(X618="",0,O618*IF(X618&gt;1,X618/100,X618)))</f>
        <v/>
      </c>
      <c r="Z618" s="11"/>
      <c r="AA618" s="18" t="str">
        <f aca="false">IF(Z618="","",IFERROR(VLOOKUP(Z618,REPS!$A$2:$D$40,4,0),""))</f>
        <v/>
      </c>
      <c r="AB618" s="14" t="str">
        <f aca="false">IF(O618="","",IF(AA618="",0,O618*IF(AA618&gt;1,AA618/100,AA618)))</f>
        <v/>
      </c>
      <c r="AC618" s="14" t="str">
        <f aca="false">IF(O618="","",V618+Y618+AB618)</f>
        <v/>
      </c>
      <c r="AD618" s="19" t="str">
        <f aca="false">IF(O618="","",O618-R618-AC618)</f>
        <v/>
      </c>
      <c r="AE618" s="20"/>
      <c r="AF618" s="10"/>
      <c r="AG618" s="21" t="n">
        <f aca="false">IF(OR(AE618="",AE618=0),0,AE618*IF(U618="",0,IF(U618&gt;1,U618/100,U618)))</f>
        <v>0</v>
      </c>
      <c r="AH618" s="21" t="n">
        <f aca="false">IF(OR(AE618="",AE618=0),0,AE618*IF(X618="",0,IF(X618&gt;1,X618/100,X618)))</f>
        <v>0</v>
      </c>
      <c r="AI618" s="21" t="n">
        <f aca="false">IF(OR(AE618="",AE618=0),0,AE618*IF(AA618="",0,IF(AA618&gt;1,AA618/100,AA618)))</f>
        <v>0</v>
      </c>
      <c r="AJ618" s="21" t="n">
        <f aca="false">AG618+AH618+AI618</f>
        <v>0</v>
      </c>
      <c r="AK618" s="21" t="n">
        <f aca="false">IF(OR(AE618="",AE618=0),0,AE618-AJ618)</f>
        <v>0</v>
      </c>
      <c r="AL618" s="19" t="str">
        <f aca="false">IF(AD618="","",AD618-AK618)</f>
        <v/>
      </c>
      <c r="AM618" s="9" t="str">
        <f aca="false">IF(C618="","","Waiting for payment")</f>
        <v/>
      </c>
      <c r="AN618" s="10"/>
      <c r="AO618" s="10"/>
      <c r="AP618" s="22" t="str">
        <f aca="false">IF(OR(C618="",I618="",K618=""),"",IF(K618="Monthly",EDATE(C618,ROUND(I618*SETTINGS!$I$8,0)),WORKDAY(C618,ROUND(I618*SETTINGS!$I$8,0))))</f>
        <v/>
      </c>
      <c r="AQ618" s="9" t="str">
        <f aca="true">IF(C618="","",IF(AND(AP618&lt;&gt;"",TODAY()&gt;=AP618),"Refi Ready",IF(TODAY()-C618&gt;=SETTINGS!$I$11,"Prospecting","Performing")))</f>
        <v/>
      </c>
      <c r="AR618" s="22" t="str">
        <f aca="false">IF(OR(C618="",I618="",K618=""),"",IF(K618="Monthly",EDATE(C618,I618),WORKDAY(C618,I618)))</f>
        <v/>
      </c>
      <c r="AS618" s="11"/>
      <c r="AT618" s="23" t="str">
        <f aca="true">IF(C618="","",IF(AM618="Clawed Back","CLAWED",IF(TODAY()&lt;=C618+SETTINGS!$I$2,"⚠ AT RISK","SAFE")))</f>
        <v/>
      </c>
      <c r="AU618" s="11"/>
      <c r="AW618" s="24" t="n">
        <f aca="false">AW617+IF(AND(C618&lt;&gt;"",AO618&lt;&gt;"",OR('REP COMMISSION'!$B$3="",T618='REP COMMISSION'!$B$3,W618='REP COMMISSION'!$B$3,Z618='REP COMMISSION'!$B$3)),1,0)</f>
        <v>0</v>
      </c>
      <c r="AX618" s="24" t="n">
        <f aca="false">AX617+IF(AND(C618&lt;&gt;"",OR(F618="LOC - INITIAL",F618="CONSOLIDATION - UPFRONT COMM",F618="REVERSE - TOTAL FUNDING")),1,0)</f>
        <v>0</v>
      </c>
    </row>
    <row r="619" customFormat="false" ht="15" hidden="false" customHeight="false" outlineLevel="0" collapsed="false">
      <c r="A619" s="25" t="str">
        <f aca="false">IF(C619&lt;&gt;"","F"&amp;COUNT($C$4:C619),"")</f>
        <v/>
      </c>
      <c r="B619" s="26" t="str">
        <f aca="false">IF(OR(F619="LOC - INITIAL",F619="CONSOLIDATION - UPFRONT COMM",F619="REVERSE - TOTAL FUNDING"),A619,"")</f>
        <v/>
      </c>
      <c r="C619" s="27"/>
      <c r="D619" s="28"/>
      <c r="E619" s="28"/>
      <c r="F619" s="28"/>
      <c r="G619" s="29"/>
      <c r="H619" s="30"/>
      <c r="I619" s="28"/>
      <c r="J619" s="31" t="str">
        <f aca="false">IF(AND(G619&lt;&gt;"",H619&lt;&gt;""),G619*H619,"")</f>
        <v/>
      </c>
      <c r="K619" s="28"/>
      <c r="L619" s="32"/>
      <c r="M619" s="32"/>
      <c r="N619" s="31" t="n">
        <f aca="false">IF(OR(G619="",M619=""),0,IF(M619&gt;100,M619,G619*IF(M619&gt;1,M619/100,M619)))</f>
        <v>0</v>
      </c>
      <c r="O619" s="31" t="str">
        <f aca="false">IF(G619="","",G619*IF(L619="",0,IF(L619&gt;1,L619/100,L619))+N619)</f>
        <v/>
      </c>
      <c r="P619" s="28"/>
      <c r="Q619" s="33" t="str">
        <f aca="false">IF(P619="","",IFERROR(VLOOKUP(P619,PARTNERS!$A$2:$B$30,2,0),""))</f>
        <v/>
      </c>
      <c r="R619" s="17" t="str">
        <f aca="false">IF(O619="","",IF(OR(P619="",Q619=""),0,(O619-N619)*IF(Q619&gt;1,Q619/100,Q619)))</f>
        <v/>
      </c>
      <c r="S619" s="31" t="str">
        <f aca="false">IF(O619="","",O619-R619)</f>
        <v/>
      </c>
      <c r="T619" s="28"/>
      <c r="U619" s="34" t="str">
        <f aca="false">IF(T619="","",IFERROR(VLOOKUP(T619,REPS!$A$2:$D$40,2,0),""))</f>
        <v/>
      </c>
      <c r="V619" s="31" t="str">
        <f aca="false">IF(O619="","",IF(U619="",0,O619*IF(U619&gt;1,U619/100,U619)))</f>
        <v/>
      </c>
      <c r="W619" s="28"/>
      <c r="X619" s="34" t="str">
        <f aca="false">IF(W619="","",IFERROR(VLOOKUP(W619,REPS!$A$2:$D$40,3,0),""))</f>
        <v/>
      </c>
      <c r="Y619" s="31" t="str">
        <f aca="false">IF(O619="","",IF(X619="",0,O619*IF(X619&gt;1,X619/100,X619)))</f>
        <v/>
      </c>
      <c r="Z619" s="28"/>
      <c r="AA619" s="34" t="str">
        <f aca="false">IF(Z619="","",IFERROR(VLOOKUP(Z619,REPS!$A$2:$D$40,4,0),""))</f>
        <v/>
      </c>
      <c r="AB619" s="31" t="str">
        <f aca="false">IF(O619="","",IF(AA619="",0,O619*IF(AA619&gt;1,AA619/100,AA619)))</f>
        <v/>
      </c>
      <c r="AC619" s="31" t="str">
        <f aca="false">IF(O619="","",V619+Y619+AB619)</f>
        <v/>
      </c>
      <c r="AD619" s="19" t="str">
        <f aca="false">IF(O619="","",O619-R619-AC619)</f>
        <v/>
      </c>
      <c r="AE619" s="20"/>
      <c r="AF619" s="27"/>
      <c r="AG619" s="21" t="n">
        <f aca="false">IF(OR(AE619="",AE619=0),0,AE619*IF(U619="",0,IF(U619&gt;1,U619/100,U619)))</f>
        <v>0</v>
      </c>
      <c r="AH619" s="21" t="n">
        <f aca="false">IF(OR(AE619="",AE619=0),0,AE619*IF(X619="",0,IF(X619&gt;1,X619/100,X619)))</f>
        <v>0</v>
      </c>
      <c r="AI619" s="21" t="n">
        <f aca="false">IF(OR(AE619="",AE619=0),0,AE619*IF(AA619="",0,IF(AA619&gt;1,AA619/100,AA619)))</f>
        <v>0</v>
      </c>
      <c r="AJ619" s="21" t="n">
        <f aca="false">AG619+AH619+AI619</f>
        <v>0</v>
      </c>
      <c r="AK619" s="21" t="n">
        <f aca="false">IF(OR(AE619="",AE619=0),0,AE619-AJ619)</f>
        <v>0</v>
      </c>
      <c r="AL619" s="19" t="str">
        <f aca="false">IF(AD619="","",AD619-AK619)</f>
        <v/>
      </c>
      <c r="AM619" s="26" t="str">
        <f aca="false">IF(C619="","","Waiting for payment")</f>
        <v/>
      </c>
      <c r="AN619" s="27"/>
      <c r="AO619" s="27"/>
      <c r="AP619" s="35" t="str">
        <f aca="false">IF(OR(C619="",I619="",K619=""),"",IF(K619="Monthly",EDATE(C619,ROUND(I619*SETTINGS!$I$8,0)),WORKDAY(C619,ROUND(I619*SETTINGS!$I$8,0))))</f>
        <v/>
      </c>
      <c r="AQ619" s="26" t="str">
        <f aca="true">IF(C619="","",IF(AND(AP619&lt;&gt;"",TODAY()&gt;=AP619),"Refi Ready",IF(TODAY()-C619&gt;=SETTINGS!$I$11,"Prospecting","Performing")))</f>
        <v/>
      </c>
      <c r="AR619" s="35" t="str">
        <f aca="false">IF(OR(C619="",I619="",K619=""),"",IF(K619="Monthly",EDATE(C619,I619),WORKDAY(C619,I619)))</f>
        <v/>
      </c>
      <c r="AS619" s="28"/>
      <c r="AT619" s="36" t="str">
        <f aca="true">IF(C619="","",IF(AM619="Clawed Back","CLAWED",IF(TODAY()&lt;=C619+SETTINGS!$I$2,"⚠ AT RISK","SAFE")))</f>
        <v/>
      </c>
      <c r="AU619" s="28"/>
      <c r="AW619" s="24" t="n">
        <f aca="false">AW618+IF(AND(C619&lt;&gt;"",AO619&lt;&gt;"",OR('REP COMMISSION'!$B$3="",T619='REP COMMISSION'!$B$3,W619='REP COMMISSION'!$B$3,Z619='REP COMMISSION'!$B$3)),1,0)</f>
        <v>0</v>
      </c>
      <c r="AX619" s="24" t="n">
        <f aca="false">AX618+IF(AND(C619&lt;&gt;"",OR(F619="LOC - INITIAL",F619="CONSOLIDATION - UPFRONT COMM",F619="REVERSE - TOTAL FUNDING")),1,0)</f>
        <v>0</v>
      </c>
    </row>
    <row r="620" customFormat="false" ht="15" hidden="false" customHeight="false" outlineLevel="0" collapsed="false">
      <c r="A620" s="8" t="str">
        <f aca="false">IF(C620&lt;&gt;"","F"&amp;COUNT($C$4:C620),"")</f>
        <v/>
      </c>
      <c r="B620" s="9" t="str">
        <f aca="false">IF(OR(F620="LOC - INITIAL",F620="CONSOLIDATION - UPFRONT COMM",F620="REVERSE - TOTAL FUNDING"),A620,"")</f>
        <v/>
      </c>
      <c r="C620" s="10"/>
      <c r="D620" s="11"/>
      <c r="E620" s="11"/>
      <c r="F620" s="11"/>
      <c r="G620" s="12"/>
      <c r="H620" s="13"/>
      <c r="I620" s="11"/>
      <c r="J620" s="14" t="str">
        <f aca="false">IF(AND(G620&lt;&gt;"",H620&lt;&gt;""),G620*H620,"")</f>
        <v/>
      </c>
      <c r="K620" s="11"/>
      <c r="L620" s="15"/>
      <c r="M620" s="15"/>
      <c r="N620" s="14" t="n">
        <f aca="false">IF(OR(G620="",M620=""),0,IF(M620&gt;100,M620,G620*IF(M620&gt;1,M620/100,M620)))</f>
        <v>0</v>
      </c>
      <c r="O620" s="14" t="str">
        <f aca="false">IF(G620="","",G620*IF(L620="",0,IF(L620&gt;1,L620/100,L620))+N620)</f>
        <v/>
      </c>
      <c r="P620" s="11"/>
      <c r="Q620" s="16" t="str">
        <f aca="false">IF(P620="","",IFERROR(VLOOKUP(P620,PARTNERS!$A$2:$B$30,2,0),""))</f>
        <v/>
      </c>
      <c r="R620" s="17" t="str">
        <f aca="false">IF(O620="","",IF(OR(P620="",Q620=""),0,(O620-N620)*IF(Q620&gt;1,Q620/100,Q620)))</f>
        <v/>
      </c>
      <c r="S620" s="14" t="str">
        <f aca="false">IF(O620="","",O620-R620)</f>
        <v/>
      </c>
      <c r="T620" s="11"/>
      <c r="U620" s="18" t="str">
        <f aca="false">IF(T620="","",IFERROR(VLOOKUP(T620,REPS!$A$2:$D$40,2,0),""))</f>
        <v/>
      </c>
      <c r="V620" s="14" t="str">
        <f aca="false">IF(O620="","",IF(U620="",0,O620*IF(U620&gt;1,U620/100,U620)))</f>
        <v/>
      </c>
      <c r="W620" s="11"/>
      <c r="X620" s="18" t="str">
        <f aca="false">IF(W620="","",IFERROR(VLOOKUP(W620,REPS!$A$2:$D$40,3,0),""))</f>
        <v/>
      </c>
      <c r="Y620" s="14" t="str">
        <f aca="false">IF(O620="","",IF(X620="",0,O620*IF(X620&gt;1,X620/100,X620)))</f>
        <v/>
      </c>
      <c r="Z620" s="11"/>
      <c r="AA620" s="18" t="str">
        <f aca="false">IF(Z620="","",IFERROR(VLOOKUP(Z620,REPS!$A$2:$D$40,4,0),""))</f>
        <v/>
      </c>
      <c r="AB620" s="14" t="str">
        <f aca="false">IF(O620="","",IF(AA620="",0,O620*IF(AA620&gt;1,AA620/100,AA620)))</f>
        <v/>
      </c>
      <c r="AC620" s="14" t="str">
        <f aca="false">IF(O620="","",V620+Y620+AB620)</f>
        <v/>
      </c>
      <c r="AD620" s="19" t="str">
        <f aca="false">IF(O620="","",O620-R620-AC620)</f>
        <v/>
      </c>
      <c r="AE620" s="20"/>
      <c r="AF620" s="10"/>
      <c r="AG620" s="21" t="n">
        <f aca="false">IF(OR(AE620="",AE620=0),0,AE620*IF(U620="",0,IF(U620&gt;1,U620/100,U620)))</f>
        <v>0</v>
      </c>
      <c r="AH620" s="21" t="n">
        <f aca="false">IF(OR(AE620="",AE620=0),0,AE620*IF(X620="",0,IF(X620&gt;1,X620/100,X620)))</f>
        <v>0</v>
      </c>
      <c r="AI620" s="21" t="n">
        <f aca="false">IF(OR(AE620="",AE620=0),0,AE620*IF(AA620="",0,IF(AA620&gt;1,AA620/100,AA620)))</f>
        <v>0</v>
      </c>
      <c r="AJ620" s="21" t="n">
        <f aca="false">AG620+AH620+AI620</f>
        <v>0</v>
      </c>
      <c r="AK620" s="21" t="n">
        <f aca="false">IF(OR(AE620="",AE620=0),0,AE620-AJ620)</f>
        <v>0</v>
      </c>
      <c r="AL620" s="19" t="str">
        <f aca="false">IF(AD620="","",AD620-AK620)</f>
        <v/>
      </c>
      <c r="AM620" s="9" t="str">
        <f aca="false">IF(C620="","","Waiting for payment")</f>
        <v/>
      </c>
      <c r="AN620" s="10"/>
      <c r="AO620" s="10"/>
      <c r="AP620" s="22" t="str">
        <f aca="false">IF(OR(C620="",I620="",K620=""),"",IF(K620="Monthly",EDATE(C620,ROUND(I620*SETTINGS!$I$8,0)),WORKDAY(C620,ROUND(I620*SETTINGS!$I$8,0))))</f>
        <v/>
      </c>
      <c r="AQ620" s="9" t="str">
        <f aca="true">IF(C620="","",IF(AND(AP620&lt;&gt;"",TODAY()&gt;=AP620),"Refi Ready",IF(TODAY()-C620&gt;=SETTINGS!$I$11,"Prospecting","Performing")))</f>
        <v/>
      </c>
      <c r="AR620" s="22" t="str">
        <f aca="false">IF(OR(C620="",I620="",K620=""),"",IF(K620="Monthly",EDATE(C620,I620),WORKDAY(C620,I620)))</f>
        <v/>
      </c>
      <c r="AS620" s="11"/>
      <c r="AT620" s="23" t="str">
        <f aca="true">IF(C620="","",IF(AM620="Clawed Back","CLAWED",IF(TODAY()&lt;=C620+SETTINGS!$I$2,"⚠ AT RISK","SAFE")))</f>
        <v/>
      </c>
      <c r="AU620" s="11"/>
      <c r="AW620" s="24" t="n">
        <f aca="false">AW619+IF(AND(C620&lt;&gt;"",AO620&lt;&gt;"",OR('REP COMMISSION'!$B$3="",T620='REP COMMISSION'!$B$3,W620='REP COMMISSION'!$B$3,Z620='REP COMMISSION'!$B$3)),1,0)</f>
        <v>0</v>
      </c>
      <c r="AX620" s="24" t="n">
        <f aca="false">AX619+IF(AND(C620&lt;&gt;"",OR(F620="LOC - INITIAL",F620="CONSOLIDATION - UPFRONT COMM",F620="REVERSE - TOTAL FUNDING")),1,0)</f>
        <v>0</v>
      </c>
    </row>
    <row r="621" customFormat="false" ht="15" hidden="false" customHeight="false" outlineLevel="0" collapsed="false">
      <c r="A621" s="25" t="str">
        <f aca="false">IF(C621&lt;&gt;"","F"&amp;COUNT($C$4:C621),"")</f>
        <v/>
      </c>
      <c r="B621" s="26" t="str">
        <f aca="false">IF(OR(F621="LOC - INITIAL",F621="CONSOLIDATION - UPFRONT COMM",F621="REVERSE - TOTAL FUNDING"),A621,"")</f>
        <v/>
      </c>
      <c r="C621" s="27"/>
      <c r="D621" s="28"/>
      <c r="E621" s="28"/>
      <c r="F621" s="28"/>
      <c r="G621" s="29"/>
      <c r="H621" s="30"/>
      <c r="I621" s="28"/>
      <c r="J621" s="31" t="str">
        <f aca="false">IF(AND(G621&lt;&gt;"",H621&lt;&gt;""),G621*H621,"")</f>
        <v/>
      </c>
      <c r="K621" s="28"/>
      <c r="L621" s="32"/>
      <c r="M621" s="32"/>
      <c r="N621" s="31" t="n">
        <f aca="false">IF(OR(G621="",M621=""),0,IF(M621&gt;100,M621,G621*IF(M621&gt;1,M621/100,M621)))</f>
        <v>0</v>
      </c>
      <c r="O621" s="31" t="str">
        <f aca="false">IF(G621="","",G621*IF(L621="",0,IF(L621&gt;1,L621/100,L621))+N621)</f>
        <v/>
      </c>
      <c r="P621" s="28"/>
      <c r="Q621" s="33" t="str">
        <f aca="false">IF(P621="","",IFERROR(VLOOKUP(P621,PARTNERS!$A$2:$B$30,2,0),""))</f>
        <v/>
      </c>
      <c r="R621" s="17" t="str">
        <f aca="false">IF(O621="","",IF(OR(P621="",Q621=""),0,(O621-N621)*IF(Q621&gt;1,Q621/100,Q621)))</f>
        <v/>
      </c>
      <c r="S621" s="31" t="str">
        <f aca="false">IF(O621="","",O621-R621)</f>
        <v/>
      </c>
      <c r="T621" s="28"/>
      <c r="U621" s="34" t="str">
        <f aca="false">IF(T621="","",IFERROR(VLOOKUP(T621,REPS!$A$2:$D$40,2,0),""))</f>
        <v/>
      </c>
      <c r="V621" s="31" t="str">
        <f aca="false">IF(O621="","",IF(U621="",0,O621*IF(U621&gt;1,U621/100,U621)))</f>
        <v/>
      </c>
      <c r="W621" s="28"/>
      <c r="X621" s="34" t="str">
        <f aca="false">IF(W621="","",IFERROR(VLOOKUP(W621,REPS!$A$2:$D$40,3,0),""))</f>
        <v/>
      </c>
      <c r="Y621" s="31" t="str">
        <f aca="false">IF(O621="","",IF(X621="",0,O621*IF(X621&gt;1,X621/100,X621)))</f>
        <v/>
      </c>
      <c r="Z621" s="28"/>
      <c r="AA621" s="34" t="str">
        <f aca="false">IF(Z621="","",IFERROR(VLOOKUP(Z621,REPS!$A$2:$D$40,4,0),""))</f>
        <v/>
      </c>
      <c r="AB621" s="31" t="str">
        <f aca="false">IF(O621="","",IF(AA621="",0,O621*IF(AA621&gt;1,AA621/100,AA621)))</f>
        <v/>
      </c>
      <c r="AC621" s="31" t="str">
        <f aca="false">IF(O621="","",V621+Y621+AB621)</f>
        <v/>
      </c>
      <c r="AD621" s="19" t="str">
        <f aca="false">IF(O621="","",O621-R621-AC621)</f>
        <v/>
      </c>
      <c r="AE621" s="20"/>
      <c r="AF621" s="27"/>
      <c r="AG621" s="21" t="n">
        <f aca="false">IF(OR(AE621="",AE621=0),0,AE621*IF(U621="",0,IF(U621&gt;1,U621/100,U621)))</f>
        <v>0</v>
      </c>
      <c r="AH621" s="21" t="n">
        <f aca="false">IF(OR(AE621="",AE621=0),0,AE621*IF(X621="",0,IF(X621&gt;1,X621/100,X621)))</f>
        <v>0</v>
      </c>
      <c r="AI621" s="21" t="n">
        <f aca="false">IF(OR(AE621="",AE621=0),0,AE621*IF(AA621="",0,IF(AA621&gt;1,AA621/100,AA621)))</f>
        <v>0</v>
      </c>
      <c r="AJ621" s="21" t="n">
        <f aca="false">AG621+AH621+AI621</f>
        <v>0</v>
      </c>
      <c r="AK621" s="21" t="n">
        <f aca="false">IF(OR(AE621="",AE621=0),0,AE621-AJ621)</f>
        <v>0</v>
      </c>
      <c r="AL621" s="19" t="str">
        <f aca="false">IF(AD621="","",AD621-AK621)</f>
        <v/>
      </c>
      <c r="AM621" s="26" t="str">
        <f aca="false">IF(C621="","","Waiting for payment")</f>
        <v/>
      </c>
      <c r="AN621" s="27"/>
      <c r="AO621" s="27"/>
      <c r="AP621" s="35" t="str">
        <f aca="false">IF(OR(C621="",I621="",K621=""),"",IF(K621="Monthly",EDATE(C621,ROUND(I621*SETTINGS!$I$8,0)),WORKDAY(C621,ROUND(I621*SETTINGS!$I$8,0))))</f>
        <v/>
      </c>
      <c r="AQ621" s="26" t="str">
        <f aca="true">IF(C621="","",IF(AND(AP621&lt;&gt;"",TODAY()&gt;=AP621),"Refi Ready",IF(TODAY()-C621&gt;=SETTINGS!$I$11,"Prospecting","Performing")))</f>
        <v/>
      </c>
      <c r="AR621" s="35" t="str">
        <f aca="false">IF(OR(C621="",I621="",K621=""),"",IF(K621="Monthly",EDATE(C621,I621),WORKDAY(C621,I621)))</f>
        <v/>
      </c>
      <c r="AS621" s="28"/>
      <c r="AT621" s="36" t="str">
        <f aca="true">IF(C621="","",IF(AM621="Clawed Back","CLAWED",IF(TODAY()&lt;=C621+SETTINGS!$I$2,"⚠ AT RISK","SAFE")))</f>
        <v/>
      </c>
      <c r="AU621" s="28"/>
      <c r="AW621" s="24" t="n">
        <f aca="false">AW620+IF(AND(C621&lt;&gt;"",AO621&lt;&gt;"",OR('REP COMMISSION'!$B$3="",T621='REP COMMISSION'!$B$3,W621='REP COMMISSION'!$B$3,Z621='REP COMMISSION'!$B$3)),1,0)</f>
        <v>0</v>
      </c>
      <c r="AX621" s="24" t="n">
        <f aca="false">AX620+IF(AND(C621&lt;&gt;"",OR(F621="LOC - INITIAL",F621="CONSOLIDATION - UPFRONT COMM",F621="REVERSE - TOTAL FUNDING")),1,0)</f>
        <v>0</v>
      </c>
    </row>
    <row r="622" customFormat="false" ht="15" hidden="false" customHeight="false" outlineLevel="0" collapsed="false">
      <c r="A622" s="8" t="str">
        <f aca="false">IF(C622&lt;&gt;"","F"&amp;COUNT($C$4:C622),"")</f>
        <v/>
      </c>
      <c r="B622" s="9" t="str">
        <f aca="false">IF(OR(F622="LOC - INITIAL",F622="CONSOLIDATION - UPFRONT COMM",F622="REVERSE - TOTAL FUNDING"),A622,"")</f>
        <v/>
      </c>
      <c r="C622" s="10"/>
      <c r="D622" s="11"/>
      <c r="E622" s="11"/>
      <c r="F622" s="11"/>
      <c r="G622" s="12"/>
      <c r="H622" s="13"/>
      <c r="I622" s="11"/>
      <c r="J622" s="14" t="str">
        <f aca="false">IF(AND(G622&lt;&gt;"",H622&lt;&gt;""),G622*H622,"")</f>
        <v/>
      </c>
      <c r="K622" s="11"/>
      <c r="L622" s="15"/>
      <c r="M622" s="15"/>
      <c r="N622" s="14" t="n">
        <f aca="false">IF(OR(G622="",M622=""),0,IF(M622&gt;100,M622,G622*IF(M622&gt;1,M622/100,M622)))</f>
        <v>0</v>
      </c>
      <c r="O622" s="14" t="str">
        <f aca="false">IF(G622="","",G622*IF(L622="",0,IF(L622&gt;1,L622/100,L622))+N622)</f>
        <v/>
      </c>
      <c r="P622" s="11"/>
      <c r="Q622" s="16" t="str">
        <f aca="false">IF(P622="","",IFERROR(VLOOKUP(P622,PARTNERS!$A$2:$B$30,2,0),""))</f>
        <v/>
      </c>
      <c r="R622" s="17" t="str">
        <f aca="false">IF(O622="","",IF(OR(P622="",Q622=""),0,(O622-N622)*IF(Q622&gt;1,Q622/100,Q622)))</f>
        <v/>
      </c>
      <c r="S622" s="14" t="str">
        <f aca="false">IF(O622="","",O622-R622)</f>
        <v/>
      </c>
      <c r="T622" s="11"/>
      <c r="U622" s="18" t="str">
        <f aca="false">IF(T622="","",IFERROR(VLOOKUP(T622,REPS!$A$2:$D$40,2,0),""))</f>
        <v/>
      </c>
      <c r="V622" s="14" t="str">
        <f aca="false">IF(O622="","",IF(U622="",0,O622*IF(U622&gt;1,U622/100,U622)))</f>
        <v/>
      </c>
      <c r="W622" s="11"/>
      <c r="X622" s="18" t="str">
        <f aca="false">IF(W622="","",IFERROR(VLOOKUP(W622,REPS!$A$2:$D$40,3,0),""))</f>
        <v/>
      </c>
      <c r="Y622" s="14" t="str">
        <f aca="false">IF(O622="","",IF(X622="",0,O622*IF(X622&gt;1,X622/100,X622)))</f>
        <v/>
      </c>
      <c r="Z622" s="11"/>
      <c r="AA622" s="18" t="str">
        <f aca="false">IF(Z622="","",IFERROR(VLOOKUP(Z622,REPS!$A$2:$D$40,4,0),""))</f>
        <v/>
      </c>
      <c r="AB622" s="14" t="str">
        <f aca="false">IF(O622="","",IF(AA622="",0,O622*IF(AA622&gt;1,AA622/100,AA622)))</f>
        <v/>
      </c>
      <c r="AC622" s="14" t="str">
        <f aca="false">IF(O622="","",V622+Y622+AB622)</f>
        <v/>
      </c>
      <c r="AD622" s="19" t="str">
        <f aca="false">IF(O622="","",O622-R622-AC622)</f>
        <v/>
      </c>
      <c r="AE622" s="20"/>
      <c r="AF622" s="10"/>
      <c r="AG622" s="21" t="n">
        <f aca="false">IF(OR(AE622="",AE622=0),0,AE622*IF(U622="",0,IF(U622&gt;1,U622/100,U622)))</f>
        <v>0</v>
      </c>
      <c r="AH622" s="21" t="n">
        <f aca="false">IF(OR(AE622="",AE622=0),0,AE622*IF(X622="",0,IF(X622&gt;1,X622/100,X622)))</f>
        <v>0</v>
      </c>
      <c r="AI622" s="21" t="n">
        <f aca="false">IF(OR(AE622="",AE622=0),0,AE622*IF(AA622="",0,IF(AA622&gt;1,AA622/100,AA622)))</f>
        <v>0</v>
      </c>
      <c r="AJ622" s="21" t="n">
        <f aca="false">AG622+AH622+AI622</f>
        <v>0</v>
      </c>
      <c r="AK622" s="21" t="n">
        <f aca="false">IF(OR(AE622="",AE622=0),0,AE622-AJ622)</f>
        <v>0</v>
      </c>
      <c r="AL622" s="19" t="str">
        <f aca="false">IF(AD622="","",AD622-AK622)</f>
        <v/>
      </c>
      <c r="AM622" s="9" t="str">
        <f aca="false">IF(C622="","","Waiting for payment")</f>
        <v/>
      </c>
      <c r="AN622" s="10"/>
      <c r="AO622" s="10"/>
      <c r="AP622" s="22" t="str">
        <f aca="false">IF(OR(C622="",I622="",K622=""),"",IF(K622="Monthly",EDATE(C622,ROUND(I622*SETTINGS!$I$8,0)),WORKDAY(C622,ROUND(I622*SETTINGS!$I$8,0))))</f>
        <v/>
      </c>
      <c r="AQ622" s="9" t="str">
        <f aca="true">IF(C622="","",IF(AND(AP622&lt;&gt;"",TODAY()&gt;=AP622),"Refi Ready",IF(TODAY()-C622&gt;=SETTINGS!$I$11,"Prospecting","Performing")))</f>
        <v/>
      </c>
      <c r="AR622" s="22" t="str">
        <f aca="false">IF(OR(C622="",I622="",K622=""),"",IF(K622="Monthly",EDATE(C622,I622),WORKDAY(C622,I622)))</f>
        <v/>
      </c>
      <c r="AS622" s="11"/>
      <c r="AT622" s="23" t="str">
        <f aca="true">IF(C622="","",IF(AM622="Clawed Back","CLAWED",IF(TODAY()&lt;=C622+SETTINGS!$I$2,"⚠ AT RISK","SAFE")))</f>
        <v/>
      </c>
      <c r="AU622" s="11"/>
      <c r="AW622" s="24" t="n">
        <f aca="false">AW621+IF(AND(C622&lt;&gt;"",AO622&lt;&gt;"",OR('REP COMMISSION'!$B$3="",T622='REP COMMISSION'!$B$3,W622='REP COMMISSION'!$B$3,Z622='REP COMMISSION'!$B$3)),1,0)</f>
        <v>0</v>
      </c>
      <c r="AX622" s="24" t="n">
        <f aca="false">AX621+IF(AND(C622&lt;&gt;"",OR(F622="LOC - INITIAL",F622="CONSOLIDATION - UPFRONT COMM",F622="REVERSE - TOTAL FUNDING")),1,0)</f>
        <v>0</v>
      </c>
    </row>
    <row r="623" customFormat="false" ht="15" hidden="false" customHeight="false" outlineLevel="0" collapsed="false">
      <c r="A623" s="25" t="str">
        <f aca="false">IF(C623&lt;&gt;"","F"&amp;COUNT($C$4:C623),"")</f>
        <v/>
      </c>
      <c r="B623" s="26" t="str">
        <f aca="false">IF(OR(F623="LOC - INITIAL",F623="CONSOLIDATION - UPFRONT COMM",F623="REVERSE - TOTAL FUNDING"),A623,"")</f>
        <v/>
      </c>
      <c r="C623" s="27"/>
      <c r="D623" s="28"/>
      <c r="E623" s="28"/>
      <c r="F623" s="28"/>
      <c r="G623" s="29"/>
      <c r="H623" s="30"/>
      <c r="I623" s="28"/>
      <c r="J623" s="31" t="str">
        <f aca="false">IF(AND(G623&lt;&gt;"",H623&lt;&gt;""),G623*H623,"")</f>
        <v/>
      </c>
      <c r="K623" s="28"/>
      <c r="L623" s="32"/>
      <c r="M623" s="32"/>
      <c r="N623" s="31" t="n">
        <f aca="false">IF(OR(G623="",M623=""),0,IF(M623&gt;100,M623,G623*IF(M623&gt;1,M623/100,M623)))</f>
        <v>0</v>
      </c>
      <c r="O623" s="31" t="str">
        <f aca="false">IF(G623="","",G623*IF(L623="",0,IF(L623&gt;1,L623/100,L623))+N623)</f>
        <v/>
      </c>
      <c r="P623" s="28"/>
      <c r="Q623" s="33" t="str">
        <f aca="false">IF(P623="","",IFERROR(VLOOKUP(P623,PARTNERS!$A$2:$B$30,2,0),""))</f>
        <v/>
      </c>
      <c r="R623" s="17" t="str">
        <f aca="false">IF(O623="","",IF(OR(P623="",Q623=""),0,(O623-N623)*IF(Q623&gt;1,Q623/100,Q623)))</f>
        <v/>
      </c>
      <c r="S623" s="31" t="str">
        <f aca="false">IF(O623="","",O623-R623)</f>
        <v/>
      </c>
      <c r="T623" s="28"/>
      <c r="U623" s="34" t="str">
        <f aca="false">IF(T623="","",IFERROR(VLOOKUP(T623,REPS!$A$2:$D$40,2,0),""))</f>
        <v/>
      </c>
      <c r="V623" s="31" t="str">
        <f aca="false">IF(O623="","",IF(U623="",0,O623*IF(U623&gt;1,U623/100,U623)))</f>
        <v/>
      </c>
      <c r="W623" s="28"/>
      <c r="X623" s="34" t="str">
        <f aca="false">IF(W623="","",IFERROR(VLOOKUP(W623,REPS!$A$2:$D$40,3,0),""))</f>
        <v/>
      </c>
      <c r="Y623" s="31" t="str">
        <f aca="false">IF(O623="","",IF(X623="",0,O623*IF(X623&gt;1,X623/100,X623)))</f>
        <v/>
      </c>
      <c r="Z623" s="28"/>
      <c r="AA623" s="34" t="str">
        <f aca="false">IF(Z623="","",IFERROR(VLOOKUP(Z623,REPS!$A$2:$D$40,4,0),""))</f>
        <v/>
      </c>
      <c r="AB623" s="31" t="str">
        <f aca="false">IF(O623="","",IF(AA623="",0,O623*IF(AA623&gt;1,AA623/100,AA623)))</f>
        <v/>
      </c>
      <c r="AC623" s="31" t="str">
        <f aca="false">IF(O623="","",V623+Y623+AB623)</f>
        <v/>
      </c>
      <c r="AD623" s="19" t="str">
        <f aca="false">IF(O623="","",O623-R623-AC623)</f>
        <v/>
      </c>
      <c r="AE623" s="20"/>
      <c r="AF623" s="27"/>
      <c r="AG623" s="21" t="n">
        <f aca="false">IF(OR(AE623="",AE623=0),0,AE623*IF(U623="",0,IF(U623&gt;1,U623/100,U623)))</f>
        <v>0</v>
      </c>
      <c r="AH623" s="21" t="n">
        <f aca="false">IF(OR(AE623="",AE623=0),0,AE623*IF(X623="",0,IF(X623&gt;1,X623/100,X623)))</f>
        <v>0</v>
      </c>
      <c r="AI623" s="21" t="n">
        <f aca="false">IF(OR(AE623="",AE623=0),0,AE623*IF(AA623="",0,IF(AA623&gt;1,AA623/100,AA623)))</f>
        <v>0</v>
      </c>
      <c r="AJ623" s="21" t="n">
        <f aca="false">AG623+AH623+AI623</f>
        <v>0</v>
      </c>
      <c r="AK623" s="21" t="n">
        <f aca="false">IF(OR(AE623="",AE623=0),0,AE623-AJ623)</f>
        <v>0</v>
      </c>
      <c r="AL623" s="19" t="str">
        <f aca="false">IF(AD623="","",AD623-AK623)</f>
        <v/>
      </c>
      <c r="AM623" s="26" t="str">
        <f aca="false">IF(C623="","","Waiting for payment")</f>
        <v/>
      </c>
      <c r="AN623" s="27"/>
      <c r="AO623" s="27"/>
      <c r="AP623" s="35" t="str">
        <f aca="false">IF(OR(C623="",I623="",K623=""),"",IF(K623="Monthly",EDATE(C623,ROUND(I623*SETTINGS!$I$8,0)),WORKDAY(C623,ROUND(I623*SETTINGS!$I$8,0))))</f>
        <v/>
      </c>
      <c r="AQ623" s="26" t="str">
        <f aca="true">IF(C623="","",IF(AND(AP623&lt;&gt;"",TODAY()&gt;=AP623),"Refi Ready",IF(TODAY()-C623&gt;=SETTINGS!$I$11,"Prospecting","Performing")))</f>
        <v/>
      </c>
      <c r="AR623" s="35" t="str">
        <f aca="false">IF(OR(C623="",I623="",K623=""),"",IF(K623="Monthly",EDATE(C623,I623),WORKDAY(C623,I623)))</f>
        <v/>
      </c>
      <c r="AS623" s="28"/>
      <c r="AT623" s="36" t="str">
        <f aca="true">IF(C623="","",IF(AM623="Clawed Back","CLAWED",IF(TODAY()&lt;=C623+SETTINGS!$I$2,"⚠ AT RISK","SAFE")))</f>
        <v/>
      </c>
      <c r="AU623" s="28"/>
      <c r="AW623" s="24" t="n">
        <f aca="false">AW622+IF(AND(C623&lt;&gt;"",AO623&lt;&gt;"",OR('REP COMMISSION'!$B$3="",T623='REP COMMISSION'!$B$3,W623='REP COMMISSION'!$B$3,Z623='REP COMMISSION'!$B$3)),1,0)</f>
        <v>0</v>
      </c>
      <c r="AX623" s="24" t="n">
        <f aca="false">AX622+IF(AND(C623&lt;&gt;"",OR(F623="LOC - INITIAL",F623="CONSOLIDATION - UPFRONT COMM",F623="REVERSE - TOTAL FUNDING")),1,0)</f>
        <v>0</v>
      </c>
    </row>
    <row r="624" customFormat="false" ht="15" hidden="false" customHeight="false" outlineLevel="0" collapsed="false">
      <c r="A624" s="8" t="str">
        <f aca="false">IF(C624&lt;&gt;"","F"&amp;COUNT($C$4:C624),"")</f>
        <v/>
      </c>
      <c r="B624" s="9" t="str">
        <f aca="false">IF(OR(F624="LOC - INITIAL",F624="CONSOLIDATION - UPFRONT COMM",F624="REVERSE - TOTAL FUNDING"),A624,"")</f>
        <v/>
      </c>
      <c r="C624" s="10"/>
      <c r="D624" s="11"/>
      <c r="E624" s="11"/>
      <c r="F624" s="11"/>
      <c r="G624" s="12"/>
      <c r="H624" s="13"/>
      <c r="I624" s="11"/>
      <c r="J624" s="14" t="str">
        <f aca="false">IF(AND(G624&lt;&gt;"",H624&lt;&gt;""),G624*H624,"")</f>
        <v/>
      </c>
      <c r="K624" s="11"/>
      <c r="L624" s="15"/>
      <c r="M624" s="15"/>
      <c r="N624" s="14" t="n">
        <f aca="false">IF(OR(G624="",M624=""),0,IF(M624&gt;100,M624,G624*IF(M624&gt;1,M624/100,M624)))</f>
        <v>0</v>
      </c>
      <c r="O624" s="14" t="str">
        <f aca="false">IF(G624="","",G624*IF(L624="",0,IF(L624&gt;1,L624/100,L624))+N624)</f>
        <v/>
      </c>
      <c r="P624" s="11"/>
      <c r="Q624" s="16" t="str">
        <f aca="false">IF(P624="","",IFERROR(VLOOKUP(P624,PARTNERS!$A$2:$B$30,2,0),""))</f>
        <v/>
      </c>
      <c r="R624" s="17" t="str">
        <f aca="false">IF(O624="","",IF(OR(P624="",Q624=""),0,(O624-N624)*IF(Q624&gt;1,Q624/100,Q624)))</f>
        <v/>
      </c>
      <c r="S624" s="14" t="str">
        <f aca="false">IF(O624="","",O624-R624)</f>
        <v/>
      </c>
      <c r="T624" s="11"/>
      <c r="U624" s="18" t="str">
        <f aca="false">IF(T624="","",IFERROR(VLOOKUP(T624,REPS!$A$2:$D$40,2,0),""))</f>
        <v/>
      </c>
      <c r="V624" s="14" t="str">
        <f aca="false">IF(O624="","",IF(U624="",0,O624*IF(U624&gt;1,U624/100,U624)))</f>
        <v/>
      </c>
      <c r="W624" s="11"/>
      <c r="X624" s="18" t="str">
        <f aca="false">IF(W624="","",IFERROR(VLOOKUP(W624,REPS!$A$2:$D$40,3,0),""))</f>
        <v/>
      </c>
      <c r="Y624" s="14" t="str">
        <f aca="false">IF(O624="","",IF(X624="",0,O624*IF(X624&gt;1,X624/100,X624)))</f>
        <v/>
      </c>
      <c r="Z624" s="11"/>
      <c r="AA624" s="18" t="str">
        <f aca="false">IF(Z624="","",IFERROR(VLOOKUP(Z624,REPS!$A$2:$D$40,4,0),""))</f>
        <v/>
      </c>
      <c r="AB624" s="14" t="str">
        <f aca="false">IF(O624="","",IF(AA624="",0,O624*IF(AA624&gt;1,AA624/100,AA624)))</f>
        <v/>
      </c>
      <c r="AC624" s="14" t="str">
        <f aca="false">IF(O624="","",V624+Y624+AB624)</f>
        <v/>
      </c>
      <c r="AD624" s="19" t="str">
        <f aca="false">IF(O624="","",O624-R624-AC624)</f>
        <v/>
      </c>
      <c r="AE624" s="20"/>
      <c r="AF624" s="10"/>
      <c r="AG624" s="21" t="n">
        <f aca="false">IF(OR(AE624="",AE624=0),0,AE624*IF(U624="",0,IF(U624&gt;1,U624/100,U624)))</f>
        <v>0</v>
      </c>
      <c r="AH624" s="21" t="n">
        <f aca="false">IF(OR(AE624="",AE624=0),0,AE624*IF(X624="",0,IF(X624&gt;1,X624/100,X624)))</f>
        <v>0</v>
      </c>
      <c r="AI624" s="21" t="n">
        <f aca="false">IF(OR(AE624="",AE624=0),0,AE624*IF(AA624="",0,IF(AA624&gt;1,AA624/100,AA624)))</f>
        <v>0</v>
      </c>
      <c r="AJ624" s="21" t="n">
        <f aca="false">AG624+AH624+AI624</f>
        <v>0</v>
      </c>
      <c r="AK624" s="21" t="n">
        <f aca="false">IF(OR(AE624="",AE624=0),0,AE624-AJ624)</f>
        <v>0</v>
      </c>
      <c r="AL624" s="19" t="str">
        <f aca="false">IF(AD624="","",AD624-AK624)</f>
        <v/>
      </c>
      <c r="AM624" s="9" t="str">
        <f aca="false">IF(C624="","","Waiting for payment")</f>
        <v/>
      </c>
      <c r="AN624" s="10"/>
      <c r="AO624" s="10"/>
      <c r="AP624" s="22" t="str">
        <f aca="false">IF(OR(C624="",I624="",K624=""),"",IF(K624="Monthly",EDATE(C624,ROUND(I624*SETTINGS!$I$8,0)),WORKDAY(C624,ROUND(I624*SETTINGS!$I$8,0))))</f>
        <v/>
      </c>
      <c r="AQ624" s="9" t="str">
        <f aca="true">IF(C624="","",IF(AND(AP624&lt;&gt;"",TODAY()&gt;=AP624),"Refi Ready",IF(TODAY()-C624&gt;=SETTINGS!$I$11,"Prospecting","Performing")))</f>
        <v/>
      </c>
      <c r="AR624" s="22" t="str">
        <f aca="false">IF(OR(C624="",I624="",K624=""),"",IF(K624="Monthly",EDATE(C624,I624),WORKDAY(C624,I624)))</f>
        <v/>
      </c>
      <c r="AS624" s="11"/>
      <c r="AT624" s="23" t="str">
        <f aca="true">IF(C624="","",IF(AM624="Clawed Back","CLAWED",IF(TODAY()&lt;=C624+SETTINGS!$I$2,"⚠ AT RISK","SAFE")))</f>
        <v/>
      </c>
      <c r="AU624" s="11"/>
      <c r="AW624" s="24" t="n">
        <f aca="false">AW623+IF(AND(C624&lt;&gt;"",AO624&lt;&gt;"",OR('REP COMMISSION'!$B$3="",T624='REP COMMISSION'!$B$3,W624='REP COMMISSION'!$B$3,Z624='REP COMMISSION'!$B$3)),1,0)</f>
        <v>0</v>
      </c>
      <c r="AX624" s="24" t="n">
        <f aca="false">AX623+IF(AND(C624&lt;&gt;"",OR(F624="LOC - INITIAL",F624="CONSOLIDATION - UPFRONT COMM",F624="REVERSE - TOTAL FUNDING")),1,0)</f>
        <v>0</v>
      </c>
    </row>
    <row r="625" customFormat="false" ht="15" hidden="false" customHeight="false" outlineLevel="0" collapsed="false">
      <c r="A625" s="25" t="str">
        <f aca="false">IF(C625&lt;&gt;"","F"&amp;COUNT($C$4:C625),"")</f>
        <v/>
      </c>
      <c r="B625" s="26" t="str">
        <f aca="false">IF(OR(F625="LOC - INITIAL",F625="CONSOLIDATION - UPFRONT COMM",F625="REVERSE - TOTAL FUNDING"),A625,"")</f>
        <v/>
      </c>
      <c r="C625" s="27"/>
      <c r="D625" s="28"/>
      <c r="E625" s="28"/>
      <c r="F625" s="28"/>
      <c r="G625" s="29"/>
      <c r="H625" s="30"/>
      <c r="I625" s="28"/>
      <c r="J625" s="31" t="str">
        <f aca="false">IF(AND(G625&lt;&gt;"",H625&lt;&gt;""),G625*H625,"")</f>
        <v/>
      </c>
      <c r="K625" s="28"/>
      <c r="L625" s="32"/>
      <c r="M625" s="32"/>
      <c r="N625" s="31" t="n">
        <f aca="false">IF(OR(G625="",M625=""),0,IF(M625&gt;100,M625,G625*IF(M625&gt;1,M625/100,M625)))</f>
        <v>0</v>
      </c>
      <c r="O625" s="31" t="str">
        <f aca="false">IF(G625="","",G625*IF(L625="",0,IF(L625&gt;1,L625/100,L625))+N625)</f>
        <v/>
      </c>
      <c r="P625" s="28"/>
      <c r="Q625" s="33" t="str">
        <f aca="false">IF(P625="","",IFERROR(VLOOKUP(P625,PARTNERS!$A$2:$B$30,2,0),""))</f>
        <v/>
      </c>
      <c r="R625" s="17" t="str">
        <f aca="false">IF(O625="","",IF(OR(P625="",Q625=""),0,(O625-N625)*IF(Q625&gt;1,Q625/100,Q625)))</f>
        <v/>
      </c>
      <c r="S625" s="31" t="str">
        <f aca="false">IF(O625="","",O625-R625)</f>
        <v/>
      </c>
      <c r="T625" s="28"/>
      <c r="U625" s="34" t="str">
        <f aca="false">IF(T625="","",IFERROR(VLOOKUP(T625,REPS!$A$2:$D$40,2,0),""))</f>
        <v/>
      </c>
      <c r="V625" s="31" t="str">
        <f aca="false">IF(O625="","",IF(U625="",0,O625*IF(U625&gt;1,U625/100,U625)))</f>
        <v/>
      </c>
      <c r="W625" s="28"/>
      <c r="X625" s="34" t="str">
        <f aca="false">IF(W625="","",IFERROR(VLOOKUP(W625,REPS!$A$2:$D$40,3,0),""))</f>
        <v/>
      </c>
      <c r="Y625" s="31" t="str">
        <f aca="false">IF(O625="","",IF(X625="",0,O625*IF(X625&gt;1,X625/100,X625)))</f>
        <v/>
      </c>
      <c r="Z625" s="28"/>
      <c r="AA625" s="34" t="str">
        <f aca="false">IF(Z625="","",IFERROR(VLOOKUP(Z625,REPS!$A$2:$D$40,4,0),""))</f>
        <v/>
      </c>
      <c r="AB625" s="31" t="str">
        <f aca="false">IF(O625="","",IF(AA625="",0,O625*IF(AA625&gt;1,AA625/100,AA625)))</f>
        <v/>
      </c>
      <c r="AC625" s="31" t="str">
        <f aca="false">IF(O625="","",V625+Y625+AB625)</f>
        <v/>
      </c>
      <c r="AD625" s="19" t="str">
        <f aca="false">IF(O625="","",O625-R625-AC625)</f>
        <v/>
      </c>
      <c r="AE625" s="20"/>
      <c r="AF625" s="27"/>
      <c r="AG625" s="21" t="n">
        <f aca="false">IF(OR(AE625="",AE625=0),0,AE625*IF(U625="",0,IF(U625&gt;1,U625/100,U625)))</f>
        <v>0</v>
      </c>
      <c r="AH625" s="21" t="n">
        <f aca="false">IF(OR(AE625="",AE625=0),0,AE625*IF(X625="",0,IF(X625&gt;1,X625/100,X625)))</f>
        <v>0</v>
      </c>
      <c r="AI625" s="21" t="n">
        <f aca="false">IF(OR(AE625="",AE625=0),0,AE625*IF(AA625="",0,IF(AA625&gt;1,AA625/100,AA625)))</f>
        <v>0</v>
      </c>
      <c r="AJ625" s="21" t="n">
        <f aca="false">AG625+AH625+AI625</f>
        <v>0</v>
      </c>
      <c r="AK625" s="21" t="n">
        <f aca="false">IF(OR(AE625="",AE625=0),0,AE625-AJ625)</f>
        <v>0</v>
      </c>
      <c r="AL625" s="19" t="str">
        <f aca="false">IF(AD625="","",AD625-AK625)</f>
        <v/>
      </c>
      <c r="AM625" s="26" t="str">
        <f aca="false">IF(C625="","","Waiting for payment")</f>
        <v/>
      </c>
      <c r="AN625" s="27"/>
      <c r="AO625" s="27"/>
      <c r="AP625" s="35" t="str">
        <f aca="false">IF(OR(C625="",I625="",K625=""),"",IF(K625="Monthly",EDATE(C625,ROUND(I625*SETTINGS!$I$8,0)),WORKDAY(C625,ROUND(I625*SETTINGS!$I$8,0))))</f>
        <v/>
      </c>
      <c r="AQ625" s="26" t="str">
        <f aca="true">IF(C625="","",IF(AND(AP625&lt;&gt;"",TODAY()&gt;=AP625),"Refi Ready",IF(TODAY()-C625&gt;=SETTINGS!$I$11,"Prospecting","Performing")))</f>
        <v/>
      </c>
      <c r="AR625" s="35" t="str">
        <f aca="false">IF(OR(C625="",I625="",K625=""),"",IF(K625="Monthly",EDATE(C625,I625),WORKDAY(C625,I625)))</f>
        <v/>
      </c>
      <c r="AS625" s="28"/>
      <c r="AT625" s="36" t="str">
        <f aca="true">IF(C625="","",IF(AM625="Clawed Back","CLAWED",IF(TODAY()&lt;=C625+SETTINGS!$I$2,"⚠ AT RISK","SAFE")))</f>
        <v/>
      </c>
      <c r="AU625" s="28"/>
      <c r="AW625" s="24" t="n">
        <f aca="false">AW624+IF(AND(C625&lt;&gt;"",AO625&lt;&gt;"",OR('REP COMMISSION'!$B$3="",T625='REP COMMISSION'!$B$3,W625='REP COMMISSION'!$B$3,Z625='REP COMMISSION'!$B$3)),1,0)</f>
        <v>0</v>
      </c>
      <c r="AX625" s="24" t="n">
        <f aca="false">AX624+IF(AND(C625&lt;&gt;"",OR(F625="LOC - INITIAL",F625="CONSOLIDATION - UPFRONT COMM",F625="REVERSE - TOTAL FUNDING")),1,0)</f>
        <v>0</v>
      </c>
    </row>
    <row r="626" customFormat="false" ht="15" hidden="false" customHeight="false" outlineLevel="0" collapsed="false">
      <c r="A626" s="8" t="str">
        <f aca="false">IF(C626&lt;&gt;"","F"&amp;COUNT($C$4:C626),"")</f>
        <v/>
      </c>
      <c r="B626" s="9" t="str">
        <f aca="false">IF(OR(F626="LOC - INITIAL",F626="CONSOLIDATION - UPFRONT COMM",F626="REVERSE - TOTAL FUNDING"),A626,"")</f>
        <v/>
      </c>
      <c r="C626" s="10"/>
      <c r="D626" s="11"/>
      <c r="E626" s="11"/>
      <c r="F626" s="11"/>
      <c r="G626" s="12"/>
      <c r="H626" s="13"/>
      <c r="I626" s="11"/>
      <c r="J626" s="14" t="str">
        <f aca="false">IF(AND(G626&lt;&gt;"",H626&lt;&gt;""),G626*H626,"")</f>
        <v/>
      </c>
      <c r="K626" s="11"/>
      <c r="L626" s="15"/>
      <c r="M626" s="15"/>
      <c r="N626" s="14" t="n">
        <f aca="false">IF(OR(G626="",M626=""),0,IF(M626&gt;100,M626,G626*IF(M626&gt;1,M626/100,M626)))</f>
        <v>0</v>
      </c>
      <c r="O626" s="14" t="str">
        <f aca="false">IF(G626="","",G626*IF(L626="",0,IF(L626&gt;1,L626/100,L626))+N626)</f>
        <v/>
      </c>
      <c r="P626" s="11"/>
      <c r="Q626" s="16" t="str">
        <f aca="false">IF(P626="","",IFERROR(VLOOKUP(P626,PARTNERS!$A$2:$B$30,2,0),""))</f>
        <v/>
      </c>
      <c r="R626" s="17" t="str">
        <f aca="false">IF(O626="","",IF(OR(P626="",Q626=""),0,(O626-N626)*IF(Q626&gt;1,Q626/100,Q626)))</f>
        <v/>
      </c>
      <c r="S626" s="14" t="str">
        <f aca="false">IF(O626="","",O626-R626)</f>
        <v/>
      </c>
      <c r="T626" s="11"/>
      <c r="U626" s="18" t="str">
        <f aca="false">IF(T626="","",IFERROR(VLOOKUP(T626,REPS!$A$2:$D$40,2,0),""))</f>
        <v/>
      </c>
      <c r="V626" s="14" t="str">
        <f aca="false">IF(O626="","",IF(U626="",0,O626*IF(U626&gt;1,U626/100,U626)))</f>
        <v/>
      </c>
      <c r="W626" s="11"/>
      <c r="X626" s="18" t="str">
        <f aca="false">IF(W626="","",IFERROR(VLOOKUP(W626,REPS!$A$2:$D$40,3,0),""))</f>
        <v/>
      </c>
      <c r="Y626" s="14" t="str">
        <f aca="false">IF(O626="","",IF(X626="",0,O626*IF(X626&gt;1,X626/100,X626)))</f>
        <v/>
      </c>
      <c r="Z626" s="11"/>
      <c r="AA626" s="18" t="str">
        <f aca="false">IF(Z626="","",IFERROR(VLOOKUP(Z626,REPS!$A$2:$D$40,4,0),""))</f>
        <v/>
      </c>
      <c r="AB626" s="14" t="str">
        <f aca="false">IF(O626="","",IF(AA626="",0,O626*IF(AA626&gt;1,AA626/100,AA626)))</f>
        <v/>
      </c>
      <c r="AC626" s="14" t="str">
        <f aca="false">IF(O626="","",V626+Y626+AB626)</f>
        <v/>
      </c>
      <c r="AD626" s="19" t="str">
        <f aca="false">IF(O626="","",O626-R626-AC626)</f>
        <v/>
      </c>
      <c r="AE626" s="20"/>
      <c r="AF626" s="10"/>
      <c r="AG626" s="21" t="n">
        <f aca="false">IF(OR(AE626="",AE626=0),0,AE626*IF(U626="",0,IF(U626&gt;1,U626/100,U626)))</f>
        <v>0</v>
      </c>
      <c r="AH626" s="21" t="n">
        <f aca="false">IF(OR(AE626="",AE626=0),0,AE626*IF(X626="",0,IF(X626&gt;1,X626/100,X626)))</f>
        <v>0</v>
      </c>
      <c r="AI626" s="21" t="n">
        <f aca="false">IF(OR(AE626="",AE626=0),0,AE626*IF(AA626="",0,IF(AA626&gt;1,AA626/100,AA626)))</f>
        <v>0</v>
      </c>
      <c r="AJ626" s="21" t="n">
        <f aca="false">AG626+AH626+AI626</f>
        <v>0</v>
      </c>
      <c r="AK626" s="21" t="n">
        <f aca="false">IF(OR(AE626="",AE626=0),0,AE626-AJ626)</f>
        <v>0</v>
      </c>
      <c r="AL626" s="19" t="str">
        <f aca="false">IF(AD626="","",AD626-AK626)</f>
        <v/>
      </c>
      <c r="AM626" s="9" t="str">
        <f aca="false">IF(C626="","","Waiting for payment")</f>
        <v/>
      </c>
      <c r="AN626" s="10"/>
      <c r="AO626" s="10"/>
      <c r="AP626" s="22" t="str">
        <f aca="false">IF(OR(C626="",I626="",K626=""),"",IF(K626="Monthly",EDATE(C626,ROUND(I626*SETTINGS!$I$8,0)),WORKDAY(C626,ROUND(I626*SETTINGS!$I$8,0))))</f>
        <v/>
      </c>
      <c r="AQ626" s="9" t="str">
        <f aca="true">IF(C626="","",IF(AND(AP626&lt;&gt;"",TODAY()&gt;=AP626),"Refi Ready",IF(TODAY()-C626&gt;=SETTINGS!$I$11,"Prospecting","Performing")))</f>
        <v/>
      </c>
      <c r="AR626" s="22" t="str">
        <f aca="false">IF(OR(C626="",I626="",K626=""),"",IF(K626="Monthly",EDATE(C626,I626),WORKDAY(C626,I626)))</f>
        <v/>
      </c>
      <c r="AS626" s="11"/>
      <c r="AT626" s="23" t="str">
        <f aca="true">IF(C626="","",IF(AM626="Clawed Back","CLAWED",IF(TODAY()&lt;=C626+SETTINGS!$I$2,"⚠ AT RISK","SAFE")))</f>
        <v/>
      </c>
      <c r="AU626" s="11"/>
      <c r="AW626" s="24" t="n">
        <f aca="false">AW625+IF(AND(C626&lt;&gt;"",AO626&lt;&gt;"",OR('REP COMMISSION'!$B$3="",T626='REP COMMISSION'!$B$3,W626='REP COMMISSION'!$B$3,Z626='REP COMMISSION'!$B$3)),1,0)</f>
        <v>0</v>
      </c>
      <c r="AX626" s="24" t="n">
        <f aca="false">AX625+IF(AND(C626&lt;&gt;"",OR(F626="LOC - INITIAL",F626="CONSOLIDATION - UPFRONT COMM",F626="REVERSE - TOTAL FUNDING")),1,0)</f>
        <v>0</v>
      </c>
    </row>
    <row r="627" customFormat="false" ht="15" hidden="false" customHeight="false" outlineLevel="0" collapsed="false">
      <c r="A627" s="25" t="str">
        <f aca="false">IF(C627&lt;&gt;"","F"&amp;COUNT($C$4:C627),"")</f>
        <v/>
      </c>
      <c r="B627" s="26" t="str">
        <f aca="false">IF(OR(F627="LOC - INITIAL",F627="CONSOLIDATION - UPFRONT COMM",F627="REVERSE - TOTAL FUNDING"),A627,"")</f>
        <v/>
      </c>
      <c r="C627" s="27"/>
      <c r="D627" s="28"/>
      <c r="E627" s="28"/>
      <c r="F627" s="28"/>
      <c r="G627" s="29"/>
      <c r="H627" s="30"/>
      <c r="I627" s="28"/>
      <c r="J627" s="31" t="str">
        <f aca="false">IF(AND(G627&lt;&gt;"",H627&lt;&gt;""),G627*H627,"")</f>
        <v/>
      </c>
      <c r="K627" s="28"/>
      <c r="L627" s="32"/>
      <c r="M627" s="32"/>
      <c r="N627" s="31" t="n">
        <f aca="false">IF(OR(G627="",M627=""),0,IF(M627&gt;100,M627,G627*IF(M627&gt;1,M627/100,M627)))</f>
        <v>0</v>
      </c>
      <c r="O627" s="31" t="str">
        <f aca="false">IF(G627="","",G627*IF(L627="",0,IF(L627&gt;1,L627/100,L627))+N627)</f>
        <v/>
      </c>
      <c r="P627" s="28"/>
      <c r="Q627" s="33" t="str">
        <f aca="false">IF(P627="","",IFERROR(VLOOKUP(P627,PARTNERS!$A$2:$B$30,2,0),""))</f>
        <v/>
      </c>
      <c r="R627" s="17" t="str">
        <f aca="false">IF(O627="","",IF(OR(P627="",Q627=""),0,(O627-N627)*IF(Q627&gt;1,Q627/100,Q627)))</f>
        <v/>
      </c>
      <c r="S627" s="31" t="str">
        <f aca="false">IF(O627="","",O627-R627)</f>
        <v/>
      </c>
      <c r="T627" s="28"/>
      <c r="U627" s="34" t="str">
        <f aca="false">IF(T627="","",IFERROR(VLOOKUP(T627,REPS!$A$2:$D$40,2,0),""))</f>
        <v/>
      </c>
      <c r="V627" s="31" t="str">
        <f aca="false">IF(O627="","",IF(U627="",0,O627*IF(U627&gt;1,U627/100,U627)))</f>
        <v/>
      </c>
      <c r="W627" s="28"/>
      <c r="X627" s="34" t="str">
        <f aca="false">IF(W627="","",IFERROR(VLOOKUP(W627,REPS!$A$2:$D$40,3,0),""))</f>
        <v/>
      </c>
      <c r="Y627" s="31" t="str">
        <f aca="false">IF(O627="","",IF(X627="",0,O627*IF(X627&gt;1,X627/100,X627)))</f>
        <v/>
      </c>
      <c r="Z627" s="28"/>
      <c r="AA627" s="34" t="str">
        <f aca="false">IF(Z627="","",IFERROR(VLOOKUP(Z627,REPS!$A$2:$D$40,4,0),""))</f>
        <v/>
      </c>
      <c r="AB627" s="31" t="str">
        <f aca="false">IF(O627="","",IF(AA627="",0,O627*IF(AA627&gt;1,AA627/100,AA627)))</f>
        <v/>
      </c>
      <c r="AC627" s="31" t="str">
        <f aca="false">IF(O627="","",V627+Y627+AB627)</f>
        <v/>
      </c>
      <c r="AD627" s="19" t="str">
        <f aca="false">IF(O627="","",O627-R627-AC627)</f>
        <v/>
      </c>
      <c r="AE627" s="20"/>
      <c r="AF627" s="27"/>
      <c r="AG627" s="21" t="n">
        <f aca="false">IF(OR(AE627="",AE627=0),0,AE627*IF(U627="",0,IF(U627&gt;1,U627/100,U627)))</f>
        <v>0</v>
      </c>
      <c r="AH627" s="21" t="n">
        <f aca="false">IF(OR(AE627="",AE627=0),0,AE627*IF(X627="",0,IF(X627&gt;1,X627/100,X627)))</f>
        <v>0</v>
      </c>
      <c r="AI627" s="21" t="n">
        <f aca="false">IF(OR(AE627="",AE627=0),0,AE627*IF(AA627="",0,IF(AA627&gt;1,AA627/100,AA627)))</f>
        <v>0</v>
      </c>
      <c r="AJ627" s="21" t="n">
        <f aca="false">AG627+AH627+AI627</f>
        <v>0</v>
      </c>
      <c r="AK627" s="21" t="n">
        <f aca="false">IF(OR(AE627="",AE627=0),0,AE627-AJ627)</f>
        <v>0</v>
      </c>
      <c r="AL627" s="19" t="str">
        <f aca="false">IF(AD627="","",AD627-AK627)</f>
        <v/>
      </c>
      <c r="AM627" s="26" t="str">
        <f aca="false">IF(C627="","","Waiting for payment")</f>
        <v/>
      </c>
      <c r="AN627" s="27"/>
      <c r="AO627" s="27"/>
      <c r="AP627" s="35" t="str">
        <f aca="false">IF(OR(C627="",I627="",K627=""),"",IF(K627="Monthly",EDATE(C627,ROUND(I627*SETTINGS!$I$8,0)),WORKDAY(C627,ROUND(I627*SETTINGS!$I$8,0))))</f>
        <v/>
      </c>
      <c r="AQ627" s="26" t="str">
        <f aca="true">IF(C627="","",IF(AND(AP627&lt;&gt;"",TODAY()&gt;=AP627),"Refi Ready",IF(TODAY()-C627&gt;=SETTINGS!$I$11,"Prospecting","Performing")))</f>
        <v/>
      </c>
      <c r="AR627" s="35" t="str">
        <f aca="false">IF(OR(C627="",I627="",K627=""),"",IF(K627="Monthly",EDATE(C627,I627),WORKDAY(C627,I627)))</f>
        <v/>
      </c>
      <c r="AS627" s="28"/>
      <c r="AT627" s="36" t="str">
        <f aca="true">IF(C627="","",IF(AM627="Clawed Back","CLAWED",IF(TODAY()&lt;=C627+SETTINGS!$I$2,"⚠ AT RISK","SAFE")))</f>
        <v/>
      </c>
      <c r="AU627" s="28"/>
      <c r="AW627" s="24" t="n">
        <f aca="false">AW626+IF(AND(C627&lt;&gt;"",AO627&lt;&gt;"",OR('REP COMMISSION'!$B$3="",T627='REP COMMISSION'!$B$3,W627='REP COMMISSION'!$B$3,Z627='REP COMMISSION'!$B$3)),1,0)</f>
        <v>0</v>
      </c>
      <c r="AX627" s="24" t="n">
        <f aca="false">AX626+IF(AND(C627&lt;&gt;"",OR(F627="LOC - INITIAL",F627="CONSOLIDATION - UPFRONT COMM",F627="REVERSE - TOTAL FUNDING")),1,0)</f>
        <v>0</v>
      </c>
    </row>
    <row r="628" customFormat="false" ht="15" hidden="false" customHeight="false" outlineLevel="0" collapsed="false">
      <c r="A628" s="8" t="str">
        <f aca="false">IF(C628&lt;&gt;"","F"&amp;COUNT($C$4:C628),"")</f>
        <v/>
      </c>
      <c r="B628" s="9" t="str">
        <f aca="false">IF(OR(F628="LOC - INITIAL",F628="CONSOLIDATION - UPFRONT COMM",F628="REVERSE - TOTAL FUNDING"),A628,"")</f>
        <v/>
      </c>
      <c r="C628" s="10"/>
      <c r="D628" s="11"/>
      <c r="E628" s="11"/>
      <c r="F628" s="11"/>
      <c r="G628" s="12"/>
      <c r="H628" s="13"/>
      <c r="I628" s="11"/>
      <c r="J628" s="14" t="str">
        <f aca="false">IF(AND(G628&lt;&gt;"",H628&lt;&gt;""),G628*H628,"")</f>
        <v/>
      </c>
      <c r="K628" s="11"/>
      <c r="L628" s="15"/>
      <c r="M628" s="15"/>
      <c r="N628" s="14" t="n">
        <f aca="false">IF(OR(G628="",M628=""),0,IF(M628&gt;100,M628,G628*IF(M628&gt;1,M628/100,M628)))</f>
        <v>0</v>
      </c>
      <c r="O628" s="14" t="str">
        <f aca="false">IF(G628="","",G628*IF(L628="",0,IF(L628&gt;1,L628/100,L628))+N628)</f>
        <v/>
      </c>
      <c r="P628" s="11"/>
      <c r="Q628" s="16" t="str">
        <f aca="false">IF(P628="","",IFERROR(VLOOKUP(P628,PARTNERS!$A$2:$B$30,2,0),""))</f>
        <v/>
      </c>
      <c r="R628" s="17" t="str">
        <f aca="false">IF(O628="","",IF(OR(P628="",Q628=""),0,(O628-N628)*IF(Q628&gt;1,Q628/100,Q628)))</f>
        <v/>
      </c>
      <c r="S628" s="14" t="str">
        <f aca="false">IF(O628="","",O628-R628)</f>
        <v/>
      </c>
      <c r="T628" s="11"/>
      <c r="U628" s="18" t="str">
        <f aca="false">IF(T628="","",IFERROR(VLOOKUP(T628,REPS!$A$2:$D$40,2,0),""))</f>
        <v/>
      </c>
      <c r="V628" s="14" t="str">
        <f aca="false">IF(O628="","",IF(U628="",0,O628*IF(U628&gt;1,U628/100,U628)))</f>
        <v/>
      </c>
      <c r="W628" s="11"/>
      <c r="X628" s="18" t="str">
        <f aca="false">IF(W628="","",IFERROR(VLOOKUP(W628,REPS!$A$2:$D$40,3,0),""))</f>
        <v/>
      </c>
      <c r="Y628" s="14" t="str">
        <f aca="false">IF(O628="","",IF(X628="",0,O628*IF(X628&gt;1,X628/100,X628)))</f>
        <v/>
      </c>
      <c r="Z628" s="11"/>
      <c r="AA628" s="18" t="str">
        <f aca="false">IF(Z628="","",IFERROR(VLOOKUP(Z628,REPS!$A$2:$D$40,4,0),""))</f>
        <v/>
      </c>
      <c r="AB628" s="14" t="str">
        <f aca="false">IF(O628="","",IF(AA628="",0,O628*IF(AA628&gt;1,AA628/100,AA628)))</f>
        <v/>
      </c>
      <c r="AC628" s="14" t="str">
        <f aca="false">IF(O628="","",V628+Y628+AB628)</f>
        <v/>
      </c>
      <c r="AD628" s="19" t="str">
        <f aca="false">IF(O628="","",O628-R628-AC628)</f>
        <v/>
      </c>
      <c r="AE628" s="20"/>
      <c r="AF628" s="10"/>
      <c r="AG628" s="21" t="n">
        <f aca="false">IF(OR(AE628="",AE628=0),0,AE628*IF(U628="",0,IF(U628&gt;1,U628/100,U628)))</f>
        <v>0</v>
      </c>
      <c r="AH628" s="21" t="n">
        <f aca="false">IF(OR(AE628="",AE628=0),0,AE628*IF(X628="",0,IF(X628&gt;1,X628/100,X628)))</f>
        <v>0</v>
      </c>
      <c r="AI628" s="21" t="n">
        <f aca="false">IF(OR(AE628="",AE628=0),0,AE628*IF(AA628="",0,IF(AA628&gt;1,AA628/100,AA628)))</f>
        <v>0</v>
      </c>
      <c r="AJ628" s="21" t="n">
        <f aca="false">AG628+AH628+AI628</f>
        <v>0</v>
      </c>
      <c r="AK628" s="21" t="n">
        <f aca="false">IF(OR(AE628="",AE628=0),0,AE628-AJ628)</f>
        <v>0</v>
      </c>
      <c r="AL628" s="19" t="str">
        <f aca="false">IF(AD628="","",AD628-AK628)</f>
        <v/>
      </c>
      <c r="AM628" s="9" t="str">
        <f aca="false">IF(C628="","","Waiting for payment")</f>
        <v/>
      </c>
      <c r="AN628" s="10"/>
      <c r="AO628" s="10"/>
      <c r="AP628" s="22" t="str">
        <f aca="false">IF(OR(C628="",I628="",K628=""),"",IF(K628="Monthly",EDATE(C628,ROUND(I628*SETTINGS!$I$8,0)),WORKDAY(C628,ROUND(I628*SETTINGS!$I$8,0))))</f>
        <v/>
      </c>
      <c r="AQ628" s="9" t="str">
        <f aca="true">IF(C628="","",IF(AND(AP628&lt;&gt;"",TODAY()&gt;=AP628),"Refi Ready",IF(TODAY()-C628&gt;=SETTINGS!$I$11,"Prospecting","Performing")))</f>
        <v/>
      </c>
      <c r="AR628" s="22" t="str">
        <f aca="false">IF(OR(C628="",I628="",K628=""),"",IF(K628="Monthly",EDATE(C628,I628),WORKDAY(C628,I628)))</f>
        <v/>
      </c>
      <c r="AS628" s="11"/>
      <c r="AT628" s="23" t="str">
        <f aca="true">IF(C628="","",IF(AM628="Clawed Back","CLAWED",IF(TODAY()&lt;=C628+SETTINGS!$I$2,"⚠ AT RISK","SAFE")))</f>
        <v/>
      </c>
      <c r="AU628" s="11"/>
      <c r="AW628" s="24" t="n">
        <f aca="false">AW627+IF(AND(C628&lt;&gt;"",AO628&lt;&gt;"",OR('REP COMMISSION'!$B$3="",T628='REP COMMISSION'!$B$3,W628='REP COMMISSION'!$B$3,Z628='REP COMMISSION'!$B$3)),1,0)</f>
        <v>0</v>
      </c>
      <c r="AX628" s="24" t="n">
        <f aca="false">AX627+IF(AND(C628&lt;&gt;"",OR(F628="LOC - INITIAL",F628="CONSOLIDATION - UPFRONT COMM",F628="REVERSE - TOTAL FUNDING")),1,0)</f>
        <v>0</v>
      </c>
    </row>
    <row r="629" customFormat="false" ht="15" hidden="false" customHeight="false" outlineLevel="0" collapsed="false">
      <c r="A629" s="25" t="str">
        <f aca="false">IF(C629&lt;&gt;"","F"&amp;COUNT($C$4:C629),"")</f>
        <v/>
      </c>
      <c r="B629" s="26" t="str">
        <f aca="false">IF(OR(F629="LOC - INITIAL",F629="CONSOLIDATION - UPFRONT COMM",F629="REVERSE - TOTAL FUNDING"),A629,"")</f>
        <v/>
      </c>
      <c r="C629" s="27"/>
      <c r="D629" s="28"/>
      <c r="E629" s="28"/>
      <c r="F629" s="28"/>
      <c r="G629" s="29"/>
      <c r="H629" s="30"/>
      <c r="I629" s="28"/>
      <c r="J629" s="31" t="str">
        <f aca="false">IF(AND(G629&lt;&gt;"",H629&lt;&gt;""),G629*H629,"")</f>
        <v/>
      </c>
      <c r="K629" s="28"/>
      <c r="L629" s="32"/>
      <c r="M629" s="32"/>
      <c r="N629" s="31" t="n">
        <f aca="false">IF(OR(G629="",M629=""),0,IF(M629&gt;100,M629,G629*IF(M629&gt;1,M629/100,M629)))</f>
        <v>0</v>
      </c>
      <c r="O629" s="31" t="str">
        <f aca="false">IF(G629="","",G629*IF(L629="",0,IF(L629&gt;1,L629/100,L629))+N629)</f>
        <v/>
      </c>
      <c r="P629" s="28"/>
      <c r="Q629" s="33" t="str">
        <f aca="false">IF(P629="","",IFERROR(VLOOKUP(P629,PARTNERS!$A$2:$B$30,2,0),""))</f>
        <v/>
      </c>
      <c r="R629" s="17" t="str">
        <f aca="false">IF(O629="","",IF(OR(P629="",Q629=""),0,(O629-N629)*IF(Q629&gt;1,Q629/100,Q629)))</f>
        <v/>
      </c>
      <c r="S629" s="31" t="str">
        <f aca="false">IF(O629="","",O629-R629)</f>
        <v/>
      </c>
      <c r="T629" s="28"/>
      <c r="U629" s="34" t="str">
        <f aca="false">IF(T629="","",IFERROR(VLOOKUP(T629,REPS!$A$2:$D$40,2,0),""))</f>
        <v/>
      </c>
      <c r="V629" s="31" t="str">
        <f aca="false">IF(O629="","",IF(U629="",0,O629*IF(U629&gt;1,U629/100,U629)))</f>
        <v/>
      </c>
      <c r="W629" s="28"/>
      <c r="X629" s="34" t="str">
        <f aca="false">IF(W629="","",IFERROR(VLOOKUP(W629,REPS!$A$2:$D$40,3,0),""))</f>
        <v/>
      </c>
      <c r="Y629" s="31" t="str">
        <f aca="false">IF(O629="","",IF(X629="",0,O629*IF(X629&gt;1,X629/100,X629)))</f>
        <v/>
      </c>
      <c r="Z629" s="28"/>
      <c r="AA629" s="34" t="str">
        <f aca="false">IF(Z629="","",IFERROR(VLOOKUP(Z629,REPS!$A$2:$D$40,4,0),""))</f>
        <v/>
      </c>
      <c r="AB629" s="31" t="str">
        <f aca="false">IF(O629="","",IF(AA629="",0,O629*IF(AA629&gt;1,AA629/100,AA629)))</f>
        <v/>
      </c>
      <c r="AC629" s="31" t="str">
        <f aca="false">IF(O629="","",V629+Y629+AB629)</f>
        <v/>
      </c>
      <c r="AD629" s="19" t="str">
        <f aca="false">IF(O629="","",O629-R629-AC629)</f>
        <v/>
      </c>
      <c r="AE629" s="20"/>
      <c r="AF629" s="27"/>
      <c r="AG629" s="21" t="n">
        <f aca="false">IF(OR(AE629="",AE629=0),0,AE629*IF(U629="",0,IF(U629&gt;1,U629/100,U629)))</f>
        <v>0</v>
      </c>
      <c r="AH629" s="21" t="n">
        <f aca="false">IF(OR(AE629="",AE629=0),0,AE629*IF(X629="",0,IF(X629&gt;1,X629/100,X629)))</f>
        <v>0</v>
      </c>
      <c r="AI629" s="21" t="n">
        <f aca="false">IF(OR(AE629="",AE629=0),0,AE629*IF(AA629="",0,IF(AA629&gt;1,AA629/100,AA629)))</f>
        <v>0</v>
      </c>
      <c r="AJ629" s="21" t="n">
        <f aca="false">AG629+AH629+AI629</f>
        <v>0</v>
      </c>
      <c r="AK629" s="21" t="n">
        <f aca="false">IF(OR(AE629="",AE629=0),0,AE629-AJ629)</f>
        <v>0</v>
      </c>
      <c r="AL629" s="19" t="str">
        <f aca="false">IF(AD629="","",AD629-AK629)</f>
        <v/>
      </c>
      <c r="AM629" s="26" t="str">
        <f aca="false">IF(C629="","","Waiting for payment")</f>
        <v/>
      </c>
      <c r="AN629" s="27"/>
      <c r="AO629" s="27"/>
      <c r="AP629" s="35" t="str">
        <f aca="false">IF(OR(C629="",I629="",K629=""),"",IF(K629="Monthly",EDATE(C629,ROUND(I629*SETTINGS!$I$8,0)),WORKDAY(C629,ROUND(I629*SETTINGS!$I$8,0))))</f>
        <v/>
      </c>
      <c r="AQ629" s="26" t="str">
        <f aca="true">IF(C629="","",IF(AND(AP629&lt;&gt;"",TODAY()&gt;=AP629),"Refi Ready",IF(TODAY()-C629&gt;=SETTINGS!$I$11,"Prospecting","Performing")))</f>
        <v/>
      </c>
      <c r="AR629" s="35" t="str">
        <f aca="false">IF(OR(C629="",I629="",K629=""),"",IF(K629="Monthly",EDATE(C629,I629),WORKDAY(C629,I629)))</f>
        <v/>
      </c>
      <c r="AS629" s="28"/>
      <c r="AT629" s="36" t="str">
        <f aca="true">IF(C629="","",IF(AM629="Clawed Back","CLAWED",IF(TODAY()&lt;=C629+SETTINGS!$I$2,"⚠ AT RISK","SAFE")))</f>
        <v/>
      </c>
      <c r="AU629" s="28"/>
      <c r="AW629" s="24" t="n">
        <f aca="false">AW628+IF(AND(C629&lt;&gt;"",AO629&lt;&gt;"",OR('REP COMMISSION'!$B$3="",T629='REP COMMISSION'!$B$3,W629='REP COMMISSION'!$B$3,Z629='REP COMMISSION'!$B$3)),1,0)</f>
        <v>0</v>
      </c>
      <c r="AX629" s="24" t="n">
        <f aca="false">AX628+IF(AND(C629&lt;&gt;"",OR(F629="LOC - INITIAL",F629="CONSOLIDATION - UPFRONT COMM",F629="REVERSE - TOTAL FUNDING")),1,0)</f>
        <v>0</v>
      </c>
    </row>
    <row r="630" customFormat="false" ht="15" hidden="false" customHeight="false" outlineLevel="0" collapsed="false">
      <c r="A630" s="8" t="str">
        <f aca="false">IF(C630&lt;&gt;"","F"&amp;COUNT($C$4:C630),"")</f>
        <v/>
      </c>
      <c r="B630" s="9" t="str">
        <f aca="false">IF(OR(F630="LOC - INITIAL",F630="CONSOLIDATION - UPFRONT COMM",F630="REVERSE - TOTAL FUNDING"),A630,"")</f>
        <v/>
      </c>
      <c r="C630" s="10"/>
      <c r="D630" s="11"/>
      <c r="E630" s="11"/>
      <c r="F630" s="11"/>
      <c r="G630" s="12"/>
      <c r="H630" s="13"/>
      <c r="I630" s="11"/>
      <c r="J630" s="14" t="str">
        <f aca="false">IF(AND(G630&lt;&gt;"",H630&lt;&gt;""),G630*H630,"")</f>
        <v/>
      </c>
      <c r="K630" s="11"/>
      <c r="L630" s="15"/>
      <c r="M630" s="15"/>
      <c r="N630" s="14" t="n">
        <f aca="false">IF(OR(G630="",M630=""),0,IF(M630&gt;100,M630,G630*IF(M630&gt;1,M630/100,M630)))</f>
        <v>0</v>
      </c>
      <c r="O630" s="14" t="str">
        <f aca="false">IF(G630="","",G630*IF(L630="",0,IF(L630&gt;1,L630/100,L630))+N630)</f>
        <v/>
      </c>
      <c r="P630" s="11"/>
      <c r="Q630" s="16" t="str">
        <f aca="false">IF(P630="","",IFERROR(VLOOKUP(P630,PARTNERS!$A$2:$B$30,2,0),""))</f>
        <v/>
      </c>
      <c r="R630" s="17" t="str">
        <f aca="false">IF(O630="","",IF(OR(P630="",Q630=""),0,(O630-N630)*IF(Q630&gt;1,Q630/100,Q630)))</f>
        <v/>
      </c>
      <c r="S630" s="14" t="str">
        <f aca="false">IF(O630="","",O630-R630)</f>
        <v/>
      </c>
      <c r="T630" s="11"/>
      <c r="U630" s="18" t="str">
        <f aca="false">IF(T630="","",IFERROR(VLOOKUP(T630,REPS!$A$2:$D$40,2,0),""))</f>
        <v/>
      </c>
      <c r="V630" s="14" t="str">
        <f aca="false">IF(O630="","",IF(U630="",0,O630*IF(U630&gt;1,U630/100,U630)))</f>
        <v/>
      </c>
      <c r="W630" s="11"/>
      <c r="X630" s="18" t="str">
        <f aca="false">IF(W630="","",IFERROR(VLOOKUP(W630,REPS!$A$2:$D$40,3,0),""))</f>
        <v/>
      </c>
      <c r="Y630" s="14" t="str">
        <f aca="false">IF(O630="","",IF(X630="",0,O630*IF(X630&gt;1,X630/100,X630)))</f>
        <v/>
      </c>
      <c r="Z630" s="11"/>
      <c r="AA630" s="18" t="str">
        <f aca="false">IF(Z630="","",IFERROR(VLOOKUP(Z630,REPS!$A$2:$D$40,4,0),""))</f>
        <v/>
      </c>
      <c r="AB630" s="14" t="str">
        <f aca="false">IF(O630="","",IF(AA630="",0,O630*IF(AA630&gt;1,AA630/100,AA630)))</f>
        <v/>
      </c>
      <c r="AC630" s="14" t="str">
        <f aca="false">IF(O630="","",V630+Y630+AB630)</f>
        <v/>
      </c>
      <c r="AD630" s="19" t="str">
        <f aca="false">IF(O630="","",O630-R630-AC630)</f>
        <v/>
      </c>
      <c r="AE630" s="20"/>
      <c r="AF630" s="10"/>
      <c r="AG630" s="21" t="n">
        <f aca="false">IF(OR(AE630="",AE630=0),0,AE630*IF(U630="",0,IF(U630&gt;1,U630/100,U630)))</f>
        <v>0</v>
      </c>
      <c r="AH630" s="21" t="n">
        <f aca="false">IF(OR(AE630="",AE630=0),0,AE630*IF(X630="",0,IF(X630&gt;1,X630/100,X630)))</f>
        <v>0</v>
      </c>
      <c r="AI630" s="21" t="n">
        <f aca="false">IF(OR(AE630="",AE630=0),0,AE630*IF(AA630="",0,IF(AA630&gt;1,AA630/100,AA630)))</f>
        <v>0</v>
      </c>
      <c r="AJ630" s="21" t="n">
        <f aca="false">AG630+AH630+AI630</f>
        <v>0</v>
      </c>
      <c r="AK630" s="21" t="n">
        <f aca="false">IF(OR(AE630="",AE630=0),0,AE630-AJ630)</f>
        <v>0</v>
      </c>
      <c r="AL630" s="19" t="str">
        <f aca="false">IF(AD630="","",AD630-AK630)</f>
        <v/>
      </c>
      <c r="AM630" s="9" t="str">
        <f aca="false">IF(C630="","","Waiting for payment")</f>
        <v/>
      </c>
      <c r="AN630" s="10"/>
      <c r="AO630" s="10"/>
      <c r="AP630" s="22" t="str">
        <f aca="false">IF(OR(C630="",I630="",K630=""),"",IF(K630="Monthly",EDATE(C630,ROUND(I630*SETTINGS!$I$8,0)),WORKDAY(C630,ROUND(I630*SETTINGS!$I$8,0))))</f>
        <v/>
      </c>
      <c r="AQ630" s="9" t="str">
        <f aca="true">IF(C630="","",IF(AND(AP630&lt;&gt;"",TODAY()&gt;=AP630),"Refi Ready",IF(TODAY()-C630&gt;=SETTINGS!$I$11,"Prospecting","Performing")))</f>
        <v/>
      </c>
      <c r="AR630" s="22" t="str">
        <f aca="false">IF(OR(C630="",I630="",K630=""),"",IF(K630="Monthly",EDATE(C630,I630),WORKDAY(C630,I630)))</f>
        <v/>
      </c>
      <c r="AS630" s="11"/>
      <c r="AT630" s="23" t="str">
        <f aca="true">IF(C630="","",IF(AM630="Clawed Back","CLAWED",IF(TODAY()&lt;=C630+SETTINGS!$I$2,"⚠ AT RISK","SAFE")))</f>
        <v/>
      </c>
      <c r="AU630" s="11"/>
      <c r="AW630" s="24" t="n">
        <f aca="false">AW629+IF(AND(C630&lt;&gt;"",AO630&lt;&gt;"",OR('REP COMMISSION'!$B$3="",T630='REP COMMISSION'!$B$3,W630='REP COMMISSION'!$B$3,Z630='REP COMMISSION'!$B$3)),1,0)</f>
        <v>0</v>
      </c>
      <c r="AX630" s="24" t="n">
        <f aca="false">AX629+IF(AND(C630&lt;&gt;"",OR(F630="LOC - INITIAL",F630="CONSOLIDATION - UPFRONT COMM",F630="REVERSE - TOTAL FUNDING")),1,0)</f>
        <v>0</v>
      </c>
    </row>
    <row r="631" customFormat="false" ht="15" hidden="false" customHeight="false" outlineLevel="0" collapsed="false">
      <c r="A631" s="25" t="str">
        <f aca="false">IF(C631&lt;&gt;"","F"&amp;COUNT($C$4:C631),"")</f>
        <v/>
      </c>
      <c r="B631" s="26" t="str">
        <f aca="false">IF(OR(F631="LOC - INITIAL",F631="CONSOLIDATION - UPFRONT COMM",F631="REVERSE - TOTAL FUNDING"),A631,"")</f>
        <v/>
      </c>
      <c r="C631" s="27"/>
      <c r="D631" s="28"/>
      <c r="E631" s="28"/>
      <c r="F631" s="28"/>
      <c r="G631" s="29"/>
      <c r="H631" s="30"/>
      <c r="I631" s="28"/>
      <c r="J631" s="31" t="str">
        <f aca="false">IF(AND(G631&lt;&gt;"",H631&lt;&gt;""),G631*H631,"")</f>
        <v/>
      </c>
      <c r="K631" s="28"/>
      <c r="L631" s="32"/>
      <c r="M631" s="32"/>
      <c r="N631" s="31" t="n">
        <f aca="false">IF(OR(G631="",M631=""),0,IF(M631&gt;100,M631,G631*IF(M631&gt;1,M631/100,M631)))</f>
        <v>0</v>
      </c>
      <c r="O631" s="31" t="str">
        <f aca="false">IF(G631="","",G631*IF(L631="",0,IF(L631&gt;1,L631/100,L631))+N631)</f>
        <v/>
      </c>
      <c r="P631" s="28"/>
      <c r="Q631" s="33" t="str">
        <f aca="false">IF(P631="","",IFERROR(VLOOKUP(P631,PARTNERS!$A$2:$B$30,2,0),""))</f>
        <v/>
      </c>
      <c r="R631" s="17" t="str">
        <f aca="false">IF(O631="","",IF(OR(P631="",Q631=""),0,(O631-N631)*IF(Q631&gt;1,Q631/100,Q631)))</f>
        <v/>
      </c>
      <c r="S631" s="31" t="str">
        <f aca="false">IF(O631="","",O631-R631)</f>
        <v/>
      </c>
      <c r="T631" s="28"/>
      <c r="U631" s="34" t="str">
        <f aca="false">IF(T631="","",IFERROR(VLOOKUP(T631,REPS!$A$2:$D$40,2,0),""))</f>
        <v/>
      </c>
      <c r="V631" s="31" t="str">
        <f aca="false">IF(O631="","",IF(U631="",0,O631*IF(U631&gt;1,U631/100,U631)))</f>
        <v/>
      </c>
      <c r="W631" s="28"/>
      <c r="X631" s="34" t="str">
        <f aca="false">IF(W631="","",IFERROR(VLOOKUP(W631,REPS!$A$2:$D$40,3,0),""))</f>
        <v/>
      </c>
      <c r="Y631" s="31" t="str">
        <f aca="false">IF(O631="","",IF(X631="",0,O631*IF(X631&gt;1,X631/100,X631)))</f>
        <v/>
      </c>
      <c r="Z631" s="28"/>
      <c r="AA631" s="34" t="str">
        <f aca="false">IF(Z631="","",IFERROR(VLOOKUP(Z631,REPS!$A$2:$D$40,4,0),""))</f>
        <v/>
      </c>
      <c r="AB631" s="31" t="str">
        <f aca="false">IF(O631="","",IF(AA631="",0,O631*IF(AA631&gt;1,AA631/100,AA631)))</f>
        <v/>
      </c>
      <c r="AC631" s="31" t="str">
        <f aca="false">IF(O631="","",V631+Y631+AB631)</f>
        <v/>
      </c>
      <c r="AD631" s="19" t="str">
        <f aca="false">IF(O631="","",O631-R631-AC631)</f>
        <v/>
      </c>
      <c r="AE631" s="20"/>
      <c r="AF631" s="27"/>
      <c r="AG631" s="21" t="n">
        <f aca="false">IF(OR(AE631="",AE631=0),0,AE631*IF(U631="",0,IF(U631&gt;1,U631/100,U631)))</f>
        <v>0</v>
      </c>
      <c r="AH631" s="21" t="n">
        <f aca="false">IF(OR(AE631="",AE631=0),0,AE631*IF(X631="",0,IF(X631&gt;1,X631/100,X631)))</f>
        <v>0</v>
      </c>
      <c r="AI631" s="21" t="n">
        <f aca="false">IF(OR(AE631="",AE631=0),0,AE631*IF(AA631="",0,IF(AA631&gt;1,AA631/100,AA631)))</f>
        <v>0</v>
      </c>
      <c r="AJ631" s="21" t="n">
        <f aca="false">AG631+AH631+AI631</f>
        <v>0</v>
      </c>
      <c r="AK631" s="21" t="n">
        <f aca="false">IF(OR(AE631="",AE631=0),0,AE631-AJ631)</f>
        <v>0</v>
      </c>
      <c r="AL631" s="19" t="str">
        <f aca="false">IF(AD631="","",AD631-AK631)</f>
        <v/>
      </c>
      <c r="AM631" s="26" t="str">
        <f aca="false">IF(C631="","","Waiting for payment")</f>
        <v/>
      </c>
      <c r="AN631" s="27"/>
      <c r="AO631" s="27"/>
      <c r="AP631" s="35" t="str">
        <f aca="false">IF(OR(C631="",I631="",K631=""),"",IF(K631="Monthly",EDATE(C631,ROUND(I631*SETTINGS!$I$8,0)),WORKDAY(C631,ROUND(I631*SETTINGS!$I$8,0))))</f>
        <v/>
      </c>
      <c r="AQ631" s="26" t="str">
        <f aca="true">IF(C631="","",IF(AND(AP631&lt;&gt;"",TODAY()&gt;=AP631),"Refi Ready",IF(TODAY()-C631&gt;=SETTINGS!$I$11,"Prospecting","Performing")))</f>
        <v/>
      </c>
      <c r="AR631" s="35" t="str">
        <f aca="false">IF(OR(C631="",I631="",K631=""),"",IF(K631="Monthly",EDATE(C631,I631),WORKDAY(C631,I631)))</f>
        <v/>
      </c>
      <c r="AS631" s="28"/>
      <c r="AT631" s="36" t="str">
        <f aca="true">IF(C631="","",IF(AM631="Clawed Back","CLAWED",IF(TODAY()&lt;=C631+SETTINGS!$I$2,"⚠ AT RISK","SAFE")))</f>
        <v/>
      </c>
      <c r="AU631" s="28"/>
      <c r="AW631" s="24" t="n">
        <f aca="false">AW630+IF(AND(C631&lt;&gt;"",AO631&lt;&gt;"",OR('REP COMMISSION'!$B$3="",T631='REP COMMISSION'!$B$3,W631='REP COMMISSION'!$B$3,Z631='REP COMMISSION'!$B$3)),1,0)</f>
        <v>0</v>
      </c>
      <c r="AX631" s="24" t="n">
        <f aca="false">AX630+IF(AND(C631&lt;&gt;"",OR(F631="LOC - INITIAL",F631="CONSOLIDATION - UPFRONT COMM",F631="REVERSE - TOTAL FUNDING")),1,0)</f>
        <v>0</v>
      </c>
    </row>
    <row r="632" customFormat="false" ht="15" hidden="false" customHeight="false" outlineLevel="0" collapsed="false">
      <c r="A632" s="8" t="str">
        <f aca="false">IF(C632&lt;&gt;"","F"&amp;COUNT($C$4:C632),"")</f>
        <v/>
      </c>
      <c r="B632" s="9" t="str">
        <f aca="false">IF(OR(F632="LOC - INITIAL",F632="CONSOLIDATION - UPFRONT COMM",F632="REVERSE - TOTAL FUNDING"),A632,"")</f>
        <v/>
      </c>
      <c r="C632" s="10"/>
      <c r="D632" s="11"/>
      <c r="E632" s="11"/>
      <c r="F632" s="11"/>
      <c r="G632" s="12"/>
      <c r="H632" s="13"/>
      <c r="I632" s="11"/>
      <c r="J632" s="14" t="str">
        <f aca="false">IF(AND(G632&lt;&gt;"",H632&lt;&gt;""),G632*H632,"")</f>
        <v/>
      </c>
      <c r="K632" s="11"/>
      <c r="L632" s="15"/>
      <c r="M632" s="15"/>
      <c r="N632" s="14" t="n">
        <f aca="false">IF(OR(G632="",M632=""),0,IF(M632&gt;100,M632,G632*IF(M632&gt;1,M632/100,M632)))</f>
        <v>0</v>
      </c>
      <c r="O632" s="14" t="str">
        <f aca="false">IF(G632="","",G632*IF(L632="",0,IF(L632&gt;1,L632/100,L632))+N632)</f>
        <v/>
      </c>
      <c r="P632" s="11"/>
      <c r="Q632" s="16" t="str">
        <f aca="false">IF(P632="","",IFERROR(VLOOKUP(P632,PARTNERS!$A$2:$B$30,2,0),""))</f>
        <v/>
      </c>
      <c r="R632" s="17" t="str">
        <f aca="false">IF(O632="","",IF(OR(P632="",Q632=""),0,(O632-N632)*IF(Q632&gt;1,Q632/100,Q632)))</f>
        <v/>
      </c>
      <c r="S632" s="14" t="str">
        <f aca="false">IF(O632="","",O632-R632)</f>
        <v/>
      </c>
      <c r="T632" s="11"/>
      <c r="U632" s="18" t="str">
        <f aca="false">IF(T632="","",IFERROR(VLOOKUP(T632,REPS!$A$2:$D$40,2,0),""))</f>
        <v/>
      </c>
      <c r="V632" s="14" t="str">
        <f aca="false">IF(O632="","",IF(U632="",0,O632*IF(U632&gt;1,U632/100,U632)))</f>
        <v/>
      </c>
      <c r="W632" s="11"/>
      <c r="X632" s="18" t="str">
        <f aca="false">IF(W632="","",IFERROR(VLOOKUP(W632,REPS!$A$2:$D$40,3,0),""))</f>
        <v/>
      </c>
      <c r="Y632" s="14" t="str">
        <f aca="false">IF(O632="","",IF(X632="",0,O632*IF(X632&gt;1,X632/100,X632)))</f>
        <v/>
      </c>
      <c r="Z632" s="11"/>
      <c r="AA632" s="18" t="str">
        <f aca="false">IF(Z632="","",IFERROR(VLOOKUP(Z632,REPS!$A$2:$D$40,4,0),""))</f>
        <v/>
      </c>
      <c r="AB632" s="14" t="str">
        <f aca="false">IF(O632="","",IF(AA632="",0,O632*IF(AA632&gt;1,AA632/100,AA632)))</f>
        <v/>
      </c>
      <c r="AC632" s="14" t="str">
        <f aca="false">IF(O632="","",V632+Y632+AB632)</f>
        <v/>
      </c>
      <c r="AD632" s="19" t="str">
        <f aca="false">IF(O632="","",O632-R632-AC632)</f>
        <v/>
      </c>
      <c r="AE632" s="20"/>
      <c r="AF632" s="10"/>
      <c r="AG632" s="21" t="n">
        <f aca="false">IF(OR(AE632="",AE632=0),0,AE632*IF(U632="",0,IF(U632&gt;1,U632/100,U632)))</f>
        <v>0</v>
      </c>
      <c r="AH632" s="21" t="n">
        <f aca="false">IF(OR(AE632="",AE632=0),0,AE632*IF(X632="",0,IF(X632&gt;1,X632/100,X632)))</f>
        <v>0</v>
      </c>
      <c r="AI632" s="21" t="n">
        <f aca="false">IF(OR(AE632="",AE632=0),0,AE632*IF(AA632="",0,IF(AA632&gt;1,AA632/100,AA632)))</f>
        <v>0</v>
      </c>
      <c r="AJ632" s="21" t="n">
        <f aca="false">AG632+AH632+AI632</f>
        <v>0</v>
      </c>
      <c r="AK632" s="21" t="n">
        <f aca="false">IF(OR(AE632="",AE632=0),0,AE632-AJ632)</f>
        <v>0</v>
      </c>
      <c r="AL632" s="19" t="str">
        <f aca="false">IF(AD632="","",AD632-AK632)</f>
        <v/>
      </c>
      <c r="AM632" s="9" t="str">
        <f aca="false">IF(C632="","","Waiting for payment")</f>
        <v/>
      </c>
      <c r="AN632" s="10"/>
      <c r="AO632" s="10"/>
      <c r="AP632" s="22" t="str">
        <f aca="false">IF(OR(C632="",I632="",K632=""),"",IF(K632="Monthly",EDATE(C632,ROUND(I632*SETTINGS!$I$8,0)),WORKDAY(C632,ROUND(I632*SETTINGS!$I$8,0))))</f>
        <v/>
      </c>
      <c r="AQ632" s="9" t="str">
        <f aca="true">IF(C632="","",IF(AND(AP632&lt;&gt;"",TODAY()&gt;=AP632),"Refi Ready",IF(TODAY()-C632&gt;=SETTINGS!$I$11,"Prospecting","Performing")))</f>
        <v/>
      </c>
      <c r="AR632" s="22" t="str">
        <f aca="false">IF(OR(C632="",I632="",K632=""),"",IF(K632="Monthly",EDATE(C632,I632),WORKDAY(C632,I632)))</f>
        <v/>
      </c>
      <c r="AS632" s="11"/>
      <c r="AT632" s="23" t="str">
        <f aca="true">IF(C632="","",IF(AM632="Clawed Back","CLAWED",IF(TODAY()&lt;=C632+SETTINGS!$I$2,"⚠ AT RISK","SAFE")))</f>
        <v/>
      </c>
      <c r="AU632" s="11"/>
      <c r="AW632" s="24" t="n">
        <f aca="false">AW631+IF(AND(C632&lt;&gt;"",AO632&lt;&gt;"",OR('REP COMMISSION'!$B$3="",T632='REP COMMISSION'!$B$3,W632='REP COMMISSION'!$B$3,Z632='REP COMMISSION'!$B$3)),1,0)</f>
        <v>0</v>
      </c>
      <c r="AX632" s="24" t="n">
        <f aca="false">AX631+IF(AND(C632&lt;&gt;"",OR(F632="LOC - INITIAL",F632="CONSOLIDATION - UPFRONT COMM",F632="REVERSE - TOTAL FUNDING")),1,0)</f>
        <v>0</v>
      </c>
    </row>
    <row r="633" customFormat="false" ht="15" hidden="false" customHeight="false" outlineLevel="0" collapsed="false">
      <c r="A633" s="25" t="str">
        <f aca="false">IF(C633&lt;&gt;"","F"&amp;COUNT($C$4:C633),"")</f>
        <v/>
      </c>
      <c r="B633" s="26" t="str">
        <f aca="false">IF(OR(F633="LOC - INITIAL",F633="CONSOLIDATION - UPFRONT COMM",F633="REVERSE - TOTAL FUNDING"),A633,"")</f>
        <v/>
      </c>
      <c r="C633" s="27"/>
      <c r="D633" s="28"/>
      <c r="E633" s="28"/>
      <c r="F633" s="28"/>
      <c r="G633" s="29"/>
      <c r="H633" s="30"/>
      <c r="I633" s="28"/>
      <c r="J633" s="31" t="str">
        <f aca="false">IF(AND(G633&lt;&gt;"",H633&lt;&gt;""),G633*H633,"")</f>
        <v/>
      </c>
      <c r="K633" s="28"/>
      <c r="L633" s="32"/>
      <c r="M633" s="32"/>
      <c r="N633" s="31" t="n">
        <f aca="false">IF(OR(G633="",M633=""),0,IF(M633&gt;100,M633,G633*IF(M633&gt;1,M633/100,M633)))</f>
        <v>0</v>
      </c>
      <c r="O633" s="31" t="str">
        <f aca="false">IF(G633="","",G633*IF(L633="",0,IF(L633&gt;1,L633/100,L633))+N633)</f>
        <v/>
      </c>
      <c r="P633" s="28"/>
      <c r="Q633" s="33" t="str">
        <f aca="false">IF(P633="","",IFERROR(VLOOKUP(P633,PARTNERS!$A$2:$B$30,2,0),""))</f>
        <v/>
      </c>
      <c r="R633" s="17" t="str">
        <f aca="false">IF(O633="","",IF(OR(P633="",Q633=""),0,(O633-N633)*IF(Q633&gt;1,Q633/100,Q633)))</f>
        <v/>
      </c>
      <c r="S633" s="31" t="str">
        <f aca="false">IF(O633="","",O633-R633)</f>
        <v/>
      </c>
      <c r="T633" s="28"/>
      <c r="U633" s="34" t="str">
        <f aca="false">IF(T633="","",IFERROR(VLOOKUP(T633,REPS!$A$2:$D$40,2,0),""))</f>
        <v/>
      </c>
      <c r="V633" s="31" t="str">
        <f aca="false">IF(O633="","",IF(U633="",0,O633*IF(U633&gt;1,U633/100,U633)))</f>
        <v/>
      </c>
      <c r="W633" s="28"/>
      <c r="X633" s="34" t="str">
        <f aca="false">IF(W633="","",IFERROR(VLOOKUP(W633,REPS!$A$2:$D$40,3,0),""))</f>
        <v/>
      </c>
      <c r="Y633" s="31" t="str">
        <f aca="false">IF(O633="","",IF(X633="",0,O633*IF(X633&gt;1,X633/100,X633)))</f>
        <v/>
      </c>
      <c r="Z633" s="28"/>
      <c r="AA633" s="34" t="str">
        <f aca="false">IF(Z633="","",IFERROR(VLOOKUP(Z633,REPS!$A$2:$D$40,4,0),""))</f>
        <v/>
      </c>
      <c r="AB633" s="31" t="str">
        <f aca="false">IF(O633="","",IF(AA633="",0,O633*IF(AA633&gt;1,AA633/100,AA633)))</f>
        <v/>
      </c>
      <c r="AC633" s="31" t="str">
        <f aca="false">IF(O633="","",V633+Y633+AB633)</f>
        <v/>
      </c>
      <c r="AD633" s="19" t="str">
        <f aca="false">IF(O633="","",O633-R633-AC633)</f>
        <v/>
      </c>
      <c r="AE633" s="20"/>
      <c r="AF633" s="27"/>
      <c r="AG633" s="21" t="n">
        <f aca="false">IF(OR(AE633="",AE633=0),0,AE633*IF(U633="",0,IF(U633&gt;1,U633/100,U633)))</f>
        <v>0</v>
      </c>
      <c r="AH633" s="21" t="n">
        <f aca="false">IF(OR(AE633="",AE633=0),0,AE633*IF(X633="",0,IF(X633&gt;1,X633/100,X633)))</f>
        <v>0</v>
      </c>
      <c r="AI633" s="21" t="n">
        <f aca="false">IF(OR(AE633="",AE633=0),0,AE633*IF(AA633="",0,IF(AA633&gt;1,AA633/100,AA633)))</f>
        <v>0</v>
      </c>
      <c r="AJ633" s="21" t="n">
        <f aca="false">AG633+AH633+AI633</f>
        <v>0</v>
      </c>
      <c r="AK633" s="21" t="n">
        <f aca="false">IF(OR(AE633="",AE633=0),0,AE633-AJ633)</f>
        <v>0</v>
      </c>
      <c r="AL633" s="19" t="str">
        <f aca="false">IF(AD633="","",AD633-AK633)</f>
        <v/>
      </c>
      <c r="AM633" s="26" t="str">
        <f aca="false">IF(C633="","","Waiting for payment")</f>
        <v/>
      </c>
      <c r="AN633" s="27"/>
      <c r="AO633" s="27"/>
      <c r="AP633" s="35" t="str">
        <f aca="false">IF(OR(C633="",I633="",K633=""),"",IF(K633="Monthly",EDATE(C633,ROUND(I633*SETTINGS!$I$8,0)),WORKDAY(C633,ROUND(I633*SETTINGS!$I$8,0))))</f>
        <v/>
      </c>
      <c r="AQ633" s="26" t="str">
        <f aca="true">IF(C633="","",IF(AND(AP633&lt;&gt;"",TODAY()&gt;=AP633),"Refi Ready",IF(TODAY()-C633&gt;=SETTINGS!$I$11,"Prospecting","Performing")))</f>
        <v/>
      </c>
      <c r="AR633" s="35" t="str">
        <f aca="false">IF(OR(C633="",I633="",K633=""),"",IF(K633="Monthly",EDATE(C633,I633),WORKDAY(C633,I633)))</f>
        <v/>
      </c>
      <c r="AS633" s="28"/>
      <c r="AT633" s="36" t="str">
        <f aca="true">IF(C633="","",IF(AM633="Clawed Back","CLAWED",IF(TODAY()&lt;=C633+SETTINGS!$I$2,"⚠ AT RISK","SAFE")))</f>
        <v/>
      </c>
      <c r="AU633" s="28"/>
      <c r="AW633" s="24" t="n">
        <f aca="false">AW632+IF(AND(C633&lt;&gt;"",AO633&lt;&gt;"",OR('REP COMMISSION'!$B$3="",T633='REP COMMISSION'!$B$3,W633='REP COMMISSION'!$B$3,Z633='REP COMMISSION'!$B$3)),1,0)</f>
        <v>0</v>
      </c>
      <c r="AX633" s="24" t="n">
        <f aca="false">AX632+IF(AND(C633&lt;&gt;"",OR(F633="LOC - INITIAL",F633="CONSOLIDATION - UPFRONT COMM",F633="REVERSE - TOTAL FUNDING")),1,0)</f>
        <v>0</v>
      </c>
    </row>
    <row r="634" customFormat="false" ht="15" hidden="false" customHeight="false" outlineLevel="0" collapsed="false">
      <c r="A634" s="8" t="str">
        <f aca="false">IF(C634&lt;&gt;"","F"&amp;COUNT($C$4:C634),"")</f>
        <v/>
      </c>
      <c r="B634" s="9" t="str">
        <f aca="false">IF(OR(F634="LOC - INITIAL",F634="CONSOLIDATION - UPFRONT COMM",F634="REVERSE - TOTAL FUNDING"),A634,"")</f>
        <v/>
      </c>
      <c r="C634" s="10"/>
      <c r="D634" s="11"/>
      <c r="E634" s="11"/>
      <c r="F634" s="11"/>
      <c r="G634" s="12"/>
      <c r="H634" s="13"/>
      <c r="I634" s="11"/>
      <c r="J634" s="14" t="str">
        <f aca="false">IF(AND(G634&lt;&gt;"",H634&lt;&gt;""),G634*H634,"")</f>
        <v/>
      </c>
      <c r="K634" s="11"/>
      <c r="L634" s="15"/>
      <c r="M634" s="15"/>
      <c r="N634" s="14" t="n">
        <f aca="false">IF(OR(G634="",M634=""),0,IF(M634&gt;100,M634,G634*IF(M634&gt;1,M634/100,M634)))</f>
        <v>0</v>
      </c>
      <c r="O634" s="14" t="str">
        <f aca="false">IF(G634="","",G634*IF(L634="",0,IF(L634&gt;1,L634/100,L634))+N634)</f>
        <v/>
      </c>
      <c r="P634" s="11"/>
      <c r="Q634" s="16" t="str">
        <f aca="false">IF(P634="","",IFERROR(VLOOKUP(P634,PARTNERS!$A$2:$B$30,2,0),""))</f>
        <v/>
      </c>
      <c r="R634" s="17" t="str">
        <f aca="false">IF(O634="","",IF(OR(P634="",Q634=""),0,(O634-N634)*IF(Q634&gt;1,Q634/100,Q634)))</f>
        <v/>
      </c>
      <c r="S634" s="14" t="str">
        <f aca="false">IF(O634="","",O634-R634)</f>
        <v/>
      </c>
      <c r="T634" s="11"/>
      <c r="U634" s="18" t="str">
        <f aca="false">IF(T634="","",IFERROR(VLOOKUP(T634,REPS!$A$2:$D$40,2,0),""))</f>
        <v/>
      </c>
      <c r="V634" s="14" t="str">
        <f aca="false">IF(O634="","",IF(U634="",0,O634*IF(U634&gt;1,U634/100,U634)))</f>
        <v/>
      </c>
      <c r="W634" s="11"/>
      <c r="X634" s="18" t="str">
        <f aca="false">IF(W634="","",IFERROR(VLOOKUP(W634,REPS!$A$2:$D$40,3,0),""))</f>
        <v/>
      </c>
      <c r="Y634" s="14" t="str">
        <f aca="false">IF(O634="","",IF(X634="",0,O634*IF(X634&gt;1,X634/100,X634)))</f>
        <v/>
      </c>
      <c r="Z634" s="11"/>
      <c r="AA634" s="18" t="str">
        <f aca="false">IF(Z634="","",IFERROR(VLOOKUP(Z634,REPS!$A$2:$D$40,4,0),""))</f>
        <v/>
      </c>
      <c r="AB634" s="14" t="str">
        <f aca="false">IF(O634="","",IF(AA634="",0,O634*IF(AA634&gt;1,AA634/100,AA634)))</f>
        <v/>
      </c>
      <c r="AC634" s="14" t="str">
        <f aca="false">IF(O634="","",V634+Y634+AB634)</f>
        <v/>
      </c>
      <c r="AD634" s="19" t="str">
        <f aca="false">IF(O634="","",O634-R634-AC634)</f>
        <v/>
      </c>
      <c r="AE634" s="20"/>
      <c r="AF634" s="10"/>
      <c r="AG634" s="21" t="n">
        <f aca="false">IF(OR(AE634="",AE634=0),0,AE634*IF(U634="",0,IF(U634&gt;1,U634/100,U634)))</f>
        <v>0</v>
      </c>
      <c r="AH634" s="21" t="n">
        <f aca="false">IF(OR(AE634="",AE634=0),0,AE634*IF(X634="",0,IF(X634&gt;1,X634/100,X634)))</f>
        <v>0</v>
      </c>
      <c r="AI634" s="21" t="n">
        <f aca="false">IF(OR(AE634="",AE634=0),0,AE634*IF(AA634="",0,IF(AA634&gt;1,AA634/100,AA634)))</f>
        <v>0</v>
      </c>
      <c r="AJ634" s="21" t="n">
        <f aca="false">AG634+AH634+AI634</f>
        <v>0</v>
      </c>
      <c r="AK634" s="21" t="n">
        <f aca="false">IF(OR(AE634="",AE634=0),0,AE634-AJ634)</f>
        <v>0</v>
      </c>
      <c r="AL634" s="19" t="str">
        <f aca="false">IF(AD634="","",AD634-AK634)</f>
        <v/>
      </c>
      <c r="AM634" s="9" t="str">
        <f aca="false">IF(C634="","","Waiting for payment")</f>
        <v/>
      </c>
      <c r="AN634" s="10"/>
      <c r="AO634" s="10"/>
      <c r="AP634" s="22" t="str">
        <f aca="false">IF(OR(C634="",I634="",K634=""),"",IF(K634="Monthly",EDATE(C634,ROUND(I634*SETTINGS!$I$8,0)),WORKDAY(C634,ROUND(I634*SETTINGS!$I$8,0))))</f>
        <v/>
      </c>
      <c r="AQ634" s="9" t="str">
        <f aca="true">IF(C634="","",IF(AND(AP634&lt;&gt;"",TODAY()&gt;=AP634),"Refi Ready",IF(TODAY()-C634&gt;=SETTINGS!$I$11,"Prospecting","Performing")))</f>
        <v/>
      </c>
      <c r="AR634" s="22" t="str">
        <f aca="false">IF(OR(C634="",I634="",K634=""),"",IF(K634="Monthly",EDATE(C634,I634),WORKDAY(C634,I634)))</f>
        <v/>
      </c>
      <c r="AS634" s="11"/>
      <c r="AT634" s="23" t="str">
        <f aca="true">IF(C634="","",IF(AM634="Clawed Back","CLAWED",IF(TODAY()&lt;=C634+SETTINGS!$I$2,"⚠ AT RISK","SAFE")))</f>
        <v/>
      </c>
      <c r="AU634" s="11"/>
      <c r="AW634" s="24" t="n">
        <f aca="false">AW633+IF(AND(C634&lt;&gt;"",AO634&lt;&gt;"",OR('REP COMMISSION'!$B$3="",T634='REP COMMISSION'!$B$3,W634='REP COMMISSION'!$B$3,Z634='REP COMMISSION'!$B$3)),1,0)</f>
        <v>0</v>
      </c>
      <c r="AX634" s="24" t="n">
        <f aca="false">AX633+IF(AND(C634&lt;&gt;"",OR(F634="LOC - INITIAL",F634="CONSOLIDATION - UPFRONT COMM",F634="REVERSE - TOTAL FUNDING")),1,0)</f>
        <v>0</v>
      </c>
    </row>
    <row r="635" customFormat="false" ht="15" hidden="false" customHeight="false" outlineLevel="0" collapsed="false">
      <c r="A635" s="25" t="str">
        <f aca="false">IF(C635&lt;&gt;"","F"&amp;COUNT($C$4:C635),"")</f>
        <v/>
      </c>
      <c r="B635" s="26" t="str">
        <f aca="false">IF(OR(F635="LOC - INITIAL",F635="CONSOLIDATION - UPFRONT COMM",F635="REVERSE - TOTAL FUNDING"),A635,"")</f>
        <v/>
      </c>
      <c r="C635" s="27"/>
      <c r="D635" s="28"/>
      <c r="E635" s="28"/>
      <c r="F635" s="28"/>
      <c r="G635" s="29"/>
      <c r="H635" s="30"/>
      <c r="I635" s="28"/>
      <c r="J635" s="31" t="str">
        <f aca="false">IF(AND(G635&lt;&gt;"",H635&lt;&gt;""),G635*H635,"")</f>
        <v/>
      </c>
      <c r="K635" s="28"/>
      <c r="L635" s="32"/>
      <c r="M635" s="32"/>
      <c r="N635" s="31" t="n">
        <f aca="false">IF(OR(G635="",M635=""),0,IF(M635&gt;100,M635,G635*IF(M635&gt;1,M635/100,M635)))</f>
        <v>0</v>
      </c>
      <c r="O635" s="31" t="str">
        <f aca="false">IF(G635="","",G635*IF(L635="",0,IF(L635&gt;1,L635/100,L635))+N635)</f>
        <v/>
      </c>
      <c r="P635" s="28"/>
      <c r="Q635" s="33" t="str">
        <f aca="false">IF(P635="","",IFERROR(VLOOKUP(P635,PARTNERS!$A$2:$B$30,2,0),""))</f>
        <v/>
      </c>
      <c r="R635" s="17" t="str">
        <f aca="false">IF(O635="","",IF(OR(P635="",Q635=""),0,(O635-N635)*IF(Q635&gt;1,Q635/100,Q635)))</f>
        <v/>
      </c>
      <c r="S635" s="31" t="str">
        <f aca="false">IF(O635="","",O635-R635)</f>
        <v/>
      </c>
      <c r="T635" s="28"/>
      <c r="U635" s="34" t="str">
        <f aca="false">IF(T635="","",IFERROR(VLOOKUP(T635,REPS!$A$2:$D$40,2,0),""))</f>
        <v/>
      </c>
      <c r="V635" s="31" t="str">
        <f aca="false">IF(O635="","",IF(U635="",0,O635*IF(U635&gt;1,U635/100,U635)))</f>
        <v/>
      </c>
      <c r="W635" s="28"/>
      <c r="X635" s="34" t="str">
        <f aca="false">IF(W635="","",IFERROR(VLOOKUP(W635,REPS!$A$2:$D$40,3,0),""))</f>
        <v/>
      </c>
      <c r="Y635" s="31" t="str">
        <f aca="false">IF(O635="","",IF(X635="",0,O635*IF(X635&gt;1,X635/100,X635)))</f>
        <v/>
      </c>
      <c r="Z635" s="28"/>
      <c r="AA635" s="34" t="str">
        <f aca="false">IF(Z635="","",IFERROR(VLOOKUP(Z635,REPS!$A$2:$D$40,4,0),""))</f>
        <v/>
      </c>
      <c r="AB635" s="31" t="str">
        <f aca="false">IF(O635="","",IF(AA635="",0,O635*IF(AA635&gt;1,AA635/100,AA635)))</f>
        <v/>
      </c>
      <c r="AC635" s="31" t="str">
        <f aca="false">IF(O635="","",V635+Y635+AB635)</f>
        <v/>
      </c>
      <c r="AD635" s="19" t="str">
        <f aca="false">IF(O635="","",O635-R635-AC635)</f>
        <v/>
      </c>
      <c r="AE635" s="20"/>
      <c r="AF635" s="27"/>
      <c r="AG635" s="21" t="n">
        <f aca="false">IF(OR(AE635="",AE635=0),0,AE635*IF(U635="",0,IF(U635&gt;1,U635/100,U635)))</f>
        <v>0</v>
      </c>
      <c r="AH635" s="21" t="n">
        <f aca="false">IF(OR(AE635="",AE635=0),0,AE635*IF(X635="",0,IF(X635&gt;1,X635/100,X635)))</f>
        <v>0</v>
      </c>
      <c r="AI635" s="21" t="n">
        <f aca="false">IF(OR(AE635="",AE635=0),0,AE635*IF(AA635="",0,IF(AA635&gt;1,AA635/100,AA635)))</f>
        <v>0</v>
      </c>
      <c r="AJ635" s="21" t="n">
        <f aca="false">AG635+AH635+AI635</f>
        <v>0</v>
      </c>
      <c r="AK635" s="21" t="n">
        <f aca="false">IF(OR(AE635="",AE635=0),0,AE635-AJ635)</f>
        <v>0</v>
      </c>
      <c r="AL635" s="19" t="str">
        <f aca="false">IF(AD635="","",AD635-AK635)</f>
        <v/>
      </c>
      <c r="AM635" s="26" t="str">
        <f aca="false">IF(C635="","","Waiting for payment")</f>
        <v/>
      </c>
      <c r="AN635" s="27"/>
      <c r="AO635" s="27"/>
      <c r="AP635" s="35" t="str">
        <f aca="false">IF(OR(C635="",I635="",K635=""),"",IF(K635="Monthly",EDATE(C635,ROUND(I635*SETTINGS!$I$8,0)),WORKDAY(C635,ROUND(I635*SETTINGS!$I$8,0))))</f>
        <v/>
      </c>
      <c r="AQ635" s="26" t="str">
        <f aca="true">IF(C635="","",IF(AND(AP635&lt;&gt;"",TODAY()&gt;=AP635),"Refi Ready",IF(TODAY()-C635&gt;=SETTINGS!$I$11,"Prospecting","Performing")))</f>
        <v/>
      </c>
      <c r="AR635" s="35" t="str">
        <f aca="false">IF(OR(C635="",I635="",K635=""),"",IF(K635="Monthly",EDATE(C635,I635),WORKDAY(C635,I635)))</f>
        <v/>
      </c>
      <c r="AS635" s="28"/>
      <c r="AT635" s="36" t="str">
        <f aca="true">IF(C635="","",IF(AM635="Clawed Back","CLAWED",IF(TODAY()&lt;=C635+SETTINGS!$I$2,"⚠ AT RISK","SAFE")))</f>
        <v/>
      </c>
      <c r="AU635" s="28"/>
      <c r="AW635" s="24" t="n">
        <f aca="false">AW634+IF(AND(C635&lt;&gt;"",AO635&lt;&gt;"",OR('REP COMMISSION'!$B$3="",T635='REP COMMISSION'!$B$3,W635='REP COMMISSION'!$B$3,Z635='REP COMMISSION'!$B$3)),1,0)</f>
        <v>0</v>
      </c>
      <c r="AX635" s="24" t="n">
        <f aca="false">AX634+IF(AND(C635&lt;&gt;"",OR(F635="LOC - INITIAL",F635="CONSOLIDATION - UPFRONT COMM",F635="REVERSE - TOTAL FUNDING")),1,0)</f>
        <v>0</v>
      </c>
    </row>
    <row r="636" customFormat="false" ht="15" hidden="false" customHeight="false" outlineLevel="0" collapsed="false">
      <c r="A636" s="8" t="str">
        <f aca="false">IF(C636&lt;&gt;"","F"&amp;COUNT($C$4:C636),"")</f>
        <v/>
      </c>
      <c r="B636" s="9" t="str">
        <f aca="false">IF(OR(F636="LOC - INITIAL",F636="CONSOLIDATION - UPFRONT COMM",F636="REVERSE - TOTAL FUNDING"),A636,"")</f>
        <v/>
      </c>
      <c r="C636" s="10"/>
      <c r="D636" s="11"/>
      <c r="E636" s="11"/>
      <c r="F636" s="11"/>
      <c r="G636" s="12"/>
      <c r="H636" s="13"/>
      <c r="I636" s="11"/>
      <c r="J636" s="14" t="str">
        <f aca="false">IF(AND(G636&lt;&gt;"",H636&lt;&gt;""),G636*H636,"")</f>
        <v/>
      </c>
      <c r="K636" s="11"/>
      <c r="L636" s="15"/>
      <c r="M636" s="15"/>
      <c r="N636" s="14" t="n">
        <f aca="false">IF(OR(G636="",M636=""),0,IF(M636&gt;100,M636,G636*IF(M636&gt;1,M636/100,M636)))</f>
        <v>0</v>
      </c>
      <c r="O636" s="14" t="str">
        <f aca="false">IF(G636="","",G636*IF(L636="",0,IF(L636&gt;1,L636/100,L636))+N636)</f>
        <v/>
      </c>
      <c r="P636" s="11"/>
      <c r="Q636" s="16" t="str">
        <f aca="false">IF(P636="","",IFERROR(VLOOKUP(P636,PARTNERS!$A$2:$B$30,2,0),""))</f>
        <v/>
      </c>
      <c r="R636" s="17" t="str">
        <f aca="false">IF(O636="","",IF(OR(P636="",Q636=""),0,(O636-N636)*IF(Q636&gt;1,Q636/100,Q636)))</f>
        <v/>
      </c>
      <c r="S636" s="14" t="str">
        <f aca="false">IF(O636="","",O636-R636)</f>
        <v/>
      </c>
      <c r="T636" s="11"/>
      <c r="U636" s="18" t="str">
        <f aca="false">IF(T636="","",IFERROR(VLOOKUP(T636,REPS!$A$2:$D$40,2,0),""))</f>
        <v/>
      </c>
      <c r="V636" s="14" t="str">
        <f aca="false">IF(O636="","",IF(U636="",0,O636*IF(U636&gt;1,U636/100,U636)))</f>
        <v/>
      </c>
      <c r="W636" s="11"/>
      <c r="X636" s="18" t="str">
        <f aca="false">IF(W636="","",IFERROR(VLOOKUP(W636,REPS!$A$2:$D$40,3,0),""))</f>
        <v/>
      </c>
      <c r="Y636" s="14" t="str">
        <f aca="false">IF(O636="","",IF(X636="",0,O636*IF(X636&gt;1,X636/100,X636)))</f>
        <v/>
      </c>
      <c r="Z636" s="11"/>
      <c r="AA636" s="18" t="str">
        <f aca="false">IF(Z636="","",IFERROR(VLOOKUP(Z636,REPS!$A$2:$D$40,4,0),""))</f>
        <v/>
      </c>
      <c r="AB636" s="14" t="str">
        <f aca="false">IF(O636="","",IF(AA636="",0,O636*IF(AA636&gt;1,AA636/100,AA636)))</f>
        <v/>
      </c>
      <c r="AC636" s="14" t="str">
        <f aca="false">IF(O636="","",V636+Y636+AB636)</f>
        <v/>
      </c>
      <c r="AD636" s="19" t="str">
        <f aca="false">IF(O636="","",O636-R636-AC636)</f>
        <v/>
      </c>
      <c r="AE636" s="20"/>
      <c r="AF636" s="10"/>
      <c r="AG636" s="21" t="n">
        <f aca="false">IF(OR(AE636="",AE636=0),0,AE636*IF(U636="",0,IF(U636&gt;1,U636/100,U636)))</f>
        <v>0</v>
      </c>
      <c r="AH636" s="21" t="n">
        <f aca="false">IF(OR(AE636="",AE636=0),0,AE636*IF(X636="",0,IF(X636&gt;1,X636/100,X636)))</f>
        <v>0</v>
      </c>
      <c r="AI636" s="21" t="n">
        <f aca="false">IF(OR(AE636="",AE636=0),0,AE636*IF(AA636="",0,IF(AA636&gt;1,AA636/100,AA636)))</f>
        <v>0</v>
      </c>
      <c r="AJ636" s="21" t="n">
        <f aca="false">AG636+AH636+AI636</f>
        <v>0</v>
      </c>
      <c r="AK636" s="21" t="n">
        <f aca="false">IF(OR(AE636="",AE636=0),0,AE636-AJ636)</f>
        <v>0</v>
      </c>
      <c r="AL636" s="19" t="str">
        <f aca="false">IF(AD636="","",AD636-AK636)</f>
        <v/>
      </c>
      <c r="AM636" s="9" t="str">
        <f aca="false">IF(C636="","","Waiting for payment")</f>
        <v/>
      </c>
      <c r="AN636" s="10"/>
      <c r="AO636" s="10"/>
      <c r="AP636" s="22" t="str">
        <f aca="false">IF(OR(C636="",I636="",K636=""),"",IF(K636="Monthly",EDATE(C636,ROUND(I636*SETTINGS!$I$8,0)),WORKDAY(C636,ROUND(I636*SETTINGS!$I$8,0))))</f>
        <v/>
      </c>
      <c r="AQ636" s="9" t="str">
        <f aca="true">IF(C636="","",IF(AND(AP636&lt;&gt;"",TODAY()&gt;=AP636),"Refi Ready",IF(TODAY()-C636&gt;=SETTINGS!$I$11,"Prospecting","Performing")))</f>
        <v/>
      </c>
      <c r="AR636" s="22" t="str">
        <f aca="false">IF(OR(C636="",I636="",K636=""),"",IF(K636="Monthly",EDATE(C636,I636),WORKDAY(C636,I636)))</f>
        <v/>
      </c>
      <c r="AS636" s="11"/>
      <c r="AT636" s="23" t="str">
        <f aca="true">IF(C636="","",IF(AM636="Clawed Back","CLAWED",IF(TODAY()&lt;=C636+SETTINGS!$I$2,"⚠ AT RISK","SAFE")))</f>
        <v/>
      </c>
      <c r="AU636" s="11"/>
      <c r="AW636" s="24" t="n">
        <f aca="false">AW635+IF(AND(C636&lt;&gt;"",AO636&lt;&gt;"",OR('REP COMMISSION'!$B$3="",T636='REP COMMISSION'!$B$3,W636='REP COMMISSION'!$B$3,Z636='REP COMMISSION'!$B$3)),1,0)</f>
        <v>0</v>
      </c>
      <c r="AX636" s="24" t="n">
        <f aca="false">AX635+IF(AND(C636&lt;&gt;"",OR(F636="LOC - INITIAL",F636="CONSOLIDATION - UPFRONT COMM",F636="REVERSE - TOTAL FUNDING")),1,0)</f>
        <v>0</v>
      </c>
    </row>
    <row r="637" customFormat="false" ht="15" hidden="false" customHeight="false" outlineLevel="0" collapsed="false">
      <c r="A637" s="25" t="str">
        <f aca="false">IF(C637&lt;&gt;"","F"&amp;COUNT($C$4:C637),"")</f>
        <v/>
      </c>
      <c r="B637" s="26" t="str">
        <f aca="false">IF(OR(F637="LOC - INITIAL",F637="CONSOLIDATION - UPFRONT COMM",F637="REVERSE - TOTAL FUNDING"),A637,"")</f>
        <v/>
      </c>
      <c r="C637" s="27"/>
      <c r="D637" s="28"/>
      <c r="E637" s="28"/>
      <c r="F637" s="28"/>
      <c r="G637" s="29"/>
      <c r="H637" s="30"/>
      <c r="I637" s="28"/>
      <c r="J637" s="31" t="str">
        <f aca="false">IF(AND(G637&lt;&gt;"",H637&lt;&gt;""),G637*H637,"")</f>
        <v/>
      </c>
      <c r="K637" s="28"/>
      <c r="L637" s="32"/>
      <c r="M637" s="32"/>
      <c r="N637" s="31" t="n">
        <f aca="false">IF(OR(G637="",M637=""),0,IF(M637&gt;100,M637,G637*IF(M637&gt;1,M637/100,M637)))</f>
        <v>0</v>
      </c>
      <c r="O637" s="31" t="str">
        <f aca="false">IF(G637="","",G637*IF(L637="",0,IF(L637&gt;1,L637/100,L637))+N637)</f>
        <v/>
      </c>
      <c r="P637" s="28"/>
      <c r="Q637" s="33" t="str">
        <f aca="false">IF(P637="","",IFERROR(VLOOKUP(P637,PARTNERS!$A$2:$B$30,2,0),""))</f>
        <v/>
      </c>
      <c r="R637" s="17" t="str">
        <f aca="false">IF(O637="","",IF(OR(P637="",Q637=""),0,(O637-N637)*IF(Q637&gt;1,Q637/100,Q637)))</f>
        <v/>
      </c>
      <c r="S637" s="31" t="str">
        <f aca="false">IF(O637="","",O637-R637)</f>
        <v/>
      </c>
      <c r="T637" s="28"/>
      <c r="U637" s="34" t="str">
        <f aca="false">IF(T637="","",IFERROR(VLOOKUP(T637,REPS!$A$2:$D$40,2,0),""))</f>
        <v/>
      </c>
      <c r="V637" s="31" t="str">
        <f aca="false">IF(O637="","",IF(U637="",0,O637*IF(U637&gt;1,U637/100,U637)))</f>
        <v/>
      </c>
      <c r="W637" s="28"/>
      <c r="X637" s="34" t="str">
        <f aca="false">IF(W637="","",IFERROR(VLOOKUP(W637,REPS!$A$2:$D$40,3,0),""))</f>
        <v/>
      </c>
      <c r="Y637" s="31" t="str">
        <f aca="false">IF(O637="","",IF(X637="",0,O637*IF(X637&gt;1,X637/100,X637)))</f>
        <v/>
      </c>
      <c r="Z637" s="28"/>
      <c r="AA637" s="34" t="str">
        <f aca="false">IF(Z637="","",IFERROR(VLOOKUP(Z637,REPS!$A$2:$D$40,4,0),""))</f>
        <v/>
      </c>
      <c r="AB637" s="31" t="str">
        <f aca="false">IF(O637="","",IF(AA637="",0,O637*IF(AA637&gt;1,AA637/100,AA637)))</f>
        <v/>
      </c>
      <c r="AC637" s="31" t="str">
        <f aca="false">IF(O637="","",V637+Y637+AB637)</f>
        <v/>
      </c>
      <c r="AD637" s="19" t="str">
        <f aca="false">IF(O637="","",O637-R637-AC637)</f>
        <v/>
      </c>
      <c r="AE637" s="20"/>
      <c r="AF637" s="27"/>
      <c r="AG637" s="21" t="n">
        <f aca="false">IF(OR(AE637="",AE637=0),0,AE637*IF(U637="",0,IF(U637&gt;1,U637/100,U637)))</f>
        <v>0</v>
      </c>
      <c r="AH637" s="21" t="n">
        <f aca="false">IF(OR(AE637="",AE637=0),0,AE637*IF(X637="",0,IF(X637&gt;1,X637/100,X637)))</f>
        <v>0</v>
      </c>
      <c r="AI637" s="21" t="n">
        <f aca="false">IF(OR(AE637="",AE637=0),0,AE637*IF(AA637="",0,IF(AA637&gt;1,AA637/100,AA637)))</f>
        <v>0</v>
      </c>
      <c r="AJ637" s="21" t="n">
        <f aca="false">AG637+AH637+AI637</f>
        <v>0</v>
      </c>
      <c r="AK637" s="21" t="n">
        <f aca="false">IF(OR(AE637="",AE637=0),0,AE637-AJ637)</f>
        <v>0</v>
      </c>
      <c r="AL637" s="19" t="str">
        <f aca="false">IF(AD637="","",AD637-AK637)</f>
        <v/>
      </c>
      <c r="AM637" s="26" t="str">
        <f aca="false">IF(C637="","","Waiting for payment")</f>
        <v/>
      </c>
      <c r="AN637" s="27"/>
      <c r="AO637" s="27"/>
      <c r="AP637" s="35" t="str">
        <f aca="false">IF(OR(C637="",I637="",K637=""),"",IF(K637="Monthly",EDATE(C637,ROUND(I637*SETTINGS!$I$8,0)),WORKDAY(C637,ROUND(I637*SETTINGS!$I$8,0))))</f>
        <v/>
      </c>
      <c r="AQ637" s="26" t="str">
        <f aca="true">IF(C637="","",IF(AND(AP637&lt;&gt;"",TODAY()&gt;=AP637),"Refi Ready",IF(TODAY()-C637&gt;=SETTINGS!$I$11,"Prospecting","Performing")))</f>
        <v/>
      </c>
      <c r="AR637" s="35" t="str">
        <f aca="false">IF(OR(C637="",I637="",K637=""),"",IF(K637="Monthly",EDATE(C637,I637),WORKDAY(C637,I637)))</f>
        <v/>
      </c>
      <c r="AS637" s="28"/>
      <c r="AT637" s="36" t="str">
        <f aca="true">IF(C637="","",IF(AM637="Clawed Back","CLAWED",IF(TODAY()&lt;=C637+SETTINGS!$I$2,"⚠ AT RISK","SAFE")))</f>
        <v/>
      </c>
      <c r="AU637" s="28"/>
      <c r="AW637" s="24" t="n">
        <f aca="false">AW636+IF(AND(C637&lt;&gt;"",AO637&lt;&gt;"",OR('REP COMMISSION'!$B$3="",T637='REP COMMISSION'!$B$3,W637='REP COMMISSION'!$B$3,Z637='REP COMMISSION'!$B$3)),1,0)</f>
        <v>0</v>
      </c>
      <c r="AX637" s="24" t="n">
        <f aca="false">AX636+IF(AND(C637&lt;&gt;"",OR(F637="LOC - INITIAL",F637="CONSOLIDATION - UPFRONT COMM",F637="REVERSE - TOTAL FUNDING")),1,0)</f>
        <v>0</v>
      </c>
    </row>
    <row r="638" customFormat="false" ht="15" hidden="false" customHeight="false" outlineLevel="0" collapsed="false">
      <c r="A638" s="8" t="str">
        <f aca="false">IF(C638&lt;&gt;"","F"&amp;COUNT($C$4:C638),"")</f>
        <v/>
      </c>
      <c r="B638" s="9" t="str">
        <f aca="false">IF(OR(F638="LOC - INITIAL",F638="CONSOLIDATION - UPFRONT COMM",F638="REVERSE - TOTAL FUNDING"),A638,"")</f>
        <v/>
      </c>
      <c r="C638" s="10"/>
      <c r="D638" s="11"/>
      <c r="E638" s="11"/>
      <c r="F638" s="11"/>
      <c r="G638" s="12"/>
      <c r="H638" s="13"/>
      <c r="I638" s="11"/>
      <c r="J638" s="14" t="str">
        <f aca="false">IF(AND(G638&lt;&gt;"",H638&lt;&gt;""),G638*H638,"")</f>
        <v/>
      </c>
      <c r="K638" s="11"/>
      <c r="L638" s="15"/>
      <c r="M638" s="15"/>
      <c r="N638" s="14" t="n">
        <f aca="false">IF(OR(G638="",M638=""),0,IF(M638&gt;100,M638,G638*IF(M638&gt;1,M638/100,M638)))</f>
        <v>0</v>
      </c>
      <c r="O638" s="14" t="str">
        <f aca="false">IF(G638="","",G638*IF(L638="",0,IF(L638&gt;1,L638/100,L638))+N638)</f>
        <v/>
      </c>
      <c r="P638" s="11"/>
      <c r="Q638" s="16" t="str">
        <f aca="false">IF(P638="","",IFERROR(VLOOKUP(P638,PARTNERS!$A$2:$B$30,2,0),""))</f>
        <v/>
      </c>
      <c r="R638" s="17" t="str">
        <f aca="false">IF(O638="","",IF(OR(P638="",Q638=""),0,(O638-N638)*IF(Q638&gt;1,Q638/100,Q638)))</f>
        <v/>
      </c>
      <c r="S638" s="14" t="str">
        <f aca="false">IF(O638="","",O638-R638)</f>
        <v/>
      </c>
      <c r="T638" s="11"/>
      <c r="U638" s="18" t="str">
        <f aca="false">IF(T638="","",IFERROR(VLOOKUP(T638,REPS!$A$2:$D$40,2,0),""))</f>
        <v/>
      </c>
      <c r="V638" s="14" t="str">
        <f aca="false">IF(O638="","",IF(U638="",0,O638*IF(U638&gt;1,U638/100,U638)))</f>
        <v/>
      </c>
      <c r="W638" s="11"/>
      <c r="X638" s="18" t="str">
        <f aca="false">IF(W638="","",IFERROR(VLOOKUP(W638,REPS!$A$2:$D$40,3,0),""))</f>
        <v/>
      </c>
      <c r="Y638" s="14" t="str">
        <f aca="false">IF(O638="","",IF(X638="",0,O638*IF(X638&gt;1,X638/100,X638)))</f>
        <v/>
      </c>
      <c r="Z638" s="11"/>
      <c r="AA638" s="18" t="str">
        <f aca="false">IF(Z638="","",IFERROR(VLOOKUP(Z638,REPS!$A$2:$D$40,4,0),""))</f>
        <v/>
      </c>
      <c r="AB638" s="14" t="str">
        <f aca="false">IF(O638="","",IF(AA638="",0,O638*IF(AA638&gt;1,AA638/100,AA638)))</f>
        <v/>
      </c>
      <c r="AC638" s="14" t="str">
        <f aca="false">IF(O638="","",V638+Y638+AB638)</f>
        <v/>
      </c>
      <c r="AD638" s="19" t="str">
        <f aca="false">IF(O638="","",O638-R638-AC638)</f>
        <v/>
      </c>
      <c r="AE638" s="20"/>
      <c r="AF638" s="10"/>
      <c r="AG638" s="21" t="n">
        <f aca="false">IF(OR(AE638="",AE638=0),0,AE638*IF(U638="",0,IF(U638&gt;1,U638/100,U638)))</f>
        <v>0</v>
      </c>
      <c r="AH638" s="21" t="n">
        <f aca="false">IF(OR(AE638="",AE638=0),0,AE638*IF(X638="",0,IF(X638&gt;1,X638/100,X638)))</f>
        <v>0</v>
      </c>
      <c r="AI638" s="21" t="n">
        <f aca="false">IF(OR(AE638="",AE638=0),0,AE638*IF(AA638="",0,IF(AA638&gt;1,AA638/100,AA638)))</f>
        <v>0</v>
      </c>
      <c r="AJ638" s="21" t="n">
        <f aca="false">AG638+AH638+AI638</f>
        <v>0</v>
      </c>
      <c r="AK638" s="21" t="n">
        <f aca="false">IF(OR(AE638="",AE638=0),0,AE638-AJ638)</f>
        <v>0</v>
      </c>
      <c r="AL638" s="19" t="str">
        <f aca="false">IF(AD638="","",AD638-AK638)</f>
        <v/>
      </c>
      <c r="AM638" s="9" t="str">
        <f aca="false">IF(C638="","","Waiting for payment")</f>
        <v/>
      </c>
      <c r="AN638" s="10"/>
      <c r="AO638" s="10"/>
      <c r="AP638" s="22" t="str">
        <f aca="false">IF(OR(C638="",I638="",K638=""),"",IF(K638="Monthly",EDATE(C638,ROUND(I638*SETTINGS!$I$8,0)),WORKDAY(C638,ROUND(I638*SETTINGS!$I$8,0))))</f>
        <v/>
      </c>
      <c r="AQ638" s="9" t="str">
        <f aca="true">IF(C638="","",IF(AND(AP638&lt;&gt;"",TODAY()&gt;=AP638),"Refi Ready",IF(TODAY()-C638&gt;=SETTINGS!$I$11,"Prospecting","Performing")))</f>
        <v/>
      </c>
      <c r="AR638" s="22" t="str">
        <f aca="false">IF(OR(C638="",I638="",K638=""),"",IF(K638="Monthly",EDATE(C638,I638),WORKDAY(C638,I638)))</f>
        <v/>
      </c>
      <c r="AS638" s="11"/>
      <c r="AT638" s="23" t="str">
        <f aca="true">IF(C638="","",IF(AM638="Clawed Back","CLAWED",IF(TODAY()&lt;=C638+SETTINGS!$I$2,"⚠ AT RISK","SAFE")))</f>
        <v/>
      </c>
      <c r="AU638" s="11"/>
      <c r="AW638" s="24" t="n">
        <f aca="false">AW637+IF(AND(C638&lt;&gt;"",AO638&lt;&gt;"",OR('REP COMMISSION'!$B$3="",T638='REP COMMISSION'!$B$3,W638='REP COMMISSION'!$B$3,Z638='REP COMMISSION'!$B$3)),1,0)</f>
        <v>0</v>
      </c>
      <c r="AX638" s="24" t="n">
        <f aca="false">AX637+IF(AND(C638&lt;&gt;"",OR(F638="LOC - INITIAL",F638="CONSOLIDATION - UPFRONT COMM",F638="REVERSE - TOTAL FUNDING")),1,0)</f>
        <v>0</v>
      </c>
    </row>
    <row r="639" customFormat="false" ht="15" hidden="false" customHeight="false" outlineLevel="0" collapsed="false">
      <c r="A639" s="25" t="str">
        <f aca="false">IF(C639&lt;&gt;"","F"&amp;COUNT($C$4:C639),"")</f>
        <v/>
      </c>
      <c r="B639" s="26" t="str">
        <f aca="false">IF(OR(F639="LOC - INITIAL",F639="CONSOLIDATION - UPFRONT COMM",F639="REVERSE - TOTAL FUNDING"),A639,"")</f>
        <v/>
      </c>
      <c r="C639" s="27"/>
      <c r="D639" s="28"/>
      <c r="E639" s="28"/>
      <c r="F639" s="28"/>
      <c r="G639" s="29"/>
      <c r="H639" s="30"/>
      <c r="I639" s="28"/>
      <c r="J639" s="31" t="str">
        <f aca="false">IF(AND(G639&lt;&gt;"",H639&lt;&gt;""),G639*H639,"")</f>
        <v/>
      </c>
      <c r="K639" s="28"/>
      <c r="L639" s="32"/>
      <c r="M639" s="32"/>
      <c r="N639" s="31" t="n">
        <f aca="false">IF(OR(G639="",M639=""),0,IF(M639&gt;100,M639,G639*IF(M639&gt;1,M639/100,M639)))</f>
        <v>0</v>
      </c>
      <c r="O639" s="31" t="str">
        <f aca="false">IF(G639="","",G639*IF(L639="",0,IF(L639&gt;1,L639/100,L639))+N639)</f>
        <v/>
      </c>
      <c r="P639" s="28"/>
      <c r="Q639" s="33" t="str">
        <f aca="false">IF(P639="","",IFERROR(VLOOKUP(P639,PARTNERS!$A$2:$B$30,2,0),""))</f>
        <v/>
      </c>
      <c r="R639" s="17" t="str">
        <f aca="false">IF(O639="","",IF(OR(P639="",Q639=""),0,(O639-N639)*IF(Q639&gt;1,Q639/100,Q639)))</f>
        <v/>
      </c>
      <c r="S639" s="31" t="str">
        <f aca="false">IF(O639="","",O639-R639)</f>
        <v/>
      </c>
      <c r="T639" s="28"/>
      <c r="U639" s="34" t="str">
        <f aca="false">IF(T639="","",IFERROR(VLOOKUP(T639,REPS!$A$2:$D$40,2,0),""))</f>
        <v/>
      </c>
      <c r="V639" s="31" t="str">
        <f aca="false">IF(O639="","",IF(U639="",0,O639*IF(U639&gt;1,U639/100,U639)))</f>
        <v/>
      </c>
      <c r="W639" s="28"/>
      <c r="X639" s="34" t="str">
        <f aca="false">IF(W639="","",IFERROR(VLOOKUP(W639,REPS!$A$2:$D$40,3,0),""))</f>
        <v/>
      </c>
      <c r="Y639" s="31" t="str">
        <f aca="false">IF(O639="","",IF(X639="",0,O639*IF(X639&gt;1,X639/100,X639)))</f>
        <v/>
      </c>
      <c r="Z639" s="28"/>
      <c r="AA639" s="34" t="str">
        <f aca="false">IF(Z639="","",IFERROR(VLOOKUP(Z639,REPS!$A$2:$D$40,4,0),""))</f>
        <v/>
      </c>
      <c r="AB639" s="31" t="str">
        <f aca="false">IF(O639="","",IF(AA639="",0,O639*IF(AA639&gt;1,AA639/100,AA639)))</f>
        <v/>
      </c>
      <c r="AC639" s="31" t="str">
        <f aca="false">IF(O639="","",V639+Y639+AB639)</f>
        <v/>
      </c>
      <c r="AD639" s="19" t="str">
        <f aca="false">IF(O639="","",O639-R639-AC639)</f>
        <v/>
      </c>
      <c r="AE639" s="20"/>
      <c r="AF639" s="27"/>
      <c r="AG639" s="21" t="n">
        <f aca="false">IF(OR(AE639="",AE639=0),0,AE639*IF(U639="",0,IF(U639&gt;1,U639/100,U639)))</f>
        <v>0</v>
      </c>
      <c r="AH639" s="21" t="n">
        <f aca="false">IF(OR(AE639="",AE639=0),0,AE639*IF(X639="",0,IF(X639&gt;1,X639/100,X639)))</f>
        <v>0</v>
      </c>
      <c r="AI639" s="21" t="n">
        <f aca="false">IF(OR(AE639="",AE639=0),0,AE639*IF(AA639="",0,IF(AA639&gt;1,AA639/100,AA639)))</f>
        <v>0</v>
      </c>
      <c r="AJ639" s="21" t="n">
        <f aca="false">AG639+AH639+AI639</f>
        <v>0</v>
      </c>
      <c r="AK639" s="21" t="n">
        <f aca="false">IF(OR(AE639="",AE639=0),0,AE639-AJ639)</f>
        <v>0</v>
      </c>
      <c r="AL639" s="19" t="str">
        <f aca="false">IF(AD639="","",AD639-AK639)</f>
        <v/>
      </c>
      <c r="AM639" s="26" t="str">
        <f aca="false">IF(C639="","","Waiting for payment")</f>
        <v/>
      </c>
      <c r="AN639" s="27"/>
      <c r="AO639" s="27"/>
      <c r="AP639" s="35" t="str">
        <f aca="false">IF(OR(C639="",I639="",K639=""),"",IF(K639="Monthly",EDATE(C639,ROUND(I639*SETTINGS!$I$8,0)),WORKDAY(C639,ROUND(I639*SETTINGS!$I$8,0))))</f>
        <v/>
      </c>
      <c r="AQ639" s="26" t="str">
        <f aca="true">IF(C639="","",IF(AND(AP639&lt;&gt;"",TODAY()&gt;=AP639),"Refi Ready",IF(TODAY()-C639&gt;=SETTINGS!$I$11,"Prospecting","Performing")))</f>
        <v/>
      </c>
      <c r="AR639" s="35" t="str">
        <f aca="false">IF(OR(C639="",I639="",K639=""),"",IF(K639="Monthly",EDATE(C639,I639),WORKDAY(C639,I639)))</f>
        <v/>
      </c>
      <c r="AS639" s="28"/>
      <c r="AT639" s="36" t="str">
        <f aca="true">IF(C639="","",IF(AM639="Clawed Back","CLAWED",IF(TODAY()&lt;=C639+SETTINGS!$I$2,"⚠ AT RISK","SAFE")))</f>
        <v/>
      </c>
      <c r="AU639" s="28"/>
      <c r="AW639" s="24" t="n">
        <f aca="false">AW638+IF(AND(C639&lt;&gt;"",AO639&lt;&gt;"",OR('REP COMMISSION'!$B$3="",T639='REP COMMISSION'!$B$3,W639='REP COMMISSION'!$B$3,Z639='REP COMMISSION'!$B$3)),1,0)</f>
        <v>0</v>
      </c>
      <c r="AX639" s="24" t="n">
        <f aca="false">AX638+IF(AND(C639&lt;&gt;"",OR(F639="LOC - INITIAL",F639="CONSOLIDATION - UPFRONT COMM",F639="REVERSE - TOTAL FUNDING")),1,0)</f>
        <v>0</v>
      </c>
    </row>
    <row r="640" customFormat="false" ht="15" hidden="false" customHeight="false" outlineLevel="0" collapsed="false">
      <c r="A640" s="8" t="str">
        <f aca="false">IF(C640&lt;&gt;"","F"&amp;COUNT($C$4:C640),"")</f>
        <v/>
      </c>
      <c r="B640" s="9" t="str">
        <f aca="false">IF(OR(F640="LOC - INITIAL",F640="CONSOLIDATION - UPFRONT COMM",F640="REVERSE - TOTAL FUNDING"),A640,"")</f>
        <v/>
      </c>
      <c r="C640" s="10"/>
      <c r="D640" s="11"/>
      <c r="E640" s="11"/>
      <c r="F640" s="11"/>
      <c r="G640" s="12"/>
      <c r="H640" s="13"/>
      <c r="I640" s="11"/>
      <c r="J640" s="14" t="str">
        <f aca="false">IF(AND(G640&lt;&gt;"",H640&lt;&gt;""),G640*H640,"")</f>
        <v/>
      </c>
      <c r="K640" s="11"/>
      <c r="L640" s="15"/>
      <c r="M640" s="15"/>
      <c r="N640" s="14" t="n">
        <f aca="false">IF(OR(G640="",M640=""),0,IF(M640&gt;100,M640,G640*IF(M640&gt;1,M640/100,M640)))</f>
        <v>0</v>
      </c>
      <c r="O640" s="14" t="str">
        <f aca="false">IF(G640="","",G640*IF(L640="",0,IF(L640&gt;1,L640/100,L640))+N640)</f>
        <v/>
      </c>
      <c r="P640" s="11"/>
      <c r="Q640" s="16" t="str">
        <f aca="false">IF(P640="","",IFERROR(VLOOKUP(P640,PARTNERS!$A$2:$B$30,2,0),""))</f>
        <v/>
      </c>
      <c r="R640" s="17" t="str">
        <f aca="false">IF(O640="","",IF(OR(P640="",Q640=""),0,(O640-N640)*IF(Q640&gt;1,Q640/100,Q640)))</f>
        <v/>
      </c>
      <c r="S640" s="14" t="str">
        <f aca="false">IF(O640="","",O640-R640)</f>
        <v/>
      </c>
      <c r="T640" s="11"/>
      <c r="U640" s="18" t="str">
        <f aca="false">IF(T640="","",IFERROR(VLOOKUP(T640,REPS!$A$2:$D$40,2,0),""))</f>
        <v/>
      </c>
      <c r="V640" s="14" t="str">
        <f aca="false">IF(O640="","",IF(U640="",0,O640*IF(U640&gt;1,U640/100,U640)))</f>
        <v/>
      </c>
      <c r="W640" s="11"/>
      <c r="X640" s="18" t="str">
        <f aca="false">IF(W640="","",IFERROR(VLOOKUP(W640,REPS!$A$2:$D$40,3,0),""))</f>
        <v/>
      </c>
      <c r="Y640" s="14" t="str">
        <f aca="false">IF(O640="","",IF(X640="",0,O640*IF(X640&gt;1,X640/100,X640)))</f>
        <v/>
      </c>
      <c r="Z640" s="11"/>
      <c r="AA640" s="18" t="str">
        <f aca="false">IF(Z640="","",IFERROR(VLOOKUP(Z640,REPS!$A$2:$D$40,4,0),""))</f>
        <v/>
      </c>
      <c r="AB640" s="14" t="str">
        <f aca="false">IF(O640="","",IF(AA640="",0,O640*IF(AA640&gt;1,AA640/100,AA640)))</f>
        <v/>
      </c>
      <c r="AC640" s="14" t="str">
        <f aca="false">IF(O640="","",V640+Y640+AB640)</f>
        <v/>
      </c>
      <c r="AD640" s="19" t="str">
        <f aca="false">IF(O640="","",O640-R640-AC640)</f>
        <v/>
      </c>
      <c r="AE640" s="20"/>
      <c r="AF640" s="10"/>
      <c r="AG640" s="21" t="n">
        <f aca="false">IF(OR(AE640="",AE640=0),0,AE640*IF(U640="",0,IF(U640&gt;1,U640/100,U640)))</f>
        <v>0</v>
      </c>
      <c r="AH640" s="21" t="n">
        <f aca="false">IF(OR(AE640="",AE640=0),0,AE640*IF(X640="",0,IF(X640&gt;1,X640/100,X640)))</f>
        <v>0</v>
      </c>
      <c r="AI640" s="21" t="n">
        <f aca="false">IF(OR(AE640="",AE640=0),0,AE640*IF(AA640="",0,IF(AA640&gt;1,AA640/100,AA640)))</f>
        <v>0</v>
      </c>
      <c r="AJ640" s="21" t="n">
        <f aca="false">AG640+AH640+AI640</f>
        <v>0</v>
      </c>
      <c r="AK640" s="21" t="n">
        <f aca="false">IF(OR(AE640="",AE640=0),0,AE640-AJ640)</f>
        <v>0</v>
      </c>
      <c r="AL640" s="19" t="str">
        <f aca="false">IF(AD640="","",AD640-AK640)</f>
        <v/>
      </c>
      <c r="AM640" s="9" t="str">
        <f aca="false">IF(C640="","","Waiting for payment")</f>
        <v/>
      </c>
      <c r="AN640" s="10"/>
      <c r="AO640" s="10"/>
      <c r="AP640" s="22" t="str">
        <f aca="false">IF(OR(C640="",I640="",K640=""),"",IF(K640="Monthly",EDATE(C640,ROUND(I640*SETTINGS!$I$8,0)),WORKDAY(C640,ROUND(I640*SETTINGS!$I$8,0))))</f>
        <v/>
      </c>
      <c r="AQ640" s="9" t="str">
        <f aca="true">IF(C640="","",IF(AND(AP640&lt;&gt;"",TODAY()&gt;=AP640),"Refi Ready",IF(TODAY()-C640&gt;=SETTINGS!$I$11,"Prospecting","Performing")))</f>
        <v/>
      </c>
      <c r="AR640" s="22" t="str">
        <f aca="false">IF(OR(C640="",I640="",K640=""),"",IF(K640="Monthly",EDATE(C640,I640),WORKDAY(C640,I640)))</f>
        <v/>
      </c>
      <c r="AS640" s="11"/>
      <c r="AT640" s="23" t="str">
        <f aca="true">IF(C640="","",IF(AM640="Clawed Back","CLAWED",IF(TODAY()&lt;=C640+SETTINGS!$I$2,"⚠ AT RISK","SAFE")))</f>
        <v/>
      </c>
      <c r="AU640" s="11"/>
      <c r="AW640" s="24" t="n">
        <f aca="false">AW639+IF(AND(C640&lt;&gt;"",AO640&lt;&gt;"",OR('REP COMMISSION'!$B$3="",T640='REP COMMISSION'!$B$3,W640='REP COMMISSION'!$B$3,Z640='REP COMMISSION'!$B$3)),1,0)</f>
        <v>0</v>
      </c>
      <c r="AX640" s="24" t="n">
        <f aca="false">AX639+IF(AND(C640&lt;&gt;"",OR(F640="LOC - INITIAL",F640="CONSOLIDATION - UPFRONT COMM",F640="REVERSE - TOTAL FUNDING")),1,0)</f>
        <v>0</v>
      </c>
    </row>
    <row r="641" customFormat="false" ht="15" hidden="false" customHeight="false" outlineLevel="0" collapsed="false">
      <c r="A641" s="25" t="str">
        <f aca="false">IF(C641&lt;&gt;"","F"&amp;COUNT($C$4:C641),"")</f>
        <v/>
      </c>
      <c r="B641" s="26" t="str">
        <f aca="false">IF(OR(F641="LOC - INITIAL",F641="CONSOLIDATION - UPFRONT COMM",F641="REVERSE - TOTAL FUNDING"),A641,"")</f>
        <v/>
      </c>
      <c r="C641" s="27"/>
      <c r="D641" s="28"/>
      <c r="E641" s="28"/>
      <c r="F641" s="28"/>
      <c r="G641" s="29"/>
      <c r="H641" s="30"/>
      <c r="I641" s="28"/>
      <c r="J641" s="31" t="str">
        <f aca="false">IF(AND(G641&lt;&gt;"",H641&lt;&gt;""),G641*H641,"")</f>
        <v/>
      </c>
      <c r="K641" s="28"/>
      <c r="L641" s="32"/>
      <c r="M641" s="32"/>
      <c r="N641" s="31" t="n">
        <f aca="false">IF(OR(G641="",M641=""),0,IF(M641&gt;100,M641,G641*IF(M641&gt;1,M641/100,M641)))</f>
        <v>0</v>
      </c>
      <c r="O641" s="31" t="str">
        <f aca="false">IF(G641="","",G641*IF(L641="",0,IF(L641&gt;1,L641/100,L641))+N641)</f>
        <v/>
      </c>
      <c r="P641" s="28"/>
      <c r="Q641" s="33" t="str">
        <f aca="false">IF(P641="","",IFERROR(VLOOKUP(P641,PARTNERS!$A$2:$B$30,2,0),""))</f>
        <v/>
      </c>
      <c r="R641" s="17" t="str">
        <f aca="false">IF(O641="","",IF(OR(P641="",Q641=""),0,(O641-N641)*IF(Q641&gt;1,Q641/100,Q641)))</f>
        <v/>
      </c>
      <c r="S641" s="31" t="str">
        <f aca="false">IF(O641="","",O641-R641)</f>
        <v/>
      </c>
      <c r="T641" s="28"/>
      <c r="U641" s="34" t="str">
        <f aca="false">IF(T641="","",IFERROR(VLOOKUP(T641,REPS!$A$2:$D$40,2,0),""))</f>
        <v/>
      </c>
      <c r="V641" s="31" t="str">
        <f aca="false">IF(O641="","",IF(U641="",0,O641*IF(U641&gt;1,U641/100,U641)))</f>
        <v/>
      </c>
      <c r="W641" s="28"/>
      <c r="X641" s="34" t="str">
        <f aca="false">IF(W641="","",IFERROR(VLOOKUP(W641,REPS!$A$2:$D$40,3,0),""))</f>
        <v/>
      </c>
      <c r="Y641" s="31" t="str">
        <f aca="false">IF(O641="","",IF(X641="",0,O641*IF(X641&gt;1,X641/100,X641)))</f>
        <v/>
      </c>
      <c r="Z641" s="28"/>
      <c r="AA641" s="34" t="str">
        <f aca="false">IF(Z641="","",IFERROR(VLOOKUP(Z641,REPS!$A$2:$D$40,4,0),""))</f>
        <v/>
      </c>
      <c r="AB641" s="31" t="str">
        <f aca="false">IF(O641="","",IF(AA641="",0,O641*IF(AA641&gt;1,AA641/100,AA641)))</f>
        <v/>
      </c>
      <c r="AC641" s="31" t="str">
        <f aca="false">IF(O641="","",V641+Y641+AB641)</f>
        <v/>
      </c>
      <c r="AD641" s="19" t="str">
        <f aca="false">IF(O641="","",O641-R641-AC641)</f>
        <v/>
      </c>
      <c r="AE641" s="20"/>
      <c r="AF641" s="27"/>
      <c r="AG641" s="21" t="n">
        <f aca="false">IF(OR(AE641="",AE641=0),0,AE641*IF(U641="",0,IF(U641&gt;1,U641/100,U641)))</f>
        <v>0</v>
      </c>
      <c r="AH641" s="21" t="n">
        <f aca="false">IF(OR(AE641="",AE641=0),0,AE641*IF(X641="",0,IF(X641&gt;1,X641/100,X641)))</f>
        <v>0</v>
      </c>
      <c r="AI641" s="21" t="n">
        <f aca="false">IF(OR(AE641="",AE641=0),0,AE641*IF(AA641="",0,IF(AA641&gt;1,AA641/100,AA641)))</f>
        <v>0</v>
      </c>
      <c r="AJ641" s="21" t="n">
        <f aca="false">AG641+AH641+AI641</f>
        <v>0</v>
      </c>
      <c r="AK641" s="21" t="n">
        <f aca="false">IF(OR(AE641="",AE641=0),0,AE641-AJ641)</f>
        <v>0</v>
      </c>
      <c r="AL641" s="19" t="str">
        <f aca="false">IF(AD641="","",AD641-AK641)</f>
        <v/>
      </c>
      <c r="AM641" s="26" t="str">
        <f aca="false">IF(C641="","","Waiting for payment")</f>
        <v/>
      </c>
      <c r="AN641" s="27"/>
      <c r="AO641" s="27"/>
      <c r="AP641" s="35" t="str">
        <f aca="false">IF(OR(C641="",I641="",K641=""),"",IF(K641="Monthly",EDATE(C641,ROUND(I641*SETTINGS!$I$8,0)),WORKDAY(C641,ROUND(I641*SETTINGS!$I$8,0))))</f>
        <v/>
      </c>
      <c r="AQ641" s="26" t="str">
        <f aca="true">IF(C641="","",IF(AND(AP641&lt;&gt;"",TODAY()&gt;=AP641),"Refi Ready",IF(TODAY()-C641&gt;=SETTINGS!$I$11,"Prospecting","Performing")))</f>
        <v/>
      </c>
      <c r="AR641" s="35" t="str">
        <f aca="false">IF(OR(C641="",I641="",K641=""),"",IF(K641="Monthly",EDATE(C641,I641),WORKDAY(C641,I641)))</f>
        <v/>
      </c>
      <c r="AS641" s="28"/>
      <c r="AT641" s="36" t="str">
        <f aca="true">IF(C641="","",IF(AM641="Clawed Back","CLAWED",IF(TODAY()&lt;=C641+SETTINGS!$I$2,"⚠ AT RISK","SAFE")))</f>
        <v/>
      </c>
      <c r="AU641" s="28"/>
      <c r="AW641" s="24" t="n">
        <f aca="false">AW640+IF(AND(C641&lt;&gt;"",AO641&lt;&gt;"",OR('REP COMMISSION'!$B$3="",T641='REP COMMISSION'!$B$3,W641='REP COMMISSION'!$B$3,Z641='REP COMMISSION'!$B$3)),1,0)</f>
        <v>0</v>
      </c>
      <c r="AX641" s="24" t="n">
        <f aca="false">AX640+IF(AND(C641&lt;&gt;"",OR(F641="LOC - INITIAL",F641="CONSOLIDATION - UPFRONT COMM",F641="REVERSE - TOTAL FUNDING")),1,0)</f>
        <v>0</v>
      </c>
    </row>
    <row r="642" customFormat="false" ht="15" hidden="false" customHeight="false" outlineLevel="0" collapsed="false">
      <c r="A642" s="8" t="str">
        <f aca="false">IF(C642&lt;&gt;"","F"&amp;COUNT($C$4:C642),"")</f>
        <v/>
      </c>
      <c r="B642" s="9" t="str">
        <f aca="false">IF(OR(F642="LOC - INITIAL",F642="CONSOLIDATION - UPFRONT COMM",F642="REVERSE - TOTAL FUNDING"),A642,"")</f>
        <v/>
      </c>
      <c r="C642" s="10"/>
      <c r="D642" s="11"/>
      <c r="E642" s="11"/>
      <c r="F642" s="11"/>
      <c r="G642" s="12"/>
      <c r="H642" s="13"/>
      <c r="I642" s="11"/>
      <c r="J642" s="14" t="str">
        <f aca="false">IF(AND(G642&lt;&gt;"",H642&lt;&gt;""),G642*H642,"")</f>
        <v/>
      </c>
      <c r="K642" s="11"/>
      <c r="L642" s="15"/>
      <c r="M642" s="15"/>
      <c r="N642" s="14" t="n">
        <f aca="false">IF(OR(G642="",M642=""),0,IF(M642&gt;100,M642,G642*IF(M642&gt;1,M642/100,M642)))</f>
        <v>0</v>
      </c>
      <c r="O642" s="14" t="str">
        <f aca="false">IF(G642="","",G642*IF(L642="",0,IF(L642&gt;1,L642/100,L642))+N642)</f>
        <v/>
      </c>
      <c r="P642" s="11"/>
      <c r="Q642" s="16" t="str">
        <f aca="false">IF(P642="","",IFERROR(VLOOKUP(P642,PARTNERS!$A$2:$B$30,2,0),""))</f>
        <v/>
      </c>
      <c r="R642" s="17" t="str">
        <f aca="false">IF(O642="","",IF(OR(P642="",Q642=""),0,(O642-N642)*IF(Q642&gt;1,Q642/100,Q642)))</f>
        <v/>
      </c>
      <c r="S642" s="14" t="str">
        <f aca="false">IF(O642="","",O642-R642)</f>
        <v/>
      </c>
      <c r="T642" s="11"/>
      <c r="U642" s="18" t="str">
        <f aca="false">IF(T642="","",IFERROR(VLOOKUP(T642,REPS!$A$2:$D$40,2,0),""))</f>
        <v/>
      </c>
      <c r="V642" s="14" t="str">
        <f aca="false">IF(O642="","",IF(U642="",0,O642*IF(U642&gt;1,U642/100,U642)))</f>
        <v/>
      </c>
      <c r="W642" s="11"/>
      <c r="X642" s="18" t="str">
        <f aca="false">IF(W642="","",IFERROR(VLOOKUP(W642,REPS!$A$2:$D$40,3,0),""))</f>
        <v/>
      </c>
      <c r="Y642" s="14" t="str">
        <f aca="false">IF(O642="","",IF(X642="",0,O642*IF(X642&gt;1,X642/100,X642)))</f>
        <v/>
      </c>
      <c r="Z642" s="11"/>
      <c r="AA642" s="18" t="str">
        <f aca="false">IF(Z642="","",IFERROR(VLOOKUP(Z642,REPS!$A$2:$D$40,4,0),""))</f>
        <v/>
      </c>
      <c r="AB642" s="14" t="str">
        <f aca="false">IF(O642="","",IF(AA642="",0,O642*IF(AA642&gt;1,AA642/100,AA642)))</f>
        <v/>
      </c>
      <c r="AC642" s="14" t="str">
        <f aca="false">IF(O642="","",V642+Y642+AB642)</f>
        <v/>
      </c>
      <c r="AD642" s="19" t="str">
        <f aca="false">IF(O642="","",O642-R642-AC642)</f>
        <v/>
      </c>
      <c r="AE642" s="20"/>
      <c r="AF642" s="10"/>
      <c r="AG642" s="21" t="n">
        <f aca="false">IF(OR(AE642="",AE642=0),0,AE642*IF(U642="",0,IF(U642&gt;1,U642/100,U642)))</f>
        <v>0</v>
      </c>
      <c r="AH642" s="21" t="n">
        <f aca="false">IF(OR(AE642="",AE642=0),0,AE642*IF(X642="",0,IF(X642&gt;1,X642/100,X642)))</f>
        <v>0</v>
      </c>
      <c r="AI642" s="21" t="n">
        <f aca="false">IF(OR(AE642="",AE642=0),0,AE642*IF(AA642="",0,IF(AA642&gt;1,AA642/100,AA642)))</f>
        <v>0</v>
      </c>
      <c r="AJ642" s="21" t="n">
        <f aca="false">AG642+AH642+AI642</f>
        <v>0</v>
      </c>
      <c r="AK642" s="21" t="n">
        <f aca="false">IF(OR(AE642="",AE642=0),0,AE642-AJ642)</f>
        <v>0</v>
      </c>
      <c r="AL642" s="19" t="str">
        <f aca="false">IF(AD642="","",AD642-AK642)</f>
        <v/>
      </c>
      <c r="AM642" s="9" t="str">
        <f aca="false">IF(C642="","","Waiting for payment")</f>
        <v/>
      </c>
      <c r="AN642" s="10"/>
      <c r="AO642" s="10"/>
      <c r="AP642" s="22" t="str">
        <f aca="false">IF(OR(C642="",I642="",K642=""),"",IF(K642="Monthly",EDATE(C642,ROUND(I642*SETTINGS!$I$8,0)),WORKDAY(C642,ROUND(I642*SETTINGS!$I$8,0))))</f>
        <v/>
      </c>
      <c r="AQ642" s="9" t="str">
        <f aca="true">IF(C642="","",IF(AND(AP642&lt;&gt;"",TODAY()&gt;=AP642),"Refi Ready",IF(TODAY()-C642&gt;=SETTINGS!$I$11,"Prospecting","Performing")))</f>
        <v/>
      </c>
      <c r="AR642" s="22" t="str">
        <f aca="false">IF(OR(C642="",I642="",K642=""),"",IF(K642="Monthly",EDATE(C642,I642),WORKDAY(C642,I642)))</f>
        <v/>
      </c>
      <c r="AS642" s="11"/>
      <c r="AT642" s="23" t="str">
        <f aca="true">IF(C642="","",IF(AM642="Clawed Back","CLAWED",IF(TODAY()&lt;=C642+SETTINGS!$I$2,"⚠ AT RISK","SAFE")))</f>
        <v/>
      </c>
      <c r="AU642" s="11"/>
      <c r="AW642" s="24" t="n">
        <f aca="false">AW641+IF(AND(C642&lt;&gt;"",AO642&lt;&gt;"",OR('REP COMMISSION'!$B$3="",T642='REP COMMISSION'!$B$3,W642='REP COMMISSION'!$B$3,Z642='REP COMMISSION'!$B$3)),1,0)</f>
        <v>0</v>
      </c>
      <c r="AX642" s="24" t="n">
        <f aca="false">AX641+IF(AND(C642&lt;&gt;"",OR(F642="LOC - INITIAL",F642="CONSOLIDATION - UPFRONT COMM",F642="REVERSE - TOTAL FUNDING")),1,0)</f>
        <v>0</v>
      </c>
    </row>
    <row r="643" customFormat="false" ht="15" hidden="false" customHeight="false" outlineLevel="0" collapsed="false">
      <c r="A643" s="25" t="str">
        <f aca="false">IF(C643&lt;&gt;"","F"&amp;COUNT($C$4:C643),"")</f>
        <v/>
      </c>
      <c r="B643" s="26" t="str">
        <f aca="false">IF(OR(F643="LOC - INITIAL",F643="CONSOLIDATION - UPFRONT COMM",F643="REVERSE - TOTAL FUNDING"),A643,"")</f>
        <v/>
      </c>
      <c r="C643" s="27"/>
      <c r="D643" s="28"/>
      <c r="E643" s="28"/>
      <c r="F643" s="28"/>
      <c r="G643" s="29"/>
      <c r="H643" s="30"/>
      <c r="I643" s="28"/>
      <c r="J643" s="31" t="str">
        <f aca="false">IF(AND(G643&lt;&gt;"",H643&lt;&gt;""),G643*H643,"")</f>
        <v/>
      </c>
      <c r="K643" s="28"/>
      <c r="L643" s="32"/>
      <c r="M643" s="32"/>
      <c r="N643" s="31" t="n">
        <f aca="false">IF(OR(G643="",M643=""),0,IF(M643&gt;100,M643,G643*IF(M643&gt;1,M643/100,M643)))</f>
        <v>0</v>
      </c>
      <c r="O643" s="31" t="str">
        <f aca="false">IF(G643="","",G643*IF(L643="",0,IF(L643&gt;1,L643/100,L643))+N643)</f>
        <v/>
      </c>
      <c r="P643" s="28"/>
      <c r="Q643" s="33" t="str">
        <f aca="false">IF(P643="","",IFERROR(VLOOKUP(P643,PARTNERS!$A$2:$B$30,2,0),""))</f>
        <v/>
      </c>
      <c r="R643" s="17" t="str">
        <f aca="false">IF(O643="","",IF(OR(P643="",Q643=""),0,(O643-N643)*IF(Q643&gt;1,Q643/100,Q643)))</f>
        <v/>
      </c>
      <c r="S643" s="31" t="str">
        <f aca="false">IF(O643="","",O643-R643)</f>
        <v/>
      </c>
      <c r="T643" s="28"/>
      <c r="U643" s="34" t="str">
        <f aca="false">IF(T643="","",IFERROR(VLOOKUP(T643,REPS!$A$2:$D$40,2,0),""))</f>
        <v/>
      </c>
      <c r="V643" s="31" t="str">
        <f aca="false">IF(O643="","",IF(U643="",0,O643*IF(U643&gt;1,U643/100,U643)))</f>
        <v/>
      </c>
      <c r="W643" s="28"/>
      <c r="X643" s="34" t="str">
        <f aca="false">IF(W643="","",IFERROR(VLOOKUP(W643,REPS!$A$2:$D$40,3,0),""))</f>
        <v/>
      </c>
      <c r="Y643" s="31" t="str">
        <f aca="false">IF(O643="","",IF(X643="",0,O643*IF(X643&gt;1,X643/100,X643)))</f>
        <v/>
      </c>
      <c r="Z643" s="28"/>
      <c r="AA643" s="34" t="str">
        <f aca="false">IF(Z643="","",IFERROR(VLOOKUP(Z643,REPS!$A$2:$D$40,4,0),""))</f>
        <v/>
      </c>
      <c r="AB643" s="31" t="str">
        <f aca="false">IF(O643="","",IF(AA643="",0,O643*IF(AA643&gt;1,AA643/100,AA643)))</f>
        <v/>
      </c>
      <c r="AC643" s="31" t="str">
        <f aca="false">IF(O643="","",V643+Y643+AB643)</f>
        <v/>
      </c>
      <c r="AD643" s="19" t="str">
        <f aca="false">IF(O643="","",O643-R643-AC643)</f>
        <v/>
      </c>
      <c r="AE643" s="20"/>
      <c r="AF643" s="27"/>
      <c r="AG643" s="21" t="n">
        <f aca="false">IF(OR(AE643="",AE643=0),0,AE643*IF(U643="",0,IF(U643&gt;1,U643/100,U643)))</f>
        <v>0</v>
      </c>
      <c r="AH643" s="21" t="n">
        <f aca="false">IF(OR(AE643="",AE643=0),0,AE643*IF(X643="",0,IF(X643&gt;1,X643/100,X643)))</f>
        <v>0</v>
      </c>
      <c r="AI643" s="21" t="n">
        <f aca="false">IF(OR(AE643="",AE643=0),0,AE643*IF(AA643="",0,IF(AA643&gt;1,AA643/100,AA643)))</f>
        <v>0</v>
      </c>
      <c r="AJ643" s="21" t="n">
        <f aca="false">AG643+AH643+AI643</f>
        <v>0</v>
      </c>
      <c r="AK643" s="21" t="n">
        <f aca="false">IF(OR(AE643="",AE643=0),0,AE643-AJ643)</f>
        <v>0</v>
      </c>
      <c r="AL643" s="19" t="str">
        <f aca="false">IF(AD643="","",AD643-AK643)</f>
        <v/>
      </c>
      <c r="AM643" s="26" t="str">
        <f aca="false">IF(C643="","","Waiting for payment")</f>
        <v/>
      </c>
      <c r="AN643" s="27"/>
      <c r="AO643" s="27"/>
      <c r="AP643" s="35" t="str">
        <f aca="false">IF(OR(C643="",I643="",K643=""),"",IF(K643="Monthly",EDATE(C643,ROUND(I643*SETTINGS!$I$8,0)),WORKDAY(C643,ROUND(I643*SETTINGS!$I$8,0))))</f>
        <v/>
      </c>
      <c r="AQ643" s="26" t="str">
        <f aca="true">IF(C643="","",IF(AND(AP643&lt;&gt;"",TODAY()&gt;=AP643),"Refi Ready",IF(TODAY()-C643&gt;=SETTINGS!$I$11,"Prospecting","Performing")))</f>
        <v/>
      </c>
      <c r="AR643" s="35" t="str">
        <f aca="false">IF(OR(C643="",I643="",K643=""),"",IF(K643="Monthly",EDATE(C643,I643),WORKDAY(C643,I643)))</f>
        <v/>
      </c>
      <c r="AS643" s="28"/>
      <c r="AT643" s="36" t="str">
        <f aca="true">IF(C643="","",IF(AM643="Clawed Back","CLAWED",IF(TODAY()&lt;=C643+SETTINGS!$I$2,"⚠ AT RISK","SAFE")))</f>
        <v/>
      </c>
      <c r="AU643" s="28"/>
      <c r="AW643" s="24" t="n">
        <f aca="false">AW642+IF(AND(C643&lt;&gt;"",AO643&lt;&gt;"",OR('REP COMMISSION'!$B$3="",T643='REP COMMISSION'!$B$3,W643='REP COMMISSION'!$B$3,Z643='REP COMMISSION'!$B$3)),1,0)</f>
        <v>0</v>
      </c>
      <c r="AX643" s="24" t="n">
        <f aca="false">AX642+IF(AND(C643&lt;&gt;"",OR(F643="LOC - INITIAL",F643="CONSOLIDATION - UPFRONT COMM",F643="REVERSE - TOTAL FUNDING")),1,0)</f>
        <v>0</v>
      </c>
    </row>
    <row r="644" customFormat="false" ht="15" hidden="false" customHeight="false" outlineLevel="0" collapsed="false">
      <c r="A644" s="8" t="str">
        <f aca="false">IF(C644&lt;&gt;"","F"&amp;COUNT($C$4:C644),"")</f>
        <v/>
      </c>
      <c r="B644" s="9" t="str">
        <f aca="false">IF(OR(F644="LOC - INITIAL",F644="CONSOLIDATION - UPFRONT COMM",F644="REVERSE - TOTAL FUNDING"),A644,"")</f>
        <v/>
      </c>
      <c r="C644" s="10"/>
      <c r="D644" s="11"/>
      <c r="E644" s="11"/>
      <c r="F644" s="11"/>
      <c r="G644" s="12"/>
      <c r="H644" s="13"/>
      <c r="I644" s="11"/>
      <c r="J644" s="14" t="str">
        <f aca="false">IF(AND(G644&lt;&gt;"",H644&lt;&gt;""),G644*H644,"")</f>
        <v/>
      </c>
      <c r="K644" s="11"/>
      <c r="L644" s="15"/>
      <c r="M644" s="15"/>
      <c r="N644" s="14" t="n">
        <f aca="false">IF(OR(G644="",M644=""),0,IF(M644&gt;100,M644,G644*IF(M644&gt;1,M644/100,M644)))</f>
        <v>0</v>
      </c>
      <c r="O644" s="14" t="str">
        <f aca="false">IF(G644="","",G644*IF(L644="",0,IF(L644&gt;1,L644/100,L644))+N644)</f>
        <v/>
      </c>
      <c r="P644" s="11"/>
      <c r="Q644" s="16" t="str">
        <f aca="false">IF(P644="","",IFERROR(VLOOKUP(P644,PARTNERS!$A$2:$B$30,2,0),""))</f>
        <v/>
      </c>
      <c r="R644" s="17" t="str">
        <f aca="false">IF(O644="","",IF(OR(P644="",Q644=""),0,(O644-N644)*IF(Q644&gt;1,Q644/100,Q644)))</f>
        <v/>
      </c>
      <c r="S644" s="14" t="str">
        <f aca="false">IF(O644="","",O644-R644)</f>
        <v/>
      </c>
      <c r="T644" s="11"/>
      <c r="U644" s="18" t="str">
        <f aca="false">IF(T644="","",IFERROR(VLOOKUP(T644,REPS!$A$2:$D$40,2,0),""))</f>
        <v/>
      </c>
      <c r="V644" s="14" t="str">
        <f aca="false">IF(O644="","",IF(U644="",0,O644*IF(U644&gt;1,U644/100,U644)))</f>
        <v/>
      </c>
      <c r="W644" s="11"/>
      <c r="X644" s="18" t="str">
        <f aca="false">IF(W644="","",IFERROR(VLOOKUP(W644,REPS!$A$2:$D$40,3,0),""))</f>
        <v/>
      </c>
      <c r="Y644" s="14" t="str">
        <f aca="false">IF(O644="","",IF(X644="",0,O644*IF(X644&gt;1,X644/100,X644)))</f>
        <v/>
      </c>
      <c r="Z644" s="11"/>
      <c r="AA644" s="18" t="str">
        <f aca="false">IF(Z644="","",IFERROR(VLOOKUP(Z644,REPS!$A$2:$D$40,4,0),""))</f>
        <v/>
      </c>
      <c r="AB644" s="14" t="str">
        <f aca="false">IF(O644="","",IF(AA644="",0,O644*IF(AA644&gt;1,AA644/100,AA644)))</f>
        <v/>
      </c>
      <c r="AC644" s="14" t="str">
        <f aca="false">IF(O644="","",V644+Y644+AB644)</f>
        <v/>
      </c>
      <c r="AD644" s="19" t="str">
        <f aca="false">IF(O644="","",O644-R644-AC644)</f>
        <v/>
      </c>
      <c r="AE644" s="20"/>
      <c r="AF644" s="10"/>
      <c r="AG644" s="21" t="n">
        <f aca="false">IF(OR(AE644="",AE644=0),0,AE644*IF(U644="",0,IF(U644&gt;1,U644/100,U644)))</f>
        <v>0</v>
      </c>
      <c r="AH644" s="21" t="n">
        <f aca="false">IF(OR(AE644="",AE644=0),0,AE644*IF(X644="",0,IF(X644&gt;1,X644/100,X644)))</f>
        <v>0</v>
      </c>
      <c r="AI644" s="21" t="n">
        <f aca="false">IF(OR(AE644="",AE644=0),0,AE644*IF(AA644="",0,IF(AA644&gt;1,AA644/100,AA644)))</f>
        <v>0</v>
      </c>
      <c r="AJ644" s="21" t="n">
        <f aca="false">AG644+AH644+AI644</f>
        <v>0</v>
      </c>
      <c r="AK644" s="21" t="n">
        <f aca="false">IF(OR(AE644="",AE644=0),0,AE644-AJ644)</f>
        <v>0</v>
      </c>
      <c r="AL644" s="19" t="str">
        <f aca="false">IF(AD644="","",AD644-AK644)</f>
        <v/>
      </c>
      <c r="AM644" s="9" t="str">
        <f aca="false">IF(C644="","","Waiting for payment")</f>
        <v/>
      </c>
      <c r="AN644" s="10"/>
      <c r="AO644" s="10"/>
      <c r="AP644" s="22" t="str">
        <f aca="false">IF(OR(C644="",I644="",K644=""),"",IF(K644="Monthly",EDATE(C644,ROUND(I644*SETTINGS!$I$8,0)),WORKDAY(C644,ROUND(I644*SETTINGS!$I$8,0))))</f>
        <v/>
      </c>
      <c r="AQ644" s="9" t="str">
        <f aca="true">IF(C644="","",IF(AND(AP644&lt;&gt;"",TODAY()&gt;=AP644),"Refi Ready",IF(TODAY()-C644&gt;=SETTINGS!$I$11,"Prospecting","Performing")))</f>
        <v/>
      </c>
      <c r="AR644" s="22" t="str">
        <f aca="false">IF(OR(C644="",I644="",K644=""),"",IF(K644="Monthly",EDATE(C644,I644),WORKDAY(C644,I644)))</f>
        <v/>
      </c>
      <c r="AS644" s="11"/>
      <c r="AT644" s="23" t="str">
        <f aca="true">IF(C644="","",IF(AM644="Clawed Back","CLAWED",IF(TODAY()&lt;=C644+SETTINGS!$I$2,"⚠ AT RISK","SAFE")))</f>
        <v/>
      </c>
      <c r="AU644" s="11"/>
      <c r="AW644" s="24" t="n">
        <f aca="false">AW643+IF(AND(C644&lt;&gt;"",AO644&lt;&gt;"",OR('REP COMMISSION'!$B$3="",T644='REP COMMISSION'!$B$3,W644='REP COMMISSION'!$B$3,Z644='REP COMMISSION'!$B$3)),1,0)</f>
        <v>0</v>
      </c>
      <c r="AX644" s="24" t="n">
        <f aca="false">AX643+IF(AND(C644&lt;&gt;"",OR(F644="LOC - INITIAL",F644="CONSOLIDATION - UPFRONT COMM",F644="REVERSE - TOTAL FUNDING")),1,0)</f>
        <v>0</v>
      </c>
    </row>
    <row r="645" customFormat="false" ht="15" hidden="false" customHeight="false" outlineLevel="0" collapsed="false">
      <c r="A645" s="25" t="str">
        <f aca="false">IF(C645&lt;&gt;"","F"&amp;COUNT($C$4:C645),"")</f>
        <v/>
      </c>
      <c r="B645" s="26" t="str">
        <f aca="false">IF(OR(F645="LOC - INITIAL",F645="CONSOLIDATION - UPFRONT COMM",F645="REVERSE - TOTAL FUNDING"),A645,"")</f>
        <v/>
      </c>
      <c r="C645" s="27"/>
      <c r="D645" s="28"/>
      <c r="E645" s="28"/>
      <c r="F645" s="28"/>
      <c r="G645" s="29"/>
      <c r="H645" s="30"/>
      <c r="I645" s="28"/>
      <c r="J645" s="31" t="str">
        <f aca="false">IF(AND(G645&lt;&gt;"",H645&lt;&gt;""),G645*H645,"")</f>
        <v/>
      </c>
      <c r="K645" s="28"/>
      <c r="L645" s="32"/>
      <c r="M645" s="32"/>
      <c r="N645" s="31" t="n">
        <f aca="false">IF(OR(G645="",M645=""),0,IF(M645&gt;100,M645,G645*IF(M645&gt;1,M645/100,M645)))</f>
        <v>0</v>
      </c>
      <c r="O645" s="31" t="str">
        <f aca="false">IF(G645="","",G645*IF(L645="",0,IF(L645&gt;1,L645/100,L645))+N645)</f>
        <v/>
      </c>
      <c r="P645" s="28"/>
      <c r="Q645" s="33" t="str">
        <f aca="false">IF(P645="","",IFERROR(VLOOKUP(P645,PARTNERS!$A$2:$B$30,2,0),""))</f>
        <v/>
      </c>
      <c r="R645" s="17" t="str">
        <f aca="false">IF(O645="","",IF(OR(P645="",Q645=""),0,(O645-N645)*IF(Q645&gt;1,Q645/100,Q645)))</f>
        <v/>
      </c>
      <c r="S645" s="31" t="str">
        <f aca="false">IF(O645="","",O645-R645)</f>
        <v/>
      </c>
      <c r="T645" s="28"/>
      <c r="U645" s="34" t="str">
        <f aca="false">IF(T645="","",IFERROR(VLOOKUP(T645,REPS!$A$2:$D$40,2,0),""))</f>
        <v/>
      </c>
      <c r="V645" s="31" t="str">
        <f aca="false">IF(O645="","",IF(U645="",0,O645*IF(U645&gt;1,U645/100,U645)))</f>
        <v/>
      </c>
      <c r="W645" s="28"/>
      <c r="X645" s="34" t="str">
        <f aca="false">IF(W645="","",IFERROR(VLOOKUP(W645,REPS!$A$2:$D$40,3,0),""))</f>
        <v/>
      </c>
      <c r="Y645" s="31" t="str">
        <f aca="false">IF(O645="","",IF(X645="",0,O645*IF(X645&gt;1,X645/100,X645)))</f>
        <v/>
      </c>
      <c r="Z645" s="28"/>
      <c r="AA645" s="34" t="str">
        <f aca="false">IF(Z645="","",IFERROR(VLOOKUP(Z645,REPS!$A$2:$D$40,4,0),""))</f>
        <v/>
      </c>
      <c r="AB645" s="31" t="str">
        <f aca="false">IF(O645="","",IF(AA645="",0,O645*IF(AA645&gt;1,AA645/100,AA645)))</f>
        <v/>
      </c>
      <c r="AC645" s="31" t="str">
        <f aca="false">IF(O645="","",V645+Y645+AB645)</f>
        <v/>
      </c>
      <c r="AD645" s="19" t="str">
        <f aca="false">IF(O645="","",O645-R645-AC645)</f>
        <v/>
      </c>
      <c r="AE645" s="20"/>
      <c r="AF645" s="27"/>
      <c r="AG645" s="21" t="n">
        <f aca="false">IF(OR(AE645="",AE645=0),0,AE645*IF(U645="",0,IF(U645&gt;1,U645/100,U645)))</f>
        <v>0</v>
      </c>
      <c r="AH645" s="21" t="n">
        <f aca="false">IF(OR(AE645="",AE645=0),0,AE645*IF(X645="",0,IF(X645&gt;1,X645/100,X645)))</f>
        <v>0</v>
      </c>
      <c r="AI645" s="21" t="n">
        <f aca="false">IF(OR(AE645="",AE645=0),0,AE645*IF(AA645="",0,IF(AA645&gt;1,AA645/100,AA645)))</f>
        <v>0</v>
      </c>
      <c r="AJ645" s="21" t="n">
        <f aca="false">AG645+AH645+AI645</f>
        <v>0</v>
      </c>
      <c r="AK645" s="21" t="n">
        <f aca="false">IF(OR(AE645="",AE645=0),0,AE645-AJ645)</f>
        <v>0</v>
      </c>
      <c r="AL645" s="19" t="str">
        <f aca="false">IF(AD645="","",AD645-AK645)</f>
        <v/>
      </c>
      <c r="AM645" s="26" t="str">
        <f aca="false">IF(C645="","","Waiting for payment")</f>
        <v/>
      </c>
      <c r="AN645" s="27"/>
      <c r="AO645" s="27"/>
      <c r="AP645" s="35" t="str">
        <f aca="false">IF(OR(C645="",I645="",K645=""),"",IF(K645="Monthly",EDATE(C645,ROUND(I645*SETTINGS!$I$8,0)),WORKDAY(C645,ROUND(I645*SETTINGS!$I$8,0))))</f>
        <v/>
      </c>
      <c r="AQ645" s="26" t="str">
        <f aca="true">IF(C645="","",IF(AND(AP645&lt;&gt;"",TODAY()&gt;=AP645),"Refi Ready",IF(TODAY()-C645&gt;=SETTINGS!$I$11,"Prospecting","Performing")))</f>
        <v/>
      </c>
      <c r="AR645" s="35" t="str">
        <f aca="false">IF(OR(C645="",I645="",K645=""),"",IF(K645="Monthly",EDATE(C645,I645),WORKDAY(C645,I645)))</f>
        <v/>
      </c>
      <c r="AS645" s="28"/>
      <c r="AT645" s="36" t="str">
        <f aca="true">IF(C645="","",IF(AM645="Clawed Back","CLAWED",IF(TODAY()&lt;=C645+SETTINGS!$I$2,"⚠ AT RISK","SAFE")))</f>
        <v/>
      </c>
      <c r="AU645" s="28"/>
      <c r="AW645" s="24" t="n">
        <f aca="false">AW644+IF(AND(C645&lt;&gt;"",AO645&lt;&gt;"",OR('REP COMMISSION'!$B$3="",T645='REP COMMISSION'!$B$3,W645='REP COMMISSION'!$B$3,Z645='REP COMMISSION'!$B$3)),1,0)</f>
        <v>0</v>
      </c>
      <c r="AX645" s="24" t="n">
        <f aca="false">AX644+IF(AND(C645&lt;&gt;"",OR(F645="LOC - INITIAL",F645="CONSOLIDATION - UPFRONT COMM",F645="REVERSE - TOTAL FUNDING")),1,0)</f>
        <v>0</v>
      </c>
    </row>
    <row r="646" customFormat="false" ht="15" hidden="false" customHeight="false" outlineLevel="0" collapsed="false">
      <c r="A646" s="8" t="str">
        <f aca="false">IF(C646&lt;&gt;"","F"&amp;COUNT($C$4:C646),"")</f>
        <v/>
      </c>
      <c r="B646" s="9" t="str">
        <f aca="false">IF(OR(F646="LOC - INITIAL",F646="CONSOLIDATION - UPFRONT COMM",F646="REVERSE - TOTAL FUNDING"),A646,"")</f>
        <v/>
      </c>
      <c r="C646" s="10"/>
      <c r="D646" s="11"/>
      <c r="E646" s="11"/>
      <c r="F646" s="11"/>
      <c r="G646" s="12"/>
      <c r="H646" s="13"/>
      <c r="I646" s="11"/>
      <c r="J646" s="14" t="str">
        <f aca="false">IF(AND(G646&lt;&gt;"",H646&lt;&gt;""),G646*H646,"")</f>
        <v/>
      </c>
      <c r="K646" s="11"/>
      <c r="L646" s="15"/>
      <c r="M646" s="15"/>
      <c r="N646" s="14" t="n">
        <f aca="false">IF(OR(G646="",M646=""),0,IF(M646&gt;100,M646,G646*IF(M646&gt;1,M646/100,M646)))</f>
        <v>0</v>
      </c>
      <c r="O646" s="14" t="str">
        <f aca="false">IF(G646="","",G646*IF(L646="",0,IF(L646&gt;1,L646/100,L646))+N646)</f>
        <v/>
      </c>
      <c r="P646" s="11"/>
      <c r="Q646" s="16" t="str">
        <f aca="false">IF(P646="","",IFERROR(VLOOKUP(P646,PARTNERS!$A$2:$B$30,2,0),""))</f>
        <v/>
      </c>
      <c r="R646" s="17" t="str">
        <f aca="false">IF(O646="","",IF(OR(P646="",Q646=""),0,(O646-N646)*IF(Q646&gt;1,Q646/100,Q646)))</f>
        <v/>
      </c>
      <c r="S646" s="14" t="str">
        <f aca="false">IF(O646="","",O646-R646)</f>
        <v/>
      </c>
      <c r="T646" s="11"/>
      <c r="U646" s="18" t="str">
        <f aca="false">IF(T646="","",IFERROR(VLOOKUP(T646,REPS!$A$2:$D$40,2,0),""))</f>
        <v/>
      </c>
      <c r="V646" s="14" t="str">
        <f aca="false">IF(O646="","",IF(U646="",0,O646*IF(U646&gt;1,U646/100,U646)))</f>
        <v/>
      </c>
      <c r="W646" s="11"/>
      <c r="X646" s="18" t="str">
        <f aca="false">IF(W646="","",IFERROR(VLOOKUP(W646,REPS!$A$2:$D$40,3,0),""))</f>
        <v/>
      </c>
      <c r="Y646" s="14" t="str">
        <f aca="false">IF(O646="","",IF(X646="",0,O646*IF(X646&gt;1,X646/100,X646)))</f>
        <v/>
      </c>
      <c r="Z646" s="11"/>
      <c r="AA646" s="18" t="str">
        <f aca="false">IF(Z646="","",IFERROR(VLOOKUP(Z646,REPS!$A$2:$D$40,4,0),""))</f>
        <v/>
      </c>
      <c r="AB646" s="14" t="str">
        <f aca="false">IF(O646="","",IF(AA646="",0,O646*IF(AA646&gt;1,AA646/100,AA646)))</f>
        <v/>
      </c>
      <c r="AC646" s="14" t="str">
        <f aca="false">IF(O646="","",V646+Y646+AB646)</f>
        <v/>
      </c>
      <c r="AD646" s="19" t="str">
        <f aca="false">IF(O646="","",O646-R646-AC646)</f>
        <v/>
      </c>
      <c r="AE646" s="20"/>
      <c r="AF646" s="10"/>
      <c r="AG646" s="21" t="n">
        <f aca="false">IF(OR(AE646="",AE646=0),0,AE646*IF(U646="",0,IF(U646&gt;1,U646/100,U646)))</f>
        <v>0</v>
      </c>
      <c r="AH646" s="21" t="n">
        <f aca="false">IF(OR(AE646="",AE646=0),0,AE646*IF(X646="",0,IF(X646&gt;1,X646/100,X646)))</f>
        <v>0</v>
      </c>
      <c r="AI646" s="21" t="n">
        <f aca="false">IF(OR(AE646="",AE646=0),0,AE646*IF(AA646="",0,IF(AA646&gt;1,AA646/100,AA646)))</f>
        <v>0</v>
      </c>
      <c r="AJ646" s="21" t="n">
        <f aca="false">AG646+AH646+AI646</f>
        <v>0</v>
      </c>
      <c r="AK646" s="21" t="n">
        <f aca="false">IF(OR(AE646="",AE646=0),0,AE646-AJ646)</f>
        <v>0</v>
      </c>
      <c r="AL646" s="19" t="str">
        <f aca="false">IF(AD646="","",AD646-AK646)</f>
        <v/>
      </c>
      <c r="AM646" s="9" t="str">
        <f aca="false">IF(C646="","","Waiting for payment")</f>
        <v/>
      </c>
      <c r="AN646" s="10"/>
      <c r="AO646" s="10"/>
      <c r="AP646" s="22" t="str">
        <f aca="false">IF(OR(C646="",I646="",K646=""),"",IF(K646="Monthly",EDATE(C646,ROUND(I646*SETTINGS!$I$8,0)),WORKDAY(C646,ROUND(I646*SETTINGS!$I$8,0))))</f>
        <v/>
      </c>
      <c r="AQ646" s="9" t="str">
        <f aca="true">IF(C646="","",IF(AND(AP646&lt;&gt;"",TODAY()&gt;=AP646),"Refi Ready",IF(TODAY()-C646&gt;=SETTINGS!$I$11,"Prospecting","Performing")))</f>
        <v/>
      </c>
      <c r="AR646" s="22" t="str">
        <f aca="false">IF(OR(C646="",I646="",K646=""),"",IF(K646="Monthly",EDATE(C646,I646),WORKDAY(C646,I646)))</f>
        <v/>
      </c>
      <c r="AS646" s="11"/>
      <c r="AT646" s="23" t="str">
        <f aca="true">IF(C646="","",IF(AM646="Clawed Back","CLAWED",IF(TODAY()&lt;=C646+SETTINGS!$I$2,"⚠ AT RISK","SAFE")))</f>
        <v/>
      </c>
      <c r="AU646" s="11"/>
      <c r="AW646" s="24" t="n">
        <f aca="false">AW645+IF(AND(C646&lt;&gt;"",AO646&lt;&gt;"",OR('REP COMMISSION'!$B$3="",T646='REP COMMISSION'!$B$3,W646='REP COMMISSION'!$B$3,Z646='REP COMMISSION'!$B$3)),1,0)</f>
        <v>0</v>
      </c>
      <c r="AX646" s="24" t="n">
        <f aca="false">AX645+IF(AND(C646&lt;&gt;"",OR(F646="LOC - INITIAL",F646="CONSOLIDATION - UPFRONT COMM",F646="REVERSE - TOTAL FUNDING")),1,0)</f>
        <v>0</v>
      </c>
    </row>
    <row r="647" customFormat="false" ht="15" hidden="false" customHeight="false" outlineLevel="0" collapsed="false">
      <c r="A647" s="25" t="str">
        <f aca="false">IF(C647&lt;&gt;"","F"&amp;COUNT($C$4:C647),"")</f>
        <v/>
      </c>
      <c r="B647" s="26" t="str">
        <f aca="false">IF(OR(F647="LOC - INITIAL",F647="CONSOLIDATION - UPFRONT COMM",F647="REVERSE - TOTAL FUNDING"),A647,"")</f>
        <v/>
      </c>
      <c r="C647" s="27"/>
      <c r="D647" s="28"/>
      <c r="E647" s="28"/>
      <c r="F647" s="28"/>
      <c r="G647" s="29"/>
      <c r="H647" s="30"/>
      <c r="I647" s="28"/>
      <c r="J647" s="31" t="str">
        <f aca="false">IF(AND(G647&lt;&gt;"",H647&lt;&gt;""),G647*H647,"")</f>
        <v/>
      </c>
      <c r="K647" s="28"/>
      <c r="L647" s="32"/>
      <c r="M647" s="32"/>
      <c r="N647" s="31" t="n">
        <f aca="false">IF(OR(G647="",M647=""),0,IF(M647&gt;100,M647,G647*IF(M647&gt;1,M647/100,M647)))</f>
        <v>0</v>
      </c>
      <c r="O647" s="31" t="str">
        <f aca="false">IF(G647="","",G647*IF(L647="",0,IF(L647&gt;1,L647/100,L647))+N647)</f>
        <v/>
      </c>
      <c r="P647" s="28"/>
      <c r="Q647" s="33" t="str">
        <f aca="false">IF(P647="","",IFERROR(VLOOKUP(P647,PARTNERS!$A$2:$B$30,2,0),""))</f>
        <v/>
      </c>
      <c r="R647" s="17" t="str">
        <f aca="false">IF(O647="","",IF(OR(P647="",Q647=""),0,(O647-N647)*IF(Q647&gt;1,Q647/100,Q647)))</f>
        <v/>
      </c>
      <c r="S647" s="31" t="str">
        <f aca="false">IF(O647="","",O647-R647)</f>
        <v/>
      </c>
      <c r="T647" s="28"/>
      <c r="U647" s="34" t="str">
        <f aca="false">IF(T647="","",IFERROR(VLOOKUP(T647,REPS!$A$2:$D$40,2,0),""))</f>
        <v/>
      </c>
      <c r="V647" s="31" t="str">
        <f aca="false">IF(O647="","",IF(U647="",0,O647*IF(U647&gt;1,U647/100,U647)))</f>
        <v/>
      </c>
      <c r="W647" s="28"/>
      <c r="X647" s="34" t="str">
        <f aca="false">IF(W647="","",IFERROR(VLOOKUP(W647,REPS!$A$2:$D$40,3,0),""))</f>
        <v/>
      </c>
      <c r="Y647" s="31" t="str">
        <f aca="false">IF(O647="","",IF(X647="",0,O647*IF(X647&gt;1,X647/100,X647)))</f>
        <v/>
      </c>
      <c r="Z647" s="28"/>
      <c r="AA647" s="34" t="str">
        <f aca="false">IF(Z647="","",IFERROR(VLOOKUP(Z647,REPS!$A$2:$D$40,4,0),""))</f>
        <v/>
      </c>
      <c r="AB647" s="31" t="str">
        <f aca="false">IF(O647="","",IF(AA647="",0,O647*IF(AA647&gt;1,AA647/100,AA647)))</f>
        <v/>
      </c>
      <c r="AC647" s="31" t="str">
        <f aca="false">IF(O647="","",V647+Y647+AB647)</f>
        <v/>
      </c>
      <c r="AD647" s="19" t="str">
        <f aca="false">IF(O647="","",O647-R647-AC647)</f>
        <v/>
      </c>
      <c r="AE647" s="20"/>
      <c r="AF647" s="27"/>
      <c r="AG647" s="21" t="n">
        <f aca="false">IF(OR(AE647="",AE647=0),0,AE647*IF(U647="",0,IF(U647&gt;1,U647/100,U647)))</f>
        <v>0</v>
      </c>
      <c r="AH647" s="21" t="n">
        <f aca="false">IF(OR(AE647="",AE647=0),0,AE647*IF(X647="",0,IF(X647&gt;1,X647/100,X647)))</f>
        <v>0</v>
      </c>
      <c r="AI647" s="21" t="n">
        <f aca="false">IF(OR(AE647="",AE647=0),0,AE647*IF(AA647="",0,IF(AA647&gt;1,AA647/100,AA647)))</f>
        <v>0</v>
      </c>
      <c r="AJ647" s="21" t="n">
        <f aca="false">AG647+AH647+AI647</f>
        <v>0</v>
      </c>
      <c r="AK647" s="21" t="n">
        <f aca="false">IF(OR(AE647="",AE647=0),0,AE647-AJ647)</f>
        <v>0</v>
      </c>
      <c r="AL647" s="19" t="str">
        <f aca="false">IF(AD647="","",AD647-AK647)</f>
        <v/>
      </c>
      <c r="AM647" s="26" t="str">
        <f aca="false">IF(C647="","","Waiting for payment")</f>
        <v/>
      </c>
      <c r="AN647" s="27"/>
      <c r="AO647" s="27"/>
      <c r="AP647" s="35" t="str">
        <f aca="false">IF(OR(C647="",I647="",K647=""),"",IF(K647="Monthly",EDATE(C647,ROUND(I647*SETTINGS!$I$8,0)),WORKDAY(C647,ROUND(I647*SETTINGS!$I$8,0))))</f>
        <v/>
      </c>
      <c r="AQ647" s="26" t="str">
        <f aca="true">IF(C647="","",IF(AND(AP647&lt;&gt;"",TODAY()&gt;=AP647),"Refi Ready",IF(TODAY()-C647&gt;=SETTINGS!$I$11,"Prospecting","Performing")))</f>
        <v/>
      </c>
      <c r="AR647" s="35" t="str">
        <f aca="false">IF(OR(C647="",I647="",K647=""),"",IF(K647="Monthly",EDATE(C647,I647),WORKDAY(C647,I647)))</f>
        <v/>
      </c>
      <c r="AS647" s="28"/>
      <c r="AT647" s="36" t="str">
        <f aca="true">IF(C647="","",IF(AM647="Clawed Back","CLAWED",IF(TODAY()&lt;=C647+SETTINGS!$I$2,"⚠ AT RISK","SAFE")))</f>
        <v/>
      </c>
      <c r="AU647" s="28"/>
      <c r="AW647" s="24" t="n">
        <f aca="false">AW646+IF(AND(C647&lt;&gt;"",AO647&lt;&gt;"",OR('REP COMMISSION'!$B$3="",T647='REP COMMISSION'!$B$3,W647='REP COMMISSION'!$B$3,Z647='REP COMMISSION'!$B$3)),1,0)</f>
        <v>0</v>
      </c>
      <c r="AX647" s="24" t="n">
        <f aca="false">AX646+IF(AND(C647&lt;&gt;"",OR(F647="LOC - INITIAL",F647="CONSOLIDATION - UPFRONT COMM",F647="REVERSE - TOTAL FUNDING")),1,0)</f>
        <v>0</v>
      </c>
    </row>
    <row r="648" customFormat="false" ht="15" hidden="false" customHeight="false" outlineLevel="0" collapsed="false">
      <c r="A648" s="8" t="str">
        <f aca="false">IF(C648&lt;&gt;"","F"&amp;COUNT($C$4:C648),"")</f>
        <v/>
      </c>
      <c r="B648" s="9" t="str">
        <f aca="false">IF(OR(F648="LOC - INITIAL",F648="CONSOLIDATION - UPFRONT COMM",F648="REVERSE - TOTAL FUNDING"),A648,"")</f>
        <v/>
      </c>
      <c r="C648" s="10"/>
      <c r="D648" s="11"/>
      <c r="E648" s="11"/>
      <c r="F648" s="11"/>
      <c r="G648" s="12"/>
      <c r="H648" s="13"/>
      <c r="I648" s="11"/>
      <c r="J648" s="14" t="str">
        <f aca="false">IF(AND(G648&lt;&gt;"",H648&lt;&gt;""),G648*H648,"")</f>
        <v/>
      </c>
      <c r="K648" s="11"/>
      <c r="L648" s="15"/>
      <c r="M648" s="15"/>
      <c r="N648" s="14" t="n">
        <f aca="false">IF(OR(G648="",M648=""),0,IF(M648&gt;100,M648,G648*IF(M648&gt;1,M648/100,M648)))</f>
        <v>0</v>
      </c>
      <c r="O648" s="14" t="str">
        <f aca="false">IF(G648="","",G648*IF(L648="",0,IF(L648&gt;1,L648/100,L648))+N648)</f>
        <v/>
      </c>
      <c r="P648" s="11"/>
      <c r="Q648" s="16" t="str">
        <f aca="false">IF(P648="","",IFERROR(VLOOKUP(P648,PARTNERS!$A$2:$B$30,2,0),""))</f>
        <v/>
      </c>
      <c r="R648" s="17" t="str">
        <f aca="false">IF(O648="","",IF(OR(P648="",Q648=""),0,(O648-N648)*IF(Q648&gt;1,Q648/100,Q648)))</f>
        <v/>
      </c>
      <c r="S648" s="14" t="str">
        <f aca="false">IF(O648="","",O648-R648)</f>
        <v/>
      </c>
      <c r="T648" s="11"/>
      <c r="U648" s="18" t="str">
        <f aca="false">IF(T648="","",IFERROR(VLOOKUP(T648,REPS!$A$2:$D$40,2,0),""))</f>
        <v/>
      </c>
      <c r="V648" s="14" t="str">
        <f aca="false">IF(O648="","",IF(U648="",0,O648*IF(U648&gt;1,U648/100,U648)))</f>
        <v/>
      </c>
      <c r="W648" s="11"/>
      <c r="X648" s="18" t="str">
        <f aca="false">IF(W648="","",IFERROR(VLOOKUP(W648,REPS!$A$2:$D$40,3,0),""))</f>
        <v/>
      </c>
      <c r="Y648" s="14" t="str">
        <f aca="false">IF(O648="","",IF(X648="",0,O648*IF(X648&gt;1,X648/100,X648)))</f>
        <v/>
      </c>
      <c r="Z648" s="11"/>
      <c r="AA648" s="18" t="str">
        <f aca="false">IF(Z648="","",IFERROR(VLOOKUP(Z648,REPS!$A$2:$D$40,4,0),""))</f>
        <v/>
      </c>
      <c r="AB648" s="14" t="str">
        <f aca="false">IF(O648="","",IF(AA648="",0,O648*IF(AA648&gt;1,AA648/100,AA648)))</f>
        <v/>
      </c>
      <c r="AC648" s="14" t="str">
        <f aca="false">IF(O648="","",V648+Y648+AB648)</f>
        <v/>
      </c>
      <c r="AD648" s="19" t="str">
        <f aca="false">IF(O648="","",O648-R648-AC648)</f>
        <v/>
      </c>
      <c r="AE648" s="20"/>
      <c r="AF648" s="10"/>
      <c r="AG648" s="21" t="n">
        <f aca="false">IF(OR(AE648="",AE648=0),0,AE648*IF(U648="",0,IF(U648&gt;1,U648/100,U648)))</f>
        <v>0</v>
      </c>
      <c r="AH648" s="21" t="n">
        <f aca="false">IF(OR(AE648="",AE648=0),0,AE648*IF(X648="",0,IF(X648&gt;1,X648/100,X648)))</f>
        <v>0</v>
      </c>
      <c r="AI648" s="21" t="n">
        <f aca="false">IF(OR(AE648="",AE648=0),0,AE648*IF(AA648="",0,IF(AA648&gt;1,AA648/100,AA648)))</f>
        <v>0</v>
      </c>
      <c r="AJ648" s="21" t="n">
        <f aca="false">AG648+AH648+AI648</f>
        <v>0</v>
      </c>
      <c r="AK648" s="21" t="n">
        <f aca="false">IF(OR(AE648="",AE648=0),0,AE648-AJ648)</f>
        <v>0</v>
      </c>
      <c r="AL648" s="19" t="str">
        <f aca="false">IF(AD648="","",AD648-AK648)</f>
        <v/>
      </c>
      <c r="AM648" s="9" t="str">
        <f aca="false">IF(C648="","","Waiting for payment")</f>
        <v/>
      </c>
      <c r="AN648" s="10"/>
      <c r="AO648" s="10"/>
      <c r="AP648" s="22" t="str">
        <f aca="false">IF(OR(C648="",I648="",K648=""),"",IF(K648="Monthly",EDATE(C648,ROUND(I648*SETTINGS!$I$8,0)),WORKDAY(C648,ROUND(I648*SETTINGS!$I$8,0))))</f>
        <v/>
      </c>
      <c r="AQ648" s="9" t="str">
        <f aca="true">IF(C648="","",IF(AND(AP648&lt;&gt;"",TODAY()&gt;=AP648),"Refi Ready",IF(TODAY()-C648&gt;=SETTINGS!$I$11,"Prospecting","Performing")))</f>
        <v/>
      </c>
      <c r="AR648" s="22" t="str">
        <f aca="false">IF(OR(C648="",I648="",K648=""),"",IF(K648="Monthly",EDATE(C648,I648),WORKDAY(C648,I648)))</f>
        <v/>
      </c>
      <c r="AS648" s="11"/>
      <c r="AT648" s="23" t="str">
        <f aca="true">IF(C648="","",IF(AM648="Clawed Back","CLAWED",IF(TODAY()&lt;=C648+SETTINGS!$I$2,"⚠ AT RISK","SAFE")))</f>
        <v/>
      </c>
      <c r="AU648" s="11"/>
      <c r="AW648" s="24" t="n">
        <f aca="false">AW647+IF(AND(C648&lt;&gt;"",AO648&lt;&gt;"",OR('REP COMMISSION'!$B$3="",T648='REP COMMISSION'!$B$3,W648='REP COMMISSION'!$B$3,Z648='REP COMMISSION'!$B$3)),1,0)</f>
        <v>0</v>
      </c>
      <c r="AX648" s="24" t="n">
        <f aca="false">AX647+IF(AND(C648&lt;&gt;"",OR(F648="LOC - INITIAL",F648="CONSOLIDATION - UPFRONT COMM",F648="REVERSE - TOTAL FUNDING")),1,0)</f>
        <v>0</v>
      </c>
    </row>
    <row r="649" customFormat="false" ht="15" hidden="false" customHeight="false" outlineLevel="0" collapsed="false">
      <c r="A649" s="25" t="str">
        <f aca="false">IF(C649&lt;&gt;"","F"&amp;COUNT($C$4:C649),"")</f>
        <v/>
      </c>
      <c r="B649" s="26" t="str">
        <f aca="false">IF(OR(F649="LOC - INITIAL",F649="CONSOLIDATION - UPFRONT COMM",F649="REVERSE - TOTAL FUNDING"),A649,"")</f>
        <v/>
      </c>
      <c r="C649" s="27"/>
      <c r="D649" s="28"/>
      <c r="E649" s="28"/>
      <c r="F649" s="28"/>
      <c r="G649" s="29"/>
      <c r="H649" s="30"/>
      <c r="I649" s="28"/>
      <c r="J649" s="31" t="str">
        <f aca="false">IF(AND(G649&lt;&gt;"",H649&lt;&gt;""),G649*H649,"")</f>
        <v/>
      </c>
      <c r="K649" s="28"/>
      <c r="L649" s="32"/>
      <c r="M649" s="32"/>
      <c r="N649" s="31" t="n">
        <f aca="false">IF(OR(G649="",M649=""),0,IF(M649&gt;100,M649,G649*IF(M649&gt;1,M649/100,M649)))</f>
        <v>0</v>
      </c>
      <c r="O649" s="31" t="str">
        <f aca="false">IF(G649="","",G649*IF(L649="",0,IF(L649&gt;1,L649/100,L649))+N649)</f>
        <v/>
      </c>
      <c r="P649" s="28"/>
      <c r="Q649" s="33" t="str">
        <f aca="false">IF(P649="","",IFERROR(VLOOKUP(P649,PARTNERS!$A$2:$B$30,2,0),""))</f>
        <v/>
      </c>
      <c r="R649" s="17" t="str">
        <f aca="false">IF(O649="","",IF(OR(P649="",Q649=""),0,(O649-N649)*IF(Q649&gt;1,Q649/100,Q649)))</f>
        <v/>
      </c>
      <c r="S649" s="31" t="str">
        <f aca="false">IF(O649="","",O649-R649)</f>
        <v/>
      </c>
      <c r="T649" s="28"/>
      <c r="U649" s="34" t="str">
        <f aca="false">IF(T649="","",IFERROR(VLOOKUP(T649,REPS!$A$2:$D$40,2,0),""))</f>
        <v/>
      </c>
      <c r="V649" s="31" t="str">
        <f aca="false">IF(O649="","",IF(U649="",0,O649*IF(U649&gt;1,U649/100,U649)))</f>
        <v/>
      </c>
      <c r="W649" s="28"/>
      <c r="X649" s="34" t="str">
        <f aca="false">IF(W649="","",IFERROR(VLOOKUP(W649,REPS!$A$2:$D$40,3,0),""))</f>
        <v/>
      </c>
      <c r="Y649" s="31" t="str">
        <f aca="false">IF(O649="","",IF(X649="",0,O649*IF(X649&gt;1,X649/100,X649)))</f>
        <v/>
      </c>
      <c r="Z649" s="28"/>
      <c r="AA649" s="34" t="str">
        <f aca="false">IF(Z649="","",IFERROR(VLOOKUP(Z649,REPS!$A$2:$D$40,4,0),""))</f>
        <v/>
      </c>
      <c r="AB649" s="31" t="str">
        <f aca="false">IF(O649="","",IF(AA649="",0,O649*IF(AA649&gt;1,AA649/100,AA649)))</f>
        <v/>
      </c>
      <c r="AC649" s="31" t="str">
        <f aca="false">IF(O649="","",V649+Y649+AB649)</f>
        <v/>
      </c>
      <c r="AD649" s="19" t="str">
        <f aca="false">IF(O649="","",O649-R649-AC649)</f>
        <v/>
      </c>
      <c r="AE649" s="20"/>
      <c r="AF649" s="27"/>
      <c r="AG649" s="21" t="n">
        <f aca="false">IF(OR(AE649="",AE649=0),0,AE649*IF(U649="",0,IF(U649&gt;1,U649/100,U649)))</f>
        <v>0</v>
      </c>
      <c r="AH649" s="21" t="n">
        <f aca="false">IF(OR(AE649="",AE649=0),0,AE649*IF(X649="",0,IF(X649&gt;1,X649/100,X649)))</f>
        <v>0</v>
      </c>
      <c r="AI649" s="21" t="n">
        <f aca="false">IF(OR(AE649="",AE649=0),0,AE649*IF(AA649="",0,IF(AA649&gt;1,AA649/100,AA649)))</f>
        <v>0</v>
      </c>
      <c r="AJ649" s="21" t="n">
        <f aca="false">AG649+AH649+AI649</f>
        <v>0</v>
      </c>
      <c r="AK649" s="21" t="n">
        <f aca="false">IF(OR(AE649="",AE649=0),0,AE649-AJ649)</f>
        <v>0</v>
      </c>
      <c r="AL649" s="19" t="str">
        <f aca="false">IF(AD649="","",AD649-AK649)</f>
        <v/>
      </c>
      <c r="AM649" s="26" t="str">
        <f aca="false">IF(C649="","","Waiting for payment")</f>
        <v/>
      </c>
      <c r="AN649" s="27"/>
      <c r="AO649" s="27"/>
      <c r="AP649" s="35" t="str">
        <f aca="false">IF(OR(C649="",I649="",K649=""),"",IF(K649="Monthly",EDATE(C649,ROUND(I649*SETTINGS!$I$8,0)),WORKDAY(C649,ROUND(I649*SETTINGS!$I$8,0))))</f>
        <v/>
      </c>
      <c r="AQ649" s="26" t="str">
        <f aca="true">IF(C649="","",IF(AND(AP649&lt;&gt;"",TODAY()&gt;=AP649),"Refi Ready",IF(TODAY()-C649&gt;=SETTINGS!$I$11,"Prospecting","Performing")))</f>
        <v/>
      </c>
      <c r="AR649" s="35" t="str">
        <f aca="false">IF(OR(C649="",I649="",K649=""),"",IF(K649="Monthly",EDATE(C649,I649),WORKDAY(C649,I649)))</f>
        <v/>
      </c>
      <c r="AS649" s="28"/>
      <c r="AT649" s="36" t="str">
        <f aca="true">IF(C649="","",IF(AM649="Clawed Back","CLAWED",IF(TODAY()&lt;=C649+SETTINGS!$I$2,"⚠ AT RISK","SAFE")))</f>
        <v/>
      </c>
      <c r="AU649" s="28"/>
      <c r="AW649" s="24" t="n">
        <f aca="false">AW648+IF(AND(C649&lt;&gt;"",AO649&lt;&gt;"",OR('REP COMMISSION'!$B$3="",T649='REP COMMISSION'!$B$3,W649='REP COMMISSION'!$B$3,Z649='REP COMMISSION'!$B$3)),1,0)</f>
        <v>0</v>
      </c>
      <c r="AX649" s="24" t="n">
        <f aca="false">AX648+IF(AND(C649&lt;&gt;"",OR(F649="LOC - INITIAL",F649="CONSOLIDATION - UPFRONT COMM",F649="REVERSE - TOTAL FUNDING")),1,0)</f>
        <v>0</v>
      </c>
    </row>
    <row r="650" customFormat="false" ht="15" hidden="false" customHeight="false" outlineLevel="0" collapsed="false">
      <c r="A650" s="8" t="str">
        <f aca="false">IF(C650&lt;&gt;"","F"&amp;COUNT($C$4:C650),"")</f>
        <v/>
      </c>
      <c r="B650" s="9" t="str">
        <f aca="false">IF(OR(F650="LOC - INITIAL",F650="CONSOLIDATION - UPFRONT COMM",F650="REVERSE - TOTAL FUNDING"),A650,"")</f>
        <v/>
      </c>
      <c r="C650" s="10"/>
      <c r="D650" s="11"/>
      <c r="E650" s="11"/>
      <c r="F650" s="11"/>
      <c r="G650" s="12"/>
      <c r="H650" s="13"/>
      <c r="I650" s="11"/>
      <c r="J650" s="14" t="str">
        <f aca="false">IF(AND(G650&lt;&gt;"",H650&lt;&gt;""),G650*H650,"")</f>
        <v/>
      </c>
      <c r="K650" s="11"/>
      <c r="L650" s="15"/>
      <c r="M650" s="15"/>
      <c r="N650" s="14" t="n">
        <f aca="false">IF(OR(G650="",M650=""),0,IF(M650&gt;100,M650,G650*IF(M650&gt;1,M650/100,M650)))</f>
        <v>0</v>
      </c>
      <c r="O650" s="14" t="str">
        <f aca="false">IF(G650="","",G650*IF(L650="",0,IF(L650&gt;1,L650/100,L650))+N650)</f>
        <v/>
      </c>
      <c r="P650" s="11"/>
      <c r="Q650" s="16" t="str">
        <f aca="false">IF(P650="","",IFERROR(VLOOKUP(P650,PARTNERS!$A$2:$B$30,2,0),""))</f>
        <v/>
      </c>
      <c r="R650" s="17" t="str">
        <f aca="false">IF(O650="","",IF(OR(P650="",Q650=""),0,(O650-N650)*IF(Q650&gt;1,Q650/100,Q650)))</f>
        <v/>
      </c>
      <c r="S650" s="14" t="str">
        <f aca="false">IF(O650="","",O650-R650)</f>
        <v/>
      </c>
      <c r="T650" s="11"/>
      <c r="U650" s="18" t="str">
        <f aca="false">IF(T650="","",IFERROR(VLOOKUP(T650,REPS!$A$2:$D$40,2,0),""))</f>
        <v/>
      </c>
      <c r="V650" s="14" t="str">
        <f aca="false">IF(O650="","",IF(U650="",0,O650*IF(U650&gt;1,U650/100,U650)))</f>
        <v/>
      </c>
      <c r="W650" s="11"/>
      <c r="X650" s="18" t="str">
        <f aca="false">IF(W650="","",IFERROR(VLOOKUP(W650,REPS!$A$2:$D$40,3,0),""))</f>
        <v/>
      </c>
      <c r="Y650" s="14" t="str">
        <f aca="false">IF(O650="","",IF(X650="",0,O650*IF(X650&gt;1,X650/100,X650)))</f>
        <v/>
      </c>
      <c r="Z650" s="11"/>
      <c r="AA650" s="18" t="str">
        <f aca="false">IF(Z650="","",IFERROR(VLOOKUP(Z650,REPS!$A$2:$D$40,4,0),""))</f>
        <v/>
      </c>
      <c r="AB650" s="14" t="str">
        <f aca="false">IF(O650="","",IF(AA650="",0,O650*IF(AA650&gt;1,AA650/100,AA650)))</f>
        <v/>
      </c>
      <c r="AC650" s="14" t="str">
        <f aca="false">IF(O650="","",V650+Y650+AB650)</f>
        <v/>
      </c>
      <c r="AD650" s="19" t="str">
        <f aca="false">IF(O650="","",O650-R650-AC650)</f>
        <v/>
      </c>
      <c r="AE650" s="20"/>
      <c r="AF650" s="10"/>
      <c r="AG650" s="21" t="n">
        <f aca="false">IF(OR(AE650="",AE650=0),0,AE650*IF(U650="",0,IF(U650&gt;1,U650/100,U650)))</f>
        <v>0</v>
      </c>
      <c r="AH650" s="21" t="n">
        <f aca="false">IF(OR(AE650="",AE650=0),0,AE650*IF(X650="",0,IF(X650&gt;1,X650/100,X650)))</f>
        <v>0</v>
      </c>
      <c r="AI650" s="21" t="n">
        <f aca="false">IF(OR(AE650="",AE650=0),0,AE650*IF(AA650="",0,IF(AA650&gt;1,AA650/100,AA650)))</f>
        <v>0</v>
      </c>
      <c r="AJ650" s="21" t="n">
        <f aca="false">AG650+AH650+AI650</f>
        <v>0</v>
      </c>
      <c r="AK650" s="21" t="n">
        <f aca="false">IF(OR(AE650="",AE650=0),0,AE650-AJ650)</f>
        <v>0</v>
      </c>
      <c r="AL650" s="19" t="str">
        <f aca="false">IF(AD650="","",AD650-AK650)</f>
        <v/>
      </c>
      <c r="AM650" s="9" t="str">
        <f aca="false">IF(C650="","","Waiting for payment")</f>
        <v/>
      </c>
      <c r="AN650" s="10"/>
      <c r="AO650" s="10"/>
      <c r="AP650" s="22" t="str">
        <f aca="false">IF(OR(C650="",I650="",K650=""),"",IF(K650="Monthly",EDATE(C650,ROUND(I650*SETTINGS!$I$8,0)),WORKDAY(C650,ROUND(I650*SETTINGS!$I$8,0))))</f>
        <v/>
      </c>
      <c r="AQ650" s="9" t="str">
        <f aca="true">IF(C650="","",IF(AND(AP650&lt;&gt;"",TODAY()&gt;=AP650),"Refi Ready",IF(TODAY()-C650&gt;=SETTINGS!$I$11,"Prospecting","Performing")))</f>
        <v/>
      </c>
      <c r="AR650" s="22" t="str">
        <f aca="false">IF(OR(C650="",I650="",K650=""),"",IF(K650="Monthly",EDATE(C650,I650),WORKDAY(C650,I650)))</f>
        <v/>
      </c>
      <c r="AS650" s="11"/>
      <c r="AT650" s="23" t="str">
        <f aca="true">IF(C650="","",IF(AM650="Clawed Back","CLAWED",IF(TODAY()&lt;=C650+SETTINGS!$I$2,"⚠ AT RISK","SAFE")))</f>
        <v/>
      </c>
      <c r="AU650" s="11"/>
      <c r="AW650" s="24" t="n">
        <f aca="false">AW649+IF(AND(C650&lt;&gt;"",AO650&lt;&gt;"",OR('REP COMMISSION'!$B$3="",T650='REP COMMISSION'!$B$3,W650='REP COMMISSION'!$B$3,Z650='REP COMMISSION'!$B$3)),1,0)</f>
        <v>0</v>
      </c>
      <c r="AX650" s="24" t="n">
        <f aca="false">AX649+IF(AND(C650&lt;&gt;"",OR(F650="LOC - INITIAL",F650="CONSOLIDATION - UPFRONT COMM",F650="REVERSE - TOTAL FUNDING")),1,0)</f>
        <v>0</v>
      </c>
    </row>
    <row r="651" customFormat="false" ht="15" hidden="false" customHeight="false" outlineLevel="0" collapsed="false">
      <c r="A651" s="25" t="str">
        <f aca="false">IF(C651&lt;&gt;"","F"&amp;COUNT($C$4:C651),"")</f>
        <v/>
      </c>
      <c r="B651" s="26" t="str">
        <f aca="false">IF(OR(F651="LOC - INITIAL",F651="CONSOLIDATION - UPFRONT COMM",F651="REVERSE - TOTAL FUNDING"),A651,"")</f>
        <v/>
      </c>
      <c r="C651" s="27"/>
      <c r="D651" s="28"/>
      <c r="E651" s="28"/>
      <c r="F651" s="28"/>
      <c r="G651" s="29"/>
      <c r="H651" s="30"/>
      <c r="I651" s="28"/>
      <c r="J651" s="31" t="str">
        <f aca="false">IF(AND(G651&lt;&gt;"",H651&lt;&gt;""),G651*H651,"")</f>
        <v/>
      </c>
      <c r="K651" s="28"/>
      <c r="L651" s="32"/>
      <c r="M651" s="32"/>
      <c r="N651" s="31" t="n">
        <f aca="false">IF(OR(G651="",M651=""),0,IF(M651&gt;100,M651,G651*IF(M651&gt;1,M651/100,M651)))</f>
        <v>0</v>
      </c>
      <c r="O651" s="31" t="str">
        <f aca="false">IF(G651="","",G651*IF(L651="",0,IF(L651&gt;1,L651/100,L651))+N651)</f>
        <v/>
      </c>
      <c r="P651" s="28"/>
      <c r="Q651" s="33" t="str">
        <f aca="false">IF(P651="","",IFERROR(VLOOKUP(P651,PARTNERS!$A$2:$B$30,2,0),""))</f>
        <v/>
      </c>
      <c r="R651" s="17" t="str">
        <f aca="false">IF(O651="","",IF(OR(P651="",Q651=""),0,(O651-N651)*IF(Q651&gt;1,Q651/100,Q651)))</f>
        <v/>
      </c>
      <c r="S651" s="31" t="str">
        <f aca="false">IF(O651="","",O651-R651)</f>
        <v/>
      </c>
      <c r="T651" s="28"/>
      <c r="U651" s="34" t="str">
        <f aca="false">IF(T651="","",IFERROR(VLOOKUP(T651,REPS!$A$2:$D$40,2,0),""))</f>
        <v/>
      </c>
      <c r="V651" s="31" t="str">
        <f aca="false">IF(O651="","",IF(U651="",0,O651*IF(U651&gt;1,U651/100,U651)))</f>
        <v/>
      </c>
      <c r="W651" s="28"/>
      <c r="X651" s="34" t="str">
        <f aca="false">IF(W651="","",IFERROR(VLOOKUP(W651,REPS!$A$2:$D$40,3,0),""))</f>
        <v/>
      </c>
      <c r="Y651" s="31" t="str">
        <f aca="false">IF(O651="","",IF(X651="",0,O651*IF(X651&gt;1,X651/100,X651)))</f>
        <v/>
      </c>
      <c r="Z651" s="28"/>
      <c r="AA651" s="34" t="str">
        <f aca="false">IF(Z651="","",IFERROR(VLOOKUP(Z651,REPS!$A$2:$D$40,4,0),""))</f>
        <v/>
      </c>
      <c r="AB651" s="31" t="str">
        <f aca="false">IF(O651="","",IF(AA651="",0,O651*IF(AA651&gt;1,AA651/100,AA651)))</f>
        <v/>
      </c>
      <c r="AC651" s="31" t="str">
        <f aca="false">IF(O651="","",V651+Y651+AB651)</f>
        <v/>
      </c>
      <c r="AD651" s="19" t="str">
        <f aca="false">IF(O651="","",O651-R651-AC651)</f>
        <v/>
      </c>
      <c r="AE651" s="20"/>
      <c r="AF651" s="27"/>
      <c r="AG651" s="21" t="n">
        <f aca="false">IF(OR(AE651="",AE651=0),0,AE651*IF(U651="",0,IF(U651&gt;1,U651/100,U651)))</f>
        <v>0</v>
      </c>
      <c r="AH651" s="21" t="n">
        <f aca="false">IF(OR(AE651="",AE651=0),0,AE651*IF(X651="",0,IF(X651&gt;1,X651/100,X651)))</f>
        <v>0</v>
      </c>
      <c r="AI651" s="21" t="n">
        <f aca="false">IF(OR(AE651="",AE651=0),0,AE651*IF(AA651="",0,IF(AA651&gt;1,AA651/100,AA651)))</f>
        <v>0</v>
      </c>
      <c r="AJ651" s="21" t="n">
        <f aca="false">AG651+AH651+AI651</f>
        <v>0</v>
      </c>
      <c r="AK651" s="21" t="n">
        <f aca="false">IF(OR(AE651="",AE651=0),0,AE651-AJ651)</f>
        <v>0</v>
      </c>
      <c r="AL651" s="19" t="str">
        <f aca="false">IF(AD651="","",AD651-AK651)</f>
        <v/>
      </c>
      <c r="AM651" s="26" t="str">
        <f aca="false">IF(C651="","","Waiting for payment")</f>
        <v/>
      </c>
      <c r="AN651" s="27"/>
      <c r="AO651" s="27"/>
      <c r="AP651" s="35" t="str">
        <f aca="false">IF(OR(C651="",I651="",K651=""),"",IF(K651="Monthly",EDATE(C651,ROUND(I651*SETTINGS!$I$8,0)),WORKDAY(C651,ROUND(I651*SETTINGS!$I$8,0))))</f>
        <v/>
      </c>
      <c r="AQ651" s="26" t="str">
        <f aca="true">IF(C651="","",IF(AND(AP651&lt;&gt;"",TODAY()&gt;=AP651),"Refi Ready",IF(TODAY()-C651&gt;=SETTINGS!$I$11,"Prospecting","Performing")))</f>
        <v/>
      </c>
      <c r="AR651" s="35" t="str">
        <f aca="false">IF(OR(C651="",I651="",K651=""),"",IF(K651="Monthly",EDATE(C651,I651),WORKDAY(C651,I651)))</f>
        <v/>
      </c>
      <c r="AS651" s="28"/>
      <c r="AT651" s="36" t="str">
        <f aca="true">IF(C651="","",IF(AM651="Clawed Back","CLAWED",IF(TODAY()&lt;=C651+SETTINGS!$I$2,"⚠ AT RISK","SAFE")))</f>
        <v/>
      </c>
      <c r="AU651" s="28"/>
      <c r="AW651" s="24" t="n">
        <f aca="false">AW650+IF(AND(C651&lt;&gt;"",AO651&lt;&gt;"",OR('REP COMMISSION'!$B$3="",T651='REP COMMISSION'!$B$3,W651='REP COMMISSION'!$B$3,Z651='REP COMMISSION'!$B$3)),1,0)</f>
        <v>0</v>
      </c>
      <c r="AX651" s="24" t="n">
        <f aca="false">AX650+IF(AND(C651&lt;&gt;"",OR(F651="LOC - INITIAL",F651="CONSOLIDATION - UPFRONT COMM",F651="REVERSE - TOTAL FUNDING")),1,0)</f>
        <v>0</v>
      </c>
    </row>
    <row r="652" customFormat="false" ht="15" hidden="false" customHeight="false" outlineLevel="0" collapsed="false">
      <c r="A652" s="8" t="str">
        <f aca="false">IF(C652&lt;&gt;"","F"&amp;COUNT($C$4:C652),"")</f>
        <v/>
      </c>
      <c r="B652" s="9" t="str">
        <f aca="false">IF(OR(F652="LOC - INITIAL",F652="CONSOLIDATION - UPFRONT COMM",F652="REVERSE - TOTAL FUNDING"),A652,"")</f>
        <v/>
      </c>
      <c r="C652" s="10"/>
      <c r="D652" s="11"/>
      <c r="E652" s="11"/>
      <c r="F652" s="11"/>
      <c r="G652" s="12"/>
      <c r="H652" s="13"/>
      <c r="I652" s="11"/>
      <c r="J652" s="14" t="str">
        <f aca="false">IF(AND(G652&lt;&gt;"",H652&lt;&gt;""),G652*H652,"")</f>
        <v/>
      </c>
      <c r="K652" s="11"/>
      <c r="L652" s="15"/>
      <c r="M652" s="15"/>
      <c r="N652" s="14" t="n">
        <f aca="false">IF(OR(G652="",M652=""),0,IF(M652&gt;100,M652,G652*IF(M652&gt;1,M652/100,M652)))</f>
        <v>0</v>
      </c>
      <c r="O652" s="14" t="str">
        <f aca="false">IF(G652="","",G652*IF(L652="",0,IF(L652&gt;1,L652/100,L652))+N652)</f>
        <v/>
      </c>
      <c r="P652" s="11"/>
      <c r="Q652" s="16" t="str">
        <f aca="false">IF(P652="","",IFERROR(VLOOKUP(P652,PARTNERS!$A$2:$B$30,2,0),""))</f>
        <v/>
      </c>
      <c r="R652" s="17" t="str">
        <f aca="false">IF(O652="","",IF(OR(P652="",Q652=""),0,(O652-N652)*IF(Q652&gt;1,Q652/100,Q652)))</f>
        <v/>
      </c>
      <c r="S652" s="14" t="str">
        <f aca="false">IF(O652="","",O652-R652)</f>
        <v/>
      </c>
      <c r="T652" s="11"/>
      <c r="U652" s="18" t="str">
        <f aca="false">IF(T652="","",IFERROR(VLOOKUP(T652,REPS!$A$2:$D$40,2,0),""))</f>
        <v/>
      </c>
      <c r="V652" s="14" t="str">
        <f aca="false">IF(O652="","",IF(U652="",0,O652*IF(U652&gt;1,U652/100,U652)))</f>
        <v/>
      </c>
      <c r="W652" s="11"/>
      <c r="X652" s="18" t="str">
        <f aca="false">IF(W652="","",IFERROR(VLOOKUP(W652,REPS!$A$2:$D$40,3,0),""))</f>
        <v/>
      </c>
      <c r="Y652" s="14" t="str">
        <f aca="false">IF(O652="","",IF(X652="",0,O652*IF(X652&gt;1,X652/100,X652)))</f>
        <v/>
      </c>
      <c r="Z652" s="11"/>
      <c r="AA652" s="18" t="str">
        <f aca="false">IF(Z652="","",IFERROR(VLOOKUP(Z652,REPS!$A$2:$D$40,4,0),""))</f>
        <v/>
      </c>
      <c r="AB652" s="14" t="str">
        <f aca="false">IF(O652="","",IF(AA652="",0,O652*IF(AA652&gt;1,AA652/100,AA652)))</f>
        <v/>
      </c>
      <c r="AC652" s="14" t="str">
        <f aca="false">IF(O652="","",V652+Y652+AB652)</f>
        <v/>
      </c>
      <c r="AD652" s="19" t="str">
        <f aca="false">IF(O652="","",O652-R652-AC652)</f>
        <v/>
      </c>
      <c r="AE652" s="20"/>
      <c r="AF652" s="10"/>
      <c r="AG652" s="21" t="n">
        <f aca="false">IF(OR(AE652="",AE652=0),0,AE652*IF(U652="",0,IF(U652&gt;1,U652/100,U652)))</f>
        <v>0</v>
      </c>
      <c r="AH652" s="21" t="n">
        <f aca="false">IF(OR(AE652="",AE652=0),0,AE652*IF(X652="",0,IF(X652&gt;1,X652/100,X652)))</f>
        <v>0</v>
      </c>
      <c r="AI652" s="21" t="n">
        <f aca="false">IF(OR(AE652="",AE652=0),0,AE652*IF(AA652="",0,IF(AA652&gt;1,AA652/100,AA652)))</f>
        <v>0</v>
      </c>
      <c r="AJ652" s="21" t="n">
        <f aca="false">AG652+AH652+AI652</f>
        <v>0</v>
      </c>
      <c r="AK652" s="21" t="n">
        <f aca="false">IF(OR(AE652="",AE652=0),0,AE652-AJ652)</f>
        <v>0</v>
      </c>
      <c r="AL652" s="19" t="str">
        <f aca="false">IF(AD652="","",AD652-AK652)</f>
        <v/>
      </c>
      <c r="AM652" s="9" t="str">
        <f aca="false">IF(C652="","","Waiting for payment")</f>
        <v/>
      </c>
      <c r="AN652" s="10"/>
      <c r="AO652" s="10"/>
      <c r="AP652" s="22" t="str">
        <f aca="false">IF(OR(C652="",I652="",K652=""),"",IF(K652="Monthly",EDATE(C652,ROUND(I652*SETTINGS!$I$8,0)),WORKDAY(C652,ROUND(I652*SETTINGS!$I$8,0))))</f>
        <v/>
      </c>
      <c r="AQ652" s="9" t="str">
        <f aca="true">IF(C652="","",IF(AND(AP652&lt;&gt;"",TODAY()&gt;=AP652),"Refi Ready",IF(TODAY()-C652&gt;=SETTINGS!$I$11,"Prospecting","Performing")))</f>
        <v/>
      </c>
      <c r="AR652" s="22" t="str">
        <f aca="false">IF(OR(C652="",I652="",K652=""),"",IF(K652="Monthly",EDATE(C652,I652),WORKDAY(C652,I652)))</f>
        <v/>
      </c>
      <c r="AS652" s="11"/>
      <c r="AT652" s="23" t="str">
        <f aca="true">IF(C652="","",IF(AM652="Clawed Back","CLAWED",IF(TODAY()&lt;=C652+SETTINGS!$I$2,"⚠ AT RISK","SAFE")))</f>
        <v/>
      </c>
      <c r="AU652" s="11"/>
      <c r="AW652" s="24" t="n">
        <f aca="false">AW651+IF(AND(C652&lt;&gt;"",AO652&lt;&gt;"",OR('REP COMMISSION'!$B$3="",T652='REP COMMISSION'!$B$3,W652='REP COMMISSION'!$B$3,Z652='REP COMMISSION'!$B$3)),1,0)</f>
        <v>0</v>
      </c>
      <c r="AX652" s="24" t="n">
        <f aca="false">AX651+IF(AND(C652&lt;&gt;"",OR(F652="LOC - INITIAL",F652="CONSOLIDATION - UPFRONT COMM",F652="REVERSE - TOTAL FUNDING")),1,0)</f>
        <v>0</v>
      </c>
    </row>
    <row r="653" customFormat="false" ht="15" hidden="false" customHeight="false" outlineLevel="0" collapsed="false">
      <c r="A653" s="25" t="str">
        <f aca="false">IF(C653&lt;&gt;"","F"&amp;COUNT($C$4:C653),"")</f>
        <v/>
      </c>
      <c r="B653" s="26" t="str">
        <f aca="false">IF(OR(F653="LOC - INITIAL",F653="CONSOLIDATION - UPFRONT COMM",F653="REVERSE - TOTAL FUNDING"),A653,"")</f>
        <v/>
      </c>
      <c r="C653" s="27"/>
      <c r="D653" s="28"/>
      <c r="E653" s="28"/>
      <c r="F653" s="28"/>
      <c r="G653" s="29"/>
      <c r="H653" s="30"/>
      <c r="I653" s="28"/>
      <c r="J653" s="31" t="str">
        <f aca="false">IF(AND(G653&lt;&gt;"",H653&lt;&gt;""),G653*H653,"")</f>
        <v/>
      </c>
      <c r="K653" s="28"/>
      <c r="L653" s="32"/>
      <c r="M653" s="32"/>
      <c r="N653" s="31" t="n">
        <f aca="false">IF(OR(G653="",M653=""),0,IF(M653&gt;100,M653,G653*IF(M653&gt;1,M653/100,M653)))</f>
        <v>0</v>
      </c>
      <c r="O653" s="31" t="str">
        <f aca="false">IF(G653="","",G653*IF(L653="",0,IF(L653&gt;1,L653/100,L653))+N653)</f>
        <v/>
      </c>
      <c r="P653" s="28"/>
      <c r="Q653" s="33" t="str">
        <f aca="false">IF(P653="","",IFERROR(VLOOKUP(P653,PARTNERS!$A$2:$B$30,2,0),""))</f>
        <v/>
      </c>
      <c r="R653" s="17" t="str">
        <f aca="false">IF(O653="","",IF(OR(P653="",Q653=""),0,(O653-N653)*IF(Q653&gt;1,Q653/100,Q653)))</f>
        <v/>
      </c>
      <c r="S653" s="31" t="str">
        <f aca="false">IF(O653="","",O653-R653)</f>
        <v/>
      </c>
      <c r="T653" s="28"/>
      <c r="U653" s="34" t="str">
        <f aca="false">IF(T653="","",IFERROR(VLOOKUP(T653,REPS!$A$2:$D$40,2,0),""))</f>
        <v/>
      </c>
      <c r="V653" s="31" t="str">
        <f aca="false">IF(O653="","",IF(U653="",0,O653*IF(U653&gt;1,U653/100,U653)))</f>
        <v/>
      </c>
      <c r="W653" s="28"/>
      <c r="X653" s="34" t="str">
        <f aca="false">IF(W653="","",IFERROR(VLOOKUP(W653,REPS!$A$2:$D$40,3,0),""))</f>
        <v/>
      </c>
      <c r="Y653" s="31" t="str">
        <f aca="false">IF(O653="","",IF(X653="",0,O653*IF(X653&gt;1,X653/100,X653)))</f>
        <v/>
      </c>
      <c r="Z653" s="28"/>
      <c r="AA653" s="34" t="str">
        <f aca="false">IF(Z653="","",IFERROR(VLOOKUP(Z653,REPS!$A$2:$D$40,4,0),""))</f>
        <v/>
      </c>
      <c r="AB653" s="31" t="str">
        <f aca="false">IF(O653="","",IF(AA653="",0,O653*IF(AA653&gt;1,AA653/100,AA653)))</f>
        <v/>
      </c>
      <c r="AC653" s="31" t="str">
        <f aca="false">IF(O653="","",V653+Y653+AB653)</f>
        <v/>
      </c>
      <c r="AD653" s="19" t="str">
        <f aca="false">IF(O653="","",O653-R653-AC653)</f>
        <v/>
      </c>
      <c r="AE653" s="20"/>
      <c r="AF653" s="27"/>
      <c r="AG653" s="21" t="n">
        <f aca="false">IF(OR(AE653="",AE653=0),0,AE653*IF(U653="",0,IF(U653&gt;1,U653/100,U653)))</f>
        <v>0</v>
      </c>
      <c r="AH653" s="21" t="n">
        <f aca="false">IF(OR(AE653="",AE653=0),0,AE653*IF(X653="",0,IF(X653&gt;1,X653/100,X653)))</f>
        <v>0</v>
      </c>
      <c r="AI653" s="21" t="n">
        <f aca="false">IF(OR(AE653="",AE653=0),0,AE653*IF(AA653="",0,IF(AA653&gt;1,AA653/100,AA653)))</f>
        <v>0</v>
      </c>
      <c r="AJ653" s="21" t="n">
        <f aca="false">AG653+AH653+AI653</f>
        <v>0</v>
      </c>
      <c r="AK653" s="21" t="n">
        <f aca="false">IF(OR(AE653="",AE653=0),0,AE653-AJ653)</f>
        <v>0</v>
      </c>
      <c r="AL653" s="19" t="str">
        <f aca="false">IF(AD653="","",AD653-AK653)</f>
        <v/>
      </c>
      <c r="AM653" s="26" t="str">
        <f aca="false">IF(C653="","","Waiting for payment")</f>
        <v/>
      </c>
      <c r="AN653" s="27"/>
      <c r="AO653" s="27"/>
      <c r="AP653" s="35" t="str">
        <f aca="false">IF(OR(C653="",I653="",K653=""),"",IF(K653="Monthly",EDATE(C653,ROUND(I653*SETTINGS!$I$8,0)),WORKDAY(C653,ROUND(I653*SETTINGS!$I$8,0))))</f>
        <v/>
      </c>
      <c r="AQ653" s="26" t="str">
        <f aca="true">IF(C653="","",IF(AND(AP653&lt;&gt;"",TODAY()&gt;=AP653),"Refi Ready",IF(TODAY()-C653&gt;=SETTINGS!$I$11,"Prospecting","Performing")))</f>
        <v/>
      </c>
      <c r="AR653" s="35" t="str">
        <f aca="false">IF(OR(C653="",I653="",K653=""),"",IF(K653="Monthly",EDATE(C653,I653),WORKDAY(C653,I653)))</f>
        <v/>
      </c>
      <c r="AS653" s="28"/>
      <c r="AT653" s="36" t="str">
        <f aca="true">IF(C653="","",IF(AM653="Clawed Back","CLAWED",IF(TODAY()&lt;=C653+SETTINGS!$I$2,"⚠ AT RISK","SAFE")))</f>
        <v/>
      </c>
      <c r="AU653" s="28"/>
      <c r="AW653" s="24" t="n">
        <f aca="false">AW652+IF(AND(C653&lt;&gt;"",AO653&lt;&gt;"",OR('REP COMMISSION'!$B$3="",T653='REP COMMISSION'!$B$3,W653='REP COMMISSION'!$B$3,Z653='REP COMMISSION'!$B$3)),1,0)</f>
        <v>0</v>
      </c>
      <c r="AX653" s="24" t="n">
        <f aca="false">AX652+IF(AND(C653&lt;&gt;"",OR(F653="LOC - INITIAL",F653="CONSOLIDATION - UPFRONT COMM",F653="REVERSE - TOTAL FUNDING")),1,0)</f>
        <v>0</v>
      </c>
    </row>
    <row r="654" customFormat="false" ht="15" hidden="false" customHeight="false" outlineLevel="0" collapsed="false">
      <c r="A654" s="8" t="str">
        <f aca="false">IF(C654&lt;&gt;"","F"&amp;COUNT($C$4:C654),"")</f>
        <v/>
      </c>
      <c r="B654" s="9" t="str">
        <f aca="false">IF(OR(F654="LOC - INITIAL",F654="CONSOLIDATION - UPFRONT COMM",F654="REVERSE - TOTAL FUNDING"),A654,"")</f>
        <v/>
      </c>
      <c r="C654" s="10"/>
      <c r="D654" s="11"/>
      <c r="E654" s="11"/>
      <c r="F654" s="11"/>
      <c r="G654" s="12"/>
      <c r="H654" s="13"/>
      <c r="I654" s="11"/>
      <c r="J654" s="14" t="str">
        <f aca="false">IF(AND(G654&lt;&gt;"",H654&lt;&gt;""),G654*H654,"")</f>
        <v/>
      </c>
      <c r="K654" s="11"/>
      <c r="L654" s="15"/>
      <c r="M654" s="15"/>
      <c r="N654" s="14" t="n">
        <f aca="false">IF(OR(G654="",M654=""),0,IF(M654&gt;100,M654,G654*IF(M654&gt;1,M654/100,M654)))</f>
        <v>0</v>
      </c>
      <c r="O654" s="14" t="str">
        <f aca="false">IF(G654="","",G654*IF(L654="",0,IF(L654&gt;1,L654/100,L654))+N654)</f>
        <v/>
      </c>
      <c r="P654" s="11"/>
      <c r="Q654" s="16" t="str">
        <f aca="false">IF(P654="","",IFERROR(VLOOKUP(P654,PARTNERS!$A$2:$B$30,2,0),""))</f>
        <v/>
      </c>
      <c r="R654" s="17" t="str">
        <f aca="false">IF(O654="","",IF(OR(P654="",Q654=""),0,(O654-N654)*IF(Q654&gt;1,Q654/100,Q654)))</f>
        <v/>
      </c>
      <c r="S654" s="14" t="str">
        <f aca="false">IF(O654="","",O654-R654)</f>
        <v/>
      </c>
      <c r="T654" s="11"/>
      <c r="U654" s="18" t="str">
        <f aca="false">IF(T654="","",IFERROR(VLOOKUP(T654,REPS!$A$2:$D$40,2,0),""))</f>
        <v/>
      </c>
      <c r="V654" s="14" t="str">
        <f aca="false">IF(O654="","",IF(U654="",0,O654*IF(U654&gt;1,U654/100,U654)))</f>
        <v/>
      </c>
      <c r="W654" s="11"/>
      <c r="X654" s="18" t="str">
        <f aca="false">IF(W654="","",IFERROR(VLOOKUP(W654,REPS!$A$2:$D$40,3,0),""))</f>
        <v/>
      </c>
      <c r="Y654" s="14" t="str">
        <f aca="false">IF(O654="","",IF(X654="",0,O654*IF(X654&gt;1,X654/100,X654)))</f>
        <v/>
      </c>
      <c r="Z654" s="11"/>
      <c r="AA654" s="18" t="str">
        <f aca="false">IF(Z654="","",IFERROR(VLOOKUP(Z654,REPS!$A$2:$D$40,4,0),""))</f>
        <v/>
      </c>
      <c r="AB654" s="14" t="str">
        <f aca="false">IF(O654="","",IF(AA654="",0,O654*IF(AA654&gt;1,AA654/100,AA654)))</f>
        <v/>
      </c>
      <c r="AC654" s="14" t="str">
        <f aca="false">IF(O654="","",V654+Y654+AB654)</f>
        <v/>
      </c>
      <c r="AD654" s="19" t="str">
        <f aca="false">IF(O654="","",O654-R654-AC654)</f>
        <v/>
      </c>
      <c r="AE654" s="20"/>
      <c r="AF654" s="10"/>
      <c r="AG654" s="21" t="n">
        <f aca="false">IF(OR(AE654="",AE654=0),0,AE654*IF(U654="",0,IF(U654&gt;1,U654/100,U654)))</f>
        <v>0</v>
      </c>
      <c r="AH654" s="21" t="n">
        <f aca="false">IF(OR(AE654="",AE654=0),0,AE654*IF(X654="",0,IF(X654&gt;1,X654/100,X654)))</f>
        <v>0</v>
      </c>
      <c r="AI654" s="21" t="n">
        <f aca="false">IF(OR(AE654="",AE654=0),0,AE654*IF(AA654="",0,IF(AA654&gt;1,AA654/100,AA654)))</f>
        <v>0</v>
      </c>
      <c r="AJ654" s="21" t="n">
        <f aca="false">AG654+AH654+AI654</f>
        <v>0</v>
      </c>
      <c r="AK654" s="21" t="n">
        <f aca="false">IF(OR(AE654="",AE654=0),0,AE654-AJ654)</f>
        <v>0</v>
      </c>
      <c r="AL654" s="19" t="str">
        <f aca="false">IF(AD654="","",AD654-AK654)</f>
        <v/>
      </c>
      <c r="AM654" s="9" t="str">
        <f aca="false">IF(C654="","","Waiting for payment")</f>
        <v/>
      </c>
      <c r="AN654" s="10"/>
      <c r="AO654" s="10"/>
      <c r="AP654" s="22" t="str">
        <f aca="false">IF(OR(C654="",I654="",K654=""),"",IF(K654="Monthly",EDATE(C654,ROUND(I654*SETTINGS!$I$8,0)),WORKDAY(C654,ROUND(I654*SETTINGS!$I$8,0))))</f>
        <v/>
      </c>
      <c r="AQ654" s="9" t="str">
        <f aca="true">IF(C654="","",IF(AND(AP654&lt;&gt;"",TODAY()&gt;=AP654),"Refi Ready",IF(TODAY()-C654&gt;=SETTINGS!$I$11,"Prospecting","Performing")))</f>
        <v/>
      </c>
      <c r="AR654" s="22" t="str">
        <f aca="false">IF(OR(C654="",I654="",K654=""),"",IF(K654="Monthly",EDATE(C654,I654),WORKDAY(C654,I654)))</f>
        <v/>
      </c>
      <c r="AS654" s="11"/>
      <c r="AT654" s="23" t="str">
        <f aca="true">IF(C654="","",IF(AM654="Clawed Back","CLAWED",IF(TODAY()&lt;=C654+SETTINGS!$I$2,"⚠ AT RISK","SAFE")))</f>
        <v/>
      </c>
      <c r="AU654" s="11"/>
      <c r="AW654" s="24" t="n">
        <f aca="false">AW653+IF(AND(C654&lt;&gt;"",AO654&lt;&gt;"",OR('REP COMMISSION'!$B$3="",T654='REP COMMISSION'!$B$3,W654='REP COMMISSION'!$B$3,Z654='REP COMMISSION'!$B$3)),1,0)</f>
        <v>0</v>
      </c>
      <c r="AX654" s="24" t="n">
        <f aca="false">AX653+IF(AND(C654&lt;&gt;"",OR(F654="LOC - INITIAL",F654="CONSOLIDATION - UPFRONT COMM",F654="REVERSE - TOTAL FUNDING")),1,0)</f>
        <v>0</v>
      </c>
    </row>
    <row r="655" customFormat="false" ht="15" hidden="false" customHeight="false" outlineLevel="0" collapsed="false">
      <c r="A655" s="25" t="str">
        <f aca="false">IF(C655&lt;&gt;"","F"&amp;COUNT($C$4:C655),"")</f>
        <v/>
      </c>
      <c r="B655" s="26" t="str">
        <f aca="false">IF(OR(F655="LOC - INITIAL",F655="CONSOLIDATION - UPFRONT COMM",F655="REVERSE - TOTAL FUNDING"),A655,"")</f>
        <v/>
      </c>
      <c r="C655" s="27"/>
      <c r="D655" s="28"/>
      <c r="E655" s="28"/>
      <c r="F655" s="28"/>
      <c r="G655" s="29"/>
      <c r="H655" s="30"/>
      <c r="I655" s="28"/>
      <c r="J655" s="31" t="str">
        <f aca="false">IF(AND(G655&lt;&gt;"",H655&lt;&gt;""),G655*H655,"")</f>
        <v/>
      </c>
      <c r="K655" s="28"/>
      <c r="L655" s="32"/>
      <c r="M655" s="32"/>
      <c r="N655" s="31" t="n">
        <f aca="false">IF(OR(G655="",M655=""),0,IF(M655&gt;100,M655,G655*IF(M655&gt;1,M655/100,M655)))</f>
        <v>0</v>
      </c>
      <c r="O655" s="31" t="str">
        <f aca="false">IF(G655="","",G655*IF(L655="",0,IF(L655&gt;1,L655/100,L655))+N655)</f>
        <v/>
      </c>
      <c r="P655" s="28"/>
      <c r="Q655" s="33" t="str">
        <f aca="false">IF(P655="","",IFERROR(VLOOKUP(P655,PARTNERS!$A$2:$B$30,2,0),""))</f>
        <v/>
      </c>
      <c r="R655" s="17" t="str">
        <f aca="false">IF(O655="","",IF(OR(P655="",Q655=""),0,(O655-N655)*IF(Q655&gt;1,Q655/100,Q655)))</f>
        <v/>
      </c>
      <c r="S655" s="31" t="str">
        <f aca="false">IF(O655="","",O655-R655)</f>
        <v/>
      </c>
      <c r="T655" s="28"/>
      <c r="U655" s="34" t="str">
        <f aca="false">IF(T655="","",IFERROR(VLOOKUP(T655,REPS!$A$2:$D$40,2,0),""))</f>
        <v/>
      </c>
      <c r="V655" s="31" t="str">
        <f aca="false">IF(O655="","",IF(U655="",0,O655*IF(U655&gt;1,U655/100,U655)))</f>
        <v/>
      </c>
      <c r="W655" s="28"/>
      <c r="X655" s="34" t="str">
        <f aca="false">IF(W655="","",IFERROR(VLOOKUP(W655,REPS!$A$2:$D$40,3,0),""))</f>
        <v/>
      </c>
      <c r="Y655" s="31" t="str">
        <f aca="false">IF(O655="","",IF(X655="",0,O655*IF(X655&gt;1,X655/100,X655)))</f>
        <v/>
      </c>
      <c r="Z655" s="28"/>
      <c r="AA655" s="34" t="str">
        <f aca="false">IF(Z655="","",IFERROR(VLOOKUP(Z655,REPS!$A$2:$D$40,4,0),""))</f>
        <v/>
      </c>
      <c r="AB655" s="31" t="str">
        <f aca="false">IF(O655="","",IF(AA655="",0,O655*IF(AA655&gt;1,AA655/100,AA655)))</f>
        <v/>
      </c>
      <c r="AC655" s="31" t="str">
        <f aca="false">IF(O655="","",V655+Y655+AB655)</f>
        <v/>
      </c>
      <c r="AD655" s="19" t="str">
        <f aca="false">IF(O655="","",O655-R655-AC655)</f>
        <v/>
      </c>
      <c r="AE655" s="20"/>
      <c r="AF655" s="27"/>
      <c r="AG655" s="21" t="n">
        <f aca="false">IF(OR(AE655="",AE655=0),0,AE655*IF(U655="",0,IF(U655&gt;1,U655/100,U655)))</f>
        <v>0</v>
      </c>
      <c r="AH655" s="21" t="n">
        <f aca="false">IF(OR(AE655="",AE655=0),0,AE655*IF(X655="",0,IF(X655&gt;1,X655/100,X655)))</f>
        <v>0</v>
      </c>
      <c r="AI655" s="21" t="n">
        <f aca="false">IF(OR(AE655="",AE655=0),0,AE655*IF(AA655="",0,IF(AA655&gt;1,AA655/100,AA655)))</f>
        <v>0</v>
      </c>
      <c r="AJ655" s="21" t="n">
        <f aca="false">AG655+AH655+AI655</f>
        <v>0</v>
      </c>
      <c r="AK655" s="21" t="n">
        <f aca="false">IF(OR(AE655="",AE655=0),0,AE655-AJ655)</f>
        <v>0</v>
      </c>
      <c r="AL655" s="19" t="str">
        <f aca="false">IF(AD655="","",AD655-AK655)</f>
        <v/>
      </c>
      <c r="AM655" s="26" t="str">
        <f aca="false">IF(C655="","","Waiting for payment")</f>
        <v/>
      </c>
      <c r="AN655" s="27"/>
      <c r="AO655" s="27"/>
      <c r="AP655" s="35" t="str">
        <f aca="false">IF(OR(C655="",I655="",K655=""),"",IF(K655="Monthly",EDATE(C655,ROUND(I655*SETTINGS!$I$8,0)),WORKDAY(C655,ROUND(I655*SETTINGS!$I$8,0))))</f>
        <v/>
      </c>
      <c r="AQ655" s="26" t="str">
        <f aca="true">IF(C655="","",IF(AND(AP655&lt;&gt;"",TODAY()&gt;=AP655),"Refi Ready",IF(TODAY()-C655&gt;=SETTINGS!$I$11,"Prospecting","Performing")))</f>
        <v/>
      </c>
      <c r="AR655" s="35" t="str">
        <f aca="false">IF(OR(C655="",I655="",K655=""),"",IF(K655="Monthly",EDATE(C655,I655),WORKDAY(C655,I655)))</f>
        <v/>
      </c>
      <c r="AS655" s="28"/>
      <c r="AT655" s="36" t="str">
        <f aca="true">IF(C655="","",IF(AM655="Clawed Back","CLAWED",IF(TODAY()&lt;=C655+SETTINGS!$I$2,"⚠ AT RISK","SAFE")))</f>
        <v/>
      </c>
      <c r="AU655" s="28"/>
      <c r="AW655" s="24" t="n">
        <f aca="false">AW654+IF(AND(C655&lt;&gt;"",AO655&lt;&gt;"",OR('REP COMMISSION'!$B$3="",T655='REP COMMISSION'!$B$3,W655='REP COMMISSION'!$B$3,Z655='REP COMMISSION'!$B$3)),1,0)</f>
        <v>0</v>
      </c>
      <c r="AX655" s="24" t="n">
        <f aca="false">AX654+IF(AND(C655&lt;&gt;"",OR(F655="LOC - INITIAL",F655="CONSOLIDATION - UPFRONT COMM",F655="REVERSE - TOTAL FUNDING")),1,0)</f>
        <v>0</v>
      </c>
    </row>
    <row r="656" customFormat="false" ht="15" hidden="false" customHeight="false" outlineLevel="0" collapsed="false">
      <c r="A656" s="8" t="str">
        <f aca="false">IF(C656&lt;&gt;"","F"&amp;COUNT($C$4:C656),"")</f>
        <v/>
      </c>
      <c r="B656" s="9" t="str">
        <f aca="false">IF(OR(F656="LOC - INITIAL",F656="CONSOLIDATION - UPFRONT COMM",F656="REVERSE - TOTAL FUNDING"),A656,"")</f>
        <v/>
      </c>
      <c r="C656" s="10"/>
      <c r="D656" s="11"/>
      <c r="E656" s="11"/>
      <c r="F656" s="11"/>
      <c r="G656" s="12"/>
      <c r="H656" s="13"/>
      <c r="I656" s="11"/>
      <c r="J656" s="14" t="str">
        <f aca="false">IF(AND(G656&lt;&gt;"",H656&lt;&gt;""),G656*H656,"")</f>
        <v/>
      </c>
      <c r="K656" s="11"/>
      <c r="L656" s="15"/>
      <c r="M656" s="15"/>
      <c r="N656" s="14" t="n">
        <f aca="false">IF(OR(G656="",M656=""),0,IF(M656&gt;100,M656,G656*IF(M656&gt;1,M656/100,M656)))</f>
        <v>0</v>
      </c>
      <c r="O656" s="14" t="str">
        <f aca="false">IF(G656="","",G656*IF(L656="",0,IF(L656&gt;1,L656/100,L656))+N656)</f>
        <v/>
      </c>
      <c r="P656" s="11"/>
      <c r="Q656" s="16" t="str">
        <f aca="false">IF(P656="","",IFERROR(VLOOKUP(P656,PARTNERS!$A$2:$B$30,2,0),""))</f>
        <v/>
      </c>
      <c r="R656" s="17" t="str">
        <f aca="false">IF(O656="","",IF(OR(P656="",Q656=""),0,(O656-N656)*IF(Q656&gt;1,Q656/100,Q656)))</f>
        <v/>
      </c>
      <c r="S656" s="14" t="str">
        <f aca="false">IF(O656="","",O656-R656)</f>
        <v/>
      </c>
      <c r="T656" s="11"/>
      <c r="U656" s="18" t="str">
        <f aca="false">IF(T656="","",IFERROR(VLOOKUP(T656,REPS!$A$2:$D$40,2,0),""))</f>
        <v/>
      </c>
      <c r="V656" s="14" t="str">
        <f aca="false">IF(O656="","",IF(U656="",0,O656*IF(U656&gt;1,U656/100,U656)))</f>
        <v/>
      </c>
      <c r="W656" s="11"/>
      <c r="X656" s="18" t="str">
        <f aca="false">IF(W656="","",IFERROR(VLOOKUP(W656,REPS!$A$2:$D$40,3,0),""))</f>
        <v/>
      </c>
      <c r="Y656" s="14" t="str">
        <f aca="false">IF(O656="","",IF(X656="",0,O656*IF(X656&gt;1,X656/100,X656)))</f>
        <v/>
      </c>
      <c r="Z656" s="11"/>
      <c r="AA656" s="18" t="str">
        <f aca="false">IF(Z656="","",IFERROR(VLOOKUP(Z656,REPS!$A$2:$D$40,4,0),""))</f>
        <v/>
      </c>
      <c r="AB656" s="14" t="str">
        <f aca="false">IF(O656="","",IF(AA656="",0,O656*IF(AA656&gt;1,AA656/100,AA656)))</f>
        <v/>
      </c>
      <c r="AC656" s="14" t="str">
        <f aca="false">IF(O656="","",V656+Y656+AB656)</f>
        <v/>
      </c>
      <c r="AD656" s="19" t="str">
        <f aca="false">IF(O656="","",O656-R656-AC656)</f>
        <v/>
      </c>
      <c r="AE656" s="20"/>
      <c r="AF656" s="10"/>
      <c r="AG656" s="21" t="n">
        <f aca="false">IF(OR(AE656="",AE656=0),0,AE656*IF(U656="",0,IF(U656&gt;1,U656/100,U656)))</f>
        <v>0</v>
      </c>
      <c r="AH656" s="21" t="n">
        <f aca="false">IF(OR(AE656="",AE656=0),0,AE656*IF(X656="",0,IF(X656&gt;1,X656/100,X656)))</f>
        <v>0</v>
      </c>
      <c r="AI656" s="21" t="n">
        <f aca="false">IF(OR(AE656="",AE656=0),0,AE656*IF(AA656="",0,IF(AA656&gt;1,AA656/100,AA656)))</f>
        <v>0</v>
      </c>
      <c r="AJ656" s="21" t="n">
        <f aca="false">AG656+AH656+AI656</f>
        <v>0</v>
      </c>
      <c r="AK656" s="21" t="n">
        <f aca="false">IF(OR(AE656="",AE656=0),0,AE656-AJ656)</f>
        <v>0</v>
      </c>
      <c r="AL656" s="19" t="str">
        <f aca="false">IF(AD656="","",AD656-AK656)</f>
        <v/>
      </c>
      <c r="AM656" s="9" t="str">
        <f aca="false">IF(C656="","","Waiting for payment")</f>
        <v/>
      </c>
      <c r="AN656" s="10"/>
      <c r="AO656" s="10"/>
      <c r="AP656" s="22" t="str">
        <f aca="false">IF(OR(C656="",I656="",K656=""),"",IF(K656="Monthly",EDATE(C656,ROUND(I656*SETTINGS!$I$8,0)),WORKDAY(C656,ROUND(I656*SETTINGS!$I$8,0))))</f>
        <v/>
      </c>
      <c r="AQ656" s="9" t="str">
        <f aca="true">IF(C656="","",IF(AND(AP656&lt;&gt;"",TODAY()&gt;=AP656),"Refi Ready",IF(TODAY()-C656&gt;=SETTINGS!$I$11,"Prospecting","Performing")))</f>
        <v/>
      </c>
      <c r="AR656" s="22" t="str">
        <f aca="false">IF(OR(C656="",I656="",K656=""),"",IF(K656="Monthly",EDATE(C656,I656),WORKDAY(C656,I656)))</f>
        <v/>
      </c>
      <c r="AS656" s="11"/>
      <c r="AT656" s="23" t="str">
        <f aca="true">IF(C656="","",IF(AM656="Clawed Back","CLAWED",IF(TODAY()&lt;=C656+SETTINGS!$I$2,"⚠ AT RISK","SAFE")))</f>
        <v/>
      </c>
      <c r="AU656" s="11"/>
      <c r="AW656" s="24" t="n">
        <f aca="false">AW655+IF(AND(C656&lt;&gt;"",AO656&lt;&gt;"",OR('REP COMMISSION'!$B$3="",T656='REP COMMISSION'!$B$3,W656='REP COMMISSION'!$B$3,Z656='REP COMMISSION'!$B$3)),1,0)</f>
        <v>0</v>
      </c>
      <c r="AX656" s="24" t="n">
        <f aca="false">AX655+IF(AND(C656&lt;&gt;"",OR(F656="LOC - INITIAL",F656="CONSOLIDATION - UPFRONT COMM",F656="REVERSE - TOTAL FUNDING")),1,0)</f>
        <v>0</v>
      </c>
    </row>
    <row r="657" customFormat="false" ht="15" hidden="false" customHeight="false" outlineLevel="0" collapsed="false">
      <c r="A657" s="25" t="str">
        <f aca="false">IF(C657&lt;&gt;"","F"&amp;COUNT($C$4:C657),"")</f>
        <v/>
      </c>
      <c r="B657" s="26" t="str">
        <f aca="false">IF(OR(F657="LOC - INITIAL",F657="CONSOLIDATION - UPFRONT COMM",F657="REVERSE - TOTAL FUNDING"),A657,"")</f>
        <v/>
      </c>
      <c r="C657" s="27"/>
      <c r="D657" s="28"/>
      <c r="E657" s="28"/>
      <c r="F657" s="28"/>
      <c r="G657" s="29"/>
      <c r="H657" s="30"/>
      <c r="I657" s="28"/>
      <c r="J657" s="31" t="str">
        <f aca="false">IF(AND(G657&lt;&gt;"",H657&lt;&gt;""),G657*H657,"")</f>
        <v/>
      </c>
      <c r="K657" s="28"/>
      <c r="L657" s="32"/>
      <c r="M657" s="32"/>
      <c r="N657" s="31" t="n">
        <f aca="false">IF(OR(G657="",M657=""),0,IF(M657&gt;100,M657,G657*IF(M657&gt;1,M657/100,M657)))</f>
        <v>0</v>
      </c>
      <c r="O657" s="31" t="str">
        <f aca="false">IF(G657="","",G657*IF(L657="",0,IF(L657&gt;1,L657/100,L657))+N657)</f>
        <v/>
      </c>
      <c r="P657" s="28"/>
      <c r="Q657" s="33" t="str">
        <f aca="false">IF(P657="","",IFERROR(VLOOKUP(P657,PARTNERS!$A$2:$B$30,2,0),""))</f>
        <v/>
      </c>
      <c r="R657" s="17" t="str">
        <f aca="false">IF(O657="","",IF(OR(P657="",Q657=""),0,(O657-N657)*IF(Q657&gt;1,Q657/100,Q657)))</f>
        <v/>
      </c>
      <c r="S657" s="31" t="str">
        <f aca="false">IF(O657="","",O657-R657)</f>
        <v/>
      </c>
      <c r="T657" s="28"/>
      <c r="U657" s="34" t="str">
        <f aca="false">IF(T657="","",IFERROR(VLOOKUP(T657,REPS!$A$2:$D$40,2,0),""))</f>
        <v/>
      </c>
      <c r="V657" s="31" t="str">
        <f aca="false">IF(O657="","",IF(U657="",0,O657*IF(U657&gt;1,U657/100,U657)))</f>
        <v/>
      </c>
      <c r="W657" s="28"/>
      <c r="X657" s="34" t="str">
        <f aca="false">IF(W657="","",IFERROR(VLOOKUP(W657,REPS!$A$2:$D$40,3,0),""))</f>
        <v/>
      </c>
      <c r="Y657" s="31" t="str">
        <f aca="false">IF(O657="","",IF(X657="",0,O657*IF(X657&gt;1,X657/100,X657)))</f>
        <v/>
      </c>
      <c r="Z657" s="28"/>
      <c r="AA657" s="34" t="str">
        <f aca="false">IF(Z657="","",IFERROR(VLOOKUP(Z657,REPS!$A$2:$D$40,4,0),""))</f>
        <v/>
      </c>
      <c r="AB657" s="31" t="str">
        <f aca="false">IF(O657="","",IF(AA657="",0,O657*IF(AA657&gt;1,AA657/100,AA657)))</f>
        <v/>
      </c>
      <c r="AC657" s="31" t="str">
        <f aca="false">IF(O657="","",V657+Y657+AB657)</f>
        <v/>
      </c>
      <c r="AD657" s="19" t="str">
        <f aca="false">IF(O657="","",O657-R657-AC657)</f>
        <v/>
      </c>
      <c r="AE657" s="20"/>
      <c r="AF657" s="27"/>
      <c r="AG657" s="21" t="n">
        <f aca="false">IF(OR(AE657="",AE657=0),0,AE657*IF(U657="",0,IF(U657&gt;1,U657/100,U657)))</f>
        <v>0</v>
      </c>
      <c r="AH657" s="21" t="n">
        <f aca="false">IF(OR(AE657="",AE657=0),0,AE657*IF(X657="",0,IF(X657&gt;1,X657/100,X657)))</f>
        <v>0</v>
      </c>
      <c r="AI657" s="21" t="n">
        <f aca="false">IF(OR(AE657="",AE657=0),0,AE657*IF(AA657="",0,IF(AA657&gt;1,AA657/100,AA657)))</f>
        <v>0</v>
      </c>
      <c r="AJ657" s="21" t="n">
        <f aca="false">AG657+AH657+AI657</f>
        <v>0</v>
      </c>
      <c r="AK657" s="21" t="n">
        <f aca="false">IF(OR(AE657="",AE657=0),0,AE657-AJ657)</f>
        <v>0</v>
      </c>
      <c r="AL657" s="19" t="str">
        <f aca="false">IF(AD657="","",AD657-AK657)</f>
        <v/>
      </c>
      <c r="AM657" s="26" t="str">
        <f aca="false">IF(C657="","","Waiting for payment")</f>
        <v/>
      </c>
      <c r="AN657" s="27"/>
      <c r="AO657" s="27"/>
      <c r="AP657" s="35" t="str">
        <f aca="false">IF(OR(C657="",I657="",K657=""),"",IF(K657="Monthly",EDATE(C657,ROUND(I657*SETTINGS!$I$8,0)),WORKDAY(C657,ROUND(I657*SETTINGS!$I$8,0))))</f>
        <v/>
      </c>
      <c r="AQ657" s="26" t="str">
        <f aca="true">IF(C657="","",IF(AND(AP657&lt;&gt;"",TODAY()&gt;=AP657),"Refi Ready",IF(TODAY()-C657&gt;=SETTINGS!$I$11,"Prospecting","Performing")))</f>
        <v/>
      </c>
      <c r="AR657" s="35" t="str">
        <f aca="false">IF(OR(C657="",I657="",K657=""),"",IF(K657="Monthly",EDATE(C657,I657),WORKDAY(C657,I657)))</f>
        <v/>
      </c>
      <c r="AS657" s="28"/>
      <c r="AT657" s="36" t="str">
        <f aca="true">IF(C657="","",IF(AM657="Clawed Back","CLAWED",IF(TODAY()&lt;=C657+SETTINGS!$I$2,"⚠ AT RISK","SAFE")))</f>
        <v/>
      </c>
      <c r="AU657" s="28"/>
      <c r="AW657" s="24" t="n">
        <f aca="false">AW656+IF(AND(C657&lt;&gt;"",AO657&lt;&gt;"",OR('REP COMMISSION'!$B$3="",T657='REP COMMISSION'!$B$3,W657='REP COMMISSION'!$B$3,Z657='REP COMMISSION'!$B$3)),1,0)</f>
        <v>0</v>
      </c>
      <c r="AX657" s="24" t="n">
        <f aca="false">AX656+IF(AND(C657&lt;&gt;"",OR(F657="LOC - INITIAL",F657="CONSOLIDATION - UPFRONT COMM",F657="REVERSE - TOTAL FUNDING")),1,0)</f>
        <v>0</v>
      </c>
    </row>
    <row r="658" customFormat="false" ht="15" hidden="false" customHeight="false" outlineLevel="0" collapsed="false">
      <c r="A658" s="8" t="str">
        <f aca="false">IF(C658&lt;&gt;"","F"&amp;COUNT($C$4:C658),"")</f>
        <v/>
      </c>
      <c r="B658" s="9" t="str">
        <f aca="false">IF(OR(F658="LOC - INITIAL",F658="CONSOLIDATION - UPFRONT COMM",F658="REVERSE - TOTAL FUNDING"),A658,"")</f>
        <v/>
      </c>
      <c r="C658" s="10"/>
      <c r="D658" s="11"/>
      <c r="E658" s="11"/>
      <c r="F658" s="11"/>
      <c r="G658" s="12"/>
      <c r="H658" s="13"/>
      <c r="I658" s="11"/>
      <c r="J658" s="14" t="str">
        <f aca="false">IF(AND(G658&lt;&gt;"",H658&lt;&gt;""),G658*H658,"")</f>
        <v/>
      </c>
      <c r="K658" s="11"/>
      <c r="L658" s="15"/>
      <c r="M658" s="15"/>
      <c r="N658" s="14" t="n">
        <f aca="false">IF(OR(G658="",M658=""),0,IF(M658&gt;100,M658,G658*IF(M658&gt;1,M658/100,M658)))</f>
        <v>0</v>
      </c>
      <c r="O658" s="14" t="str">
        <f aca="false">IF(G658="","",G658*IF(L658="",0,IF(L658&gt;1,L658/100,L658))+N658)</f>
        <v/>
      </c>
      <c r="P658" s="11"/>
      <c r="Q658" s="16" t="str">
        <f aca="false">IF(P658="","",IFERROR(VLOOKUP(P658,PARTNERS!$A$2:$B$30,2,0),""))</f>
        <v/>
      </c>
      <c r="R658" s="17" t="str">
        <f aca="false">IF(O658="","",IF(OR(P658="",Q658=""),0,(O658-N658)*IF(Q658&gt;1,Q658/100,Q658)))</f>
        <v/>
      </c>
      <c r="S658" s="14" t="str">
        <f aca="false">IF(O658="","",O658-R658)</f>
        <v/>
      </c>
      <c r="T658" s="11"/>
      <c r="U658" s="18" t="str">
        <f aca="false">IF(T658="","",IFERROR(VLOOKUP(T658,REPS!$A$2:$D$40,2,0),""))</f>
        <v/>
      </c>
      <c r="V658" s="14" t="str">
        <f aca="false">IF(O658="","",IF(U658="",0,O658*IF(U658&gt;1,U658/100,U658)))</f>
        <v/>
      </c>
      <c r="W658" s="11"/>
      <c r="X658" s="18" t="str">
        <f aca="false">IF(W658="","",IFERROR(VLOOKUP(W658,REPS!$A$2:$D$40,3,0),""))</f>
        <v/>
      </c>
      <c r="Y658" s="14" t="str">
        <f aca="false">IF(O658="","",IF(X658="",0,O658*IF(X658&gt;1,X658/100,X658)))</f>
        <v/>
      </c>
      <c r="Z658" s="11"/>
      <c r="AA658" s="18" t="str">
        <f aca="false">IF(Z658="","",IFERROR(VLOOKUP(Z658,REPS!$A$2:$D$40,4,0),""))</f>
        <v/>
      </c>
      <c r="AB658" s="14" t="str">
        <f aca="false">IF(O658="","",IF(AA658="",0,O658*IF(AA658&gt;1,AA658/100,AA658)))</f>
        <v/>
      </c>
      <c r="AC658" s="14" t="str">
        <f aca="false">IF(O658="","",V658+Y658+AB658)</f>
        <v/>
      </c>
      <c r="AD658" s="19" t="str">
        <f aca="false">IF(O658="","",O658-R658-AC658)</f>
        <v/>
      </c>
      <c r="AE658" s="20"/>
      <c r="AF658" s="10"/>
      <c r="AG658" s="21" t="n">
        <f aca="false">IF(OR(AE658="",AE658=0),0,AE658*IF(U658="",0,IF(U658&gt;1,U658/100,U658)))</f>
        <v>0</v>
      </c>
      <c r="AH658" s="21" t="n">
        <f aca="false">IF(OR(AE658="",AE658=0),0,AE658*IF(X658="",0,IF(X658&gt;1,X658/100,X658)))</f>
        <v>0</v>
      </c>
      <c r="AI658" s="21" t="n">
        <f aca="false">IF(OR(AE658="",AE658=0),0,AE658*IF(AA658="",0,IF(AA658&gt;1,AA658/100,AA658)))</f>
        <v>0</v>
      </c>
      <c r="AJ658" s="21" t="n">
        <f aca="false">AG658+AH658+AI658</f>
        <v>0</v>
      </c>
      <c r="AK658" s="21" t="n">
        <f aca="false">IF(OR(AE658="",AE658=0),0,AE658-AJ658)</f>
        <v>0</v>
      </c>
      <c r="AL658" s="19" t="str">
        <f aca="false">IF(AD658="","",AD658-AK658)</f>
        <v/>
      </c>
      <c r="AM658" s="9" t="str">
        <f aca="false">IF(C658="","","Waiting for payment")</f>
        <v/>
      </c>
      <c r="AN658" s="10"/>
      <c r="AO658" s="10"/>
      <c r="AP658" s="22" t="str">
        <f aca="false">IF(OR(C658="",I658="",K658=""),"",IF(K658="Monthly",EDATE(C658,ROUND(I658*SETTINGS!$I$8,0)),WORKDAY(C658,ROUND(I658*SETTINGS!$I$8,0))))</f>
        <v/>
      </c>
      <c r="AQ658" s="9" t="str">
        <f aca="true">IF(C658="","",IF(AND(AP658&lt;&gt;"",TODAY()&gt;=AP658),"Refi Ready",IF(TODAY()-C658&gt;=SETTINGS!$I$11,"Prospecting","Performing")))</f>
        <v/>
      </c>
      <c r="AR658" s="22" t="str">
        <f aca="false">IF(OR(C658="",I658="",K658=""),"",IF(K658="Monthly",EDATE(C658,I658),WORKDAY(C658,I658)))</f>
        <v/>
      </c>
      <c r="AS658" s="11"/>
      <c r="AT658" s="23" t="str">
        <f aca="true">IF(C658="","",IF(AM658="Clawed Back","CLAWED",IF(TODAY()&lt;=C658+SETTINGS!$I$2,"⚠ AT RISK","SAFE")))</f>
        <v/>
      </c>
      <c r="AU658" s="11"/>
      <c r="AW658" s="24" t="n">
        <f aca="false">AW657+IF(AND(C658&lt;&gt;"",AO658&lt;&gt;"",OR('REP COMMISSION'!$B$3="",T658='REP COMMISSION'!$B$3,W658='REP COMMISSION'!$B$3,Z658='REP COMMISSION'!$B$3)),1,0)</f>
        <v>0</v>
      </c>
      <c r="AX658" s="24" t="n">
        <f aca="false">AX657+IF(AND(C658&lt;&gt;"",OR(F658="LOC - INITIAL",F658="CONSOLIDATION - UPFRONT COMM",F658="REVERSE - TOTAL FUNDING")),1,0)</f>
        <v>0</v>
      </c>
    </row>
    <row r="659" customFormat="false" ht="15" hidden="false" customHeight="false" outlineLevel="0" collapsed="false">
      <c r="A659" s="25" t="str">
        <f aca="false">IF(C659&lt;&gt;"","F"&amp;COUNT($C$4:C659),"")</f>
        <v/>
      </c>
      <c r="B659" s="26" t="str">
        <f aca="false">IF(OR(F659="LOC - INITIAL",F659="CONSOLIDATION - UPFRONT COMM",F659="REVERSE - TOTAL FUNDING"),A659,"")</f>
        <v/>
      </c>
      <c r="C659" s="27"/>
      <c r="D659" s="28"/>
      <c r="E659" s="28"/>
      <c r="F659" s="28"/>
      <c r="G659" s="29"/>
      <c r="H659" s="30"/>
      <c r="I659" s="28"/>
      <c r="J659" s="31" t="str">
        <f aca="false">IF(AND(G659&lt;&gt;"",H659&lt;&gt;""),G659*H659,"")</f>
        <v/>
      </c>
      <c r="K659" s="28"/>
      <c r="L659" s="32"/>
      <c r="M659" s="32"/>
      <c r="N659" s="31" t="n">
        <f aca="false">IF(OR(G659="",M659=""),0,IF(M659&gt;100,M659,G659*IF(M659&gt;1,M659/100,M659)))</f>
        <v>0</v>
      </c>
      <c r="O659" s="31" t="str">
        <f aca="false">IF(G659="","",G659*IF(L659="",0,IF(L659&gt;1,L659/100,L659))+N659)</f>
        <v/>
      </c>
      <c r="P659" s="28"/>
      <c r="Q659" s="33" t="str">
        <f aca="false">IF(P659="","",IFERROR(VLOOKUP(P659,PARTNERS!$A$2:$B$30,2,0),""))</f>
        <v/>
      </c>
      <c r="R659" s="17" t="str">
        <f aca="false">IF(O659="","",IF(OR(P659="",Q659=""),0,(O659-N659)*IF(Q659&gt;1,Q659/100,Q659)))</f>
        <v/>
      </c>
      <c r="S659" s="31" t="str">
        <f aca="false">IF(O659="","",O659-R659)</f>
        <v/>
      </c>
      <c r="T659" s="28"/>
      <c r="U659" s="34" t="str">
        <f aca="false">IF(T659="","",IFERROR(VLOOKUP(T659,REPS!$A$2:$D$40,2,0),""))</f>
        <v/>
      </c>
      <c r="V659" s="31" t="str">
        <f aca="false">IF(O659="","",IF(U659="",0,O659*IF(U659&gt;1,U659/100,U659)))</f>
        <v/>
      </c>
      <c r="W659" s="28"/>
      <c r="X659" s="34" t="str">
        <f aca="false">IF(W659="","",IFERROR(VLOOKUP(W659,REPS!$A$2:$D$40,3,0),""))</f>
        <v/>
      </c>
      <c r="Y659" s="31" t="str">
        <f aca="false">IF(O659="","",IF(X659="",0,O659*IF(X659&gt;1,X659/100,X659)))</f>
        <v/>
      </c>
      <c r="Z659" s="28"/>
      <c r="AA659" s="34" t="str">
        <f aca="false">IF(Z659="","",IFERROR(VLOOKUP(Z659,REPS!$A$2:$D$40,4,0),""))</f>
        <v/>
      </c>
      <c r="AB659" s="31" t="str">
        <f aca="false">IF(O659="","",IF(AA659="",0,O659*IF(AA659&gt;1,AA659/100,AA659)))</f>
        <v/>
      </c>
      <c r="AC659" s="31" t="str">
        <f aca="false">IF(O659="","",V659+Y659+AB659)</f>
        <v/>
      </c>
      <c r="AD659" s="19" t="str">
        <f aca="false">IF(O659="","",O659-R659-AC659)</f>
        <v/>
      </c>
      <c r="AE659" s="20"/>
      <c r="AF659" s="27"/>
      <c r="AG659" s="21" t="n">
        <f aca="false">IF(OR(AE659="",AE659=0),0,AE659*IF(U659="",0,IF(U659&gt;1,U659/100,U659)))</f>
        <v>0</v>
      </c>
      <c r="AH659" s="21" t="n">
        <f aca="false">IF(OR(AE659="",AE659=0),0,AE659*IF(X659="",0,IF(X659&gt;1,X659/100,X659)))</f>
        <v>0</v>
      </c>
      <c r="AI659" s="21" t="n">
        <f aca="false">IF(OR(AE659="",AE659=0),0,AE659*IF(AA659="",0,IF(AA659&gt;1,AA659/100,AA659)))</f>
        <v>0</v>
      </c>
      <c r="AJ659" s="21" t="n">
        <f aca="false">AG659+AH659+AI659</f>
        <v>0</v>
      </c>
      <c r="AK659" s="21" t="n">
        <f aca="false">IF(OR(AE659="",AE659=0),0,AE659-AJ659)</f>
        <v>0</v>
      </c>
      <c r="AL659" s="19" t="str">
        <f aca="false">IF(AD659="","",AD659-AK659)</f>
        <v/>
      </c>
      <c r="AM659" s="26" t="str">
        <f aca="false">IF(C659="","","Waiting for payment")</f>
        <v/>
      </c>
      <c r="AN659" s="27"/>
      <c r="AO659" s="27"/>
      <c r="AP659" s="35" t="str">
        <f aca="false">IF(OR(C659="",I659="",K659=""),"",IF(K659="Monthly",EDATE(C659,ROUND(I659*SETTINGS!$I$8,0)),WORKDAY(C659,ROUND(I659*SETTINGS!$I$8,0))))</f>
        <v/>
      </c>
      <c r="AQ659" s="26" t="str">
        <f aca="true">IF(C659="","",IF(AND(AP659&lt;&gt;"",TODAY()&gt;=AP659),"Refi Ready",IF(TODAY()-C659&gt;=SETTINGS!$I$11,"Prospecting","Performing")))</f>
        <v/>
      </c>
      <c r="AR659" s="35" t="str">
        <f aca="false">IF(OR(C659="",I659="",K659=""),"",IF(K659="Monthly",EDATE(C659,I659),WORKDAY(C659,I659)))</f>
        <v/>
      </c>
      <c r="AS659" s="28"/>
      <c r="AT659" s="36" t="str">
        <f aca="true">IF(C659="","",IF(AM659="Clawed Back","CLAWED",IF(TODAY()&lt;=C659+SETTINGS!$I$2,"⚠ AT RISK","SAFE")))</f>
        <v/>
      </c>
      <c r="AU659" s="28"/>
      <c r="AW659" s="24" t="n">
        <f aca="false">AW658+IF(AND(C659&lt;&gt;"",AO659&lt;&gt;"",OR('REP COMMISSION'!$B$3="",T659='REP COMMISSION'!$B$3,W659='REP COMMISSION'!$B$3,Z659='REP COMMISSION'!$B$3)),1,0)</f>
        <v>0</v>
      </c>
      <c r="AX659" s="24" t="n">
        <f aca="false">AX658+IF(AND(C659&lt;&gt;"",OR(F659="LOC - INITIAL",F659="CONSOLIDATION - UPFRONT COMM",F659="REVERSE - TOTAL FUNDING")),1,0)</f>
        <v>0</v>
      </c>
    </row>
    <row r="660" customFormat="false" ht="15" hidden="false" customHeight="false" outlineLevel="0" collapsed="false">
      <c r="A660" s="8" t="str">
        <f aca="false">IF(C660&lt;&gt;"","F"&amp;COUNT($C$4:C660),"")</f>
        <v/>
      </c>
      <c r="B660" s="9" t="str">
        <f aca="false">IF(OR(F660="LOC - INITIAL",F660="CONSOLIDATION - UPFRONT COMM",F660="REVERSE - TOTAL FUNDING"),A660,"")</f>
        <v/>
      </c>
      <c r="C660" s="10"/>
      <c r="D660" s="11"/>
      <c r="E660" s="11"/>
      <c r="F660" s="11"/>
      <c r="G660" s="12"/>
      <c r="H660" s="13"/>
      <c r="I660" s="11"/>
      <c r="J660" s="14" t="str">
        <f aca="false">IF(AND(G660&lt;&gt;"",H660&lt;&gt;""),G660*H660,"")</f>
        <v/>
      </c>
      <c r="K660" s="11"/>
      <c r="L660" s="15"/>
      <c r="M660" s="15"/>
      <c r="N660" s="14" t="n">
        <f aca="false">IF(OR(G660="",M660=""),0,IF(M660&gt;100,M660,G660*IF(M660&gt;1,M660/100,M660)))</f>
        <v>0</v>
      </c>
      <c r="O660" s="14" t="str">
        <f aca="false">IF(G660="","",G660*IF(L660="",0,IF(L660&gt;1,L660/100,L660))+N660)</f>
        <v/>
      </c>
      <c r="P660" s="11"/>
      <c r="Q660" s="16" t="str">
        <f aca="false">IF(P660="","",IFERROR(VLOOKUP(P660,PARTNERS!$A$2:$B$30,2,0),""))</f>
        <v/>
      </c>
      <c r="R660" s="17" t="str">
        <f aca="false">IF(O660="","",IF(OR(P660="",Q660=""),0,(O660-N660)*IF(Q660&gt;1,Q660/100,Q660)))</f>
        <v/>
      </c>
      <c r="S660" s="14" t="str">
        <f aca="false">IF(O660="","",O660-R660)</f>
        <v/>
      </c>
      <c r="T660" s="11"/>
      <c r="U660" s="18" t="str">
        <f aca="false">IF(T660="","",IFERROR(VLOOKUP(T660,REPS!$A$2:$D$40,2,0),""))</f>
        <v/>
      </c>
      <c r="V660" s="14" t="str">
        <f aca="false">IF(O660="","",IF(U660="",0,O660*IF(U660&gt;1,U660/100,U660)))</f>
        <v/>
      </c>
      <c r="W660" s="11"/>
      <c r="X660" s="18" t="str">
        <f aca="false">IF(W660="","",IFERROR(VLOOKUP(W660,REPS!$A$2:$D$40,3,0),""))</f>
        <v/>
      </c>
      <c r="Y660" s="14" t="str">
        <f aca="false">IF(O660="","",IF(X660="",0,O660*IF(X660&gt;1,X660/100,X660)))</f>
        <v/>
      </c>
      <c r="Z660" s="11"/>
      <c r="AA660" s="18" t="str">
        <f aca="false">IF(Z660="","",IFERROR(VLOOKUP(Z660,REPS!$A$2:$D$40,4,0),""))</f>
        <v/>
      </c>
      <c r="AB660" s="14" t="str">
        <f aca="false">IF(O660="","",IF(AA660="",0,O660*IF(AA660&gt;1,AA660/100,AA660)))</f>
        <v/>
      </c>
      <c r="AC660" s="14" t="str">
        <f aca="false">IF(O660="","",V660+Y660+AB660)</f>
        <v/>
      </c>
      <c r="AD660" s="19" t="str">
        <f aca="false">IF(O660="","",O660-R660-AC660)</f>
        <v/>
      </c>
      <c r="AE660" s="20"/>
      <c r="AF660" s="10"/>
      <c r="AG660" s="21" t="n">
        <f aca="false">IF(OR(AE660="",AE660=0),0,AE660*IF(U660="",0,IF(U660&gt;1,U660/100,U660)))</f>
        <v>0</v>
      </c>
      <c r="AH660" s="21" t="n">
        <f aca="false">IF(OR(AE660="",AE660=0),0,AE660*IF(X660="",0,IF(X660&gt;1,X660/100,X660)))</f>
        <v>0</v>
      </c>
      <c r="AI660" s="21" t="n">
        <f aca="false">IF(OR(AE660="",AE660=0),0,AE660*IF(AA660="",0,IF(AA660&gt;1,AA660/100,AA660)))</f>
        <v>0</v>
      </c>
      <c r="AJ660" s="21" t="n">
        <f aca="false">AG660+AH660+AI660</f>
        <v>0</v>
      </c>
      <c r="AK660" s="21" t="n">
        <f aca="false">IF(OR(AE660="",AE660=0),0,AE660-AJ660)</f>
        <v>0</v>
      </c>
      <c r="AL660" s="19" t="str">
        <f aca="false">IF(AD660="","",AD660-AK660)</f>
        <v/>
      </c>
      <c r="AM660" s="9" t="str">
        <f aca="false">IF(C660="","","Waiting for payment")</f>
        <v/>
      </c>
      <c r="AN660" s="10"/>
      <c r="AO660" s="10"/>
      <c r="AP660" s="22" t="str">
        <f aca="false">IF(OR(C660="",I660="",K660=""),"",IF(K660="Monthly",EDATE(C660,ROUND(I660*SETTINGS!$I$8,0)),WORKDAY(C660,ROUND(I660*SETTINGS!$I$8,0))))</f>
        <v/>
      </c>
      <c r="AQ660" s="9" t="str">
        <f aca="true">IF(C660="","",IF(AND(AP660&lt;&gt;"",TODAY()&gt;=AP660),"Refi Ready",IF(TODAY()-C660&gt;=SETTINGS!$I$11,"Prospecting","Performing")))</f>
        <v/>
      </c>
      <c r="AR660" s="22" t="str">
        <f aca="false">IF(OR(C660="",I660="",K660=""),"",IF(K660="Monthly",EDATE(C660,I660),WORKDAY(C660,I660)))</f>
        <v/>
      </c>
      <c r="AS660" s="11"/>
      <c r="AT660" s="23" t="str">
        <f aca="true">IF(C660="","",IF(AM660="Clawed Back","CLAWED",IF(TODAY()&lt;=C660+SETTINGS!$I$2,"⚠ AT RISK","SAFE")))</f>
        <v/>
      </c>
      <c r="AU660" s="11"/>
      <c r="AW660" s="24" t="n">
        <f aca="false">AW659+IF(AND(C660&lt;&gt;"",AO660&lt;&gt;"",OR('REP COMMISSION'!$B$3="",T660='REP COMMISSION'!$B$3,W660='REP COMMISSION'!$B$3,Z660='REP COMMISSION'!$B$3)),1,0)</f>
        <v>0</v>
      </c>
      <c r="AX660" s="24" t="n">
        <f aca="false">AX659+IF(AND(C660&lt;&gt;"",OR(F660="LOC - INITIAL",F660="CONSOLIDATION - UPFRONT COMM",F660="REVERSE - TOTAL FUNDING")),1,0)</f>
        <v>0</v>
      </c>
    </row>
    <row r="661" customFormat="false" ht="15" hidden="false" customHeight="false" outlineLevel="0" collapsed="false">
      <c r="A661" s="25" t="str">
        <f aca="false">IF(C661&lt;&gt;"","F"&amp;COUNT($C$4:C661),"")</f>
        <v/>
      </c>
      <c r="B661" s="26" t="str">
        <f aca="false">IF(OR(F661="LOC - INITIAL",F661="CONSOLIDATION - UPFRONT COMM",F661="REVERSE - TOTAL FUNDING"),A661,"")</f>
        <v/>
      </c>
      <c r="C661" s="27"/>
      <c r="D661" s="28"/>
      <c r="E661" s="28"/>
      <c r="F661" s="28"/>
      <c r="G661" s="29"/>
      <c r="H661" s="30"/>
      <c r="I661" s="28"/>
      <c r="J661" s="31" t="str">
        <f aca="false">IF(AND(G661&lt;&gt;"",H661&lt;&gt;""),G661*H661,"")</f>
        <v/>
      </c>
      <c r="K661" s="28"/>
      <c r="L661" s="32"/>
      <c r="M661" s="32"/>
      <c r="N661" s="31" t="n">
        <f aca="false">IF(OR(G661="",M661=""),0,IF(M661&gt;100,M661,G661*IF(M661&gt;1,M661/100,M661)))</f>
        <v>0</v>
      </c>
      <c r="O661" s="31" t="str">
        <f aca="false">IF(G661="","",G661*IF(L661="",0,IF(L661&gt;1,L661/100,L661))+N661)</f>
        <v/>
      </c>
      <c r="P661" s="28"/>
      <c r="Q661" s="33" t="str">
        <f aca="false">IF(P661="","",IFERROR(VLOOKUP(P661,PARTNERS!$A$2:$B$30,2,0),""))</f>
        <v/>
      </c>
      <c r="R661" s="17" t="str">
        <f aca="false">IF(O661="","",IF(OR(P661="",Q661=""),0,(O661-N661)*IF(Q661&gt;1,Q661/100,Q661)))</f>
        <v/>
      </c>
      <c r="S661" s="31" t="str">
        <f aca="false">IF(O661="","",O661-R661)</f>
        <v/>
      </c>
      <c r="T661" s="28"/>
      <c r="U661" s="34" t="str">
        <f aca="false">IF(T661="","",IFERROR(VLOOKUP(T661,REPS!$A$2:$D$40,2,0),""))</f>
        <v/>
      </c>
      <c r="V661" s="31" t="str">
        <f aca="false">IF(O661="","",IF(U661="",0,O661*IF(U661&gt;1,U661/100,U661)))</f>
        <v/>
      </c>
      <c r="W661" s="28"/>
      <c r="X661" s="34" t="str">
        <f aca="false">IF(W661="","",IFERROR(VLOOKUP(W661,REPS!$A$2:$D$40,3,0),""))</f>
        <v/>
      </c>
      <c r="Y661" s="31" t="str">
        <f aca="false">IF(O661="","",IF(X661="",0,O661*IF(X661&gt;1,X661/100,X661)))</f>
        <v/>
      </c>
      <c r="Z661" s="28"/>
      <c r="AA661" s="34" t="str">
        <f aca="false">IF(Z661="","",IFERROR(VLOOKUP(Z661,REPS!$A$2:$D$40,4,0),""))</f>
        <v/>
      </c>
      <c r="AB661" s="31" t="str">
        <f aca="false">IF(O661="","",IF(AA661="",0,O661*IF(AA661&gt;1,AA661/100,AA661)))</f>
        <v/>
      </c>
      <c r="AC661" s="31" t="str">
        <f aca="false">IF(O661="","",V661+Y661+AB661)</f>
        <v/>
      </c>
      <c r="AD661" s="19" t="str">
        <f aca="false">IF(O661="","",O661-R661-AC661)</f>
        <v/>
      </c>
      <c r="AE661" s="20"/>
      <c r="AF661" s="27"/>
      <c r="AG661" s="21" t="n">
        <f aca="false">IF(OR(AE661="",AE661=0),0,AE661*IF(U661="",0,IF(U661&gt;1,U661/100,U661)))</f>
        <v>0</v>
      </c>
      <c r="AH661" s="21" t="n">
        <f aca="false">IF(OR(AE661="",AE661=0),0,AE661*IF(X661="",0,IF(X661&gt;1,X661/100,X661)))</f>
        <v>0</v>
      </c>
      <c r="AI661" s="21" t="n">
        <f aca="false">IF(OR(AE661="",AE661=0),0,AE661*IF(AA661="",0,IF(AA661&gt;1,AA661/100,AA661)))</f>
        <v>0</v>
      </c>
      <c r="AJ661" s="21" t="n">
        <f aca="false">AG661+AH661+AI661</f>
        <v>0</v>
      </c>
      <c r="AK661" s="21" t="n">
        <f aca="false">IF(OR(AE661="",AE661=0),0,AE661-AJ661)</f>
        <v>0</v>
      </c>
      <c r="AL661" s="19" t="str">
        <f aca="false">IF(AD661="","",AD661-AK661)</f>
        <v/>
      </c>
      <c r="AM661" s="26" t="str">
        <f aca="false">IF(C661="","","Waiting for payment")</f>
        <v/>
      </c>
      <c r="AN661" s="27"/>
      <c r="AO661" s="27"/>
      <c r="AP661" s="35" t="str">
        <f aca="false">IF(OR(C661="",I661="",K661=""),"",IF(K661="Monthly",EDATE(C661,ROUND(I661*SETTINGS!$I$8,0)),WORKDAY(C661,ROUND(I661*SETTINGS!$I$8,0))))</f>
        <v/>
      </c>
      <c r="AQ661" s="26" t="str">
        <f aca="true">IF(C661="","",IF(AND(AP661&lt;&gt;"",TODAY()&gt;=AP661),"Refi Ready",IF(TODAY()-C661&gt;=SETTINGS!$I$11,"Prospecting","Performing")))</f>
        <v/>
      </c>
      <c r="AR661" s="35" t="str">
        <f aca="false">IF(OR(C661="",I661="",K661=""),"",IF(K661="Monthly",EDATE(C661,I661),WORKDAY(C661,I661)))</f>
        <v/>
      </c>
      <c r="AS661" s="28"/>
      <c r="AT661" s="36" t="str">
        <f aca="true">IF(C661="","",IF(AM661="Clawed Back","CLAWED",IF(TODAY()&lt;=C661+SETTINGS!$I$2,"⚠ AT RISK","SAFE")))</f>
        <v/>
      </c>
      <c r="AU661" s="28"/>
      <c r="AW661" s="24" t="n">
        <f aca="false">AW660+IF(AND(C661&lt;&gt;"",AO661&lt;&gt;"",OR('REP COMMISSION'!$B$3="",T661='REP COMMISSION'!$B$3,W661='REP COMMISSION'!$B$3,Z661='REP COMMISSION'!$B$3)),1,0)</f>
        <v>0</v>
      </c>
      <c r="AX661" s="24" t="n">
        <f aca="false">AX660+IF(AND(C661&lt;&gt;"",OR(F661="LOC - INITIAL",F661="CONSOLIDATION - UPFRONT COMM",F661="REVERSE - TOTAL FUNDING")),1,0)</f>
        <v>0</v>
      </c>
    </row>
    <row r="662" customFormat="false" ht="15" hidden="false" customHeight="false" outlineLevel="0" collapsed="false">
      <c r="A662" s="8" t="str">
        <f aca="false">IF(C662&lt;&gt;"","F"&amp;COUNT($C$4:C662),"")</f>
        <v/>
      </c>
      <c r="B662" s="9" t="str">
        <f aca="false">IF(OR(F662="LOC - INITIAL",F662="CONSOLIDATION - UPFRONT COMM",F662="REVERSE - TOTAL FUNDING"),A662,"")</f>
        <v/>
      </c>
      <c r="C662" s="10"/>
      <c r="D662" s="11"/>
      <c r="E662" s="11"/>
      <c r="F662" s="11"/>
      <c r="G662" s="12"/>
      <c r="H662" s="13"/>
      <c r="I662" s="11"/>
      <c r="J662" s="14" t="str">
        <f aca="false">IF(AND(G662&lt;&gt;"",H662&lt;&gt;""),G662*H662,"")</f>
        <v/>
      </c>
      <c r="K662" s="11"/>
      <c r="L662" s="15"/>
      <c r="M662" s="15"/>
      <c r="N662" s="14" t="n">
        <f aca="false">IF(OR(G662="",M662=""),0,IF(M662&gt;100,M662,G662*IF(M662&gt;1,M662/100,M662)))</f>
        <v>0</v>
      </c>
      <c r="O662" s="14" t="str">
        <f aca="false">IF(G662="","",G662*IF(L662="",0,IF(L662&gt;1,L662/100,L662))+N662)</f>
        <v/>
      </c>
      <c r="P662" s="11"/>
      <c r="Q662" s="16" t="str">
        <f aca="false">IF(P662="","",IFERROR(VLOOKUP(P662,PARTNERS!$A$2:$B$30,2,0),""))</f>
        <v/>
      </c>
      <c r="R662" s="17" t="str">
        <f aca="false">IF(O662="","",IF(OR(P662="",Q662=""),0,(O662-N662)*IF(Q662&gt;1,Q662/100,Q662)))</f>
        <v/>
      </c>
      <c r="S662" s="14" t="str">
        <f aca="false">IF(O662="","",O662-R662)</f>
        <v/>
      </c>
      <c r="T662" s="11"/>
      <c r="U662" s="18" t="str">
        <f aca="false">IF(T662="","",IFERROR(VLOOKUP(T662,REPS!$A$2:$D$40,2,0),""))</f>
        <v/>
      </c>
      <c r="V662" s="14" t="str">
        <f aca="false">IF(O662="","",IF(U662="",0,O662*IF(U662&gt;1,U662/100,U662)))</f>
        <v/>
      </c>
      <c r="W662" s="11"/>
      <c r="X662" s="18" t="str">
        <f aca="false">IF(W662="","",IFERROR(VLOOKUP(W662,REPS!$A$2:$D$40,3,0),""))</f>
        <v/>
      </c>
      <c r="Y662" s="14" t="str">
        <f aca="false">IF(O662="","",IF(X662="",0,O662*IF(X662&gt;1,X662/100,X662)))</f>
        <v/>
      </c>
      <c r="Z662" s="11"/>
      <c r="AA662" s="18" t="str">
        <f aca="false">IF(Z662="","",IFERROR(VLOOKUP(Z662,REPS!$A$2:$D$40,4,0),""))</f>
        <v/>
      </c>
      <c r="AB662" s="14" t="str">
        <f aca="false">IF(O662="","",IF(AA662="",0,O662*IF(AA662&gt;1,AA662/100,AA662)))</f>
        <v/>
      </c>
      <c r="AC662" s="14" t="str">
        <f aca="false">IF(O662="","",V662+Y662+AB662)</f>
        <v/>
      </c>
      <c r="AD662" s="19" t="str">
        <f aca="false">IF(O662="","",O662-R662-AC662)</f>
        <v/>
      </c>
      <c r="AE662" s="20"/>
      <c r="AF662" s="10"/>
      <c r="AG662" s="21" t="n">
        <f aca="false">IF(OR(AE662="",AE662=0),0,AE662*IF(U662="",0,IF(U662&gt;1,U662/100,U662)))</f>
        <v>0</v>
      </c>
      <c r="AH662" s="21" t="n">
        <f aca="false">IF(OR(AE662="",AE662=0),0,AE662*IF(X662="",0,IF(X662&gt;1,X662/100,X662)))</f>
        <v>0</v>
      </c>
      <c r="AI662" s="21" t="n">
        <f aca="false">IF(OR(AE662="",AE662=0),0,AE662*IF(AA662="",0,IF(AA662&gt;1,AA662/100,AA662)))</f>
        <v>0</v>
      </c>
      <c r="AJ662" s="21" t="n">
        <f aca="false">AG662+AH662+AI662</f>
        <v>0</v>
      </c>
      <c r="AK662" s="21" t="n">
        <f aca="false">IF(OR(AE662="",AE662=0),0,AE662-AJ662)</f>
        <v>0</v>
      </c>
      <c r="AL662" s="19" t="str">
        <f aca="false">IF(AD662="","",AD662-AK662)</f>
        <v/>
      </c>
      <c r="AM662" s="9" t="str">
        <f aca="false">IF(C662="","","Waiting for payment")</f>
        <v/>
      </c>
      <c r="AN662" s="10"/>
      <c r="AO662" s="10"/>
      <c r="AP662" s="22" t="str">
        <f aca="false">IF(OR(C662="",I662="",K662=""),"",IF(K662="Monthly",EDATE(C662,ROUND(I662*SETTINGS!$I$8,0)),WORKDAY(C662,ROUND(I662*SETTINGS!$I$8,0))))</f>
        <v/>
      </c>
      <c r="AQ662" s="9" t="str">
        <f aca="true">IF(C662="","",IF(AND(AP662&lt;&gt;"",TODAY()&gt;=AP662),"Refi Ready",IF(TODAY()-C662&gt;=SETTINGS!$I$11,"Prospecting","Performing")))</f>
        <v/>
      </c>
      <c r="AR662" s="22" t="str">
        <f aca="false">IF(OR(C662="",I662="",K662=""),"",IF(K662="Monthly",EDATE(C662,I662),WORKDAY(C662,I662)))</f>
        <v/>
      </c>
      <c r="AS662" s="11"/>
      <c r="AT662" s="23" t="str">
        <f aca="true">IF(C662="","",IF(AM662="Clawed Back","CLAWED",IF(TODAY()&lt;=C662+SETTINGS!$I$2,"⚠ AT RISK","SAFE")))</f>
        <v/>
      </c>
      <c r="AU662" s="11"/>
      <c r="AW662" s="24" t="n">
        <f aca="false">AW661+IF(AND(C662&lt;&gt;"",AO662&lt;&gt;"",OR('REP COMMISSION'!$B$3="",T662='REP COMMISSION'!$B$3,W662='REP COMMISSION'!$B$3,Z662='REP COMMISSION'!$B$3)),1,0)</f>
        <v>0</v>
      </c>
      <c r="AX662" s="24" t="n">
        <f aca="false">AX661+IF(AND(C662&lt;&gt;"",OR(F662="LOC - INITIAL",F662="CONSOLIDATION - UPFRONT COMM",F662="REVERSE - TOTAL FUNDING")),1,0)</f>
        <v>0</v>
      </c>
    </row>
    <row r="663" customFormat="false" ht="15" hidden="false" customHeight="false" outlineLevel="0" collapsed="false">
      <c r="A663" s="25" t="str">
        <f aca="false">IF(C663&lt;&gt;"","F"&amp;COUNT($C$4:C663),"")</f>
        <v/>
      </c>
      <c r="B663" s="26" t="str">
        <f aca="false">IF(OR(F663="LOC - INITIAL",F663="CONSOLIDATION - UPFRONT COMM",F663="REVERSE - TOTAL FUNDING"),A663,"")</f>
        <v/>
      </c>
      <c r="C663" s="27"/>
      <c r="D663" s="28"/>
      <c r="E663" s="28"/>
      <c r="F663" s="28"/>
      <c r="G663" s="29"/>
      <c r="H663" s="30"/>
      <c r="I663" s="28"/>
      <c r="J663" s="31" t="str">
        <f aca="false">IF(AND(G663&lt;&gt;"",H663&lt;&gt;""),G663*H663,"")</f>
        <v/>
      </c>
      <c r="K663" s="28"/>
      <c r="L663" s="32"/>
      <c r="M663" s="32"/>
      <c r="N663" s="31" t="n">
        <f aca="false">IF(OR(G663="",M663=""),0,IF(M663&gt;100,M663,G663*IF(M663&gt;1,M663/100,M663)))</f>
        <v>0</v>
      </c>
      <c r="O663" s="31" t="str">
        <f aca="false">IF(G663="","",G663*IF(L663="",0,IF(L663&gt;1,L663/100,L663))+N663)</f>
        <v/>
      </c>
      <c r="P663" s="28"/>
      <c r="Q663" s="33" t="str">
        <f aca="false">IF(P663="","",IFERROR(VLOOKUP(P663,PARTNERS!$A$2:$B$30,2,0),""))</f>
        <v/>
      </c>
      <c r="R663" s="17" t="str">
        <f aca="false">IF(O663="","",IF(OR(P663="",Q663=""),0,(O663-N663)*IF(Q663&gt;1,Q663/100,Q663)))</f>
        <v/>
      </c>
      <c r="S663" s="31" t="str">
        <f aca="false">IF(O663="","",O663-R663)</f>
        <v/>
      </c>
      <c r="T663" s="28"/>
      <c r="U663" s="34" t="str">
        <f aca="false">IF(T663="","",IFERROR(VLOOKUP(T663,REPS!$A$2:$D$40,2,0),""))</f>
        <v/>
      </c>
      <c r="V663" s="31" t="str">
        <f aca="false">IF(O663="","",IF(U663="",0,O663*IF(U663&gt;1,U663/100,U663)))</f>
        <v/>
      </c>
      <c r="W663" s="28"/>
      <c r="X663" s="34" t="str">
        <f aca="false">IF(W663="","",IFERROR(VLOOKUP(W663,REPS!$A$2:$D$40,3,0),""))</f>
        <v/>
      </c>
      <c r="Y663" s="31" t="str">
        <f aca="false">IF(O663="","",IF(X663="",0,O663*IF(X663&gt;1,X663/100,X663)))</f>
        <v/>
      </c>
      <c r="Z663" s="28"/>
      <c r="AA663" s="34" t="str">
        <f aca="false">IF(Z663="","",IFERROR(VLOOKUP(Z663,REPS!$A$2:$D$40,4,0),""))</f>
        <v/>
      </c>
      <c r="AB663" s="31" t="str">
        <f aca="false">IF(O663="","",IF(AA663="",0,O663*IF(AA663&gt;1,AA663/100,AA663)))</f>
        <v/>
      </c>
      <c r="AC663" s="31" t="str">
        <f aca="false">IF(O663="","",V663+Y663+AB663)</f>
        <v/>
      </c>
      <c r="AD663" s="19" t="str">
        <f aca="false">IF(O663="","",O663-R663-AC663)</f>
        <v/>
      </c>
      <c r="AE663" s="20"/>
      <c r="AF663" s="27"/>
      <c r="AG663" s="21" t="n">
        <f aca="false">IF(OR(AE663="",AE663=0),0,AE663*IF(U663="",0,IF(U663&gt;1,U663/100,U663)))</f>
        <v>0</v>
      </c>
      <c r="AH663" s="21" t="n">
        <f aca="false">IF(OR(AE663="",AE663=0),0,AE663*IF(X663="",0,IF(X663&gt;1,X663/100,X663)))</f>
        <v>0</v>
      </c>
      <c r="AI663" s="21" t="n">
        <f aca="false">IF(OR(AE663="",AE663=0),0,AE663*IF(AA663="",0,IF(AA663&gt;1,AA663/100,AA663)))</f>
        <v>0</v>
      </c>
      <c r="AJ663" s="21" t="n">
        <f aca="false">AG663+AH663+AI663</f>
        <v>0</v>
      </c>
      <c r="AK663" s="21" t="n">
        <f aca="false">IF(OR(AE663="",AE663=0),0,AE663-AJ663)</f>
        <v>0</v>
      </c>
      <c r="AL663" s="19" t="str">
        <f aca="false">IF(AD663="","",AD663-AK663)</f>
        <v/>
      </c>
      <c r="AM663" s="26" t="str">
        <f aca="false">IF(C663="","","Waiting for payment")</f>
        <v/>
      </c>
      <c r="AN663" s="27"/>
      <c r="AO663" s="27"/>
      <c r="AP663" s="35" t="str">
        <f aca="false">IF(OR(C663="",I663="",K663=""),"",IF(K663="Monthly",EDATE(C663,ROUND(I663*SETTINGS!$I$8,0)),WORKDAY(C663,ROUND(I663*SETTINGS!$I$8,0))))</f>
        <v/>
      </c>
      <c r="AQ663" s="26" t="str">
        <f aca="true">IF(C663="","",IF(AND(AP663&lt;&gt;"",TODAY()&gt;=AP663),"Refi Ready",IF(TODAY()-C663&gt;=SETTINGS!$I$11,"Prospecting","Performing")))</f>
        <v/>
      </c>
      <c r="AR663" s="35" t="str">
        <f aca="false">IF(OR(C663="",I663="",K663=""),"",IF(K663="Monthly",EDATE(C663,I663),WORKDAY(C663,I663)))</f>
        <v/>
      </c>
      <c r="AS663" s="28"/>
      <c r="AT663" s="36" t="str">
        <f aca="true">IF(C663="","",IF(AM663="Clawed Back","CLAWED",IF(TODAY()&lt;=C663+SETTINGS!$I$2,"⚠ AT RISK","SAFE")))</f>
        <v/>
      </c>
      <c r="AU663" s="28"/>
      <c r="AW663" s="24" t="n">
        <f aca="false">AW662+IF(AND(C663&lt;&gt;"",AO663&lt;&gt;"",OR('REP COMMISSION'!$B$3="",T663='REP COMMISSION'!$B$3,W663='REP COMMISSION'!$B$3,Z663='REP COMMISSION'!$B$3)),1,0)</f>
        <v>0</v>
      </c>
      <c r="AX663" s="24" t="n">
        <f aca="false">AX662+IF(AND(C663&lt;&gt;"",OR(F663="LOC - INITIAL",F663="CONSOLIDATION - UPFRONT COMM",F663="REVERSE - TOTAL FUNDING")),1,0)</f>
        <v>0</v>
      </c>
    </row>
    <row r="664" customFormat="false" ht="15" hidden="false" customHeight="false" outlineLevel="0" collapsed="false">
      <c r="A664" s="8" t="str">
        <f aca="false">IF(C664&lt;&gt;"","F"&amp;COUNT($C$4:C664),"")</f>
        <v/>
      </c>
      <c r="B664" s="9" t="str">
        <f aca="false">IF(OR(F664="LOC - INITIAL",F664="CONSOLIDATION - UPFRONT COMM",F664="REVERSE - TOTAL FUNDING"),A664,"")</f>
        <v/>
      </c>
      <c r="C664" s="10"/>
      <c r="D664" s="11"/>
      <c r="E664" s="11"/>
      <c r="F664" s="11"/>
      <c r="G664" s="12"/>
      <c r="H664" s="13"/>
      <c r="I664" s="11"/>
      <c r="J664" s="14" t="str">
        <f aca="false">IF(AND(G664&lt;&gt;"",H664&lt;&gt;""),G664*H664,"")</f>
        <v/>
      </c>
      <c r="K664" s="11"/>
      <c r="L664" s="15"/>
      <c r="M664" s="15"/>
      <c r="N664" s="14" t="n">
        <f aca="false">IF(OR(G664="",M664=""),0,IF(M664&gt;100,M664,G664*IF(M664&gt;1,M664/100,M664)))</f>
        <v>0</v>
      </c>
      <c r="O664" s="14" t="str">
        <f aca="false">IF(G664="","",G664*IF(L664="",0,IF(L664&gt;1,L664/100,L664))+N664)</f>
        <v/>
      </c>
      <c r="P664" s="11"/>
      <c r="Q664" s="16" t="str">
        <f aca="false">IF(P664="","",IFERROR(VLOOKUP(P664,PARTNERS!$A$2:$B$30,2,0),""))</f>
        <v/>
      </c>
      <c r="R664" s="17" t="str">
        <f aca="false">IF(O664="","",IF(OR(P664="",Q664=""),0,(O664-N664)*IF(Q664&gt;1,Q664/100,Q664)))</f>
        <v/>
      </c>
      <c r="S664" s="14" t="str">
        <f aca="false">IF(O664="","",O664-R664)</f>
        <v/>
      </c>
      <c r="T664" s="11"/>
      <c r="U664" s="18" t="str">
        <f aca="false">IF(T664="","",IFERROR(VLOOKUP(T664,REPS!$A$2:$D$40,2,0),""))</f>
        <v/>
      </c>
      <c r="V664" s="14" t="str">
        <f aca="false">IF(O664="","",IF(U664="",0,O664*IF(U664&gt;1,U664/100,U664)))</f>
        <v/>
      </c>
      <c r="W664" s="11"/>
      <c r="X664" s="18" t="str">
        <f aca="false">IF(W664="","",IFERROR(VLOOKUP(W664,REPS!$A$2:$D$40,3,0),""))</f>
        <v/>
      </c>
      <c r="Y664" s="14" t="str">
        <f aca="false">IF(O664="","",IF(X664="",0,O664*IF(X664&gt;1,X664/100,X664)))</f>
        <v/>
      </c>
      <c r="Z664" s="11"/>
      <c r="AA664" s="18" t="str">
        <f aca="false">IF(Z664="","",IFERROR(VLOOKUP(Z664,REPS!$A$2:$D$40,4,0),""))</f>
        <v/>
      </c>
      <c r="AB664" s="14" t="str">
        <f aca="false">IF(O664="","",IF(AA664="",0,O664*IF(AA664&gt;1,AA664/100,AA664)))</f>
        <v/>
      </c>
      <c r="AC664" s="14" t="str">
        <f aca="false">IF(O664="","",V664+Y664+AB664)</f>
        <v/>
      </c>
      <c r="AD664" s="19" t="str">
        <f aca="false">IF(O664="","",O664-R664-AC664)</f>
        <v/>
      </c>
      <c r="AE664" s="20"/>
      <c r="AF664" s="10"/>
      <c r="AG664" s="21" t="n">
        <f aca="false">IF(OR(AE664="",AE664=0),0,AE664*IF(U664="",0,IF(U664&gt;1,U664/100,U664)))</f>
        <v>0</v>
      </c>
      <c r="AH664" s="21" t="n">
        <f aca="false">IF(OR(AE664="",AE664=0),0,AE664*IF(X664="",0,IF(X664&gt;1,X664/100,X664)))</f>
        <v>0</v>
      </c>
      <c r="AI664" s="21" t="n">
        <f aca="false">IF(OR(AE664="",AE664=0),0,AE664*IF(AA664="",0,IF(AA664&gt;1,AA664/100,AA664)))</f>
        <v>0</v>
      </c>
      <c r="AJ664" s="21" t="n">
        <f aca="false">AG664+AH664+AI664</f>
        <v>0</v>
      </c>
      <c r="AK664" s="21" t="n">
        <f aca="false">IF(OR(AE664="",AE664=0),0,AE664-AJ664)</f>
        <v>0</v>
      </c>
      <c r="AL664" s="19" t="str">
        <f aca="false">IF(AD664="","",AD664-AK664)</f>
        <v/>
      </c>
      <c r="AM664" s="9" t="str">
        <f aca="false">IF(C664="","","Waiting for payment")</f>
        <v/>
      </c>
      <c r="AN664" s="10"/>
      <c r="AO664" s="10"/>
      <c r="AP664" s="22" t="str">
        <f aca="false">IF(OR(C664="",I664="",K664=""),"",IF(K664="Monthly",EDATE(C664,ROUND(I664*SETTINGS!$I$8,0)),WORKDAY(C664,ROUND(I664*SETTINGS!$I$8,0))))</f>
        <v/>
      </c>
      <c r="AQ664" s="9" t="str">
        <f aca="true">IF(C664="","",IF(AND(AP664&lt;&gt;"",TODAY()&gt;=AP664),"Refi Ready",IF(TODAY()-C664&gt;=SETTINGS!$I$11,"Prospecting","Performing")))</f>
        <v/>
      </c>
      <c r="AR664" s="22" t="str">
        <f aca="false">IF(OR(C664="",I664="",K664=""),"",IF(K664="Monthly",EDATE(C664,I664),WORKDAY(C664,I664)))</f>
        <v/>
      </c>
      <c r="AS664" s="11"/>
      <c r="AT664" s="23" t="str">
        <f aca="true">IF(C664="","",IF(AM664="Clawed Back","CLAWED",IF(TODAY()&lt;=C664+SETTINGS!$I$2,"⚠ AT RISK","SAFE")))</f>
        <v/>
      </c>
      <c r="AU664" s="11"/>
      <c r="AW664" s="24" t="n">
        <f aca="false">AW663+IF(AND(C664&lt;&gt;"",AO664&lt;&gt;"",OR('REP COMMISSION'!$B$3="",T664='REP COMMISSION'!$B$3,W664='REP COMMISSION'!$B$3,Z664='REP COMMISSION'!$B$3)),1,0)</f>
        <v>0</v>
      </c>
      <c r="AX664" s="24" t="n">
        <f aca="false">AX663+IF(AND(C664&lt;&gt;"",OR(F664="LOC - INITIAL",F664="CONSOLIDATION - UPFRONT COMM",F664="REVERSE - TOTAL FUNDING")),1,0)</f>
        <v>0</v>
      </c>
    </row>
    <row r="665" customFormat="false" ht="15" hidden="false" customHeight="false" outlineLevel="0" collapsed="false">
      <c r="A665" s="25" t="str">
        <f aca="false">IF(C665&lt;&gt;"","F"&amp;COUNT($C$4:C665),"")</f>
        <v/>
      </c>
      <c r="B665" s="26" t="str">
        <f aca="false">IF(OR(F665="LOC - INITIAL",F665="CONSOLIDATION - UPFRONT COMM",F665="REVERSE - TOTAL FUNDING"),A665,"")</f>
        <v/>
      </c>
      <c r="C665" s="27"/>
      <c r="D665" s="28"/>
      <c r="E665" s="28"/>
      <c r="F665" s="28"/>
      <c r="G665" s="29"/>
      <c r="H665" s="30"/>
      <c r="I665" s="28"/>
      <c r="J665" s="31" t="str">
        <f aca="false">IF(AND(G665&lt;&gt;"",H665&lt;&gt;""),G665*H665,"")</f>
        <v/>
      </c>
      <c r="K665" s="28"/>
      <c r="L665" s="32"/>
      <c r="M665" s="32"/>
      <c r="N665" s="31" t="n">
        <f aca="false">IF(OR(G665="",M665=""),0,IF(M665&gt;100,M665,G665*IF(M665&gt;1,M665/100,M665)))</f>
        <v>0</v>
      </c>
      <c r="O665" s="31" t="str">
        <f aca="false">IF(G665="","",G665*IF(L665="",0,IF(L665&gt;1,L665/100,L665))+N665)</f>
        <v/>
      </c>
      <c r="P665" s="28"/>
      <c r="Q665" s="33" t="str">
        <f aca="false">IF(P665="","",IFERROR(VLOOKUP(P665,PARTNERS!$A$2:$B$30,2,0),""))</f>
        <v/>
      </c>
      <c r="R665" s="17" t="str">
        <f aca="false">IF(O665="","",IF(OR(P665="",Q665=""),0,(O665-N665)*IF(Q665&gt;1,Q665/100,Q665)))</f>
        <v/>
      </c>
      <c r="S665" s="31" t="str">
        <f aca="false">IF(O665="","",O665-R665)</f>
        <v/>
      </c>
      <c r="T665" s="28"/>
      <c r="U665" s="34" t="str">
        <f aca="false">IF(T665="","",IFERROR(VLOOKUP(T665,REPS!$A$2:$D$40,2,0),""))</f>
        <v/>
      </c>
      <c r="V665" s="31" t="str">
        <f aca="false">IF(O665="","",IF(U665="",0,O665*IF(U665&gt;1,U665/100,U665)))</f>
        <v/>
      </c>
      <c r="W665" s="28"/>
      <c r="X665" s="34" t="str">
        <f aca="false">IF(W665="","",IFERROR(VLOOKUP(W665,REPS!$A$2:$D$40,3,0),""))</f>
        <v/>
      </c>
      <c r="Y665" s="31" t="str">
        <f aca="false">IF(O665="","",IF(X665="",0,O665*IF(X665&gt;1,X665/100,X665)))</f>
        <v/>
      </c>
      <c r="Z665" s="28"/>
      <c r="AA665" s="34" t="str">
        <f aca="false">IF(Z665="","",IFERROR(VLOOKUP(Z665,REPS!$A$2:$D$40,4,0),""))</f>
        <v/>
      </c>
      <c r="AB665" s="31" t="str">
        <f aca="false">IF(O665="","",IF(AA665="",0,O665*IF(AA665&gt;1,AA665/100,AA665)))</f>
        <v/>
      </c>
      <c r="AC665" s="31" t="str">
        <f aca="false">IF(O665="","",V665+Y665+AB665)</f>
        <v/>
      </c>
      <c r="AD665" s="19" t="str">
        <f aca="false">IF(O665="","",O665-R665-AC665)</f>
        <v/>
      </c>
      <c r="AE665" s="20"/>
      <c r="AF665" s="27"/>
      <c r="AG665" s="21" t="n">
        <f aca="false">IF(OR(AE665="",AE665=0),0,AE665*IF(U665="",0,IF(U665&gt;1,U665/100,U665)))</f>
        <v>0</v>
      </c>
      <c r="AH665" s="21" t="n">
        <f aca="false">IF(OR(AE665="",AE665=0),0,AE665*IF(X665="",0,IF(X665&gt;1,X665/100,X665)))</f>
        <v>0</v>
      </c>
      <c r="AI665" s="21" t="n">
        <f aca="false">IF(OR(AE665="",AE665=0),0,AE665*IF(AA665="",0,IF(AA665&gt;1,AA665/100,AA665)))</f>
        <v>0</v>
      </c>
      <c r="AJ665" s="21" t="n">
        <f aca="false">AG665+AH665+AI665</f>
        <v>0</v>
      </c>
      <c r="AK665" s="21" t="n">
        <f aca="false">IF(OR(AE665="",AE665=0),0,AE665-AJ665)</f>
        <v>0</v>
      </c>
      <c r="AL665" s="19" t="str">
        <f aca="false">IF(AD665="","",AD665-AK665)</f>
        <v/>
      </c>
      <c r="AM665" s="26" t="str">
        <f aca="false">IF(C665="","","Waiting for payment")</f>
        <v/>
      </c>
      <c r="AN665" s="27"/>
      <c r="AO665" s="27"/>
      <c r="AP665" s="35" t="str">
        <f aca="false">IF(OR(C665="",I665="",K665=""),"",IF(K665="Monthly",EDATE(C665,ROUND(I665*SETTINGS!$I$8,0)),WORKDAY(C665,ROUND(I665*SETTINGS!$I$8,0))))</f>
        <v/>
      </c>
      <c r="AQ665" s="26" t="str">
        <f aca="true">IF(C665="","",IF(AND(AP665&lt;&gt;"",TODAY()&gt;=AP665),"Refi Ready",IF(TODAY()-C665&gt;=SETTINGS!$I$11,"Prospecting","Performing")))</f>
        <v/>
      </c>
      <c r="AR665" s="35" t="str">
        <f aca="false">IF(OR(C665="",I665="",K665=""),"",IF(K665="Monthly",EDATE(C665,I665),WORKDAY(C665,I665)))</f>
        <v/>
      </c>
      <c r="AS665" s="28"/>
      <c r="AT665" s="36" t="str">
        <f aca="true">IF(C665="","",IF(AM665="Clawed Back","CLAWED",IF(TODAY()&lt;=C665+SETTINGS!$I$2,"⚠ AT RISK","SAFE")))</f>
        <v/>
      </c>
      <c r="AU665" s="28"/>
      <c r="AW665" s="24" t="n">
        <f aca="false">AW664+IF(AND(C665&lt;&gt;"",AO665&lt;&gt;"",OR('REP COMMISSION'!$B$3="",T665='REP COMMISSION'!$B$3,W665='REP COMMISSION'!$B$3,Z665='REP COMMISSION'!$B$3)),1,0)</f>
        <v>0</v>
      </c>
      <c r="AX665" s="24" t="n">
        <f aca="false">AX664+IF(AND(C665&lt;&gt;"",OR(F665="LOC - INITIAL",F665="CONSOLIDATION - UPFRONT COMM",F665="REVERSE - TOTAL FUNDING")),1,0)</f>
        <v>0</v>
      </c>
    </row>
    <row r="666" customFormat="false" ht="15" hidden="false" customHeight="false" outlineLevel="0" collapsed="false">
      <c r="A666" s="8" t="str">
        <f aca="false">IF(C666&lt;&gt;"","F"&amp;COUNT($C$4:C666),"")</f>
        <v/>
      </c>
      <c r="B666" s="9" t="str">
        <f aca="false">IF(OR(F666="LOC - INITIAL",F666="CONSOLIDATION - UPFRONT COMM",F666="REVERSE - TOTAL FUNDING"),A666,"")</f>
        <v/>
      </c>
      <c r="C666" s="10"/>
      <c r="D666" s="11"/>
      <c r="E666" s="11"/>
      <c r="F666" s="11"/>
      <c r="G666" s="12"/>
      <c r="H666" s="13"/>
      <c r="I666" s="11"/>
      <c r="J666" s="14" t="str">
        <f aca="false">IF(AND(G666&lt;&gt;"",H666&lt;&gt;""),G666*H666,"")</f>
        <v/>
      </c>
      <c r="K666" s="11"/>
      <c r="L666" s="15"/>
      <c r="M666" s="15"/>
      <c r="N666" s="14" t="n">
        <f aca="false">IF(OR(G666="",M666=""),0,IF(M666&gt;100,M666,G666*IF(M666&gt;1,M666/100,M666)))</f>
        <v>0</v>
      </c>
      <c r="O666" s="14" t="str">
        <f aca="false">IF(G666="","",G666*IF(L666="",0,IF(L666&gt;1,L666/100,L666))+N666)</f>
        <v/>
      </c>
      <c r="P666" s="11"/>
      <c r="Q666" s="16" t="str">
        <f aca="false">IF(P666="","",IFERROR(VLOOKUP(P666,PARTNERS!$A$2:$B$30,2,0),""))</f>
        <v/>
      </c>
      <c r="R666" s="17" t="str">
        <f aca="false">IF(O666="","",IF(OR(P666="",Q666=""),0,(O666-N666)*IF(Q666&gt;1,Q666/100,Q666)))</f>
        <v/>
      </c>
      <c r="S666" s="14" t="str">
        <f aca="false">IF(O666="","",O666-R666)</f>
        <v/>
      </c>
      <c r="T666" s="11"/>
      <c r="U666" s="18" t="str">
        <f aca="false">IF(T666="","",IFERROR(VLOOKUP(T666,REPS!$A$2:$D$40,2,0),""))</f>
        <v/>
      </c>
      <c r="V666" s="14" t="str">
        <f aca="false">IF(O666="","",IF(U666="",0,O666*IF(U666&gt;1,U666/100,U666)))</f>
        <v/>
      </c>
      <c r="W666" s="11"/>
      <c r="X666" s="18" t="str">
        <f aca="false">IF(W666="","",IFERROR(VLOOKUP(W666,REPS!$A$2:$D$40,3,0),""))</f>
        <v/>
      </c>
      <c r="Y666" s="14" t="str">
        <f aca="false">IF(O666="","",IF(X666="",0,O666*IF(X666&gt;1,X666/100,X666)))</f>
        <v/>
      </c>
      <c r="Z666" s="11"/>
      <c r="AA666" s="18" t="str">
        <f aca="false">IF(Z666="","",IFERROR(VLOOKUP(Z666,REPS!$A$2:$D$40,4,0),""))</f>
        <v/>
      </c>
      <c r="AB666" s="14" t="str">
        <f aca="false">IF(O666="","",IF(AA666="",0,O666*IF(AA666&gt;1,AA666/100,AA666)))</f>
        <v/>
      </c>
      <c r="AC666" s="14" t="str">
        <f aca="false">IF(O666="","",V666+Y666+AB666)</f>
        <v/>
      </c>
      <c r="AD666" s="19" t="str">
        <f aca="false">IF(O666="","",O666-R666-AC666)</f>
        <v/>
      </c>
      <c r="AE666" s="20"/>
      <c r="AF666" s="10"/>
      <c r="AG666" s="21" t="n">
        <f aca="false">IF(OR(AE666="",AE666=0),0,AE666*IF(U666="",0,IF(U666&gt;1,U666/100,U666)))</f>
        <v>0</v>
      </c>
      <c r="AH666" s="21" t="n">
        <f aca="false">IF(OR(AE666="",AE666=0),0,AE666*IF(X666="",0,IF(X666&gt;1,X666/100,X666)))</f>
        <v>0</v>
      </c>
      <c r="AI666" s="21" t="n">
        <f aca="false">IF(OR(AE666="",AE666=0),0,AE666*IF(AA666="",0,IF(AA666&gt;1,AA666/100,AA666)))</f>
        <v>0</v>
      </c>
      <c r="AJ666" s="21" t="n">
        <f aca="false">AG666+AH666+AI666</f>
        <v>0</v>
      </c>
      <c r="AK666" s="21" t="n">
        <f aca="false">IF(OR(AE666="",AE666=0),0,AE666-AJ666)</f>
        <v>0</v>
      </c>
      <c r="AL666" s="19" t="str">
        <f aca="false">IF(AD666="","",AD666-AK666)</f>
        <v/>
      </c>
      <c r="AM666" s="9" t="str">
        <f aca="false">IF(C666="","","Waiting for payment")</f>
        <v/>
      </c>
      <c r="AN666" s="10"/>
      <c r="AO666" s="10"/>
      <c r="AP666" s="22" t="str">
        <f aca="false">IF(OR(C666="",I666="",K666=""),"",IF(K666="Monthly",EDATE(C666,ROUND(I666*SETTINGS!$I$8,0)),WORKDAY(C666,ROUND(I666*SETTINGS!$I$8,0))))</f>
        <v/>
      </c>
      <c r="AQ666" s="9" t="str">
        <f aca="true">IF(C666="","",IF(AND(AP666&lt;&gt;"",TODAY()&gt;=AP666),"Refi Ready",IF(TODAY()-C666&gt;=SETTINGS!$I$11,"Prospecting","Performing")))</f>
        <v/>
      </c>
      <c r="AR666" s="22" t="str">
        <f aca="false">IF(OR(C666="",I666="",K666=""),"",IF(K666="Monthly",EDATE(C666,I666),WORKDAY(C666,I666)))</f>
        <v/>
      </c>
      <c r="AS666" s="11"/>
      <c r="AT666" s="23" t="str">
        <f aca="true">IF(C666="","",IF(AM666="Clawed Back","CLAWED",IF(TODAY()&lt;=C666+SETTINGS!$I$2,"⚠ AT RISK","SAFE")))</f>
        <v/>
      </c>
      <c r="AU666" s="11"/>
      <c r="AW666" s="24" t="n">
        <f aca="false">AW665+IF(AND(C666&lt;&gt;"",AO666&lt;&gt;"",OR('REP COMMISSION'!$B$3="",T666='REP COMMISSION'!$B$3,W666='REP COMMISSION'!$B$3,Z666='REP COMMISSION'!$B$3)),1,0)</f>
        <v>0</v>
      </c>
      <c r="AX666" s="24" t="n">
        <f aca="false">AX665+IF(AND(C666&lt;&gt;"",OR(F666="LOC - INITIAL",F666="CONSOLIDATION - UPFRONT COMM",F666="REVERSE - TOTAL FUNDING")),1,0)</f>
        <v>0</v>
      </c>
    </row>
    <row r="667" customFormat="false" ht="15" hidden="false" customHeight="false" outlineLevel="0" collapsed="false">
      <c r="A667" s="25" t="str">
        <f aca="false">IF(C667&lt;&gt;"","F"&amp;COUNT($C$4:C667),"")</f>
        <v/>
      </c>
      <c r="B667" s="26" t="str">
        <f aca="false">IF(OR(F667="LOC - INITIAL",F667="CONSOLIDATION - UPFRONT COMM",F667="REVERSE - TOTAL FUNDING"),A667,"")</f>
        <v/>
      </c>
      <c r="C667" s="27"/>
      <c r="D667" s="28"/>
      <c r="E667" s="28"/>
      <c r="F667" s="28"/>
      <c r="G667" s="29"/>
      <c r="H667" s="30"/>
      <c r="I667" s="28"/>
      <c r="J667" s="31" t="str">
        <f aca="false">IF(AND(G667&lt;&gt;"",H667&lt;&gt;""),G667*H667,"")</f>
        <v/>
      </c>
      <c r="K667" s="28"/>
      <c r="L667" s="32"/>
      <c r="M667" s="32"/>
      <c r="N667" s="31" t="n">
        <f aca="false">IF(OR(G667="",M667=""),0,IF(M667&gt;100,M667,G667*IF(M667&gt;1,M667/100,M667)))</f>
        <v>0</v>
      </c>
      <c r="O667" s="31" t="str">
        <f aca="false">IF(G667="","",G667*IF(L667="",0,IF(L667&gt;1,L667/100,L667))+N667)</f>
        <v/>
      </c>
      <c r="P667" s="28"/>
      <c r="Q667" s="33" t="str">
        <f aca="false">IF(P667="","",IFERROR(VLOOKUP(P667,PARTNERS!$A$2:$B$30,2,0),""))</f>
        <v/>
      </c>
      <c r="R667" s="17" t="str">
        <f aca="false">IF(O667="","",IF(OR(P667="",Q667=""),0,(O667-N667)*IF(Q667&gt;1,Q667/100,Q667)))</f>
        <v/>
      </c>
      <c r="S667" s="31" t="str">
        <f aca="false">IF(O667="","",O667-R667)</f>
        <v/>
      </c>
      <c r="T667" s="28"/>
      <c r="U667" s="34" t="str">
        <f aca="false">IF(T667="","",IFERROR(VLOOKUP(T667,REPS!$A$2:$D$40,2,0),""))</f>
        <v/>
      </c>
      <c r="V667" s="31" t="str">
        <f aca="false">IF(O667="","",IF(U667="",0,O667*IF(U667&gt;1,U667/100,U667)))</f>
        <v/>
      </c>
      <c r="W667" s="28"/>
      <c r="X667" s="34" t="str">
        <f aca="false">IF(W667="","",IFERROR(VLOOKUP(W667,REPS!$A$2:$D$40,3,0),""))</f>
        <v/>
      </c>
      <c r="Y667" s="31" t="str">
        <f aca="false">IF(O667="","",IF(X667="",0,O667*IF(X667&gt;1,X667/100,X667)))</f>
        <v/>
      </c>
      <c r="Z667" s="28"/>
      <c r="AA667" s="34" t="str">
        <f aca="false">IF(Z667="","",IFERROR(VLOOKUP(Z667,REPS!$A$2:$D$40,4,0),""))</f>
        <v/>
      </c>
      <c r="AB667" s="31" t="str">
        <f aca="false">IF(O667="","",IF(AA667="",0,O667*IF(AA667&gt;1,AA667/100,AA667)))</f>
        <v/>
      </c>
      <c r="AC667" s="31" t="str">
        <f aca="false">IF(O667="","",V667+Y667+AB667)</f>
        <v/>
      </c>
      <c r="AD667" s="19" t="str">
        <f aca="false">IF(O667="","",O667-R667-AC667)</f>
        <v/>
      </c>
      <c r="AE667" s="20"/>
      <c r="AF667" s="27"/>
      <c r="AG667" s="21" t="n">
        <f aca="false">IF(OR(AE667="",AE667=0),0,AE667*IF(U667="",0,IF(U667&gt;1,U667/100,U667)))</f>
        <v>0</v>
      </c>
      <c r="AH667" s="21" t="n">
        <f aca="false">IF(OR(AE667="",AE667=0),0,AE667*IF(X667="",0,IF(X667&gt;1,X667/100,X667)))</f>
        <v>0</v>
      </c>
      <c r="AI667" s="21" t="n">
        <f aca="false">IF(OR(AE667="",AE667=0),0,AE667*IF(AA667="",0,IF(AA667&gt;1,AA667/100,AA667)))</f>
        <v>0</v>
      </c>
      <c r="AJ667" s="21" t="n">
        <f aca="false">AG667+AH667+AI667</f>
        <v>0</v>
      </c>
      <c r="AK667" s="21" t="n">
        <f aca="false">IF(OR(AE667="",AE667=0),0,AE667-AJ667)</f>
        <v>0</v>
      </c>
      <c r="AL667" s="19" t="str">
        <f aca="false">IF(AD667="","",AD667-AK667)</f>
        <v/>
      </c>
      <c r="AM667" s="26" t="str">
        <f aca="false">IF(C667="","","Waiting for payment")</f>
        <v/>
      </c>
      <c r="AN667" s="27"/>
      <c r="AO667" s="27"/>
      <c r="AP667" s="35" t="str">
        <f aca="false">IF(OR(C667="",I667="",K667=""),"",IF(K667="Monthly",EDATE(C667,ROUND(I667*SETTINGS!$I$8,0)),WORKDAY(C667,ROUND(I667*SETTINGS!$I$8,0))))</f>
        <v/>
      </c>
      <c r="AQ667" s="26" t="str">
        <f aca="true">IF(C667="","",IF(AND(AP667&lt;&gt;"",TODAY()&gt;=AP667),"Refi Ready",IF(TODAY()-C667&gt;=SETTINGS!$I$11,"Prospecting","Performing")))</f>
        <v/>
      </c>
      <c r="AR667" s="35" t="str">
        <f aca="false">IF(OR(C667="",I667="",K667=""),"",IF(K667="Monthly",EDATE(C667,I667),WORKDAY(C667,I667)))</f>
        <v/>
      </c>
      <c r="AS667" s="28"/>
      <c r="AT667" s="36" t="str">
        <f aca="true">IF(C667="","",IF(AM667="Clawed Back","CLAWED",IF(TODAY()&lt;=C667+SETTINGS!$I$2,"⚠ AT RISK","SAFE")))</f>
        <v/>
      </c>
      <c r="AU667" s="28"/>
      <c r="AW667" s="24" t="n">
        <f aca="false">AW666+IF(AND(C667&lt;&gt;"",AO667&lt;&gt;"",OR('REP COMMISSION'!$B$3="",T667='REP COMMISSION'!$B$3,W667='REP COMMISSION'!$B$3,Z667='REP COMMISSION'!$B$3)),1,0)</f>
        <v>0</v>
      </c>
      <c r="AX667" s="24" t="n">
        <f aca="false">AX666+IF(AND(C667&lt;&gt;"",OR(F667="LOC - INITIAL",F667="CONSOLIDATION - UPFRONT COMM",F667="REVERSE - TOTAL FUNDING")),1,0)</f>
        <v>0</v>
      </c>
    </row>
    <row r="668" customFormat="false" ht="15" hidden="false" customHeight="false" outlineLevel="0" collapsed="false">
      <c r="A668" s="8" t="str">
        <f aca="false">IF(C668&lt;&gt;"","F"&amp;COUNT($C$4:C668),"")</f>
        <v/>
      </c>
      <c r="B668" s="9" t="str">
        <f aca="false">IF(OR(F668="LOC - INITIAL",F668="CONSOLIDATION - UPFRONT COMM",F668="REVERSE - TOTAL FUNDING"),A668,"")</f>
        <v/>
      </c>
      <c r="C668" s="10"/>
      <c r="D668" s="11"/>
      <c r="E668" s="11"/>
      <c r="F668" s="11"/>
      <c r="G668" s="12"/>
      <c r="H668" s="13"/>
      <c r="I668" s="11"/>
      <c r="J668" s="14" t="str">
        <f aca="false">IF(AND(G668&lt;&gt;"",H668&lt;&gt;""),G668*H668,"")</f>
        <v/>
      </c>
      <c r="K668" s="11"/>
      <c r="L668" s="15"/>
      <c r="M668" s="15"/>
      <c r="N668" s="14" t="n">
        <f aca="false">IF(OR(G668="",M668=""),0,IF(M668&gt;100,M668,G668*IF(M668&gt;1,M668/100,M668)))</f>
        <v>0</v>
      </c>
      <c r="O668" s="14" t="str">
        <f aca="false">IF(G668="","",G668*IF(L668="",0,IF(L668&gt;1,L668/100,L668))+N668)</f>
        <v/>
      </c>
      <c r="P668" s="11"/>
      <c r="Q668" s="16" t="str">
        <f aca="false">IF(P668="","",IFERROR(VLOOKUP(P668,PARTNERS!$A$2:$B$30,2,0),""))</f>
        <v/>
      </c>
      <c r="R668" s="17" t="str">
        <f aca="false">IF(O668="","",IF(OR(P668="",Q668=""),0,(O668-N668)*IF(Q668&gt;1,Q668/100,Q668)))</f>
        <v/>
      </c>
      <c r="S668" s="14" t="str">
        <f aca="false">IF(O668="","",O668-R668)</f>
        <v/>
      </c>
      <c r="T668" s="11"/>
      <c r="U668" s="18" t="str">
        <f aca="false">IF(T668="","",IFERROR(VLOOKUP(T668,REPS!$A$2:$D$40,2,0),""))</f>
        <v/>
      </c>
      <c r="V668" s="14" t="str">
        <f aca="false">IF(O668="","",IF(U668="",0,O668*IF(U668&gt;1,U668/100,U668)))</f>
        <v/>
      </c>
      <c r="W668" s="11"/>
      <c r="X668" s="18" t="str">
        <f aca="false">IF(W668="","",IFERROR(VLOOKUP(W668,REPS!$A$2:$D$40,3,0),""))</f>
        <v/>
      </c>
      <c r="Y668" s="14" t="str">
        <f aca="false">IF(O668="","",IF(X668="",0,O668*IF(X668&gt;1,X668/100,X668)))</f>
        <v/>
      </c>
      <c r="Z668" s="11"/>
      <c r="AA668" s="18" t="str">
        <f aca="false">IF(Z668="","",IFERROR(VLOOKUP(Z668,REPS!$A$2:$D$40,4,0),""))</f>
        <v/>
      </c>
      <c r="AB668" s="14" t="str">
        <f aca="false">IF(O668="","",IF(AA668="",0,O668*IF(AA668&gt;1,AA668/100,AA668)))</f>
        <v/>
      </c>
      <c r="AC668" s="14" t="str">
        <f aca="false">IF(O668="","",V668+Y668+AB668)</f>
        <v/>
      </c>
      <c r="AD668" s="19" t="str">
        <f aca="false">IF(O668="","",O668-R668-AC668)</f>
        <v/>
      </c>
      <c r="AE668" s="20"/>
      <c r="AF668" s="10"/>
      <c r="AG668" s="21" t="n">
        <f aca="false">IF(OR(AE668="",AE668=0),0,AE668*IF(U668="",0,IF(U668&gt;1,U668/100,U668)))</f>
        <v>0</v>
      </c>
      <c r="AH668" s="21" t="n">
        <f aca="false">IF(OR(AE668="",AE668=0),0,AE668*IF(X668="",0,IF(X668&gt;1,X668/100,X668)))</f>
        <v>0</v>
      </c>
      <c r="AI668" s="21" t="n">
        <f aca="false">IF(OR(AE668="",AE668=0),0,AE668*IF(AA668="",0,IF(AA668&gt;1,AA668/100,AA668)))</f>
        <v>0</v>
      </c>
      <c r="AJ668" s="21" t="n">
        <f aca="false">AG668+AH668+AI668</f>
        <v>0</v>
      </c>
      <c r="AK668" s="21" t="n">
        <f aca="false">IF(OR(AE668="",AE668=0),0,AE668-AJ668)</f>
        <v>0</v>
      </c>
      <c r="AL668" s="19" t="str">
        <f aca="false">IF(AD668="","",AD668-AK668)</f>
        <v/>
      </c>
      <c r="AM668" s="9" t="str">
        <f aca="false">IF(C668="","","Waiting for payment")</f>
        <v/>
      </c>
      <c r="AN668" s="10"/>
      <c r="AO668" s="10"/>
      <c r="AP668" s="22" t="str">
        <f aca="false">IF(OR(C668="",I668="",K668=""),"",IF(K668="Monthly",EDATE(C668,ROUND(I668*SETTINGS!$I$8,0)),WORKDAY(C668,ROUND(I668*SETTINGS!$I$8,0))))</f>
        <v/>
      </c>
      <c r="AQ668" s="9" t="str">
        <f aca="true">IF(C668="","",IF(AND(AP668&lt;&gt;"",TODAY()&gt;=AP668),"Refi Ready",IF(TODAY()-C668&gt;=SETTINGS!$I$11,"Prospecting","Performing")))</f>
        <v/>
      </c>
      <c r="AR668" s="22" t="str">
        <f aca="false">IF(OR(C668="",I668="",K668=""),"",IF(K668="Monthly",EDATE(C668,I668),WORKDAY(C668,I668)))</f>
        <v/>
      </c>
      <c r="AS668" s="11"/>
      <c r="AT668" s="23" t="str">
        <f aca="true">IF(C668="","",IF(AM668="Clawed Back","CLAWED",IF(TODAY()&lt;=C668+SETTINGS!$I$2,"⚠ AT RISK","SAFE")))</f>
        <v/>
      </c>
      <c r="AU668" s="11"/>
      <c r="AW668" s="24" t="n">
        <f aca="false">AW667+IF(AND(C668&lt;&gt;"",AO668&lt;&gt;"",OR('REP COMMISSION'!$B$3="",T668='REP COMMISSION'!$B$3,W668='REP COMMISSION'!$B$3,Z668='REP COMMISSION'!$B$3)),1,0)</f>
        <v>0</v>
      </c>
      <c r="AX668" s="24" t="n">
        <f aca="false">AX667+IF(AND(C668&lt;&gt;"",OR(F668="LOC - INITIAL",F668="CONSOLIDATION - UPFRONT COMM",F668="REVERSE - TOTAL FUNDING")),1,0)</f>
        <v>0</v>
      </c>
    </row>
    <row r="669" customFormat="false" ht="15" hidden="false" customHeight="false" outlineLevel="0" collapsed="false">
      <c r="A669" s="25" t="str">
        <f aca="false">IF(C669&lt;&gt;"","F"&amp;COUNT($C$4:C669),"")</f>
        <v/>
      </c>
      <c r="B669" s="26" t="str">
        <f aca="false">IF(OR(F669="LOC - INITIAL",F669="CONSOLIDATION - UPFRONT COMM",F669="REVERSE - TOTAL FUNDING"),A669,"")</f>
        <v/>
      </c>
      <c r="C669" s="27"/>
      <c r="D669" s="28"/>
      <c r="E669" s="28"/>
      <c r="F669" s="28"/>
      <c r="G669" s="29"/>
      <c r="H669" s="30"/>
      <c r="I669" s="28"/>
      <c r="J669" s="31" t="str">
        <f aca="false">IF(AND(G669&lt;&gt;"",H669&lt;&gt;""),G669*H669,"")</f>
        <v/>
      </c>
      <c r="K669" s="28"/>
      <c r="L669" s="32"/>
      <c r="M669" s="32"/>
      <c r="N669" s="31" t="n">
        <f aca="false">IF(OR(G669="",M669=""),0,IF(M669&gt;100,M669,G669*IF(M669&gt;1,M669/100,M669)))</f>
        <v>0</v>
      </c>
      <c r="O669" s="31" t="str">
        <f aca="false">IF(G669="","",G669*IF(L669="",0,IF(L669&gt;1,L669/100,L669))+N669)</f>
        <v/>
      </c>
      <c r="P669" s="28"/>
      <c r="Q669" s="33" t="str">
        <f aca="false">IF(P669="","",IFERROR(VLOOKUP(P669,PARTNERS!$A$2:$B$30,2,0),""))</f>
        <v/>
      </c>
      <c r="R669" s="17" t="str">
        <f aca="false">IF(O669="","",IF(OR(P669="",Q669=""),0,(O669-N669)*IF(Q669&gt;1,Q669/100,Q669)))</f>
        <v/>
      </c>
      <c r="S669" s="31" t="str">
        <f aca="false">IF(O669="","",O669-R669)</f>
        <v/>
      </c>
      <c r="T669" s="28"/>
      <c r="U669" s="34" t="str">
        <f aca="false">IF(T669="","",IFERROR(VLOOKUP(T669,REPS!$A$2:$D$40,2,0),""))</f>
        <v/>
      </c>
      <c r="V669" s="31" t="str">
        <f aca="false">IF(O669="","",IF(U669="",0,O669*IF(U669&gt;1,U669/100,U669)))</f>
        <v/>
      </c>
      <c r="W669" s="28"/>
      <c r="X669" s="34" t="str">
        <f aca="false">IF(W669="","",IFERROR(VLOOKUP(W669,REPS!$A$2:$D$40,3,0),""))</f>
        <v/>
      </c>
      <c r="Y669" s="31" t="str">
        <f aca="false">IF(O669="","",IF(X669="",0,O669*IF(X669&gt;1,X669/100,X669)))</f>
        <v/>
      </c>
      <c r="Z669" s="28"/>
      <c r="AA669" s="34" t="str">
        <f aca="false">IF(Z669="","",IFERROR(VLOOKUP(Z669,REPS!$A$2:$D$40,4,0),""))</f>
        <v/>
      </c>
      <c r="AB669" s="31" t="str">
        <f aca="false">IF(O669="","",IF(AA669="",0,O669*IF(AA669&gt;1,AA669/100,AA669)))</f>
        <v/>
      </c>
      <c r="AC669" s="31" t="str">
        <f aca="false">IF(O669="","",V669+Y669+AB669)</f>
        <v/>
      </c>
      <c r="AD669" s="19" t="str">
        <f aca="false">IF(O669="","",O669-R669-AC669)</f>
        <v/>
      </c>
      <c r="AE669" s="20"/>
      <c r="AF669" s="27"/>
      <c r="AG669" s="21" t="n">
        <f aca="false">IF(OR(AE669="",AE669=0),0,AE669*IF(U669="",0,IF(U669&gt;1,U669/100,U669)))</f>
        <v>0</v>
      </c>
      <c r="AH669" s="21" t="n">
        <f aca="false">IF(OR(AE669="",AE669=0),0,AE669*IF(X669="",0,IF(X669&gt;1,X669/100,X669)))</f>
        <v>0</v>
      </c>
      <c r="AI669" s="21" t="n">
        <f aca="false">IF(OR(AE669="",AE669=0),0,AE669*IF(AA669="",0,IF(AA669&gt;1,AA669/100,AA669)))</f>
        <v>0</v>
      </c>
      <c r="AJ669" s="21" t="n">
        <f aca="false">AG669+AH669+AI669</f>
        <v>0</v>
      </c>
      <c r="AK669" s="21" t="n">
        <f aca="false">IF(OR(AE669="",AE669=0),0,AE669-AJ669)</f>
        <v>0</v>
      </c>
      <c r="AL669" s="19" t="str">
        <f aca="false">IF(AD669="","",AD669-AK669)</f>
        <v/>
      </c>
      <c r="AM669" s="26" t="str">
        <f aca="false">IF(C669="","","Waiting for payment")</f>
        <v/>
      </c>
      <c r="AN669" s="27"/>
      <c r="AO669" s="27"/>
      <c r="AP669" s="35" t="str">
        <f aca="false">IF(OR(C669="",I669="",K669=""),"",IF(K669="Monthly",EDATE(C669,ROUND(I669*SETTINGS!$I$8,0)),WORKDAY(C669,ROUND(I669*SETTINGS!$I$8,0))))</f>
        <v/>
      </c>
      <c r="AQ669" s="26" t="str">
        <f aca="true">IF(C669="","",IF(AND(AP669&lt;&gt;"",TODAY()&gt;=AP669),"Refi Ready",IF(TODAY()-C669&gt;=SETTINGS!$I$11,"Prospecting","Performing")))</f>
        <v/>
      </c>
      <c r="AR669" s="35" t="str">
        <f aca="false">IF(OR(C669="",I669="",K669=""),"",IF(K669="Monthly",EDATE(C669,I669),WORKDAY(C669,I669)))</f>
        <v/>
      </c>
      <c r="AS669" s="28"/>
      <c r="AT669" s="36" t="str">
        <f aca="true">IF(C669="","",IF(AM669="Clawed Back","CLAWED",IF(TODAY()&lt;=C669+SETTINGS!$I$2,"⚠ AT RISK","SAFE")))</f>
        <v/>
      </c>
      <c r="AU669" s="28"/>
      <c r="AW669" s="24" t="n">
        <f aca="false">AW668+IF(AND(C669&lt;&gt;"",AO669&lt;&gt;"",OR('REP COMMISSION'!$B$3="",T669='REP COMMISSION'!$B$3,W669='REP COMMISSION'!$B$3,Z669='REP COMMISSION'!$B$3)),1,0)</f>
        <v>0</v>
      </c>
      <c r="AX669" s="24" t="n">
        <f aca="false">AX668+IF(AND(C669&lt;&gt;"",OR(F669="LOC - INITIAL",F669="CONSOLIDATION - UPFRONT COMM",F669="REVERSE - TOTAL FUNDING")),1,0)</f>
        <v>0</v>
      </c>
    </row>
    <row r="670" customFormat="false" ht="15" hidden="false" customHeight="false" outlineLevel="0" collapsed="false">
      <c r="A670" s="8" t="str">
        <f aca="false">IF(C670&lt;&gt;"","F"&amp;COUNT($C$4:C670),"")</f>
        <v/>
      </c>
      <c r="B670" s="9" t="str">
        <f aca="false">IF(OR(F670="LOC - INITIAL",F670="CONSOLIDATION - UPFRONT COMM",F670="REVERSE - TOTAL FUNDING"),A670,"")</f>
        <v/>
      </c>
      <c r="C670" s="10"/>
      <c r="D670" s="11"/>
      <c r="E670" s="11"/>
      <c r="F670" s="11"/>
      <c r="G670" s="12"/>
      <c r="H670" s="13"/>
      <c r="I670" s="11"/>
      <c r="J670" s="14" t="str">
        <f aca="false">IF(AND(G670&lt;&gt;"",H670&lt;&gt;""),G670*H670,"")</f>
        <v/>
      </c>
      <c r="K670" s="11"/>
      <c r="L670" s="15"/>
      <c r="M670" s="15"/>
      <c r="N670" s="14" t="n">
        <f aca="false">IF(OR(G670="",M670=""),0,IF(M670&gt;100,M670,G670*IF(M670&gt;1,M670/100,M670)))</f>
        <v>0</v>
      </c>
      <c r="O670" s="14" t="str">
        <f aca="false">IF(G670="","",G670*IF(L670="",0,IF(L670&gt;1,L670/100,L670))+N670)</f>
        <v/>
      </c>
      <c r="P670" s="11"/>
      <c r="Q670" s="16" t="str">
        <f aca="false">IF(P670="","",IFERROR(VLOOKUP(P670,PARTNERS!$A$2:$B$30,2,0),""))</f>
        <v/>
      </c>
      <c r="R670" s="17" t="str">
        <f aca="false">IF(O670="","",IF(OR(P670="",Q670=""),0,(O670-N670)*IF(Q670&gt;1,Q670/100,Q670)))</f>
        <v/>
      </c>
      <c r="S670" s="14" t="str">
        <f aca="false">IF(O670="","",O670-R670)</f>
        <v/>
      </c>
      <c r="T670" s="11"/>
      <c r="U670" s="18" t="str">
        <f aca="false">IF(T670="","",IFERROR(VLOOKUP(T670,REPS!$A$2:$D$40,2,0),""))</f>
        <v/>
      </c>
      <c r="V670" s="14" t="str">
        <f aca="false">IF(O670="","",IF(U670="",0,O670*IF(U670&gt;1,U670/100,U670)))</f>
        <v/>
      </c>
      <c r="W670" s="11"/>
      <c r="X670" s="18" t="str">
        <f aca="false">IF(W670="","",IFERROR(VLOOKUP(W670,REPS!$A$2:$D$40,3,0),""))</f>
        <v/>
      </c>
      <c r="Y670" s="14" t="str">
        <f aca="false">IF(O670="","",IF(X670="",0,O670*IF(X670&gt;1,X670/100,X670)))</f>
        <v/>
      </c>
      <c r="Z670" s="11"/>
      <c r="AA670" s="18" t="str">
        <f aca="false">IF(Z670="","",IFERROR(VLOOKUP(Z670,REPS!$A$2:$D$40,4,0),""))</f>
        <v/>
      </c>
      <c r="AB670" s="14" t="str">
        <f aca="false">IF(O670="","",IF(AA670="",0,O670*IF(AA670&gt;1,AA670/100,AA670)))</f>
        <v/>
      </c>
      <c r="AC670" s="14" t="str">
        <f aca="false">IF(O670="","",V670+Y670+AB670)</f>
        <v/>
      </c>
      <c r="AD670" s="19" t="str">
        <f aca="false">IF(O670="","",O670-R670-AC670)</f>
        <v/>
      </c>
      <c r="AE670" s="20"/>
      <c r="AF670" s="10"/>
      <c r="AG670" s="21" t="n">
        <f aca="false">IF(OR(AE670="",AE670=0),0,AE670*IF(U670="",0,IF(U670&gt;1,U670/100,U670)))</f>
        <v>0</v>
      </c>
      <c r="AH670" s="21" t="n">
        <f aca="false">IF(OR(AE670="",AE670=0),0,AE670*IF(X670="",0,IF(X670&gt;1,X670/100,X670)))</f>
        <v>0</v>
      </c>
      <c r="AI670" s="21" t="n">
        <f aca="false">IF(OR(AE670="",AE670=0),0,AE670*IF(AA670="",0,IF(AA670&gt;1,AA670/100,AA670)))</f>
        <v>0</v>
      </c>
      <c r="AJ670" s="21" t="n">
        <f aca="false">AG670+AH670+AI670</f>
        <v>0</v>
      </c>
      <c r="AK670" s="21" t="n">
        <f aca="false">IF(OR(AE670="",AE670=0),0,AE670-AJ670)</f>
        <v>0</v>
      </c>
      <c r="AL670" s="19" t="str">
        <f aca="false">IF(AD670="","",AD670-AK670)</f>
        <v/>
      </c>
      <c r="AM670" s="9" t="str">
        <f aca="false">IF(C670="","","Waiting for payment")</f>
        <v/>
      </c>
      <c r="AN670" s="10"/>
      <c r="AO670" s="10"/>
      <c r="AP670" s="22" t="str">
        <f aca="false">IF(OR(C670="",I670="",K670=""),"",IF(K670="Monthly",EDATE(C670,ROUND(I670*SETTINGS!$I$8,0)),WORKDAY(C670,ROUND(I670*SETTINGS!$I$8,0))))</f>
        <v/>
      </c>
      <c r="AQ670" s="9" t="str">
        <f aca="true">IF(C670="","",IF(AND(AP670&lt;&gt;"",TODAY()&gt;=AP670),"Refi Ready",IF(TODAY()-C670&gt;=SETTINGS!$I$11,"Prospecting","Performing")))</f>
        <v/>
      </c>
      <c r="AR670" s="22" t="str">
        <f aca="false">IF(OR(C670="",I670="",K670=""),"",IF(K670="Monthly",EDATE(C670,I670),WORKDAY(C670,I670)))</f>
        <v/>
      </c>
      <c r="AS670" s="11"/>
      <c r="AT670" s="23" t="str">
        <f aca="true">IF(C670="","",IF(AM670="Clawed Back","CLAWED",IF(TODAY()&lt;=C670+SETTINGS!$I$2,"⚠ AT RISK","SAFE")))</f>
        <v/>
      </c>
      <c r="AU670" s="11"/>
      <c r="AW670" s="24" t="n">
        <f aca="false">AW669+IF(AND(C670&lt;&gt;"",AO670&lt;&gt;"",OR('REP COMMISSION'!$B$3="",T670='REP COMMISSION'!$B$3,W670='REP COMMISSION'!$B$3,Z670='REP COMMISSION'!$B$3)),1,0)</f>
        <v>0</v>
      </c>
      <c r="AX670" s="24" t="n">
        <f aca="false">AX669+IF(AND(C670&lt;&gt;"",OR(F670="LOC - INITIAL",F670="CONSOLIDATION - UPFRONT COMM",F670="REVERSE - TOTAL FUNDING")),1,0)</f>
        <v>0</v>
      </c>
    </row>
    <row r="671" customFormat="false" ht="15" hidden="false" customHeight="false" outlineLevel="0" collapsed="false">
      <c r="A671" s="25" t="str">
        <f aca="false">IF(C671&lt;&gt;"","F"&amp;COUNT($C$4:C671),"")</f>
        <v/>
      </c>
      <c r="B671" s="26" t="str">
        <f aca="false">IF(OR(F671="LOC - INITIAL",F671="CONSOLIDATION - UPFRONT COMM",F671="REVERSE - TOTAL FUNDING"),A671,"")</f>
        <v/>
      </c>
      <c r="C671" s="27"/>
      <c r="D671" s="28"/>
      <c r="E671" s="28"/>
      <c r="F671" s="28"/>
      <c r="G671" s="29"/>
      <c r="H671" s="30"/>
      <c r="I671" s="28"/>
      <c r="J671" s="31" t="str">
        <f aca="false">IF(AND(G671&lt;&gt;"",H671&lt;&gt;""),G671*H671,"")</f>
        <v/>
      </c>
      <c r="K671" s="28"/>
      <c r="L671" s="32"/>
      <c r="M671" s="32"/>
      <c r="N671" s="31" t="n">
        <f aca="false">IF(OR(G671="",M671=""),0,IF(M671&gt;100,M671,G671*IF(M671&gt;1,M671/100,M671)))</f>
        <v>0</v>
      </c>
      <c r="O671" s="31" t="str">
        <f aca="false">IF(G671="","",G671*IF(L671="",0,IF(L671&gt;1,L671/100,L671))+N671)</f>
        <v/>
      </c>
      <c r="P671" s="28"/>
      <c r="Q671" s="33" t="str">
        <f aca="false">IF(P671="","",IFERROR(VLOOKUP(P671,PARTNERS!$A$2:$B$30,2,0),""))</f>
        <v/>
      </c>
      <c r="R671" s="17" t="str">
        <f aca="false">IF(O671="","",IF(OR(P671="",Q671=""),0,(O671-N671)*IF(Q671&gt;1,Q671/100,Q671)))</f>
        <v/>
      </c>
      <c r="S671" s="31" t="str">
        <f aca="false">IF(O671="","",O671-R671)</f>
        <v/>
      </c>
      <c r="T671" s="28"/>
      <c r="U671" s="34" t="str">
        <f aca="false">IF(T671="","",IFERROR(VLOOKUP(T671,REPS!$A$2:$D$40,2,0),""))</f>
        <v/>
      </c>
      <c r="V671" s="31" t="str">
        <f aca="false">IF(O671="","",IF(U671="",0,O671*IF(U671&gt;1,U671/100,U671)))</f>
        <v/>
      </c>
      <c r="W671" s="28"/>
      <c r="X671" s="34" t="str">
        <f aca="false">IF(W671="","",IFERROR(VLOOKUP(W671,REPS!$A$2:$D$40,3,0),""))</f>
        <v/>
      </c>
      <c r="Y671" s="31" t="str">
        <f aca="false">IF(O671="","",IF(X671="",0,O671*IF(X671&gt;1,X671/100,X671)))</f>
        <v/>
      </c>
      <c r="Z671" s="28"/>
      <c r="AA671" s="34" t="str">
        <f aca="false">IF(Z671="","",IFERROR(VLOOKUP(Z671,REPS!$A$2:$D$40,4,0),""))</f>
        <v/>
      </c>
      <c r="AB671" s="31" t="str">
        <f aca="false">IF(O671="","",IF(AA671="",0,O671*IF(AA671&gt;1,AA671/100,AA671)))</f>
        <v/>
      </c>
      <c r="AC671" s="31" t="str">
        <f aca="false">IF(O671="","",V671+Y671+AB671)</f>
        <v/>
      </c>
      <c r="AD671" s="19" t="str">
        <f aca="false">IF(O671="","",O671-R671-AC671)</f>
        <v/>
      </c>
      <c r="AE671" s="20"/>
      <c r="AF671" s="27"/>
      <c r="AG671" s="21" t="n">
        <f aca="false">IF(OR(AE671="",AE671=0),0,AE671*IF(U671="",0,IF(U671&gt;1,U671/100,U671)))</f>
        <v>0</v>
      </c>
      <c r="AH671" s="21" t="n">
        <f aca="false">IF(OR(AE671="",AE671=0),0,AE671*IF(X671="",0,IF(X671&gt;1,X671/100,X671)))</f>
        <v>0</v>
      </c>
      <c r="AI671" s="21" t="n">
        <f aca="false">IF(OR(AE671="",AE671=0),0,AE671*IF(AA671="",0,IF(AA671&gt;1,AA671/100,AA671)))</f>
        <v>0</v>
      </c>
      <c r="AJ671" s="21" t="n">
        <f aca="false">AG671+AH671+AI671</f>
        <v>0</v>
      </c>
      <c r="AK671" s="21" t="n">
        <f aca="false">IF(OR(AE671="",AE671=0),0,AE671-AJ671)</f>
        <v>0</v>
      </c>
      <c r="AL671" s="19" t="str">
        <f aca="false">IF(AD671="","",AD671-AK671)</f>
        <v/>
      </c>
      <c r="AM671" s="26" t="str">
        <f aca="false">IF(C671="","","Waiting for payment")</f>
        <v/>
      </c>
      <c r="AN671" s="27"/>
      <c r="AO671" s="27"/>
      <c r="AP671" s="35" t="str">
        <f aca="false">IF(OR(C671="",I671="",K671=""),"",IF(K671="Monthly",EDATE(C671,ROUND(I671*SETTINGS!$I$8,0)),WORKDAY(C671,ROUND(I671*SETTINGS!$I$8,0))))</f>
        <v/>
      </c>
      <c r="AQ671" s="26" t="str">
        <f aca="true">IF(C671="","",IF(AND(AP671&lt;&gt;"",TODAY()&gt;=AP671),"Refi Ready",IF(TODAY()-C671&gt;=SETTINGS!$I$11,"Prospecting","Performing")))</f>
        <v/>
      </c>
      <c r="AR671" s="35" t="str">
        <f aca="false">IF(OR(C671="",I671="",K671=""),"",IF(K671="Monthly",EDATE(C671,I671),WORKDAY(C671,I671)))</f>
        <v/>
      </c>
      <c r="AS671" s="28"/>
      <c r="AT671" s="36" t="str">
        <f aca="true">IF(C671="","",IF(AM671="Clawed Back","CLAWED",IF(TODAY()&lt;=C671+SETTINGS!$I$2,"⚠ AT RISK","SAFE")))</f>
        <v/>
      </c>
      <c r="AU671" s="28"/>
      <c r="AW671" s="24" t="n">
        <f aca="false">AW670+IF(AND(C671&lt;&gt;"",AO671&lt;&gt;"",OR('REP COMMISSION'!$B$3="",T671='REP COMMISSION'!$B$3,W671='REP COMMISSION'!$B$3,Z671='REP COMMISSION'!$B$3)),1,0)</f>
        <v>0</v>
      </c>
      <c r="AX671" s="24" t="n">
        <f aca="false">AX670+IF(AND(C671&lt;&gt;"",OR(F671="LOC - INITIAL",F671="CONSOLIDATION - UPFRONT COMM",F671="REVERSE - TOTAL FUNDING")),1,0)</f>
        <v>0</v>
      </c>
    </row>
    <row r="672" customFormat="false" ht="15" hidden="false" customHeight="false" outlineLevel="0" collapsed="false">
      <c r="A672" s="8" t="str">
        <f aca="false">IF(C672&lt;&gt;"","F"&amp;COUNT($C$4:C672),"")</f>
        <v/>
      </c>
      <c r="B672" s="9" t="str">
        <f aca="false">IF(OR(F672="LOC - INITIAL",F672="CONSOLIDATION - UPFRONT COMM",F672="REVERSE - TOTAL FUNDING"),A672,"")</f>
        <v/>
      </c>
      <c r="C672" s="10"/>
      <c r="D672" s="11"/>
      <c r="E672" s="11"/>
      <c r="F672" s="11"/>
      <c r="G672" s="12"/>
      <c r="H672" s="13"/>
      <c r="I672" s="11"/>
      <c r="J672" s="14" t="str">
        <f aca="false">IF(AND(G672&lt;&gt;"",H672&lt;&gt;""),G672*H672,"")</f>
        <v/>
      </c>
      <c r="K672" s="11"/>
      <c r="L672" s="15"/>
      <c r="M672" s="15"/>
      <c r="N672" s="14" t="n">
        <f aca="false">IF(OR(G672="",M672=""),0,IF(M672&gt;100,M672,G672*IF(M672&gt;1,M672/100,M672)))</f>
        <v>0</v>
      </c>
      <c r="O672" s="14" t="str">
        <f aca="false">IF(G672="","",G672*IF(L672="",0,IF(L672&gt;1,L672/100,L672))+N672)</f>
        <v/>
      </c>
      <c r="P672" s="11"/>
      <c r="Q672" s="16" t="str">
        <f aca="false">IF(P672="","",IFERROR(VLOOKUP(P672,PARTNERS!$A$2:$B$30,2,0),""))</f>
        <v/>
      </c>
      <c r="R672" s="17" t="str">
        <f aca="false">IF(O672="","",IF(OR(P672="",Q672=""),0,(O672-N672)*IF(Q672&gt;1,Q672/100,Q672)))</f>
        <v/>
      </c>
      <c r="S672" s="14" t="str">
        <f aca="false">IF(O672="","",O672-R672)</f>
        <v/>
      </c>
      <c r="T672" s="11"/>
      <c r="U672" s="18" t="str">
        <f aca="false">IF(T672="","",IFERROR(VLOOKUP(T672,REPS!$A$2:$D$40,2,0),""))</f>
        <v/>
      </c>
      <c r="V672" s="14" t="str">
        <f aca="false">IF(O672="","",IF(U672="",0,O672*IF(U672&gt;1,U672/100,U672)))</f>
        <v/>
      </c>
      <c r="W672" s="11"/>
      <c r="X672" s="18" t="str">
        <f aca="false">IF(W672="","",IFERROR(VLOOKUP(W672,REPS!$A$2:$D$40,3,0),""))</f>
        <v/>
      </c>
      <c r="Y672" s="14" t="str">
        <f aca="false">IF(O672="","",IF(X672="",0,O672*IF(X672&gt;1,X672/100,X672)))</f>
        <v/>
      </c>
      <c r="Z672" s="11"/>
      <c r="AA672" s="18" t="str">
        <f aca="false">IF(Z672="","",IFERROR(VLOOKUP(Z672,REPS!$A$2:$D$40,4,0),""))</f>
        <v/>
      </c>
      <c r="AB672" s="14" t="str">
        <f aca="false">IF(O672="","",IF(AA672="",0,O672*IF(AA672&gt;1,AA672/100,AA672)))</f>
        <v/>
      </c>
      <c r="AC672" s="14" t="str">
        <f aca="false">IF(O672="","",V672+Y672+AB672)</f>
        <v/>
      </c>
      <c r="AD672" s="19" t="str">
        <f aca="false">IF(O672="","",O672-R672-AC672)</f>
        <v/>
      </c>
      <c r="AE672" s="20"/>
      <c r="AF672" s="10"/>
      <c r="AG672" s="21" t="n">
        <f aca="false">IF(OR(AE672="",AE672=0),0,AE672*IF(U672="",0,IF(U672&gt;1,U672/100,U672)))</f>
        <v>0</v>
      </c>
      <c r="AH672" s="21" t="n">
        <f aca="false">IF(OR(AE672="",AE672=0),0,AE672*IF(X672="",0,IF(X672&gt;1,X672/100,X672)))</f>
        <v>0</v>
      </c>
      <c r="AI672" s="21" t="n">
        <f aca="false">IF(OR(AE672="",AE672=0),0,AE672*IF(AA672="",0,IF(AA672&gt;1,AA672/100,AA672)))</f>
        <v>0</v>
      </c>
      <c r="AJ672" s="21" t="n">
        <f aca="false">AG672+AH672+AI672</f>
        <v>0</v>
      </c>
      <c r="AK672" s="21" t="n">
        <f aca="false">IF(OR(AE672="",AE672=0),0,AE672-AJ672)</f>
        <v>0</v>
      </c>
      <c r="AL672" s="19" t="str">
        <f aca="false">IF(AD672="","",AD672-AK672)</f>
        <v/>
      </c>
      <c r="AM672" s="9" t="str">
        <f aca="false">IF(C672="","","Waiting for payment")</f>
        <v/>
      </c>
      <c r="AN672" s="10"/>
      <c r="AO672" s="10"/>
      <c r="AP672" s="22" t="str">
        <f aca="false">IF(OR(C672="",I672="",K672=""),"",IF(K672="Monthly",EDATE(C672,ROUND(I672*SETTINGS!$I$8,0)),WORKDAY(C672,ROUND(I672*SETTINGS!$I$8,0))))</f>
        <v/>
      </c>
      <c r="AQ672" s="9" t="str">
        <f aca="true">IF(C672="","",IF(AND(AP672&lt;&gt;"",TODAY()&gt;=AP672),"Refi Ready",IF(TODAY()-C672&gt;=SETTINGS!$I$11,"Prospecting","Performing")))</f>
        <v/>
      </c>
      <c r="AR672" s="22" t="str">
        <f aca="false">IF(OR(C672="",I672="",K672=""),"",IF(K672="Monthly",EDATE(C672,I672),WORKDAY(C672,I672)))</f>
        <v/>
      </c>
      <c r="AS672" s="11"/>
      <c r="AT672" s="23" t="str">
        <f aca="true">IF(C672="","",IF(AM672="Clawed Back","CLAWED",IF(TODAY()&lt;=C672+SETTINGS!$I$2,"⚠ AT RISK","SAFE")))</f>
        <v/>
      </c>
      <c r="AU672" s="11"/>
      <c r="AW672" s="24" t="n">
        <f aca="false">AW671+IF(AND(C672&lt;&gt;"",AO672&lt;&gt;"",OR('REP COMMISSION'!$B$3="",T672='REP COMMISSION'!$B$3,W672='REP COMMISSION'!$B$3,Z672='REP COMMISSION'!$B$3)),1,0)</f>
        <v>0</v>
      </c>
      <c r="AX672" s="24" t="n">
        <f aca="false">AX671+IF(AND(C672&lt;&gt;"",OR(F672="LOC - INITIAL",F672="CONSOLIDATION - UPFRONT COMM",F672="REVERSE - TOTAL FUNDING")),1,0)</f>
        <v>0</v>
      </c>
    </row>
    <row r="673" customFormat="false" ht="15" hidden="false" customHeight="false" outlineLevel="0" collapsed="false">
      <c r="A673" s="25" t="str">
        <f aca="false">IF(C673&lt;&gt;"","F"&amp;COUNT($C$4:C673),"")</f>
        <v/>
      </c>
      <c r="B673" s="26" t="str">
        <f aca="false">IF(OR(F673="LOC - INITIAL",F673="CONSOLIDATION - UPFRONT COMM",F673="REVERSE - TOTAL FUNDING"),A673,"")</f>
        <v/>
      </c>
      <c r="C673" s="27"/>
      <c r="D673" s="28"/>
      <c r="E673" s="28"/>
      <c r="F673" s="28"/>
      <c r="G673" s="29"/>
      <c r="H673" s="30"/>
      <c r="I673" s="28"/>
      <c r="J673" s="31" t="str">
        <f aca="false">IF(AND(G673&lt;&gt;"",H673&lt;&gt;""),G673*H673,"")</f>
        <v/>
      </c>
      <c r="K673" s="28"/>
      <c r="L673" s="32"/>
      <c r="M673" s="32"/>
      <c r="N673" s="31" t="n">
        <f aca="false">IF(OR(G673="",M673=""),0,IF(M673&gt;100,M673,G673*IF(M673&gt;1,M673/100,M673)))</f>
        <v>0</v>
      </c>
      <c r="O673" s="31" t="str">
        <f aca="false">IF(G673="","",G673*IF(L673="",0,IF(L673&gt;1,L673/100,L673))+N673)</f>
        <v/>
      </c>
      <c r="P673" s="28"/>
      <c r="Q673" s="33" t="str">
        <f aca="false">IF(P673="","",IFERROR(VLOOKUP(P673,PARTNERS!$A$2:$B$30,2,0),""))</f>
        <v/>
      </c>
      <c r="R673" s="17" t="str">
        <f aca="false">IF(O673="","",IF(OR(P673="",Q673=""),0,(O673-N673)*IF(Q673&gt;1,Q673/100,Q673)))</f>
        <v/>
      </c>
      <c r="S673" s="31" t="str">
        <f aca="false">IF(O673="","",O673-R673)</f>
        <v/>
      </c>
      <c r="T673" s="28"/>
      <c r="U673" s="34" t="str">
        <f aca="false">IF(T673="","",IFERROR(VLOOKUP(T673,REPS!$A$2:$D$40,2,0),""))</f>
        <v/>
      </c>
      <c r="V673" s="31" t="str">
        <f aca="false">IF(O673="","",IF(U673="",0,O673*IF(U673&gt;1,U673/100,U673)))</f>
        <v/>
      </c>
      <c r="W673" s="28"/>
      <c r="X673" s="34" t="str">
        <f aca="false">IF(W673="","",IFERROR(VLOOKUP(W673,REPS!$A$2:$D$40,3,0),""))</f>
        <v/>
      </c>
      <c r="Y673" s="31" t="str">
        <f aca="false">IF(O673="","",IF(X673="",0,O673*IF(X673&gt;1,X673/100,X673)))</f>
        <v/>
      </c>
      <c r="Z673" s="28"/>
      <c r="AA673" s="34" t="str">
        <f aca="false">IF(Z673="","",IFERROR(VLOOKUP(Z673,REPS!$A$2:$D$40,4,0),""))</f>
        <v/>
      </c>
      <c r="AB673" s="31" t="str">
        <f aca="false">IF(O673="","",IF(AA673="",0,O673*IF(AA673&gt;1,AA673/100,AA673)))</f>
        <v/>
      </c>
      <c r="AC673" s="31" t="str">
        <f aca="false">IF(O673="","",V673+Y673+AB673)</f>
        <v/>
      </c>
      <c r="AD673" s="19" t="str">
        <f aca="false">IF(O673="","",O673-R673-AC673)</f>
        <v/>
      </c>
      <c r="AE673" s="20"/>
      <c r="AF673" s="27"/>
      <c r="AG673" s="21" t="n">
        <f aca="false">IF(OR(AE673="",AE673=0),0,AE673*IF(U673="",0,IF(U673&gt;1,U673/100,U673)))</f>
        <v>0</v>
      </c>
      <c r="AH673" s="21" t="n">
        <f aca="false">IF(OR(AE673="",AE673=0),0,AE673*IF(X673="",0,IF(X673&gt;1,X673/100,X673)))</f>
        <v>0</v>
      </c>
      <c r="AI673" s="21" t="n">
        <f aca="false">IF(OR(AE673="",AE673=0),0,AE673*IF(AA673="",0,IF(AA673&gt;1,AA673/100,AA673)))</f>
        <v>0</v>
      </c>
      <c r="AJ673" s="21" t="n">
        <f aca="false">AG673+AH673+AI673</f>
        <v>0</v>
      </c>
      <c r="AK673" s="21" t="n">
        <f aca="false">IF(OR(AE673="",AE673=0),0,AE673-AJ673)</f>
        <v>0</v>
      </c>
      <c r="AL673" s="19" t="str">
        <f aca="false">IF(AD673="","",AD673-AK673)</f>
        <v/>
      </c>
      <c r="AM673" s="26" t="str">
        <f aca="false">IF(C673="","","Waiting for payment")</f>
        <v/>
      </c>
      <c r="AN673" s="27"/>
      <c r="AO673" s="27"/>
      <c r="AP673" s="35" t="str">
        <f aca="false">IF(OR(C673="",I673="",K673=""),"",IF(K673="Monthly",EDATE(C673,ROUND(I673*SETTINGS!$I$8,0)),WORKDAY(C673,ROUND(I673*SETTINGS!$I$8,0))))</f>
        <v/>
      </c>
      <c r="AQ673" s="26" t="str">
        <f aca="true">IF(C673="","",IF(AND(AP673&lt;&gt;"",TODAY()&gt;=AP673),"Refi Ready",IF(TODAY()-C673&gt;=SETTINGS!$I$11,"Prospecting","Performing")))</f>
        <v/>
      </c>
      <c r="AR673" s="35" t="str">
        <f aca="false">IF(OR(C673="",I673="",K673=""),"",IF(K673="Monthly",EDATE(C673,I673),WORKDAY(C673,I673)))</f>
        <v/>
      </c>
      <c r="AS673" s="28"/>
      <c r="AT673" s="36" t="str">
        <f aca="true">IF(C673="","",IF(AM673="Clawed Back","CLAWED",IF(TODAY()&lt;=C673+SETTINGS!$I$2,"⚠ AT RISK","SAFE")))</f>
        <v/>
      </c>
      <c r="AU673" s="28"/>
      <c r="AW673" s="24" t="n">
        <f aca="false">AW672+IF(AND(C673&lt;&gt;"",AO673&lt;&gt;"",OR('REP COMMISSION'!$B$3="",T673='REP COMMISSION'!$B$3,W673='REP COMMISSION'!$B$3,Z673='REP COMMISSION'!$B$3)),1,0)</f>
        <v>0</v>
      </c>
      <c r="AX673" s="24" t="n">
        <f aca="false">AX672+IF(AND(C673&lt;&gt;"",OR(F673="LOC - INITIAL",F673="CONSOLIDATION - UPFRONT COMM",F673="REVERSE - TOTAL FUNDING")),1,0)</f>
        <v>0</v>
      </c>
    </row>
    <row r="674" customFormat="false" ht="15" hidden="false" customHeight="false" outlineLevel="0" collapsed="false">
      <c r="A674" s="8" t="str">
        <f aca="false">IF(C674&lt;&gt;"","F"&amp;COUNT($C$4:C674),"")</f>
        <v/>
      </c>
      <c r="B674" s="9" t="str">
        <f aca="false">IF(OR(F674="LOC - INITIAL",F674="CONSOLIDATION - UPFRONT COMM",F674="REVERSE - TOTAL FUNDING"),A674,"")</f>
        <v/>
      </c>
      <c r="C674" s="10"/>
      <c r="D674" s="11"/>
      <c r="E674" s="11"/>
      <c r="F674" s="11"/>
      <c r="G674" s="12"/>
      <c r="H674" s="13"/>
      <c r="I674" s="11"/>
      <c r="J674" s="14" t="str">
        <f aca="false">IF(AND(G674&lt;&gt;"",H674&lt;&gt;""),G674*H674,"")</f>
        <v/>
      </c>
      <c r="K674" s="11"/>
      <c r="L674" s="15"/>
      <c r="M674" s="15"/>
      <c r="N674" s="14" t="n">
        <f aca="false">IF(OR(G674="",M674=""),0,IF(M674&gt;100,M674,G674*IF(M674&gt;1,M674/100,M674)))</f>
        <v>0</v>
      </c>
      <c r="O674" s="14" t="str">
        <f aca="false">IF(G674="","",G674*IF(L674="",0,IF(L674&gt;1,L674/100,L674))+N674)</f>
        <v/>
      </c>
      <c r="P674" s="11"/>
      <c r="Q674" s="16" t="str">
        <f aca="false">IF(P674="","",IFERROR(VLOOKUP(P674,PARTNERS!$A$2:$B$30,2,0),""))</f>
        <v/>
      </c>
      <c r="R674" s="17" t="str">
        <f aca="false">IF(O674="","",IF(OR(P674="",Q674=""),0,(O674-N674)*IF(Q674&gt;1,Q674/100,Q674)))</f>
        <v/>
      </c>
      <c r="S674" s="14" t="str">
        <f aca="false">IF(O674="","",O674-R674)</f>
        <v/>
      </c>
      <c r="T674" s="11"/>
      <c r="U674" s="18" t="str">
        <f aca="false">IF(T674="","",IFERROR(VLOOKUP(T674,REPS!$A$2:$D$40,2,0),""))</f>
        <v/>
      </c>
      <c r="V674" s="14" t="str">
        <f aca="false">IF(O674="","",IF(U674="",0,O674*IF(U674&gt;1,U674/100,U674)))</f>
        <v/>
      </c>
      <c r="W674" s="11"/>
      <c r="X674" s="18" t="str">
        <f aca="false">IF(W674="","",IFERROR(VLOOKUP(W674,REPS!$A$2:$D$40,3,0),""))</f>
        <v/>
      </c>
      <c r="Y674" s="14" t="str">
        <f aca="false">IF(O674="","",IF(X674="",0,O674*IF(X674&gt;1,X674/100,X674)))</f>
        <v/>
      </c>
      <c r="Z674" s="11"/>
      <c r="AA674" s="18" t="str">
        <f aca="false">IF(Z674="","",IFERROR(VLOOKUP(Z674,REPS!$A$2:$D$40,4,0),""))</f>
        <v/>
      </c>
      <c r="AB674" s="14" t="str">
        <f aca="false">IF(O674="","",IF(AA674="",0,O674*IF(AA674&gt;1,AA674/100,AA674)))</f>
        <v/>
      </c>
      <c r="AC674" s="14" t="str">
        <f aca="false">IF(O674="","",V674+Y674+AB674)</f>
        <v/>
      </c>
      <c r="AD674" s="19" t="str">
        <f aca="false">IF(O674="","",O674-R674-AC674)</f>
        <v/>
      </c>
      <c r="AE674" s="20"/>
      <c r="AF674" s="10"/>
      <c r="AG674" s="21" t="n">
        <f aca="false">IF(OR(AE674="",AE674=0),0,AE674*IF(U674="",0,IF(U674&gt;1,U674/100,U674)))</f>
        <v>0</v>
      </c>
      <c r="AH674" s="21" t="n">
        <f aca="false">IF(OR(AE674="",AE674=0),0,AE674*IF(X674="",0,IF(X674&gt;1,X674/100,X674)))</f>
        <v>0</v>
      </c>
      <c r="AI674" s="21" t="n">
        <f aca="false">IF(OR(AE674="",AE674=0),0,AE674*IF(AA674="",0,IF(AA674&gt;1,AA674/100,AA674)))</f>
        <v>0</v>
      </c>
      <c r="AJ674" s="21" t="n">
        <f aca="false">AG674+AH674+AI674</f>
        <v>0</v>
      </c>
      <c r="AK674" s="21" t="n">
        <f aca="false">IF(OR(AE674="",AE674=0),0,AE674-AJ674)</f>
        <v>0</v>
      </c>
      <c r="AL674" s="19" t="str">
        <f aca="false">IF(AD674="","",AD674-AK674)</f>
        <v/>
      </c>
      <c r="AM674" s="9" t="str">
        <f aca="false">IF(C674="","","Waiting for payment")</f>
        <v/>
      </c>
      <c r="AN674" s="10"/>
      <c r="AO674" s="10"/>
      <c r="AP674" s="22" t="str">
        <f aca="false">IF(OR(C674="",I674="",K674=""),"",IF(K674="Monthly",EDATE(C674,ROUND(I674*SETTINGS!$I$8,0)),WORKDAY(C674,ROUND(I674*SETTINGS!$I$8,0))))</f>
        <v/>
      </c>
      <c r="AQ674" s="9" t="str">
        <f aca="true">IF(C674="","",IF(AND(AP674&lt;&gt;"",TODAY()&gt;=AP674),"Refi Ready",IF(TODAY()-C674&gt;=SETTINGS!$I$11,"Prospecting","Performing")))</f>
        <v/>
      </c>
      <c r="AR674" s="22" t="str">
        <f aca="false">IF(OR(C674="",I674="",K674=""),"",IF(K674="Monthly",EDATE(C674,I674),WORKDAY(C674,I674)))</f>
        <v/>
      </c>
      <c r="AS674" s="11"/>
      <c r="AT674" s="23" t="str">
        <f aca="true">IF(C674="","",IF(AM674="Clawed Back","CLAWED",IF(TODAY()&lt;=C674+SETTINGS!$I$2,"⚠ AT RISK","SAFE")))</f>
        <v/>
      </c>
      <c r="AU674" s="11"/>
      <c r="AW674" s="24" t="n">
        <f aca="false">AW673+IF(AND(C674&lt;&gt;"",AO674&lt;&gt;"",OR('REP COMMISSION'!$B$3="",T674='REP COMMISSION'!$B$3,W674='REP COMMISSION'!$B$3,Z674='REP COMMISSION'!$B$3)),1,0)</f>
        <v>0</v>
      </c>
      <c r="AX674" s="24" t="n">
        <f aca="false">AX673+IF(AND(C674&lt;&gt;"",OR(F674="LOC - INITIAL",F674="CONSOLIDATION - UPFRONT COMM",F674="REVERSE - TOTAL FUNDING")),1,0)</f>
        <v>0</v>
      </c>
    </row>
    <row r="675" customFormat="false" ht="15" hidden="false" customHeight="false" outlineLevel="0" collapsed="false">
      <c r="A675" s="25" t="str">
        <f aca="false">IF(C675&lt;&gt;"","F"&amp;COUNT($C$4:C675),"")</f>
        <v/>
      </c>
      <c r="B675" s="26" t="str">
        <f aca="false">IF(OR(F675="LOC - INITIAL",F675="CONSOLIDATION - UPFRONT COMM",F675="REVERSE - TOTAL FUNDING"),A675,"")</f>
        <v/>
      </c>
      <c r="C675" s="27"/>
      <c r="D675" s="28"/>
      <c r="E675" s="28"/>
      <c r="F675" s="28"/>
      <c r="G675" s="29"/>
      <c r="H675" s="30"/>
      <c r="I675" s="28"/>
      <c r="J675" s="31" t="str">
        <f aca="false">IF(AND(G675&lt;&gt;"",H675&lt;&gt;""),G675*H675,"")</f>
        <v/>
      </c>
      <c r="K675" s="28"/>
      <c r="L675" s="32"/>
      <c r="M675" s="32"/>
      <c r="N675" s="31" t="n">
        <f aca="false">IF(OR(G675="",M675=""),0,IF(M675&gt;100,M675,G675*IF(M675&gt;1,M675/100,M675)))</f>
        <v>0</v>
      </c>
      <c r="O675" s="31" t="str">
        <f aca="false">IF(G675="","",G675*IF(L675="",0,IF(L675&gt;1,L675/100,L675))+N675)</f>
        <v/>
      </c>
      <c r="P675" s="28"/>
      <c r="Q675" s="33" t="str">
        <f aca="false">IF(P675="","",IFERROR(VLOOKUP(P675,PARTNERS!$A$2:$B$30,2,0),""))</f>
        <v/>
      </c>
      <c r="R675" s="17" t="str">
        <f aca="false">IF(O675="","",IF(OR(P675="",Q675=""),0,(O675-N675)*IF(Q675&gt;1,Q675/100,Q675)))</f>
        <v/>
      </c>
      <c r="S675" s="31" t="str">
        <f aca="false">IF(O675="","",O675-R675)</f>
        <v/>
      </c>
      <c r="T675" s="28"/>
      <c r="U675" s="34" t="str">
        <f aca="false">IF(T675="","",IFERROR(VLOOKUP(T675,REPS!$A$2:$D$40,2,0),""))</f>
        <v/>
      </c>
      <c r="V675" s="31" t="str">
        <f aca="false">IF(O675="","",IF(U675="",0,O675*IF(U675&gt;1,U675/100,U675)))</f>
        <v/>
      </c>
      <c r="W675" s="28"/>
      <c r="X675" s="34" t="str">
        <f aca="false">IF(W675="","",IFERROR(VLOOKUP(W675,REPS!$A$2:$D$40,3,0),""))</f>
        <v/>
      </c>
      <c r="Y675" s="31" t="str">
        <f aca="false">IF(O675="","",IF(X675="",0,O675*IF(X675&gt;1,X675/100,X675)))</f>
        <v/>
      </c>
      <c r="Z675" s="28"/>
      <c r="AA675" s="34" t="str">
        <f aca="false">IF(Z675="","",IFERROR(VLOOKUP(Z675,REPS!$A$2:$D$40,4,0),""))</f>
        <v/>
      </c>
      <c r="AB675" s="31" t="str">
        <f aca="false">IF(O675="","",IF(AA675="",0,O675*IF(AA675&gt;1,AA675/100,AA675)))</f>
        <v/>
      </c>
      <c r="AC675" s="31" t="str">
        <f aca="false">IF(O675="","",V675+Y675+AB675)</f>
        <v/>
      </c>
      <c r="AD675" s="19" t="str">
        <f aca="false">IF(O675="","",O675-R675-AC675)</f>
        <v/>
      </c>
      <c r="AE675" s="20"/>
      <c r="AF675" s="27"/>
      <c r="AG675" s="21" t="n">
        <f aca="false">IF(OR(AE675="",AE675=0),0,AE675*IF(U675="",0,IF(U675&gt;1,U675/100,U675)))</f>
        <v>0</v>
      </c>
      <c r="AH675" s="21" t="n">
        <f aca="false">IF(OR(AE675="",AE675=0),0,AE675*IF(X675="",0,IF(X675&gt;1,X675/100,X675)))</f>
        <v>0</v>
      </c>
      <c r="AI675" s="21" t="n">
        <f aca="false">IF(OR(AE675="",AE675=0),0,AE675*IF(AA675="",0,IF(AA675&gt;1,AA675/100,AA675)))</f>
        <v>0</v>
      </c>
      <c r="AJ675" s="21" t="n">
        <f aca="false">AG675+AH675+AI675</f>
        <v>0</v>
      </c>
      <c r="AK675" s="21" t="n">
        <f aca="false">IF(OR(AE675="",AE675=0),0,AE675-AJ675)</f>
        <v>0</v>
      </c>
      <c r="AL675" s="19" t="str">
        <f aca="false">IF(AD675="","",AD675-AK675)</f>
        <v/>
      </c>
      <c r="AM675" s="26" t="str">
        <f aca="false">IF(C675="","","Waiting for payment")</f>
        <v/>
      </c>
      <c r="AN675" s="27"/>
      <c r="AO675" s="27"/>
      <c r="AP675" s="35" t="str">
        <f aca="false">IF(OR(C675="",I675="",K675=""),"",IF(K675="Monthly",EDATE(C675,ROUND(I675*SETTINGS!$I$8,0)),WORKDAY(C675,ROUND(I675*SETTINGS!$I$8,0))))</f>
        <v/>
      </c>
      <c r="AQ675" s="26" t="str">
        <f aca="true">IF(C675="","",IF(AND(AP675&lt;&gt;"",TODAY()&gt;=AP675),"Refi Ready",IF(TODAY()-C675&gt;=SETTINGS!$I$11,"Prospecting","Performing")))</f>
        <v/>
      </c>
      <c r="AR675" s="35" t="str">
        <f aca="false">IF(OR(C675="",I675="",K675=""),"",IF(K675="Monthly",EDATE(C675,I675),WORKDAY(C675,I675)))</f>
        <v/>
      </c>
      <c r="AS675" s="28"/>
      <c r="AT675" s="36" t="str">
        <f aca="true">IF(C675="","",IF(AM675="Clawed Back","CLAWED",IF(TODAY()&lt;=C675+SETTINGS!$I$2,"⚠ AT RISK","SAFE")))</f>
        <v/>
      </c>
      <c r="AU675" s="28"/>
      <c r="AW675" s="24" t="n">
        <f aca="false">AW674+IF(AND(C675&lt;&gt;"",AO675&lt;&gt;"",OR('REP COMMISSION'!$B$3="",T675='REP COMMISSION'!$B$3,W675='REP COMMISSION'!$B$3,Z675='REP COMMISSION'!$B$3)),1,0)</f>
        <v>0</v>
      </c>
      <c r="AX675" s="24" t="n">
        <f aca="false">AX674+IF(AND(C675&lt;&gt;"",OR(F675="LOC - INITIAL",F675="CONSOLIDATION - UPFRONT COMM",F675="REVERSE - TOTAL FUNDING")),1,0)</f>
        <v>0</v>
      </c>
    </row>
    <row r="676" customFormat="false" ht="15" hidden="false" customHeight="false" outlineLevel="0" collapsed="false">
      <c r="A676" s="8" t="str">
        <f aca="false">IF(C676&lt;&gt;"","F"&amp;COUNT($C$4:C676),"")</f>
        <v/>
      </c>
      <c r="B676" s="9" t="str">
        <f aca="false">IF(OR(F676="LOC - INITIAL",F676="CONSOLIDATION - UPFRONT COMM",F676="REVERSE - TOTAL FUNDING"),A676,"")</f>
        <v/>
      </c>
      <c r="C676" s="10"/>
      <c r="D676" s="11"/>
      <c r="E676" s="11"/>
      <c r="F676" s="11"/>
      <c r="G676" s="12"/>
      <c r="H676" s="13"/>
      <c r="I676" s="11"/>
      <c r="J676" s="14" t="str">
        <f aca="false">IF(AND(G676&lt;&gt;"",H676&lt;&gt;""),G676*H676,"")</f>
        <v/>
      </c>
      <c r="K676" s="11"/>
      <c r="L676" s="15"/>
      <c r="M676" s="15"/>
      <c r="N676" s="14" t="n">
        <f aca="false">IF(OR(G676="",M676=""),0,IF(M676&gt;100,M676,G676*IF(M676&gt;1,M676/100,M676)))</f>
        <v>0</v>
      </c>
      <c r="O676" s="14" t="str">
        <f aca="false">IF(G676="","",G676*IF(L676="",0,IF(L676&gt;1,L676/100,L676))+N676)</f>
        <v/>
      </c>
      <c r="P676" s="11"/>
      <c r="Q676" s="16" t="str">
        <f aca="false">IF(P676="","",IFERROR(VLOOKUP(P676,PARTNERS!$A$2:$B$30,2,0),""))</f>
        <v/>
      </c>
      <c r="R676" s="17" t="str">
        <f aca="false">IF(O676="","",IF(OR(P676="",Q676=""),0,(O676-N676)*IF(Q676&gt;1,Q676/100,Q676)))</f>
        <v/>
      </c>
      <c r="S676" s="14" t="str">
        <f aca="false">IF(O676="","",O676-R676)</f>
        <v/>
      </c>
      <c r="T676" s="11"/>
      <c r="U676" s="18" t="str">
        <f aca="false">IF(T676="","",IFERROR(VLOOKUP(T676,REPS!$A$2:$D$40,2,0),""))</f>
        <v/>
      </c>
      <c r="V676" s="14" t="str">
        <f aca="false">IF(O676="","",IF(U676="",0,O676*IF(U676&gt;1,U676/100,U676)))</f>
        <v/>
      </c>
      <c r="W676" s="11"/>
      <c r="X676" s="18" t="str">
        <f aca="false">IF(W676="","",IFERROR(VLOOKUP(W676,REPS!$A$2:$D$40,3,0),""))</f>
        <v/>
      </c>
      <c r="Y676" s="14" t="str">
        <f aca="false">IF(O676="","",IF(X676="",0,O676*IF(X676&gt;1,X676/100,X676)))</f>
        <v/>
      </c>
      <c r="Z676" s="11"/>
      <c r="AA676" s="18" t="str">
        <f aca="false">IF(Z676="","",IFERROR(VLOOKUP(Z676,REPS!$A$2:$D$40,4,0),""))</f>
        <v/>
      </c>
      <c r="AB676" s="14" t="str">
        <f aca="false">IF(O676="","",IF(AA676="",0,O676*IF(AA676&gt;1,AA676/100,AA676)))</f>
        <v/>
      </c>
      <c r="AC676" s="14" t="str">
        <f aca="false">IF(O676="","",V676+Y676+AB676)</f>
        <v/>
      </c>
      <c r="AD676" s="19" t="str">
        <f aca="false">IF(O676="","",O676-R676-AC676)</f>
        <v/>
      </c>
      <c r="AE676" s="20"/>
      <c r="AF676" s="10"/>
      <c r="AG676" s="21" t="n">
        <f aca="false">IF(OR(AE676="",AE676=0),0,AE676*IF(U676="",0,IF(U676&gt;1,U676/100,U676)))</f>
        <v>0</v>
      </c>
      <c r="AH676" s="21" t="n">
        <f aca="false">IF(OR(AE676="",AE676=0),0,AE676*IF(X676="",0,IF(X676&gt;1,X676/100,X676)))</f>
        <v>0</v>
      </c>
      <c r="AI676" s="21" t="n">
        <f aca="false">IF(OR(AE676="",AE676=0),0,AE676*IF(AA676="",0,IF(AA676&gt;1,AA676/100,AA676)))</f>
        <v>0</v>
      </c>
      <c r="AJ676" s="21" t="n">
        <f aca="false">AG676+AH676+AI676</f>
        <v>0</v>
      </c>
      <c r="AK676" s="21" t="n">
        <f aca="false">IF(OR(AE676="",AE676=0),0,AE676-AJ676)</f>
        <v>0</v>
      </c>
      <c r="AL676" s="19" t="str">
        <f aca="false">IF(AD676="","",AD676-AK676)</f>
        <v/>
      </c>
      <c r="AM676" s="9" t="str">
        <f aca="false">IF(C676="","","Waiting for payment")</f>
        <v/>
      </c>
      <c r="AN676" s="10"/>
      <c r="AO676" s="10"/>
      <c r="AP676" s="22" t="str">
        <f aca="false">IF(OR(C676="",I676="",K676=""),"",IF(K676="Monthly",EDATE(C676,ROUND(I676*SETTINGS!$I$8,0)),WORKDAY(C676,ROUND(I676*SETTINGS!$I$8,0))))</f>
        <v/>
      </c>
      <c r="AQ676" s="9" t="str">
        <f aca="true">IF(C676="","",IF(AND(AP676&lt;&gt;"",TODAY()&gt;=AP676),"Refi Ready",IF(TODAY()-C676&gt;=SETTINGS!$I$11,"Prospecting","Performing")))</f>
        <v/>
      </c>
      <c r="AR676" s="22" t="str">
        <f aca="false">IF(OR(C676="",I676="",K676=""),"",IF(K676="Monthly",EDATE(C676,I676),WORKDAY(C676,I676)))</f>
        <v/>
      </c>
      <c r="AS676" s="11"/>
      <c r="AT676" s="23" t="str">
        <f aca="true">IF(C676="","",IF(AM676="Clawed Back","CLAWED",IF(TODAY()&lt;=C676+SETTINGS!$I$2,"⚠ AT RISK","SAFE")))</f>
        <v/>
      </c>
      <c r="AU676" s="11"/>
      <c r="AW676" s="24" t="n">
        <f aca="false">AW675+IF(AND(C676&lt;&gt;"",AO676&lt;&gt;"",OR('REP COMMISSION'!$B$3="",T676='REP COMMISSION'!$B$3,W676='REP COMMISSION'!$B$3,Z676='REP COMMISSION'!$B$3)),1,0)</f>
        <v>0</v>
      </c>
      <c r="AX676" s="24" t="n">
        <f aca="false">AX675+IF(AND(C676&lt;&gt;"",OR(F676="LOC - INITIAL",F676="CONSOLIDATION - UPFRONT COMM",F676="REVERSE - TOTAL FUNDING")),1,0)</f>
        <v>0</v>
      </c>
    </row>
    <row r="677" customFormat="false" ht="15" hidden="false" customHeight="false" outlineLevel="0" collapsed="false">
      <c r="A677" s="25" t="str">
        <f aca="false">IF(C677&lt;&gt;"","F"&amp;COUNT($C$4:C677),"")</f>
        <v/>
      </c>
      <c r="B677" s="26" t="str">
        <f aca="false">IF(OR(F677="LOC - INITIAL",F677="CONSOLIDATION - UPFRONT COMM",F677="REVERSE - TOTAL FUNDING"),A677,"")</f>
        <v/>
      </c>
      <c r="C677" s="27"/>
      <c r="D677" s="28"/>
      <c r="E677" s="28"/>
      <c r="F677" s="28"/>
      <c r="G677" s="29"/>
      <c r="H677" s="30"/>
      <c r="I677" s="28"/>
      <c r="J677" s="31" t="str">
        <f aca="false">IF(AND(G677&lt;&gt;"",H677&lt;&gt;""),G677*H677,"")</f>
        <v/>
      </c>
      <c r="K677" s="28"/>
      <c r="L677" s="32"/>
      <c r="M677" s="32"/>
      <c r="N677" s="31" t="n">
        <f aca="false">IF(OR(G677="",M677=""),0,IF(M677&gt;100,M677,G677*IF(M677&gt;1,M677/100,M677)))</f>
        <v>0</v>
      </c>
      <c r="O677" s="31" t="str">
        <f aca="false">IF(G677="","",G677*IF(L677="",0,IF(L677&gt;1,L677/100,L677))+N677)</f>
        <v/>
      </c>
      <c r="P677" s="28"/>
      <c r="Q677" s="33" t="str">
        <f aca="false">IF(P677="","",IFERROR(VLOOKUP(P677,PARTNERS!$A$2:$B$30,2,0),""))</f>
        <v/>
      </c>
      <c r="R677" s="17" t="str">
        <f aca="false">IF(O677="","",IF(OR(P677="",Q677=""),0,(O677-N677)*IF(Q677&gt;1,Q677/100,Q677)))</f>
        <v/>
      </c>
      <c r="S677" s="31" t="str">
        <f aca="false">IF(O677="","",O677-R677)</f>
        <v/>
      </c>
      <c r="T677" s="28"/>
      <c r="U677" s="34" t="str">
        <f aca="false">IF(T677="","",IFERROR(VLOOKUP(T677,REPS!$A$2:$D$40,2,0),""))</f>
        <v/>
      </c>
      <c r="V677" s="31" t="str">
        <f aca="false">IF(O677="","",IF(U677="",0,O677*IF(U677&gt;1,U677/100,U677)))</f>
        <v/>
      </c>
      <c r="W677" s="28"/>
      <c r="X677" s="34" t="str">
        <f aca="false">IF(W677="","",IFERROR(VLOOKUP(W677,REPS!$A$2:$D$40,3,0),""))</f>
        <v/>
      </c>
      <c r="Y677" s="31" t="str">
        <f aca="false">IF(O677="","",IF(X677="",0,O677*IF(X677&gt;1,X677/100,X677)))</f>
        <v/>
      </c>
      <c r="Z677" s="28"/>
      <c r="AA677" s="34" t="str">
        <f aca="false">IF(Z677="","",IFERROR(VLOOKUP(Z677,REPS!$A$2:$D$40,4,0),""))</f>
        <v/>
      </c>
      <c r="AB677" s="31" t="str">
        <f aca="false">IF(O677="","",IF(AA677="",0,O677*IF(AA677&gt;1,AA677/100,AA677)))</f>
        <v/>
      </c>
      <c r="AC677" s="31" t="str">
        <f aca="false">IF(O677="","",V677+Y677+AB677)</f>
        <v/>
      </c>
      <c r="AD677" s="19" t="str">
        <f aca="false">IF(O677="","",O677-R677-AC677)</f>
        <v/>
      </c>
      <c r="AE677" s="20"/>
      <c r="AF677" s="27"/>
      <c r="AG677" s="21" t="n">
        <f aca="false">IF(OR(AE677="",AE677=0),0,AE677*IF(U677="",0,IF(U677&gt;1,U677/100,U677)))</f>
        <v>0</v>
      </c>
      <c r="AH677" s="21" t="n">
        <f aca="false">IF(OR(AE677="",AE677=0),0,AE677*IF(X677="",0,IF(X677&gt;1,X677/100,X677)))</f>
        <v>0</v>
      </c>
      <c r="AI677" s="21" t="n">
        <f aca="false">IF(OR(AE677="",AE677=0),0,AE677*IF(AA677="",0,IF(AA677&gt;1,AA677/100,AA677)))</f>
        <v>0</v>
      </c>
      <c r="AJ677" s="21" t="n">
        <f aca="false">AG677+AH677+AI677</f>
        <v>0</v>
      </c>
      <c r="AK677" s="21" t="n">
        <f aca="false">IF(OR(AE677="",AE677=0),0,AE677-AJ677)</f>
        <v>0</v>
      </c>
      <c r="AL677" s="19" t="str">
        <f aca="false">IF(AD677="","",AD677-AK677)</f>
        <v/>
      </c>
      <c r="AM677" s="26" t="str">
        <f aca="false">IF(C677="","","Waiting for payment")</f>
        <v/>
      </c>
      <c r="AN677" s="27"/>
      <c r="AO677" s="27"/>
      <c r="AP677" s="35" t="str">
        <f aca="false">IF(OR(C677="",I677="",K677=""),"",IF(K677="Monthly",EDATE(C677,ROUND(I677*SETTINGS!$I$8,0)),WORKDAY(C677,ROUND(I677*SETTINGS!$I$8,0))))</f>
        <v/>
      </c>
      <c r="AQ677" s="26" t="str">
        <f aca="true">IF(C677="","",IF(AND(AP677&lt;&gt;"",TODAY()&gt;=AP677),"Refi Ready",IF(TODAY()-C677&gt;=SETTINGS!$I$11,"Prospecting","Performing")))</f>
        <v/>
      </c>
      <c r="AR677" s="35" t="str">
        <f aca="false">IF(OR(C677="",I677="",K677=""),"",IF(K677="Monthly",EDATE(C677,I677),WORKDAY(C677,I677)))</f>
        <v/>
      </c>
      <c r="AS677" s="28"/>
      <c r="AT677" s="36" t="str">
        <f aca="true">IF(C677="","",IF(AM677="Clawed Back","CLAWED",IF(TODAY()&lt;=C677+SETTINGS!$I$2,"⚠ AT RISK","SAFE")))</f>
        <v/>
      </c>
      <c r="AU677" s="28"/>
      <c r="AW677" s="24" t="n">
        <f aca="false">AW676+IF(AND(C677&lt;&gt;"",AO677&lt;&gt;"",OR('REP COMMISSION'!$B$3="",T677='REP COMMISSION'!$B$3,W677='REP COMMISSION'!$B$3,Z677='REP COMMISSION'!$B$3)),1,0)</f>
        <v>0</v>
      </c>
      <c r="AX677" s="24" t="n">
        <f aca="false">AX676+IF(AND(C677&lt;&gt;"",OR(F677="LOC - INITIAL",F677="CONSOLIDATION - UPFRONT COMM",F677="REVERSE - TOTAL FUNDING")),1,0)</f>
        <v>0</v>
      </c>
    </row>
    <row r="678" customFormat="false" ht="15" hidden="false" customHeight="false" outlineLevel="0" collapsed="false">
      <c r="A678" s="8" t="str">
        <f aca="false">IF(C678&lt;&gt;"","F"&amp;COUNT($C$4:C678),"")</f>
        <v/>
      </c>
      <c r="B678" s="9" t="str">
        <f aca="false">IF(OR(F678="LOC - INITIAL",F678="CONSOLIDATION - UPFRONT COMM",F678="REVERSE - TOTAL FUNDING"),A678,"")</f>
        <v/>
      </c>
      <c r="C678" s="10"/>
      <c r="D678" s="11"/>
      <c r="E678" s="11"/>
      <c r="F678" s="11"/>
      <c r="G678" s="12"/>
      <c r="H678" s="13"/>
      <c r="I678" s="11"/>
      <c r="J678" s="14" t="str">
        <f aca="false">IF(AND(G678&lt;&gt;"",H678&lt;&gt;""),G678*H678,"")</f>
        <v/>
      </c>
      <c r="K678" s="11"/>
      <c r="L678" s="15"/>
      <c r="M678" s="15"/>
      <c r="N678" s="14" t="n">
        <f aca="false">IF(OR(G678="",M678=""),0,IF(M678&gt;100,M678,G678*IF(M678&gt;1,M678/100,M678)))</f>
        <v>0</v>
      </c>
      <c r="O678" s="14" t="str">
        <f aca="false">IF(G678="","",G678*IF(L678="",0,IF(L678&gt;1,L678/100,L678))+N678)</f>
        <v/>
      </c>
      <c r="P678" s="11"/>
      <c r="Q678" s="16" t="str">
        <f aca="false">IF(P678="","",IFERROR(VLOOKUP(P678,PARTNERS!$A$2:$B$30,2,0),""))</f>
        <v/>
      </c>
      <c r="R678" s="17" t="str">
        <f aca="false">IF(O678="","",IF(OR(P678="",Q678=""),0,(O678-N678)*IF(Q678&gt;1,Q678/100,Q678)))</f>
        <v/>
      </c>
      <c r="S678" s="14" t="str">
        <f aca="false">IF(O678="","",O678-R678)</f>
        <v/>
      </c>
      <c r="T678" s="11"/>
      <c r="U678" s="18" t="str">
        <f aca="false">IF(T678="","",IFERROR(VLOOKUP(T678,REPS!$A$2:$D$40,2,0),""))</f>
        <v/>
      </c>
      <c r="V678" s="14" t="str">
        <f aca="false">IF(O678="","",IF(U678="",0,O678*IF(U678&gt;1,U678/100,U678)))</f>
        <v/>
      </c>
      <c r="W678" s="11"/>
      <c r="X678" s="18" t="str">
        <f aca="false">IF(W678="","",IFERROR(VLOOKUP(W678,REPS!$A$2:$D$40,3,0),""))</f>
        <v/>
      </c>
      <c r="Y678" s="14" t="str">
        <f aca="false">IF(O678="","",IF(X678="",0,O678*IF(X678&gt;1,X678/100,X678)))</f>
        <v/>
      </c>
      <c r="Z678" s="11"/>
      <c r="AA678" s="18" t="str">
        <f aca="false">IF(Z678="","",IFERROR(VLOOKUP(Z678,REPS!$A$2:$D$40,4,0),""))</f>
        <v/>
      </c>
      <c r="AB678" s="14" t="str">
        <f aca="false">IF(O678="","",IF(AA678="",0,O678*IF(AA678&gt;1,AA678/100,AA678)))</f>
        <v/>
      </c>
      <c r="AC678" s="14" t="str">
        <f aca="false">IF(O678="","",V678+Y678+AB678)</f>
        <v/>
      </c>
      <c r="AD678" s="19" t="str">
        <f aca="false">IF(O678="","",O678-R678-AC678)</f>
        <v/>
      </c>
      <c r="AE678" s="20"/>
      <c r="AF678" s="10"/>
      <c r="AG678" s="21" t="n">
        <f aca="false">IF(OR(AE678="",AE678=0),0,AE678*IF(U678="",0,IF(U678&gt;1,U678/100,U678)))</f>
        <v>0</v>
      </c>
      <c r="AH678" s="21" t="n">
        <f aca="false">IF(OR(AE678="",AE678=0),0,AE678*IF(X678="",0,IF(X678&gt;1,X678/100,X678)))</f>
        <v>0</v>
      </c>
      <c r="AI678" s="21" t="n">
        <f aca="false">IF(OR(AE678="",AE678=0),0,AE678*IF(AA678="",0,IF(AA678&gt;1,AA678/100,AA678)))</f>
        <v>0</v>
      </c>
      <c r="AJ678" s="21" t="n">
        <f aca="false">AG678+AH678+AI678</f>
        <v>0</v>
      </c>
      <c r="AK678" s="21" t="n">
        <f aca="false">IF(OR(AE678="",AE678=0),0,AE678-AJ678)</f>
        <v>0</v>
      </c>
      <c r="AL678" s="19" t="str">
        <f aca="false">IF(AD678="","",AD678-AK678)</f>
        <v/>
      </c>
      <c r="AM678" s="9" t="str">
        <f aca="false">IF(C678="","","Waiting for payment")</f>
        <v/>
      </c>
      <c r="AN678" s="10"/>
      <c r="AO678" s="10"/>
      <c r="AP678" s="22" t="str">
        <f aca="false">IF(OR(C678="",I678="",K678=""),"",IF(K678="Monthly",EDATE(C678,ROUND(I678*SETTINGS!$I$8,0)),WORKDAY(C678,ROUND(I678*SETTINGS!$I$8,0))))</f>
        <v/>
      </c>
      <c r="AQ678" s="9" t="str">
        <f aca="true">IF(C678="","",IF(AND(AP678&lt;&gt;"",TODAY()&gt;=AP678),"Refi Ready",IF(TODAY()-C678&gt;=SETTINGS!$I$11,"Prospecting","Performing")))</f>
        <v/>
      </c>
      <c r="AR678" s="22" t="str">
        <f aca="false">IF(OR(C678="",I678="",K678=""),"",IF(K678="Monthly",EDATE(C678,I678),WORKDAY(C678,I678)))</f>
        <v/>
      </c>
      <c r="AS678" s="11"/>
      <c r="AT678" s="23" t="str">
        <f aca="true">IF(C678="","",IF(AM678="Clawed Back","CLAWED",IF(TODAY()&lt;=C678+SETTINGS!$I$2,"⚠ AT RISK","SAFE")))</f>
        <v/>
      </c>
      <c r="AU678" s="11"/>
      <c r="AW678" s="24" t="n">
        <f aca="false">AW677+IF(AND(C678&lt;&gt;"",AO678&lt;&gt;"",OR('REP COMMISSION'!$B$3="",T678='REP COMMISSION'!$B$3,W678='REP COMMISSION'!$B$3,Z678='REP COMMISSION'!$B$3)),1,0)</f>
        <v>0</v>
      </c>
      <c r="AX678" s="24" t="n">
        <f aca="false">AX677+IF(AND(C678&lt;&gt;"",OR(F678="LOC - INITIAL",F678="CONSOLIDATION - UPFRONT COMM",F678="REVERSE - TOTAL FUNDING")),1,0)</f>
        <v>0</v>
      </c>
    </row>
    <row r="679" customFormat="false" ht="15" hidden="false" customHeight="false" outlineLevel="0" collapsed="false">
      <c r="A679" s="25" t="str">
        <f aca="false">IF(C679&lt;&gt;"","F"&amp;COUNT($C$4:C679),"")</f>
        <v/>
      </c>
      <c r="B679" s="26" t="str">
        <f aca="false">IF(OR(F679="LOC - INITIAL",F679="CONSOLIDATION - UPFRONT COMM",F679="REVERSE - TOTAL FUNDING"),A679,"")</f>
        <v/>
      </c>
      <c r="C679" s="27"/>
      <c r="D679" s="28"/>
      <c r="E679" s="28"/>
      <c r="F679" s="28"/>
      <c r="G679" s="29"/>
      <c r="H679" s="30"/>
      <c r="I679" s="28"/>
      <c r="J679" s="31" t="str">
        <f aca="false">IF(AND(G679&lt;&gt;"",H679&lt;&gt;""),G679*H679,"")</f>
        <v/>
      </c>
      <c r="K679" s="28"/>
      <c r="L679" s="32"/>
      <c r="M679" s="32"/>
      <c r="N679" s="31" t="n">
        <f aca="false">IF(OR(G679="",M679=""),0,IF(M679&gt;100,M679,G679*IF(M679&gt;1,M679/100,M679)))</f>
        <v>0</v>
      </c>
      <c r="O679" s="31" t="str">
        <f aca="false">IF(G679="","",G679*IF(L679="",0,IF(L679&gt;1,L679/100,L679))+N679)</f>
        <v/>
      </c>
      <c r="P679" s="28"/>
      <c r="Q679" s="33" t="str">
        <f aca="false">IF(P679="","",IFERROR(VLOOKUP(P679,PARTNERS!$A$2:$B$30,2,0),""))</f>
        <v/>
      </c>
      <c r="R679" s="17" t="str">
        <f aca="false">IF(O679="","",IF(OR(P679="",Q679=""),0,(O679-N679)*IF(Q679&gt;1,Q679/100,Q679)))</f>
        <v/>
      </c>
      <c r="S679" s="31" t="str">
        <f aca="false">IF(O679="","",O679-R679)</f>
        <v/>
      </c>
      <c r="T679" s="28"/>
      <c r="U679" s="34" t="str">
        <f aca="false">IF(T679="","",IFERROR(VLOOKUP(T679,REPS!$A$2:$D$40,2,0),""))</f>
        <v/>
      </c>
      <c r="V679" s="31" t="str">
        <f aca="false">IF(O679="","",IF(U679="",0,O679*IF(U679&gt;1,U679/100,U679)))</f>
        <v/>
      </c>
      <c r="W679" s="28"/>
      <c r="X679" s="34" t="str">
        <f aca="false">IF(W679="","",IFERROR(VLOOKUP(W679,REPS!$A$2:$D$40,3,0),""))</f>
        <v/>
      </c>
      <c r="Y679" s="31" t="str">
        <f aca="false">IF(O679="","",IF(X679="",0,O679*IF(X679&gt;1,X679/100,X679)))</f>
        <v/>
      </c>
      <c r="Z679" s="28"/>
      <c r="AA679" s="34" t="str">
        <f aca="false">IF(Z679="","",IFERROR(VLOOKUP(Z679,REPS!$A$2:$D$40,4,0),""))</f>
        <v/>
      </c>
      <c r="AB679" s="31" t="str">
        <f aca="false">IF(O679="","",IF(AA679="",0,O679*IF(AA679&gt;1,AA679/100,AA679)))</f>
        <v/>
      </c>
      <c r="AC679" s="31" t="str">
        <f aca="false">IF(O679="","",V679+Y679+AB679)</f>
        <v/>
      </c>
      <c r="AD679" s="19" t="str">
        <f aca="false">IF(O679="","",O679-R679-AC679)</f>
        <v/>
      </c>
      <c r="AE679" s="20"/>
      <c r="AF679" s="27"/>
      <c r="AG679" s="21" t="n">
        <f aca="false">IF(OR(AE679="",AE679=0),0,AE679*IF(U679="",0,IF(U679&gt;1,U679/100,U679)))</f>
        <v>0</v>
      </c>
      <c r="AH679" s="21" t="n">
        <f aca="false">IF(OR(AE679="",AE679=0),0,AE679*IF(X679="",0,IF(X679&gt;1,X679/100,X679)))</f>
        <v>0</v>
      </c>
      <c r="AI679" s="21" t="n">
        <f aca="false">IF(OR(AE679="",AE679=0),0,AE679*IF(AA679="",0,IF(AA679&gt;1,AA679/100,AA679)))</f>
        <v>0</v>
      </c>
      <c r="AJ679" s="21" t="n">
        <f aca="false">AG679+AH679+AI679</f>
        <v>0</v>
      </c>
      <c r="AK679" s="21" t="n">
        <f aca="false">IF(OR(AE679="",AE679=0),0,AE679-AJ679)</f>
        <v>0</v>
      </c>
      <c r="AL679" s="19" t="str">
        <f aca="false">IF(AD679="","",AD679-AK679)</f>
        <v/>
      </c>
      <c r="AM679" s="26" t="str">
        <f aca="false">IF(C679="","","Waiting for payment")</f>
        <v/>
      </c>
      <c r="AN679" s="27"/>
      <c r="AO679" s="27"/>
      <c r="AP679" s="35" t="str">
        <f aca="false">IF(OR(C679="",I679="",K679=""),"",IF(K679="Monthly",EDATE(C679,ROUND(I679*SETTINGS!$I$8,0)),WORKDAY(C679,ROUND(I679*SETTINGS!$I$8,0))))</f>
        <v/>
      </c>
      <c r="AQ679" s="26" t="str">
        <f aca="true">IF(C679="","",IF(AND(AP679&lt;&gt;"",TODAY()&gt;=AP679),"Refi Ready",IF(TODAY()-C679&gt;=SETTINGS!$I$11,"Prospecting","Performing")))</f>
        <v/>
      </c>
      <c r="AR679" s="35" t="str">
        <f aca="false">IF(OR(C679="",I679="",K679=""),"",IF(K679="Monthly",EDATE(C679,I679),WORKDAY(C679,I679)))</f>
        <v/>
      </c>
      <c r="AS679" s="28"/>
      <c r="AT679" s="36" t="str">
        <f aca="true">IF(C679="","",IF(AM679="Clawed Back","CLAWED",IF(TODAY()&lt;=C679+SETTINGS!$I$2,"⚠ AT RISK","SAFE")))</f>
        <v/>
      </c>
      <c r="AU679" s="28"/>
      <c r="AW679" s="24" t="n">
        <f aca="false">AW678+IF(AND(C679&lt;&gt;"",AO679&lt;&gt;"",OR('REP COMMISSION'!$B$3="",T679='REP COMMISSION'!$B$3,W679='REP COMMISSION'!$B$3,Z679='REP COMMISSION'!$B$3)),1,0)</f>
        <v>0</v>
      </c>
      <c r="AX679" s="24" t="n">
        <f aca="false">AX678+IF(AND(C679&lt;&gt;"",OR(F679="LOC - INITIAL",F679="CONSOLIDATION - UPFRONT COMM",F679="REVERSE - TOTAL FUNDING")),1,0)</f>
        <v>0</v>
      </c>
    </row>
    <row r="680" customFormat="false" ht="15" hidden="false" customHeight="false" outlineLevel="0" collapsed="false">
      <c r="A680" s="8" t="str">
        <f aca="false">IF(C680&lt;&gt;"","F"&amp;COUNT($C$4:C680),"")</f>
        <v/>
      </c>
      <c r="B680" s="9" t="str">
        <f aca="false">IF(OR(F680="LOC - INITIAL",F680="CONSOLIDATION - UPFRONT COMM",F680="REVERSE - TOTAL FUNDING"),A680,"")</f>
        <v/>
      </c>
      <c r="C680" s="10"/>
      <c r="D680" s="11"/>
      <c r="E680" s="11"/>
      <c r="F680" s="11"/>
      <c r="G680" s="12"/>
      <c r="H680" s="13"/>
      <c r="I680" s="11"/>
      <c r="J680" s="14" t="str">
        <f aca="false">IF(AND(G680&lt;&gt;"",H680&lt;&gt;""),G680*H680,"")</f>
        <v/>
      </c>
      <c r="K680" s="11"/>
      <c r="L680" s="15"/>
      <c r="M680" s="15"/>
      <c r="N680" s="14" t="n">
        <f aca="false">IF(OR(G680="",M680=""),0,IF(M680&gt;100,M680,G680*IF(M680&gt;1,M680/100,M680)))</f>
        <v>0</v>
      </c>
      <c r="O680" s="14" t="str">
        <f aca="false">IF(G680="","",G680*IF(L680="",0,IF(L680&gt;1,L680/100,L680))+N680)</f>
        <v/>
      </c>
      <c r="P680" s="11"/>
      <c r="Q680" s="16" t="str">
        <f aca="false">IF(P680="","",IFERROR(VLOOKUP(P680,PARTNERS!$A$2:$B$30,2,0),""))</f>
        <v/>
      </c>
      <c r="R680" s="17" t="str">
        <f aca="false">IF(O680="","",IF(OR(P680="",Q680=""),0,(O680-N680)*IF(Q680&gt;1,Q680/100,Q680)))</f>
        <v/>
      </c>
      <c r="S680" s="14" t="str">
        <f aca="false">IF(O680="","",O680-R680)</f>
        <v/>
      </c>
      <c r="T680" s="11"/>
      <c r="U680" s="18" t="str">
        <f aca="false">IF(T680="","",IFERROR(VLOOKUP(T680,REPS!$A$2:$D$40,2,0),""))</f>
        <v/>
      </c>
      <c r="V680" s="14" t="str">
        <f aca="false">IF(O680="","",IF(U680="",0,O680*IF(U680&gt;1,U680/100,U680)))</f>
        <v/>
      </c>
      <c r="W680" s="11"/>
      <c r="X680" s="18" t="str">
        <f aca="false">IF(W680="","",IFERROR(VLOOKUP(W680,REPS!$A$2:$D$40,3,0),""))</f>
        <v/>
      </c>
      <c r="Y680" s="14" t="str">
        <f aca="false">IF(O680="","",IF(X680="",0,O680*IF(X680&gt;1,X680/100,X680)))</f>
        <v/>
      </c>
      <c r="Z680" s="11"/>
      <c r="AA680" s="18" t="str">
        <f aca="false">IF(Z680="","",IFERROR(VLOOKUP(Z680,REPS!$A$2:$D$40,4,0),""))</f>
        <v/>
      </c>
      <c r="AB680" s="14" t="str">
        <f aca="false">IF(O680="","",IF(AA680="",0,O680*IF(AA680&gt;1,AA680/100,AA680)))</f>
        <v/>
      </c>
      <c r="AC680" s="14" t="str">
        <f aca="false">IF(O680="","",V680+Y680+AB680)</f>
        <v/>
      </c>
      <c r="AD680" s="19" t="str">
        <f aca="false">IF(O680="","",O680-R680-AC680)</f>
        <v/>
      </c>
      <c r="AE680" s="20"/>
      <c r="AF680" s="10"/>
      <c r="AG680" s="21" t="n">
        <f aca="false">IF(OR(AE680="",AE680=0),0,AE680*IF(U680="",0,IF(U680&gt;1,U680/100,U680)))</f>
        <v>0</v>
      </c>
      <c r="AH680" s="21" t="n">
        <f aca="false">IF(OR(AE680="",AE680=0),0,AE680*IF(X680="",0,IF(X680&gt;1,X680/100,X680)))</f>
        <v>0</v>
      </c>
      <c r="AI680" s="21" t="n">
        <f aca="false">IF(OR(AE680="",AE680=0),0,AE680*IF(AA680="",0,IF(AA680&gt;1,AA680/100,AA680)))</f>
        <v>0</v>
      </c>
      <c r="AJ680" s="21" t="n">
        <f aca="false">AG680+AH680+AI680</f>
        <v>0</v>
      </c>
      <c r="AK680" s="21" t="n">
        <f aca="false">IF(OR(AE680="",AE680=0),0,AE680-AJ680)</f>
        <v>0</v>
      </c>
      <c r="AL680" s="19" t="str">
        <f aca="false">IF(AD680="","",AD680-AK680)</f>
        <v/>
      </c>
      <c r="AM680" s="9" t="str">
        <f aca="false">IF(C680="","","Waiting for payment")</f>
        <v/>
      </c>
      <c r="AN680" s="10"/>
      <c r="AO680" s="10"/>
      <c r="AP680" s="22" t="str">
        <f aca="false">IF(OR(C680="",I680="",K680=""),"",IF(K680="Monthly",EDATE(C680,ROUND(I680*SETTINGS!$I$8,0)),WORKDAY(C680,ROUND(I680*SETTINGS!$I$8,0))))</f>
        <v/>
      </c>
      <c r="AQ680" s="9" t="str">
        <f aca="true">IF(C680="","",IF(AND(AP680&lt;&gt;"",TODAY()&gt;=AP680),"Refi Ready",IF(TODAY()-C680&gt;=SETTINGS!$I$11,"Prospecting","Performing")))</f>
        <v/>
      </c>
      <c r="AR680" s="22" t="str">
        <f aca="false">IF(OR(C680="",I680="",K680=""),"",IF(K680="Monthly",EDATE(C680,I680),WORKDAY(C680,I680)))</f>
        <v/>
      </c>
      <c r="AS680" s="11"/>
      <c r="AT680" s="23" t="str">
        <f aca="true">IF(C680="","",IF(AM680="Clawed Back","CLAWED",IF(TODAY()&lt;=C680+SETTINGS!$I$2,"⚠ AT RISK","SAFE")))</f>
        <v/>
      </c>
      <c r="AU680" s="11"/>
      <c r="AW680" s="24" t="n">
        <f aca="false">AW679+IF(AND(C680&lt;&gt;"",AO680&lt;&gt;"",OR('REP COMMISSION'!$B$3="",T680='REP COMMISSION'!$B$3,W680='REP COMMISSION'!$B$3,Z680='REP COMMISSION'!$B$3)),1,0)</f>
        <v>0</v>
      </c>
      <c r="AX680" s="24" t="n">
        <f aca="false">AX679+IF(AND(C680&lt;&gt;"",OR(F680="LOC - INITIAL",F680="CONSOLIDATION - UPFRONT COMM",F680="REVERSE - TOTAL FUNDING")),1,0)</f>
        <v>0</v>
      </c>
    </row>
    <row r="681" customFormat="false" ht="15" hidden="false" customHeight="false" outlineLevel="0" collapsed="false">
      <c r="A681" s="25" t="str">
        <f aca="false">IF(C681&lt;&gt;"","F"&amp;COUNT($C$4:C681),"")</f>
        <v/>
      </c>
      <c r="B681" s="26" t="str">
        <f aca="false">IF(OR(F681="LOC - INITIAL",F681="CONSOLIDATION - UPFRONT COMM",F681="REVERSE - TOTAL FUNDING"),A681,"")</f>
        <v/>
      </c>
      <c r="C681" s="27"/>
      <c r="D681" s="28"/>
      <c r="E681" s="28"/>
      <c r="F681" s="28"/>
      <c r="G681" s="29"/>
      <c r="H681" s="30"/>
      <c r="I681" s="28"/>
      <c r="J681" s="31" t="str">
        <f aca="false">IF(AND(G681&lt;&gt;"",H681&lt;&gt;""),G681*H681,"")</f>
        <v/>
      </c>
      <c r="K681" s="28"/>
      <c r="L681" s="32"/>
      <c r="M681" s="32"/>
      <c r="N681" s="31" t="n">
        <f aca="false">IF(OR(G681="",M681=""),0,IF(M681&gt;100,M681,G681*IF(M681&gt;1,M681/100,M681)))</f>
        <v>0</v>
      </c>
      <c r="O681" s="31" t="str">
        <f aca="false">IF(G681="","",G681*IF(L681="",0,IF(L681&gt;1,L681/100,L681))+N681)</f>
        <v/>
      </c>
      <c r="P681" s="28"/>
      <c r="Q681" s="33" t="str">
        <f aca="false">IF(P681="","",IFERROR(VLOOKUP(P681,PARTNERS!$A$2:$B$30,2,0),""))</f>
        <v/>
      </c>
      <c r="R681" s="17" t="str">
        <f aca="false">IF(O681="","",IF(OR(P681="",Q681=""),0,(O681-N681)*IF(Q681&gt;1,Q681/100,Q681)))</f>
        <v/>
      </c>
      <c r="S681" s="31" t="str">
        <f aca="false">IF(O681="","",O681-R681)</f>
        <v/>
      </c>
      <c r="T681" s="28"/>
      <c r="U681" s="34" t="str">
        <f aca="false">IF(T681="","",IFERROR(VLOOKUP(T681,REPS!$A$2:$D$40,2,0),""))</f>
        <v/>
      </c>
      <c r="V681" s="31" t="str">
        <f aca="false">IF(O681="","",IF(U681="",0,O681*IF(U681&gt;1,U681/100,U681)))</f>
        <v/>
      </c>
      <c r="W681" s="28"/>
      <c r="X681" s="34" t="str">
        <f aca="false">IF(W681="","",IFERROR(VLOOKUP(W681,REPS!$A$2:$D$40,3,0),""))</f>
        <v/>
      </c>
      <c r="Y681" s="31" t="str">
        <f aca="false">IF(O681="","",IF(X681="",0,O681*IF(X681&gt;1,X681/100,X681)))</f>
        <v/>
      </c>
      <c r="Z681" s="28"/>
      <c r="AA681" s="34" t="str">
        <f aca="false">IF(Z681="","",IFERROR(VLOOKUP(Z681,REPS!$A$2:$D$40,4,0),""))</f>
        <v/>
      </c>
      <c r="AB681" s="31" t="str">
        <f aca="false">IF(O681="","",IF(AA681="",0,O681*IF(AA681&gt;1,AA681/100,AA681)))</f>
        <v/>
      </c>
      <c r="AC681" s="31" t="str">
        <f aca="false">IF(O681="","",V681+Y681+AB681)</f>
        <v/>
      </c>
      <c r="AD681" s="19" t="str">
        <f aca="false">IF(O681="","",O681-R681-AC681)</f>
        <v/>
      </c>
      <c r="AE681" s="20"/>
      <c r="AF681" s="27"/>
      <c r="AG681" s="21" t="n">
        <f aca="false">IF(OR(AE681="",AE681=0),0,AE681*IF(U681="",0,IF(U681&gt;1,U681/100,U681)))</f>
        <v>0</v>
      </c>
      <c r="AH681" s="21" t="n">
        <f aca="false">IF(OR(AE681="",AE681=0),0,AE681*IF(X681="",0,IF(X681&gt;1,X681/100,X681)))</f>
        <v>0</v>
      </c>
      <c r="AI681" s="21" t="n">
        <f aca="false">IF(OR(AE681="",AE681=0),0,AE681*IF(AA681="",0,IF(AA681&gt;1,AA681/100,AA681)))</f>
        <v>0</v>
      </c>
      <c r="AJ681" s="21" t="n">
        <f aca="false">AG681+AH681+AI681</f>
        <v>0</v>
      </c>
      <c r="AK681" s="21" t="n">
        <f aca="false">IF(OR(AE681="",AE681=0),0,AE681-AJ681)</f>
        <v>0</v>
      </c>
      <c r="AL681" s="19" t="str">
        <f aca="false">IF(AD681="","",AD681-AK681)</f>
        <v/>
      </c>
      <c r="AM681" s="26" t="str">
        <f aca="false">IF(C681="","","Waiting for payment")</f>
        <v/>
      </c>
      <c r="AN681" s="27"/>
      <c r="AO681" s="27"/>
      <c r="AP681" s="35" t="str">
        <f aca="false">IF(OR(C681="",I681="",K681=""),"",IF(K681="Monthly",EDATE(C681,ROUND(I681*SETTINGS!$I$8,0)),WORKDAY(C681,ROUND(I681*SETTINGS!$I$8,0))))</f>
        <v/>
      </c>
      <c r="AQ681" s="26" t="str">
        <f aca="true">IF(C681="","",IF(AND(AP681&lt;&gt;"",TODAY()&gt;=AP681),"Refi Ready",IF(TODAY()-C681&gt;=SETTINGS!$I$11,"Prospecting","Performing")))</f>
        <v/>
      </c>
      <c r="AR681" s="35" t="str">
        <f aca="false">IF(OR(C681="",I681="",K681=""),"",IF(K681="Monthly",EDATE(C681,I681),WORKDAY(C681,I681)))</f>
        <v/>
      </c>
      <c r="AS681" s="28"/>
      <c r="AT681" s="36" t="str">
        <f aca="true">IF(C681="","",IF(AM681="Clawed Back","CLAWED",IF(TODAY()&lt;=C681+SETTINGS!$I$2,"⚠ AT RISK","SAFE")))</f>
        <v/>
      </c>
      <c r="AU681" s="28"/>
      <c r="AW681" s="24" t="n">
        <f aca="false">AW680+IF(AND(C681&lt;&gt;"",AO681&lt;&gt;"",OR('REP COMMISSION'!$B$3="",T681='REP COMMISSION'!$B$3,W681='REP COMMISSION'!$B$3,Z681='REP COMMISSION'!$B$3)),1,0)</f>
        <v>0</v>
      </c>
      <c r="AX681" s="24" t="n">
        <f aca="false">AX680+IF(AND(C681&lt;&gt;"",OR(F681="LOC - INITIAL",F681="CONSOLIDATION - UPFRONT COMM",F681="REVERSE - TOTAL FUNDING")),1,0)</f>
        <v>0</v>
      </c>
    </row>
    <row r="682" customFormat="false" ht="15" hidden="false" customHeight="false" outlineLevel="0" collapsed="false">
      <c r="A682" s="8" t="str">
        <f aca="false">IF(C682&lt;&gt;"","F"&amp;COUNT($C$4:C682),"")</f>
        <v/>
      </c>
      <c r="B682" s="9" t="str">
        <f aca="false">IF(OR(F682="LOC - INITIAL",F682="CONSOLIDATION - UPFRONT COMM",F682="REVERSE - TOTAL FUNDING"),A682,"")</f>
        <v/>
      </c>
      <c r="C682" s="10"/>
      <c r="D682" s="11"/>
      <c r="E682" s="11"/>
      <c r="F682" s="11"/>
      <c r="G682" s="12"/>
      <c r="H682" s="13"/>
      <c r="I682" s="11"/>
      <c r="J682" s="14" t="str">
        <f aca="false">IF(AND(G682&lt;&gt;"",H682&lt;&gt;""),G682*H682,"")</f>
        <v/>
      </c>
      <c r="K682" s="11"/>
      <c r="L682" s="15"/>
      <c r="M682" s="15"/>
      <c r="N682" s="14" t="n">
        <f aca="false">IF(OR(G682="",M682=""),0,IF(M682&gt;100,M682,G682*IF(M682&gt;1,M682/100,M682)))</f>
        <v>0</v>
      </c>
      <c r="O682" s="14" t="str">
        <f aca="false">IF(G682="","",G682*IF(L682="",0,IF(L682&gt;1,L682/100,L682))+N682)</f>
        <v/>
      </c>
      <c r="P682" s="11"/>
      <c r="Q682" s="16" t="str">
        <f aca="false">IF(P682="","",IFERROR(VLOOKUP(P682,PARTNERS!$A$2:$B$30,2,0),""))</f>
        <v/>
      </c>
      <c r="R682" s="17" t="str">
        <f aca="false">IF(O682="","",IF(OR(P682="",Q682=""),0,(O682-N682)*IF(Q682&gt;1,Q682/100,Q682)))</f>
        <v/>
      </c>
      <c r="S682" s="14" t="str">
        <f aca="false">IF(O682="","",O682-R682)</f>
        <v/>
      </c>
      <c r="T682" s="11"/>
      <c r="U682" s="18" t="str">
        <f aca="false">IF(T682="","",IFERROR(VLOOKUP(T682,REPS!$A$2:$D$40,2,0),""))</f>
        <v/>
      </c>
      <c r="V682" s="14" t="str">
        <f aca="false">IF(O682="","",IF(U682="",0,O682*IF(U682&gt;1,U682/100,U682)))</f>
        <v/>
      </c>
      <c r="W682" s="11"/>
      <c r="X682" s="18" t="str">
        <f aca="false">IF(W682="","",IFERROR(VLOOKUP(W682,REPS!$A$2:$D$40,3,0),""))</f>
        <v/>
      </c>
      <c r="Y682" s="14" t="str">
        <f aca="false">IF(O682="","",IF(X682="",0,O682*IF(X682&gt;1,X682/100,X682)))</f>
        <v/>
      </c>
      <c r="Z682" s="11"/>
      <c r="AA682" s="18" t="str">
        <f aca="false">IF(Z682="","",IFERROR(VLOOKUP(Z682,REPS!$A$2:$D$40,4,0),""))</f>
        <v/>
      </c>
      <c r="AB682" s="14" t="str">
        <f aca="false">IF(O682="","",IF(AA682="",0,O682*IF(AA682&gt;1,AA682/100,AA682)))</f>
        <v/>
      </c>
      <c r="AC682" s="14" t="str">
        <f aca="false">IF(O682="","",V682+Y682+AB682)</f>
        <v/>
      </c>
      <c r="AD682" s="19" t="str">
        <f aca="false">IF(O682="","",O682-R682-AC682)</f>
        <v/>
      </c>
      <c r="AE682" s="20"/>
      <c r="AF682" s="10"/>
      <c r="AG682" s="21" t="n">
        <f aca="false">IF(OR(AE682="",AE682=0),0,AE682*IF(U682="",0,IF(U682&gt;1,U682/100,U682)))</f>
        <v>0</v>
      </c>
      <c r="AH682" s="21" t="n">
        <f aca="false">IF(OR(AE682="",AE682=0),0,AE682*IF(X682="",0,IF(X682&gt;1,X682/100,X682)))</f>
        <v>0</v>
      </c>
      <c r="AI682" s="21" t="n">
        <f aca="false">IF(OR(AE682="",AE682=0),0,AE682*IF(AA682="",0,IF(AA682&gt;1,AA682/100,AA682)))</f>
        <v>0</v>
      </c>
      <c r="AJ682" s="21" t="n">
        <f aca="false">AG682+AH682+AI682</f>
        <v>0</v>
      </c>
      <c r="AK682" s="21" t="n">
        <f aca="false">IF(OR(AE682="",AE682=0),0,AE682-AJ682)</f>
        <v>0</v>
      </c>
      <c r="AL682" s="19" t="str">
        <f aca="false">IF(AD682="","",AD682-AK682)</f>
        <v/>
      </c>
      <c r="AM682" s="9" t="str">
        <f aca="false">IF(C682="","","Waiting for payment")</f>
        <v/>
      </c>
      <c r="AN682" s="10"/>
      <c r="AO682" s="10"/>
      <c r="AP682" s="22" t="str">
        <f aca="false">IF(OR(C682="",I682="",K682=""),"",IF(K682="Monthly",EDATE(C682,ROUND(I682*SETTINGS!$I$8,0)),WORKDAY(C682,ROUND(I682*SETTINGS!$I$8,0))))</f>
        <v/>
      </c>
      <c r="AQ682" s="9" t="str">
        <f aca="true">IF(C682="","",IF(AND(AP682&lt;&gt;"",TODAY()&gt;=AP682),"Refi Ready",IF(TODAY()-C682&gt;=SETTINGS!$I$11,"Prospecting","Performing")))</f>
        <v/>
      </c>
      <c r="AR682" s="22" t="str">
        <f aca="false">IF(OR(C682="",I682="",K682=""),"",IF(K682="Monthly",EDATE(C682,I682),WORKDAY(C682,I682)))</f>
        <v/>
      </c>
      <c r="AS682" s="11"/>
      <c r="AT682" s="23" t="str">
        <f aca="true">IF(C682="","",IF(AM682="Clawed Back","CLAWED",IF(TODAY()&lt;=C682+SETTINGS!$I$2,"⚠ AT RISK","SAFE")))</f>
        <v/>
      </c>
      <c r="AU682" s="11"/>
      <c r="AW682" s="24" t="n">
        <f aca="false">AW681+IF(AND(C682&lt;&gt;"",AO682&lt;&gt;"",OR('REP COMMISSION'!$B$3="",T682='REP COMMISSION'!$B$3,W682='REP COMMISSION'!$B$3,Z682='REP COMMISSION'!$B$3)),1,0)</f>
        <v>0</v>
      </c>
      <c r="AX682" s="24" t="n">
        <f aca="false">AX681+IF(AND(C682&lt;&gt;"",OR(F682="LOC - INITIAL",F682="CONSOLIDATION - UPFRONT COMM",F682="REVERSE - TOTAL FUNDING")),1,0)</f>
        <v>0</v>
      </c>
    </row>
    <row r="683" customFormat="false" ht="15" hidden="false" customHeight="false" outlineLevel="0" collapsed="false">
      <c r="A683" s="25" t="str">
        <f aca="false">IF(C683&lt;&gt;"","F"&amp;COUNT($C$4:C683),"")</f>
        <v/>
      </c>
      <c r="B683" s="26" t="str">
        <f aca="false">IF(OR(F683="LOC - INITIAL",F683="CONSOLIDATION - UPFRONT COMM",F683="REVERSE - TOTAL FUNDING"),A683,"")</f>
        <v/>
      </c>
      <c r="C683" s="27"/>
      <c r="D683" s="28"/>
      <c r="E683" s="28"/>
      <c r="F683" s="28"/>
      <c r="G683" s="29"/>
      <c r="H683" s="30"/>
      <c r="I683" s="28"/>
      <c r="J683" s="31" t="str">
        <f aca="false">IF(AND(G683&lt;&gt;"",H683&lt;&gt;""),G683*H683,"")</f>
        <v/>
      </c>
      <c r="K683" s="28"/>
      <c r="L683" s="32"/>
      <c r="M683" s="32"/>
      <c r="N683" s="31" t="n">
        <f aca="false">IF(OR(G683="",M683=""),0,IF(M683&gt;100,M683,G683*IF(M683&gt;1,M683/100,M683)))</f>
        <v>0</v>
      </c>
      <c r="O683" s="31" t="str">
        <f aca="false">IF(G683="","",G683*IF(L683="",0,IF(L683&gt;1,L683/100,L683))+N683)</f>
        <v/>
      </c>
      <c r="P683" s="28"/>
      <c r="Q683" s="33" t="str">
        <f aca="false">IF(P683="","",IFERROR(VLOOKUP(P683,PARTNERS!$A$2:$B$30,2,0),""))</f>
        <v/>
      </c>
      <c r="R683" s="17" t="str">
        <f aca="false">IF(O683="","",IF(OR(P683="",Q683=""),0,(O683-N683)*IF(Q683&gt;1,Q683/100,Q683)))</f>
        <v/>
      </c>
      <c r="S683" s="31" t="str">
        <f aca="false">IF(O683="","",O683-R683)</f>
        <v/>
      </c>
      <c r="T683" s="28"/>
      <c r="U683" s="34" t="str">
        <f aca="false">IF(T683="","",IFERROR(VLOOKUP(T683,REPS!$A$2:$D$40,2,0),""))</f>
        <v/>
      </c>
      <c r="V683" s="31" t="str">
        <f aca="false">IF(O683="","",IF(U683="",0,O683*IF(U683&gt;1,U683/100,U683)))</f>
        <v/>
      </c>
      <c r="W683" s="28"/>
      <c r="X683" s="34" t="str">
        <f aca="false">IF(W683="","",IFERROR(VLOOKUP(W683,REPS!$A$2:$D$40,3,0),""))</f>
        <v/>
      </c>
      <c r="Y683" s="31" t="str">
        <f aca="false">IF(O683="","",IF(X683="",0,O683*IF(X683&gt;1,X683/100,X683)))</f>
        <v/>
      </c>
      <c r="Z683" s="28"/>
      <c r="AA683" s="34" t="str">
        <f aca="false">IF(Z683="","",IFERROR(VLOOKUP(Z683,REPS!$A$2:$D$40,4,0),""))</f>
        <v/>
      </c>
      <c r="AB683" s="31" t="str">
        <f aca="false">IF(O683="","",IF(AA683="",0,O683*IF(AA683&gt;1,AA683/100,AA683)))</f>
        <v/>
      </c>
      <c r="AC683" s="31" t="str">
        <f aca="false">IF(O683="","",V683+Y683+AB683)</f>
        <v/>
      </c>
      <c r="AD683" s="19" t="str">
        <f aca="false">IF(O683="","",O683-R683-AC683)</f>
        <v/>
      </c>
      <c r="AE683" s="20"/>
      <c r="AF683" s="27"/>
      <c r="AG683" s="21" t="n">
        <f aca="false">IF(OR(AE683="",AE683=0),0,AE683*IF(U683="",0,IF(U683&gt;1,U683/100,U683)))</f>
        <v>0</v>
      </c>
      <c r="AH683" s="21" t="n">
        <f aca="false">IF(OR(AE683="",AE683=0),0,AE683*IF(X683="",0,IF(X683&gt;1,X683/100,X683)))</f>
        <v>0</v>
      </c>
      <c r="AI683" s="21" t="n">
        <f aca="false">IF(OR(AE683="",AE683=0),0,AE683*IF(AA683="",0,IF(AA683&gt;1,AA683/100,AA683)))</f>
        <v>0</v>
      </c>
      <c r="AJ683" s="21" t="n">
        <f aca="false">AG683+AH683+AI683</f>
        <v>0</v>
      </c>
      <c r="AK683" s="21" t="n">
        <f aca="false">IF(OR(AE683="",AE683=0),0,AE683-AJ683)</f>
        <v>0</v>
      </c>
      <c r="AL683" s="19" t="str">
        <f aca="false">IF(AD683="","",AD683-AK683)</f>
        <v/>
      </c>
      <c r="AM683" s="26" t="str">
        <f aca="false">IF(C683="","","Waiting for payment")</f>
        <v/>
      </c>
      <c r="AN683" s="27"/>
      <c r="AO683" s="27"/>
      <c r="AP683" s="35" t="str">
        <f aca="false">IF(OR(C683="",I683="",K683=""),"",IF(K683="Monthly",EDATE(C683,ROUND(I683*SETTINGS!$I$8,0)),WORKDAY(C683,ROUND(I683*SETTINGS!$I$8,0))))</f>
        <v/>
      </c>
      <c r="AQ683" s="26" t="str">
        <f aca="true">IF(C683="","",IF(AND(AP683&lt;&gt;"",TODAY()&gt;=AP683),"Refi Ready",IF(TODAY()-C683&gt;=SETTINGS!$I$11,"Prospecting","Performing")))</f>
        <v/>
      </c>
      <c r="AR683" s="35" t="str">
        <f aca="false">IF(OR(C683="",I683="",K683=""),"",IF(K683="Monthly",EDATE(C683,I683),WORKDAY(C683,I683)))</f>
        <v/>
      </c>
      <c r="AS683" s="28"/>
      <c r="AT683" s="36" t="str">
        <f aca="true">IF(C683="","",IF(AM683="Clawed Back","CLAWED",IF(TODAY()&lt;=C683+SETTINGS!$I$2,"⚠ AT RISK","SAFE")))</f>
        <v/>
      </c>
      <c r="AU683" s="28"/>
      <c r="AW683" s="24" t="n">
        <f aca="false">AW682+IF(AND(C683&lt;&gt;"",AO683&lt;&gt;"",OR('REP COMMISSION'!$B$3="",T683='REP COMMISSION'!$B$3,W683='REP COMMISSION'!$B$3,Z683='REP COMMISSION'!$B$3)),1,0)</f>
        <v>0</v>
      </c>
      <c r="AX683" s="24" t="n">
        <f aca="false">AX682+IF(AND(C683&lt;&gt;"",OR(F683="LOC - INITIAL",F683="CONSOLIDATION - UPFRONT COMM",F683="REVERSE - TOTAL FUNDING")),1,0)</f>
        <v>0</v>
      </c>
    </row>
    <row r="684" customFormat="false" ht="15" hidden="false" customHeight="false" outlineLevel="0" collapsed="false">
      <c r="A684" s="8" t="str">
        <f aca="false">IF(C684&lt;&gt;"","F"&amp;COUNT($C$4:C684),"")</f>
        <v/>
      </c>
      <c r="B684" s="9" t="str">
        <f aca="false">IF(OR(F684="LOC - INITIAL",F684="CONSOLIDATION - UPFRONT COMM",F684="REVERSE - TOTAL FUNDING"),A684,"")</f>
        <v/>
      </c>
      <c r="C684" s="10"/>
      <c r="D684" s="11"/>
      <c r="E684" s="11"/>
      <c r="F684" s="11"/>
      <c r="G684" s="12"/>
      <c r="H684" s="13"/>
      <c r="I684" s="11"/>
      <c r="J684" s="14" t="str">
        <f aca="false">IF(AND(G684&lt;&gt;"",H684&lt;&gt;""),G684*H684,"")</f>
        <v/>
      </c>
      <c r="K684" s="11"/>
      <c r="L684" s="15"/>
      <c r="M684" s="15"/>
      <c r="N684" s="14" t="n">
        <f aca="false">IF(OR(G684="",M684=""),0,IF(M684&gt;100,M684,G684*IF(M684&gt;1,M684/100,M684)))</f>
        <v>0</v>
      </c>
      <c r="O684" s="14" t="str">
        <f aca="false">IF(G684="","",G684*IF(L684="",0,IF(L684&gt;1,L684/100,L684))+N684)</f>
        <v/>
      </c>
      <c r="P684" s="11"/>
      <c r="Q684" s="16" t="str">
        <f aca="false">IF(P684="","",IFERROR(VLOOKUP(P684,PARTNERS!$A$2:$B$30,2,0),""))</f>
        <v/>
      </c>
      <c r="R684" s="17" t="str">
        <f aca="false">IF(O684="","",IF(OR(P684="",Q684=""),0,(O684-N684)*IF(Q684&gt;1,Q684/100,Q684)))</f>
        <v/>
      </c>
      <c r="S684" s="14" t="str">
        <f aca="false">IF(O684="","",O684-R684)</f>
        <v/>
      </c>
      <c r="T684" s="11"/>
      <c r="U684" s="18" t="str">
        <f aca="false">IF(T684="","",IFERROR(VLOOKUP(T684,REPS!$A$2:$D$40,2,0),""))</f>
        <v/>
      </c>
      <c r="V684" s="14" t="str">
        <f aca="false">IF(O684="","",IF(U684="",0,O684*IF(U684&gt;1,U684/100,U684)))</f>
        <v/>
      </c>
      <c r="W684" s="11"/>
      <c r="X684" s="18" t="str">
        <f aca="false">IF(W684="","",IFERROR(VLOOKUP(W684,REPS!$A$2:$D$40,3,0),""))</f>
        <v/>
      </c>
      <c r="Y684" s="14" t="str">
        <f aca="false">IF(O684="","",IF(X684="",0,O684*IF(X684&gt;1,X684/100,X684)))</f>
        <v/>
      </c>
      <c r="Z684" s="11"/>
      <c r="AA684" s="18" t="str">
        <f aca="false">IF(Z684="","",IFERROR(VLOOKUP(Z684,REPS!$A$2:$D$40,4,0),""))</f>
        <v/>
      </c>
      <c r="AB684" s="14" t="str">
        <f aca="false">IF(O684="","",IF(AA684="",0,O684*IF(AA684&gt;1,AA684/100,AA684)))</f>
        <v/>
      </c>
      <c r="AC684" s="14" t="str">
        <f aca="false">IF(O684="","",V684+Y684+AB684)</f>
        <v/>
      </c>
      <c r="AD684" s="19" t="str">
        <f aca="false">IF(O684="","",O684-R684-AC684)</f>
        <v/>
      </c>
      <c r="AE684" s="20"/>
      <c r="AF684" s="10"/>
      <c r="AG684" s="21" t="n">
        <f aca="false">IF(OR(AE684="",AE684=0),0,AE684*IF(U684="",0,IF(U684&gt;1,U684/100,U684)))</f>
        <v>0</v>
      </c>
      <c r="AH684" s="21" t="n">
        <f aca="false">IF(OR(AE684="",AE684=0),0,AE684*IF(X684="",0,IF(X684&gt;1,X684/100,X684)))</f>
        <v>0</v>
      </c>
      <c r="AI684" s="21" t="n">
        <f aca="false">IF(OR(AE684="",AE684=0),0,AE684*IF(AA684="",0,IF(AA684&gt;1,AA684/100,AA684)))</f>
        <v>0</v>
      </c>
      <c r="AJ684" s="21" t="n">
        <f aca="false">AG684+AH684+AI684</f>
        <v>0</v>
      </c>
      <c r="AK684" s="21" t="n">
        <f aca="false">IF(OR(AE684="",AE684=0),0,AE684-AJ684)</f>
        <v>0</v>
      </c>
      <c r="AL684" s="19" t="str">
        <f aca="false">IF(AD684="","",AD684-AK684)</f>
        <v/>
      </c>
      <c r="AM684" s="9" t="str">
        <f aca="false">IF(C684="","","Waiting for payment")</f>
        <v/>
      </c>
      <c r="AN684" s="10"/>
      <c r="AO684" s="10"/>
      <c r="AP684" s="22" t="str">
        <f aca="false">IF(OR(C684="",I684="",K684=""),"",IF(K684="Monthly",EDATE(C684,ROUND(I684*SETTINGS!$I$8,0)),WORKDAY(C684,ROUND(I684*SETTINGS!$I$8,0))))</f>
        <v/>
      </c>
      <c r="AQ684" s="9" t="str">
        <f aca="true">IF(C684="","",IF(AND(AP684&lt;&gt;"",TODAY()&gt;=AP684),"Refi Ready",IF(TODAY()-C684&gt;=SETTINGS!$I$11,"Prospecting","Performing")))</f>
        <v/>
      </c>
      <c r="AR684" s="22" t="str">
        <f aca="false">IF(OR(C684="",I684="",K684=""),"",IF(K684="Monthly",EDATE(C684,I684),WORKDAY(C684,I684)))</f>
        <v/>
      </c>
      <c r="AS684" s="11"/>
      <c r="AT684" s="23" t="str">
        <f aca="true">IF(C684="","",IF(AM684="Clawed Back","CLAWED",IF(TODAY()&lt;=C684+SETTINGS!$I$2,"⚠ AT RISK","SAFE")))</f>
        <v/>
      </c>
      <c r="AU684" s="11"/>
      <c r="AW684" s="24" t="n">
        <f aca="false">AW683+IF(AND(C684&lt;&gt;"",AO684&lt;&gt;"",OR('REP COMMISSION'!$B$3="",T684='REP COMMISSION'!$B$3,W684='REP COMMISSION'!$B$3,Z684='REP COMMISSION'!$B$3)),1,0)</f>
        <v>0</v>
      </c>
      <c r="AX684" s="24" t="n">
        <f aca="false">AX683+IF(AND(C684&lt;&gt;"",OR(F684="LOC - INITIAL",F684="CONSOLIDATION - UPFRONT COMM",F684="REVERSE - TOTAL FUNDING")),1,0)</f>
        <v>0</v>
      </c>
    </row>
    <row r="685" customFormat="false" ht="15" hidden="false" customHeight="false" outlineLevel="0" collapsed="false">
      <c r="A685" s="25" t="str">
        <f aca="false">IF(C685&lt;&gt;"","F"&amp;COUNT($C$4:C685),"")</f>
        <v/>
      </c>
      <c r="B685" s="26" t="str">
        <f aca="false">IF(OR(F685="LOC - INITIAL",F685="CONSOLIDATION - UPFRONT COMM",F685="REVERSE - TOTAL FUNDING"),A685,"")</f>
        <v/>
      </c>
      <c r="C685" s="27"/>
      <c r="D685" s="28"/>
      <c r="E685" s="28"/>
      <c r="F685" s="28"/>
      <c r="G685" s="29"/>
      <c r="H685" s="30"/>
      <c r="I685" s="28"/>
      <c r="J685" s="31" t="str">
        <f aca="false">IF(AND(G685&lt;&gt;"",H685&lt;&gt;""),G685*H685,"")</f>
        <v/>
      </c>
      <c r="K685" s="28"/>
      <c r="L685" s="32"/>
      <c r="M685" s="32"/>
      <c r="N685" s="31" t="n">
        <f aca="false">IF(OR(G685="",M685=""),0,IF(M685&gt;100,M685,G685*IF(M685&gt;1,M685/100,M685)))</f>
        <v>0</v>
      </c>
      <c r="O685" s="31" t="str">
        <f aca="false">IF(G685="","",G685*IF(L685="",0,IF(L685&gt;1,L685/100,L685))+N685)</f>
        <v/>
      </c>
      <c r="P685" s="28"/>
      <c r="Q685" s="33" t="str">
        <f aca="false">IF(P685="","",IFERROR(VLOOKUP(P685,PARTNERS!$A$2:$B$30,2,0),""))</f>
        <v/>
      </c>
      <c r="R685" s="17" t="str">
        <f aca="false">IF(O685="","",IF(OR(P685="",Q685=""),0,(O685-N685)*IF(Q685&gt;1,Q685/100,Q685)))</f>
        <v/>
      </c>
      <c r="S685" s="31" t="str">
        <f aca="false">IF(O685="","",O685-R685)</f>
        <v/>
      </c>
      <c r="T685" s="28"/>
      <c r="U685" s="34" t="str">
        <f aca="false">IF(T685="","",IFERROR(VLOOKUP(T685,REPS!$A$2:$D$40,2,0),""))</f>
        <v/>
      </c>
      <c r="V685" s="31" t="str">
        <f aca="false">IF(O685="","",IF(U685="",0,O685*IF(U685&gt;1,U685/100,U685)))</f>
        <v/>
      </c>
      <c r="W685" s="28"/>
      <c r="X685" s="34" t="str">
        <f aca="false">IF(W685="","",IFERROR(VLOOKUP(W685,REPS!$A$2:$D$40,3,0),""))</f>
        <v/>
      </c>
      <c r="Y685" s="31" t="str">
        <f aca="false">IF(O685="","",IF(X685="",0,O685*IF(X685&gt;1,X685/100,X685)))</f>
        <v/>
      </c>
      <c r="Z685" s="28"/>
      <c r="AA685" s="34" t="str">
        <f aca="false">IF(Z685="","",IFERROR(VLOOKUP(Z685,REPS!$A$2:$D$40,4,0),""))</f>
        <v/>
      </c>
      <c r="AB685" s="31" t="str">
        <f aca="false">IF(O685="","",IF(AA685="",0,O685*IF(AA685&gt;1,AA685/100,AA685)))</f>
        <v/>
      </c>
      <c r="AC685" s="31" t="str">
        <f aca="false">IF(O685="","",V685+Y685+AB685)</f>
        <v/>
      </c>
      <c r="AD685" s="19" t="str">
        <f aca="false">IF(O685="","",O685-R685-AC685)</f>
        <v/>
      </c>
      <c r="AE685" s="20"/>
      <c r="AF685" s="27"/>
      <c r="AG685" s="21" t="n">
        <f aca="false">IF(OR(AE685="",AE685=0),0,AE685*IF(U685="",0,IF(U685&gt;1,U685/100,U685)))</f>
        <v>0</v>
      </c>
      <c r="AH685" s="21" t="n">
        <f aca="false">IF(OR(AE685="",AE685=0),0,AE685*IF(X685="",0,IF(X685&gt;1,X685/100,X685)))</f>
        <v>0</v>
      </c>
      <c r="AI685" s="21" t="n">
        <f aca="false">IF(OR(AE685="",AE685=0),0,AE685*IF(AA685="",0,IF(AA685&gt;1,AA685/100,AA685)))</f>
        <v>0</v>
      </c>
      <c r="AJ685" s="21" t="n">
        <f aca="false">AG685+AH685+AI685</f>
        <v>0</v>
      </c>
      <c r="AK685" s="21" t="n">
        <f aca="false">IF(OR(AE685="",AE685=0),0,AE685-AJ685)</f>
        <v>0</v>
      </c>
      <c r="AL685" s="19" t="str">
        <f aca="false">IF(AD685="","",AD685-AK685)</f>
        <v/>
      </c>
      <c r="AM685" s="26" t="str">
        <f aca="false">IF(C685="","","Waiting for payment")</f>
        <v/>
      </c>
      <c r="AN685" s="27"/>
      <c r="AO685" s="27"/>
      <c r="AP685" s="35" t="str">
        <f aca="false">IF(OR(C685="",I685="",K685=""),"",IF(K685="Monthly",EDATE(C685,ROUND(I685*SETTINGS!$I$8,0)),WORKDAY(C685,ROUND(I685*SETTINGS!$I$8,0))))</f>
        <v/>
      </c>
      <c r="AQ685" s="26" t="str">
        <f aca="true">IF(C685="","",IF(AND(AP685&lt;&gt;"",TODAY()&gt;=AP685),"Refi Ready",IF(TODAY()-C685&gt;=SETTINGS!$I$11,"Prospecting","Performing")))</f>
        <v/>
      </c>
      <c r="AR685" s="35" t="str">
        <f aca="false">IF(OR(C685="",I685="",K685=""),"",IF(K685="Monthly",EDATE(C685,I685),WORKDAY(C685,I685)))</f>
        <v/>
      </c>
      <c r="AS685" s="28"/>
      <c r="AT685" s="36" t="str">
        <f aca="true">IF(C685="","",IF(AM685="Clawed Back","CLAWED",IF(TODAY()&lt;=C685+SETTINGS!$I$2,"⚠ AT RISK","SAFE")))</f>
        <v/>
      </c>
      <c r="AU685" s="28"/>
      <c r="AW685" s="24" t="n">
        <f aca="false">AW684+IF(AND(C685&lt;&gt;"",AO685&lt;&gt;"",OR('REP COMMISSION'!$B$3="",T685='REP COMMISSION'!$B$3,W685='REP COMMISSION'!$B$3,Z685='REP COMMISSION'!$B$3)),1,0)</f>
        <v>0</v>
      </c>
      <c r="AX685" s="24" t="n">
        <f aca="false">AX684+IF(AND(C685&lt;&gt;"",OR(F685="LOC - INITIAL",F685="CONSOLIDATION - UPFRONT COMM",F685="REVERSE - TOTAL FUNDING")),1,0)</f>
        <v>0</v>
      </c>
    </row>
    <row r="686" customFormat="false" ht="15" hidden="false" customHeight="false" outlineLevel="0" collapsed="false">
      <c r="A686" s="8" t="str">
        <f aca="false">IF(C686&lt;&gt;"","F"&amp;COUNT($C$4:C686),"")</f>
        <v/>
      </c>
      <c r="B686" s="9" t="str">
        <f aca="false">IF(OR(F686="LOC - INITIAL",F686="CONSOLIDATION - UPFRONT COMM",F686="REVERSE - TOTAL FUNDING"),A686,"")</f>
        <v/>
      </c>
      <c r="C686" s="10"/>
      <c r="D686" s="11"/>
      <c r="E686" s="11"/>
      <c r="F686" s="11"/>
      <c r="G686" s="12"/>
      <c r="H686" s="13"/>
      <c r="I686" s="11"/>
      <c r="J686" s="14" t="str">
        <f aca="false">IF(AND(G686&lt;&gt;"",H686&lt;&gt;""),G686*H686,"")</f>
        <v/>
      </c>
      <c r="K686" s="11"/>
      <c r="L686" s="15"/>
      <c r="M686" s="15"/>
      <c r="N686" s="14" t="n">
        <f aca="false">IF(OR(G686="",M686=""),0,IF(M686&gt;100,M686,G686*IF(M686&gt;1,M686/100,M686)))</f>
        <v>0</v>
      </c>
      <c r="O686" s="14" t="str">
        <f aca="false">IF(G686="","",G686*IF(L686="",0,IF(L686&gt;1,L686/100,L686))+N686)</f>
        <v/>
      </c>
      <c r="P686" s="11"/>
      <c r="Q686" s="16" t="str">
        <f aca="false">IF(P686="","",IFERROR(VLOOKUP(P686,PARTNERS!$A$2:$B$30,2,0),""))</f>
        <v/>
      </c>
      <c r="R686" s="17" t="str">
        <f aca="false">IF(O686="","",IF(OR(P686="",Q686=""),0,(O686-N686)*IF(Q686&gt;1,Q686/100,Q686)))</f>
        <v/>
      </c>
      <c r="S686" s="14" t="str">
        <f aca="false">IF(O686="","",O686-R686)</f>
        <v/>
      </c>
      <c r="T686" s="11"/>
      <c r="U686" s="18" t="str">
        <f aca="false">IF(T686="","",IFERROR(VLOOKUP(T686,REPS!$A$2:$D$40,2,0),""))</f>
        <v/>
      </c>
      <c r="V686" s="14" t="str">
        <f aca="false">IF(O686="","",IF(U686="",0,O686*IF(U686&gt;1,U686/100,U686)))</f>
        <v/>
      </c>
      <c r="W686" s="11"/>
      <c r="X686" s="18" t="str">
        <f aca="false">IF(W686="","",IFERROR(VLOOKUP(W686,REPS!$A$2:$D$40,3,0),""))</f>
        <v/>
      </c>
      <c r="Y686" s="14" t="str">
        <f aca="false">IF(O686="","",IF(X686="",0,O686*IF(X686&gt;1,X686/100,X686)))</f>
        <v/>
      </c>
      <c r="Z686" s="11"/>
      <c r="AA686" s="18" t="str">
        <f aca="false">IF(Z686="","",IFERROR(VLOOKUP(Z686,REPS!$A$2:$D$40,4,0),""))</f>
        <v/>
      </c>
      <c r="AB686" s="14" t="str">
        <f aca="false">IF(O686="","",IF(AA686="",0,O686*IF(AA686&gt;1,AA686/100,AA686)))</f>
        <v/>
      </c>
      <c r="AC686" s="14" t="str">
        <f aca="false">IF(O686="","",V686+Y686+AB686)</f>
        <v/>
      </c>
      <c r="AD686" s="19" t="str">
        <f aca="false">IF(O686="","",O686-R686-AC686)</f>
        <v/>
      </c>
      <c r="AE686" s="20"/>
      <c r="AF686" s="10"/>
      <c r="AG686" s="21" t="n">
        <f aca="false">IF(OR(AE686="",AE686=0),0,AE686*IF(U686="",0,IF(U686&gt;1,U686/100,U686)))</f>
        <v>0</v>
      </c>
      <c r="AH686" s="21" t="n">
        <f aca="false">IF(OR(AE686="",AE686=0),0,AE686*IF(X686="",0,IF(X686&gt;1,X686/100,X686)))</f>
        <v>0</v>
      </c>
      <c r="AI686" s="21" t="n">
        <f aca="false">IF(OR(AE686="",AE686=0),0,AE686*IF(AA686="",0,IF(AA686&gt;1,AA686/100,AA686)))</f>
        <v>0</v>
      </c>
      <c r="AJ686" s="21" t="n">
        <f aca="false">AG686+AH686+AI686</f>
        <v>0</v>
      </c>
      <c r="AK686" s="21" t="n">
        <f aca="false">IF(OR(AE686="",AE686=0),0,AE686-AJ686)</f>
        <v>0</v>
      </c>
      <c r="AL686" s="19" t="str">
        <f aca="false">IF(AD686="","",AD686-AK686)</f>
        <v/>
      </c>
      <c r="AM686" s="9" t="str">
        <f aca="false">IF(C686="","","Waiting for payment")</f>
        <v/>
      </c>
      <c r="AN686" s="10"/>
      <c r="AO686" s="10"/>
      <c r="AP686" s="22" t="str">
        <f aca="false">IF(OR(C686="",I686="",K686=""),"",IF(K686="Monthly",EDATE(C686,ROUND(I686*SETTINGS!$I$8,0)),WORKDAY(C686,ROUND(I686*SETTINGS!$I$8,0))))</f>
        <v/>
      </c>
      <c r="AQ686" s="9" t="str">
        <f aca="true">IF(C686="","",IF(AND(AP686&lt;&gt;"",TODAY()&gt;=AP686),"Refi Ready",IF(TODAY()-C686&gt;=SETTINGS!$I$11,"Prospecting","Performing")))</f>
        <v/>
      </c>
      <c r="AR686" s="22" t="str">
        <f aca="false">IF(OR(C686="",I686="",K686=""),"",IF(K686="Monthly",EDATE(C686,I686),WORKDAY(C686,I686)))</f>
        <v/>
      </c>
      <c r="AS686" s="11"/>
      <c r="AT686" s="23" t="str">
        <f aca="true">IF(C686="","",IF(AM686="Clawed Back","CLAWED",IF(TODAY()&lt;=C686+SETTINGS!$I$2,"⚠ AT RISK","SAFE")))</f>
        <v/>
      </c>
      <c r="AU686" s="11"/>
      <c r="AW686" s="24" t="n">
        <f aca="false">AW685+IF(AND(C686&lt;&gt;"",AO686&lt;&gt;"",OR('REP COMMISSION'!$B$3="",T686='REP COMMISSION'!$B$3,W686='REP COMMISSION'!$B$3,Z686='REP COMMISSION'!$B$3)),1,0)</f>
        <v>0</v>
      </c>
      <c r="AX686" s="24" t="n">
        <f aca="false">AX685+IF(AND(C686&lt;&gt;"",OR(F686="LOC - INITIAL",F686="CONSOLIDATION - UPFRONT COMM",F686="REVERSE - TOTAL FUNDING")),1,0)</f>
        <v>0</v>
      </c>
    </row>
    <row r="687" customFormat="false" ht="15" hidden="false" customHeight="false" outlineLevel="0" collapsed="false">
      <c r="A687" s="25" t="str">
        <f aca="false">IF(C687&lt;&gt;"","F"&amp;COUNT($C$4:C687),"")</f>
        <v/>
      </c>
      <c r="B687" s="26" t="str">
        <f aca="false">IF(OR(F687="LOC - INITIAL",F687="CONSOLIDATION - UPFRONT COMM",F687="REVERSE - TOTAL FUNDING"),A687,"")</f>
        <v/>
      </c>
      <c r="C687" s="27"/>
      <c r="D687" s="28"/>
      <c r="E687" s="28"/>
      <c r="F687" s="28"/>
      <c r="G687" s="29"/>
      <c r="H687" s="30"/>
      <c r="I687" s="28"/>
      <c r="J687" s="31" t="str">
        <f aca="false">IF(AND(G687&lt;&gt;"",H687&lt;&gt;""),G687*H687,"")</f>
        <v/>
      </c>
      <c r="K687" s="28"/>
      <c r="L687" s="32"/>
      <c r="M687" s="32"/>
      <c r="N687" s="31" t="n">
        <f aca="false">IF(OR(G687="",M687=""),0,IF(M687&gt;100,M687,G687*IF(M687&gt;1,M687/100,M687)))</f>
        <v>0</v>
      </c>
      <c r="O687" s="31" t="str">
        <f aca="false">IF(G687="","",G687*IF(L687="",0,IF(L687&gt;1,L687/100,L687))+N687)</f>
        <v/>
      </c>
      <c r="P687" s="28"/>
      <c r="Q687" s="33" t="str">
        <f aca="false">IF(P687="","",IFERROR(VLOOKUP(P687,PARTNERS!$A$2:$B$30,2,0),""))</f>
        <v/>
      </c>
      <c r="R687" s="17" t="str">
        <f aca="false">IF(O687="","",IF(OR(P687="",Q687=""),0,(O687-N687)*IF(Q687&gt;1,Q687/100,Q687)))</f>
        <v/>
      </c>
      <c r="S687" s="31" t="str">
        <f aca="false">IF(O687="","",O687-R687)</f>
        <v/>
      </c>
      <c r="T687" s="28"/>
      <c r="U687" s="34" t="str">
        <f aca="false">IF(T687="","",IFERROR(VLOOKUP(T687,REPS!$A$2:$D$40,2,0),""))</f>
        <v/>
      </c>
      <c r="V687" s="31" t="str">
        <f aca="false">IF(O687="","",IF(U687="",0,O687*IF(U687&gt;1,U687/100,U687)))</f>
        <v/>
      </c>
      <c r="W687" s="28"/>
      <c r="X687" s="34" t="str">
        <f aca="false">IF(W687="","",IFERROR(VLOOKUP(W687,REPS!$A$2:$D$40,3,0),""))</f>
        <v/>
      </c>
      <c r="Y687" s="31" t="str">
        <f aca="false">IF(O687="","",IF(X687="",0,O687*IF(X687&gt;1,X687/100,X687)))</f>
        <v/>
      </c>
      <c r="Z687" s="28"/>
      <c r="AA687" s="34" t="str">
        <f aca="false">IF(Z687="","",IFERROR(VLOOKUP(Z687,REPS!$A$2:$D$40,4,0),""))</f>
        <v/>
      </c>
      <c r="AB687" s="31" t="str">
        <f aca="false">IF(O687="","",IF(AA687="",0,O687*IF(AA687&gt;1,AA687/100,AA687)))</f>
        <v/>
      </c>
      <c r="AC687" s="31" t="str">
        <f aca="false">IF(O687="","",V687+Y687+AB687)</f>
        <v/>
      </c>
      <c r="AD687" s="19" t="str">
        <f aca="false">IF(O687="","",O687-R687-AC687)</f>
        <v/>
      </c>
      <c r="AE687" s="20"/>
      <c r="AF687" s="27"/>
      <c r="AG687" s="21" t="n">
        <f aca="false">IF(OR(AE687="",AE687=0),0,AE687*IF(U687="",0,IF(U687&gt;1,U687/100,U687)))</f>
        <v>0</v>
      </c>
      <c r="AH687" s="21" t="n">
        <f aca="false">IF(OR(AE687="",AE687=0),0,AE687*IF(X687="",0,IF(X687&gt;1,X687/100,X687)))</f>
        <v>0</v>
      </c>
      <c r="AI687" s="21" t="n">
        <f aca="false">IF(OR(AE687="",AE687=0),0,AE687*IF(AA687="",0,IF(AA687&gt;1,AA687/100,AA687)))</f>
        <v>0</v>
      </c>
      <c r="AJ687" s="21" t="n">
        <f aca="false">AG687+AH687+AI687</f>
        <v>0</v>
      </c>
      <c r="AK687" s="21" t="n">
        <f aca="false">IF(OR(AE687="",AE687=0),0,AE687-AJ687)</f>
        <v>0</v>
      </c>
      <c r="AL687" s="19" t="str">
        <f aca="false">IF(AD687="","",AD687-AK687)</f>
        <v/>
      </c>
      <c r="AM687" s="26" t="str">
        <f aca="false">IF(C687="","","Waiting for payment")</f>
        <v/>
      </c>
      <c r="AN687" s="27"/>
      <c r="AO687" s="27"/>
      <c r="AP687" s="35" t="str">
        <f aca="false">IF(OR(C687="",I687="",K687=""),"",IF(K687="Monthly",EDATE(C687,ROUND(I687*SETTINGS!$I$8,0)),WORKDAY(C687,ROUND(I687*SETTINGS!$I$8,0))))</f>
        <v/>
      </c>
      <c r="AQ687" s="26" t="str">
        <f aca="true">IF(C687="","",IF(AND(AP687&lt;&gt;"",TODAY()&gt;=AP687),"Refi Ready",IF(TODAY()-C687&gt;=SETTINGS!$I$11,"Prospecting","Performing")))</f>
        <v/>
      </c>
      <c r="AR687" s="35" t="str">
        <f aca="false">IF(OR(C687="",I687="",K687=""),"",IF(K687="Monthly",EDATE(C687,I687),WORKDAY(C687,I687)))</f>
        <v/>
      </c>
      <c r="AS687" s="28"/>
      <c r="AT687" s="36" t="str">
        <f aca="true">IF(C687="","",IF(AM687="Clawed Back","CLAWED",IF(TODAY()&lt;=C687+SETTINGS!$I$2,"⚠ AT RISK","SAFE")))</f>
        <v/>
      </c>
      <c r="AU687" s="28"/>
      <c r="AW687" s="24" t="n">
        <f aca="false">AW686+IF(AND(C687&lt;&gt;"",AO687&lt;&gt;"",OR('REP COMMISSION'!$B$3="",T687='REP COMMISSION'!$B$3,W687='REP COMMISSION'!$B$3,Z687='REP COMMISSION'!$B$3)),1,0)</f>
        <v>0</v>
      </c>
      <c r="AX687" s="24" t="n">
        <f aca="false">AX686+IF(AND(C687&lt;&gt;"",OR(F687="LOC - INITIAL",F687="CONSOLIDATION - UPFRONT COMM",F687="REVERSE - TOTAL FUNDING")),1,0)</f>
        <v>0</v>
      </c>
    </row>
    <row r="688" customFormat="false" ht="15" hidden="false" customHeight="false" outlineLevel="0" collapsed="false">
      <c r="A688" s="8" t="str">
        <f aca="false">IF(C688&lt;&gt;"","F"&amp;COUNT($C$4:C688),"")</f>
        <v/>
      </c>
      <c r="B688" s="9" t="str">
        <f aca="false">IF(OR(F688="LOC - INITIAL",F688="CONSOLIDATION - UPFRONT COMM",F688="REVERSE - TOTAL FUNDING"),A688,"")</f>
        <v/>
      </c>
      <c r="C688" s="10"/>
      <c r="D688" s="11"/>
      <c r="E688" s="11"/>
      <c r="F688" s="11"/>
      <c r="G688" s="12"/>
      <c r="H688" s="13"/>
      <c r="I688" s="11"/>
      <c r="J688" s="14" t="str">
        <f aca="false">IF(AND(G688&lt;&gt;"",H688&lt;&gt;""),G688*H688,"")</f>
        <v/>
      </c>
      <c r="K688" s="11"/>
      <c r="L688" s="15"/>
      <c r="M688" s="15"/>
      <c r="N688" s="14" t="n">
        <f aca="false">IF(OR(G688="",M688=""),0,IF(M688&gt;100,M688,G688*IF(M688&gt;1,M688/100,M688)))</f>
        <v>0</v>
      </c>
      <c r="O688" s="14" t="str">
        <f aca="false">IF(G688="","",G688*IF(L688="",0,IF(L688&gt;1,L688/100,L688))+N688)</f>
        <v/>
      </c>
      <c r="P688" s="11"/>
      <c r="Q688" s="16" t="str">
        <f aca="false">IF(P688="","",IFERROR(VLOOKUP(P688,PARTNERS!$A$2:$B$30,2,0),""))</f>
        <v/>
      </c>
      <c r="R688" s="17" t="str">
        <f aca="false">IF(O688="","",IF(OR(P688="",Q688=""),0,(O688-N688)*IF(Q688&gt;1,Q688/100,Q688)))</f>
        <v/>
      </c>
      <c r="S688" s="14" t="str">
        <f aca="false">IF(O688="","",O688-R688)</f>
        <v/>
      </c>
      <c r="T688" s="11"/>
      <c r="U688" s="18" t="str">
        <f aca="false">IF(T688="","",IFERROR(VLOOKUP(T688,REPS!$A$2:$D$40,2,0),""))</f>
        <v/>
      </c>
      <c r="V688" s="14" t="str">
        <f aca="false">IF(O688="","",IF(U688="",0,O688*IF(U688&gt;1,U688/100,U688)))</f>
        <v/>
      </c>
      <c r="W688" s="11"/>
      <c r="X688" s="18" t="str">
        <f aca="false">IF(W688="","",IFERROR(VLOOKUP(W688,REPS!$A$2:$D$40,3,0),""))</f>
        <v/>
      </c>
      <c r="Y688" s="14" t="str">
        <f aca="false">IF(O688="","",IF(X688="",0,O688*IF(X688&gt;1,X688/100,X688)))</f>
        <v/>
      </c>
      <c r="Z688" s="11"/>
      <c r="AA688" s="18" t="str">
        <f aca="false">IF(Z688="","",IFERROR(VLOOKUP(Z688,REPS!$A$2:$D$40,4,0),""))</f>
        <v/>
      </c>
      <c r="AB688" s="14" t="str">
        <f aca="false">IF(O688="","",IF(AA688="",0,O688*IF(AA688&gt;1,AA688/100,AA688)))</f>
        <v/>
      </c>
      <c r="AC688" s="14" t="str">
        <f aca="false">IF(O688="","",V688+Y688+AB688)</f>
        <v/>
      </c>
      <c r="AD688" s="19" t="str">
        <f aca="false">IF(O688="","",O688-R688-AC688)</f>
        <v/>
      </c>
      <c r="AE688" s="20"/>
      <c r="AF688" s="10"/>
      <c r="AG688" s="21" t="n">
        <f aca="false">IF(OR(AE688="",AE688=0),0,AE688*IF(U688="",0,IF(U688&gt;1,U688/100,U688)))</f>
        <v>0</v>
      </c>
      <c r="AH688" s="21" t="n">
        <f aca="false">IF(OR(AE688="",AE688=0),0,AE688*IF(X688="",0,IF(X688&gt;1,X688/100,X688)))</f>
        <v>0</v>
      </c>
      <c r="AI688" s="21" t="n">
        <f aca="false">IF(OR(AE688="",AE688=0),0,AE688*IF(AA688="",0,IF(AA688&gt;1,AA688/100,AA688)))</f>
        <v>0</v>
      </c>
      <c r="AJ688" s="21" t="n">
        <f aca="false">AG688+AH688+AI688</f>
        <v>0</v>
      </c>
      <c r="AK688" s="21" t="n">
        <f aca="false">IF(OR(AE688="",AE688=0),0,AE688-AJ688)</f>
        <v>0</v>
      </c>
      <c r="AL688" s="19" t="str">
        <f aca="false">IF(AD688="","",AD688-AK688)</f>
        <v/>
      </c>
      <c r="AM688" s="9" t="str">
        <f aca="false">IF(C688="","","Waiting for payment")</f>
        <v/>
      </c>
      <c r="AN688" s="10"/>
      <c r="AO688" s="10"/>
      <c r="AP688" s="22" t="str">
        <f aca="false">IF(OR(C688="",I688="",K688=""),"",IF(K688="Monthly",EDATE(C688,ROUND(I688*SETTINGS!$I$8,0)),WORKDAY(C688,ROUND(I688*SETTINGS!$I$8,0))))</f>
        <v/>
      </c>
      <c r="AQ688" s="9" t="str">
        <f aca="true">IF(C688="","",IF(AND(AP688&lt;&gt;"",TODAY()&gt;=AP688),"Refi Ready",IF(TODAY()-C688&gt;=SETTINGS!$I$11,"Prospecting","Performing")))</f>
        <v/>
      </c>
      <c r="AR688" s="22" t="str">
        <f aca="false">IF(OR(C688="",I688="",K688=""),"",IF(K688="Monthly",EDATE(C688,I688),WORKDAY(C688,I688)))</f>
        <v/>
      </c>
      <c r="AS688" s="11"/>
      <c r="AT688" s="23" t="str">
        <f aca="true">IF(C688="","",IF(AM688="Clawed Back","CLAWED",IF(TODAY()&lt;=C688+SETTINGS!$I$2,"⚠ AT RISK","SAFE")))</f>
        <v/>
      </c>
      <c r="AU688" s="11"/>
      <c r="AW688" s="24" t="n">
        <f aca="false">AW687+IF(AND(C688&lt;&gt;"",AO688&lt;&gt;"",OR('REP COMMISSION'!$B$3="",T688='REP COMMISSION'!$B$3,W688='REP COMMISSION'!$B$3,Z688='REP COMMISSION'!$B$3)),1,0)</f>
        <v>0</v>
      </c>
      <c r="AX688" s="24" t="n">
        <f aca="false">AX687+IF(AND(C688&lt;&gt;"",OR(F688="LOC - INITIAL",F688="CONSOLIDATION - UPFRONT COMM",F688="REVERSE - TOTAL FUNDING")),1,0)</f>
        <v>0</v>
      </c>
    </row>
    <row r="689" customFormat="false" ht="15" hidden="false" customHeight="false" outlineLevel="0" collapsed="false">
      <c r="A689" s="25" t="str">
        <f aca="false">IF(C689&lt;&gt;"","F"&amp;COUNT($C$4:C689),"")</f>
        <v/>
      </c>
      <c r="B689" s="26" t="str">
        <f aca="false">IF(OR(F689="LOC - INITIAL",F689="CONSOLIDATION - UPFRONT COMM",F689="REVERSE - TOTAL FUNDING"),A689,"")</f>
        <v/>
      </c>
      <c r="C689" s="27"/>
      <c r="D689" s="28"/>
      <c r="E689" s="28"/>
      <c r="F689" s="28"/>
      <c r="G689" s="29"/>
      <c r="H689" s="30"/>
      <c r="I689" s="28"/>
      <c r="J689" s="31" t="str">
        <f aca="false">IF(AND(G689&lt;&gt;"",H689&lt;&gt;""),G689*H689,"")</f>
        <v/>
      </c>
      <c r="K689" s="28"/>
      <c r="L689" s="32"/>
      <c r="M689" s="32"/>
      <c r="N689" s="31" t="n">
        <f aca="false">IF(OR(G689="",M689=""),0,IF(M689&gt;100,M689,G689*IF(M689&gt;1,M689/100,M689)))</f>
        <v>0</v>
      </c>
      <c r="O689" s="31" t="str">
        <f aca="false">IF(G689="","",G689*IF(L689="",0,IF(L689&gt;1,L689/100,L689))+N689)</f>
        <v/>
      </c>
      <c r="P689" s="28"/>
      <c r="Q689" s="33" t="str">
        <f aca="false">IF(P689="","",IFERROR(VLOOKUP(P689,PARTNERS!$A$2:$B$30,2,0),""))</f>
        <v/>
      </c>
      <c r="R689" s="17" t="str">
        <f aca="false">IF(O689="","",IF(OR(P689="",Q689=""),0,(O689-N689)*IF(Q689&gt;1,Q689/100,Q689)))</f>
        <v/>
      </c>
      <c r="S689" s="31" t="str">
        <f aca="false">IF(O689="","",O689-R689)</f>
        <v/>
      </c>
      <c r="T689" s="28"/>
      <c r="U689" s="34" t="str">
        <f aca="false">IF(T689="","",IFERROR(VLOOKUP(T689,REPS!$A$2:$D$40,2,0),""))</f>
        <v/>
      </c>
      <c r="V689" s="31" t="str">
        <f aca="false">IF(O689="","",IF(U689="",0,O689*IF(U689&gt;1,U689/100,U689)))</f>
        <v/>
      </c>
      <c r="W689" s="28"/>
      <c r="X689" s="34" t="str">
        <f aca="false">IF(W689="","",IFERROR(VLOOKUP(W689,REPS!$A$2:$D$40,3,0),""))</f>
        <v/>
      </c>
      <c r="Y689" s="31" t="str">
        <f aca="false">IF(O689="","",IF(X689="",0,O689*IF(X689&gt;1,X689/100,X689)))</f>
        <v/>
      </c>
      <c r="Z689" s="28"/>
      <c r="AA689" s="34" t="str">
        <f aca="false">IF(Z689="","",IFERROR(VLOOKUP(Z689,REPS!$A$2:$D$40,4,0),""))</f>
        <v/>
      </c>
      <c r="AB689" s="31" t="str">
        <f aca="false">IF(O689="","",IF(AA689="",0,O689*IF(AA689&gt;1,AA689/100,AA689)))</f>
        <v/>
      </c>
      <c r="AC689" s="31" t="str">
        <f aca="false">IF(O689="","",V689+Y689+AB689)</f>
        <v/>
      </c>
      <c r="AD689" s="19" t="str">
        <f aca="false">IF(O689="","",O689-R689-AC689)</f>
        <v/>
      </c>
      <c r="AE689" s="20"/>
      <c r="AF689" s="27"/>
      <c r="AG689" s="21" t="n">
        <f aca="false">IF(OR(AE689="",AE689=0),0,AE689*IF(U689="",0,IF(U689&gt;1,U689/100,U689)))</f>
        <v>0</v>
      </c>
      <c r="AH689" s="21" t="n">
        <f aca="false">IF(OR(AE689="",AE689=0),0,AE689*IF(X689="",0,IF(X689&gt;1,X689/100,X689)))</f>
        <v>0</v>
      </c>
      <c r="AI689" s="21" t="n">
        <f aca="false">IF(OR(AE689="",AE689=0),0,AE689*IF(AA689="",0,IF(AA689&gt;1,AA689/100,AA689)))</f>
        <v>0</v>
      </c>
      <c r="AJ689" s="21" t="n">
        <f aca="false">AG689+AH689+AI689</f>
        <v>0</v>
      </c>
      <c r="AK689" s="21" t="n">
        <f aca="false">IF(OR(AE689="",AE689=0),0,AE689-AJ689)</f>
        <v>0</v>
      </c>
      <c r="AL689" s="19" t="str">
        <f aca="false">IF(AD689="","",AD689-AK689)</f>
        <v/>
      </c>
      <c r="AM689" s="26" t="str">
        <f aca="false">IF(C689="","","Waiting for payment")</f>
        <v/>
      </c>
      <c r="AN689" s="27"/>
      <c r="AO689" s="27"/>
      <c r="AP689" s="35" t="str">
        <f aca="false">IF(OR(C689="",I689="",K689=""),"",IF(K689="Monthly",EDATE(C689,ROUND(I689*SETTINGS!$I$8,0)),WORKDAY(C689,ROUND(I689*SETTINGS!$I$8,0))))</f>
        <v/>
      </c>
      <c r="AQ689" s="26" t="str">
        <f aca="true">IF(C689="","",IF(AND(AP689&lt;&gt;"",TODAY()&gt;=AP689),"Refi Ready",IF(TODAY()-C689&gt;=SETTINGS!$I$11,"Prospecting","Performing")))</f>
        <v/>
      </c>
      <c r="AR689" s="35" t="str">
        <f aca="false">IF(OR(C689="",I689="",K689=""),"",IF(K689="Monthly",EDATE(C689,I689),WORKDAY(C689,I689)))</f>
        <v/>
      </c>
      <c r="AS689" s="28"/>
      <c r="AT689" s="36" t="str">
        <f aca="true">IF(C689="","",IF(AM689="Clawed Back","CLAWED",IF(TODAY()&lt;=C689+SETTINGS!$I$2,"⚠ AT RISK","SAFE")))</f>
        <v/>
      </c>
      <c r="AU689" s="28"/>
      <c r="AW689" s="24" t="n">
        <f aca="false">AW688+IF(AND(C689&lt;&gt;"",AO689&lt;&gt;"",OR('REP COMMISSION'!$B$3="",T689='REP COMMISSION'!$B$3,W689='REP COMMISSION'!$B$3,Z689='REP COMMISSION'!$B$3)),1,0)</f>
        <v>0</v>
      </c>
      <c r="AX689" s="24" t="n">
        <f aca="false">AX688+IF(AND(C689&lt;&gt;"",OR(F689="LOC - INITIAL",F689="CONSOLIDATION - UPFRONT COMM",F689="REVERSE - TOTAL FUNDING")),1,0)</f>
        <v>0</v>
      </c>
    </row>
    <row r="690" customFormat="false" ht="15" hidden="false" customHeight="false" outlineLevel="0" collapsed="false">
      <c r="A690" s="8" t="str">
        <f aca="false">IF(C690&lt;&gt;"","F"&amp;COUNT($C$4:C690),"")</f>
        <v/>
      </c>
      <c r="B690" s="9" t="str">
        <f aca="false">IF(OR(F690="LOC - INITIAL",F690="CONSOLIDATION - UPFRONT COMM",F690="REVERSE - TOTAL FUNDING"),A690,"")</f>
        <v/>
      </c>
      <c r="C690" s="10"/>
      <c r="D690" s="11"/>
      <c r="E690" s="11"/>
      <c r="F690" s="11"/>
      <c r="G690" s="12"/>
      <c r="H690" s="13"/>
      <c r="I690" s="11"/>
      <c r="J690" s="14" t="str">
        <f aca="false">IF(AND(G690&lt;&gt;"",H690&lt;&gt;""),G690*H690,"")</f>
        <v/>
      </c>
      <c r="K690" s="11"/>
      <c r="L690" s="15"/>
      <c r="M690" s="15"/>
      <c r="N690" s="14" t="n">
        <f aca="false">IF(OR(G690="",M690=""),0,IF(M690&gt;100,M690,G690*IF(M690&gt;1,M690/100,M690)))</f>
        <v>0</v>
      </c>
      <c r="O690" s="14" t="str">
        <f aca="false">IF(G690="","",G690*IF(L690="",0,IF(L690&gt;1,L690/100,L690))+N690)</f>
        <v/>
      </c>
      <c r="P690" s="11"/>
      <c r="Q690" s="16" t="str">
        <f aca="false">IF(P690="","",IFERROR(VLOOKUP(P690,PARTNERS!$A$2:$B$30,2,0),""))</f>
        <v/>
      </c>
      <c r="R690" s="17" t="str">
        <f aca="false">IF(O690="","",IF(OR(P690="",Q690=""),0,(O690-N690)*IF(Q690&gt;1,Q690/100,Q690)))</f>
        <v/>
      </c>
      <c r="S690" s="14" t="str">
        <f aca="false">IF(O690="","",O690-R690)</f>
        <v/>
      </c>
      <c r="T690" s="11"/>
      <c r="U690" s="18" t="str">
        <f aca="false">IF(T690="","",IFERROR(VLOOKUP(T690,REPS!$A$2:$D$40,2,0),""))</f>
        <v/>
      </c>
      <c r="V690" s="14" t="str">
        <f aca="false">IF(O690="","",IF(U690="",0,O690*IF(U690&gt;1,U690/100,U690)))</f>
        <v/>
      </c>
      <c r="W690" s="11"/>
      <c r="X690" s="18" t="str">
        <f aca="false">IF(W690="","",IFERROR(VLOOKUP(W690,REPS!$A$2:$D$40,3,0),""))</f>
        <v/>
      </c>
      <c r="Y690" s="14" t="str">
        <f aca="false">IF(O690="","",IF(X690="",0,O690*IF(X690&gt;1,X690/100,X690)))</f>
        <v/>
      </c>
      <c r="Z690" s="11"/>
      <c r="AA690" s="18" t="str">
        <f aca="false">IF(Z690="","",IFERROR(VLOOKUP(Z690,REPS!$A$2:$D$40,4,0),""))</f>
        <v/>
      </c>
      <c r="AB690" s="14" t="str">
        <f aca="false">IF(O690="","",IF(AA690="",0,O690*IF(AA690&gt;1,AA690/100,AA690)))</f>
        <v/>
      </c>
      <c r="AC690" s="14" t="str">
        <f aca="false">IF(O690="","",V690+Y690+AB690)</f>
        <v/>
      </c>
      <c r="AD690" s="19" t="str">
        <f aca="false">IF(O690="","",O690-R690-AC690)</f>
        <v/>
      </c>
      <c r="AE690" s="20"/>
      <c r="AF690" s="10"/>
      <c r="AG690" s="21" t="n">
        <f aca="false">IF(OR(AE690="",AE690=0),0,AE690*IF(U690="",0,IF(U690&gt;1,U690/100,U690)))</f>
        <v>0</v>
      </c>
      <c r="AH690" s="21" t="n">
        <f aca="false">IF(OR(AE690="",AE690=0),0,AE690*IF(X690="",0,IF(X690&gt;1,X690/100,X690)))</f>
        <v>0</v>
      </c>
      <c r="AI690" s="21" t="n">
        <f aca="false">IF(OR(AE690="",AE690=0),0,AE690*IF(AA690="",0,IF(AA690&gt;1,AA690/100,AA690)))</f>
        <v>0</v>
      </c>
      <c r="AJ690" s="21" t="n">
        <f aca="false">AG690+AH690+AI690</f>
        <v>0</v>
      </c>
      <c r="AK690" s="21" t="n">
        <f aca="false">IF(OR(AE690="",AE690=0),0,AE690-AJ690)</f>
        <v>0</v>
      </c>
      <c r="AL690" s="19" t="str">
        <f aca="false">IF(AD690="","",AD690-AK690)</f>
        <v/>
      </c>
      <c r="AM690" s="9" t="str">
        <f aca="false">IF(C690="","","Waiting for payment")</f>
        <v/>
      </c>
      <c r="AN690" s="10"/>
      <c r="AO690" s="10"/>
      <c r="AP690" s="22" t="str">
        <f aca="false">IF(OR(C690="",I690="",K690=""),"",IF(K690="Monthly",EDATE(C690,ROUND(I690*SETTINGS!$I$8,0)),WORKDAY(C690,ROUND(I690*SETTINGS!$I$8,0))))</f>
        <v/>
      </c>
      <c r="AQ690" s="9" t="str">
        <f aca="true">IF(C690="","",IF(AND(AP690&lt;&gt;"",TODAY()&gt;=AP690),"Refi Ready",IF(TODAY()-C690&gt;=SETTINGS!$I$11,"Prospecting","Performing")))</f>
        <v/>
      </c>
      <c r="AR690" s="22" t="str">
        <f aca="false">IF(OR(C690="",I690="",K690=""),"",IF(K690="Monthly",EDATE(C690,I690),WORKDAY(C690,I690)))</f>
        <v/>
      </c>
      <c r="AS690" s="11"/>
      <c r="AT690" s="23" t="str">
        <f aca="true">IF(C690="","",IF(AM690="Clawed Back","CLAWED",IF(TODAY()&lt;=C690+SETTINGS!$I$2,"⚠ AT RISK","SAFE")))</f>
        <v/>
      </c>
      <c r="AU690" s="11"/>
      <c r="AW690" s="24" t="n">
        <f aca="false">AW689+IF(AND(C690&lt;&gt;"",AO690&lt;&gt;"",OR('REP COMMISSION'!$B$3="",T690='REP COMMISSION'!$B$3,W690='REP COMMISSION'!$B$3,Z690='REP COMMISSION'!$B$3)),1,0)</f>
        <v>0</v>
      </c>
      <c r="AX690" s="24" t="n">
        <f aca="false">AX689+IF(AND(C690&lt;&gt;"",OR(F690="LOC - INITIAL",F690="CONSOLIDATION - UPFRONT COMM",F690="REVERSE - TOTAL FUNDING")),1,0)</f>
        <v>0</v>
      </c>
    </row>
    <row r="691" customFormat="false" ht="15" hidden="false" customHeight="false" outlineLevel="0" collapsed="false">
      <c r="A691" s="25" t="str">
        <f aca="false">IF(C691&lt;&gt;"","F"&amp;COUNT($C$4:C691),"")</f>
        <v/>
      </c>
      <c r="B691" s="26" t="str">
        <f aca="false">IF(OR(F691="LOC - INITIAL",F691="CONSOLIDATION - UPFRONT COMM",F691="REVERSE - TOTAL FUNDING"),A691,"")</f>
        <v/>
      </c>
      <c r="C691" s="27"/>
      <c r="D691" s="28"/>
      <c r="E691" s="28"/>
      <c r="F691" s="28"/>
      <c r="G691" s="29"/>
      <c r="H691" s="30"/>
      <c r="I691" s="28"/>
      <c r="J691" s="31" t="str">
        <f aca="false">IF(AND(G691&lt;&gt;"",H691&lt;&gt;""),G691*H691,"")</f>
        <v/>
      </c>
      <c r="K691" s="28"/>
      <c r="L691" s="32"/>
      <c r="M691" s="32"/>
      <c r="N691" s="31" t="n">
        <f aca="false">IF(OR(G691="",M691=""),0,IF(M691&gt;100,M691,G691*IF(M691&gt;1,M691/100,M691)))</f>
        <v>0</v>
      </c>
      <c r="O691" s="31" t="str">
        <f aca="false">IF(G691="","",G691*IF(L691="",0,IF(L691&gt;1,L691/100,L691))+N691)</f>
        <v/>
      </c>
      <c r="P691" s="28"/>
      <c r="Q691" s="33" t="str">
        <f aca="false">IF(P691="","",IFERROR(VLOOKUP(P691,PARTNERS!$A$2:$B$30,2,0),""))</f>
        <v/>
      </c>
      <c r="R691" s="17" t="str">
        <f aca="false">IF(O691="","",IF(OR(P691="",Q691=""),0,(O691-N691)*IF(Q691&gt;1,Q691/100,Q691)))</f>
        <v/>
      </c>
      <c r="S691" s="31" t="str">
        <f aca="false">IF(O691="","",O691-R691)</f>
        <v/>
      </c>
      <c r="T691" s="28"/>
      <c r="U691" s="34" t="str">
        <f aca="false">IF(T691="","",IFERROR(VLOOKUP(T691,REPS!$A$2:$D$40,2,0),""))</f>
        <v/>
      </c>
      <c r="V691" s="31" t="str">
        <f aca="false">IF(O691="","",IF(U691="",0,O691*IF(U691&gt;1,U691/100,U691)))</f>
        <v/>
      </c>
      <c r="W691" s="28"/>
      <c r="X691" s="34" t="str">
        <f aca="false">IF(W691="","",IFERROR(VLOOKUP(W691,REPS!$A$2:$D$40,3,0),""))</f>
        <v/>
      </c>
      <c r="Y691" s="31" t="str">
        <f aca="false">IF(O691="","",IF(X691="",0,O691*IF(X691&gt;1,X691/100,X691)))</f>
        <v/>
      </c>
      <c r="Z691" s="28"/>
      <c r="AA691" s="34" t="str">
        <f aca="false">IF(Z691="","",IFERROR(VLOOKUP(Z691,REPS!$A$2:$D$40,4,0),""))</f>
        <v/>
      </c>
      <c r="AB691" s="31" t="str">
        <f aca="false">IF(O691="","",IF(AA691="",0,O691*IF(AA691&gt;1,AA691/100,AA691)))</f>
        <v/>
      </c>
      <c r="AC691" s="31" t="str">
        <f aca="false">IF(O691="","",V691+Y691+AB691)</f>
        <v/>
      </c>
      <c r="AD691" s="19" t="str">
        <f aca="false">IF(O691="","",O691-R691-AC691)</f>
        <v/>
      </c>
      <c r="AE691" s="20"/>
      <c r="AF691" s="27"/>
      <c r="AG691" s="21" t="n">
        <f aca="false">IF(OR(AE691="",AE691=0),0,AE691*IF(U691="",0,IF(U691&gt;1,U691/100,U691)))</f>
        <v>0</v>
      </c>
      <c r="AH691" s="21" t="n">
        <f aca="false">IF(OR(AE691="",AE691=0),0,AE691*IF(X691="",0,IF(X691&gt;1,X691/100,X691)))</f>
        <v>0</v>
      </c>
      <c r="AI691" s="21" t="n">
        <f aca="false">IF(OR(AE691="",AE691=0),0,AE691*IF(AA691="",0,IF(AA691&gt;1,AA691/100,AA691)))</f>
        <v>0</v>
      </c>
      <c r="AJ691" s="21" t="n">
        <f aca="false">AG691+AH691+AI691</f>
        <v>0</v>
      </c>
      <c r="AK691" s="21" t="n">
        <f aca="false">IF(OR(AE691="",AE691=0),0,AE691-AJ691)</f>
        <v>0</v>
      </c>
      <c r="AL691" s="19" t="str">
        <f aca="false">IF(AD691="","",AD691-AK691)</f>
        <v/>
      </c>
      <c r="AM691" s="26" t="str">
        <f aca="false">IF(C691="","","Waiting for payment")</f>
        <v/>
      </c>
      <c r="AN691" s="27"/>
      <c r="AO691" s="27"/>
      <c r="AP691" s="35" t="str">
        <f aca="false">IF(OR(C691="",I691="",K691=""),"",IF(K691="Monthly",EDATE(C691,ROUND(I691*SETTINGS!$I$8,0)),WORKDAY(C691,ROUND(I691*SETTINGS!$I$8,0))))</f>
        <v/>
      </c>
      <c r="AQ691" s="26" t="str">
        <f aca="true">IF(C691="","",IF(AND(AP691&lt;&gt;"",TODAY()&gt;=AP691),"Refi Ready",IF(TODAY()-C691&gt;=SETTINGS!$I$11,"Prospecting","Performing")))</f>
        <v/>
      </c>
      <c r="AR691" s="35" t="str">
        <f aca="false">IF(OR(C691="",I691="",K691=""),"",IF(K691="Monthly",EDATE(C691,I691),WORKDAY(C691,I691)))</f>
        <v/>
      </c>
      <c r="AS691" s="28"/>
      <c r="AT691" s="36" t="str">
        <f aca="true">IF(C691="","",IF(AM691="Clawed Back","CLAWED",IF(TODAY()&lt;=C691+SETTINGS!$I$2,"⚠ AT RISK","SAFE")))</f>
        <v/>
      </c>
      <c r="AU691" s="28"/>
      <c r="AW691" s="24" t="n">
        <f aca="false">AW690+IF(AND(C691&lt;&gt;"",AO691&lt;&gt;"",OR('REP COMMISSION'!$B$3="",T691='REP COMMISSION'!$B$3,W691='REP COMMISSION'!$B$3,Z691='REP COMMISSION'!$B$3)),1,0)</f>
        <v>0</v>
      </c>
      <c r="AX691" s="24" t="n">
        <f aca="false">AX690+IF(AND(C691&lt;&gt;"",OR(F691="LOC - INITIAL",F691="CONSOLIDATION - UPFRONT COMM",F691="REVERSE - TOTAL FUNDING")),1,0)</f>
        <v>0</v>
      </c>
    </row>
    <row r="692" customFormat="false" ht="15" hidden="false" customHeight="false" outlineLevel="0" collapsed="false">
      <c r="A692" s="8" t="str">
        <f aca="false">IF(C692&lt;&gt;"","F"&amp;COUNT($C$4:C692),"")</f>
        <v/>
      </c>
      <c r="B692" s="9" t="str">
        <f aca="false">IF(OR(F692="LOC - INITIAL",F692="CONSOLIDATION - UPFRONT COMM",F692="REVERSE - TOTAL FUNDING"),A692,"")</f>
        <v/>
      </c>
      <c r="C692" s="10"/>
      <c r="D692" s="11"/>
      <c r="E692" s="11"/>
      <c r="F692" s="11"/>
      <c r="G692" s="12"/>
      <c r="H692" s="13"/>
      <c r="I692" s="11"/>
      <c r="J692" s="14" t="str">
        <f aca="false">IF(AND(G692&lt;&gt;"",H692&lt;&gt;""),G692*H692,"")</f>
        <v/>
      </c>
      <c r="K692" s="11"/>
      <c r="L692" s="15"/>
      <c r="M692" s="15"/>
      <c r="N692" s="14" t="n">
        <f aca="false">IF(OR(G692="",M692=""),0,IF(M692&gt;100,M692,G692*IF(M692&gt;1,M692/100,M692)))</f>
        <v>0</v>
      </c>
      <c r="O692" s="14" t="str">
        <f aca="false">IF(G692="","",G692*IF(L692="",0,IF(L692&gt;1,L692/100,L692))+N692)</f>
        <v/>
      </c>
      <c r="P692" s="11"/>
      <c r="Q692" s="16" t="str">
        <f aca="false">IF(P692="","",IFERROR(VLOOKUP(P692,PARTNERS!$A$2:$B$30,2,0),""))</f>
        <v/>
      </c>
      <c r="R692" s="17" t="str">
        <f aca="false">IF(O692="","",IF(OR(P692="",Q692=""),0,(O692-N692)*IF(Q692&gt;1,Q692/100,Q692)))</f>
        <v/>
      </c>
      <c r="S692" s="14" t="str">
        <f aca="false">IF(O692="","",O692-R692)</f>
        <v/>
      </c>
      <c r="T692" s="11"/>
      <c r="U692" s="18" t="str">
        <f aca="false">IF(T692="","",IFERROR(VLOOKUP(T692,REPS!$A$2:$D$40,2,0),""))</f>
        <v/>
      </c>
      <c r="V692" s="14" t="str">
        <f aca="false">IF(O692="","",IF(U692="",0,O692*IF(U692&gt;1,U692/100,U692)))</f>
        <v/>
      </c>
      <c r="W692" s="11"/>
      <c r="X692" s="18" t="str">
        <f aca="false">IF(W692="","",IFERROR(VLOOKUP(W692,REPS!$A$2:$D$40,3,0),""))</f>
        <v/>
      </c>
      <c r="Y692" s="14" t="str">
        <f aca="false">IF(O692="","",IF(X692="",0,O692*IF(X692&gt;1,X692/100,X692)))</f>
        <v/>
      </c>
      <c r="Z692" s="11"/>
      <c r="AA692" s="18" t="str">
        <f aca="false">IF(Z692="","",IFERROR(VLOOKUP(Z692,REPS!$A$2:$D$40,4,0),""))</f>
        <v/>
      </c>
      <c r="AB692" s="14" t="str">
        <f aca="false">IF(O692="","",IF(AA692="",0,O692*IF(AA692&gt;1,AA692/100,AA692)))</f>
        <v/>
      </c>
      <c r="AC692" s="14" t="str">
        <f aca="false">IF(O692="","",V692+Y692+AB692)</f>
        <v/>
      </c>
      <c r="AD692" s="19" t="str">
        <f aca="false">IF(O692="","",O692-R692-AC692)</f>
        <v/>
      </c>
      <c r="AE692" s="20"/>
      <c r="AF692" s="10"/>
      <c r="AG692" s="21" t="n">
        <f aca="false">IF(OR(AE692="",AE692=0),0,AE692*IF(U692="",0,IF(U692&gt;1,U692/100,U692)))</f>
        <v>0</v>
      </c>
      <c r="AH692" s="21" t="n">
        <f aca="false">IF(OR(AE692="",AE692=0),0,AE692*IF(X692="",0,IF(X692&gt;1,X692/100,X692)))</f>
        <v>0</v>
      </c>
      <c r="AI692" s="21" t="n">
        <f aca="false">IF(OR(AE692="",AE692=0),0,AE692*IF(AA692="",0,IF(AA692&gt;1,AA692/100,AA692)))</f>
        <v>0</v>
      </c>
      <c r="AJ692" s="21" t="n">
        <f aca="false">AG692+AH692+AI692</f>
        <v>0</v>
      </c>
      <c r="AK692" s="21" t="n">
        <f aca="false">IF(OR(AE692="",AE692=0),0,AE692-AJ692)</f>
        <v>0</v>
      </c>
      <c r="AL692" s="19" t="str">
        <f aca="false">IF(AD692="","",AD692-AK692)</f>
        <v/>
      </c>
      <c r="AM692" s="9" t="str">
        <f aca="false">IF(C692="","","Waiting for payment")</f>
        <v/>
      </c>
      <c r="AN692" s="10"/>
      <c r="AO692" s="10"/>
      <c r="AP692" s="22" t="str">
        <f aca="false">IF(OR(C692="",I692="",K692=""),"",IF(K692="Monthly",EDATE(C692,ROUND(I692*SETTINGS!$I$8,0)),WORKDAY(C692,ROUND(I692*SETTINGS!$I$8,0))))</f>
        <v/>
      </c>
      <c r="AQ692" s="9" t="str">
        <f aca="true">IF(C692="","",IF(AND(AP692&lt;&gt;"",TODAY()&gt;=AP692),"Refi Ready",IF(TODAY()-C692&gt;=SETTINGS!$I$11,"Prospecting","Performing")))</f>
        <v/>
      </c>
      <c r="AR692" s="22" t="str">
        <f aca="false">IF(OR(C692="",I692="",K692=""),"",IF(K692="Monthly",EDATE(C692,I692),WORKDAY(C692,I692)))</f>
        <v/>
      </c>
      <c r="AS692" s="11"/>
      <c r="AT692" s="23" t="str">
        <f aca="true">IF(C692="","",IF(AM692="Clawed Back","CLAWED",IF(TODAY()&lt;=C692+SETTINGS!$I$2,"⚠ AT RISK","SAFE")))</f>
        <v/>
      </c>
      <c r="AU692" s="11"/>
      <c r="AW692" s="24" t="n">
        <f aca="false">AW691+IF(AND(C692&lt;&gt;"",AO692&lt;&gt;"",OR('REP COMMISSION'!$B$3="",T692='REP COMMISSION'!$B$3,W692='REP COMMISSION'!$B$3,Z692='REP COMMISSION'!$B$3)),1,0)</f>
        <v>0</v>
      </c>
      <c r="AX692" s="24" t="n">
        <f aca="false">AX691+IF(AND(C692&lt;&gt;"",OR(F692="LOC - INITIAL",F692="CONSOLIDATION - UPFRONT COMM",F692="REVERSE - TOTAL FUNDING")),1,0)</f>
        <v>0</v>
      </c>
    </row>
    <row r="693" customFormat="false" ht="15" hidden="false" customHeight="false" outlineLevel="0" collapsed="false">
      <c r="A693" s="25" t="str">
        <f aca="false">IF(C693&lt;&gt;"","F"&amp;COUNT($C$4:C693),"")</f>
        <v/>
      </c>
      <c r="B693" s="26" t="str">
        <f aca="false">IF(OR(F693="LOC - INITIAL",F693="CONSOLIDATION - UPFRONT COMM",F693="REVERSE - TOTAL FUNDING"),A693,"")</f>
        <v/>
      </c>
      <c r="C693" s="27"/>
      <c r="D693" s="28"/>
      <c r="E693" s="28"/>
      <c r="F693" s="28"/>
      <c r="G693" s="29"/>
      <c r="H693" s="30"/>
      <c r="I693" s="28"/>
      <c r="J693" s="31" t="str">
        <f aca="false">IF(AND(G693&lt;&gt;"",H693&lt;&gt;""),G693*H693,"")</f>
        <v/>
      </c>
      <c r="K693" s="28"/>
      <c r="L693" s="32"/>
      <c r="M693" s="32"/>
      <c r="N693" s="31" t="n">
        <f aca="false">IF(OR(G693="",M693=""),0,IF(M693&gt;100,M693,G693*IF(M693&gt;1,M693/100,M693)))</f>
        <v>0</v>
      </c>
      <c r="O693" s="31" t="str">
        <f aca="false">IF(G693="","",G693*IF(L693="",0,IF(L693&gt;1,L693/100,L693))+N693)</f>
        <v/>
      </c>
      <c r="P693" s="28"/>
      <c r="Q693" s="33" t="str">
        <f aca="false">IF(P693="","",IFERROR(VLOOKUP(P693,PARTNERS!$A$2:$B$30,2,0),""))</f>
        <v/>
      </c>
      <c r="R693" s="17" t="str">
        <f aca="false">IF(O693="","",IF(OR(P693="",Q693=""),0,(O693-N693)*IF(Q693&gt;1,Q693/100,Q693)))</f>
        <v/>
      </c>
      <c r="S693" s="31" t="str">
        <f aca="false">IF(O693="","",O693-R693)</f>
        <v/>
      </c>
      <c r="T693" s="28"/>
      <c r="U693" s="34" t="str">
        <f aca="false">IF(T693="","",IFERROR(VLOOKUP(T693,REPS!$A$2:$D$40,2,0),""))</f>
        <v/>
      </c>
      <c r="V693" s="31" t="str">
        <f aca="false">IF(O693="","",IF(U693="",0,O693*IF(U693&gt;1,U693/100,U693)))</f>
        <v/>
      </c>
      <c r="W693" s="28"/>
      <c r="X693" s="34" t="str">
        <f aca="false">IF(W693="","",IFERROR(VLOOKUP(W693,REPS!$A$2:$D$40,3,0),""))</f>
        <v/>
      </c>
      <c r="Y693" s="31" t="str">
        <f aca="false">IF(O693="","",IF(X693="",0,O693*IF(X693&gt;1,X693/100,X693)))</f>
        <v/>
      </c>
      <c r="Z693" s="28"/>
      <c r="AA693" s="34" t="str">
        <f aca="false">IF(Z693="","",IFERROR(VLOOKUP(Z693,REPS!$A$2:$D$40,4,0),""))</f>
        <v/>
      </c>
      <c r="AB693" s="31" t="str">
        <f aca="false">IF(O693="","",IF(AA693="",0,O693*IF(AA693&gt;1,AA693/100,AA693)))</f>
        <v/>
      </c>
      <c r="AC693" s="31" t="str">
        <f aca="false">IF(O693="","",V693+Y693+AB693)</f>
        <v/>
      </c>
      <c r="AD693" s="19" t="str">
        <f aca="false">IF(O693="","",O693-R693-AC693)</f>
        <v/>
      </c>
      <c r="AE693" s="20"/>
      <c r="AF693" s="27"/>
      <c r="AG693" s="21" t="n">
        <f aca="false">IF(OR(AE693="",AE693=0),0,AE693*IF(U693="",0,IF(U693&gt;1,U693/100,U693)))</f>
        <v>0</v>
      </c>
      <c r="AH693" s="21" t="n">
        <f aca="false">IF(OR(AE693="",AE693=0),0,AE693*IF(X693="",0,IF(X693&gt;1,X693/100,X693)))</f>
        <v>0</v>
      </c>
      <c r="AI693" s="21" t="n">
        <f aca="false">IF(OR(AE693="",AE693=0),0,AE693*IF(AA693="",0,IF(AA693&gt;1,AA693/100,AA693)))</f>
        <v>0</v>
      </c>
      <c r="AJ693" s="21" t="n">
        <f aca="false">AG693+AH693+AI693</f>
        <v>0</v>
      </c>
      <c r="AK693" s="21" t="n">
        <f aca="false">IF(OR(AE693="",AE693=0),0,AE693-AJ693)</f>
        <v>0</v>
      </c>
      <c r="AL693" s="19" t="str">
        <f aca="false">IF(AD693="","",AD693-AK693)</f>
        <v/>
      </c>
      <c r="AM693" s="26" t="str">
        <f aca="false">IF(C693="","","Waiting for payment")</f>
        <v/>
      </c>
      <c r="AN693" s="27"/>
      <c r="AO693" s="27"/>
      <c r="AP693" s="35" t="str">
        <f aca="false">IF(OR(C693="",I693="",K693=""),"",IF(K693="Monthly",EDATE(C693,ROUND(I693*SETTINGS!$I$8,0)),WORKDAY(C693,ROUND(I693*SETTINGS!$I$8,0))))</f>
        <v/>
      </c>
      <c r="AQ693" s="26" t="str">
        <f aca="true">IF(C693="","",IF(AND(AP693&lt;&gt;"",TODAY()&gt;=AP693),"Refi Ready",IF(TODAY()-C693&gt;=SETTINGS!$I$11,"Prospecting","Performing")))</f>
        <v/>
      </c>
      <c r="AR693" s="35" t="str">
        <f aca="false">IF(OR(C693="",I693="",K693=""),"",IF(K693="Monthly",EDATE(C693,I693),WORKDAY(C693,I693)))</f>
        <v/>
      </c>
      <c r="AS693" s="28"/>
      <c r="AT693" s="36" t="str">
        <f aca="true">IF(C693="","",IF(AM693="Clawed Back","CLAWED",IF(TODAY()&lt;=C693+SETTINGS!$I$2,"⚠ AT RISK","SAFE")))</f>
        <v/>
      </c>
      <c r="AU693" s="28"/>
      <c r="AW693" s="24" t="n">
        <f aca="false">AW692+IF(AND(C693&lt;&gt;"",AO693&lt;&gt;"",OR('REP COMMISSION'!$B$3="",T693='REP COMMISSION'!$B$3,W693='REP COMMISSION'!$B$3,Z693='REP COMMISSION'!$B$3)),1,0)</f>
        <v>0</v>
      </c>
      <c r="AX693" s="24" t="n">
        <f aca="false">AX692+IF(AND(C693&lt;&gt;"",OR(F693="LOC - INITIAL",F693="CONSOLIDATION - UPFRONT COMM",F693="REVERSE - TOTAL FUNDING")),1,0)</f>
        <v>0</v>
      </c>
    </row>
    <row r="694" customFormat="false" ht="15" hidden="false" customHeight="false" outlineLevel="0" collapsed="false">
      <c r="A694" s="8" t="str">
        <f aca="false">IF(C694&lt;&gt;"","F"&amp;COUNT($C$4:C694),"")</f>
        <v/>
      </c>
      <c r="B694" s="9" t="str">
        <f aca="false">IF(OR(F694="LOC - INITIAL",F694="CONSOLIDATION - UPFRONT COMM",F694="REVERSE - TOTAL FUNDING"),A694,"")</f>
        <v/>
      </c>
      <c r="C694" s="10"/>
      <c r="D694" s="11"/>
      <c r="E694" s="11"/>
      <c r="F694" s="11"/>
      <c r="G694" s="12"/>
      <c r="H694" s="13"/>
      <c r="I694" s="11"/>
      <c r="J694" s="14" t="str">
        <f aca="false">IF(AND(G694&lt;&gt;"",H694&lt;&gt;""),G694*H694,"")</f>
        <v/>
      </c>
      <c r="K694" s="11"/>
      <c r="L694" s="15"/>
      <c r="M694" s="15"/>
      <c r="N694" s="14" t="n">
        <f aca="false">IF(OR(G694="",M694=""),0,IF(M694&gt;100,M694,G694*IF(M694&gt;1,M694/100,M694)))</f>
        <v>0</v>
      </c>
      <c r="O694" s="14" t="str">
        <f aca="false">IF(G694="","",G694*IF(L694="",0,IF(L694&gt;1,L694/100,L694))+N694)</f>
        <v/>
      </c>
      <c r="P694" s="11"/>
      <c r="Q694" s="16" t="str">
        <f aca="false">IF(P694="","",IFERROR(VLOOKUP(P694,PARTNERS!$A$2:$B$30,2,0),""))</f>
        <v/>
      </c>
      <c r="R694" s="17" t="str">
        <f aca="false">IF(O694="","",IF(OR(P694="",Q694=""),0,(O694-N694)*IF(Q694&gt;1,Q694/100,Q694)))</f>
        <v/>
      </c>
      <c r="S694" s="14" t="str">
        <f aca="false">IF(O694="","",O694-R694)</f>
        <v/>
      </c>
      <c r="T694" s="11"/>
      <c r="U694" s="18" t="str">
        <f aca="false">IF(T694="","",IFERROR(VLOOKUP(T694,REPS!$A$2:$D$40,2,0),""))</f>
        <v/>
      </c>
      <c r="V694" s="14" t="str">
        <f aca="false">IF(O694="","",IF(U694="",0,O694*IF(U694&gt;1,U694/100,U694)))</f>
        <v/>
      </c>
      <c r="W694" s="11"/>
      <c r="X694" s="18" t="str">
        <f aca="false">IF(W694="","",IFERROR(VLOOKUP(W694,REPS!$A$2:$D$40,3,0),""))</f>
        <v/>
      </c>
      <c r="Y694" s="14" t="str">
        <f aca="false">IF(O694="","",IF(X694="",0,O694*IF(X694&gt;1,X694/100,X694)))</f>
        <v/>
      </c>
      <c r="Z694" s="11"/>
      <c r="AA694" s="18" t="str">
        <f aca="false">IF(Z694="","",IFERROR(VLOOKUP(Z694,REPS!$A$2:$D$40,4,0),""))</f>
        <v/>
      </c>
      <c r="AB694" s="14" t="str">
        <f aca="false">IF(O694="","",IF(AA694="",0,O694*IF(AA694&gt;1,AA694/100,AA694)))</f>
        <v/>
      </c>
      <c r="AC694" s="14" t="str">
        <f aca="false">IF(O694="","",V694+Y694+AB694)</f>
        <v/>
      </c>
      <c r="AD694" s="19" t="str">
        <f aca="false">IF(O694="","",O694-R694-AC694)</f>
        <v/>
      </c>
      <c r="AE694" s="20"/>
      <c r="AF694" s="10"/>
      <c r="AG694" s="21" t="n">
        <f aca="false">IF(OR(AE694="",AE694=0),0,AE694*IF(U694="",0,IF(U694&gt;1,U694/100,U694)))</f>
        <v>0</v>
      </c>
      <c r="AH694" s="21" t="n">
        <f aca="false">IF(OR(AE694="",AE694=0),0,AE694*IF(X694="",0,IF(X694&gt;1,X694/100,X694)))</f>
        <v>0</v>
      </c>
      <c r="AI694" s="21" t="n">
        <f aca="false">IF(OR(AE694="",AE694=0),0,AE694*IF(AA694="",0,IF(AA694&gt;1,AA694/100,AA694)))</f>
        <v>0</v>
      </c>
      <c r="AJ694" s="21" t="n">
        <f aca="false">AG694+AH694+AI694</f>
        <v>0</v>
      </c>
      <c r="AK694" s="21" t="n">
        <f aca="false">IF(OR(AE694="",AE694=0),0,AE694-AJ694)</f>
        <v>0</v>
      </c>
      <c r="AL694" s="19" t="str">
        <f aca="false">IF(AD694="","",AD694-AK694)</f>
        <v/>
      </c>
      <c r="AM694" s="9" t="str">
        <f aca="false">IF(C694="","","Waiting for payment")</f>
        <v/>
      </c>
      <c r="AN694" s="10"/>
      <c r="AO694" s="10"/>
      <c r="AP694" s="22" t="str">
        <f aca="false">IF(OR(C694="",I694="",K694=""),"",IF(K694="Monthly",EDATE(C694,ROUND(I694*SETTINGS!$I$8,0)),WORKDAY(C694,ROUND(I694*SETTINGS!$I$8,0))))</f>
        <v/>
      </c>
      <c r="AQ694" s="9" t="str">
        <f aca="true">IF(C694="","",IF(AND(AP694&lt;&gt;"",TODAY()&gt;=AP694),"Refi Ready",IF(TODAY()-C694&gt;=SETTINGS!$I$11,"Prospecting","Performing")))</f>
        <v/>
      </c>
      <c r="AR694" s="22" t="str">
        <f aca="false">IF(OR(C694="",I694="",K694=""),"",IF(K694="Monthly",EDATE(C694,I694),WORKDAY(C694,I694)))</f>
        <v/>
      </c>
      <c r="AS694" s="11"/>
      <c r="AT694" s="23" t="str">
        <f aca="true">IF(C694="","",IF(AM694="Clawed Back","CLAWED",IF(TODAY()&lt;=C694+SETTINGS!$I$2,"⚠ AT RISK","SAFE")))</f>
        <v/>
      </c>
      <c r="AU694" s="11"/>
      <c r="AW694" s="24" t="n">
        <f aca="false">AW693+IF(AND(C694&lt;&gt;"",AO694&lt;&gt;"",OR('REP COMMISSION'!$B$3="",T694='REP COMMISSION'!$B$3,W694='REP COMMISSION'!$B$3,Z694='REP COMMISSION'!$B$3)),1,0)</f>
        <v>0</v>
      </c>
      <c r="AX694" s="24" t="n">
        <f aca="false">AX693+IF(AND(C694&lt;&gt;"",OR(F694="LOC - INITIAL",F694="CONSOLIDATION - UPFRONT COMM",F694="REVERSE - TOTAL FUNDING")),1,0)</f>
        <v>0</v>
      </c>
    </row>
    <row r="695" customFormat="false" ht="15" hidden="false" customHeight="false" outlineLevel="0" collapsed="false">
      <c r="A695" s="25" t="str">
        <f aca="false">IF(C695&lt;&gt;"","F"&amp;COUNT($C$4:C695),"")</f>
        <v/>
      </c>
      <c r="B695" s="26" t="str">
        <f aca="false">IF(OR(F695="LOC - INITIAL",F695="CONSOLIDATION - UPFRONT COMM",F695="REVERSE - TOTAL FUNDING"),A695,"")</f>
        <v/>
      </c>
      <c r="C695" s="27"/>
      <c r="D695" s="28"/>
      <c r="E695" s="28"/>
      <c r="F695" s="28"/>
      <c r="G695" s="29"/>
      <c r="H695" s="30"/>
      <c r="I695" s="28"/>
      <c r="J695" s="31" t="str">
        <f aca="false">IF(AND(G695&lt;&gt;"",H695&lt;&gt;""),G695*H695,"")</f>
        <v/>
      </c>
      <c r="K695" s="28"/>
      <c r="L695" s="32"/>
      <c r="M695" s="32"/>
      <c r="N695" s="31" t="n">
        <f aca="false">IF(OR(G695="",M695=""),0,IF(M695&gt;100,M695,G695*IF(M695&gt;1,M695/100,M695)))</f>
        <v>0</v>
      </c>
      <c r="O695" s="31" t="str">
        <f aca="false">IF(G695="","",G695*IF(L695="",0,IF(L695&gt;1,L695/100,L695))+N695)</f>
        <v/>
      </c>
      <c r="P695" s="28"/>
      <c r="Q695" s="33" t="str">
        <f aca="false">IF(P695="","",IFERROR(VLOOKUP(P695,PARTNERS!$A$2:$B$30,2,0),""))</f>
        <v/>
      </c>
      <c r="R695" s="17" t="str">
        <f aca="false">IF(O695="","",IF(OR(P695="",Q695=""),0,(O695-N695)*IF(Q695&gt;1,Q695/100,Q695)))</f>
        <v/>
      </c>
      <c r="S695" s="31" t="str">
        <f aca="false">IF(O695="","",O695-R695)</f>
        <v/>
      </c>
      <c r="T695" s="28"/>
      <c r="U695" s="34" t="str">
        <f aca="false">IF(T695="","",IFERROR(VLOOKUP(T695,REPS!$A$2:$D$40,2,0),""))</f>
        <v/>
      </c>
      <c r="V695" s="31" t="str">
        <f aca="false">IF(O695="","",IF(U695="",0,O695*IF(U695&gt;1,U695/100,U695)))</f>
        <v/>
      </c>
      <c r="W695" s="28"/>
      <c r="X695" s="34" t="str">
        <f aca="false">IF(W695="","",IFERROR(VLOOKUP(W695,REPS!$A$2:$D$40,3,0),""))</f>
        <v/>
      </c>
      <c r="Y695" s="31" t="str">
        <f aca="false">IF(O695="","",IF(X695="",0,O695*IF(X695&gt;1,X695/100,X695)))</f>
        <v/>
      </c>
      <c r="Z695" s="28"/>
      <c r="AA695" s="34" t="str">
        <f aca="false">IF(Z695="","",IFERROR(VLOOKUP(Z695,REPS!$A$2:$D$40,4,0),""))</f>
        <v/>
      </c>
      <c r="AB695" s="31" t="str">
        <f aca="false">IF(O695="","",IF(AA695="",0,O695*IF(AA695&gt;1,AA695/100,AA695)))</f>
        <v/>
      </c>
      <c r="AC695" s="31" t="str">
        <f aca="false">IF(O695="","",V695+Y695+AB695)</f>
        <v/>
      </c>
      <c r="AD695" s="19" t="str">
        <f aca="false">IF(O695="","",O695-R695-AC695)</f>
        <v/>
      </c>
      <c r="AE695" s="20"/>
      <c r="AF695" s="27"/>
      <c r="AG695" s="21" t="n">
        <f aca="false">IF(OR(AE695="",AE695=0),0,AE695*IF(U695="",0,IF(U695&gt;1,U695/100,U695)))</f>
        <v>0</v>
      </c>
      <c r="AH695" s="21" t="n">
        <f aca="false">IF(OR(AE695="",AE695=0),0,AE695*IF(X695="",0,IF(X695&gt;1,X695/100,X695)))</f>
        <v>0</v>
      </c>
      <c r="AI695" s="21" t="n">
        <f aca="false">IF(OR(AE695="",AE695=0),0,AE695*IF(AA695="",0,IF(AA695&gt;1,AA695/100,AA695)))</f>
        <v>0</v>
      </c>
      <c r="AJ695" s="21" t="n">
        <f aca="false">AG695+AH695+AI695</f>
        <v>0</v>
      </c>
      <c r="AK695" s="21" t="n">
        <f aca="false">IF(OR(AE695="",AE695=0),0,AE695-AJ695)</f>
        <v>0</v>
      </c>
      <c r="AL695" s="19" t="str">
        <f aca="false">IF(AD695="","",AD695-AK695)</f>
        <v/>
      </c>
      <c r="AM695" s="26" t="str">
        <f aca="false">IF(C695="","","Waiting for payment")</f>
        <v/>
      </c>
      <c r="AN695" s="27"/>
      <c r="AO695" s="27"/>
      <c r="AP695" s="35" t="str">
        <f aca="false">IF(OR(C695="",I695="",K695=""),"",IF(K695="Monthly",EDATE(C695,ROUND(I695*SETTINGS!$I$8,0)),WORKDAY(C695,ROUND(I695*SETTINGS!$I$8,0))))</f>
        <v/>
      </c>
      <c r="AQ695" s="26" t="str">
        <f aca="true">IF(C695="","",IF(AND(AP695&lt;&gt;"",TODAY()&gt;=AP695),"Refi Ready",IF(TODAY()-C695&gt;=SETTINGS!$I$11,"Prospecting","Performing")))</f>
        <v/>
      </c>
      <c r="AR695" s="35" t="str">
        <f aca="false">IF(OR(C695="",I695="",K695=""),"",IF(K695="Monthly",EDATE(C695,I695),WORKDAY(C695,I695)))</f>
        <v/>
      </c>
      <c r="AS695" s="28"/>
      <c r="AT695" s="36" t="str">
        <f aca="true">IF(C695="","",IF(AM695="Clawed Back","CLAWED",IF(TODAY()&lt;=C695+SETTINGS!$I$2,"⚠ AT RISK","SAFE")))</f>
        <v/>
      </c>
      <c r="AU695" s="28"/>
      <c r="AW695" s="24" t="n">
        <f aca="false">AW694+IF(AND(C695&lt;&gt;"",AO695&lt;&gt;"",OR('REP COMMISSION'!$B$3="",T695='REP COMMISSION'!$B$3,W695='REP COMMISSION'!$B$3,Z695='REP COMMISSION'!$B$3)),1,0)</f>
        <v>0</v>
      </c>
      <c r="AX695" s="24" t="n">
        <f aca="false">AX694+IF(AND(C695&lt;&gt;"",OR(F695="LOC - INITIAL",F695="CONSOLIDATION - UPFRONT COMM",F695="REVERSE - TOTAL FUNDING")),1,0)</f>
        <v>0</v>
      </c>
    </row>
    <row r="696" customFormat="false" ht="15" hidden="false" customHeight="false" outlineLevel="0" collapsed="false">
      <c r="A696" s="8" t="str">
        <f aca="false">IF(C696&lt;&gt;"","F"&amp;COUNT($C$4:C696),"")</f>
        <v/>
      </c>
      <c r="B696" s="9" t="str">
        <f aca="false">IF(OR(F696="LOC - INITIAL",F696="CONSOLIDATION - UPFRONT COMM",F696="REVERSE - TOTAL FUNDING"),A696,"")</f>
        <v/>
      </c>
      <c r="C696" s="10"/>
      <c r="D696" s="11"/>
      <c r="E696" s="11"/>
      <c r="F696" s="11"/>
      <c r="G696" s="12"/>
      <c r="H696" s="13"/>
      <c r="I696" s="11"/>
      <c r="J696" s="14" t="str">
        <f aca="false">IF(AND(G696&lt;&gt;"",H696&lt;&gt;""),G696*H696,"")</f>
        <v/>
      </c>
      <c r="K696" s="11"/>
      <c r="L696" s="15"/>
      <c r="M696" s="15"/>
      <c r="N696" s="14" t="n">
        <f aca="false">IF(OR(G696="",M696=""),0,IF(M696&gt;100,M696,G696*IF(M696&gt;1,M696/100,M696)))</f>
        <v>0</v>
      </c>
      <c r="O696" s="14" t="str">
        <f aca="false">IF(G696="","",G696*IF(L696="",0,IF(L696&gt;1,L696/100,L696))+N696)</f>
        <v/>
      </c>
      <c r="P696" s="11"/>
      <c r="Q696" s="16" t="str">
        <f aca="false">IF(P696="","",IFERROR(VLOOKUP(P696,PARTNERS!$A$2:$B$30,2,0),""))</f>
        <v/>
      </c>
      <c r="R696" s="17" t="str">
        <f aca="false">IF(O696="","",IF(OR(P696="",Q696=""),0,(O696-N696)*IF(Q696&gt;1,Q696/100,Q696)))</f>
        <v/>
      </c>
      <c r="S696" s="14" t="str">
        <f aca="false">IF(O696="","",O696-R696)</f>
        <v/>
      </c>
      <c r="T696" s="11"/>
      <c r="U696" s="18" t="str">
        <f aca="false">IF(T696="","",IFERROR(VLOOKUP(T696,REPS!$A$2:$D$40,2,0),""))</f>
        <v/>
      </c>
      <c r="V696" s="14" t="str">
        <f aca="false">IF(O696="","",IF(U696="",0,O696*IF(U696&gt;1,U696/100,U696)))</f>
        <v/>
      </c>
      <c r="W696" s="11"/>
      <c r="X696" s="18" t="str">
        <f aca="false">IF(W696="","",IFERROR(VLOOKUP(W696,REPS!$A$2:$D$40,3,0),""))</f>
        <v/>
      </c>
      <c r="Y696" s="14" t="str">
        <f aca="false">IF(O696="","",IF(X696="",0,O696*IF(X696&gt;1,X696/100,X696)))</f>
        <v/>
      </c>
      <c r="Z696" s="11"/>
      <c r="AA696" s="18" t="str">
        <f aca="false">IF(Z696="","",IFERROR(VLOOKUP(Z696,REPS!$A$2:$D$40,4,0),""))</f>
        <v/>
      </c>
      <c r="AB696" s="14" t="str">
        <f aca="false">IF(O696="","",IF(AA696="",0,O696*IF(AA696&gt;1,AA696/100,AA696)))</f>
        <v/>
      </c>
      <c r="AC696" s="14" t="str">
        <f aca="false">IF(O696="","",V696+Y696+AB696)</f>
        <v/>
      </c>
      <c r="AD696" s="19" t="str">
        <f aca="false">IF(O696="","",O696-R696-AC696)</f>
        <v/>
      </c>
      <c r="AE696" s="20"/>
      <c r="AF696" s="10"/>
      <c r="AG696" s="21" t="n">
        <f aca="false">IF(OR(AE696="",AE696=0),0,AE696*IF(U696="",0,IF(U696&gt;1,U696/100,U696)))</f>
        <v>0</v>
      </c>
      <c r="AH696" s="21" t="n">
        <f aca="false">IF(OR(AE696="",AE696=0),0,AE696*IF(X696="",0,IF(X696&gt;1,X696/100,X696)))</f>
        <v>0</v>
      </c>
      <c r="AI696" s="21" t="n">
        <f aca="false">IF(OR(AE696="",AE696=0),0,AE696*IF(AA696="",0,IF(AA696&gt;1,AA696/100,AA696)))</f>
        <v>0</v>
      </c>
      <c r="AJ696" s="21" t="n">
        <f aca="false">AG696+AH696+AI696</f>
        <v>0</v>
      </c>
      <c r="AK696" s="21" t="n">
        <f aca="false">IF(OR(AE696="",AE696=0),0,AE696-AJ696)</f>
        <v>0</v>
      </c>
      <c r="AL696" s="19" t="str">
        <f aca="false">IF(AD696="","",AD696-AK696)</f>
        <v/>
      </c>
      <c r="AM696" s="9" t="str">
        <f aca="false">IF(C696="","","Waiting for payment")</f>
        <v/>
      </c>
      <c r="AN696" s="10"/>
      <c r="AO696" s="10"/>
      <c r="AP696" s="22" t="str">
        <f aca="false">IF(OR(C696="",I696="",K696=""),"",IF(K696="Monthly",EDATE(C696,ROUND(I696*SETTINGS!$I$8,0)),WORKDAY(C696,ROUND(I696*SETTINGS!$I$8,0))))</f>
        <v/>
      </c>
      <c r="AQ696" s="9" t="str">
        <f aca="true">IF(C696="","",IF(AND(AP696&lt;&gt;"",TODAY()&gt;=AP696),"Refi Ready",IF(TODAY()-C696&gt;=SETTINGS!$I$11,"Prospecting","Performing")))</f>
        <v/>
      </c>
      <c r="AR696" s="22" t="str">
        <f aca="false">IF(OR(C696="",I696="",K696=""),"",IF(K696="Monthly",EDATE(C696,I696),WORKDAY(C696,I696)))</f>
        <v/>
      </c>
      <c r="AS696" s="11"/>
      <c r="AT696" s="23" t="str">
        <f aca="true">IF(C696="","",IF(AM696="Clawed Back","CLAWED",IF(TODAY()&lt;=C696+SETTINGS!$I$2,"⚠ AT RISK","SAFE")))</f>
        <v/>
      </c>
      <c r="AU696" s="11"/>
      <c r="AW696" s="24" t="n">
        <f aca="false">AW695+IF(AND(C696&lt;&gt;"",AO696&lt;&gt;"",OR('REP COMMISSION'!$B$3="",T696='REP COMMISSION'!$B$3,W696='REP COMMISSION'!$B$3,Z696='REP COMMISSION'!$B$3)),1,0)</f>
        <v>0</v>
      </c>
      <c r="AX696" s="24" t="n">
        <f aca="false">AX695+IF(AND(C696&lt;&gt;"",OR(F696="LOC - INITIAL",F696="CONSOLIDATION - UPFRONT COMM",F696="REVERSE - TOTAL FUNDING")),1,0)</f>
        <v>0</v>
      </c>
    </row>
    <row r="697" customFormat="false" ht="15" hidden="false" customHeight="false" outlineLevel="0" collapsed="false">
      <c r="A697" s="25" t="str">
        <f aca="false">IF(C697&lt;&gt;"","F"&amp;COUNT($C$4:C697),"")</f>
        <v/>
      </c>
      <c r="B697" s="26" t="str">
        <f aca="false">IF(OR(F697="LOC - INITIAL",F697="CONSOLIDATION - UPFRONT COMM",F697="REVERSE - TOTAL FUNDING"),A697,"")</f>
        <v/>
      </c>
      <c r="C697" s="27"/>
      <c r="D697" s="28"/>
      <c r="E697" s="28"/>
      <c r="F697" s="28"/>
      <c r="G697" s="29"/>
      <c r="H697" s="30"/>
      <c r="I697" s="28"/>
      <c r="J697" s="31" t="str">
        <f aca="false">IF(AND(G697&lt;&gt;"",H697&lt;&gt;""),G697*H697,"")</f>
        <v/>
      </c>
      <c r="K697" s="28"/>
      <c r="L697" s="32"/>
      <c r="M697" s="32"/>
      <c r="N697" s="31" t="n">
        <f aca="false">IF(OR(G697="",M697=""),0,IF(M697&gt;100,M697,G697*IF(M697&gt;1,M697/100,M697)))</f>
        <v>0</v>
      </c>
      <c r="O697" s="31" t="str">
        <f aca="false">IF(G697="","",G697*IF(L697="",0,IF(L697&gt;1,L697/100,L697))+N697)</f>
        <v/>
      </c>
      <c r="P697" s="28"/>
      <c r="Q697" s="33" t="str">
        <f aca="false">IF(P697="","",IFERROR(VLOOKUP(P697,PARTNERS!$A$2:$B$30,2,0),""))</f>
        <v/>
      </c>
      <c r="R697" s="17" t="str">
        <f aca="false">IF(O697="","",IF(OR(P697="",Q697=""),0,(O697-N697)*IF(Q697&gt;1,Q697/100,Q697)))</f>
        <v/>
      </c>
      <c r="S697" s="31" t="str">
        <f aca="false">IF(O697="","",O697-R697)</f>
        <v/>
      </c>
      <c r="T697" s="28"/>
      <c r="U697" s="34" t="str">
        <f aca="false">IF(T697="","",IFERROR(VLOOKUP(T697,REPS!$A$2:$D$40,2,0),""))</f>
        <v/>
      </c>
      <c r="V697" s="31" t="str">
        <f aca="false">IF(O697="","",IF(U697="",0,O697*IF(U697&gt;1,U697/100,U697)))</f>
        <v/>
      </c>
      <c r="W697" s="28"/>
      <c r="X697" s="34" t="str">
        <f aca="false">IF(W697="","",IFERROR(VLOOKUP(W697,REPS!$A$2:$D$40,3,0),""))</f>
        <v/>
      </c>
      <c r="Y697" s="31" t="str">
        <f aca="false">IF(O697="","",IF(X697="",0,O697*IF(X697&gt;1,X697/100,X697)))</f>
        <v/>
      </c>
      <c r="Z697" s="28"/>
      <c r="AA697" s="34" t="str">
        <f aca="false">IF(Z697="","",IFERROR(VLOOKUP(Z697,REPS!$A$2:$D$40,4,0),""))</f>
        <v/>
      </c>
      <c r="AB697" s="31" t="str">
        <f aca="false">IF(O697="","",IF(AA697="",0,O697*IF(AA697&gt;1,AA697/100,AA697)))</f>
        <v/>
      </c>
      <c r="AC697" s="31" t="str">
        <f aca="false">IF(O697="","",V697+Y697+AB697)</f>
        <v/>
      </c>
      <c r="AD697" s="19" t="str">
        <f aca="false">IF(O697="","",O697-R697-AC697)</f>
        <v/>
      </c>
      <c r="AE697" s="20"/>
      <c r="AF697" s="27"/>
      <c r="AG697" s="21" t="n">
        <f aca="false">IF(OR(AE697="",AE697=0),0,AE697*IF(U697="",0,IF(U697&gt;1,U697/100,U697)))</f>
        <v>0</v>
      </c>
      <c r="AH697" s="21" t="n">
        <f aca="false">IF(OR(AE697="",AE697=0),0,AE697*IF(X697="",0,IF(X697&gt;1,X697/100,X697)))</f>
        <v>0</v>
      </c>
      <c r="AI697" s="21" t="n">
        <f aca="false">IF(OR(AE697="",AE697=0),0,AE697*IF(AA697="",0,IF(AA697&gt;1,AA697/100,AA697)))</f>
        <v>0</v>
      </c>
      <c r="AJ697" s="21" t="n">
        <f aca="false">AG697+AH697+AI697</f>
        <v>0</v>
      </c>
      <c r="AK697" s="21" t="n">
        <f aca="false">IF(OR(AE697="",AE697=0),0,AE697-AJ697)</f>
        <v>0</v>
      </c>
      <c r="AL697" s="19" t="str">
        <f aca="false">IF(AD697="","",AD697-AK697)</f>
        <v/>
      </c>
      <c r="AM697" s="26" t="str">
        <f aca="false">IF(C697="","","Waiting for payment")</f>
        <v/>
      </c>
      <c r="AN697" s="27"/>
      <c r="AO697" s="27"/>
      <c r="AP697" s="35" t="str">
        <f aca="false">IF(OR(C697="",I697="",K697=""),"",IF(K697="Monthly",EDATE(C697,ROUND(I697*SETTINGS!$I$8,0)),WORKDAY(C697,ROUND(I697*SETTINGS!$I$8,0))))</f>
        <v/>
      </c>
      <c r="AQ697" s="26" t="str">
        <f aca="true">IF(C697="","",IF(AND(AP697&lt;&gt;"",TODAY()&gt;=AP697),"Refi Ready",IF(TODAY()-C697&gt;=SETTINGS!$I$11,"Prospecting","Performing")))</f>
        <v/>
      </c>
      <c r="AR697" s="35" t="str">
        <f aca="false">IF(OR(C697="",I697="",K697=""),"",IF(K697="Monthly",EDATE(C697,I697),WORKDAY(C697,I697)))</f>
        <v/>
      </c>
      <c r="AS697" s="28"/>
      <c r="AT697" s="36" t="str">
        <f aca="true">IF(C697="","",IF(AM697="Clawed Back","CLAWED",IF(TODAY()&lt;=C697+SETTINGS!$I$2,"⚠ AT RISK","SAFE")))</f>
        <v/>
      </c>
      <c r="AU697" s="28"/>
      <c r="AW697" s="24" t="n">
        <f aca="false">AW696+IF(AND(C697&lt;&gt;"",AO697&lt;&gt;"",OR('REP COMMISSION'!$B$3="",T697='REP COMMISSION'!$B$3,W697='REP COMMISSION'!$B$3,Z697='REP COMMISSION'!$B$3)),1,0)</f>
        <v>0</v>
      </c>
      <c r="AX697" s="24" t="n">
        <f aca="false">AX696+IF(AND(C697&lt;&gt;"",OR(F697="LOC - INITIAL",F697="CONSOLIDATION - UPFRONT COMM",F697="REVERSE - TOTAL FUNDING")),1,0)</f>
        <v>0</v>
      </c>
    </row>
    <row r="698" customFormat="false" ht="15" hidden="false" customHeight="false" outlineLevel="0" collapsed="false">
      <c r="A698" s="8" t="str">
        <f aca="false">IF(C698&lt;&gt;"","F"&amp;COUNT($C$4:C698),"")</f>
        <v/>
      </c>
      <c r="B698" s="9" t="str">
        <f aca="false">IF(OR(F698="LOC - INITIAL",F698="CONSOLIDATION - UPFRONT COMM",F698="REVERSE - TOTAL FUNDING"),A698,"")</f>
        <v/>
      </c>
      <c r="C698" s="10"/>
      <c r="D698" s="11"/>
      <c r="E698" s="11"/>
      <c r="F698" s="11"/>
      <c r="G698" s="12"/>
      <c r="H698" s="13"/>
      <c r="I698" s="11"/>
      <c r="J698" s="14" t="str">
        <f aca="false">IF(AND(G698&lt;&gt;"",H698&lt;&gt;""),G698*H698,"")</f>
        <v/>
      </c>
      <c r="K698" s="11"/>
      <c r="L698" s="15"/>
      <c r="M698" s="15"/>
      <c r="N698" s="14" t="n">
        <f aca="false">IF(OR(G698="",M698=""),0,IF(M698&gt;100,M698,G698*IF(M698&gt;1,M698/100,M698)))</f>
        <v>0</v>
      </c>
      <c r="O698" s="14" t="str">
        <f aca="false">IF(G698="","",G698*IF(L698="",0,IF(L698&gt;1,L698/100,L698))+N698)</f>
        <v/>
      </c>
      <c r="P698" s="11"/>
      <c r="Q698" s="16" t="str">
        <f aca="false">IF(P698="","",IFERROR(VLOOKUP(P698,PARTNERS!$A$2:$B$30,2,0),""))</f>
        <v/>
      </c>
      <c r="R698" s="17" t="str">
        <f aca="false">IF(O698="","",IF(OR(P698="",Q698=""),0,(O698-N698)*IF(Q698&gt;1,Q698/100,Q698)))</f>
        <v/>
      </c>
      <c r="S698" s="14" t="str">
        <f aca="false">IF(O698="","",O698-R698)</f>
        <v/>
      </c>
      <c r="T698" s="11"/>
      <c r="U698" s="18" t="str">
        <f aca="false">IF(T698="","",IFERROR(VLOOKUP(T698,REPS!$A$2:$D$40,2,0),""))</f>
        <v/>
      </c>
      <c r="V698" s="14" t="str">
        <f aca="false">IF(O698="","",IF(U698="",0,O698*IF(U698&gt;1,U698/100,U698)))</f>
        <v/>
      </c>
      <c r="W698" s="11"/>
      <c r="X698" s="18" t="str">
        <f aca="false">IF(W698="","",IFERROR(VLOOKUP(W698,REPS!$A$2:$D$40,3,0),""))</f>
        <v/>
      </c>
      <c r="Y698" s="14" t="str">
        <f aca="false">IF(O698="","",IF(X698="",0,O698*IF(X698&gt;1,X698/100,X698)))</f>
        <v/>
      </c>
      <c r="Z698" s="11"/>
      <c r="AA698" s="18" t="str">
        <f aca="false">IF(Z698="","",IFERROR(VLOOKUP(Z698,REPS!$A$2:$D$40,4,0),""))</f>
        <v/>
      </c>
      <c r="AB698" s="14" t="str">
        <f aca="false">IF(O698="","",IF(AA698="",0,O698*IF(AA698&gt;1,AA698/100,AA698)))</f>
        <v/>
      </c>
      <c r="AC698" s="14" t="str">
        <f aca="false">IF(O698="","",V698+Y698+AB698)</f>
        <v/>
      </c>
      <c r="AD698" s="19" t="str">
        <f aca="false">IF(O698="","",O698-R698-AC698)</f>
        <v/>
      </c>
      <c r="AE698" s="20"/>
      <c r="AF698" s="10"/>
      <c r="AG698" s="21" t="n">
        <f aca="false">IF(OR(AE698="",AE698=0),0,AE698*IF(U698="",0,IF(U698&gt;1,U698/100,U698)))</f>
        <v>0</v>
      </c>
      <c r="AH698" s="21" t="n">
        <f aca="false">IF(OR(AE698="",AE698=0),0,AE698*IF(X698="",0,IF(X698&gt;1,X698/100,X698)))</f>
        <v>0</v>
      </c>
      <c r="AI698" s="21" t="n">
        <f aca="false">IF(OR(AE698="",AE698=0),0,AE698*IF(AA698="",0,IF(AA698&gt;1,AA698/100,AA698)))</f>
        <v>0</v>
      </c>
      <c r="AJ698" s="21" t="n">
        <f aca="false">AG698+AH698+AI698</f>
        <v>0</v>
      </c>
      <c r="AK698" s="21" t="n">
        <f aca="false">IF(OR(AE698="",AE698=0),0,AE698-AJ698)</f>
        <v>0</v>
      </c>
      <c r="AL698" s="19" t="str">
        <f aca="false">IF(AD698="","",AD698-AK698)</f>
        <v/>
      </c>
      <c r="AM698" s="9" t="str">
        <f aca="false">IF(C698="","","Waiting for payment")</f>
        <v/>
      </c>
      <c r="AN698" s="10"/>
      <c r="AO698" s="10"/>
      <c r="AP698" s="22" t="str">
        <f aca="false">IF(OR(C698="",I698="",K698=""),"",IF(K698="Monthly",EDATE(C698,ROUND(I698*SETTINGS!$I$8,0)),WORKDAY(C698,ROUND(I698*SETTINGS!$I$8,0))))</f>
        <v/>
      </c>
      <c r="AQ698" s="9" t="str">
        <f aca="true">IF(C698="","",IF(AND(AP698&lt;&gt;"",TODAY()&gt;=AP698),"Refi Ready",IF(TODAY()-C698&gt;=SETTINGS!$I$11,"Prospecting","Performing")))</f>
        <v/>
      </c>
      <c r="AR698" s="22" t="str">
        <f aca="false">IF(OR(C698="",I698="",K698=""),"",IF(K698="Monthly",EDATE(C698,I698),WORKDAY(C698,I698)))</f>
        <v/>
      </c>
      <c r="AS698" s="11"/>
      <c r="AT698" s="23" t="str">
        <f aca="true">IF(C698="","",IF(AM698="Clawed Back","CLAWED",IF(TODAY()&lt;=C698+SETTINGS!$I$2,"⚠ AT RISK","SAFE")))</f>
        <v/>
      </c>
      <c r="AU698" s="11"/>
      <c r="AW698" s="24" t="n">
        <f aca="false">AW697+IF(AND(C698&lt;&gt;"",AO698&lt;&gt;"",OR('REP COMMISSION'!$B$3="",T698='REP COMMISSION'!$B$3,W698='REP COMMISSION'!$B$3,Z698='REP COMMISSION'!$B$3)),1,0)</f>
        <v>0</v>
      </c>
      <c r="AX698" s="24" t="n">
        <f aca="false">AX697+IF(AND(C698&lt;&gt;"",OR(F698="LOC - INITIAL",F698="CONSOLIDATION - UPFRONT COMM",F698="REVERSE - TOTAL FUNDING")),1,0)</f>
        <v>0</v>
      </c>
    </row>
    <row r="699" customFormat="false" ht="15" hidden="false" customHeight="false" outlineLevel="0" collapsed="false">
      <c r="A699" s="25" t="str">
        <f aca="false">IF(C699&lt;&gt;"","F"&amp;COUNT($C$4:C699),"")</f>
        <v/>
      </c>
      <c r="B699" s="26" t="str">
        <f aca="false">IF(OR(F699="LOC - INITIAL",F699="CONSOLIDATION - UPFRONT COMM",F699="REVERSE - TOTAL FUNDING"),A699,"")</f>
        <v/>
      </c>
      <c r="C699" s="27"/>
      <c r="D699" s="28"/>
      <c r="E699" s="28"/>
      <c r="F699" s="28"/>
      <c r="G699" s="29"/>
      <c r="H699" s="30"/>
      <c r="I699" s="28"/>
      <c r="J699" s="31" t="str">
        <f aca="false">IF(AND(G699&lt;&gt;"",H699&lt;&gt;""),G699*H699,"")</f>
        <v/>
      </c>
      <c r="K699" s="28"/>
      <c r="L699" s="32"/>
      <c r="M699" s="32"/>
      <c r="N699" s="31" t="n">
        <f aca="false">IF(OR(G699="",M699=""),0,IF(M699&gt;100,M699,G699*IF(M699&gt;1,M699/100,M699)))</f>
        <v>0</v>
      </c>
      <c r="O699" s="31" t="str">
        <f aca="false">IF(G699="","",G699*IF(L699="",0,IF(L699&gt;1,L699/100,L699))+N699)</f>
        <v/>
      </c>
      <c r="P699" s="28"/>
      <c r="Q699" s="33" t="str">
        <f aca="false">IF(P699="","",IFERROR(VLOOKUP(P699,PARTNERS!$A$2:$B$30,2,0),""))</f>
        <v/>
      </c>
      <c r="R699" s="17" t="str">
        <f aca="false">IF(O699="","",IF(OR(P699="",Q699=""),0,(O699-N699)*IF(Q699&gt;1,Q699/100,Q699)))</f>
        <v/>
      </c>
      <c r="S699" s="31" t="str">
        <f aca="false">IF(O699="","",O699-R699)</f>
        <v/>
      </c>
      <c r="T699" s="28"/>
      <c r="U699" s="34" t="str">
        <f aca="false">IF(T699="","",IFERROR(VLOOKUP(T699,REPS!$A$2:$D$40,2,0),""))</f>
        <v/>
      </c>
      <c r="V699" s="31" t="str">
        <f aca="false">IF(O699="","",IF(U699="",0,O699*IF(U699&gt;1,U699/100,U699)))</f>
        <v/>
      </c>
      <c r="W699" s="28"/>
      <c r="X699" s="34" t="str">
        <f aca="false">IF(W699="","",IFERROR(VLOOKUP(W699,REPS!$A$2:$D$40,3,0),""))</f>
        <v/>
      </c>
      <c r="Y699" s="31" t="str">
        <f aca="false">IF(O699="","",IF(X699="",0,O699*IF(X699&gt;1,X699/100,X699)))</f>
        <v/>
      </c>
      <c r="Z699" s="28"/>
      <c r="AA699" s="34" t="str">
        <f aca="false">IF(Z699="","",IFERROR(VLOOKUP(Z699,REPS!$A$2:$D$40,4,0),""))</f>
        <v/>
      </c>
      <c r="AB699" s="31" t="str">
        <f aca="false">IF(O699="","",IF(AA699="",0,O699*IF(AA699&gt;1,AA699/100,AA699)))</f>
        <v/>
      </c>
      <c r="AC699" s="31" t="str">
        <f aca="false">IF(O699="","",V699+Y699+AB699)</f>
        <v/>
      </c>
      <c r="AD699" s="19" t="str">
        <f aca="false">IF(O699="","",O699-R699-AC699)</f>
        <v/>
      </c>
      <c r="AE699" s="20"/>
      <c r="AF699" s="27"/>
      <c r="AG699" s="21" t="n">
        <f aca="false">IF(OR(AE699="",AE699=0),0,AE699*IF(U699="",0,IF(U699&gt;1,U699/100,U699)))</f>
        <v>0</v>
      </c>
      <c r="AH699" s="21" t="n">
        <f aca="false">IF(OR(AE699="",AE699=0),0,AE699*IF(X699="",0,IF(X699&gt;1,X699/100,X699)))</f>
        <v>0</v>
      </c>
      <c r="AI699" s="21" t="n">
        <f aca="false">IF(OR(AE699="",AE699=0),0,AE699*IF(AA699="",0,IF(AA699&gt;1,AA699/100,AA699)))</f>
        <v>0</v>
      </c>
      <c r="AJ699" s="21" t="n">
        <f aca="false">AG699+AH699+AI699</f>
        <v>0</v>
      </c>
      <c r="AK699" s="21" t="n">
        <f aca="false">IF(OR(AE699="",AE699=0),0,AE699-AJ699)</f>
        <v>0</v>
      </c>
      <c r="AL699" s="19" t="str">
        <f aca="false">IF(AD699="","",AD699-AK699)</f>
        <v/>
      </c>
      <c r="AM699" s="26" t="str">
        <f aca="false">IF(C699="","","Waiting for payment")</f>
        <v/>
      </c>
      <c r="AN699" s="27"/>
      <c r="AO699" s="27"/>
      <c r="AP699" s="35" t="str">
        <f aca="false">IF(OR(C699="",I699="",K699=""),"",IF(K699="Monthly",EDATE(C699,ROUND(I699*SETTINGS!$I$8,0)),WORKDAY(C699,ROUND(I699*SETTINGS!$I$8,0))))</f>
        <v/>
      </c>
      <c r="AQ699" s="26" t="str">
        <f aca="true">IF(C699="","",IF(AND(AP699&lt;&gt;"",TODAY()&gt;=AP699),"Refi Ready",IF(TODAY()-C699&gt;=SETTINGS!$I$11,"Prospecting","Performing")))</f>
        <v/>
      </c>
      <c r="AR699" s="35" t="str">
        <f aca="false">IF(OR(C699="",I699="",K699=""),"",IF(K699="Monthly",EDATE(C699,I699),WORKDAY(C699,I699)))</f>
        <v/>
      </c>
      <c r="AS699" s="28"/>
      <c r="AT699" s="36" t="str">
        <f aca="true">IF(C699="","",IF(AM699="Clawed Back","CLAWED",IF(TODAY()&lt;=C699+SETTINGS!$I$2,"⚠ AT RISK","SAFE")))</f>
        <v/>
      </c>
      <c r="AU699" s="28"/>
      <c r="AW699" s="24" t="n">
        <f aca="false">AW698+IF(AND(C699&lt;&gt;"",AO699&lt;&gt;"",OR('REP COMMISSION'!$B$3="",T699='REP COMMISSION'!$B$3,W699='REP COMMISSION'!$B$3,Z699='REP COMMISSION'!$B$3)),1,0)</f>
        <v>0</v>
      </c>
      <c r="AX699" s="24" t="n">
        <f aca="false">AX698+IF(AND(C699&lt;&gt;"",OR(F699="LOC - INITIAL",F699="CONSOLIDATION - UPFRONT COMM",F699="REVERSE - TOTAL FUNDING")),1,0)</f>
        <v>0</v>
      </c>
    </row>
    <row r="700" customFormat="false" ht="15" hidden="false" customHeight="false" outlineLevel="0" collapsed="false">
      <c r="A700" s="8" t="str">
        <f aca="false">IF(C700&lt;&gt;"","F"&amp;COUNT($C$4:C700),"")</f>
        <v/>
      </c>
      <c r="B700" s="9" t="str">
        <f aca="false">IF(OR(F700="LOC - INITIAL",F700="CONSOLIDATION - UPFRONT COMM",F700="REVERSE - TOTAL FUNDING"),A700,"")</f>
        <v/>
      </c>
      <c r="C700" s="10"/>
      <c r="D700" s="11"/>
      <c r="E700" s="11"/>
      <c r="F700" s="11"/>
      <c r="G700" s="12"/>
      <c r="H700" s="13"/>
      <c r="I700" s="11"/>
      <c r="J700" s="14" t="str">
        <f aca="false">IF(AND(G700&lt;&gt;"",H700&lt;&gt;""),G700*H700,"")</f>
        <v/>
      </c>
      <c r="K700" s="11"/>
      <c r="L700" s="15"/>
      <c r="M700" s="15"/>
      <c r="N700" s="14" t="n">
        <f aca="false">IF(OR(G700="",M700=""),0,IF(M700&gt;100,M700,G700*IF(M700&gt;1,M700/100,M700)))</f>
        <v>0</v>
      </c>
      <c r="O700" s="14" t="str">
        <f aca="false">IF(G700="","",G700*IF(L700="",0,IF(L700&gt;1,L700/100,L700))+N700)</f>
        <v/>
      </c>
      <c r="P700" s="11"/>
      <c r="Q700" s="16" t="str">
        <f aca="false">IF(P700="","",IFERROR(VLOOKUP(P700,PARTNERS!$A$2:$B$30,2,0),""))</f>
        <v/>
      </c>
      <c r="R700" s="17" t="str">
        <f aca="false">IF(O700="","",IF(OR(P700="",Q700=""),0,(O700-N700)*IF(Q700&gt;1,Q700/100,Q700)))</f>
        <v/>
      </c>
      <c r="S700" s="14" t="str">
        <f aca="false">IF(O700="","",O700-R700)</f>
        <v/>
      </c>
      <c r="T700" s="11"/>
      <c r="U700" s="18" t="str">
        <f aca="false">IF(T700="","",IFERROR(VLOOKUP(T700,REPS!$A$2:$D$40,2,0),""))</f>
        <v/>
      </c>
      <c r="V700" s="14" t="str">
        <f aca="false">IF(O700="","",IF(U700="",0,O700*IF(U700&gt;1,U700/100,U700)))</f>
        <v/>
      </c>
      <c r="W700" s="11"/>
      <c r="X700" s="18" t="str">
        <f aca="false">IF(W700="","",IFERROR(VLOOKUP(W700,REPS!$A$2:$D$40,3,0),""))</f>
        <v/>
      </c>
      <c r="Y700" s="14" t="str">
        <f aca="false">IF(O700="","",IF(X700="",0,O700*IF(X700&gt;1,X700/100,X700)))</f>
        <v/>
      </c>
      <c r="Z700" s="11"/>
      <c r="AA700" s="18" t="str">
        <f aca="false">IF(Z700="","",IFERROR(VLOOKUP(Z700,REPS!$A$2:$D$40,4,0),""))</f>
        <v/>
      </c>
      <c r="AB700" s="14" t="str">
        <f aca="false">IF(O700="","",IF(AA700="",0,O700*IF(AA700&gt;1,AA700/100,AA700)))</f>
        <v/>
      </c>
      <c r="AC700" s="14" t="str">
        <f aca="false">IF(O700="","",V700+Y700+AB700)</f>
        <v/>
      </c>
      <c r="AD700" s="19" t="str">
        <f aca="false">IF(O700="","",O700-R700-AC700)</f>
        <v/>
      </c>
      <c r="AE700" s="20"/>
      <c r="AF700" s="10"/>
      <c r="AG700" s="21" t="n">
        <f aca="false">IF(OR(AE700="",AE700=0),0,AE700*IF(U700="",0,IF(U700&gt;1,U700/100,U700)))</f>
        <v>0</v>
      </c>
      <c r="AH700" s="21" t="n">
        <f aca="false">IF(OR(AE700="",AE700=0),0,AE700*IF(X700="",0,IF(X700&gt;1,X700/100,X700)))</f>
        <v>0</v>
      </c>
      <c r="AI700" s="21" t="n">
        <f aca="false">IF(OR(AE700="",AE700=0),0,AE700*IF(AA700="",0,IF(AA700&gt;1,AA700/100,AA700)))</f>
        <v>0</v>
      </c>
      <c r="AJ700" s="21" t="n">
        <f aca="false">AG700+AH700+AI700</f>
        <v>0</v>
      </c>
      <c r="AK700" s="21" t="n">
        <f aca="false">IF(OR(AE700="",AE700=0),0,AE700-AJ700)</f>
        <v>0</v>
      </c>
      <c r="AL700" s="19" t="str">
        <f aca="false">IF(AD700="","",AD700-AK700)</f>
        <v/>
      </c>
      <c r="AM700" s="9" t="str">
        <f aca="false">IF(C700="","","Waiting for payment")</f>
        <v/>
      </c>
      <c r="AN700" s="10"/>
      <c r="AO700" s="10"/>
      <c r="AP700" s="22" t="str">
        <f aca="false">IF(OR(C700="",I700="",K700=""),"",IF(K700="Monthly",EDATE(C700,ROUND(I700*SETTINGS!$I$8,0)),WORKDAY(C700,ROUND(I700*SETTINGS!$I$8,0))))</f>
        <v/>
      </c>
      <c r="AQ700" s="9" t="str">
        <f aca="true">IF(C700="","",IF(AND(AP700&lt;&gt;"",TODAY()&gt;=AP700),"Refi Ready",IF(TODAY()-C700&gt;=SETTINGS!$I$11,"Prospecting","Performing")))</f>
        <v/>
      </c>
      <c r="AR700" s="22" t="str">
        <f aca="false">IF(OR(C700="",I700="",K700=""),"",IF(K700="Monthly",EDATE(C700,I700),WORKDAY(C700,I700)))</f>
        <v/>
      </c>
      <c r="AS700" s="11"/>
      <c r="AT700" s="23" t="str">
        <f aca="true">IF(C700="","",IF(AM700="Clawed Back","CLAWED",IF(TODAY()&lt;=C700+SETTINGS!$I$2,"⚠ AT RISK","SAFE")))</f>
        <v/>
      </c>
      <c r="AU700" s="11"/>
      <c r="AW700" s="24" t="n">
        <f aca="false">AW699+IF(AND(C700&lt;&gt;"",AO700&lt;&gt;"",OR('REP COMMISSION'!$B$3="",T700='REP COMMISSION'!$B$3,W700='REP COMMISSION'!$B$3,Z700='REP COMMISSION'!$B$3)),1,0)</f>
        <v>0</v>
      </c>
      <c r="AX700" s="24" t="n">
        <f aca="false">AX699+IF(AND(C700&lt;&gt;"",OR(F700="LOC - INITIAL",F700="CONSOLIDATION - UPFRONT COMM",F700="REVERSE - TOTAL FUNDING")),1,0)</f>
        <v>0</v>
      </c>
    </row>
    <row r="701" customFormat="false" ht="15" hidden="false" customHeight="false" outlineLevel="0" collapsed="false">
      <c r="A701" s="25" t="str">
        <f aca="false">IF(C701&lt;&gt;"","F"&amp;COUNT($C$4:C701),"")</f>
        <v/>
      </c>
      <c r="B701" s="26" t="str">
        <f aca="false">IF(OR(F701="LOC - INITIAL",F701="CONSOLIDATION - UPFRONT COMM",F701="REVERSE - TOTAL FUNDING"),A701,"")</f>
        <v/>
      </c>
      <c r="C701" s="27"/>
      <c r="D701" s="28"/>
      <c r="E701" s="28"/>
      <c r="F701" s="28"/>
      <c r="G701" s="29"/>
      <c r="H701" s="30"/>
      <c r="I701" s="28"/>
      <c r="J701" s="31" t="str">
        <f aca="false">IF(AND(G701&lt;&gt;"",H701&lt;&gt;""),G701*H701,"")</f>
        <v/>
      </c>
      <c r="K701" s="28"/>
      <c r="L701" s="32"/>
      <c r="M701" s="32"/>
      <c r="N701" s="31" t="n">
        <f aca="false">IF(OR(G701="",M701=""),0,IF(M701&gt;100,M701,G701*IF(M701&gt;1,M701/100,M701)))</f>
        <v>0</v>
      </c>
      <c r="O701" s="31" t="str">
        <f aca="false">IF(G701="","",G701*IF(L701="",0,IF(L701&gt;1,L701/100,L701))+N701)</f>
        <v/>
      </c>
      <c r="P701" s="28"/>
      <c r="Q701" s="33" t="str">
        <f aca="false">IF(P701="","",IFERROR(VLOOKUP(P701,PARTNERS!$A$2:$B$30,2,0),""))</f>
        <v/>
      </c>
      <c r="R701" s="17" t="str">
        <f aca="false">IF(O701="","",IF(OR(P701="",Q701=""),0,(O701-N701)*IF(Q701&gt;1,Q701/100,Q701)))</f>
        <v/>
      </c>
      <c r="S701" s="31" t="str">
        <f aca="false">IF(O701="","",O701-R701)</f>
        <v/>
      </c>
      <c r="T701" s="28"/>
      <c r="U701" s="34" t="str">
        <f aca="false">IF(T701="","",IFERROR(VLOOKUP(T701,REPS!$A$2:$D$40,2,0),""))</f>
        <v/>
      </c>
      <c r="V701" s="31" t="str">
        <f aca="false">IF(O701="","",IF(U701="",0,O701*IF(U701&gt;1,U701/100,U701)))</f>
        <v/>
      </c>
      <c r="W701" s="28"/>
      <c r="X701" s="34" t="str">
        <f aca="false">IF(W701="","",IFERROR(VLOOKUP(W701,REPS!$A$2:$D$40,3,0),""))</f>
        <v/>
      </c>
      <c r="Y701" s="31" t="str">
        <f aca="false">IF(O701="","",IF(X701="",0,O701*IF(X701&gt;1,X701/100,X701)))</f>
        <v/>
      </c>
      <c r="Z701" s="28"/>
      <c r="AA701" s="34" t="str">
        <f aca="false">IF(Z701="","",IFERROR(VLOOKUP(Z701,REPS!$A$2:$D$40,4,0),""))</f>
        <v/>
      </c>
      <c r="AB701" s="31" t="str">
        <f aca="false">IF(O701="","",IF(AA701="",0,O701*IF(AA701&gt;1,AA701/100,AA701)))</f>
        <v/>
      </c>
      <c r="AC701" s="31" t="str">
        <f aca="false">IF(O701="","",V701+Y701+AB701)</f>
        <v/>
      </c>
      <c r="AD701" s="19" t="str">
        <f aca="false">IF(O701="","",O701-R701-AC701)</f>
        <v/>
      </c>
      <c r="AE701" s="20"/>
      <c r="AF701" s="27"/>
      <c r="AG701" s="21" t="n">
        <f aca="false">IF(OR(AE701="",AE701=0),0,AE701*IF(U701="",0,IF(U701&gt;1,U701/100,U701)))</f>
        <v>0</v>
      </c>
      <c r="AH701" s="21" t="n">
        <f aca="false">IF(OR(AE701="",AE701=0),0,AE701*IF(X701="",0,IF(X701&gt;1,X701/100,X701)))</f>
        <v>0</v>
      </c>
      <c r="AI701" s="21" t="n">
        <f aca="false">IF(OR(AE701="",AE701=0),0,AE701*IF(AA701="",0,IF(AA701&gt;1,AA701/100,AA701)))</f>
        <v>0</v>
      </c>
      <c r="AJ701" s="21" t="n">
        <f aca="false">AG701+AH701+AI701</f>
        <v>0</v>
      </c>
      <c r="AK701" s="21" t="n">
        <f aca="false">IF(OR(AE701="",AE701=0),0,AE701-AJ701)</f>
        <v>0</v>
      </c>
      <c r="AL701" s="19" t="str">
        <f aca="false">IF(AD701="","",AD701-AK701)</f>
        <v/>
      </c>
      <c r="AM701" s="26" t="str">
        <f aca="false">IF(C701="","","Waiting for payment")</f>
        <v/>
      </c>
      <c r="AN701" s="27"/>
      <c r="AO701" s="27"/>
      <c r="AP701" s="35" t="str">
        <f aca="false">IF(OR(C701="",I701="",K701=""),"",IF(K701="Monthly",EDATE(C701,ROUND(I701*SETTINGS!$I$8,0)),WORKDAY(C701,ROUND(I701*SETTINGS!$I$8,0))))</f>
        <v/>
      </c>
      <c r="AQ701" s="26" t="str">
        <f aca="true">IF(C701="","",IF(AND(AP701&lt;&gt;"",TODAY()&gt;=AP701),"Refi Ready",IF(TODAY()-C701&gt;=SETTINGS!$I$11,"Prospecting","Performing")))</f>
        <v/>
      </c>
      <c r="AR701" s="35" t="str">
        <f aca="false">IF(OR(C701="",I701="",K701=""),"",IF(K701="Monthly",EDATE(C701,I701),WORKDAY(C701,I701)))</f>
        <v/>
      </c>
      <c r="AS701" s="28"/>
      <c r="AT701" s="36" t="str">
        <f aca="true">IF(C701="","",IF(AM701="Clawed Back","CLAWED",IF(TODAY()&lt;=C701+SETTINGS!$I$2,"⚠ AT RISK","SAFE")))</f>
        <v/>
      </c>
      <c r="AU701" s="28"/>
      <c r="AW701" s="24" t="n">
        <f aca="false">AW700+IF(AND(C701&lt;&gt;"",AO701&lt;&gt;"",OR('REP COMMISSION'!$B$3="",T701='REP COMMISSION'!$B$3,W701='REP COMMISSION'!$B$3,Z701='REP COMMISSION'!$B$3)),1,0)</f>
        <v>0</v>
      </c>
      <c r="AX701" s="24" t="n">
        <f aca="false">AX700+IF(AND(C701&lt;&gt;"",OR(F701="LOC - INITIAL",F701="CONSOLIDATION - UPFRONT COMM",F701="REVERSE - TOTAL FUNDING")),1,0)</f>
        <v>0</v>
      </c>
    </row>
    <row r="702" customFormat="false" ht="15" hidden="false" customHeight="false" outlineLevel="0" collapsed="false">
      <c r="A702" s="8" t="str">
        <f aca="false">IF(C702&lt;&gt;"","F"&amp;COUNT($C$4:C702),"")</f>
        <v/>
      </c>
      <c r="B702" s="9" t="str">
        <f aca="false">IF(OR(F702="LOC - INITIAL",F702="CONSOLIDATION - UPFRONT COMM",F702="REVERSE - TOTAL FUNDING"),A702,"")</f>
        <v/>
      </c>
      <c r="C702" s="10"/>
      <c r="D702" s="11"/>
      <c r="E702" s="11"/>
      <c r="F702" s="11"/>
      <c r="G702" s="12"/>
      <c r="H702" s="13"/>
      <c r="I702" s="11"/>
      <c r="J702" s="14" t="str">
        <f aca="false">IF(AND(G702&lt;&gt;"",H702&lt;&gt;""),G702*H702,"")</f>
        <v/>
      </c>
      <c r="K702" s="11"/>
      <c r="L702" s="15"/>
      <c r="M702" s="15"/>
      <c r="N702" s="14" t="n">
        <f aca="false">IF(OR(G702="",M702=""),0,IF(M702&gt;100,M702,G702*IF(M702&gt;1,M702/100,M702)))</f>
        <v>0</v>
      </c>
      <c r="O702" s="14" t="str">
        <f aca="false">IF(G702="","",G702*IF(L702="",0,IF(L702&gt;1,L702/100,L702))+N702)</f>
        <v/>
      </c>
      <c r="P702" s="11"/>
      <c r="Q702" s="16" t="str">
        <f aca="false">IF(P702="","",IFERROR(VLOOKUP(P702,PARTNERS!$A$2:$B$30,2,0),""))</f>
        <v/>
      </c>
      <c r="R702" s="17" t="str">
        <f aca="false">IF(O702="","",IF(OR(P702="",Q702=""),0,(O702-N702)*IF(Q702&gt;1,Q702/100,Q702)))</f>
        <v/>
      </c>
      <c r="S702" s="14" t="str">
        <f aca="false">IF(O702="","",O702-R702)</f>
        <v/>
      </c>
      <c r="T702" s="11"/>
      <c r="U702" s="18" t="str">
        <f aca="false">IF(T702="","",IFERROR(VLOOKUP(T702,REPS!$A$2:$D$40,2,0),""))</f>
        <v/>
      </c>
      <c r="V702" s="14" t="str">
        <f aca="false">IF(O702="","",IF(U702="",0,O702*IF(U702&gt;1,U702/100,U702)))</f>
        <v/>
      </c>
      <c r="W702" s="11"/>
      <c r="X702" s="18" t="str">
        <f aca="false">IF(W702="","",IFERROR(VLOOKUP(W702,REPS!$A$2:$D$40,3,0),""))</f>
        <v/>
      </c>
      <c r="Y702" s="14" t="str">
        <f aca="false">IF(O702="","",IF(X702="",0,O702*IF(X702&gt;1,X702/100,X702)))</f>
        <v/>
      </c>
      <c r="Z702" s="11"/>
      <c r="AA702" s="18" t="str">
        <f aca="false">IF(Z702="","",IFERROR(VLOOKUP(Z702,REPS!$A$2:$D$40,4,0),""))</f>
        <v/>
      </c>
      <c r="AB702" s="14" t="str">
        <f aca="false">IF(O702="","",IF(AA702="",0,O702*IF(AA702&gt;1,AA702/100,AA702)))</f>
        <v/>
      </c>
      <c r="AC702" s="14" t="str">
        <f aca="false">IF(O702="","",V702+Y702+AB702)</f>
        <v/>
      </c>
      <c r="AD702" s="19" t="str">
        <f aca="false">IF(O702="","",O702-R702-AC702)</f>
        <v/>
      </c>
      <c r="AE702" s="20"/>
      <c r="AF702" s="10"/>
      <c r="AG702" s="21" t="n">
        <f aca="false">IF(OR(AE702="",AE702=0),0,AE702*IF(U702="",0,IF(U702&gt;1,U702/100,U702)))</f>
        <v>0</v>
      </c>
      <c r="AH702" s="21" t="n">
        <f aca="false">IF(OR(AE702="",AE702=0),0,AE702*IF(X702="",0,IF(X702&gt;1,X702/100,X702)))</f>
        <v>0</v>
      </c>
      <c r="AI702" s="21" t="n">
        <f aca="false">IF(OR(AE702="",AE702=0),0,AE702*IF(AA702="",0,IF(AA702&gt;1,AA702/100,AA702)))</f>
        <v>0</v>
      </c>
      <c r="AJ702" s="21" t="n">
        <f aca="false">AG702+AH702+AI702</f>
        <v>0</v>
      </c>
      <c r="AK702" s="21" t="n">
        <f aca="false">IF(OR(AE702="",AE702=0),0,AE702-AJ702)</f>
        <v>0</v>
      </c>
      <c r="AL702" s="19" t="str">
        <f aca="false">IF(AD702="","",AD702-AK702)</f>
        <v/>
      </c>
      <c r="AM702" s="9" t="str">
        <f aca="false">IF(C702="","","Waiting for payment")</f>
        <v/>
      </c>
      <c r="AN702" s="10"/>
      <c r="AO702" s="10"/>
      <c r="AP702" s="22" t="str">
        <f aca="false">IF(OR(C702="",I702="",K702=""),"",IF(K702="Monthly",EDATE(C702,ROUND(I702*SETTINGS!$I$8,0)),WORKDAY(C702,ROUND(I702*SETTINGS!$I$8,0))))</f>
        <v/>
      </c>
      <c r="AQ702" s="9" t="str">
        <f aca="true">IF(C702="","",IF(AND(AP702&lt;&gt;"",TODAY()&gt;=AP702),"Refi Ready",IF(TODAY()-C702&gt;=SETTINGS!$I$11,"Prospecting","Performing")))</f>
        <v/>
      </c>
      <c r="AR702" s="22" t="str">
        <f aca="false">IF(OR(C702="",I702="",K702=""),"",IF(K702="Monthly",EDATE(C702,I702),WORKDAY(C702,I702)))</f>
        <v/>
      </c>
      <c r="AS702" s="11"/>
      <c r="AT702" s="23" t="str">
        <f aca="true">IF(C702="","",IF(AM702="Clawed Back","CLAWED",IF(TODAY()&lt;=C702+SETTINGS!$I$2,"⚠ AT RISK","SAFE")))</f>
        <v/>
      </c>
      <c r="AU702" s="11"/>
      <c r="AW702" s="24" t="n">
        <f aca="false">AW701+IF(AND(C702&lt;&gt;"",AO702&lt;&gt;"",OR('REP COMMISSION'!$B$3="",T702='REP COMMISSION'!$B$3,W702='REP COMMISSION'!$B$3,Z702='REP COMMISSION'!$B$3)),1,0)</f>
        <v>0</v>
      </c>
      <c r="AX702" s="24" t="n">
        <f aca="false">AX701+IF(AND(C702&lt;&gt;"",OR(F702="LOC - INITIAL",F702="CONSOLIDATION - UPFRONT COMM",F702="REVERSE - TOTAL FUNDING")),1,0)</f>
        <v>0</v>
      </c>
    </row>
    <row r="703" customFormat="false" ht="15" hidden="false" customHeight="false" outlineLevel="0" collapsed="false">
      <c r="A703" s="25" t="str">
        <f aca="false">IF(C703&lt;&gt;"","F"&amp;COUNT($C$4:C703),"")</f>
        <v/>
      </c>
      <c r="B703" s="26" t="str">
        <f aca="false">IF(OR(F703="LOC - INITIAL",F703="CONSOLIDATION - UPFRONT COMM",F703="REVERSE - TOTAL FUNDING"),A703,"")</f>
        <v/>
      </c>
      <c r="C703" s="27"/>
      <c r="D703" s="28"/>
      <c r="E703" s="28"/>
      <c r="F703" s="28"/>
      <c r="G703" s="29"/>
      <c r="H703" s="30"/>
      <c r="I703" s="28"/>
      <c r="J703" s="31" t="str">
        <f aca="false">IF(AND(G703&lt;&gt;"",H703&lt;&gt;""),G703*H703,"")</f>
        <v/>
      </c>
      <c r="K703" s="28"/>
      <c r="L703" s="32"/>
      <c r="M703" s="32"/>
      <c r="N703" s="31" t="n">
        <f aca="false">IF(OR(G703="",M703=""),0,IF(M703&gt;100,M703,G703*IF(M703&gt;1,M703/100,M703)))</f>
        <v>0</v>
      </c>
      <c r="O703" s="31" t="str">
        <f aca="false">IF(G703="","",G703*IF(L703="",0,IF(L703&gt;1,L703/100,L703))+N703)</f>
        <v/>
      </c>
      <c r="P703" s="28"/>
      <c r="Q703" s="33" t="str">
        <f aca="false">IF(P703="","",IFERROR(VLOOKUP(P703,PARTNERS!$A$2:$B$30,2,0),""))</f>
        <v/>
      </c>
      <c r="R703" s="17" t="str">
        <f aca="false">IF(O703="","",IF(OR(P703="",Q703=""),0,(O703-N703)*IF(Q703&gt;1,Q703/100,Q703)))</f>
        <v/>
      </c>
      <c r="S703" s="31" t="str">
        <f aca="false">IF(O703="","",O703-R703)</f>
        <v/>
      </c>
      <c r="T703" s="28"/>
      <c r="U703" s="34" t="str">
        <f aca="false">IF(T703="","",IFERROR(VLOOKUP(T703,REPS!$A$2:$D$40,2,0),""))</f>
        <v/>
      </c>
      <c r="V703" s="31" t="str">
        <f aca="false">IF(O703="","",IF(U703="",0,O703*IF(U703&gt;1,U703/100,U703)))</f>
        <v/>
      </c>
      <c r="W703" s="28"/>
      <c r="X703" s="34" t="str">
        <f aca="false">IF(W703="","",IFERROR(VLOOKUP(W703,REPS!$A$2:$D$40,3,0),""))</f>
        <v/>
      </c>
      <c r="Y703" s="31" t="str">
        <f aca="false">IF(O703="","",IF(X703="",0,O703*IF(X703&gt;1,X703/100,X703)))</f>
        <v/>
      </c>
      <c r="Z703" s="28"/>
      <c r="AA703" s="34" t="str">
        <f aca="false">IF(Z703="","",IFERROR(VLOOKUP(Z703,REPS!$A$2:$D$40,4,0),""))</f>
        <v/>
      </c>
      <c r="AB703" s="31" t="str">
        <f aca="false">IF(O703="","",IF(AA703="",0,O703*IF(AA703&gt;1,AA703/100,AA703)))</f>
        <v/>
      </c>
      <c r="AC703" s="31" t="str">
        <f aca="false">IF(O703="","",V703+Y703+AB703)</f>
        <v/>
      </c>
      <c r="AD703" s="19" t="str">
        <f aca="false">IF(O703="","",O703-R703-AC703)</f>
        <v/>
      </c>
      <c r="AE703" s="20"/>
      <c r="AF703" s="27"/>
      <c r="AG703" s="21" t="n">
        <f aca="false">IF(OR(AE703="",AE703=0),0,AE703*IF(U703="",0,IF(U703&gt;1,U703/100,U703)))</f>
        <v>0</v>
      </c>
      <c r="AH703" s="21" t="n">
        <f aca="false">IF(OR(AE703="",AE703=0),0,AE703*IF(X703="",0,IF(X703&gt;1,X703/100,X703)))</f>
        <v>0</v>
      </c>
      <c r="AI703" s="21" t="n">
        <f aca="false">IF(OR(AE703="",AE703=0),0,AE703*IF(AA703="",0,IF(AA703&gt;1,AA703/100,AA703)))</f>
        <v>0</v>
      </c>
      <c r="AJ703" s="21" t="n">
        <f aca="false">AG703+AH703+AI703</f>
        <v>0</v>
      </c>
      <c r="AK703" s="21" t="n">
        <f aca="false">IF(OR(AE703="",AE703=0),0,AE703-AJ703)</f>
        <v>0</v>
      </c>
      <c r="AL703" s="19" t="str">
        <f aca="false">IF(AD703="","",AD703-AK703)</f>
        <v/>
      </c>
      <c r="AM703" s="26" t="str">
        <f aca="false">IF(C703="","","Waiting for payment")</f>
        <v/>
      </c>
      <c r="AN703" s="27"/>
      <c r="AO703" s="27"/>
      <c r="AP703" s="35" t="str">
        <f aca="false">IF(OR(C703="",I703="",K703=""),"",IF(K703="Monthly",EDATE(C703,ROUND(I703*SETTINGS!$I$8,0)),WORKDAY(C703,ROUND(I703*SETTINGS!$I$8,0))))</f>
        <v/>
      </c>
      <c r="AQ703" s="26" t="str">
        <f aca="true">IF(C703="","",IF(AND(AP703&lt;&gt;"",TODAY()&gt;=AP703),"Refi Ready",IF(TODAY()-C703&gt;=SETTINGS!$I$11,"Prospecting","Performing")))</f>
        <v/>
      </c>
      <c r="AR703" s="35" t="str">
        <f aca="false">IF(OR(C703="",I703="",K703=""),"",IF(K703="Monthly",EDATE(C703,I703),WORKDAY(C703,I703)))</f>
        <v/>
      </c>
      <c r="AS703" s="28"/>
      <c r="AT703" s="36" t="str">
        <f aca="true">IF(C703="","",IF(AM703="Clawed Back","CLAWED",IF(TODAY()&lt;=C703+SETTINGS!$I$2,"⚠ AT RISK","SAFE")))</f>
        <v/>
      </c>
      <c r="AU703" s="28"/>
      <c r="AW703" s="24" t="n">
        <f aca="false">AW702+IF(AND(C703&lt;&gt;"",AO703&lt;&gt;"",OR('REP COMMISSION'!$B$3="",T703='REP COMMISSION'!$B$3,W703='REP COMMISSION'!$B$3,Z703='REP COMMISSION'!$B$3)),1,0)</f>
        <v>0</v>
      </c>
      <c r="AX703" s="24" t="n">
        <f aca="false">AX702+IF(AND(C703&lt;&gt;"",OR(F703="LOC - INITIAL",F703="CONSOLIDATION - UPFRONT COMM",F703="REVERSE - TOTAL FUNDING")),1,0)</f>
        <v>0</v>
      </c>
    </row>
    <row r="704" customFormat="false" ht="15" hidden="false" customHeight="false" outlineLevel="0" collapsed="false">
      <c r="A704" s="8" t="str">
        <f aca="false">IF(C704&lt;&gt;"","F"&amp;COUNT($C$4:C704),"")</f>
        <v/>
      </c>
      <c r="B704" s="9" t="str">
        <f aca="false">IF(OR(F704="LOC - INITIAL",F704="CONSOLIDATION - UPFRONT COMM",F704="REVERSE - TOTAL FUNDING"),A704,"")</f>
        <v/>
      </c>
      <c r="C704" s="10"/>
      <c r="D704" s="11"/>
      <c r="E704" s="11"/>
      <c r="F704" s="11"/>
      <c r="G704" s="12"/>
      <c r="H704" s="13"/>
      <c r="I704" s="11"/>
      <c r="J704" s="14" t="str">
        <f aca="false">IF(AND(G704&lt;&gt;"",H704&lt;&gt;""),G704*H704,"")</f>
        <v/>
      </c>
      <c r="K704" s="11"/>
      <c r="L704" s="15"/>
      <c r="M704" s="15"/>
      <c r="N704" s="14" t="n">
        <f aca="false">IF(OR(G704="",M704=""),0,IF(M704&gt;100,M704,G704*IF(M704&gt;1,M704/100,M704)))</f>
        <v>0</v>
      </c>
      <c r="O704" s="14" t="str">
        <f aca="false">IF(G704="","",G704*IF(L704="",0,IF(L704&gt;1,L704/100,L704))+N704)</f>
        <v/>
      </c>
      <c r="P704" s="11"/>
      <c r="Q704" s="16" t="str">
        <f aca="false">IF(P704="","",IFERROR(VLOOKUP(P704,PARTNERS!$A$2:$B$30,2,0),""))</f>
        <v/>
      </c>
      <c r="R704" s="17" t="str">
        <f aca="false">IF(O704="","",IF(OR(P704="",Q704=""),0,(O704-N704)*IF(Q704&gt;1,Q704/100,Q704)))</f>
        <v/>
      </c>
      <c r="S704" s="14" t="str">
        <f aca="false">IF(O704="","",O704-R704)</f>
        <v/>
      </c>
      <c r="T704" s="11"/>
      <c r="U704" s="18" t="str">
        <f aca="false">IF(T704="","",IFERROR(VLOOKUP(T704,REPS!$A$2:$D$40,2,0),""))</f>
        <v/>
      </c>
      <c r="V704" s="14" t="str">
        <f aca="false">IF(O704="","",IF(U704="",0,O704*IF(U704&gt;1,U704/100,U704)))</f>
        <v/>
      </c>
      <c r="W704" s="11"/>
      <c r="X704" s="18" t="str">
        <f aca="false">IF(W704="","",IFERROR(VLOOKUP(W704,REPS!$A$2:$D$40,3,0),""))</f>
        <v/>
      </c>
      <c r="Y704" s="14" t="str">
        <f aca="false">IF(O704="","",IF(X704="",0,O704*IF(X704&gt;1,X704/100,X704)))</f>
        <v/>
      </c>
      <c r="Z704" s="11"/>
      <c r="AA704" s="18" t="str">
        <f aca="false">IF(Z704="","",IFERROR(VLOOKUP(Z704,REPS!$A$2:$D$40,4,0),""))</f>
        <v/>
      </c>
      <c r="AB704" s="14" t="str">
        <f aca="false">IF(O704="","",IF(AA704="",0,O704*IF(AA704&gt;1,AA704/100,AA704)))</f>
        <v/>
      </c>
      <c r="AC704" s="14" t="str">
        <f aca="false">IF(O704="","",V704+Y704+AB704)</f>
        <v/>
      </c>
      <c r="AD704" s="19" t="str">
        <f aca="false">IF(O704="","",O704-R704-AC704)</f>
        <v/>
      </c>
      <c r="AE704" s="20"/>
      <c r="AF704" s="10"/>
      <c r="AG704" s="21" t="n">
        <f aca="false">IF(OR(AE704="",AE704=0),0,AE704*IF(U704="",0,IF(U704&gt;1,U704/100,U704)))</f>
        <v>0</v>
      </c>
      <c r="AH704" s="21" t="n">
        <f aca="false">IF(OR(AE704="",AE704=0),0,AE704*IF(X704="",0,IF(X704&gt;1,X704/100,X704)))</f>
        <v>0</v>
      </c>
      <c r="AI704" s="21" t="n">
        <f aca="false">IF(OR(AE704="",AE704=0),0,AE704*IF(AA704="",0,IF(AA704&gt;1,AA704/100,AA704)))</f>
        <v>0</v>
      </c>
      <c r="AJ704" s="21" t="n">
        <f aca="false">AG704+AH704+AI704</f>
        <v>0</v>
      </c>
      <c r="AK704" s="21" t="n">
        <f aca="false">IF(OR(AE704="",AE704=0),0,AE704-AJ704)</f>
        <v>0</v>
      </c>
      <c r="AL704" s="19" t="str">
        <f aca="false">IF(AD704="","",AD704-AK704)</f>
        <v/>
      </c>
      <c r="AM704" s="9" t="str">
        <f aca="false">IF(C704="","","Waiting for payment")</f>
        <v/>
      </c>
      <c r="AN704" s="10"/>
      <c r="AO704" s="10"/>
      <c r="AP704" s="22" t="str">
        <f aca="false">IF(OR(C704="",I704="",K704=""),"",IF(K704="Monthly",EDATE(C704,ROUND(I704*SETTINGS!$I$8,0)),WORKDAY(C704,ROUND(I704*SETTINGS!$I$8,0))))</f>
        <v/>
      </c>
      <c r="AQ704" s="9" t="str">
        <f aca="true">IF(C704="","",IF(AND(AP704&lt;&gt;"",TODAY()&gt;=AP704),"Refi Ready",IF(TODAY()-C704&gt;=SETTINGS!$I$11,"Prospecting","Performing")))</f>
        <v/>
      </c>
      <c r="AR704" s="22" t="str">
        <f aca="false">IF(OR(C704="",I704="",K704=""),"",IF(K704="Monthly",EDATE(C704,I704),WORKDAY(C704,I704)))</f>
        <v/>
      </c>
      <c r="AS704" s="11"/>
      <c r="AT704" s="23" t="str">
        <f aca="true">IF(C704="","",IF(AM704="Clawed Back","CLAWED",IF(TODAY()&lt;=C704+SETTINGS!$I$2,"⚠ AT RISK","SAFE")))</f>
        <v/>
      </c>
      <c r="AU704" s="11"/>
      <c r="AW704" s="24" t="n">
        <f aca="false">AW703+IF(AND(C704&lt;&gt;"",AO704&lt;&gt;"",OR('REP COMMISSION'!$B$3="",T704='REP COMMISSION'!$B$3,W704='REP COMMISSION'!$B$3,Z704='REP COMMISSION'!$B$3)),1,0)</f>
        <v>0</v>
      </c>
      <c r="AX704" s="24" t="n">
        <f aca="false">AX703+IF(AND(C704&lt;&gt;"",OR(F704="LOC - INITIAL",F704="CONSOLIDATION - UPFRONT COMM",F704="REVERSE - TOTAL FUNDING")),1,0)</f>
        <v>0</v>
      </c>
    </row>
    <row r="705" customFormat="false" ht="15" hidden="false" customHeight="false" outlineLevel="0" collapsed="false">
      <c r="A705" s="25" t="str">
        <f aca="false">IF(C705&lt;&gt;"","F"&amp;COUNT($C$4:C705),"")</f>
        <v/>
      </c>
      <c r="B705" s="26" t="str">
        <f aca="false">IF(OR(F705="LOC - INITIAL",F705="CONSOLIDATION - UPFRONT COMM",F705="REVERSE - TOTAL FUNDING"),A705,"")</f>
        <v/>
      </c>
      <c r="C705" s="27"/>
      <c r="D705" s="28"/>
      <c r="E705" s="28"/>
      <c r="F705" s="28"/>
      <c r="G705" s="29"/>
      <c r="H705" s="30"/>
      <c r="I705" s="28"/>
      <c r="J705" s="31" t="str">
        <f aca="false">IF(AND(G705&lt;&gt;"",H705&lt;&gt;""),G705*H705,"")</f>
        <v/>
      </c>
      <c r="K705" s="28"/>
      <c r="L705" s="32"/>
      <c r="M705" s="32"/>
      <c r="N705" s="31" t="n">
        <f aca="false">IF(OR(G705="",M705=""),0,IF(M705&gt;100,M705,G705*IF(M705&gt;1,M705/100,M705)))</f>
        <v>0</v>
      </c>
      <c r="O705" s="31" t="str">
        <f aca="false">IF(G705="","",G705*IF(L705="",0,IF(L705&gt;1,L705/100,L705))+N705)</f>
        <v/>
      </c>
      <c r="P705" s="28"/>
      <c r="Q705" s="33" t="str">
        <f aca="false">IF(P705="","",IFERROR(VLOOKUP(P705,PARTNERS!$A$2:$B$30,2,0),""))</f>
        <v/>
      </c>
      <c r="R705" s="17" t="str">
        <f aca="false">IF(O705="","",IF(OR(P705="",Q705=""),0,(O705-N705)*IF(Q705&gt;1,Q705/100,Q705)))</f>
        <v/>
      </c>
      <c r="S705" s="31" t="str">
        <f aca="false">IF(O705="","",O705-R705)</f>
        <v/>
      </c>
      <c r="T705" s="28"/>
      <c r="U705" s="34" t="str">
        <f aca="false">IF(T705="","",IFERROR(VLOOKUP(T705,REPS!$A$2:$D$40,2,0),""))</f>
        <v/>
      </c>
      <c r="V705" s="31" t="str">
        <f aca="false">IF(O705="","",IF(U705="",0,O705*IF(U705&gt;1,U705/100,U705)))</f>
        <v/>
      </c>
      <c r="W705" s="28"/>
      <c r="X705" s="34" t="str">
        <f aca="false">IF(W705="","",IFERROR(VLOOKUP(W705,REPS!$A$2:$D$40,3,0),""))</f>
        <v/>
      </c>
      <c r="Y705" s="31" t="str">
        <f aca="false">IF(O705="","",IF(X705="",0,O705*IF(X705&gt;1,X705/100,X705)))</f>
        <v/>
      </c>
      <c r="Z705" s="28"/>
      <c r="AA705" s="34" t="str">
        <f aca="false">IF(Z705="","",IFERROR(VLOOKUP(Z705,REPS!$A$2:$D$40,4,0),""))</f>
        <v/>
      </c>
      <c r="AB705" s="31" t="str">
        <f aca="false">IF(O705="","",IF(AA705="",0,O705*IF(AA705&gt;1,AA705/100,AA705)))</f>
        <v/>
      </c>
      <c r="AC705" s="31" t="str">
        <f aca="false">IF(O705="","",V705+Y705+AB705)</f>
        <v/>
      </c>
      <c r="AD705" s="19" t="str">
        <f aca="false">IF(O705="","",O705-R705-AC705)</f>
        <v/>
      </c>
      <c r="AE705" s="20"/>
      <c r="AF705" s="27"/>
      <c r="AG705" s="21" t="n">
        <f aca="false">IF(OR(AE705="",AE705=0),0,AE705*IF(U705="",0,IF(U705&gt;1,U705/100,U705)))</f>
        <v>0</v>
      </c>
      <c r="AH705" s="21" t="n">
        <f aca="false">IF(OR(AE705="",AE705=0),0,AE705*IF(X705="",0,IF(X705&gt;1,X705/100,X705)))</f>
        <v>0</v>
      </c>
      <c r="AI705" s="21" t="n">
        <f aca="false">IF(OR(AE705="",AE705=0),0,AE705*IF(AA705="",0,IF(AA705&gt;1,AA705/100,AA705)))</f>
        <v>0</v>
      </c>
      <c r="AJ705" s="21" t="n">
        <f aca="false">AG705+AH705+AI705</f>
        <v>0</v>
      </c>
      <c r="AK705" s="21" t="n">
        <f aca="false">IF(OR(AE705="",AE705=0),0,AE705-AJ705)</f>
        <v>0</v>
      </c>
      <c r="AL705" s="19" t="str">
        <f aca="false">IF(AD705="","",AD705-AK705)</f>
        <v/>
      </c>
      <c r="AM705" s="26" t="str">
        <f aca="false">IF(C705="","","Waiting for payment")</f>
        <v/>
      </c>
      <c r="AN705" s="27"/>
      <c r="AO705" s="27"/>
      <c r="AP705" s="35" t="str">
        <f aca="false">IF(OR(C705="",I705="",K705=""),"",IF(K705="Monthly",EDATE(C705,ROUND(I705*SETTINGS!$I$8,0)),WORKDAY(C705,ROUND(I705*SETTINGS!$I$8,0))))</f>
        <v/>
      </c>
      <c r="AQ705" s="26" t="str">
        <f aca="true">IF(C705="","",IF(AND(AP705&lt;&gt;"",TODAY()&gt;=AP705),"Refi Ready",IF(TODAY()-C705&gt;=SETTINGS!$I$11,"Prospecting","Performing")))</f>
        <v/>
      </c>
      <c r="AR705" s="35" t="str">
        <f aca="false">IF(OR(C705="",I705="",K705=""),"",IF(K705="Monthly",EDATE(C705,I705),WORKDAY(C705,I705)))</f>
        <v/>
      </c>
      <c r="AS705" s="28"/>
      <c r="AT705" s="36" t="str">
        <f aca="true">IF(C705="","",IF(AM705="Clawed Back","CLAWED",IF(TODAY()&lt;=C705+SETTINGS!$I$2,"⚠ AT RISK","SAFE")))</f>
        <v/>
      </c>
      <c r="AU705" s="28"/>
      <c r="AW705" s="24" t="n">
        <f aca="false">AW704+IF(AND(C705&lt;&gt;"",AO705&lt;&gt;"",OR('REP COMMISSION'!$B$3="",T705='REP COMMISSION'!$B$3,W705='REP COMMISSION'!$B$3,Z705='REP COMMISSION'!$B$3)),1,0)</f>
        <v>0</v>
      </c>
      <c r="AX705" s="24" t="n">
        <f aca="false">AX704+IF(AND(C705&lt;&gt;"",OR(F705="LOC - INITIAL",F705="CONSOLIDATION - UPFRONT COMM",F705="REVERSE - TOTAL FUNDING")),1,0)</f>
        <v>0</v>
      </c>
    </row>
    <row r="706" customFormat="false" ht="15" hidden="false" customHeight="false" outlineLevel="0" collapsed="false">
      <c r="A706" s="8" t="str">
        <f aca="false">IF(C706&lt;&gt;"","F"&amp;COUNT($C$4:C706),"")</f>
        <v/>
      </c>
      <c r="B706" s="9" t="str">
        <f aca="false">IF(OR(F706="LOC - INITIAL",F706="CONSOLIDATION - UPFRONT COMM",F706="REVERSE - TOTAL FUNDING"),A706,"")</f>
        <v/>
      </c>
      <c r="C706" s="10"/>
      <c r="D706" s="11"/>
      <c r="E706" s="11"/>
      <c r="F706" s="11"/>
      <c r="G706" s="12"/>
      <c r="H706" s="13"/>
      <c r="I706" s="11"/>
      <c r="J706" s="14" t="str">
        <f aca="false">IF(AND(G706&lt;&gt;"",H706&lt;&gt;""),G706*H706,"")</f>
        <v/>
      </c>
      <c r="K706" s="11"/>
      <c r="L706" s="15"/>
      <c r="M706" s="15"/>
      <c r="N706" s="14" t="n">
        <f aca="false">IF(OR(G706="",M706=""),0,IF(M706&gt;100,M706,G706*IF(M706&gt;1,M706/100,M706)))</f>
        <v>0</v>
      </c>
      <c r="O706" s="14" t="str">
        <f aca="false">IF(G706="","",G706*IF(L706="",0,IF(L706&gt;1,L706/100,L706))+N706)</f>
        <v/>
      </c>
      <c r="P706" s="11"/>
      <c r="Q706" s="16" t="str">
        <f aca="false">IF(P706="","",IFERROR(VLOOKUP(P706,PARTNERS!$A$2:$B$30,2,0),""))</f>
        <v/>
      </c>
      <c r="R706" s="17" t="str">
        <f aca="false">IF(O706="","",IF(OR(P706="",Q706=""),0,(O706-N706)*IF(Q706&gt;1,Q706/100,Q706)))</f>
        <v/>
      </c>
      <c r="S706" s="14" t="str">
        <f aca="false">IF(O706="","",O706-R706)</f>
        <v/>
      </c>
      <c r="T706" s="11"/>
      <c r="U706" s="18" t="str">
        <f aca="false">IF(T706="","",IFERROR(VLOOKUP(T706,REPS!$A$2:$D$40,2,0),""))</f>
        <v/>
      </c>
      <c r="V706" s="14" t="str">
        <f aca="false">IF(O706="","",IF(U706="",0,O706*IF(U706&gt;1,U706/100,U706)))</f>
        <v/>
      </c>
      <c r="W706" s="11"/>
      <c r="X706" s="18" t="str">
        <f aca="false">IF(W706="","",IFERROR(VLOOKUP(W706,REPS!$A$2:$D$40,3,0),""))</f>
        <v/>
      </c>
      <c r="Y706" s="14" t="str">
        <f aca="false">IF(O706="","",IF(X706="",0,O706*IF(X706&gt;1,X706/100,X706)))</f>
        <v/>
      </c>
      <c r="Z706" s="11"/>
      <c r="AA706" s="18" t="str">
        <f aca="false">IF(Z706="","",IFERROR(VLOOKUP(Z706,REPS!$A$2:$D$40,4,0),""))</f>
        <v/>
      </c>
      <c r="AB706" s="14" t="str">
        <f aca="false">IF(O706="","",IF(AA706="",0,O706*IF(AA706&gt;1,AA706/100,AA706)))</f>
        <v/>
      </c>
      <c r="AC706" s="14" t="str">
        <f aca="false">IF(O706="","",V706+Y706+AB706)</f>
        <v/>
      </c>
      <c r="AD706" s="19" t="str">
        <f aca="false">IF(O706="","",O706-R706-AC706)</f>
        <v/>
      </c>
      <c r="AE706" s="20"/>
      <c r="AF706" s="10"/>
      <c r="AG706" s="21" t="n">
        <f aca="false">IF(OR(AE706="",AE706=0),0,AE706*IF(U706="",0,IF(U706&gt;1,U706/100,U706)))</f>
        <v>0</v>
      </c>
      <c r="AH706" s="21" t="n">
        <f aca="false">IF(OR(AE706="",AE706=0),0,AE706*IF(X706="",0,IF(X706&gt;1,X706/100,X706)))</f>
        <v>0</v>
      </c>
      <c r="AI706" s="21" t="n">
        <f aca="false">IF(OR(AE706="",AE706=0),0,AE706*IF(AA706="",0,IF(AA706&gt;1,AA706/100,AA706)))</f>
        <v>0</v>
      </c>
      <c r="AJ706" s="21" t="n">
        <f aca="false">AG706+AH706+AI706</f>
        <v>0</v>
      </c>
      <c r="AK706" s="21" t="n">
        <f aca="false">IF(OR(AE706="",AE706=0),0,AE706-AJ706)</f>
        <v>0</v>
      </c>
      <c r="AL706" s="19" t="str">
        <f aca="false">IF(AD706="","",AD706-AK706)</f>
        <v/>
      </c>
      <c r="AM706" s="9" t="str">
        <f aca="false">IF(C706="","","Waiting for payment")</f>
        <v/>
      </c>
      <c r="AN706" s="10"/>
      <c r="AO706" s="10"/>
      <c r="AP706" s="22" t="str">
        <f aca="false">IF(OR(C706="",I706="",K706=""),"",IF(K706="Monthly",EDATE(C706,ROUND(I706*SETTINGS!$I$8,0)),WORKDAY(C706,ROUND(I706*SETTINGS!$I$8,0))))</f>
        <v/>
      </c>
      <c r="AQ706" s="9" t="str">
        <f aca="true">IF(C706="","",IF(AND(AP706&lt;&gt;"",TODAY()&gt;=AP706),"Refi Ready",IF(TODAY()-C706&gt;=SETTINGS!$I$11,"Prospecting","Performing")))</f>
        <v/>
      </c>
      <c r="AR706" s="22" t="str">
        <f aca="false">IF(OR(C706="",I706="",K706=""),"",IF(K706="Monthly",EDATE(C706,I706),WORKDAY(C706,I706)))</f>
        <v/>
      </c>
      <c r="AS706" s="11"/>
      <c r="AT706" s="23" t="str">
        <f aca="true">IF(C706="","",IF(AM706="Clawed Back","CLAWED",IF(TODAY()&lt;=C706+SETTINGS!$I$2,"⚠ AT RISK","SAFE")))</f>
        <v/>
      </c>
      <c r="AU706" s="11"/>
      <c r="AW706" s="24" t="n">
        <f aca="false">AW705+IF(AND(C706&lt;&gt;"",AO706&lt;&gt;"",OR('REP COMMISSION'!$B$3="",T706='REP COMMISSION'!$B$3,W706='REP COMMISSION'!$B$3,Z706='REP COMMISSION'!$B$3)),1,0)</f>
        <v>0</v>
      </c>
      <c r="AX706" s="24" t="n">
        <f aca="false">AX705+IF(AND(C706&lt;&gt;"",OR(F706="LOC - INITIAL",F706="CONSOLIDATION - UPFRONT COMM",F706="REVERSE - TOTAL FUNDING")),1,0)</f>
        <v>0</v>
      </c>
    </row>
    <row r="707" customFormat="false" ht="15" hidden="false" customHeight="false" outlineLevel="0" collapsed="false">
      <c r="A707" s="25" t="str">
        <f aca="false">IF(C707&lt;&gt;"","F"&amp;COUNT($C$4:C707),"")</f>
        <v/>
      </c>
      <c r="B707" s="26" t="str">
        <f aca="false">IF(OR(F707="LOC - INITIAL",F707="CONSOLIDATION - UPFRONT COMM",F707="REVERSE - TOTAL FUNDING"),A707,"")</f>
        <v/>
      </c>
      <c r="C707" s="27"/>
      <c r="D707" s="28"/>
      <c r="E707" s="28"/>
      <c r="F707" s="28"/>
      <c r="G707" s="29"/>
      <c r="H707" s="30"/>
      <c r="I707" s="28"/>
      <c r="J707" s="31" t="str">
        <f aca="false">IF(AND(G707&lt;&gt;"",H707&lt;&gt;""),G707*H707,"")</f>
        <v/>
      </c>
      <c r="K707" s="28"/>
      <c r="L707" s="32"/>
      <c r="M707" s="32"/>
      <c r="N707" s="31" t="n">
        <f aca="false">IF(OR(G707="",M707=""),0,IF(M707&gt;100,M707,G707*IF(M707&gt;1,M707/100,M707)))</f>
        <v>0</v>
      </c>
      <c r="O707" s="31" t="str">
        <f aca="false">IF(G707="","",G707*IF(L707="",0,IF(L707&gt;1,L707/100,L707))+N707)</f>
        <v/>
      </c>
      <c r="P707" s="28"/>
      <c r="Q707" s="33" t="str">
        <f aca="false">IF(P707="","",IFERROR(VLOOKUP(P707,PARTNERS!$A$2:$B$30,2,0),""))</f>
        <v/>
      </c>
      <c r="R707" s="17" t="str">
        <f aca="false">IF(O707="","",IF(OR(P707="",Q707=""),0,(O707-N707)*IF(Q707&gt;1,Q707/100,Q707)))</f>
        <v/>
      </c>
      <c r="S707" s="31" t="str">
        <f aca="false">IF(O707="","",O707-R707)</f>
        <v/>
      </c>
      <c r="T707" s="28"/>
      <c r="U707" s="34" t="str">
        <f aca="false">IF(T707="","",IFERROR(VLOOKUP(T707,REPS!$A$2:$D$40,2,0),""))</f>
        <v/>
      </c>
      <c r="V707" s="31" t="str">
        <f aca="false">IF(O707="","",IF(U707="",0,O707*IF(U707&gt;1,U707/100,U707)))</f>
        <v/>
      </c>
      <c r="W707" s="28"/>
      <c r="X707" s="34" t="str">
        <f aca="false">IF(W707="","",IFERROR(VLOOKUP(W707,REPS!$A$2:$D$40,3,0),""))</f>
        <v/>
      </c>
      <c r="Y707" s="31" t="str">
        <f aca="false">IF(O707="","",IF(X707="",0,O707*IF(X707&gt;1,X707/100,X707)))</f>
        <v/>
      </c>
      <c r="Z707" s="28"/>
      <c r="AA707" s="34" t="str">
        <f aca="false">IF(Z707="","",IFERROR(VLOOKUP(Z707,REPS!$A$2:$D$40,4,0),""))</f>
        <v/>
      </c>
      <c r="AB707" s="31" t="str">
        <f aca="false">IF(O707="","",IF(AA707="",0,O707*IF(AA707&gt;1,AA707/100,AA707)))</f>
        <v/>
      </c>
      <c r="AC707" s="31" t="str">
        <f aca="false">IF(O707="","",V707+Y707+AB707)</f>
        <v/>
      </c>
      <c r="AD707" s="19" t="str">
        <f aca="false">IF(O707="","",O707-R707-AC707)</f>
        <v/>
      </c>
      <c r="AE707" s="20"/>
      <c r="AF707" s="27"/>
      <c r="AG707" s="21" t="n">
        <f aca="false">IF(OR(AE707="",AE707=0),0,AE707*IF(U707="",0,IF(U707&gt;1,U707/100,U707)))</f>
        <v>0</v>
      </c>
      <c r="AH707" s="21" t="n">
        <f aca="false">IF(OR(AE707="",AE707=0),0,AE707*IF(X707="",0,IF(X707&gt;1,X707/100,X707)))</f>
        <v>0</v>
      </c>
      <c r="AI707" s="21" t="n">
        <f aca="false">IF(OR(AE707="",AE707=0),0,AE707*IF(AA707="",0,IF(AA707&gt;1,AA707/100,AA707)))</f>
        <v>0</v>
      </c>
      <c r="AJ707" s="21" t="n">
        <f aca="false">AG707+AH707+AI707</f>
        <v>0</v>
      </c>
      <c r="AK707" s="21" t="n">
        <f aca="false">IF(OR(AE707="",AE707=0),0,AE707-AJ707)</f>
        <v>0</v>
      </c>
      <c r="AL707" s="19" t="str">
        <f aca="false">IF(AD707="","",AD707-AK707)</f>
        <v/>
      </c>
      <c r="AM707" s="26" t="str">
        <f aca="false">IF(C707="","","Waiting for payment")</f>
        <v/>
      </c>
      <c r="AN707" s="27"/>
      <c r="AO707" s="27"/>
      <c r="AP707" s="35" t="str">
        <f aca="false">IF(OR(C707="",I707="",K707=""),"",IF(K707="Monthly",EDATE(C707,ROUND(I707*SETTINGS!$I$8,0)),WORKDAY(C707,ROUND(I707*SETTINGS!$I$8,0))))</f>
        <v/>
      </c>
      <c r="AQ707" s="26" t="str">
        <f aca="true">IF(C707="","",IF(AND(AP707&lt;&gt;"",TODAY()&gt;=AP707),"Refi Ready",IF(TODAY()-C707&gt;=SETTINGS!$I$11,"Prospecting","Performing")))</f>
        <v/>
      </c>
      <c r="AR707" s="35" t="str">
        <f aca="false">IF(OR(C707="",I707="",K707=""),"",IF(K707="Monthly",EDATE(C707,I707),WORKDAY(C707,I707)))</f>
        <v/>
      </c>
      <c r="AS707" s="28"/>
      <c r="AT707" s="36" t="str">
        <f aca="true">IF(C707="","",IF(AM707="Clawed Back","CLAWED",IF(TODAY()&lt;=C707+SETTINGS!$I$2,"⚠ AT RISK","SAFE")))</f>
        <v/>
      </c>
      <c r="AU707" s="28"/>
      <c r="AW707" s="24" t="n">
        <f aca="false">AW706+IF(AND(C707&lt;&gt;"",AO707&lt;&gt;"",OR('REP COMMISSION'!$B$3="",T707='REP COMMISSION'!$B$3,W707='REP COMMISSION'!$B$3,Z707='REP COMMISSION'!$B$3)),1,0)</f>
        <v>0</v>
      </c>
      <c r="AX707" s="24" t="n">
        <f aca="false">AX706+IF(AND(C707&lt;&gt;"",OR(F707="LOC - INITIAL",F707="CONSOLIDATION - UPFRONT COMM",F707="REVERSE - TOTAL FUNDING")),1,0)</f>
        <v>0</v>
      </c>
    </row>
    <row r="708" customFormat="false" ht="15" hidden="false" customHeight="false" outlineLevel="0" collapsed="false">
      <c r="A708" s="8" t="str">
        <f aca="false">IF(C708&lt;&gt;"","F"&amp;COUNT($C$4:C708),"")</f>
        <v/>
      </c>
      <c r="B708" s="9" t="str">
        <f aca="false">IF(OR(F708="LOC - INITIAL",F708="CONSOLIDATION - UPFRONT COMM",F708="REVERSE - TOTAL FUNDING"),A708,"")</f>
        <v/>
      </c>
      <c r="C708" s="10"/>
      <c r="D708" s="11"/>
      <c r="E708" s="11"/>
      <c r="F708" s="11"/>
      <c r="G708" s="12"/>
      <c r="H708" s="13"/>
      <c r="I708" s="11"/>
      <c r="J708" s="14" t="str">
        <f aca="false">IF(AND(G708&lt;&gt;"",H708&lt;&gt;""),G708*H708,"")</f>
        <v/>
      </c>
      <c r="K708" s="11"/>
      <c r="L708" s="15"/>
      <c r="M708" s="15"/>
      <c r="N708" s="14" t="n">
        <f aca="false">IF(OR(G708="",M708=""),0,IF(M708&gt;100,M708,G708*IF(M708&gt;1,M708/100,M708)))</f>
        <v>0</v>
      </c>
      <c r="O708" s="14" t="str">
        <f aca="false">IF(G708="","",G708*IF(L708="",0,IF(L708&gt;1,L708/100,L708))+N708)</f>
        <v/>
      </c>
      <c r="P708" s="11"/>
      <c r="Q708" s="16" t="str">
        <f aca="false">IF(P708="","",IFERROR(VLOOKUP(P708,PARTNERS!$A$2:$B$30,2,0),""))</f>
        <v/>
      </c>
      <c r="R708" s="17" t="str">
        <f aca="false">IF(O708="","",IF(OR(P708="",Q708=""),0,(O708-N708)*IF(Q708&gt;1,Q708/100,Q708)))</f>
        <v/>
      </c>
      <c r="S708" s="14" t="str">
        <f aca="false">IF(O708="","",O708-R708)</f>
        <v/>
      </c>
      <c r="T708" s="11"/>
      <c r="U708" s="18" t="str">
        <f aca="false">IF(T708="","",IFERROR(VLOOKUP(T708,REPS!$A$2:$D$40,2,0),""))</f>
        <v/>
      </c>
      <c r="V708" s="14" t="str">
        <f aca="false">IF(O708="","",IF(U708="",0,O708*IF(U708&gt;1,U708/100,U708)))</f>
        <v/>
      </c>
      <c r="W708" s="11"/>
      <c r="X708" s="18" t="str">
        <f aca="false">IF(W708="","",IFERROR(VLOOKUP(W708,REPS!$A$2:$D$40,3,0),""))</f>
        <v/>
      </c>
      <c r="Y708" s="14" t="str">
        <f aca="false">IF(O708="","",IF(X708="",0,O708*IF(X708&gt;1,X708/100,X708)))</f>
        <v/>
      </c>
      <c r="Z708" s="11"/>
      <c r="AA708" s="18" t="str">
        <f aca="false">IF(Z708="","",IFERROR(VLOOKUP(Z708,REPS!$A$2:$D$40,4,0),""))</f>
        <v/>
      </c>
      <c r="AB708" s="14" t="str">
        <f aca="false">IF(O708="","",IF(AA708="",0,O708*IF(AA708&gt;1,AA708/100,AA708)))</f>
        <v/>
      </c>
      <c r="AC708" s="14" t="str">
        <f aca="false">IF(O708="","",V708+Y708+AB708)</f>
        <v/>
      </c>
      <c r="AD708" s="19" t="str">
        <f aca="false">IF(O708="","",O708-R708-AC708)</f>
        <v/>
      </c>
      <c r="AE708" s="20"/>
      <c r="AF708" s="10"/>
      <c r="AG708" s="21" t="n">
        <f aca="false">IF(OR(AE708="",AE708=0),0,AE708*IF(U708="",0,IF(U708&gt;1,U708/100,U708)))</f>
        <v>0</v>
      </c>
      <c r="AH708" s="21" t="n">
        <f aca="false">IF(OR(AE708="",AE708=0),0,AE708*IF(X708="",0,IF(X708&gt;1,X708/100,X708)))</f>
        <v>0</v>
      </c>
      <c r="AI708" s="21" t="n">
        <f aca="false">IF(OR(AE708="",AE708=0),0,AE708*IF(AA708="",0,IF(AA708&gt;1,AA708/100,AA708)))</f>
        <v>0</v>
      </c>
      <c r="AJ708" s="21" t="n">
        <f aca="false">AG708+AH708+AI708</f>
        <v>0</v>
      </c>
      <c r="AK708" s="21" t="n">
        <f aca="false">IF(OR(AE708="",AE708=0),0,AE708-AJ708)</f>
        <v>0</v>
      </c>
      <c r="AL708" s="19" t="str">
        <f aca="false">IF(AD708="","",AD708-AK708)</f>
        <v/>
      </c>
      <c r="AM708" s="9" t="str">
        <f aca="false">IF(C708="","","Waiting for payment")</f>
        <v/>
      </c>
      <c r="AN708" s="10"/>
      <c r="AO708" s="10"/>
      <c r="AP708" s="22" t="str">
        <f aca="false">IF(OR(C708="",I708="",K708=""),"",IF(K708="Monthly",EDATE(C708,ROUND(I708*SETTINGS!$I$8,0)),WORKDAY(C708,ROUND(I708*SETTINGS!$I$8,0))))</f>
        <v/>
      </c>
      <c r="AQ708" s="9" t="str">
        <f aca="true">IF(C708="","",IF(AND(AP708&lt;&gt;"",TODAY()&gt;=AP708),"Refi Ready",IF(TODAY()-C708&gt;=SETTINGS!$I$11,"Prospecting","Performing")))</f>
        <v/>
      </c>
      <c r="AR708" s="22" t="str">
        <f aca="false">IF(OR(C708="",I708="",K708=""),"",IF(K708="Monthly",EDATE(C708,I708),WORKDAY(C708,I708)))</f>
        <v/>
      </c>
      <c r="AS708" s="11"/>
      <c r="AT708" s="23" t="str">
        <f aca="true">IF(C708="","",IF(AM708="Clawed Back","CLAWED",IF(TODAY()&lt;=C708+SETTINGS!$I$2,"⚠ AT RISK","SAFE")))</f>
        <v/>
      </c>
      <c r="AU708" s="11"/>
      <c r="AW708" s="24" t="n">
        <f aca="false">AW707+IF(AND(C708&lt;&gt;"",AO708&lt;&gt;"",OR('REP COMMISSION'!$B$3="",T708='REP COMMISSION'!$B$3,W708='REP COMMISSION'!$B$3,Z708='REP COMMISSION'!$B$3)),1,0)</f>
        <v>0</v>
      </c>
      <c r="AX708" s="24" t="n">
        <f aca="false">AX707+IF(AND(C708&lt;&gt;"",OR(F708="LOC - INITIAL",F708="CONSOLIDATION - UPFRONT COMM",F708="REVERSE - TOTAL FUNDING")),1,0)</f>
        <v>0</v>
      </c>
    </row>
    <row r="709" customFormat="false" ht="15" hidden="false" customHeight="false" outlineLevel="0" collapsed="false">
      <c r="A709" s="25" t="str">
        <f aca="false">IF(C709&lt;&gt;"","F"&amp;COUNT($C$4:C709),"")</f>
        <v/>
      </c>
      <c r="B709" s="26" t="str">
        <f aca="false">IF(OR(F709="LOC - INITIAL",F709="CONSOLIDATION - UPFRONT COMM",F709="REVERSE - TOTAL FUNDING"),A709,"")</f>
        <v/>
      </c>
      <c r="C709" s="27"/>
      <c r="D709" s="28"/>
      <c r="E709" s="28"/>
      <c r="F709" s="28"/>
      <c r="G709" s="29"/>
      <c r="H709" s="30"/>
      <c r="I709" s="28"/>
      <c r="J709" s="31" t="str">
        <f aca="false">IF(AND(G709&lt;&gt;"",H709&lt;&gt;""),G709*H709,"")</f>
        <v/>
      </c>
      <c r="K709" s="28"/>
      <c r="L709" s="32"/>
      <c r="M709" s="32"/>
      <c r="N709" s="31" t="n">
        <f aca="false">IF(OR(G709="",M709=""),0,IF(M709&gt;100,M709,G709*IF(M709&gt;1,M709/100,M709)))</f>
        <v>0</v>
      </c>
      <c r="O709" s="31" t="str">
        <f aca="false">IF(G709="","",G709*IF(L709="",0,IF(L709&gt;1,L709/100,L709))+N709)</f>
        <v/>
      </c>
      <c r="P709" s="28"/>
      <c r="Q709" s="33" t="str">
        <f aca="false">IF(P709="","",IFERROR(VLOOKUP(P709,PARTNERS!$A$2:$B$30,2,0),""))</f>
        <v/>
      </c>
      <c r="R709" s="17" t="str">
        <f aca="false">IF(O709="","",IF(OR(P709="",Q709=""),0,(O709-N709)*IF(Q709&gt;1,Q709/100,Q709)))</f>
        <v/>
      </c>
      <c r="S709" s="31" t="str">
        <f aca="false">IF(O709="","",O709-R709)</f>
        <v/>
      </c>
      <c r="T709" s="28"/>
      <c r="U709" s="34" t="str">
        <f aca="false">IF(T709="","",IFERROR(VLOOKUP(T709,REPS!$A$2:$D$40,2,0),""))</f>
        <v/>
      </c>
      <c r="V709" s="31" t="str">
        <f aca="false">IF(O709="","",IF(U709="",0,O709*IF(U709&gt;1,U709/100,U709)))</f>
        <v/>
      </c>
      <c r="W709" s="28"/>
      <c r="X709" s="34" t="str">
        <f aca="false">IF(W709="","",IFERROR(VLOOKUP(W709,REPS!$A$2:$D$40,3,0),""))</f>
        <v/>
      </c>
      <c r="Y709" s="31" t="str">
        <f aca="false">IF(O709="","",IF(X709="",0,O709*IF(X709&gt;1,X709/100,X709)))</f>
        <v/>
      </c>
      <c r="Z709" s="28"/>
      <c r="AA709" s="34" t="str">
        <f aca="false">IF(Z709="","",IFERROR(VLOOKUP(Z709,REPS!$A$2:$D$40,4,0),""))</f>
        <v/>
      </c>
      <c r="AB709" s="31" t="str">
        <f aca="false">IF(O709="","",IF(AA709="",0,O709*IF(AA709&gt;1,AA709/100,AA709)))</f>
        <v/>
      </c>
      <c r="AC709" s="31" t="str">
        <f aca="false">IF(O709="","",V709+Y709+AB709)</f>
        <v/>
      </c>
      <c r="AD709" s="19" t="str">
        <f aca="false">IF(O709="","",O709-R709-AC709)</f>
        <v/>
      </c>
      <c r="AE709" s="20"/>
      <c r="AF709" s="27"/>
      <c r="AG709" s="21" t="n">
        <f aca="false">IF(OR(AE709="",AE709=0),0,AE709*IF(U709="",0,IF(U709&gt;1,U709/100,U709)))</f>
        <v>0</v>
      </c>
      <c r="AH709" s="21" t="n">
        <f aca="false">IF(OR(AE709="",AE709=0),0,AE709*IF(X709="",0,IF(X709&gt;1,X709/100,X709)))</f>
        <v>0</v>
      </c>
      <c r="AI709" s="21" t="n">
        <f aca="false">IF(OR(AE709="",AE709=0),0,AE709*IF(AA709="",0,IF(AA709&gt;1,AA709/100,AA709)))</f>
        <v>0</v>
      </c>
      <c r="AJ709" s="21" t="n">
        <f aca="false">AG709+AH709+AI709</f>
        <v>0</v>
      </c>
      <c r="AK709" s="21" t="n">
        <f aca="false">IF(OR(AE709="",AE709=0),0,AE709-AJ709)</f>
        <v>0</v>
      </c>
      <c r="AL709" s="19" t="str">
        <f aca="false">IF(AD709="","",AD709-AK709)</f>
        <v/>
      </c>
      <c r="AM709" s="26" t="str">
        <f aca="false">IF(C709="","","Waiting for payment")</f>
        <v/>
      </c>
      <c r="AN709" s="27"/>
      <c r="AO709" s="27"/>
      <c r="AP709" s="35" t="str">
        <f aca="false">IF(OR(C709="",I709="",K709=""),"",IF(K709="Monthly",EDATE(C709,ROUND(I709*SETTINGS!$I$8,0)),WORKDAY(C709,ROUND(I709*SETTINGS!$I$8,0))))</f>
        <v/>
      </c>
      <c r="AQ709" s="26" t="str">
        <f aca="true">IF(C709="","",IF(AND(AP709&lt;&gt;"",TODAY()&gt;=AP709),"Refi Ready",IF(TODAY()-C709&gt;=SETTINGS!$I$11,"Prospecting","Performing")))</f>
        <v/>
      </c>
      <c r="AR709" s="35" t="str">
        <f aca="false">IF(OR(C709="",I709="",K709=""),"",IF(K709="Monthly",EDATE(C709,I709),WORKDAY(C709,I709)))</f>
        <v/>
      </c>
      <c r="AS709" s="28"/>
      <c r="AT709" s="36" t="str">
        <f aca="true">IF(C709="","",IF(AM709="Clawed Back","CLAWED",IF(TODAY()&lt;=C709+SETTINGS!$I$2,"⚠ AT RISK","SAFE")))</f>
        <v/>
      </c>
      <c r="AU709" s="28"/>
      <c r="AW709" s="24" t="n">
        <f aca="false">AW708+IF(AND(C709&lt;&gt;"",AO709&lt;&gt;"",OR('REP COMMISSION'!$B$3="",T709='REP COMMISSION'!$B$3,W709='REP COMMISSION'!$B$3,Z709='REP COMMISSION'!$B$3)),1,0)</f>
        <v>0</v>
      </c>
      <c r="AX709" s="24" t="n">
        <f aca="false">AX708+IF(AND(C709&lt;&gt;"",OR(F709="LOC - INITIAL",F709="CONSOLIDATION - UPFRONT COMM",F709="REVERSE - TOTAL FUNDING")),1,0)</f>
        <v>0</v>
      </c>
    </row>
    <row r="710" customFormat="false" ht="15" hidden="false" customHeight="false" outlineLevel="0" collapsed="false">
      <c r="A710" s="8" t="str">
        <f aca="false">IF(C710&lt;&gt;"","F"&amp;COUNT($C$4:C710),"")</f>
        <v/>
      </c>
      <c r="B710" s="9" t="str">
        <f aca="false">IF(OR(F710="LOC - INITIAL",F710="CONSOLIDATION - UPFRONT COMM",F710="REVERSE - TOTAL FUNDING"),A710,"")</f>
        <v/>
      </c>
      <c r="C710" s="10"/>
      <c r="D710" s="11"/>
      <c r="E710" s="11"/>
      <c r="F710" s="11"/>
      <c r="G710" s="12"/>
      <c r="H710" s="13"/>
      <c r="I710" s="11"/>
      <c r="J710" s="14" t="str">
        <f aca="false">IF(AND(G710&lt;&gt;"",H710&lt;&gt;""),G710*H710,"")</f>
        <v/>
      </c>
      <c r="K710" s="11"/>
      <c r="L710" s="15"/>
      <c r="M710" s="15"/>
      <c r="N710" s="14" t="n">
        <f aca="false">IF(OR(G710="",M710=""),0,IF(M710&gt;100,M710,G710*IF(M710&gt;1,M710/100,M710)))</f>
        <v>0</v>
      </c>
      <c r="O710" s="14" t="str">
        <f aca="false">IF(G710="","",G710*IF(L710="",0,IF(L710&gt;1,L710/100,L710))+N710)</f>
        <v/>
      </c>
      <c r="P710" s="11"/>
      <c r="Q710" s="16" t="str">
        <f aca="false">IF(P710="","",IFERROR(VLOOKUP(P710,PARTNERS!$A$2:$B$30,2,0),""))</f>
        <v/>
      </c>
      <c r="R710" s="17" t="str">
        <f aca="false">IF(O710="","",IF(OR(P710="",Q710=""),0,(O710-N710)*IF(Q710&gt;1,Q710/100,Q710)))</f>
        <v/>
      </c>
      <c r="S710" s="14" t="str">
        <f aca="false">IF(O710="","",O710-R710)</f>
        <v/>
      </c>
      <c r="T710" s="11"/>
      <c r="U710" s="18" t="str">
        <f aca="false">IF(T710="","",IFERROR(VLOOKUP(T710,REPS!$A$2:$D$40,2,0),""))</f>
        <v/>
      </c>
      <c r="V710" s="14" t="str">
        <f aca="false">IF(O710="","",IF(U710="",0,O710*IF(U710&gt;1,U710/100,U710)))</f>
        <v/>
      </c>
      <c r="W710" s="11"/>
      <c r="X710" s="18" t="str">
        <f aca="false">IF(W710="","",IFERROR(VLOOKUP(W710,REPS!$A$2:$D$40,3,0),""))</f>
        <v/>
      </c>
      <c r="Y710" s="14" t="str">
        <f aca="false">IF(O710="","",IF(X710="",0,O710*IF(X710&gt;1,X710/100,X710)))</f>
        <v/>
      </c>
      <c r="Z710" s="11"/>
      <c r="AA710" s="18" t="str">
        <f aca="false">IF(Z710="","",IFERROR(VLOOKUP(Z710,REPS!$A$2:$D$40,4,0),""))</f>
        <v/>
      </c>
      <c r="AB710" s="14" t="str">
        <f aca="false">IF(O710="","",IF(AA710="",0,O710*IF(AA710&gt;1,AA710/100,AA710)))</f>
        <v/>
      </c>
      <c r="AC710" s="14" t="str">
        <f aca="false">IF(O710="","",V710+Y710+AB710)</f>
        <v/>
      </c>
      <c r="AD710" s="19" t="str">
        <f aca="false">IF(O710="","",O710-R710-AC710)</f>
        <v/>
      </c>
      <c r="AE710" s="20"/>
      <c r="AF710" s="10"/>
      <c r="AG710" s="21" t="n">
        <f aca="false">IF(OR(AE710="",AE710=0),0,AE710*IF(U710="",0,IF(U710&gt;1,U710/100,U710)))</f>
        <v>0</v>
      </c>
      <c r="AH710" s="21" t="n">
        <f aca="false">IF(OR(AE710="",AE710=0),0,AE710*IF(X710="",0,IF(X710&gt;1,X710/100,X710)))</f>
        <v>0</v>
      </c>
      <c r="AI710" s="21" t="n">
        <f aca="false">IF(OR(AE710="",AE710=0),0,AE710*IF(AA710="",0,IF(AA710&gt;1,AA710/100,AA710)))</f>
        <v>0</v>
      </c>
      <c r="AJ710" s="21" t="n">
        <f aca="false">AG710+AH710+AI710</f>
        <v>0</v>
      </c>
      <c r="AK710" s="21" t="n">
        <f aca="false">IF(OR(AE710="",AE710=0),0,AE710-AJ710)</f>
        <v>0</v>
      </c>
      <c r="AL710" s="19" t="str">
        <f aca="false">IF(AD710="","",AD710-AK710)</f>
        <v/>
      </c>
      <c r="AM710" s="9" t="str">
        <f aca="false">IF(C710="","","Waiting for payment")</f>
        <v/>
      </c>
      <c r="AN710" s="10"/>
      <c r="AO710" s="10"/>
      <c r="AP710" s="22" t="str">
        <f aca="false">IF(OR(C710="",I710="",K710=""),"",IF(K710="Monthly",EDATE(C710,ROUND(I710*SETTINGS!$I$8,0)),WORKDAY(C710,ROUND(I710*SETTINGS!$I$8,0))))</f>
        <v/>
      </c>
      <c r="AQ710" s="9" t="str">
        <f aca="true">IF(C710="","",IF(AND(AP710&lt;&gt;"",TODAY()&gt;=AP710),"Refi Ready",IF(TODAY()-C710&gt;=SETTINGS!$I$11,"Prospecting","Performing")))</f>
        <v/>
      </c>
      <c r="AR710" s="22" t="str">
        <f aca="false">IF(OR(C710="",I710="",K710=""),"",IF(K710="Monthly",EDATE(C710,I710),WORKDAY(C710,I710)))</f>
        <v/>
      </c>
      <c r="AS710" s="11"/>
      <c r="AT710" s="23" t="str">
        <f aca="true">IF(C710="","",IF(AM710="Clawed Back","CLAWED",IF(TODAY()&lt;=C710+SETTINGS!$I$2,"⚠ AT RISK","SAFE")))</f>
        <v/>
      </c>
      <c r="AU710" s="11"/>
      <c r="AW710" s="24" t="n">
        <f aca="false">AW709+IF(AND(C710&lt;&gt;"",AO710&lt;&gt;"",OR('REP COMMISSION'!$B$3="",T710='REP COMMISSION'!$B$3,W710='REP COMMISSION'!$B$3,Z710='REP COMMISSION'!$B$3)),1,0)</f>
        <v>0</v>
      </c>
      <c r="AX710" s="24" t="n">
        <f aca="false">AX709+IF(AND(C710&lt;&gt;"",OR(F710="LOC - INITIAL",F710="CONSOLIDATION - UPFRONT COMM",F710="REVERSE - TOTAL FUNDING")),1,0)</f>
        <v>0</v>
      </c>
    </row>
    <row r="711" customFormat="false" ht="15" hidden="false" customHeight="false" outlineLevel="0" collapsed="false">
      <c r="A711" s="25" t="str">
        <f aca="false">IF(C711&lt;&gt;"","F"&amp;COUNT($C$4:C711),"")</f>
        <v/>
      </c>
      <c r="B711" s="26" t="str">
        <f aca="false">IF(OR(F711="LOC - INITIAL",F711="CONSOLIDATION - UPFRONT COMM",F711="REVERSE - TOTAL FUNDING"),A711,"")</f>
        <v/>
      </c>
      <c r="C711" s="27"/>
      <c r="D711" s="28"/>
      <c r="E711" s="28"/>
      <c r="F711" s="28"/>
      <c r="G711" s="29"/>
      <c r="H711" s="30"/>
      <c r="I711" s="28"/>
      <c r="J711" s="31" t="str">
        <f aca="false">IF(AND(G711&lt;&gt;"",H711&lt;&gt;""),G711*H711,"")</f>
        <v/>
      </c>
      <c r="K711" s="28"/>
      <c r="L711" s="32"/>
      <c r="M711" s="32"/>
      <c r="N711" s="31" t="n">
        <f aca="false">IF(OR(G711="",M711=""),0,IF(M711&gt;100,M711,G711*IF(M711&gt;1,M711/100,M711)))</f>
        <v>0</v>
      </c>
      <c r="O711" s="31" t="str">
        <f aca="false">IF(G711="","",G711*IF(L711="",0,IF(L711&gt;1,L711/100,L711))+N711)</f>
        <v/>
      </c>
      <c r="P711" s="28"/>
      <c r="Q711" s="33" t="str">
        <f aca="false">IF(P711="","",IFERROR(VLOOKUP(P711,PARTNERS!$A$2:$B$30,2,0),""))</f>
        <v/>
      </c>
      <c r="R711" s="17" t="str">
        <f aca="false">IF(O711="","",IF(OR(P711="",Q711=""),0,(O711-N711)*IF(Q711&gt;1,Q711/100,Q711)))</f>
        <v/>
      </c>
      <c r="S711" s="31" t="str">
        <f aca="false">IF(O711="","",O711-R711)</f>
        <v/>
      </c>
      <c r="T711" s="28"/>
      <c r="U711" s="34" t="str">
        <f aca="false">IF(T711="","",IFERROR(VLOOKUP(T711,REPS!$A$2:$D$40,2,0),""))</f>
        <v/>
      </c>
      <c r="V711" s="31" t="str">
        <f aca="false">IF(O711="","",IF(U711="",0,O711*IF(U711&gt;1,U711/100,U711)))</f>
        <v/>
      </c>
      <c r="W711" s="28"/>
      <c r="X711" s="34" t="str">
        <f aca="false">IF(W711="","",IFERROR(VLOOKUP(W711,REPS!$A$2:$D$40,3,0),""))</f>
        <v/>
      </c>
      <c r="Y711" s="31" t="str">
        <f aca="false">IF(O711="","",IF(X711="",0,O711*IF(X711&gt;1,X711/100,X711)))</f>
        <v/>
      </c>
      <c r="Z711" s="28"/>
      <c r="AA711" s="34" t="str">
        <f aca="false">IF(Z711="","",IFERROR(VLOOKUP(Z711,REPS!$A$2:$D$40,4,0),""))</f>
        <v/>
      </c>
      <c r="AB711" s="31" t="str">
        <f aca="false">IF(O711="","",IF(AA711="",0,O711*IF(AA711&gt;1,AA711/100,AA711)))</f>
        <v/>
      </c>
      <c r="AC711" s="31" t="str">
        <f aca="false">IF(O711="","",V711+Y711+AB711)</f>
        <v/>
      </c>
      <c r="AD711" s="19" t="str">
        <f aca="false">IF(O711="","",O711-R711-AC711)</f>
        <v/>
      </c>
      <c r="AE711" s="20"/>
      <c r="AF711" s="27"/>
      <c r="AG711" s="21" t="n">
        <f aca="false">IF(OR(AE711="",AE711=0),0,AE711*IF(U711="",0,IF(U711&gt;1,U711/100,U711)))</f>
        <v>0</v>
      </c>
      <c r="AH711" s="21" t="n">
        <f aca="false">IF(OR(AE711="",AE711=0),0,AE711*IF(X711="",0,IF(X711&gt;1,X711/100,X711)))</f>
        <v>0</v>
      </c>
      <c r="AI711" s="21" t="n">
        <f aca="false">IF(OR(AE711="",AE711=0),0,AE711*IF(AA711="",0,IF(AA711&gt;1,AA711/100,AA711)))</f>
        <v>0</v>
      </c>
      <c r="AJ711" s="21" t="n">
        <f aca="false">AG711+AH711+AI711</f>
        <v>0</v>
      </c>
      <c r="AK711" s="21" t="n">
        <f aca="false">IF(OR(AE711="",AE711=0),0,AE711-AJ711)</f>
        <v>0</v>
      </c>
      <c r="AL711" s="19" t="str">
        <f aca="false">IF(AD711="","",AD711-AK711)</f>
        <v/>
      </c>
      <c r="AM711" s="26" t="str">
        <f aca="false">IF(C711="","","Waiting for payment")</f>
        <v/>
      </c>
      <c r="AN711" s="27"/>
      <c r="AO711" s="27"/>
      <c r="AP711" s="35" t="str">
        <f aca="false">IF(OR(C711="",I711="",K711=""),"",IF(K711="Monthly",EDATE(C711,ROUND(I711*SETTINGS!$I$8,0)),WORKDAY(C711,ROUND(I711*SETTINGS!$I$8,0))))</f>
        <v/>
      </c>
      <c r="AQ711" s="26" t="str">
        <f aca="true">IF(C711="","",IF(AND(AP711&lt;&gt;"",TODAY()&gt;=AP711),"Refi Ready",IF(TODAY()-C711&gt;=SETTINGS!$I$11,"Prospecting","Performing")))</f>
        <v/>
      </c>
      <c r="AR711" s="35" t="str">
        <f aca="false">IF(OR(C711="",I711="",K711=""),"",IF(K711="Monthly",EDATE(C711,I711),WORKDAY(C711,I711)))</f>
        <v/>
      </c>
      <c r="AS711" s="28"/>
      <c r="AT711" s="36" t="str">
        <f aca="true">IF(C711="","",IF(AM711="Clawed Back","CLAWED",IF(TODAY()&lt;=C711+SETTINGS!$I$2,"⚠ AT RISK","SAFE")))</f>
        <v/>
      </c>
      <c r="AU711" s="28"/>
      <c r="AW711" s="24" t="n">
        <f aca="false">AW710+IF(AND(C711&lt;&gt;"",AO711&lt;&gt;"",OR('REP COMMISSION'!$B$3="",T711='REP COMMISSION'!$B$3,W711='REP COMMISSION'!$B$3,Z711='REP COMMISSION'!$B$3)),1,0)</f>
        <v>0</v>
      </c>
      <c r="AX711" s="24" t="n">
        <f aca="false">AX710+IF(AND(C711&lt;&gt;"",OR(F711="LOC - INITIAL",F711="CONSOLIDATION - UPFRONT COMM",F711="REVERSE - TOTAL FUNDING")),1,0)</f>
        <v>0</v>
      </c>
    </row>
    <row r="712" customFormat="false" ht="15" hidden="false" customHeight="false" outlineLevel="0" collapsed="false">
      <c r="A712" s="8" t="str">
        <f aca="false">IF(C712&lt;&gt;"","F"&amp;COUNT($C$4:C712),"")</f>
        <v/>
      </c>
      <c r="B712" s="9" t="str">
        <f aca="false">IF(OR(F712="LOC - INITIAL",F712="CONSOLIDATION - UPFRONT COMM",F712="REVERSE - TOTAL FUNDING"),A712,"")</f>
        <v/>
      </c>
      <c r="C712" s="10"/>
      <c r="D712" s="11"/>
      <c r="E712" s="11"/>
      <c r="F712" s="11"/>
      <c r="G712" s="12"/>
      <c r="H712" s="13"/>
      <c r="I712" s="11"/>
      <c r="J712" s="14" t="str">
        <f aca="false">IF(AND(G712&lt;&gt;"",H712&lt;&gt;""),G712*H712,"")</f>
        <v/>
      </c>
      <c r="K712" s="11"/>
      <c r="L712" s="15"/>
      <c r="M712" s="15"/>
      <c r="N712" s="14" t="n">
        <f aca="false">IF(OR(G712="",M712=""),0,IF(M712&gt;100,M712,G712*IF(M712&gt;1,M712/100,M712)))</f>
        <v>0</v>
      </c>
      <c r="O712" s="14" t="str">
        <f aca="false">IF(G712="","",G712*IF(L712="",0,IF(L712&gt;1,L712/100,L712))+N712)</f>
        <v/>
      </c>
      <c r="P712" s="11"/>
      <c r="Q712" s="16" t="str">
        <f aca="false">IF(P712="","",IFERROR(VLOOKUP(P712,PARTNERS!$A$2:$B$30,2,0),""))</f>
        <v/>
      </c>
      <c r="R712" s="17" t="str">
        <f aca="false">IF(O712="","",IF(OR(P712="",Q712=""),0,(O712-N712)*IF(Q712&gt;1,Q712/100,Q712)))</f>
        <v/>
      </c>
      <c r="S712" s="14" t="str">
        <f aca="false">IF(O712="","",O712-R712)</f>
        <v/>
      </c>
      <c r="T712" s="11"/>
      <c r="U712" s="18" t="str">
        <f aca="false">IF(T712="","",IFERROR(VLOOKUP(T712,REPS!$A$2:$D$40,2,0),""))</f>
        <v/>
      </c>
      <c r="V712" s="14" t="str">
        <f aca="false">IF(O712="","",IF(U712="",0,O712*IF(U712&gt;1,U712/100,U712)))</f>
        <v/>
      </c>
      <c r="W712" s="11"/>
      <c r="X712" s="18" t="str">
        <f aca="false">IF(W712="","",IFERROR(VLOOKUP(W712,REPS!$A$2:$D$40,3,0),""))</f>
        <v/>
      </c>
      <c r="Y712" s="14" t="str">
        <f aca="false">IF(O712="","",IF(X712="",0,O712*IF(X712&gt;1,X712/100,X712)))</f>
        <v/>
      </c>
      <c r="Z712" s="11"/>
      <c r="AA712" s="18" t="str">
        <f aca="false">IF(Z712="","",IFERROR(VLOOKUP(Z712,REPS!$A$2:$D$40,4,0),""))</f>
        <v/>
      </c>
      <c r="AB712" s="14" t="str">
        <f aca="false">IF(O712="","",IF(AA712="",0,O712*IF(AA712&gt;1,AA712/100,AA712)))</f>
        <v/>
      </c>
      <c r="AC712" s="14" t="str">
        <f aca="false">IF(O712="","",V712+Y712+AB712)</f>
        <v/>
      </c>
      <c r="AD712" s="19" t="str">
        <f aca="false">IF(O712="","",O712-R712-AC712)</f>
        <v/>
      </c>
      <c r="AE712" s="20"/>
      <c r="AF712" s="10"/>
      <c r="AG712" s="21" t="n">
        <f aca="false">IF(OR(AE712="",AE712=0),0,AE712*IF(U712="",0,IF(U712&gt;1,U712/100,U712)))</f>
        <v>0</v>
      </c>
      <c r="AH712" s="21" t="n">
        <f aca="false">IF(OR(AE712="",AE712=0),0,AE712*IF(X712="",0,IF(X712&gt;1,X712/100,X712)))</f>
        <v>0</v>
      </c>
      <c r="AI712" s="21" t="n">
        <f aca="false">IF(OR(AE712="",AE712=0),0,AE712*IF(AA712="",0,IF(AA712&gt;1,AA712/100,AA712)))</f>
        <v>0</v>
      </c>
      <c r="AJ712" s="21" t="n">
        <f aca="false">AG712+AH712+AI712</f>
        <v>0</v>
      </c>
      <c r="AK712" s="21" t="n">
        <f aca="false">IF(OR(AE712="",AE712=0),0,AE712-AJ712)</f>
        <v>0</v>
      </c>
      <c r="AL712" s="19" t="str">
        <f aca="false">IF(AD712="","",AD712-AK712)</f>
        <v/>
      </c>
      <c r="AM712" s="9" t="str">
        <f aca="false">IF(C712="","","Waiting for payment")</f>
        <v/>
      </c>
      <c r="AN712" s="10"/>
      <c r="AO712" s="10"/>
      <c r="AP712" s="22" t="str">
        <f aca="false">IF(OR(C712="",I712="",K712=""),"",IF(K712="Monthly",EDATE(C712,ROUND(I712*SETTINGS!$I$8,0)),WORKDAY(C712,ROUND(I712*SETTINGS!$I$8,0))))</f>
        <v/>
      </c>
      <c r="AQ712" s="9" t="str">
        <f aca="true">IF(C712="","",IF(AND(AP712&lt;&gt;"",TODAY()&gt;=AP712),"Refi Ready",IF(TODAY()-C712&gt;=SETTINGS!$I$11,"Prospecting","Performing")))</f>
        <v/>
      </c>
      <c r="AR712" s="22" t="str">
        <f aca="false">IF(OR(C712="",I712="",K712=""),"",IF(K712="Monthly",EDATE(C712,I712),WORKDAY(C712,I712)))</f>
        <v/>
      </c>
      <c r="AS712" s="11"/>
      <c r="AT712" s="23" t="str">
        <f aca="true">IF(C712="","",IF(AM712="Clawed Back","CLAWED",IF(TODAY()&lt;=C712+SETTINGS!$I$2,"⚠ AT RISK","SAFE")))</f>
        <v/>
      </c>
      <c r="AU712" s="11"/>
      <c r="AW712" s="24" t="n">
        <f aca="false">AW711+IF(AND(C712&lt;&gt;"",AO712&lt;&gt;"",OR('REP COMMISSION'!$B$3="",T712='REP COMMISSION'!$B$3,W712='REP COMMISSION'!$B$3,Z712='REP COMMISSION'!$B$3)),1,0)</f>
        <v>0</v>
      </c>
      <c r="AX712" s="24" t="n">
        <f aca="false">AX711+IF(AND(C712&lt;&gt;"",OR(F712="LOC - INITIAL",F712="CONSOLIDATION - UPFRONT COMM",F712="REVERSE - TOTAL FUNDING")),1,0)</f>
        <v>0</v>
      </c>
    </row>
    <row r="713" customFormat="false" ht="15" hidden="false" customHeight="false" outlineLevel="0" collapsed="false">
      <c r="A713" s="25" t="str">
        <f aca="false">IF(C713&lt;&gt;"","F"&amp;COUNT($C$4:C713),"")</f>
        <v/>
      </c>
      <c r="B713" s="26" t="str">
        <f aca="false">IF(OR(F713="LOC - INITIAL",F713="CONSOLIDATION - UPFRONT COMM",F713="REVERSE - TOTAL FUNDING"),A713,"")</f>
        <v/>
      </c>
      <c r="C713" s="27"/>
      <c r="D713" s="28"/>
      <c r="E713" s="28"/>
      <c r="F713" s="28"/>
      <c r="G713" s="29"/>
      <c r="H713" s="30"/>
      <c r="I713" s="28"/>
      <c r="J713" s="31" t="str">
        <f aca="false">IF(AND(G713&lt;&gt;"",H713&lt;&gt;""),G713*H713,"")</f>
        <v/>
      </c>
      <c r="K713" s="28"/>
      <c r="L713" s="32"/>
      <c r="M713" s="32"/>
      <c r="N713" s="31" t="n">
        <f aca="false">IF(OR(G713="",M713=""),0,IF(M713&gt;100,M713,G713*IF(M713&gt;1,M713/100,M713)))</f>
        <v>0</v>
      </c>
      <c r="O713" s="31" t="str">
        <f aca="false">IF(G713="","",G713*IF(L713="",0,IF(L713&gt;1,L713/100,L713))+N713)</f>
        <v/>
      </c>
      <c r="P713" s="28"/>
      <c r="Q713" s="33" t="str">
        <f aca="false">IF(P713="","",IFERROR(VLOOKUP(P713,PARTNERS!$A$2:$B$30,2,0),""))</f>
        <v/>
      </c>
      <c r="R713" s="17" t="str">
        <f aca="false">IF(O713="","",IF(OR(P713="",Q713=""),0,(O713-N713)*IF(Q713&gt;1,Q713/100,Q713)))</f>
        <v/>
      </c>
      <c r="S713" s="31" t="str">
        <f aca="false">IF(O713="","",O713-R713)</f>
        <v/>
      </c>
      <c r="T713" s="28"/>
      <c r="U713" s="34" t="str">
        <f aca="false">IF(T713="","",IFERROR(VLOOKUP(T713,REPS!$A$2:$D$40,2,0),""))</f>
        <v/>
      </c>
      <c r="V713" s="31" t="str">
        <f aca="false">IF(O713="","",IF(U713="",0,O713*IF(U713&gt;1,U713/100,U713)))</f>
        <v/>
      </c>
      <c r="W713" s="28"/>
      <c r="X713" s="34" t="str">
        <f aca="false">IF(W713="","",IFERROR(VLOOKUP(W713,REPS!$A$2:$D$40,3,0),""))</f>
        <v/>
      </c>
      <c r="Y713" s="31" t="str">
        <f aca="false">IF(O713="","",IF(X713="",0,O713*IF(X713&gt;1,X713/100,X713)))</f>
        <v/>
      </c>
      <c r="Z713" s="28"/>
      <c r="AA713" s="34" t="str">
        <f aca="false">IF(Z713="","",IFERROR(VLOOKUP(Z713,REPS!$A$2:$D$40,4,0),""))</f>
        <v/>
      </c>
      <c r="AB713" s="31" t="str">
        <f aca="false">IF(O713="","",IF(AA713="",0,O713*IF(AA713&gt;1,AA713/100,AA713)))</f>
        <v/>
      </c>
      <c r="AC713" s="31" t="str">
        <f aca="false">IF(O713="","",V713+Y713+AB713)</f>
        <v/>
      </c>
      <c r="AD713" s="19" t="str">
        <f aca="false">IF(O713="","",O713-R713-AC713)</f>
        <v/>
      </c>
      <c r="AE713" s="20"/>
      <c r="AF713" s="27"/>
      <c r="AG713" s="21" t="n">
        <f aca="false">IF(OR(AE713="",AE713=0),0,AE713*IF(U713="",0,IF(U713&gt;1,U713/100,U713)))</f>
        <v>0</v>
      </c>
      <c r="AH713" s="21" t="n">
        <f aca="false">IF(OR(AE713="",AE713=0),0,AE713*IF(X713="",0,IF(X713&gt;1,X713/100,X713)))</f>
        <v>0</v>
      </c>
      <c r="AI713" s="21" t="n">
        <f aca="false">IF(OR(AE713="",AE713=0),0,AE713*IF(AA713="",0,IF(AA713&gt;1,AA713/100,AA713)))</f>
        <v>0</v>
      </c>
      <c r="AJ713" s="21" t="n">
        <f aca="false">AG713+AH713+AI713</f>
        <v>0</v>
      </c>
      <c r="AK713" s="21" t="n">
        <f aca="false">IF(OR(AE713="",AE713=0),0,AE713-AJ713)</f>
        <v>0</v>
      </c>
      <c r="AL713" s="19" t="str">
        <f aca="false">IF(AD713="","",AD713-AK713)</f>
        <v/>
      </c>
      <c r="AM713" s="26" t="str">
        <f aca="false">IF(C713="","","Waiting for payment")</f>
        <v/>
      </c>
      <c r="AN713" s="27"/>
      <c r="AO713" s="27"/>
      <c r="AP713" s="35" t="str">
        <f aca="false">IF(OR(C713="",I713="",K713=""),"",IF(K713="Monthly",EDATE(C713,ROUND(I713*SETTINGS!$I$8,0)),WORKDAY(C713,ROUND(I713*SETTINGS!$I$8,0))))</f>
        <v/>
      </c>
      <c r="AQ713" s="26" t="str">
        <f aca="true">IF(C713="","",IF(AND(AP713&lt;&gt;"",TODAY()&gt;=AP713),"Refi Ready",IF(TODAY()-C713&gt;=SETTINGS!$I$11,"Prospecting","Performing")))</f>
        <v/>
      </c>
      <c r="AR713" s="35" t="str">
        <f aca="false">IF(OR(C713="",I713="",K713=""),"",IF(K713="Monthly",EDATE(C713,I713),WORKDAY(C713,I713)))</f>
        <v/>
      </c>
      <c r="AS713" s="28"/>
      <c r="AT713" s="36" t="str">
        <f aca="true">IF(C713="","",IF(AM713="Clawed Back","CLAWED",IF(TODAY()&lt;=C713+SETTINGS!$I$2,"⚠ AT RISK","SAFE")))</f>
        <v/>
      </c>
      <c r="AU713" s="28"/>
      <c r="AW713" s="24" t="n">
        <f aca="false">AW712+IF(AND(C713&lt;&gt;"",AO713&lt;&gt;"",OR('REP COMMISSION'!$B$3="",T713='REP COMMISSION'!$B$3,W713='REP COMMISSION'!$B$3,Z713='REP COMMISSION'!$B$3)),1,0)</f>
        <v>0</v>
      </c>
      <c r="AX713" s="24" t="n">
        <f aca="false">AX712+IF(AND(C713&lt;&gt;"",OR(F713="LOC - INITIAL",F713="CONSOLIDATION - UPFRONT COMM",F713="REVERSE - TOTAL FUNDING")),1,0)</f>
        <v>0</v>
      </c>
    </row>
    <row r="714" customFormat="false" ht="15" hidden="false" customHeight="false" outlineLevel="0" collapsed="false">
      <c r="A714" s="8" t="str">
        <f aca="false">IF(C714&lt;&gt;"","F"&amp;COUNT($C$4:C714),"")</f>
        <v/>
      </c>
      <c r="B714" s="9" t="str">
        <f aca="false">IF(OR(F714="LOC - INITIAL",F714="CONSOLIDATION - UPFRONT COMM",F714="REVERSE - TOTAL FUNDING"),A714,"")</f>
        <v/>
      </c>
      <c r="C714" s="10"/>
      <c r="D714" s="11"/>
      <c r="E714" s="11"/>
      <c r="F714" s="11"/>
      <c r="G714" s="12"/>
      <c r="H714" s="13"/>
      <c r="I714" s="11"/>
      <c r="J714" s="14" t="str">
        <f aca="false">IF(AND(G714&lt;&gt;"",H714&lt;&gt;""),G714*H714,"")</f>
        <v/>
      </c>
      <c r="K714" s="11"/>
      <c r="L714" s="15"/>
      <c r="M714" s="15"/>
      <c r="N714" s="14" t="n">
        <f aca="false">IF(OR(G714="",M714=""),0,IF(M714&gt;100,M714,G714*IF(M714&gt;1,M714/100,M714)))</f>
        <v>0</v>
      </c>
      <c r="O714" s="14" t="str">
        <f aca="false">IF(G714="","",G714*IF(L714="",0,IF(L714&gt;1,L714/100,L714))+N714)</f>
        <v/>
      </c>
      <c r="P714" s="11"/>
      <c r="Q714" s="16" t="str">
        <f aca="false">IF(P714="","",IFERROR(VLOOKUP(P714,PARTNERS!$A$2:$B$30,2,0),""))</f>
        <v/>
      </c>
      <c r="R714" s="17" t="str">
        <f aca="false">IF(O714="","",IF(OR(P714="",Q714=""),0,(O714-N714)*IF(Q714&gt;1,Q714/100,Q714)))</f>
        <v/>
      </c>
      <c r="S714" s="14" t="str">
        <f aca="false">IF(O714="","",O714-R714)</f>
        <v/>
      </c>
      <c r="T714" s="11"/>
      <c r="U714" s="18" t="str">
        <f aca="false">IF(T714="","",IFERROR(VLOOKUP(T714,REPS!$A$2:$D$40,2,0),""))</f>
        <v/>
      </c>
      <c r="V714" s="14" t="str">
        <f aca="false">IF(O714="","",IF(U714="",0,O714*IF(U714&gt;1,U714/100,U714)))</f>
        <v/>
      </c>
      <c r="W714" s="11"/>
      <c r="X714" s="18" t="str">
        <f aca="false">IF(W714="","",IFERROR(VLOOKUP(W714,REPS!$A$2:$D$40,3,0),""))</f>
        <v/>
      </c>
      <c r="Y714" s="14" t="str">
        <f aca="false">IF(O714="","",IF(X714="",0,O714*IF(X714&gt;1,X714/100,X714)))</f>
        <v/>
      </c>
      <c r="Z714" s="11"/>
      <c r="AA714" s="18" t="str">
        <f aca="false">IF(Z714="","",IFERROR(VLOOKUP(Z714,REPS!$A$2:$D$40,4,0),""))</f>
        <v/>
      </c>
      <c r="AB714" s="14" t="str">
        <f aca="false">IF(O714="","",IF(AA714="",0,O714*IF(AA714&gt;1,AA714/100,AA714)))</f>
        <v/>
      </c>
      <c r="AC714" s="14" t="str">
        <f aca="false">IF(O714="","",V714+Y714+AB714)</f>
        <v/>
      </c>
      <c r="AD714" s="19" t="str">
        <f aca="false">IF(O714="","",O714-R714-AC714)</f>
        <v/>
      </c>
      <c r="AE714" s="20"/>
      <c r="AF714" s="10"/>
      <c r="AG714" s="21" t="n">
        <f aca="false">IF(OR(AE714="",AE714=0),0,AE714*IF(U714="",0,IF(U714&gt;1,U714/100,U714)))</f>
        <v>0</v>
      </c>
      <c r="AH714" s="21" t="n">
        <f aca="false">IF(OR(AE714="",AE714=0),0,AE714*IF(X714="",0,IF(X714&gt;1,X714/100,X714)))</f>
        <v>0</v>
      </c>
      <c r="AI714" s="21" t="n">
        <f aca="false">IF(OR(AE714="",AE714=0),0,AE714*IF(AA714="",0,IF(AA714&gt;1,AA714/100,AA714)))</f>
        <v>0</v>
      </c>
      <c r="AJ714" s="21" t="n">
        <f aca="false">AG714+AH714+AI714</f>
        <v>0</v>
      </c>
      <c r="AK714" s="21" t="n">
        <f aca="false">IF(OR(AE714="",AE714=0),0,AE714-AJ714)</f>
        <v>0</v>
      </c>
      <c r="AL714" s="19" t="str">
        <f aca="false">IF(AD714="","",AD714-AK714)</f>
        <v/>
      </c>
      <c r="AM714" s="9" t="str">
        <f aca="false">IF(C714="","","Waiting for payment")</f>
        <v/>
      </c>
      <c r="AN714" s="10"/>
      <c r="AO714" s="10"/>
      <c r="AP714" s="22" t="str">
        <f aca="false">IF(OR(C714="",I714="",K714=""),"",IF(K714="Monthly",EDATE(C714,ROUND(I714*SETTINGS!$I$8,0)),WORKDAY(C714,ROUND(I714*SETTINGS!$I$8,0))))</f>
        <v/>
      </c>
      <c r="AQ714" s="9" t="str">
        <f aca="true">IF(C714="","",IF(AND(AP714&lt;&gt;"",TODAY()&gt;=AP714),"Refi Ready",IF(TODAY()-C714&gt;=SETTINGS!$I$11,"Prospecting","Performing")))</f>
        <v/>
      </c>
      <c r="AR714" s="22" t="str">
        <f aca="false">IF(OR(C714="",I714="",K714=""),"",IF(K714="Monthly",EDATE(C714,I714),WORKDAY(C714,I714)))</f>
        <v/>
      </c>
      <c r="AS714" s="11"/>
      <c r="AT714" s="23" t="str">
        <f aca="true">IF(C714="","",IF(AM714="Clawed Back","CLAWED",IF(TODAY()&lt;=C714+SETTINGS!$I$2,"⚠ AT RISK","SAFE")))</f>
        <v/>
      </c>
      <c r="AU714" s="11"/>
      <c r="AW714" s="24" t="n">
        <f aca="false">AW713+IF(AND(C714&lt;&gt;"",AO714&lt;&gt;"",OR('REP COMMISSION'!$B$3="",T714='REP COMMISSION'!$B$3,W714='REP COMMISSION'!$B$3,Z714='REP COMMISSION'!$B$3)),1,0)</f>
        <v>0</v>
      </c>
      <c r="AX714" s="24" t="n">
        <f aca="false">AX713+IF(AND(C714&lt;&gt;"",OR(F714="LOC - INITIAL",F714="CONSOLIDATION - UPFRONT COMM",F714="REVERSE - TOTAL FUNDING")),1,0)</f>
        <v>0</v>
      </c>
    </row>
    <row r="715" customFormat="false" ht="15" hidden="false" customHeight="false" outlineLevel="0" collapsed="false">
      <c r="A715" s="25" t="str">
        <f aca="false">IF(C715&lt;&gt;"","F"&amp;COUNT($C$4:C715),"")</f>
        <v/>
      </c>
      <c r="B715" s="26" t="str">
        <f aca="false">IF(OR(F715="LOC - INITIAL",F715="CONSOLIDATION - UPFRONT COMM",F715="REVERSE - TOTAL FUNDING"),A715,"")</f>
        <v/>
      </c>
      <c r="C715" s="27"/>
      <c r="D715" s="28"/>
      <c r="E715" s="28"/>
      <c r="F715" s="28"/>
      <c r="G715" s="29"/>
      <c r="H715" s="30"/>
      <c r="I715" s="28"/>
      <c r="J715" s="31" t="str">
        <f aca="false">IF(AND(G715&lt;&gt;"",H715&lt;&gt;""),G715*H715,"")</f>
        <v/>
      </c>
      <c r="K715" s="28"/>
      <c r="L715" s="32"/>
      <c r="M715" s="32"/>
      <c r="N715" s="31" t="n">
        <f aca="false">IF(OR(G715="",M715=""),0,IF(M715&gt;100,M715,G715*IF(M715&gt;1,M715/100,M715)))</f>
        <v>0</v>
      </c>
      <c r="O715" s="31" t="str">
        <f aca="false">IF(G715="","",G715*IF(L715="",0,IF(L715&gt;1,L715/100,L715))+N715)</f>
        <v/>
      </c>
      <c r="P715" s="28"/>
      <c r="Q715" s="33" t="str">
        <f aca="false">IF(P715="","",IFERROR(VLOOKUP(P715,PARTNERS!$A$2:$B$30,2,0),""))</f>
        <v/>
      </c>
      <c r="R715" s="17" t="str">
        <f aca="false">IF(O715="","",IF(OR(P715="",Q715=""),0,(O715-N715)*IF(Q715&gt;1,Q715/100,Q715)))</f>
        <v/>
      </c>
      <c r="S715" s="31" t="str">
        <f aca="false">IF(O715="","",O715-R715)</f>
        <v/>
      </c>
      <c r="T715" s="28"/>
      <c r="U715" s="34" t="str">
        <f aca="false">IF(T715="","",IFERROR(VLOOKUP(T715,REPS!$A$2:$D$40,2,0),""))</f>
        <v/>
      </c>
      <c r="V715" s="31" t="str">
        <f aca="false">IF(O715="","",IF(U715="",0,O715*IF(U715&gt;1,U715/100,U715)))</f>
        <v/>
      </c>
      <c r="W715" s="28"/>
      <c r="X715" s="34" t="str">
        <f aca="false">IF(W715="","",IFERROR(VLOOKUP(W715,REPS!$A$2:$D$40,3,0),""))</f>
        <v/>
      </c>
      <c r="Y715" s="31" t="str">
        <f aca="false">IF(O715="","",IF(X715="",0,O715*IF(X715&gt;1,X715/100,X715)))</f>
        <v/>
      </c>
      <c r="Z715" s="28"/>
      <c r="AA715" s="34" t="str">
        <f aca="false">IF(Z715="","",IFERROR(VLOOKUP(Z715,REPS!$A$2:$D$40,4,0),""))</f>
        <v/>
      </c>
      <c r="AB715" s="31" t="str">
        <f aca="false">IF(O715="","",IF(AA715="",0,O715*IF(AA715&gt;1,AA715/100,AA715)))</f>
        <v/>
      </c>
      <c r="AC715" s="31" t="str">
        <f aca="false">IF(O715="","",V715+Y715+AB715)</f>
        <v/>
      </c>
      <c r="AD715" s="19" t="str">
        <f aca="false">IF(O715="","",O715-R715-AC715)</f>
        <v/>
      </c>
      <c r="AE715" s="20"/>
      <c r="AF715" s="27"/>
      <c r="AG715" s="21" t="n">
        <f aca="false">IF(OR(AE715="",AE715=0),0,AE715*IF(U715="",0,IF(U715&gt;1,U715/100,U715)))</f>
        <v>0</v>
      </c>
      <c r="AH715" s="21" t="n">
        <f aca="false">IF(OR(AE715="",AE715=0),0,AE715*IF(X715="",0,IF(X715&gt;1,X715/100,X715)))</f>
        <v>0</v>
      </c>
      <c r="AI715" s="21" t="n">
        <f aca="false">IF(OR(AE715="",AE715=0),0,AE715*IF(AA715="",0,IF(AA715&gt;1,AA715/100,AA715)))</f>
        <v>0</v>
      </c>
      <c r="AJ715" s="21" t="n">
        <f aca="false">AG715+AH715+AI715</f>
        <v>0</v>
      </c>
      <c r="AK715" s="21" t="n">
        <f aca="false">IF(OR(AE715="",AE715=0),0,AE715-AJ715)</f>
        <v>0</v>
      </c>
      <c r="AL715" s="19" t="str">
        <f aca="false">IF(AD715="","",AD715-AK715)</f>
        <v/>
      </c>
      <c r="AM715" s="26" t="str">
        <f aca="false">IF(C715="","","Waiting for payment")</f>
        <v/>
      </c>
      <c r="AN715" s="27"/>
      <c r="AO715" s="27"/>
      <c r="AP715" s="35" t="str">
        <f aca="false">IF(OR(C715="",I715="",K715=""),"",IF(K715="Monthly",EDATE(C715,ROUND(I715*SETTINGS!$I$8,0)),WORKDAY(C715,ROUND(I715*SETTINGS!$I$8,0))))</f>
        <v/>
      </c>
      <c r="AQ715" s="26" t="str">
        <f aca="true">IF(C715="","",IF(AND(AP715&lt;&gt;"",TODAY()&gt;=AP715),"Refi Ready",IF(TODAY()-C715&gt;=SETTINGS!$I$11,"Prospecting","Performing")))</f>
        <v/>
      </c>
      <c r="AR715" s="35" t="str">
        <f aca="false">IF(OR(C715="",I715="",K715=""),"",IF(K715="Monthly",EDATE(C715,I715),WORKDAY(C715,I715)))</f>
        <v/>
      </c>
      <c r="AS715" s="28"/>
      <c r="AT715" s="36" t="str">
        <f aca="true">IF(C715="","",IF(AM715="Clawed Back","CLAWED",IF(TODAY()&lt;=C715+SETTINGS!$I$2,"⚠ AT RISK","SAFE")))</f>
        <v/>
      </c>
      <c r="AU715" s="28"/>
      <c r="AW715" s="24" t="n">
        <f aca="false">AW714+IF(AND(C715&lt;&gt;"",AO715&lt;&gt;"",OR('REP COMMISSION'!$B$3="",T715='REP COMMISSION'!$B$3,W715='REP COMMISSION'!$B$3,Z715='REP COMMISSION'!$B$3)),1,0)</f>
        <v>0</v>
      </c>
      <c r="AX715" s="24" t="n">
        <f aca="false">AX714+IF(AND(C715&lt;&gt;"",OR(F715="LOC - INITIAL",F715="CONSOLIDATION - UPFRONT COMM",F715="REVERSE - TOTAL FUNDING")),1,0)</f>
        <v>0</v>
      </c>
    </row>
    <row r="716" customFormat="false" ht="18" hidden="false" customHeight="true" outlineLevel="0" collapsed="false">
      <c r="A716" s="37" t="s">
        <v>61</v>
      </c>
      <c r="B716" s="38"/>
      <c r="C716" s="38"/>
      <c r="D716" s="37" t="str">
        <f aca="false">COUNT(C616:C715)&amp;" units"</f>
        <v>0 units</v>
      </c>
      <c r="E716" s="38"/>
      <c r="F716" s="38"/>
      <c r="G716" s="39" t="n">
        <f aca="false">SUM(G616:G715)</f>
        <v>0</v>
      </c>
      <c r="H716" s="38"/>
      <c r="I716" s="38"/>
      <c r="J716" s="38"/>
      <c r="K716" s="38"/>
      <c r="L716" s="38"/>
      <c r="M716" s="38"/>
      <c r="N716" s="39" t="n">
        <f aca="false">SUM(N616:N715)</f>
        <v>0</v>
      </c>
      <c r="O716" s="39" t="n">
        <f aca="false">SUM(O616:O715)</f>
        <v>0</v>
      </c>
      <c r="P716" s="38"/>
      <c r="Q716" s="38"/>
      <c r="R716" s="39" t="n">
        <f aca="false">SUM(R616:R715)</f>
        <v>0</v>
      </c>
      <c r="S716" s="39" t="n">
        <f aca="false">SUM(S616:S715)</f>
        <v>0</v>
      </c>
      <c r="T716" s="38"/>
      <c r="U716" s="38"/>
      <c r="V716" s="38"/>
      <c r="W716" s="38"/>
      <c r="X716" s="38"/>
      <c r="Y716" s="38"/>
      <c r="Z716" s="38"/>
      <c r="AA716" s="38"/>
      <c r="AB716" s="38"/>
      <c r="AC716" s="39" t="n">
        <f aca="false">SUM(AC616:AC715)</f>
        <v>0</v>
      </c>
      <c r="AD716" s="39" t="n">
        <f aca="false">SUM(AD616:AD715)</f>
        <v>0</v>
      </c>
      <c r="AE716" s="39" t="n">
        <f aca="false">SUM(AE616:AE715)</f>
        <v>0</v>
      </c>
      <c r="AF716" s="38"/>
      <c r="AG716" s="38"/>
      <c r="AH716" s="38"/>
      <c r="AI716" s="38"/>
      <c r="AJ716" s="39" t="n">
        <f aca="false">SUM(AJ616:AJ715)</f>
        <v>0</v>
      </c>
      <c r="AK716" s="39" t="n">
        <f aca="false">SUM(AK616:AK715)</f>
        <v>0</v>
      </c>
      <c r="AL716" s="39" t="n">
        <f aca="false">SUM(AL616:AL715)</f>
        <v>0</v>
      </c>
      <c r="AM716" s="38"/>
      <c r="AN716" s="38"/>
      <c r="AO716" s="38"/>
      <c r="AP716" s="38"/>
      <c r="AQ716" s="38"/>
      <c r="AR716" s="38"/>
      <c r="AS716" s="38"/>
      <c r="AT716" s="38"/>
      <c r="AU716" s="38"/>
      <c r="AW716" s="24" t="n">
        <f aca="false">AW715</f>
        <v>0</v>
      </c>
      <c r="AX716" s="24" t="n">
        <f aca="false">AX715</f>
        <v>0</v>
      </c>
    </row>
    <row r="717" customFormat="false" ht="19.5" hidden="false" customHeight="true" outlineLevel="0" collapsed="false">
      <c r="A717" s="6" t="s">
        <v>62</v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W717" s="24" t="n">
        <f aca="false">AW716</f>
        <v>0</v>
      </c>
      <c r="AX717" s="24" t="n">
        <f aca="false">AX716</f>
        <v>0</v>
      </c>
    </row>
    <row r="718" customFormat="false" ht="15" hidden="false" customHeight="false" outlineLevel="0" collapsed="false">
      <c r="A718" s="8" t="str">
        <f aca="false">IF(C718&lt;&gt;"","F"&amp;COUNT($C$4:C718),"")</f>
        <v/>
      </c>
      <c r="B718" s="9" t="str">
        <f aca="false">IF(OR(F718="LOC - INITIAL",F718="CONSOLIDATION - UPFRONT COMM",F718="REVERSE - TOTAL FUNDING"),A718,"")</f>
        <v/>
      </c>
      <c r="C718" s="10"/>
      <c r="D718" s="11"/>
      <c r="E718" s="11"/>
      <c r="F718" s="11"/>
      <c r="G718" s="12"/>
      <c r="H718" s="13"/>
      <c r="I718" s="11"/>
      <c r="J718" s="14" t="str">
        <f aca="false">IF(AND(G718&lt;&gt;"",H718&lt;&gt;""),G718*H718,"")</f>
        <v/>
      </c>
      <c r="K718" s="11"/>
      <c r="L718" s="15"/>
      <c r="M718" s="15"/>
      <c r="N718" s="14" t="n">
        <f aca="false">IF(OR(G718="",M718=""),0,IF(M718&gt;100,M718,G718*IF(M718&gt;1,M718/100,M718)))</f>
        <v>0</v>
      </c>
      <c r="O718" s="14" t="str">
        <f aca="false">IF(G718="","",G718*IF(L718="",0,IF(L718&gt;1,L718/100,L718))+N718)</f>
        <v/>
      </c>
      <c r="P718" s="11"/>
      <c r="Q718" s="16" t="str">
        <f aca="false">IF(P718="","",IFERROR(VLOOKUP(P718,PARTNERS!$A$2:$B$30,2,0),""))</f>
        <v/>
      </c>
      <c r="R718" s="17" t="str">
        <f aca="false">IF(O718="","",IF(OR(P718="",Q718=""),0,(O718-N718)*IF(Q718&gt;1,Q718/100,Q718)))</f>
        <v/>
      </c>
      <c r="S718" s="14" t="str">
        <f aca="false">IF(O718="","",O718-R718)</f>
        <v/>
      </c>
      <c r="T718" s="11"/>
      <c r="U718" s="18" t="str">
        <f aca="false">IF(T718="","",IFERROR(VLOOKUP(T718,REPS!$A$2:$D$40,2,0),""))</f>
        <v/>
      </c>
      <c r="V718" s="14" t="str">
        <f aca="false">IF(O718="","",IF(U718="",0,O718*IF(U718&gt;1,U718/100,U718)))</f>
        <v/>
      </c>
      <c r="W718" s="11"/>
      <c r="X718" s="18" t="str">
        <f aca="false">IF(W718="","",IFERROR(VLOOKUP(W718,REPS!$A$2:$D$40,3,0),""))</f>
        <v/>
      </c>
      <c r="Y718" s="14" t="str">
        <f aca="false">IF(O718="","",IF(X718="",0,O718*IF(X718&gt;1,X718/100,X718)))</f>
        <v/>
      </c>
      <c r="Z718" s="11"/>
      <c r="AA718" s="18" t="str">
        <f aca="false">IF(Z718="","",IFERROR(VLOOKUP(Z718,REPS!$A$2:$D$40,4,0),""))</f>
        <v/>
      </c>
      <c r="AB718" s="14" t="str">
        <f aca="false">IF(O718="","",IF(AA718="",0,O718*IF(AA718&gt;1,AA718/100,AA718)))</f>
        <v/>
      </c>
      <c r="AC718" s="14" t="str">
        <f aca="false">IF(O718="","",V718+Y718+AB718)</f>
        <v/>
      </c>
      <c r="AD718" s="19" t="str">
        <f aca="false">IF(O718="","",O718-R718-AC718)</f>
        <v/>
      </c>
      <c r="AE718" s="20"/>
      <c r="AF718" s="10"/>
      <c r="AG718" s="21" t="n">
        <f aca="false">IF(OR(AE718="",AE718=0),0,AE718*IF(U718="",0,IF(U718&gt;1,U718/100,U718)))</f>
        <v>0</v>
      </c>
      <c r="AH718" s="21" t="n">
        <f aca="false">IF(OR(AE718="",AE718=0),0,AE718*IF(X718="",0,IF(X718&gt;1,X718/100,X718)))</f>
        <v>0</v>
      </c>
      <c r="AI718" s="21" t="n">
        <f aca="false">IF(OR(AE718="",AE718=0),0,AE718*IF(AA718="",0,IF(AA718&gt;1,AA718/100,AA718)))</f>
        <v>0</v>
      </c>
      <c r="AJ718" s="21" t="n">
        <f aca="false">AG718+AH718+AI718</f>
        <v>0</v>
      </c>
      <c r="AK718" s="21" t="n">
        <f aca="false">IF(OR(AE718="",AE718=0),0,AE718-AJ718)</f>
        <v>0</v>
      </c>
      <c r="AL718" s="19" t="str">
        <f aca="false">IF(AD718="","",AD718-AK718)</f>
        <v/>
      </c>
      <c r="AM718" s="9" t="str">
        <f aca="false">IF(C718="","","Waiting for payment")</f>
        <v/>
      </c>
      <c r="AN718" s="10"/>
      <c r="AO718" s="10"/>
      <c r="AP718" s="22" t="str">
        <f aca="false">IF(OR(C718="",I718="",K718=""),"",IF(K718="Monthly",EDATE(C718,ROUND(I718*SETTINGS!$I$8,0)),WORKDAY(C718,ROUND(I718*SETTINGS!$I$8,0))))</f>
        <v/>
      </c>
      <c r="AQ718" s="9" t="str">
        <f aca="true">IF(C718="","",IF(AND(AP718&lt;&gt;"",TODAY()&gt;=AP718),"Refi Ready",IF(TODAY()-C718&gt;=SETTINGS!$I$11,"Prospecting","Performing")))</f>
        <v/>
      </c>
      <c r="AR718" s="22" t="str">
        <f aca="false">IF(OR(C718="",I718="",K718=""),"",IF(K718="Monthly",EDATE(C718,I718),WORKDAY(C718,I718)))</f>
        <v/>
      </c>
      <c r="AS718" s="11"/>
      <c r="AT718" s="23" t="str">
        <f aca="true">IF(C718="","",IF(AM718="Clawed Back","CLAWED",IF(TODAY()&lt;=C718+SETTINGS!$I$2,"⚠ AT RISK","SAFE")))</f>
        <v/>
      </c>
      <c r="AU718" s="11"/>
      <c r="AW718" s="24" t="n">
        <f aca="false">AW717+IF(AND(C718&lt;&gt;"",AO718&lt;&gt;"",OR('REP COMMISSION'!$B$3="",T718='REP COMMISSION'!$B$3,W718='REP COMMISSION'!$B$3,Z718='REP COMMISSION'!$B$3)),1,0)</f>
        <v>0</v>
      </c>
      <c r="AX718" s="24" t="n">
        <f aca="false">AX717+IF(AND(C718&lt;&gt;"",OR(F718="LOC - INITIAL",F718="CONSOLIDATION - UPFRONT COMM",F718="REVERSE - TOTAL FUNDING")),1,0)</f>
        <v>0</v>
      </c>
    </row>
    <row r="719" customFormat="false" ht="15" hidden="false" customHeight="false" outlineLevel="0" collapsed="false">
      <c r="A719" s="25" t="str">
        <f aca="false">IF(C719&lt;&gt;"","F"&amp;COUNT($C$4:C719),"")</f>
        <v/>
      </c>
      <c r="B719" s="26" t="str">
        <f aca="false">IF(OR(F719="LOC - INITIAL",F719="CONSOLIDATION - UPFRONT COMM",F719="REVERSE - TOTAL FUNDING"),A719,"")</f>
        <v/>
      </c>
      <c r="C719" s="27"/>
      <c r="D719" s="28"/>
      <c r="E719" s="28"/>
      <c r="F719" s="28"/>
      <c r="G719" s="29"/>
      <c r="H719" s="30"/>
      <c r="I719" s="28"/>
      <c r="J719" s="31" t="str">
        <f aca="false">IF(AND(G719&lt;&gt;"",H719&lt;&gt;""),G719*H719,"")</f>
        <v/>
      </c>
      <c r="K719" s="28"/>
      <c r="L719" s="32"/>
      <c r="M719" s="32"/>
      <c r="N719" s="31" t="n">
        <f aca="false">IF(OR(G719="",M719=""),0,IF(M719&gt;100,M719,G719*IF(M719&gt;1,M719/100,M719)))</f>
        <v>0</v>
      </c>
      <c r="O719" s="31" t="str">
        <f aca="false">IF(G719="","",G719*IF(L719="",0,IF(L719&gt;1,L719/100,L719))+N719)</f>
        <v/>
      </c>
      <c r="P719" s="28"/>
      <c r="Q719" s="33" t="str">
        <f aca="false">IF(P719="","",IFERROR(VLOOKUP(P719,PARTNERS!$A$2:$B$30,2,0),""))</f>
        <v/>
      </c>
      <c r="R719" s="17" t="str">
        <f aca="false">IF(O719="","",IF(OR(P719="",Q719=""),0,(O719-N719)*IF(Q719&gt;1,Q719/100,Q719)))</f>
        <v/>
      </c>
      <c r="S719" s="31" t="str">
        <f aca="false">IF(O719="","",O719-R719)</f>
        <v/>
      </c>
      <c r="T719" s="28"/>
      <c r="U719" s="34" t="str">
        <f aca="false">IF(T719="","",IFERROR(VLOOKUP(T719,REPS!$A$2:$D$40,2,0),""))</f>
        <v/>
      </c>
      <c r="V719" s="31" t="str">
        <f aca="false">IF(O719="","",IF(U719="",0,O719*IF(U719&gt;1,U719/100,U719)))</f>
        <v/>
      </c>
      <c r="W719" s="28"/>
      <c r="X719" s="34" t="str">
        <f aca="false">IF(W719="","",IFERROR(VLOOKUP(W719,REPS!$A$2:$D$40,3,0),""))</f>
        <v/>
      </c>
      <c r="Y719" s="31" t="str">
        <f aca="false">IF(O719="","",IF(X719="",0,O719*IF(X719&gt;1,X719/100,X719)))</f>
        <v/>
      </c>
      <c r="Z719" s="28"/>
      <c r="AA719" s="34" t="str">
        <f aca="false">IF(Z719="","",IFERROR(VLOOKUP(Z719,REPS!$A$2:$D$40,4,0),""))</f>
        <v/>
      </c>
      <c r="AB719" s="31" t="str">
        <f aca="false">IF(O719="","",IF(AA719="",0,O719*IF(AA719&gt;1,AA719/100,AA719)))</f>
        <v/>
      </c>
      <c r="AC719" s="31" t="str">
        <f aca="false">IF(O719="","",V719+Y719+AB719)</f>
        <v/>
      </c>
      <c r="AD719" s="19" t="str">
        <f aca="false">IF(O719="","",O719-R719-AC719)</f>
        <v/>
      </c>
      <c r="AE719" s="20"/>
      <c r="AF719" s="27"/>
      <c r="AG719" s="21" t="n">
        <f aca="false">IF(OR(AE719="",AE719=0),0,AE719*IF(U719="",0,IF(U719&gt;1,U719/100,U719)))</f>
        <v>0</v>
      </c>
      <c r="AH719" s="21" t="n">
        <f aca="false">IF(OR(AE719="",AE719=0),0,AE719*IF(X719="",0,IF(X719&gt;1,X719/100,X719)))</f>
        <v>0</v>
      </c>
      <c r="AI719" s="21" t="n">
        <f aca="false">IF(OR(AE719="",AE719=0),0,AE719*IF(AA719="",0,IF(AA719&gt;1,AA719/100,AA719)))</f>
        <v>0</v>
      </c>
      <c r="AJ719" s="21" t="n">
        <f aca="false">AG719+AH719+AI719</f>
        <v>0</v>
      </c>
      <c r="AK719" s="21" t="n">
        <f aca="false">IF(OR(AE719="",AE719=0),0,AE719-AJ719)</f>
        <v>0</v>
      </c>
      <c r="AL719" s="19" t="str">
        <f aca="false">IF(AD719="","",AD719-AK719)</f>
        <v/>
      </c>
      <c r="AM719" s="26" t="str">
        <f aca="false">IF(C719="","","Waiting for payment")</f>
        <v/>
      </c>
      <c r="AN719" s="27"/>
      <c r="AO719" s="27"/>
      <c r="AP719" s="35" t="str">
        <f aca="false">IF(OR(C719="",I719="",K719=""),"",IF(K719="Monthly",EDATE(C719,ROUND(I719*SETTINGS!$I$8,0)),WORKDAY(C719,ROUND(I719*SETTINGS!$I$8,0))))</f>
        <v/>
      </c>
      <c r="AQ719" s="26" t="str">
        <f aca="true">IF(C719="","",IF(AND(AP719&lt;&gt;"",TODAY()&gt;=AP719),"Refi Ready",IF(TODAY()-C719&gt;=SETTINGS!$I$11,"Prospecting","Performing")))</f>
        <v/>
      </c>
      <c r="AR719" s="35" t="str">
        <f aca="false">IF(OR(C719="",I719="",K719=""),"",IF(K719="Monthly",EDATE(C719,I719),WORKDAY(C719,I719)))</f>
        <v/>
      </c>
      <c r="AS719" s="28"/>
      <c r="AT719" s="36" t="str">
        <f aca="true">IF(C719="","",IF(AM719="Clawed Back","CLAWED",IF(TODAY()&lt;=C719+SETTINGS!$I$2,"⚠ AT RISK","SAFE")))</f>
        <v/>
      </c>
      <c r="AU719" s="28"/>
      <c r="AW719" s="24" t="n">
        <f aca="false">AW718+IF(AND(C719&lt;&gt;"",AO719&lt;&gt;"",OR('REP COMMISSION'!$B$3="",T719='REP COMMISSION'!$B$3,W719='REP COMMISSION'!$B$3,Z719='REP COMMISSION'!$B$3)),1,0)</f>
        <v>0</v>
      </c>
      <c r="AX719" s="24" t="n">
        <f aca="false">AX718+IF(AND(C719&lt;&gt;"",OR(F719="LOC - INITIAL",F719="CONSOLIDATION - UPFRONT COMM",F719="REVERSE - TOTAL FUNDING")),1,0)</f>
        <v>0</v>
      </c>
    </row>
    <row r="720" customFormat="false" ht="15" hidden="false" customHeight="false" outlineLevel="0" collapsed="false">
      <c r="A720" s="8" t="str">
        <f aca="false">IF(C720&lt;&gt;"","F"&amp;COUNT($C$4:C720),"")</f>
        <v/>
      </c>
      <c r="B720" s="9" t="str">
        <f aca="false">IF(OR(F720="LOC - INITIAL",F720="CONSOLIDATION - UPFRONT COMM",F720="REVERSE - TOTAL FUNDING"),A720,"")</f>
        <v/>
      </c>
      <c r="C720" s="10"/>
      <c r="D720" s="11"/>
      <c r="E720" s="11"/>
      <c r="F720" s="11"/>
      <c r="G720" s="12"/>
      <c r="H720" s="13"/>
      <c r="I720" s="11"/>
      <c r="J720" s="14" t="str">
        <f aca="false">IF(AND(G720&lt;&gt;"",H720&lt;&gt;""),G720*H720,"")</f>
        <v/>
      </c>
      <c r="K720" s="11"/>
      <c r="L720" s="15"/>
      <c r="M720" s="15"/>
      <c r="N720" s="14" t="n">
        <f aca="false">IF(OR(G720="",M720=""),0,IF(M720&gt;100,M720,G720*IF(M720&gt;1,M720/100,M720)))</f>
        <v>0</v>
      </c>
      <c r="O720" s="14" t="str">
        <f aca="false">IF(G720="","",G720*IF(L720="",0,IF(L720&gt;1,L720/100,L720))+N720)</f>
        <v/>
      </c>
      <c r="P720" s="11"/>
      <c r="Q720" s="16" t="str">
        <f aca="false">IF(P720="","",IFERROR(VLOOKUP(P720,PARTNERS!$A$2:$B$30,2,0),""))</f>
        <v/>
      </c>
      <c r="R720" s="17" t="str">
        <f aca="false">IF(O720="","",IF(OR(P720="",Q720=""),0,(O720-N720)*IF(Q720&gt;1,Q720/100,Q720)))</f>
        <v/>
      </c>
      <c r="S720" s="14" t="str">
        <f aca="false">IF(O720="","",O720-R720)</f>
        <v/>
      </c>
      <c r="T720" s="11"/>
      <c r="U720" s="18" t="str">
        <f aca="false">IF(T720="","",IFERROR(VLOOKUP(T720,REPS!$A$2:$D$40,2,0),""))</f>
        <v/>
      </c>
      <c r="V720" s="14" t="str">
        <f aca="false">IF(O720="","",IF(U720="",0,O720*IF(U720&gt;1,U720/100,U720)))</f>
        <v/>
      </c>
      <c r="W720" s="11"/>
      <c r="X720" s="18" t="str">
        <f aca="false">IF(W720="","",IFERROR(VLOOKUP(W720,REPS!$A$2:$D$40,3,0),""))</f>
        <v/>
      </c>
      <c r="Y720" s="14" t="str">
        <f aca="false">IF(O720="","",IF(X720="",0,O720*IF(X720&gt;1,X720/100,X720)))</f>
        <v/>
      </c>
      <c r="Z720" s="11"/>
      <c r="AA720" s="18" t="str">
        <f aca="false">IF(Z720="","",IFERROR(VLOOKUP(Z720,REPS!$A$2:$D$40,4,0),""))</f>
        <v/>
      </c>
      <c r="AB720" s="14" t="str">
        <f aca="false">IF(O720="","",IF(AA720="",0,O720*IF(AA720&gt;1,AA720/100,AA720)))</f>
        <v/>
      </c>
      <c r="AC720" s="14" t="str">
        <f aca="false">IF(O720="","",V720+Y720+AB720)</f>
        <v/>
      </c>
      <c r="AD720" s="19" t="str">
        <f aca="false">IF(O720="","",O720-R720-AC720)</f>
        <v/>
      </c>
      <c r="AE720" s="20"/>
      <c r="AF720" s="10"/>
      <c r="AG720" s="21" t="n">
        <f aca="false">IF(OR(AE720="",AE720=0),0,AE720*IF(U720="",0,IF(U720&gt;1,U720/100,U720)))</f>
        <v>0</v>
      </c>
      <c r="AH720" s="21" t="n">
        <f aca="false">IF(OR(AE720="",AE720=0),0,AE720*IF(X720="",0,IF(X720&gt;1,X720/100,X720)))</f>
        <v>0</v>
      </c>
      <c r="AI720" s="21" t="n">
        <f aca="false">IF(OR(AE720="",AE720=0),0,AE720*IF(AA720="",0,IF(AA720&gt;1,AA720/100,AA720)))</f>
        <v>0</v>
      </c>
      <c r="AJ720" s="21" t="n">
        <f aca="false">AG720+AH720+AI720</f>
        <v>0</v>
      </c>
      <c r="AK720" s="21" t="n">
        <f aca="false">IF(OR(AE720="",AE720=0),0,AE720-AJ720)</f>
        <v>0</v>
      </c>
      <c r="AL720" s="19" t="str">
        <f aca="false">IF(AD720="","",AD720-AK720)</f>
        <v/>
      </c>
      <c r="AM720" s="9" t="str">
        <f aca="false">IF(C720="","","Waiting for payment")</f>
        <v/>
      </c>
      <c r="AN720" s="10"/>
      <c r="AO720" s="10"/>
      <c r="AP720" s="22" t="str">
        <f aca="false">IF(OR(C720="",I720="",K720=""),"",IF(K720="Monthly",EDATE(C720,ROUND(I720*SETTINGS!$I$8,0)),WORKDAY(C720,ROUND(I720*SETTINGS!$I$8,0))))</f>
        <v/>
      </c>
      <c r="AQ720" s="9" t="str">
        <f aca="true">IF(C720="","",IF(AND(AP720&lt;&gt;"",TODAY()&gt;=AP720),"Refi Ready",IF(TODAY()-C720&gt;=SETTINGS!$I$11,"Prospecting","Performing")))</f>
        <v/>
      </c>
      <c r="AR720" s="22" t="str">
        <f aca="false">IF(OR(C720="",I720="",K720=""),"",IF(K720="Monthly",EDATE(C720,I720),WORKDAY(C720,I720)))</f>
        <v/>
      </c>
      <c r="AS720" s="11"/>
      <c r="AT720" s="23" t="str">
        <f aca="true">IF(C720="","",IF(AM720="Clawed Back","CLAWED",IF(TODAY()&lt;=C720+SETTINGS!$I$2,"⚠ AT RISK","SAFE")))</f>
        <v/>
      </c>
      <c r="AU720" s="11"/>
      <c r="AW720" s="24" t="n">
        <f aca="false">AW719+IF(AND(C720&lt;&gt;"",AO720&lt;&gt;"",OR('REP COMMISSION'!$B$3="",T720='REP COMMISSION'!$B$3,W720='REP COMMISSION'!$B$3,Z720='REP COMMISSION'!$B$3)),1,0)</f>
        <v>0</v>
      </c>
      <c r="AX720" s="24" t="n">
        <f aca="false">AX719+IF(AND(C720&lt;&gt;"",OR(F720="LOC - INITIAL",F720="CONSOLIDATION - UPFRONT COMM",F720="REVERSE - TOTAL FUNDING")),1,0)</f>
        <v>0</v>
      </c>
    </row>
    <row r="721" customFormat="false" ht="15" hidden="false" customHeight="false" outlineLevel="0" collapsed="false">
      <c r="A721" s="25" t="str">
        <f aca="false">IF(C721&lt;&gt;"","F"&amp;COUNT($C$4:C721),"")</f>
        <v/>
      </c>
      <c r="B721" s="26" t="str">
        <f aca="false">IF(OR(F721="LOC - INITIAL",F721="CONSOLIDATION - UPFRONT COMM",F721="REVERSE - TOTAL FUNDING"),A721,"")</f>
        <v/>
      </c>
      <c r="C721" s="27"/>
      <c r="D721" s="28"/>
      <c r="E721" s="28"/>
      <c r="F721" s="28"/>
      <c r="G721" s="29"/>
      <c r="H721" s="30"/>
      <c r="I721" s="28"/>
      <c r="J721" s="31" t="str">
        <f aca="false">IF(AND(G721&lt;&gt;"",H721&lt;&gt;""),G721*H721,"")</f>
        <v/>
      </c>
      <c r="K721" s="28"/>
      <c r="L721" s="32"/>
      <c r="M721" s="32"/>
      <c r="N721" s="31" t="n">
        <f aca="false">IF(OR(G721="",M721=""),0,IF(M721&gt;100,M721,G721*IF(M721&gt;1,M721/100,M721)))</f>
        <v>0</v>
      </c>
      <c r="O721" s="31" t="str">
        <f aca="false">IF(G721="","",G721*IF(L721="",0,IF(L721&gt;1,L721/100,L721))+N721)</f>
        <v/>
      </c>
      <c r="P721" s="28"/>
      <c r="Q721" s="33" t="str">
        <f aca="false">IF(P721="","",IFERROR(VLOOKUP(P721,PARTNERS!$A$2:$B$30,2,0),""))</f>
        <v/>
      </c>
      <c r="R721" s="17" t="str">
        <f aca="false">IF(O721="","",IF(OR(P721="",Q721=""),0,(O721-N721)*IF(Q721&gt;1,Q721/100,Q721)))</f>
        <v/>
      </c>
      <c r="S721" s="31" t="str">
        <f aca="false">IF(O721="","",O721-R721)</f>
        <v/>
      </c>
      <c r="T721" s="28"/>
      <c r="U721" s="34" t="str">
        <f aca="false">IF(T721="","",IFERROR(VLOOKUP(T721,REPS!$A$2:$D$40,2,0),""))</f>
        <v/>
      </c>
      <c r="V721" s="31" t="str">
        <f aca="false">IF(O721="","",IF(U721="",0,O721*IF(U721&gt;1,U721/100,U721)))</f>
        <v/>
      </c>
      <c r="W721" s="28"/>
      <c r="X721" s="34" t="str">
        <f aca="false">IF(W721="","",IFERROR(VLOOKUP(W721,REPS!$A$2:$D$40,3,0),""))</f>
        <v/>
      </c>
      <c r="Y721" s="31" t="str">
        <f aca="false">IF(O721="","",IF(X721="",0,O721*IF(X721&gt;1,X721/100,X721)))</f>
        <v/>
      </c>
      <c r="Z721" s="28"/>
      <c r="AA721" s="34" t="str">
        <f aca="false">IF(Z721="","",IFERROR(VLOOKUP(Z721,REPS!$A$2:$D$40,4,0),""))</f>
        <v/>
      </c>
      <c r="AB721" s="31" t="str">
        <f aca="false">IF(O721="","",IF(AA721="",0,O721*IF(AA721&gt;1,AA721/100,AA721)))</f>
        <v/>
      </c>
      <c r="AC721" s="31" t="str">
        <f aca="false">IF(O721="","",V721+Y721+AB721)</f>
        <v/>
      </c>
      <c r="AD721" s="19" t="str">
        <f aca="false">IF(O721="","",O721-R721-AC721)</f>
        <v/>
      </c>
      <c r="AE721" s="20"/>
      <c r="AF721" s="27"/>
      <c r="AG721" s="21" t="n">
        <f aca="false">IF(OR(AE721="",AE721=0),0,AE721*IF(U721="",0,IF(U721&gt;1,U721/100,U721)))</f>
        <v>0</v>
      </c>
      <c r="AH721" s="21" t="n">
        <f aca="false">IF(OR(AE721="",AE721=0),0,AE721*IF(X721="",0,IF(X721&gt;1,X721/100,X721)))</f>
        <v>0</v>
      </c>
      <c r="AI721" s="21" t="n">
        <f aca="false">IF(OR(AE721="",AE721=0),0,AE721*IF(AA721="",0,IF(AA721&gt;1,AA721/100,AA721)))</f>
        <v>0</v>
      </c>
      <c r="AJ721" s="21" t="n">
        <f aca="false">AG721+AH721+AI721</f>
        <v>0</v>
      </c>
      <c r="AK721" s="21" t="n">
        <f aca="false">IF(OR(AE721="",AE721=0),0,AE721-AJ721)</f>
        <v>0</v>
      </c>
      <c r="AL721" s="19" t="str">
        <f aca="false">IF(AD721="","",AD721-AK721)</f>
        <v/>
      </c>
      <c r="AM721" s="26" t="str">
        <f aca="false">IF(C721="","","Waiting for payment")</f>
        <v/>
      </c>
      <c r="AN721" s="27"/>
      <c r="AO721" s="27"/>
      <c r="AP721" s="35" t="str">
        <f aca="false">IF(OR(C721="",I721="",K721=""),"",IF(K721="Monthly",EDATE(C721,ROUND(I721*SETTINGS!$I$8,0)),WORKDAY(C721,ROUND(I721*SETTINGS!$I$8,0))))</f>
        <v/>
      </c>
      <c r="AQ721" s="26" t="str">
        <f aca="true">IF(C721="","",IF(AND(AP721&lt;&gt;"",TODAY()&gt;=AP721),"Refi Ready",IF(TODAY()-C721&gt;=SETTINGS!$I$11,"Prospecting","Performing")))</f>
        <v/>
      </c>
      <c r="AR721" s="35" t="str">
        <f aca="false">IF(OR(C721="",I721="",K721=""),"",IF(K721="Monthly",EDATE(C721,I721),WORKDAY(C721,I721)))</f>
        <v/>
      </c>
      <c r="AS721" s="28"/>
      <c r="AT721" s="36" t="str">
        <f aca="true">IF(C721="","",IF(AM721="Clawed Back","CLAWED",IF(TODAY()&lt;=C721+SETTINGS!$I$2,"⚠ AT RISK","SAFE")))</f>
        <v/>
      </c>
      <c r="AU721" s="28"/>
      <c r="AW721" s="24" t="n">
        <f aca="false">AW720+IF(AND(C721&lt;&gt;"",AO721&lt;&gt;"",OR('REP COMMISSION'!$B$3="",T721='REP COMMISSION'!$B$3,W721='REP COMMISSION'!$B$3,Z721='REP COMMISSION'!$B$3)),1,0)</f>
        <v>0</v>
      </c>
      <c r="AX721" s="24" t="n">
        <f aca="false">AX720+IF(AND(C721&lt;&gt;"",OR(F721="LOC - INITIAL",F721="CONSOLIDATION - UPFRONT COMM",F721="REVERSE - TOTAL FUNDING")),1,0)</f>
        <v>0</v>
      </c>
    </row>
    <row r="722" customFormat="false" ht="15" hidden="false" customHeight="false" outlineLevel="0" collapsed="false">
      <c r="A722" s="8" t="str">
        <f aca="false">IF(C722&lt;&gt;"","F"&amp;COUNT($C$4:C722),"")</f>
        <v/>
      </c>
      <c r="B722" s="9" t="str">
        <f aca="false">IF(OR(F722="LOC - INITIAL",F722="CONSOLIDATION - UPFRONT COMM",F722="REVERSE - TOTAL FUNDING"),A722,"")</f>
        <v/>
      </c>
      <c r="C722" s="10"/>
      <c r="D722" s="11"/>
      <c r="E722" s="11"/>
      <c r="F722" s="11"/>
      <c r="G722" s="12"/>
      <c r="H722" s="13"/>
      <c r="I722" s="11"/>
      <c r="J722" s="14" t="str">
        <f aca="false">IF(AND(G722&lt;&gt;"",H722&lt;&gt;""),G722*H722,"")</f>
        <v/>
      </c>
      <c r="K722" s="11"/>
      <c r="L722" s="15"/>
      <c r="M722" s="15"/>
      <c r="N722" s="14" t="n">
        <f aca="false">IF(OR(G722="",M722=""),0,IF(M722&gt;100,M722,G722*IF(M722&gt;1,M722/100,M722)))</f>
        <v>0</v>
      </c>
      <c r="O722" s="14" t="str">
        <f aca="false">IF(G722="","",G722*IF(L722="",0,IF(L722&gt;1,L722/100,L722))+N722)</f>
        <v/>
      </c>
      <c r="P722" s="11"/>
      <c r="Q722" s="16" t="str">
        <f aca="false">IF(P722="","",IFERROR(VLOOKUP(P722,PARTNERS!$A$2:$B$30,2,0),""))</f>
        <v/>
      </c>
      <c r="R722" s="17" t="str">
        <f aca="false">IF(O722="","",IF(OR(P722="",Q722=""),0,(O722-N722)*IF(Q722&gt;1,Q722/100,Q722)))</f>
        <v/>
      </c>
      <c r="S722" s="14" t="str">
        <f aca="false">IF(O722="","",O722-R722)</f>
        <v/>
      </c>
      <c r="T722" s="11"/>
      <c r="U722" s="18" t="str">
        <f aca="false">IF(T722="","",IFERROR(VLOOKUP(T722,REPS!$A$2:$D$40,2,0),""))</f>
        <v/>
      </c>
      <c r="V722" s="14" t="str">
        <f aca="false">IF(O722="","",IF(U722="",0,O722*IF(U722&gt;1,U722/100,U722)))</f>
        <v/>
      </c>
      <c r="W722" s="11"/>
      <c r="X722" s="18" t="str">
        <f aca="false">IF(W722="","",IFERROR(VLOOKUP(W722,REPS!$A$2:$D$40,3,0),""))</f>
        <v/>
      </c>
      <c r="Y722" s="14" t="str">
        <f aca="false">IF(O722="","",IF(X722="",0,O722*IF(X722&gt;1,X722/100,X722)))</f>
        <v/>
      </c>
      <c r="Z722" s="11"/>
      <c r="AA722" s="18" t="str">
        <f aca="false">IF(Z722="","",IFERROR(VLOOKUP(Z722,REPS!$A$2:$D$40,4,0),""))</f>
        <v/>
      </c>
      <c r="AB722" s="14" t="str">
        <f aca="false">IF(O722="","",IF(AA722="",0,O722*IF(AA722&gt;1,AA722/100,AA722)))</f>
        <v/>
      </c>
      <c r="AC722" s="14" t="str">
        <f aca="false">IF(O722="","",V722+Y722+AB722)</f>
        <v/>
      </c>
      <c r="AD722" s="19" t="str">
        <f aca="false">IF(O722="","",O722-R722-AC722)</f>
        <v/>
      </c>
      <c r="AE722" s="20"/>
      <c r="AF722" s="10"/>
      <c r="AG722" s="21" t="n">
        <f aca="false">IF(OR(AE722="",AE722=0),0,AE722*IF(U722="",0,IF(U722&gt;1,U722/100,U722)))</f>
        <v>0</v>
      </c>
      <c r="AH722" s="21" t="n">
        <f aca="false">IF(OR(AE722="",AE722=0),0,AE722*IF(X722="",0,IF(X722&gt;1,X722/100,X722)))</f>
        <v>0</v>
      </c>
      <c r="AI722" s="21" t="n">
        <f aca="false">IF(OR(AE722="",AE722=0),0,AE722*IF(AA722="",0,IF(AA722&gt;1,AA722/100,AA722)))</f>
        <v>0</v>
      </c>
      <c r="AJ722" s="21" t="n">
        <f aca="false">AG722+AH722+AI722</f>
        <v>0</v>
      </c>
      <c r="AK722" s="21" t="n">
        <f aca="false">IF(OR(AE722="",AE722=0),0,AE722-AJ722)</f>
        <v>0</v>
      </c>
      <c r="AL722" s="19" t="str">
        <f aca="false">IF(AD722="","",AD722-AK722)</f>
        <v/>
      </c>
      <c r="AM722" s="9" t="str">
        <f aca="false">IF(C722="","","Waiting for payment")</f>
        <v/>
      </c>
      <c r="AN722" s="10"/>
      <c r="AO722" s="10"/>
      <c r="AP722" s="22" t="str">
        <f aca="false">IF(OR(C722="",I722="",K722=""),"",IF(K722="Monthly",EDATE(C722,ROUND(I722*SETTINGS!$I$8,0)),WORKDAY(C722,ROUND(I722*SETTINGS!$I$8,0))))</f>
        <v/>
      </c>
      <c r="AQ722" s="9" t="str">
        <f aca="true">IF(C722="","",IF(AND(AP722&lt;&gt;"",TODAY()&gt;=AP722),"Refi Ready",IF(TODAY()-C722&gt;=SETTINGS!$I$11,"Prospecting","Performing")))</f>
        <v/>
      </c>
      <c r="AR722" s="22" t="str">
        <f aca="false">IF(OR(C722="",I722="",K722=""),"",IF(K722="Monthly",EDATE(C722,I722),WORKDAY(C722,I722)))</f>
        <v/>
      </c>
      <c r="AS722" s="11"/>
      <c r="AT722" s="23" t="str">
        <f aca="true">IF(C722="","",IF(AM722="Clawed Back","CLAWED",IF(TODAY()&lt;=C722+SETTINGS!$I$2,"⚠ AT RISK","SAFE")))</f>
        <v/>
      </c>
      <c r="AU722" s="11"/>
      <c r="AW722" s="24" t="n">
        <f aca="false">AW721+IF(AND(C722&lt;&gt;"",AO722&lt;&gt;"",OR('REP COMMISSION'!$B$3="",T722='REP COMMISSION'!$B$3,W722='REP COMMISSION'!$B$3,Z722='REP COMMISSION'!$B$3)),1,0)</f>
        <v>0</v>
      </c>
      <c r="AX722" s="24" t="n">
        <f aca="false">AX721+IF(AND(C722&lt;&gt;"",OR(F722="LOC - INITIAL",F722="CONSOLIDATION - UPFRONT COMM",F722="REVERSE - TOTAL FUNDING")),1,0)</f>
        <v>0</v>
      </c>
    </row>
    <row r="723" customFormat="false" ht="15" hidden="false" customHeight="false" outlineLevel="0" collapsed="false">
      <c r="A723" s="25" t="str">
        <f aca="false">IF(C723&lt;&gt;"","F"&amp;COUNT($C$4:C723),"")</f>
        <v/>
      </c>
      <c r="B723" s="26" t="str">
        <f aca="false">IF(OR(F723="LOC - INITIAL",F723="CONSOLIDATION - UPFRONT COMM",F723="REVERSE - TOTAL FUNDING"),A723,"")</f>
        <v/>
      </c>
      <c r="C723" s="27"/>
      <c r="D723" s="28"/>
      <c r="E723" s="28"/>
      <c r="F723" s="28"/>
      <c r="G723" s="29"/>
      <c r="H723" s="30"/>
      <c r="I723" s="28"/>
      <c r="J723" s="31" t="str">
        <f aca="false">IF(AND(G723&lt;&gt;"",H723&lt;&gt;""),G723*H723,"")</f>
        <v/>
      </c>
      <c r="K723" s="28"/>
      <c r="L723" s="32"/>
      <c r="M723" s="32"/>
      <c r="N723" s="31" t="n">
        <f aca="false">IF(OR(G723="",M723=""),0,IF(M723&gt;100,M723,G723*IF(M723&gt;1,M723/100,M723)))</f>
        <v>0</v>
      </c>
      <c r="O723" s="31" t="str">
        <f aca="false">IF(G723="","",G723*IF(L723="",0,IF(L723&gt;1,L723/100,L723))+N723)</f>
        <v/>
      </c>
      <c r="P723" s="28"/>
      <c r="Q723" s="33" t="str">
        <f aca="false">IF(P723="","",IFERROR(VLOOKUP(P723,PARTNERS!$A$2:$B$30,2,0),""))</f>
        <v/>
      </c>
      <c r="R723" s="17" t="str">
        <f aca="false">IF(O723="","",IF(OR(P723="",Q723=""),0,(O723-N723)*IF(Q723&gt;1,Q723/100,Q723)))</f>
        <v/>
      </c>
      <c r="S723" s="31" t="str">
        <f aca="false">IF(O723="","",O723-R723)</f>
        <v/>
      </c>
      <c r="T723" s="28"/>
      <c r="U723" s="34" t="str">
        <f aca="false">IF(T723="","",IFERROR(VLOOKUP(T723,REPS!$A$2:$D$40,2,0),""))</f>
        <v/>
      </c>
      <c r="V723" s="31" t="str">
        <f aca="false">IF(O723="","",IF(U723="",0,O723*IF(U723&gt;1,U723/100,U723)))</f>
        <v/>
      </c>
      <c r="W723" s="28"/>
      <c r="X723" s="34" t="str">
        <f aca="false">IF(W723="","",IFERROR(VLOOKUP(W723,REPS!$A$2:$D$40,3,0),""))</f>
        <v/>
      </c>
      <c r="Y723" s="31" t="str">
        <f aca="false">IF(O723="","",IF(X723="",0,O723*IF(X723&gt;1,X723/100,X723)))</f>
        <v/>
      </c>
      <c r="Z723" s="28"/>
      <c r="AA723" s="34" t="str">
        <f aca="false">IF(Z723="","",IFERROR(VLOOKUP(Z723,REPS!$A$2:$D$40,4,0),""))</f>
        <v/>
      </c>
      <c r="AB723" s="31" t="str">
        <f aca="false">IF(O723="","",IF(AA723="",0,O723*IF(AA723&gt;1,AA723/100,AA723)))</f>
        <v/>
      </c>
      <c r="AC723" s="31" t="str">
        <f aca="false">IF(O723="","",V723+Y723+AB723)</f>
        <v/>
      </c>
      <c r="AD723" s="19" t="str">
        <f aca="false">IF(O723="","",O723-R723-AC723)</f>
        <v/>
      </c>
      <c r="AE723" s="20"/>
      <c r="AF723" s="27"/>
      <c r="AG723" s="21" t="n">
        <f aca="false">IF(OR(AE723="",AE723=0),0,AE723*IF(U723="",0,IF(U723&gt;1,U723/100,U723)))</f>
        <v>0</v>
      </c>
      <c r="AH723" s="21" t="n">
        <f aca="false">IF(OR(AE723="",AE723=0),0,AE723*IF(X723="",0,IF(X723&gt;1,X723/100,X723)))</f>
        <v>0</v>
      </c>
      <c r="AI723" s="21" t="n">
        <f aca="false">IF(OR(AE723="",AE723=0),0,AE723*IF(AA723="",0,IF(AA723&gt;1,AA723/100,AA723)))</f>
        <v>0</v>
      </c>
      <c r="AJ723" s="21" t="n">
        <f aca="false">AG723+AH723+AI723</f>
        <v>0</v>
      </c>
      <c r="AK723" s="21" t="n">
        <f aca="false">IF(OR(AE723="",AE723=0),0,AE723-AJ723)</f>
        <v>0</v>
      </c>
      <c r="AL723" s="19" t="str">
        <f aca="false">IF(AD723="","",AD723-AK723)</f>
        <v/>
      </c>
      <c r="AM723" s="26" t="str">
        <f aca="false">IF(C723="","","Waiting for payment")</f>
        <v/>
      </c>
      <c r="AN723" s="27"/>
      <c r="AO723" s="27"/>
      <c r="AP723" s="35" t="str">
        <f aca="false">IF(OR(C723="",I723="",K723=""),"",IF(K723="Monthly",EDATE(C723,ROUND(I723*SETTINGS!$I$8,0)),WORKDAY(C723,ROUND(I723*SETTINGS!$I$8,0))))</f>
        <v/>
      </c>
      <c r="AQ723" s="26" t="str">
        <f aca="true">IF(C723="","",IF(AND(AP723&lt;&gt;"",TODAY()&gt;=AP723),"Refi Ready",IF(TODAY()-C723&gt;=SETTINGS!$I$11,"Prospecting","Performing")))</f>
        <v/>
      </c>
      <c r="AR723" s="35" t="str">
        <f aca="false">IF(OR(C723="",I723="",K723=""),"",IF(K723="Monthly",EDATE(C723,I723),WORKDAY(C723,I723)))</f>
        <v/>
      </c>
      <c r="AS723" s="28"/>
      <c r="AT723" s="36" t="str">
        <f aca="true">IF(C723="","",IF(AM723="Clawed Back","CLAWED",IF(TODAY()&lt;=C723+SETTINGS!$I$2,"⚠ AT RISK","SAFE")))</f>
        <v/>
      </c>
      <c r="AU723" s="28"/>
      <c r="AW723" s="24" t="n">
        <f aca="false">AW722+IF(AND(C723&lt;&gt;"",AO723&lt;&gt;"",OR('REP COMMISSION'!$B$3="",T723='REP COMMISSION'!$B$3,W723='REP COMMISSION'!$B$3,Z723='REP COMMISSION'!$B$3)),1,0)</f>
        <v>0</v>
      </c>
      <c r="AX723" s="24" t="n">
        <f aca="false">AX722+IF(AND(C723&lt;&gt;"",OR(F723="LOC - INITIAL",F723="CONSOLIDATION - UPFRONT COMM",F723="REVERSE - TOTAL FUNDING")),1,0)</f>
        <v>0</v>
      </c>
    </row>
    <row r="724" customFormat="false" ht="15" hidden="false" customHeight="false" outlineLevel="0" collapsed="false">
      <c r="A724" s="8" t="str">
        <f aca="false">IF(C724&lt;&gt;"","F"&amp;COUNT($C$4:C724),"")</f>
        <v/>
      </c>
      <c r="B724" s="9" t="str">
        <f aca="false">IF(OR(F724="LOC - INITIAL",F724="CONSOLIDATION - UPFRONT COMM",F724="REVERSE - TOTAL FUNDING"),A724,"")</f>
        <v/>
      </c>
      <c r="C724" s="10"/>
      <c r="D724" s="11"/>
      <c r="E724" s="11"/>
      <c r="F724" s="11"/>
      <c r="G724" s="12"/>
      <c r="H724" s="13"/>
      <c r="I724" s="11"/>
      <c r="J724" s="14" t="str">
        <f aca="false">IF(AND(G724&lt;&gt;"",H724&lt;&gt;""),G724*H724,"")</f>
        <v/>
      </c>
      <c r="K724" s="11"/>
      <c r="L724" s="15"/>
      <c r="M724" s="15"/>
      <c r="N724" s="14" t="n">
        <f aca="false">IF(OR(G724="",M724=""),0,IF(M724&gt;100,M724,G724*IF(M724&gt;1,M724/100,M724)))</f>
        <v>0</v>
      </c>
      <c r="O724" s="14" t="str">
        <f aca="false">IF(G724="","",G724*IF(L724="",0,IF(L724&gt;1,L724/100,L724))+N724)</f>
        <v/>
      </c>
      <c r="P724" s="11"/>
      <c r="Q724" s="16" t="str">
        <f aca="false">IF(P724="","",IFERROR(VLOOKUP(P724,PARTNERS!$A$2:$B$30,2,0),""))</f>
        <v/>
      </c>
      <c r="R724" s="17" t="str">
        <f aca="false">IF(O724="","",IF(OR(P724="",Q724=""),0,(O724-N724)*IF(Q724&gt;1,Q724/100,Q724)))</f>
        <v/>
      </c>
      <c r="S724" s="14" t="str">
        <f aca="false">IF(O724="","",O724-R724)</f>
        <v/>
      </c>
      <c r="T724" s="11"/>
      <c r="U724" s="18" t="str">
        <f aca="false">IF(T724="","",IFERROR(VLOOKUP(T724,REPS!$A$2:$D$40,2,0),""))</f>
        <v/>
      </c>
      <c r="V724" s="14" t="str">
        <f aca="false">IF(O724="","",IF(U724="",0,O724*IF(U724&gt;1,U724/100,U724)))</f>
        <v/>
      </c>
      <c r="W724" s="11"/>
      <c r="X724" s="18" t="str">
        <f aca="false">IF(W724="","",IFERROR(VLOOKUP(W724,REPS!$A$2:$D$40,3,0),""))</f>
        <v/>
      </c>
      <c r="Y724" s="14" t="str">
        <f aca="false">IF(O724="","",IF(X724="",0,O724*IF(X724&gt;1,X724/100,X724)))</f>
        <v/>
      </c>
      <c r="Z724" s="11"/>
      <c r="AA724" s="18" t="str">
        <f aca="false">IF(Z724="","",IFERROR(VLOOKUP(Z724,REPS!$A$2:$D$40,4,0),""))</f>
        <v/>
      </c>
      <c r="AB724" s="14" t="str">
        <f aca="false">IF(O724="","",IF(AA724="",0,O724*IF(AA724&gt;1,AA724/100,AA724)))</f>
        <v/>
      </c>
      <c r="AC724" s="14" t="str">
        <f aca="false">IF(O724="","",V724+Y724+AB724)</f>
        <v/>
      </c>
      <c r="AD724" s="19" t="str">
        <f aca="false">IF(O724="","",O724-R724-AC724)</f>
        <v/>
      </c>
      <c r="AE724" s="20"/>
      <c r="AF724" s="10"/>
      <c r="AG724" s="21" t="n">
        <f aca="false">IF(OR(AE724="",AE724=0),0,AE724*IF(U724="",0,IF(U724&gt;1,U724/100,U724)))</f>
        <v>0</v>
      </c>
      <c r="AH724" s="21" t="n">
        <f aca="false">IF(OR(AE724="",AE724=0),0,AE724*IF(X724="",0,IF(X724&gt;1,X724/100,X724)))</f>
        <v>0</v>
      </c>
      <c r="AI724" s="21" t="n">
        <f aca="false">IF(OR(AE724="",AE724=0),0,AE724*IF(AA724="",0,IF(AA724&gt;1,AA724/100,AA724)))</f>
        <v>0</v>
      </c>
      <c r="AJ724" s="21" t="n">
        <f aca="false">AG724+AH724+AI724</f>
        <v>0</v>
      </c>
      <c r="AK724" s="21" t="n">
        <f aca="false">IF(OR(AE724="",AE724=0),0,AE724-AJ724)</f>
        <v>0</v>
      </c>
      <c r="AL724" s="19" t="str">
        <f aca="false">IF(AD724="","",AD724-AK724)</f>
        <v/>
      </c>
      <c r="AM724" s="9" t="str">
        <f aca="false">IF(C724="","","Waiting for payment")</f>
        <v/>
      </c>
      <c r="AN724" s="10"/>
      <c r="AO724" s="10"/>
      <c r="AP724" s="22" t="str">
        <f aca="false">IF(OR(C724="",I724="",K724=""),"",IF(K724="Monthly",EDATE(C724,ROUND(I724*SETTINGS!$I$8,0)),WORKDAY(C724,ROUND(I724*SETTINGS!$I$8,0))))</f>
        <v/>
      </c>
      <c r="AQ724" s="9" t="str">
        <f aca="true">IF(C724="","",IF(AND(AP724&lt;&gt;"",TODAY()&gt;=AP724),"Refi Ready",IF(TODAY()-C724&gt;=SETTINGS!$I$11,"Prospecting","Performing")))</f>
        <v/>
      </c>
      <c r="AR724" s="22" t="str">
        <f aca="false">IF(OR(C724="",I724="",K724=""),"",IF(K724="Monthly",EDATE(C724,I724),WORKDAY(C724,I724)))</f>
        <v/>
      </c>
      <c r="AS724" s="11"/>
      <c r="AT724" s="23" t="str">
        <f aca="true">IF(C724="","",IF(AM724="Clawed Back","CLAWED",IF(TODAY()&lt;=C724+SETTINGS!$I$2,"⚠ AT RISK","SAFE")))</f>
        <v/>
      </c>
      <c r="AU724" s="11"/>
      <c r="AW724" s="24" t="n">
        <f aca="false">AW723+IF(AND(C724&lt;&gt;"",AO724&lt;&gt;"",OR('REP COMMISSION'!$B$3="",T724='REP COMMISSION'!$B$3,W724='REP COMMISSION'!$B$3,Z724='REP COMMISSION'!$B$3)),1,0)</f>
        <v>0</v>
      </c>
      <c r="AX724" s="24" t="n">
        <f aca="false">AX723+IF(AND(C724&lt;&gt;"",OR(F724="LOC - INITIAL",F724="CONSOLIDATION - UPFRONT COMM",F724="REVERSE - TOTAL FUNDING")),1,0)</f>
        <v>0</v>
      </c>
    </row>
    <row r="725" customFormat="false" ht="15" hidden="false" customHeight="false" outlineLevel="0" collapsed="false">
      <c r="A725" s="25" t="str">
        <f aca="false">IF(C725&lt;&gt;"","F"&amp;COUNT($C$4:C725),"")</f>
        <v/>
      </c>
      <c r="B725" s="26" t="str">
        <f aca="false">IF(OR(F725="LOC - INITIAL",F725="CONSOLIDATION - UPFRONT COMM",F725="REVERSE - TOTAL FUNDING"),A725,"")</f>
        <v/>
      </c>
      <c r="C725" s="27"/>
      <c r="D725" s="28"/>
      <c r="E725" s="28"/>
      <c r="F725" s="28"/>
      <c r="G725" s="29"/>
      <c r="H725" s="30"/>
      <c r="I725" s="28"/>
      <c r="J725" s="31" t="str">
        <f aca="false">IF(AND(G725&lt;&gt;"",H725&lt;&gt;""),G725*H725,"")</f>
        <v/>
      </c>
      <c r="K725" s="28"/>
      <c r="L725" s="32"/>
      <c r="M725" s="32"/>
      <c r="N725" s="31" t="n">
        <f aca="false">IF(OR(G725="",M725=""),0,IF(M725&gt;100,M725,G725*IF(M725&gt;1,M725/100,M725)))</f>
        <v>0</v>
      </c>
      <c r="O725" s="31" t="str">
        <f aca="false">IF(G725="","",G725*IF(L725="",0,IF(L725&gt;1,L725/100,L725))+N725)</f>
        <v/>
      </c>
      <c r="P725" s="28"/>
      <c r="Q725" s="33" t="str">
        <f aca="false">IF(P725="","",IFERROR(VLOOKUP(P725,PARTNERS!$A$2:$B$30,2,0),""))</f>
        <v/>
      </c>
      <c r="R725" s="17" t="str">
        <f aca="false">IF(O725="","",IF(OR(P725="",Q725=""),0,(O725-N725)*IF(Q725&gt;1,Q725/100,Q725)))</f>
        <v/>
      </c>
      <c r="S725" s="31" t="str">
        <f aca="false">IF(O725="","",O725-R725)</f>
        <v/>
      </c>
      <c r="T725" s="28"/>
      <c r="U725" s="34" t="str">
        <f aca="false">IF(T725="","",IFERROR(VLOOKUP(T725,REPS!$A$2:$D$40,2,0),""))</f>
        <v/>
      </c>
      <c r="V725" s="31" t="str">
        <f aca="false">IF(O725="","",IF(U725="",0,O725*IF(U725&gt;1,U725/100,U725)))</f>
        <v/>
      </c>
      <c r="W725" s="28"/>
      <c r="X725" s="34" t="str">
        <f aca="false">IF(W725="","",IFERROR(VLOOKUP(W725,REPS!$A$2:$D$40,3,0),""))</f>
        <v/>
      </c>
      <c r="Y725" s="31" t="str">
        <f aca="false">IF(O725="","",IF(X725="",0,O725*IF(X725&gt;1,X725/100,X725)))</f>
        <v/>
      </c>
      <c r="Z725" s="28"/>
      <c r="AA725" s="34" t="str">
        <f aca="false">IF(Z725="","",IFERROR(VLOOKUP(Z725,REPS!$A$2:$D$40,4,0),""))</f>
        <v/>
      </c>
      <c r="AB725" s="31" t="str">
        <f aca="false">IF(O725="","",IF(AA725="",0,O725*IF(AA725&gt;1,AA725/100,AA725)))</f>
        <v/>
      </c>
      <c r="AC725" s="31" t="str">
        <f aca="false">IF(O725="","",V725+Y725+AB725)</f>
        <v/>
      </c>
      <c r="AD725" s="19" t="str">
        <f aca="false">IF(O725="","",O725-R725-AC725)</f>
        <v/>
      </c>
      <c r="AE725" s="20"/>
      <c r="AF725" s="27"/>
      <c r="AG725" s="21" t="n">
        <f aca="false">IF(OR(AE725="",AE725=0),0,AE725*IF(U725="",0,IF(U725&gt;1,U725/100,U725)))</f>
        <v>0</v>
      </c>
      <c r="AH725" s="21" t="n">
        <f aca="false">IF(OR(AE725="",AE725=0),0,AE725*IF(X725="",0,IF(X725&gt;1,X725/100,X725)))</f>
        <v>0</v>
      </c>
      <c r="AI725" s="21" t="n">
        <f aca="false">IF(OR(AE725="",AE725=0),0,AE725*IF(AA725="",0,IF(AA725&gt;1,AA725/100,AA725)))</f>
        <v>0</v>
      </c>
      <c r="AJ725" s="21" t="n">
        <f aca="false">AG725+AH725+AI725</f>
        <v>0</v>
      </c>
      <c r="AK725" s="21" t="n">
        <f aca="false">IF(OR(AE725="",AE725=0),0,AE725-AJ725)</f>
        <v>0</v>
      </c>
      <c r="AL725" s="19" t="str">
        <f aca="false">IF(AD725="","",AD725-AK725)</f>
        <v/>
      </c>
      <c r="AM725" s="26" t="str">
        <f aca="false">IF(C725="","","Waiting for payment")</f>
        <v/>
      </c>
      <c r="AN725" s="27"/>
      <c r="AO725" s="27"/>
      <c r="AP725" s="35" t="str">
        <f aca="false">IF(OR(C725="",I725="",K725=""),"",IF(K725="Monthly",EDATE(C725,ROUND(I725*SETTINGS!$I$8,0)),WORKDAY(C725,ROUND(I725*SETTINGS!$I$8,0))))</f>
        <v/>
      </c>
      <c r="AQ725" s="26" t="str">
        <f aca="true">IF(C725="","",IF(AND(AP725&lt;&gt;"",TODAY()&gt;=AP725),"Refi Ready",IF(TODAY()-C725&gt;=SETTINGS!$I$11,"Prospecting","Performing")))</f>
        <v/>
      </c>
      <c r="AR725" s="35" t="str">
        <f aca="false">IF(OR(C725="",I725="",K725=""),"",IF(K725="Monthly",EDATE(C725,I725),WORKDAY(C725,I725)))</f>
        <v/>
      </c>
      <c r="AS725" s="28"/>
      <c r="AT725" s="36" t="str">
        <f aca="true">IF(C725="","",IF(AM725="Clawed Back","CLAWED",IF(TODAY()&lt;=C725+SETTINGS!$I$2,"⚠ AT RISK","SAFE")))</f>
        <v/>
      </c>
      <c r="AU725" s="28"/>
      <c r="AW725" s="24" t="n">
        <f aca="false">AW724+IF(AND(C725&lt;&gt;"",AO725&lt;&gt;"",OR('REP COMMISSION'!$B$3="",T725='REP COMMISSION'!$B$3,W725='REP COMMISSION'!$B$3,Z725='REP COMMISSION'!$B$3)),1,0)</f>
        <v>0</v>
      </c>
      <c r="AX725" s="24" t="n">
        <f aca="false">AX724+IF(AND(C725&lt;&gt;"",OR(F725="LOC - INITIAL",F725="CONSOLIDATION - UPFRONT COMM",F725="REVERSE - TOTAL FUNDING")),1,0)</f>
        <v>0</v>
      </c>
    </row>
    <row r="726" customFormat="false" ht="15" hidden="false" customHeight="false" outlineLevel="0" collapsed="false">
      <c r="A726" s="8" t="str">
        <f aca="false">IF(C726&lt;&gt;"","F"&amp;COUNT($C$4:C726),"")</f>
        <v/>
      </c>
      <c r="B726" s="9" t="str">
        <f aca="false">IF(OR(F726="LOC - INITIAL",F726="CONSOLIDATION - UPFRONT COMM",F726="REVERSE - TOTAL FUNDING"),A726,"")</f>
        <v/>
      </c>
      <c r="C726" s="10"/>
      <c r="D726" s="11"/>
      <c r="E726" s="11"/>
      <c r="F726" s="11"/>
      <c r="G726" s="12"/>
      <c r="H726" s="13"/>
      <c r="I726" s="11"/>
      <c r="J726" s="14" t="str">
        <f aca="false">IF(AND(G726&lt;&gt;"",H726&lt;&gt;""),G726*H726,"")</f>
        <v/>
      </c>
      <c r="K726" s="11"/>
      <c r="L726" s="15"/>
      <c r="M726" s="15"/>
      <c r="N726" s="14" t="n">
        <f aca="false">IF(OR(G726="",M726=""),0,IF(M726&gt;100,M726,G726*IF(M726&gt;1,M726/100,M726)))</f>
        <v>0</v>
      </c>
      <c r="O726" s="14" t="str">
        <f aca="false">IF(G726="","",G726*IF(L726="",0,IF(L726&gt;1,L726/100,L726))+N726)</f>
        <v/>
      </c>
      <c r="P726" s="11"/>
      <c r="Q726" s="16" t="str">
        <f aca="false">IF(P726="","",IFERROR(VLOOKUP(P726,PARTNERS!$A$2:$B$30,2,0),""))</f>
        <v/>
      </c>
      <c r="R726" s="17" t="str">
        <f aca="false">IF(O726="","",IF(OR(P726="",Q726=""),0,(O726-N726)*IF(Q726&gt;1,Q726/100,Q726)))</f>
        <v/>
      </c>
      <c r="S726" s="14" t="str">
        <f aca="false">IF(O726="","",O726-R726)</f>
        <v/>
      </c>
      <c r="T726" s="11"/>
      <c r="U726" s="18" t="str">
        <f aca="false">IF(T726="","",IFERROR(VLOOKUP(T726,REPS!$A$2:$D$40,2,0),""))</f>
        <v/>
      </c>
      <c r="V726" s="14" t="str">
        <f aca="false">IF(O726="","",IF(U726="",0,O726*IF(U726&gt;1,U726/100,U726)))</f>
        <v/>
      </c>
      <c r="W726" s="11"/>
      <c r="X726" s="18" t="str">
        <f aca="false">IF(W726="","",IFERROR(VLOOKUP(W726,REPS!$A$2:$D$40,3,0),""))</f>
        <v/>
      </c>
      <c r="Y726" s="14" t="str">
        <f aca="false">IF(O726="","",IF(X726="",0,O726*IF(X726&gt;1,X726/100,X726)))</f>
        <v/>
      </c>
      <c r="Z726" s="11"/>
      <c r="AA726" s="18" t="str">
        <f aca="false">IF(Z726="","",IFERROR(VLOOKUP(Z726,REPS!$A$2:$D$40,4,0),""))</f>
        <v/>
      </c>
      <c r="AB726" s="14" t="str">
        <f aca="false">IF(O726="","",IF(AA726="",0,O726*IF(AA726&gt;1,AA726/100,AA726)))</f>
        <v/>
      </c>
      <c r="AC726" s="14" t="str">
        <f aca="false">IF(O726="","",V726+Y726+AB726)</f>
        <v/>
      </c>
      <c r="AD726" s="19" t="str">
        <f aca="false">IF(O726="","",O726-R726-AC726)</f>
        <v/>
      </c>
      <c r="AE726" s="20"/>
      <c r="AF726" s="10"/>
      <c r="AG726" s="21" t="n">
        <f aca="false">IF(OR(AE726="",AE726=0),0,AE726*IF(U726="",0,IF(U726&gt;1,U726/100,U726)))</f>
        <v>0</v>
      </c>
      <c r="AH726" s="21" t="n">
        <f aca="false">IF(OR(AE726="",AE726=0),0,AE726*IF(X726="",0,IF(X726&gt;1,X726/100,X726)))</f>
        <v>0</v>
      </c>
      <c r="AI726" s="21" t="n">
        <f aca="false">IF(OR(AE726="",AE726=0),0,AE726*IF(AA726="",0,IF(AA726&gt;1,AA726/100,AA726)))</f>
        <v>0</v>
      </c>
      <c r="AJ726" s="21" t="n">
        <f aca="false">AG726+AH726+AI726</f>
        <v>0</v>
      </c>
      <c r="AK726" s="21" t="n">
        <f aca="false">IF(OR(AE726="",AE726=0),0,AE726-AJ726)</f>
        <v>0</v>
      </c>
      <c r="AL726" s="19" t="str">
        <f aca="false">IF(AD726="","",AD726-AK726)</f>
        <v/>
      </c>
      <c r="AM726" s="9" t="str">
        <f aca="false">IF(C726="","","Waiting for payment")</f>
        <v/>
      </c>
      <c r="AN726" s="10"/>
      <c r="AO726" s="10"/>
      <c r="AP726" s="22" t="str">
        <f aca="false">IF(OR(C726="",I726="",K726=""),"",IF(K726="Monthly",EDATE(C726,ROUND(I726*SETTINGS!$I$8,0)),WORKDAY(C726,ROUND(I726*SETTINGS!$I$8,0))))</f>
        <v/>
      </c>
      <c r="AQ726" s="9" t="str">
        <f aca="true">IF(C726="","",IF(AND(AP726&lt;&gt;"",TODAY()&gt;=AP726),"Refi Ready",IF(TODAY()-C726&gt;=SETTINGS!$I$11,"Prospecting","Performing")))</f>
        <v/>
      </c>
      <c r="AR726" s="22" t="str">
        <f aca="false">IF(OR(C726="",I726="",K726=""),"",IF(K726="Monthly",EDATE(C726,I726),WORKDAY(C726,I726)))</f>
        <v/>
      </c>
      <c r="AS726" s="11"/>
      <c r="AT726" s="23" t="str">
        <f aca="true">IF(C726="","",IF(AM726="Clawed Back","CLAWED",IF(TODAY()&lt;=C726+SETTINGS!$I$2,"⚠ AT RISK","SAFE")))</f>
        <v/>
      </c>
      <c r="AU726" s="11"/>
      <c r="AW726" s="24" t="n">
        <f aca="false">AW725+IF(AND(C726&lt;&gt;"",AO726&lt;&gt;"",OR('REP COMMISSION'!$B$3="",T726='REP COMMISSION'!$B$3,W726='REP COMMISSION'!$B$3,Z726='REP COMMISSION'!$B$3)),1,0)</f>
        <v>0</v>
      </c>
      <c r="AX726" s="24" t="n">
        <f aca="false">AX725+IF(AND(C726&lt;&gt;"",OR(F726="LOC - INITIAL",F726="CONSOLIDATION - UPFRONT COMM",F726="REVERSE - TOTAL FUNDING")),1,0)</f>
        <v>0</v>
      </c>
    </row>
    <row r="727" customFormat="false" ht="15" hidden="false" customHeight="false" outlineLevel="0" collapsed="false">
      <c r="A727" s="25" t="str">
        <f aca="false">IF(C727&lt;&gt;"","F"&amp;COUNT($C$4:C727),"")</f>
        <v/>
      </c>
      <c r="B727" s="26" t="str">
        <f aca="false">IF(OR(F727="LOC - INITIAL",F727="CONSOLIDATION - UPFRONT COMM",F727="REVERSE - TOTAL FUNDING"),A727,"")</f>
        <v/>
      </c>
      <c r="C727" s="27"/>
      <c r="D727" s="28"/>
      <c r="E727" s="28"/>
      <c r="F727" s="28"/>
      <c r="G727" s="29"/>
      <c r="H727" s="30"/>
      <c r="I727" s="28"/>
      <c r="J727" s="31" t="str">
        <f aca="false">IF(AND(G727&lt;&gt;"",H727&lt;&gt;""),G727*H727,"")</f>
        <v/>
      </c>
      <c r="K727" s="28"/>
      <c r="L727" s="32"/>
      <c r="M727" s="32"/>
      <c r="N727" s="31" t="n">
        <f aca="false">IF(OR(G727="",M727=""),0,IF(M727&gt;100,M727,G727*IF(M727&gt;1,M727/100,M727)))</f>
        <v>0</v>
      </c>
      <c r="O727" s="31" t="str">
        <f aca="false">IF(G727="","",G727*IF(L727="",0,IF(L727&gt;1,L727/100,L727))+N727)</f>
        <v/>
      </c>
      <c r="P727" s="28"/>
      <c r="Q727" s="33" t="str">
        <f aca="false">IF(P727="","",IFERROR(VLOOKUP(P727,PARTNERS!$A$2:$B$30,2,0),""))</f>
        <v/>
      </c>
      <c r="R727" s="17" t="str">
        <f aca="false">IF(O727="","",IF(OR(P727="",Q727=""),0,(O727-N727)*IF(Q727&gt;1,Q727/100,Q727)))</f>
        <v/>
      </c>
      <c r="S727" s="31" t="str">
        <f aca="false">IF(O727="","",O727-R727)</f>
        <v/>
      </c>
      <c r="T727" s="28"/>
      <c r="U727" s="34" t="str">
        <f aca="false">IF(T727="","",IFERROR(VLOOKUP(T727,REPS!$A$2:$D$40,2,0),""))</f>
        <v/>
      </c>
      <c r="V727" s="31" t="str">
        <f aca="false">IF(O727="","",IF(U727="",0,O727*IF(U727&gt;1,U727/100,U727)))</f>
        <v/>
      </c>
      <c r="W727" s="28"/>
      <c r="X727" s="34" t="str">
        <f aca="false">IF(W727="","",IFERROR(VLOOKUP(W727,REPS!$A$2:$D$40,3,0),""))</f>
        <v/>
      </c>
      <c r="Y727" s="31" t="str">
        <f aca="false">IF(O727="","",IF(X727="",0,O727*IF(X727&gt;1,X727/100,X727)))</f>
        <v/>
      </c>
      <c r="Z727" s="28"/>
      <c r="AA727" s="34" t="str">
        <f aca="false">IF(Z727="","",IFERROR(VLOOKUP(Z727,REPS!$A$2:$D$40,4,0),""))</f>
        <v/>
      </c>
      <c r="AB727" s="31" t="str">
        <f aca="false">IF(O727="","",IF(AA727="",0,O727*IF(AA727&gt;1,AA727/100,AA727)))</f>
        <v/>
      </c>
      <c r="AC727" s="31" t="str">
        <f aca="false">IF(O727="","",V727+Y727+AB727)</f>
        <v/>
      </c>
      <c r="AD727" s="19" t="str">
        <f aca="false">IF(O727="","",O727-R727-AC727)</f>
        <v/>
      </c>
      <c r="AE727" s="20"/>
      <c r="AF727" s="27"/>
      <c r="AG727" s="21" t="n">
        <f aca="false">IF(OR(AE727="",AE727=0),0,AE727*IF(U727="",0,IF(U727&gt;1,U727/100,U727)))</f>
        <v>0</v>
      </c>
      <c r="AH727" s="21" t="n">
        <f aca="false">IF(OR(AE727="",AE727=0),0,AE727*IF(X727="",0,IF(X727&gt;1,X727/100,X727)))</f>
        <v>0</v>
      </c>
      <c r="AI727" s="21" t="n">
        <f aca="false">IF(OR(AE727="",AE727=0),0,AE727*IF(AA727="",0,IF(AA727&gt;1,AA727/100,AA727)))</f>
        <v>0</v>
      </c>
      <c r="AJ727" s="21" t="n">
        <f aca="false">AG727+AH727+AI727</f>
        <v>0</v>
      </c>
      <c r="AK727" s="21" t="n">
        <f aca="false">IF(OR(AE727="",AE727=0),0,AE727-AJ727)</f>
        <v>0</v>
      </c>
      <c r="AL727" s="19" t="str">
        <f aca="false">IF(AD727="","",AD727-AK727)</f>
        <v/>
      </c>
      <c r="AM727" s="26" t="str">
        <f aca="false">IF(C727="","","Waiting for payment")</f>
        <v/>
      </c>
      <c r="AN727" s="27"/>
      <c r="AO727" s="27"/>
      <c r="AP727" s="35" t="str">
        <f aca="false">IF(OR(C727="",I727="",K727=""),"",IF(K727="Monthly",EDATE(C727,ROUND(I727*SETTINGS!$I$8,0)),WORKDAY(C727,ROUND(I727*SETTINGS!$I$8,0))))</f>
        <v/>
      </c>
      <c r="AQ727" s="26" t="str">
        <f aca="true">IF(C727="","",IF(AND(AP727&lt;&gt;"",TODAY()&gt;=AP727),"Refi Ready",IF(TODAY()-C727&gt;=SETTINGS!$I$11,"Prospecting","Performing")))</f>
        <v/>
      </c>
      <c r="AR727" s="35" t="str">
        <f aca="false">IF(OR(C727="",I727="",K727=""),"",IF(K727="Monthly",EDATE(C727,I727),WORKDAY(C727,I727)))</f>
        <v/>
      </c>
      <c r="AS727" s="28"/>
      <c r="AT727" s="36" t="str">
        <f aca="true">IF(C727="","",IF(AM727="Clawed Back","CLAWED",IF(TODAY()&lt;=C727+SETTINGS!$I$2,"⚠ AT RISK","SAFE")))</f>
        <v/>
      </c>
      <c r="AU727" s="28"/>
      <c r="AW727" s="24" t="n">
        <f aca="false">AW726+IF(AND(C727&lt;&gt;"",AO727&lt;&gt;"",OR('REP COMMISSION'!$B$3="",T727='REP COMMISSION'!$B$3,W727='REP COMMISSION'!$B$3,Z727='REP COMMISSION'!$B$3)),1,0)</f>
        <v>0</v>
      </c>
      <c r="AX727" s="24" t="n">
        <f aca="false">AX726+IF(AND(C727&lt;&gt;"",OR(F727="LOC - INITIAL",F727="CONSOLIDATION - UPFRONT COMM",F727="REVERSE - TOTAL FUNDING")),1,0)</f>
        <v>0</v>
      </c>
    </row>
    <row r="728" customFormat="false" ht="15" hidden="false" customHeight="false" outlineLevel="0" collapsed="false">
      <c r="A728" s="8" t="str">
        <f aca="false">IF(C728&lt;&gt;"","F"&amp;COUNT($C$4:C728),"")</f>
        <v/>
      </c>
      <c r="B728" s="9" t="str">
        <f aca="false">IF(OR(F728="LOC - INITIAL",F728="CONSOLIDATION - UPFRONT COMM",F728="REVERSE - TOTAL FUNDING"),A728,"")</f>
        <v/>
      </c>
      <c r="C728" s="10"/>
      <c r="D728" s="11"/>
      <c r="E728" s="11"/>
      <c r="F728" s="11"/>
      <c r="G728" s="12"/>
      <c r="H728" s="13"/>
      <c r="I728" s="11"/>
      <c r="J728" s="14" t="str">
        <f aca="false">IF(AND(G728&lt;&gt;"",H728&lt;&gt;""),G728*H728,"")</f>
        <v/>
      </c>
      <c r="K728" s="11"/>
      <c r="L728" s="15"/>
      <c r="M728" s="15"/>
      <c r="N728" s="14" t="n">
        <f aca="false">IF(OR(G728="",M728=""),0,IF(M728&gt;100,M728,G728*IF(M728&gt;1,M728/100,M728)))</f>
        <v>0</v>
      </c>
      <c r="O728" s="14" t="str">
        <f aca="false">IF(G728="","",G728*IF(L728="",0,IF(L728&gt;1,L728/100,L728))+N728)</f>
        <v/>
      </c>
      <c r="P728" s="11"/>
      <c r="Q728" s="16" t="str">
        <f aca="false">IF(P728="","",IFERROR(VLOOKUP(P728,PARTNERS!$A$2:$B$30,2,0),""))</f>
        <v/>
      </c>
      <c r="R728" s="17" t="str">
        <f aca="false">IF(O728="","",IF(OR(P728="",Q728=""),0,(O728-N728)*IF(Q728&gt;1,Q728/100,Q728)))</f>
        <v/>
      </c>
      <c r="S728" s="14" t="str">
        <f aca="false">IF(O728="","",O728-R728)</f>
        <v/>
      </c>
      <c r="T728" s="11"/>
      <c r="U728" s="18" t="str">
        <f aca="false">IF(T728="","",IFERROR(VLOOKUP(T728,REPS!$A$2:$D$40,2,0),""))</f>
        <v/>
      </c>
      <c r="V728" s="14" t="str">
        <f aca="false">IF(O728="","",IF(U728="",0,O728*IF(U728&gt;1,U728/100,U728)))</f>
        <v/>
      </c>
      <c r="W728" s="11"/>
      <c r="X728" s="18" t="str">
        <f aca="false">IF(W728="","",IFERROR(VLOOKUP(W728,REPS!$A$2:$D$40,3,0),""))</f>
        <v/>
      </c>
      <c r="Y728" s="14" t="str">
        <f aca="false">IF(O728="","",IF(X728="",0,O728*IF(X728&gt;1,X728/100,X728)))</f>
        <v/>
      </c>
      <c r="Z728" s="11"/>
      <c r="AA728" s="18" t="str">
        <f aca="false">IF(Z728="","",IFERROR(VLOOKUP(Z728,REPS!$A$2:$D$40,4,0),""))</f>
        <v/>
      </c>
      <c r="AB728" s="14" t="str">
        <f aca="false">IF(O728="","",IF(AA728="",0,O728*IF(AA728&gt;1,AA728/100,AA728)))</f>
        <v/>
      </c>
      <c r="AC728" s="14" t="str">
        <f aca="false">IF(O728="","",V728+Y728+AB728)</f>
        <v/>
      </c>
      <c r="AD728" s="19" t="str">
        <f aca="false">IF(O728="","",O728-R728-AC728)</f>
        <v/>
      </c>
      <c r="AE728" s="20"/>
      <c r="AF728" s="10"/>
      <c r="AG728" s="21" t="n">
        <f aca="false">IF(OR(AE728="",AE728=0),0,AE728*IF(U728="",0,IF(U728&gt;1,U728/100,U728)))</f>
        <v>0</v>
      </c>
      <c r="AH728" s="21" t="n">
        <f aca="false">IF(OR(AE728="",AE728=0),0,AE728*IF(X728="",0,IF(X728&gt;1,X728/100,X728)))</f>
        <v>0</v>
      </c>
      <c r="AI728" s="21" t="n">
        <f aca="false">IF(OR(AE728="",AE728=0),0,AE728*IF(AA728="",0,IF(AA728&gt;1,AA728/100,AA728)))</f>
        <v>0</v>
      </c>
      <c r="AJ728" s="21" t="n">
        <f aca="false">AG728+AH728+AI728</f>
        <v>0</v>
      </c>
      <c r="AK728" s="21" t="n">
        <f aca="false">IF(OR(AE728="",AE728=0),0,AE728-AJ728)</f>
        <v>0</v>
      </c>
      <c r="AL728" s="19" t="str">
        <f aca="false">IF(AD728="","",AD728-AK728)</f>
        <v/>
      </c>
      <c r="AM728" s="9" t="str">
        <f aca="false">IF(C728="","","Waiting for payment")</f>
        <v/>
      </c>
      <c r="AN728" s="10"/>
      <c r="AO728" s="10"/>
      <c r="AP728" s="22" t="str">
        <f aca="false">IF(OR(C728="",I728="",K728=""),"",IF(K728="Monthly",EDATE(C728,ROUND(I728*SETTINGS!$I$8,0)),WORKDAY(C728,ROUND(I728*SETTINGS!$I$8,0))))</f>
        <v/>
      </c>
      <c r="AQ728" s="9" t="str">
        <f aca="true">IF(C728="","",IF(AND(AP728&lt;&gt;"",TODAY()&gt;=AP728),"Refi Ready",IF(TODAY()-C728&gt;=SETTINGS!$I$11,"Prospecting","Performing")))</f>
        <v/>
      </c>
      <c r="AR728" s="22" t="str">
        <f aca="false">IF(OR(C728="",I728="",K728=""),"",IF(K728="Monthly",EDATE(C728,I728),WORKDAY(C728,I728)))</f>
        <v/>
      </c>
      <c r="AS728" s="11"/>
      <c r="AT728" s="23" t="str">
        <f aca="true">IF(C728="","",IF(AM728="Clawed Back","CLAWED",IF(TODAY()&lt;=C728+SETTINGS!$I$2,"⚠ AT RISK","SAFE")))</f>
        <v/>
      </c>
      <c r="AU728" s="11"/>
      <c r="AW728" s="24" t="n">
        <f aca="false">AW727+IF(AND(C728&lt;&gt;"",AO728&lt;&gt;"",OR('REP COMMISSION'!$B$3="",T728='REP COMMISSION'!$B$3,W728='REP COMMISSION'!$B$3,Z728='REP COMMISSION'!$B$3)),1,0)</f>
        <v>0</v>
      </c>
      <c r="AX728" s="24" t="n">
        <f aca="false">AX727+IF(AND(C728&lt;&gt;"",OR(F728="LOC - INITIAL",F728="CONSOLIDATION - UPFRONT COMM",F728="REVERSE - TOTAL FUNDING")),1,0)</f>
        <v>0</v>
      </c>
    </row>
    <row r="729" customFormat="false" ht="15" hidden="false" customHeight="false" outlineLevel="0" collapsed="false">
      <c r="A729" s="25" t="str">
        <f aca="false">IF(C729&lt;&gt;"","F"&amp;COUNT($C$4:C729),"")</f>
        <v/>
      </c>
      <c r="B729" s="26" t="str">
        <f aca="false">IF(OR(F729="LOC - INITIAL",F729="CONSOLIDATION - UPFRONT COMM",F729="REVERSE - TOTAL FUNDING"),A729,"")</f>
        <v/>
      </c>
      <c r="C729" s="27"/>
      <c r="D729" s="28"/>
      <c r="E729" s="28"/>
      <c r="F729" s="28"/>
      <c r="G729" s="29"/>
      <c r="H729" s="30"/>
      <c r="I729" s="28"/>
      <c r="J729" s="31" t="str">
        <f aca="false">IF(AND(G729&lt;&gt;"",H729&lt;&gt;""),G729*H729,"")</f>
        <v/>
      </c>
      <c r="K729" s="28"/>
      <c r="L729" s="32"/>
      <c r="M729" s="32"/>
      <c r="N729" s="31" t="n">
        <f aca="false">IF(OR(G729="",M729=""),0,IF(M729&gt;100,M729,G729*IF(M729&gt;1,M729/100,M729)))</f>
        <v>0</v>
      </c>
      <c r="O729" s="31" t="str">
        <f aca="false">IF(G729="","",G729*IF(L729="",0,IF(L729&gt;1,L729/100,L729))+N729)</f>
        <v/>
      </c>
      <c r="P729" s="28"/>
      <c r="Q729" s="33" t="str">
        <f aca="false">IF(P729="","",IFERROR(VLOOKUP(P729,PARTNERS!$A$2:$B$30,2,0),""))</f>
        <v/>
      </c>
      <c r="R729" s="17" t="str">
        <f aca="false">IF(O729="","",IF(OR(P729="",Q729=""),0,(O729-N729)*IF(Q729&gt;1,Q729/100,Q729)))</f>
        <v/>
      </c>
      <c r="S729" s="31" t="str">
        <f aca="false">IF(O729="","",O729-R729)</f>
        <v/>
      </c>
      <c r="T729" s="28"/>
      <c r="U729" s="34" t="str">
        <f aca="false">IF(T729="","",IFERROR(VLOOKUP(T729,REPS!$A$2:$D$40,2,0),""))</f>
        <v/>
      </c>
      <c r="V729" s="31" t="str">
        <f aca="false">IF(O729="","",IF(U729="",0,O729*IF(U729&gt;1,U729/100,U729)))</f>
        <v/>
      </c>
      <c r="W729" s="28"/>
      <c r="X729" s="34" t="str">
        <f aca="false">IF(W729="","",IFERROR(VLOOKUP(W729,REPS!$A$2:$D$40,3,0),""))</f>
        <v/>
      </c>
      <c r="Y729" s="31" t="str">
        <f aca="false">IF(O729="","",IF(X729="",0,O729*IF(X729&gt;1,X729/100,X729)))</f>
        <v/>
      </c>
      <c r="Z729" s="28"/>
      <c r="AA729" s="34" t="str">
        <f aca="false">IF(Z729="","",IFERROR(VLOOKUP(Z729,REPS!$A$2:$D$40,4,0),""))</f>
        <v/>
      </c>
      <c r="AB729" s="31" t="str">
        <f aca="false">IF(O729="","",IF(AA729="",0,O729*IF(AA729&gt;1,AA729/100,AA729)))</f>
        <v/>
      </c>
      <c r="AC729" s="31" t="str">
        <f aca="false">IF(O729="","",V729+Y729+AB729)</f>
        <v/>
      </c>
      <c r="AD729" s="19" t="str">
        <f aca="false">IF(O729="","",O729-R729-AC729)</f>
        <v/>
      </c>
      <c r="AE729" s="20"/>
      <c r="AF729" s="27"/>
      <c r="AG729" s="21" t="n">
        <f aca="false">IF(OR(AE729="",AE729=0),0,AE729*IF(U729="",0,IF(U729&gt;1,U729/100,U729)))</f>
        <v>0</v>
      </c>
      <c r="AH729" s="21" t="n">
        <f aca="false">IF(OR(AE729="",AE729=0),0,AE729*IF(X729="",0,IF(X729&gt;1,X729/100,X729)))</f>
        <v>0</v>
      </c>
      <c r="AI729" s="21" t="n">
        <f aca="false">IF(OR(AE729="",AE729=0),0,AE729*IF(AA729="",0,IF(AA729&gt;1,AA729/100,AA729)))</f>
        <v>0</v>
      </c>
      <c r="AJ729" s="21" t="n">
        <f aca="false">AG729+AH729+AI729</f>
        <v>0</v>
      </c>
      <c r="AK729" s="21" t="n">
        <f aca="false">IF(OR(AE729="",AE729=0),0,AE729-AJ729)</f>
        <v>0</v>
      </c>
      <c r="AL729" s="19" t="str">
        <f aca="false">IF(AD729="","",AD729-AK729)</f>
        <v/>
      </c>
      <c r="AM729" s="26" t="str">
        <f aca="false">IF(C729="","","Waiting for payment")</f>
        <v/>
      </c>
      <c r="AN729" s="27"/>
      <c r="AO729" s="27"/>
      <c r="AP729" s="35" t="str">
        <f aca="false">IF(OR(C729="",I729="",K729=""),"",IF(K729="Monthly",EDATE(C729,ROUND(I729*SETTINGS!$I$8,0)),WORKDAY(C729,ROUND(I729*SETTINGS!$I$8,0))))</f>
        <v/>
      </c>
      <c r="AQ729" s="26" t="str">
        <f aca="true">IF(C729="","",IF(AND(AP729&lt;&gt;"",TODAY()&gt;=AP729),"Refi Ready",IF(TODAY()-C729&gt;=SETTINGS!$I$11,"Prospecting","Performing")))</f>
        <v/>
      </c>
      <c r="AR729" s="35" t="str">
        <f aca="false">IF(OR(C729="",I729="",K729=""),"",IF(K729="Monthly",EDATE(C729,I729),WORKDAY(C729,I729)))</f>
        <v/>
      </c>
      <c r="AS729" s="28"/>
      <c r="AT729" s="36" t="str">
        <f aca="true">IF(C729="","",IF(AM729="Clawed Back","CLAWED",IF(TODAY()&lt;=C729+SETTINGS!$I$2,"⚠ AT RISK","SAFE")))</f>
        <v/>
      </c>
      <c r="AU729" s="28"/>
      <c r="AW729" s="24" t="n">
        <f aca="false">AW728+IF(AND(C729&lt;&gt;"",AO729&lt;&gt;"",OR('REP COMMISSION'!$B$3="",T729='REP COMMISSION'!$B$3,W729='REP COMMISSION'!$B$3,Z729='REP COMMISSION'!$B$3)),1,0)</f>
        <v>0</v>
      </c>
      <c r="AX729" s="24" t="n">
        <f aca="false">AX728+IF(AND(C729&lt;&gt;"",OR(F729="LOC - INITIAL",F729="CONSOLIDATION - UPFRONT COMM",F729="REVERSE - TOTAL FUNDING")),1,0)</f>
        <v>0</v>
      </c>
    </row>
    <row r="730" customFormat="false" ht="15" hidden="false" customHeight="false" outlineLevel="0" collapsed="false">
      <c r="A730" s="8" t="str">
        <f aca="false">IF(C730&lt;&gt;"","F"&amp;COUNT($C$4:C730),"")</f>
        <v/>
      </c>
      <c r="B730" s="9" t="str">
        <f aca="false">IF(OR(F730="LOC - INITIAL",F730="CONSOLIDATION - UPFRONT COMM",F730="REVERSE - TOTAL FUNDING"),A730,"")</f>
        <v/>
      </c>
      <c r="C730" s="10"/>
      <c r="D730" s="11"/>
      <c r="E730" s="11"/>
      <c r="F730" s="11"/>
      <c r="G730" s="12"/>
      <c r="H730" s="13"/>
      <c r="I730" s="11"/>
      <c r="J730" s="14" t="str">
        <f aca="false">IF(AND(G730&lt;&gt;"",H730&lt;&gt;""),G730*H730,"")</f>
        <v/>
      </c>
      <c r="K730" s="11"/>
      <c r="L730" s="15"/>
      <c r="M730" s="15"/>
      <c r="N730" s="14" t="n">
        <f aca="false">IF(OR(G730="",M730=""),0,IF(M730&gt;100,M730,G730*IF(M730&gt;1,M730/100,M730)))</f>
        <v>0</v>
      </c>
      <c r="O730" s="14" t="str">
        <f aca="false">IF(G730="","",G730*IF(L730="",0,IF(L730&gt;1,L730/100,L730))+N730)</f>
        <v/>
      </c>
      <c r="P730" s="11"/>
      <c r="Q730" s="16" t="str">
        <f aca="false">IF(P730="","",IFERROR(VLOOKUP(P730,PARTNERS!$A$2:$B$30,2,0),""))</f>
        <v/>
      </c>
      <c r="R730" s="17" t="str">
        <f aca="false">IF(O730="","",IF(OR(P730="",Q730=""),0,(O730-N730)*IF(Q730&gt;1,Q730/100,Q730)))</f>
        <v/>
      </c>
      <c r="S730" s="14" t="str">
        <f aca="false">IF(O730="","",O730-R730)</f>
        <v/>
      </c>
      <c r="T730" s="11"/>
      <c r="U730" s="18" t="str">
        <f aca="false">IF(T730="","",IFERROR(VLOOKUP(T730,REPS!$A$2:$D$40,2,0),""))</f>
        <v/>
      </c>
      <c r="V730" s="14" t="str">
        <f aca="false">IF(O730="","",IF(U730="",0,O730*IF(U730&gt;1,U730/100,U730)))</f>
        <v/>
      </c>
      <c r="W730" s="11"/>
      <c r="X730" s="18" t="str">
        <f aca="false">IF(W730="","",IFERROR(VLOOKUP(W730,REPS!$A$2:$D$40,3,0),""))</f>
        <v/>
      </c>
      <c r="Y730" s="14" t="str">
        <f aca="false">IF(O730="","",IF(X730="",0,O730*IF(X730&gt;1,X730/100,X730)))</f>
        <v/>
      </c>
      <c r="Z730" s="11"/>
      <c r="AA730" s="18" t="str">
        <f aca="false">IF(Z730="","",IFERROR(VLOOKUP(Z730,REPS!$A$2:$D$40,4,0),""))</f>
        <v/>
      </c>
      <c r="AB730" s="14" t="str">
        <f aca="false">IF(O730="","",IF(AA730="",0,O730*IF(AA730&gt;1,AA730/100,AA730)))</f>
        <v/>
      </c>
      <c r="AC730" s="14" t="str">
        <f aca="false">IF(O730="","",V730+Y730+AB730)</f>
        <v/>
      </c>
      <c r="AD730" s="19" t="str">
        <f aca="false">IF(O730="","",O730-R730-AC730)</f>
        <v/>
      </c>
      <c r="AE730" s="20"/>
      <c r="AF730" s="10"/>
      <c r="AG730" s="21" t="n">
        <f aca="false">IF(OR(AE730="",AE730=0),0,AE730*IF(U730="",0,IF(U730&gt;1,U730/100,U730)))</f>
        <v>0</v>
      </c>
      <c r="AH730" s="21" t="n">
        <f aca="false">IF(OR(AE730="",AE730=0),0,AE730*IF(X730="",0,IF(X730&gt;1,X730/100,X730)))</f>
        <v>0</v>
      </c>
      <c r="AI730" s="21" t="n">
        <f aca="false">IF(OR(AE730="",AE730=0),0,AE730*IF(AA730="",0,IF(AA730&gt;1,AA730/100,AA730)))</f>
        <v>0</v>
      </c>
      <c r="AJ730" s="21" t="n">
        <f aca="false">AG730+AH730+AI730</f>
        <v>0</v>
      </c>
      <c r="AK730" s="21" t="n">
        <f aca="false">IF(OR(AE730="",AE730=0),0,AE730-AJ730)</f>
        <v>0</v>
      </c>
      <c r="AL730" s="19" t="str">
        <f aca="false">IF(AD730="","",AD730-AK730)</f>
        <v/>
      </c>
      <c r="AM730" s="9" t="str">
        <f aca="false">IF(C730="","","Waiting for payment")</f>
        <v/>
      </c>
      <c r="AN730" s="10"/>
      <c r="AO730" s="10"/>
      <c r="AP730" s="22" t="str">
        <f aca="false">IF(OR(C730="",I730="",K730=""),"",IF(K730="Monthly",EDATE(C730,ROUND(I730*SETTINGS!$I$8,0)),WORKDAY(C730,ROUND(I730*SETTINGS!$I$8,0))))</f>
        <v/>
      </c>
      <c r="AQ730" s="9" t="str">
        <f aca="true">IF(C730="","",IF(AND(AP730&lt;&gt;"",TODAY()&gt;=AP730),"Refi Ready",IF(TODAY()-C730&gt;=SETTINGS!$I$11,"Prospecting","Performing")))</f>
        <v/>
      </c>
      <c r="AR730" s="22" t="str">
        <f aca="false">IF(OR(C730="",I730="",K730=""),"",IF(K730="Monthly",EDATE(C730,I730),WORKDAY(C730,I730)))</f>
        <v/>
      </c>
      <c r="AS730" s="11"/>
      <c r="AT730" s="23" t="str">
        <f aca="true">IF(C730="","",IF(AM730="Clawed Back","CLAWED",IF(TODAY()&lt;=C730+SETTINGS!$I$2,"⚠ AT RISK","SAFE")))</f>
        <v/>
      </c>
      <c r="AU730" s="11"/>
      <c r="AW730" s="24" t="n">
        <f aca="false">AW729+IF(AND(C730&lt;&gt;"",AO730&lt;&gt;"",OR('REP COMMISSION'!$B$3="",T730='REP COMMISSION'!$B$3,W730='REP COMMISSION'!$B$3,Z730='REP COMMISSION'!$B$3)),1,0)</f>
        <v>0</v>
      </c>
      <c r="AX730" s="24" t="n">
        <f aca="false">AX729+IF(AND(C730&lt;&gt;"",OR(F730="LOC - INITIAL",F730="CONSOLIDATION - UPFRONT COMM",F730="REVERSE - TOTAL FUNDING")),1,0)</f>
        <v>0</v>
      </c>
    </row>
    <row r="731" customFormat="false" ht="15" hidden="false" customHeight="false" outlineLevel="0" collapsed="false">
      <c r="A731" s="25" t="str">
        <f aca="false">IF(C731&lt;&gt;"","F"&amp;COUNT($C$4:C731),"")</f>
        <v/>
      </c>
      <c r="B731" s="26" t="str">
        <f aca="false">IF(OR(F731="LOC - INITIAL",F731="CONSOLIDATION - UPFRONT COMM",F731="REVERSE - TOTAL FUNDING"),A731,"")</f>
        <v/>
      </c>
      <c r="C731" s="27"/>
      <c r="D731" s="28"/>
      <c r="E731" s="28"/>
      <c r="F731" s="28"/>
      <c r="G731" s="29"/>
      <c r="H731" s="30"/>
      <c r="I731" s="28"/>
      <c r="J731" s="31" t="str">
        <f aca="false">IF(AND(G731&lt;&gt;"",H731&lt;&gt;""),G731*H731,"")</f>
        <v/>
      </c>
      <c r="K731" s="28"/>
      <c r="L731" s="32"/>
      <c r="M731" s="32"/>
      <c r="N731" s="31" t="n">
        <f aca="false">IF(OR(G731="",M731=""),0,IF(M731&gt;100,M731,G731*IF(M731&gt;1,M731/100,M731)))</f>
        <v>0</v>
      </c>
      <c r="O731" s="31" t="str">
        <f aca="false">IF(G731="","",G731*IF(L731="",0,IF(L731&gt;1,L731/100,L731))+N731)</f>
        <v/>
      </c>
      <c r="P731" s="28"/>
      <c r="Q731" s="33" t="str">
        <f aca="false">IF(P731="","",IFERROR(VLOOKUP(P731,PARTNERS!$A$2:$B$30,2,0),""))</f>
        <v/>
      </c>
      <c r="R731" s="17" t="str">
        <f aca="false">IF(O731="","",IF(OR(P731="",Q731=""),0,(O731-N731)*IF(Q731&gt;1,Q731/100,Q731)))</f>
        <v/>
      </c>
      <c r="S731" s="31" t="str">
        <f aca="false">IF(O731="","",O731-R731)</f>
        <v/>
      </c>
      <c r="T731" s="28"/>
      <c r="U731" s="34" t="str">
        <f aca="false">IF(T731="","",IFERROR(VLOOKUP(T731,REPS!$A$2:$D$40,2,0),""))</f>
        <v/>
      </c>
      <c r="V731" s="31" t="str">
        <f aca="false">IF(O731="","",IF(U731="",0,O731*IF(U731&gt;1,U731/100,U731)))</f>
        <v/>
      </c>
      <c r="W731" s="28"/>
      <c r="X731" s="34" t="str">
        <f aca="false">IF(W731="","",IFERROR(VLOOKUP(W731,REPS!$A$2:$D$40,3,0),""))</f>
        <v/>
      </c>
      <c r="Y731" s="31" t="str">
        <f aca="false">IF(O731="","",IF(X731="",0,O731*IF(X731&gt;1,X731/100,X731)))</f>
        <v/>
      </c>
      <c r="Z731" s="28"/>
      <c r="AA731" s="34" t="str">
        <f aca="false">IF(Z731="","",IFERROR(VLOOKUP(Z731,REPS!$A$2:$D$40,4,0),""))</f>
        <v/>
      </c>
      <c r="AB731" s="31" t="str">
        <f aca="false">IF(O731="","",IF(AA731="",0,O731*IF(AA731&gt;1,AA731/100,AA731)))</f>
        <v/>
      </c>
      <c r="AC731" s="31" t="str">
        <f aca="false">IF(O731="","",V731+Y731+AB731)</f>
        <v/>
      </c>
      <c r="AD731" s="19" t="str">
        <f aca="false">IF(O731="","",O731-R731-AC731)</f>
        <v/>
      </c>
      <c r="AE731" s="20"/>
      <c r="AF731" s="27"/>
      <c r="AG731" s="21" t="n">
        <f aca="false">IF(OR(AE731="",AE731=0),0,AE731*IF(U731="",0,IF(U731&gt;1,U731/100,U731)))</f>
        <v>0</v>
      </c>
      <c r="AH731" s="21" t="n">
        <f aca="false">IF(OR(AE731="",AE731=0),0,AE731*IF(X731="",0,IF(X731&gt;1,X731/100,X731)))</f>
        <v>0</v>
      </c>
      <c r="AI731" s="21" t="n">
        <f aca="false">IF(OR(AE731="",AE731=0),0,AE731*IF(AA731="",0,IF(AA731&gt;1,AA731/100,AA731)))</f>
        <v>0</v>
      </c>
      <c r="AJ731" s="21" t="n">
        <f aca="false">AG731+AH731+AI731</f>
        <v>0</v>
      </c>
      <c r="AK731" s="21" t="n">
        <f aca="false">IF(OR(AE731="",AE731=0),0,AE731-AJ731)</f>
        <v>0</v>
      </c>
      <c r="AL731" s="19" t="str">
        <f aca="false">IF(AD731="","",AD731-AK731)</f>
        <v/>
      </c>
      <c r="AM731" s="26" t="str">
        <f aca="false">IF(C731="","","Waiting for payment")</f>
        <v/>
      </c>
      <c r="AN731" s="27"/>
      <c r="AO731" s="27"/>
      <c r="AP731" s="35" t="str">
        <f aca="false">IF(OR(C731="",I731="",K731=""),"",IF(K731="Monthly",EDATE(C731,ROUND(I731*SETTINGS!$I$8,0)),WORKDAY(C731,ROUND(I731*SETTINGS!$I$8,0))))</f>
        <v/>
      </c>
      <c r="AQ731" s="26" t="str">
        <f aca="true">IF(C731="","",IF(AND(AP731&lt;&gt;"",TODAY()&gt;=AP731),"Refi Ready",IF(TODAY()-C731&gt;=SETTINGS!$I$11,"Prospecting","Performing")))</f>
        <v/>
      </c>
      <c r="AR731" s="35" t="str">
        <f aca="false">IF(OR(C731="",I731="",K731=""),"",IF(K731="Monthly",EDATE(C731,I731),WORKDAY(C731,I731)))</f>
        <v/>
      </c>
      <c r="AS731" s="28"/>
      <c r="AT731" s="36" t="str">
        <f aca="true">IF(C731="","",IF(AM731="Clawed Back","CLAWED",IF(TODAY()&lt;=C731+SETTINGS!$I$2,"⚠ AT RISK","SAFE")))</f>
        <v/>
      </c>
      <c r="AU731" s="28"/>
      <c r="AW731" s="24" t="n">
        <f aca="false">AW730+IF(AND(C731&lt;&gt;"",AO731&lt;&gt;"",OR('REP COMMISSION'!$B$3="",T731='REP COMMISSION'!$B$3,W731='REP COMMISSION'!$B$3,Z731='REP COMMISSION'!$B$3)),1,0)</f>
        <v>0</v>
      </c>
      <c r="AX731" s="24" t="n">
        <f aca="false">AX730+IF(AND(C731&lt;&gt;"",OR(F731="LOC - INITIAL",F731="CONSOLIDATION - UPFRONT COMM",F731="REVERSE - TOTAL FUNDING")),1,0)</f>
        <v>0</v>
      </c>
    </row>
    <row r="732" customFormat="false" ht="15" hidden="false" customHeight="false" outlineLevel="0" collapsed="false">
      <c r="A732" s="8" t="str">
        <f aca="false">IF(C732&lt;&gt;"","F"&amp;COUNT($C$4:C732),"")</f>
        <v/>
      </c>
      <c r="B732" s="9" t="str">
        <f aca="false">IF(OR(F732="LOC - INITIAL",F732="CONSOLIDATION - UPFRONT COMM",F732="REVERSE - TOTAL FUNDING"),A732,"")</f>
        <v/>
      </c>
      <c r="C732" s="10"/>
      <c r="D732" s="11"/>
      <c r="E732" s="11"/>
      <c r="F732" s="11"/>
      <c r="G732" s="12"/>
      <c r="H732" s="13"/>
      <c r="I732" s="11"/>
      <c r="J732" s="14" t="str">
        <f aca="false">IF(AND(G732&lt;&gt;"",H732&lt;&gt;""),G732*H732,"")</f>
        <v/>
      </c>
      <c r="K732" s="11"/>
      <c r="L732" s="15"/>
      <c r="M732" s="15"/>
      <c r="N732" s="14" t="n">
        <f aca="false">IF(OR(G732="",M732=""),0,IF(M732&gt;100,M732,G732*IF(M732&gt;1,M732/100,M732)))</f>
        <v>0</v>
      </c>
      <c r="O732" s="14" t="str">
        <f aca="false">IF(G732="","",G732*IF(L732="",0,IF(L732&gt;1,L732/100,L732))+N732)</f>
        <v/>
      </c>
      <c r="P732" s="11"/>
      <c r="Q732" s="16" t="str">
        <f aca="false">IF(P732="","",IFERROR(VLOOKUP(P732,PARTNERS!$A$2:$B$30,2,0),""))</f>
        <v/>
      </c>
      <c r="R732" s="17" t="str">
        <f aca="false">IF(O732="","",IF(OR(P732="",Q732=""),0,(O732-N732)*IF(Q732&gt;1,Q732/100,Q732)))</f>
        <v/>
      </c>
      <c r="S732" s="14" t="str">
        <f aca="false">IF(O732="","",O732-R732)</f>
        <v/>
      </c>
      <c r="T732" s="11"/>
      <c r="U732" s="18" t="str">
        <f aca="false">IF(T732="","",IFERROR(VLOOKUP(T732,REPS!$A$2:$D$40,2,0),""))</f>
        <v/>
      </c>
      <c r="V732" s="14" t="str">
        <f aca="false">IF(O732="","",IF(U732="",0,O732*IF(U732&gt;1,U732/100,U732)))</f>
        <v/>
      </c>
      <c r="W732" s="11"/>
      <c r="X732" s="18" t="str">
        <f aca="false">IF(W732="","",IFERROR(VLOOKUP(W732,REPS!$A$2:$D$40,3,0),""))</f>
        <v/>
      </c>
      <c r="Y732" s="14" t="str">
        <f aca="false">IF(O732="","",IF(X732="",0,O732*IF(X732&gt;1,X732/100,X732)))</f>
        <v/>
      </c>
      <c r="Z732" s="11"/>
      <c r="AA732" s="18" t="str">
        <f aca="false">IF(Z732="","",IFERROR(VLOOKUP(Z732,REPS!$A$2:$D$40,4,0),""))</f>
        <v/>
      </c>
      <c r="AB732" s="14" t="str">
        <f aca="false">IF(O732="","",IF(AA732="",0,O732*IF(AA732&gt;1,AA732/100,AA732)))</f>
        <v/>
      </c>
      <c r="AC732" s="14" t="str">
        <f aca="false">IF(O732="","",V732+Y732+AB732)</f>
        <v/>
      </c>
      <c r="AD732" s="19" t="str">
        <f aca="false">IF(O732="","",O732-R732-AC732)</f>
        <v/>
      </c>
      <c r="AE732" s="20"/>
      <c r="AF732" s="10"/>
      <c r="AG732" s="21" t="n">
        <f aca="false">IF(OR(AE732="",AE732=0),0,AE732*IF(U732="",0,IF(U732&gt;1,U732/100,U732)))</f>
        <v>0</v>
      </c>
      <c r="AH732" s="21" t="n">
        <f aca="false">IF(OR(AE732="",AE732=0),0,AE732*IF(X732="",0,IF(X732&gt;1,X732/100,X732)))</f>
        <v>0</v>
      </c>
      <c r="AI732" s="21" t="n">
        <f aca="false">IF(OR(AE732="",AE732=0),0,AE732*IF(AA732="",0,IF(AA732&gt;1,AA732/100,AA732)))</f>
        <v>0</v>
      </c>
      <c r="AJ732" s="21" t="n">
        <f aca="false">AG732+AH732+AI732</f>
        <v>0</v>
      </c>
      <c r="AK732" s="21" t="n">
        <f aca="false">IF(OR(AE732="",AE732=0),0,AE732-AJ732)</f>
        <v>0</v>
      </c>
      <c r="AL732" s="19" t="str">
        <f aca="false">IF(AD732="","",AD732-AK732)</f>
        <v/>
      </c>
      <c r="AM732" s="9" t="str">
        <f aca="false">IF(C732="","","Waiting for payment")</f>
        <v/>
      </c>
      <c r="AN732" s="10"/>
      <c r="AO732" s="10"/>
      <c r="AP732" s="22" t="str">
        <f aca="false">IF(OR(C732="",I732="",K732=""),"",IF(K732="Monthly",EDATE(C732,ROUND(I732*SETTINGS!$I$8,0)),WORKDAY(C732,ROUND(I732*SETTINGS!$I$8,0))))</f>
        <v/>
      </c>
      <c r="AQ732" s="9" t="str">
        <f aca="true">IF(C732="","",IF(AND(AP732&lt;&gt;"",TODAY()&gt;=AP732),"Refi Ready",IF(TODAY()-C732&gt;=SETTINGS!$I$11,"Prospecting","Performing")))</f>
        <v/>
      </c>
      <c r="AR732" s="22" t="str">
        <f aca="false">IF(OR(C732="",I732="",K732=""),"",IF(K732="Monthly",EDATE(C732,I732),WORKDAY(C732,I732)))</f>
        <v/>
      </c>
      <c r="AS732" s="11"/>
      <c r="AT732" s="23" t="str">
        <f aca="true">IF(C732="","",IF(AM732="Clawed Back","CLAWED",IF(TODAY()&lt;=C732+SETTINGS!$I$2,"⚠ AT RISK","SAFE")))</f>
        <v/>
      </c>
      <c r="AU732" s="11"/>
      <c r="AW732" s="24" t="n">
        <f aca="false">AW731+IF(AND(C732&lt;&gt;"",AO732&lt;&gt;"",OR('REP COMMISSION'!$B$3="",T732='REP COMMISSION'!$B$3,W732='REP COMMISSION'!$B$3,Z732='REP COMMISSION'!$B$3)),1,0)</f>
        <v>0</v>
      </c>
      <c r="AX732" s="24" t="n">
        <f aca="false">AX731+IF(AND(C732&lt;&gt;"",OR(F732="LOC - INITIAL",F732="CONSOLIDATION - UPFRONT COMM",F732="REVERSE - TOTAL FUNDING")),1,0)</f>
        <v>0</v>
      </c>
    </row>
    <row r="733" customFormat="false" ht="15" hidden="false" customHeight="false" outlineLevel="0" collapsed="false">
      <c r="A733" s="25" t="str">
        <f aca="false">IF(C733&lt;&gt;"","F"&amp;COUNT($C$4:C733),"")</f>
        <v/>
      </c>
      <c r="B733" s="26" t="str">
        <f aca="false">IF(OR(F733="LOC - INITIAL",F733="CONSOLIDATION - UPFRONT COMM",F733="REVERSE - TOTAL FUNDING"),A733,"")</f>
        <v/>
      </c>
      <c r="C733" s="27"/>
      <c r="D733" s="28"/>
      <c r="E733" s="28"/>
      <c r="F733" s="28"/>
      <c r="G733" s="29"/>
      <c r="H733" s="30"/>
      <c r="I733" s="28"/>
      <c r="J733" s="31" t="str">
        <f aca="false">IF(AND(G733&lt;&gt;"",H733&lt;&gt;""),G733*H733,"")</f>
        <v/>
      </c>
      <c r="K733" s="28"/>
      <c r="L733" s="32"/>
      <c r="M733" s="32"/>
      <c r="N733" s="31" t="n">
        <f aca="false">IF(OR(G733="",M733=""),0,IF(M733&gt;100,M733,G733*IF(M733&gt;1,M733/100,M733)))</f>
        <v>0</v>
      </c>
      <c r="O733" s="31" t="str">
        <f aca="false">IF(G733="","",G733*IF(L733="",0,IF(L733&gt;1,L733/100,L733))+N733)</f>
        <v/>
      </c>
      <c r="P733" s="28"/>
      <c r="Q733" s="33" t="str">
        <f aca="false">IF(P733="","",IFERROR(VLOOKUP(P733,PARTNERS!$A$2:$B$30,2,0),""))</f>
        <v/>
      </c>
      <c r="R733" s="17" t="str">
        <f aca="false">IF(O733="","",IF(OR(P733="",Q733=""),0,(O733-N733)*IF(Q733&gt;1,Q733/100,Q733)))</f>
        <v/>
      </c>
      <c r="S733" s="31" t="str">
        <f aca="false">IF(O733="","",O733-R733)</f>
        <v/>
      </c>
      <c r="T733" s="28"/>
      <c r="U733" s="34" t="str">
        <f aca="false">IF(T733="","",IFERROR(VLOOKUP(T733,REPS!$A$2:$D$40,2,0),""))</f>
        <v/>
      </c>
      <c r="V733" s="31" t="str">
        <f aca="false">IF(O733="","",IF(U733="",0,O733*IF(U733&gt;1,U733/100,U733)))</f>
        <v/>
      </c>
      <c r="W733" s="28"/>
      <c r="X733" s="34" t="str">
        <f aca="false">IF(W733="","",IFERROR(VLOOKUP(W733,REPS!$A$2:$D$40,3,0),""))</f>
        <v/>
      </c>
      <c r="Y733" s="31" t="str">
        <f aca="false">IF(O733="","",IF(X733="",0,O733*IF(X733&gt;1,X733/100,X733)))</f>
        <v/>
      </c>
      <c r="Z733" s="28"/>
      <c r="AA733" s="34" t="str">
        <f aca="false">IF(Z733="","",IFERROR(VLOOKUP(Z733,REPS!$A$2:$D$40,4,0),""))</f>
        <v/>
      </c>
      <c r="AB733" s="31" t="str">
        <f aca="false">IF(O733="","",IF(AA733="",0,O733*IF(AA733&gt;1,AA733/100,AA733)))</f>
        <v/>
      </c>
      <c r="AC733" s="31" t="str">
        <f aca="false">IF(O733="","",V733+Y733+AB733)</f>
        <v/>
      </c>
      <c r="AD733" s="19" t="str">
        <f aca="false">IF(O733="","",O733-R733-AC733)</f>
        <v/>
      </c>
      <c r="AE733" s="20"/>
      <c r="AF733" s="27"/>
      <c r="AG733" s="21" t="n">
        <f aca="false">IF(OR(AE733="",AE733=0),0,AE733*IF(U733="",0,IF(U733&gt;1,U733/100,U733)))</f>
        <v>0</v>
      </c>
      <c r="AH733" s="21" t="n">
        <f aca="false">IF(OR(AE733="",AE733=0),0,AE733*IF(X733="",0,IF(X733&gt;1,X733/100,X733)))</f>
        <v>0</v>
      </c>
      <c r="AI733" s="21" t="n">
        <f aca="false">IF(OR(AE733="",AE733=0),0,AE733*IF(AA733="",0,IF(AA733&gt;1,AA733/100,AA733)))</f>
        <v>0</v>
      </c>
      <c r="AJ733" s="21" t="n">
        <f aca="false">AG733+AH733+AI733</f>
        <v>0</v>
      </c>
      <c r="AK733" s="21" t="n">
        <f aca="false">IF(OR(AE733="",AE733=0),0,AE733-AJ733)</f>
        <v>0</v>
      </c>
      <c r="AL733" s="19" t="str">
        <f aca="false">IF(AD733="","",AD733-AK733)</f>
        <v/>
      </c>
      <c r="AM733" s="26" t="str">
        <f aca="false">IF(C733="","","Waiting for payment")</f>
        <v/>
      </c>
      <c r="AN733" s="27"/>
      <c r="AO733" s="27"/>
      <c r="AP733" s="35" t="str">
        <f aca="false">IF(OR(C733="",I733="",K733=""),"",IF(K733="Monthly",EDATE(C733,ROUND(I733*SETTINGS!$I$8,0)),WORKDAY(C733,ROUND(I733*SETTINGS!$I$8,0))))</f>
        <v/>
      </c>
      <c r="AQ733" s="26" t="str">
        <f aca="true">IF(C733="","",IF(AND(AP733&lt;&gt;"",TODAY()&gt;=AP733),"Refi Ready",IF(TODAY()-C733&gt;=SETTINGS!$I$11,"Prospecting","Performing")))</f>
        <v/>
      </c>
      <c r="AR733" s="35" t="str">
        <f aca="false">IF(OR(C733="",I733="",K733=""),"",IF(K733="Monthly",EDATE(C733,I733),WORKDAY(C733,I733)))</f>
        <v/>
      </c>
      <c r="AS733" s="28"/>
      <c r="AT733" s="36" t="str">
        <f aca="true">IF(C733="","",IF(AM733="Clawed Back","CLAWED",IF(TODAY()&lt;=C733+SETTINGS!$I$2,"⚠ AT RISK","SAFE")))</f>
        <v/>
      </c>
      <c r="AU733" s="28"/>
      <c r="AW733" s="24" t="n">
        <f aca="false">AW732+IF(AND(C733&lt;&gt;"",AO733&lt;&gt;"",OR('REP COMMISSION'!$B$3="",T733='REP COMMISSION'!$B$3,W733='REP COMMISSION'!$B$3,Z733='REP COMMISSION'!$B$3)),1,0)</f>
        <v>0</v>
      </c>
      <c r="AX733" s="24" t="n">
        <f aca="false">AX732+IF(AND(C733&lt;&gt;"",OR(F733="LOC - INITIAL",F733="CONSOLIDATION - UPFRONT COMM",F733="REVERSE - TOTAL FUNDING")),1,0)</f>
        <v>0</v>
      </c>
    </row>
    <row r="734" customFormat="false" ht="15" hidden="false" customHeight="false" outlineLevel="0" collapsed="false">
      <c r="A734" s="8" t="str">
        <f aca="false">IF(C734&lt;&gt;"","F"&amp;COUNT($C$4:C734),"")</f>
        <v/>
      </c>
      <c r="B734" s="9" t="str">
        <f aca="false">IF(OR(F734="LOC - INITIAL",F734="CONSOLIDATION - UPFRONT COMM",F734="REVERSE - TOTAL FUNDING"),A734,"")</f>
        <v/>
      </c>
      <c r="C734" s="10"/>
      <c r="D734" s="11"/>
      <c r="E734" s="11"/>
      <c r="F734" s="11"/>
      <c r="G734" s="12"/>
      <c r="H734" s="13"/>
      <c r="I734" s="11"/>
      <c r="J734" s="14" t="str">
        <f aca="false">IF(AND(G734&lt;&gt;"",H734&lt;&gt;""),G734*H734,"")</f>
        <v/>
      </c>
      <c r="K734" s="11"/>
      <c r="L734" s="15"/>
      <c r="M734" s="15"/>
      <c r="N734" s="14" t="n">
        <f aca="false">IF(OR(G734="",M734=""),0,IF(M734&gt;100,M734,G734*IF(M734&gt;1,M734/100,M734)))</f>
        <v>0</v>
      </c>
      <c r="O734" s="14" t="str">
        <f aca="false">IF(G734="","",G734*IF(L734="",0,IF(L734&gt;1,L734/100,L734))+N734)</f>
        <v/>
      </c>
      <c r="P734" s="11"/>
      <c r="Q734" s="16" t="str">
        <f aca="false">IF(P734="","",IFERROR(VLOOKUP(P734,PARTNERS!$A$2:$B$30,2,0),""))</f>
        <v/>
      </c>
      <c r="R734" s="17" t="str">
        <f aca="false">IF(O734="","",IF(OR(P734="",Q734=""),0,(O734-N734)*IF(Q734&gt;1,Q734/100,Q734)))</f>
        <v/>
      </c>
      <c r="S734" s="14" t="str">
        <f aca="false">IF(O734="","",O734-R734)</f>
        <v/>
      </c>
      <c r="T734" s="11"/>
      <c r="U734" s="18" t="str">
        <f aca="false">IF(T734="","",IFERROR(VLOOKUP(T734,REPS!$A$2:$D$40,2,0),""))</f>
        <v/>
      </c>
      <c r="V734" s="14" t="str">
        <f aca="false">IF(O734="","",IF(U734="",0,O734*IF(U734&gt;1,U734/100,U734)))</f>
        <v/>
      </c>
      <c r="W734" s="11"/>
      <c r="X734" s="18" t="str">
        <f aca="false">IF(W734="","",IFERROR(VLOOKUP(W734,REPS!$A$2:$D$40,3,0),""))</f>
        <v/>
      </c>
      <c r="Y734" s="14" t="str">
        <f aca="false">IF(O734="","",IF(X734="",0,O734*IF(X734&gt;1,X734/100,X734)))</f>
        <v/>
      </c>
      <c r="Z734" s="11"/>
      <c r="AA734" s="18" t="str">
        <f aca="false">IF(Z734="","",IFERROR(VLOOKUP(Z734,REPS!$A$2:$D$40,4,0),""))</f>
        <v/>
      </c>
      <c r="AB734" s="14" t="str">
        <f aca="false">IF(O734="","",IF(AA734="",0,O734*IF(AA734&gt;1,AA734/100,AA734)))</f>
        <v/>
      </c>
      <c r="AC734" s="14" t="str">
        <f aca="false">IF(O734="","",V734+Y734+AB734)</f>
        <v/>
      </c>
      <c r="AD734" s="19" t="str">
        <f aca="false">IF(O734="","",O734-R734-AC734)</f>
        <v/>
      </c>
      <c r="AE734" s="20"/>
      <c r="AF734" s="10"/>
      <c r="AG734" s="21" t="n">
        <f aca="false">IF(OR(AE734="",AE734=0),0,AE734*IF(U734="",0,IF(U734&gt;1,U734/100,U734)))</f>
        <v>0</v>
      </c>
      <c r="AH734" s="21" t="n">
        <f aca="false">IF(OR(AE734="",AE734=0),0,AE734*IF(X734="",0,IF(X734&gt;1,X734/100,X734)))</f>
        <v>0</v>
      </c>
      <c r="AI734" s="21" t="n">
        <f aca="false">IF(OR(AE734="",AE734=0),0,AE734*IF(AA734="",0,IF(AA734&gt;1,AA734/100,AA734)))</f>
        <v>0</v>
      </c>
      <c r="AJ734" s="21" t="n">
        <f aca="false">AG734+AH734+AI734</f>
        <v>0</v>
      </c>
      <c r="AK734" s="21" t="n">
        <f aca="false">IF(OR(AE734="",AE734=0),0,AE734-AJ734)</f>
        <v>0</v>
      </c>
      <c r="AL734" s="19" t="str">
        <f aca="false">IF(AD734="","",AD734-AK734)</f>
        <v/>
      </c>
      <c r="AM734" s="9" t="str">
        <f aca="false">IF(C734="","","Waiting for payment")</f>
        <v/>
      </c>
      <c r="AN734" s="10"/>
      <c r="AO734" s="10"/>
      <c r="AP734" s="22" t="str">
        <f aca="false">IF(OR(C734="",I734="",K734=""),"",IF(K734="Monthly",EDATE(C734,ROUND(I734*SETTINGS!$I$8,0)),WORKDAY(C734,ROUND(I734*SETTINGS!$I$8,0))))</f>
        <v/>
      </c>
      <c r="AQ734" s="9" t="str">
        <f aca="true">IF(C734="","",IF(AND(AP734&lt;&gt;"",TODAY()&gt;=AP734),"Refi Ready",IF(TODAY()-C734&gt;=SETTINGS!$I$11,"Prospecting","Performing")))</f>
        <v/>
      </c>
      <c r="AR734" s="22" t="str">
        <f aca="false">IF(OR(C734="",I734="",K734=""),"",IF(K734="Monthly",EDATE(C734,I734),WORKDAY(C734,I734)))</f>
        <v/>
      </c>
      <c r="AS734" s="11"/>
      <c r="AT734" s="23" t="str">
        <f aca="true">IF(C734="","",IF(AM734="Clawed Back","CLAWED",IF(TODAY()&lt;=C734+SETTINGS!$I$2,"⚠ AT RISK","SAFE")))</f>
        <v/>
      </c>
      <c r="AU734" s="11"/>
      <c r="AW734" s="24" t="n">
        <f aca="false">AW733+IF(AND(C734&lt;&gt;"",AO734&lt;&gt;"",OR('REP COMMISSION'!$B$3="",T734='REP COMMISSION'!$B$3,W734='REP COMMISSION'!$B$3,Z734='REP COMMISSION'!$B$3)),1,0)</f>
        <v>0</v>
      </c>
      <c r="AX734" s="24" t="n">
        <f aca="false">AX733+IF(AND(C734&lt;&gt;"",OR(F734="LOC - INITIAL",F734="CONSOLIDATION - UPFRONT COMM",F734="REVERSE - TOTAL FUNDING")),1,0)</f>
        <v>0</v>
      </c>
    </row>
    <row r="735" customFormat="false" ht="15" hidden="false" customHeight="false" outlineLevel="0" collapsed="false">
      <c r="A735" s="25" t="str">
        <f aca="false">IF(C735&lt;&gt;"","F"&amp;COUNT($C$4:C735),"")</f>
        <v/>
      </c>
      <c r="B735" s="26" t="str">
        <f aca="false">IF(OR(F735="LOC - INITIAL",F735="CONSOLIDATION - UPFRONT COMM",F735="REVERSE - TOTAL FUNDING"),A735,"")</f>
        <v/>
      </c>
      <c r="C735" s="27"/>
      <c r="D735" s="28"/>
      <c r="E735" s="28"/>
      <c r="F735" s="28"/>
      <c r="G735" s="29"/>
      <c r="H735" s="30"/>
      <c r="I735" s="28"/>
      <c r="J735" s="31" t="str">
        <f aca="false">IF(AND(G735&lt;&gt;"",H735&lt;&gt;""),G735*H735,"")</f>
        <v/>
      </c>
      <c r="K735" s="28"/>
      <c r="L735" s="32"/>
      <c r="M735" s="32"/>
      <c r="N735" s="31" t="n">
        <f aca="false">IF(OR(G735="",M735=""),0,IF(M735&gt;100,M735,G735*IF(M735&gt;1,M735/100,M735)))</f>
        <v>0</v>
      </c>
      <c r="O735" s="31" t="str">
        <f aca="false">IF(G735="","",G735*IF(L735="",0,IF(L735&gt;1,L735/100,L735))+N735)</f>
        <v/>
      </c>
      <c r="P735" s="28"/>
      <c r="Q735" s="33" t="str">
        <f aca="false">IF(P735="","",IFERROR(VLOOKUP(P735,PARTNERS!$A$2:$B$30,2,0),""))</f>
        <v/>
      </c>
      <c r="R735" s="17" t="str">
        <f aca="false">IF(O735="","",IF(OR(P735="",Q735=""),0,(O735-N735)*IF(Q735&gt;1,Q735/100,Q735)))</f>
        <v/>
      </c>
      <c r="S735" s="31" t="str">
        <f aca="false">IF(O735="","",O735-R735)</f>
        <v/>
      </c>
      <c r="T735" s="28"/>
      <c r="U735" s="34" t="str">
        <f aca="false">IF(T735="","",IFERROR(VLOOKUP(T735,REPS!$A$2:$D$40,2,0),""))</f>
        <v/>
      </c>
      <c r="V735" s="31" t="str">
        <f aca="false">IF(O735="","",IF(U735="",0,O735*IF(U735&gt;1,U735/100,U735)))</f>
        <v/>
      </c>
      <c r="W735" s="28"/>
      <c r="X735" s="34" t="str">
        <f aca="false">IF(W735="","",IFERROR(VLOOKUP(W735,REPS!$A$2:$D$40,3,0),""))</f>
        <v/>
      </c>
      <c r="Y735" s="31" t="str">
        <f aca="false">IF(O735="","",IF(X735="",0,O735*IF(X735&gt;1,X735/100,X735)))</f>
        <v/>
      </c>
      <c r="Z735" s="28"/>
      <c r="AA735" s="34" t="str">
        <f aca="false">IF(Z735="","",IFERROR(VLOOKUP(Z735,REPS!$A$2:$D$40,4,0),""))</f>
        <v/>
      </c>
      <c r="AB735" s="31" t="str">
        <f aca="false">IF(O735="","",IF(AA735="",0,O735*IF(AA735&gt;1,AA735/100,AA735)))</f>
        <v/>
      </c>
      <c r="AC735" s="31" t="str">
        <f aca="false">IF(O735="","",V735+Y735+AB735)</f>
        <v/>
      </c>
      <c r="AD735" s="19" t="str">
        <f aca="false">IF(O735="","",O735-R735-AC735)</f>
        <v/>
      </c>
      <c r="AE735" s="20"/>
      <c r="AF735" s="27"/>
      <c r="AG735" s="21" t="n">
        <f aca="false">IF(OR(AE735="",AE735=0),0,AE735*IF(U735="",0,IF(U735&gt;1,U735/100,U735)))</f>
        <v>0</v>
      </c>
      <c r="AH735" s="21" t="n">
        <f aca="false">IF(OR(AE735="",AE735=0),0,AE735*IF(X735="",0,IF(X735&gt;1,X735/100,X735)))</f>
        <v>0</v>
      </c>
      <c r="AI735" s="21" t="n">
        <f aca="false">IF(OR(AE735="",AE735=0),0,AE735*IF(AA735="",0,IF(AA735&gt;1,AA735/100,AA735)))</f>
        <v>0</v>
      </c>
      <c r="AJ735" s="21" t="n">
        <f aca="false">AG735+AH735+AI735</f>
        <v>0</v>
      </c>
      <c r="AK735" s="21" t="n">
        <f aca="false">IF(OR(AE735="",AE735=0),0,AE735-AJ735)</f>
        <v>0</v>
      </c>
      <c r="AL735" s="19" t="str">
        <f aca="false">IF(AD735="","",AD735-AK735)</f>
        <v/>
      </c>
      <c r="AM735" s="26" t="str">
        <f aca="false">IF(C735="","","Waiting for payment")</f>
        <v/>
      </c>
      <c r="AN735" s="27"/>
      <c r="AO735" s="27"/>
      <c r="AP735" s="35" t="str">
        <f aca="false">IF(OR(C735="",I735="",K735=""),"",IF(K735="Monthly",EDATE(C735,ROUND(I735*SETTINGS!$I$8,0)),WORKDAY(C735,ROUND(I735*SETTINGS!$I$8,0))))</f>
        <v/>
      </c>
      <c r="AQ735" s="26" t="str">
        <f aca="true">IF(C735="","",IF(AND(AP735&lt;&gt;"",TODAY()&gt;=AP735),"Refi Ready",IF(TODAY()-C735&gt;=SETTINGS!$I$11,"Prospecting","Performing")))</f>
        <v/>
      </c>
      <c r="AR735" s="35" t="str">
        <f aca="false">IF(OR(C735="",I735="",K735=""),"",IF(K735="Monthly",EDATE(C735,I735),WORKDAY(C735,I735)))</f>
        <v/>
      </c>
      <c r="AS735" s="28"/>
      <c r="AT735" s="36" t="str">
        <f aca="true">IF(C735="","",IF(AM735="Clawed Back","CLAWED",IF(TODAY()&lt;=C735+SETTINGS!$I$2,"⚠ AT RISK","SAFE")))</f>
        <v/>
      </c>
      <c r="AU735" s="28"/>
      <c r="AW735" s="24" t="n">
        <f aca="false">AW734+IF(AND(C735&lt;&gt;"",AO735&lt;&gt;"",OR('REP COMMISSION'!$B$3="",T735='REP COMMISSION'!$B$3,W735='REP COMMISSION'!$B$3,Z735='REP COMMISSION'!$B$3)),1,0)</f>
        <v>0</v>
      </c>
      <c r="AX735" s="24" t="n">
        <f aca="false">AX734+IF(AND(C735&lt;&gt;"",OR(F735="LOC - INITIAL",F735="CONSOLIDATION - UPFRONT COMM",F735="REVERSE - TOTAL FUNDING")),1,0)</f>
        <v>0</v>
      </c>
    </row>
    <row r="736" customFormat="false" ht="15" hidden="false" customHeight="false" outlineLevel="0" collapsed="false">
      <c r="A736" s="8" t="str">
        <f aca="false">IF(C736&lt;&gt;"","F"&amp;COUNT($C$4:C736),"")</f>
        <v/>
      </c>
      <c r="B736" s="9" t="str">
        <f aca="false">IF(OR(F736="LOC - INITIAL",F736="CONSOLIDATION - UPFRONT COMM",F736="REVERSE - TOTAL FUNDING"),A736,"")</f>
        <v/>
      </c>
      <c r="C736" s="10"/>
      <c r="D736" s="11"/>
      <c r="E736" s="11"/>
      <c r="F736" s="11"/>
      <c r="G736" s="12"/>
      <c r="H736" s="13"/>
      <c r="I736" s="11"/>
      <c r="J736" s="14" t="str">
        <f aca="false">IF(AND(G736&lt;&gt;"",H736&lt;&gt;""),G736*H736,"")</f>
        <v/>
      </c>
      <c r="K736" s="11"/>
      <c r="L736" s="15"/>
      <c r="M736" s="15"/>
      <c r="N736" s="14" t="n">
        <f aca="false">IF(OR(G736="",M736=""),0,IF(M736&gt;100,M736,G736*IF(M736&gt;1,M736/100,M736)))</f>
        <v>0</v>
      </c>
      <c r="O736" s="14" t="str">
        <f aca="false">IF(G736="","",G736*IF(L736="",0,IF(L736&gt;1,L736/100,L736))+N736)</f>
        <v/>
      </c>
      <c r="P736" s="11"/>
      <c r="Q736" s="16" t="str">
        <f aca="false">IF(P736="","",IFERROR(VLOOKUP(P736,PARTNERS!$A$2:$B$30,2,0),""))</f>
        <v/>
      </c>
      <c r="R736" s="17" t="str">
        <f aca="false">IF(O736="","",IF(OR(P736="",Q736=""),0,(O736-N736)*IF(Q736&gt;1,Q736/100,Q736)))</f>
        <v/>
      </c>
      <c r="S736" s="14" t="str">
        <f aca="false">IF(O736="","",O736-R736)</f>
        <v/>
      </c>
      <c r="T736" s="11"/>
      <c r="U736" s="18" t="str">
        <f aca="false">IF(T736="","",IFERROR(VLOOKUP(T736,REPS!$A$2:$D$40,2,0),""))</f>
        <v/>
      </c>
      <c r="V736" s="14" t="str">
        <f aca="false">IF(O736="","",IF(U736="",0,O736*IF(U736&gt;1,U736/100,U736)))</f>
        <v/>
      </c>
      <c r="W736" s="11"/>
      <c r="X736" s="18" t="str">
        <f aca="false">IF(W736="","",IFERROR(VLOOKUP(W736,REPS!$A$2:$D$40,3,0),""))</f>
        <v/>
      </c>
      <c r="Y736" s="14" t="str">
        <f aca="false">IF(O736="","",IF(X736="",0,O736*IF(X736&gt;1,X736/100,X736)))</f>
        <v/>
      </c>
      <c r="Z736" s="11"/>
      <c r="AA736" s="18" t="str">
        <f aca="false">IF(Z736="","",IFERROR(VLOOKUP(Z736,REPS!$A$2:$D$40,4,0),""))</f>
        <v/>
      </c>
      <c r="AB736" s="14" t="str">
        <f aca="false">IF(O736="","",IF(AA736="",0,O736*IF(AA736&gt;1,AA736/100,AA736)))</f>
        <v/>
      </c>
      <c r="AC736" s="14" t="str">
        <f aca="false">IF(O736="","",V736+Y736+AB736)</f>
        <v/>
      </c>
      <c r="AD736" s="19" t="str">
        <f aca="false">IF(O736="","",O736-R736-AC736)</f>
        <v/>
      </c>
      <c r="AE736" s="20"/>
      <c r="AF736" s="10"/>
      <c r="AG736" s="21" t="n">
        <f aca="false">IF(OR(AE736="",AE736=0),0,AE736*IF(U736="",0,IF(U736&gt;1,U736/100,U736)))</f>
        <v>0</v>
      </c>
      <c r="AH736" s="21" t="n">
        <f aca="false">IF(OR(AE736="",AE736=0),0,AE736*IF(X736="",0,IF(X736&gt;1,X736/100,X736)))</f>
        <v>0</v>
      </c>
      <c r="AI736" s="21" t="n">
        <f aca="false">IF(OR(AE736="",AE736=0),0,AE736*IF(AA736="",0,IF(AA736&gt;1,AA736/100,AA736)))</f>
        <v>0</v>
      </c>
      <c r="AJ736" s="21" t="n">
        <f aca="false">AG736+AH736+AI736</f>
        <v>0</v>
      </c>
      <c r="AK736" s="21" t="n">
        <f aca="false">IF(OR(AE736="",AE736=0),0,AE736-AJ736)</f>
        <v>0</v>
      </c>
      <c r="AL736" s="19" t="str">
        <f aca="false">IF(AD736="","",AD736-AK736)</f>
        <v/>
      </c>
      <c r="AM736" s="9" t="str">
        <f aca="false">IF(C736="","","Waiting for payment")</f>
        <v/>
      </c>
      <c r="AN736" s="10"/>
      <c r="AO736" s="10"/>
      <c r="AP736" s="22" t="str">
        <f aca="false">IF(OR(C736="",I736="",K736=""),"",IF(K736="Monthly",EDATE(C736,ROUND(I736*SETTINGS!$I$8,0)),WORKDAY(C736,ROUND(I736*SETTINGS!$I$8,0))))</f>
        <v/>
      </c>
      <c r="AQ736" s="9" t="str">
        <f aca="true">IF(C736="","",IF(AND(AP736&lt;&gt;"",TODAY()&gt;=AP736),"Refi Ready",IF(TODAY()-C736&gt;=SETTINGS!$I$11,"Prospecting","Performing")))</f>
        <v/>
      </c>
      <c r="AR736" s="22" t="str">
        <f aca="false">IF(OR(C736="",I736="",K736=""),"",IF(K736="Monthly",EDATE(C736,I736),WORKDAY(C736,I736)))</f>
        <v/>
      </c>
      <c r="AS736" s="11"/>
      <c r="AT736" s="23" t="str">
        <f aca="true">IF(C736="","",IF(AM736="Clawed Back","CLAWED",IF(TODAY()&lt;=C736+SETTINGS!$I$2,"⚠ AT RISK","SAFE")))</f>
        <v/>
      </c>
      <c r="AU736" s="11"/>
      <c r="AW736" s="24" t="n">
        <f aca="false">AW735+IF(AND(C736&lt;&gt;"",AO736&lt;&gt;"",OR('REP COMMISSION'!$B$3="",T736='REP COMMISSION'!$B$3,W736='REP COMMISSION'!$B$3,Z736='REP COMMISSION'!$B$3)),1,0)</f>
        <v>0</v>
      </c>
      <c r="AX736" s="24" t="n">
        <f aca="false">AX735+IF(AND(C736&lt;&gt;"",OR(F736="LOC - INITIAL",F736="CONSOLIDATION - UPFRONT COMM",F736="REVERSE - TOTAL FUNDING")),1,0)</f>
        <v>0</v>
      </c>
    </row>
    <row r="737" customFormat="false" ht="15" hidden="false" customHeight="false" outlineLevel="0" collapsed="false">
      <c r="A737" s="25" t="str">
        <f aca="false">IF(C737&lt;&gt;"","F"&amp;COUNT($C$4:C737),"")</f>
        <v/>
      </c>
      <c r="B737" s="26" t="str">
        <f aca="false">IF(OR(F737="LOC - INITIAL",F737="CONSOLIDATION - UPFRONT COMM",F737="REVERSE - TOTAL FUNDING"),A737,"")</f>
        <v/>
      </c>
      <c r="C737" s="27"/>
      <c r="D737" s="28"/>
      <c r="E737" s="28"/>
      <c r="F737" s="28"/>
      <c r="G737" s="29"/>
      <c r="H737" s="30"/>
      <c r="I737" s="28"/>
      <c r="J737" s="31" t="str">
        <f aca="false">IF(AND(G737&lt;&gt;"",H737&lt;&gt;""),G737*H737,"")</f>
        <v/>
      </c>
      <c r="K737" s="28"/>
      <c r="L737" s="32"/>
      <c r="M737" s="32"/>
      <c r="N737" s="31" t="n">
        <f aca="false">IF(OR(G737="",M737=""),0,IF(M737&gt;100,M737,G737*IF(M737&gt;1,M737/100,M737)))</f>
        <v>0</v>
      </c>
      <c r="O737" s="31" t="str">
        <f aca="false">IF(G737="","",G737*IF(L737="",0,IF(L737&gt;1,L737/100,L737))+N737)</f>
        <v/>
      </c>
      <c r="P737" s="28"/>
      <c r="Q737" s="33" t="str">
        <f aca="false">IF(P737="","",IFERROR(VLOOKUP(P737,PARTNERS!$A$2:$B$30,2,0),""))</f>
        <v/>
      </c>
      <c r="R737" s="17" t="str">
        <f aca="false">IF(O737="","",IF(OR(P737="",Q737=""),0,(O737-N737)*IF(Q737&gt;1,Q737/100,Q737)))</f>
        <v/>
      </c>
      <c r="S737" s="31" t="str">
        <f aca="false">IF(O737="","",O737-R737)</f>
        <v/>
      </c>
      <c r="T737" s="28"/>
      <c r="U737" s="34" t="str">
        <f aca="false">IF(T737="","",IFERROR(VLOOKUP(T737,REPS!$A$2:$D$40,2,0),""))</f>
        <v/>
      </c>
      <c r="V737" s="31" t="str">
        <f aca="false">IF(O737="","",IF(U737="",0,O737*IF(U737&gt;1,U737/100,U737)))</f>
        <v/>
      </c>
      <c r="W737" s="28"/>
      <c r="X737" s="34" t="str">
        <f aca="false">IF(W737="","",IFERROR(VLOOKUP(W737,REPS!$A$2:$D$40,3,0),""))</f>
        <v/>
      </c>
      <c r="Y737" s="31" t="str">
        <f aca="false">IF(O737="","",IF(X737="",0,O737*IF(X737&gt;1,X737/100,X737)))</f>
        <v/>
      </c>
      <c r="Z737" s="28"/>
      <c r="AA737" s="34" t="str">
        <f aca="false">IF(Z737="","",IFERROR(VLOOKUP(Z737,REPS!$A$2:$D$40,4,0),""))</f>
        <v/>
      </c>
      <c r="AB737" s="31" t="str">
        <f aca="false">IF(O737="","",IF(AA737="",0,O737*IF(AA737&gt;1,AA737/100,AA737)))</f>
        <v/>
      </c>
      <c r="AC737" s="31" t="str">
        <f aca="false">IF(O737="","",V737+Y737+AB737)</f>
        <v/>
      </c>
      <c r="AD737" s="19" t="str">
        <f aca="false">IF(O737="","",O737-R737-AC737)</f>
        <v/>
      </c>
      <c r="AE737" s="20"/>
      <c r="AF737" s="27"/>
      <c r="AG737" s="21" t="n">
        <f aca="false">IF(OR(AE737="",AE737=0),0,AE737*IF(U737="",0,IF(U737&gt;1,U737/100,U737)))</f>
        <v>0</v>
      </c>
      <c r="AH737" s="21" t="n">
        <f aca="false">IF(OR(AE737="",AE737=0),0,AE737*IF(X737="",0,IF(X737&gt;1,X737/100,X737)))</f>
        <v>0</v>
      </c>
      <c r="AI737" s="21" t="n">
        <f aca="false">IF(OR(AE737="",AE737=0),0,AE737*IF(AA737="",0,IF(AA737&gt;1,AA737/100,AA737)))</f>
        <v>0</v>
      </c>
      <c r="AJ737" s="21" t="n">
        <f aca="false">AG737+AH737+AI737</f>
        <v>0</v>
      </c>
      <c r="AK737" s="21" t="n">
        <f aca="false">IF(OR(AE737="",AE737=0),0,AE737-AJ737)</f>
        <v>0</v>
      </c>
      <c r="AL737" s="19" t="str">
        <f aca="false">IF(AD737="","",AD737-AK737)</f>
        <v/>
      </c>
      <c r="AM737" s="26" t="str">
        <f aca="false">IF(C737="","","Waiting for payment")</f>
        <v/>
      </c>
      <c r="AN737" s="27"/>
      <c r="AO737" s="27"/>
      <c r="AP737" s="35" t="str">
        <f aca="false">IF(OR(C737="",I737="",K737=""),"",IF(K737="Monthly",EDATE(C737,ROUND(I737*SETTINGS!$I$8,0)),WORKDAY(C737,ROUND(I737*SETTINGS!$I$8,0))))</f>
        <v/>
      </c>
      <c r="AQ737" s="26" t="str">
        <f aca="true">IF(C737="","",IF(AND(AP737&lt;&gt;"",TODAY()&gt;=AP737),"Refi Ready",IF(TODAY()-C737&gt;=SETTINGS!$I$11,"Prospecting","Performing")))</f>
        <v/>
      </c>
      <c r="AR737" s="35" t="str">
        <f aca="false">IF(OR(C737="",I737="",K737=""),"",IF(K737="Monthly",EDATE(C737,I737),WORKDAY(C737,I737)))</f>
        <v/>
      </c>
      <c r="AS737" s="28"/>
      <c r="AT737" s="36" t="str">
        <f aca="true">IF(C737="","",IF(AM737="Clawed Back","CLAWED",IF(TODAY()&lt;=C737+SETTINGS!$I$2,"⚠ AT RISK","SAFE")))</f>
        <v/>
      </c>
      <c r="AU737" s="28"/>
      <c r="AW737" s="24" t="n">
        <f aca="false">AW736+IF(AND(C737&lt;&gt;"",AO737&lt;&gt;"",OR('REP COMMISSION'!$B$3="",T737='REP COMMISSION'!$B$3,W737='REP COMMISSION'!$B$3,Z737='REP COMMISSION'!$B$3)),1,0)</f>
        <v>0</v>
      </c>
      <c r="AX737" s="24" t="n">
        <f aca="false">AX736+IF(AND(C737&lt;&gt;"",OR(F737="LOC - INITIAL",F737="CONSOLIDATION - UPFRONT COMM",F737="REVERSE - TOTAL FUNDING")),1,0)</f>
        <v>0</v>
      </c>
    </row>
    <row r="738" customFormat="false" ht="15" hidden="false" customHeight="false" outlineLevel="0" collapsed="false">
      <c r="A738" s="8" t="str">
        <f aca="false">IF(C738&lt;&gt;"","F"&amp;COUNT($C$4:C738),"")</f>
        <v/>
      </c>
      <c r="B738" s="9" t="str">
        <f aca="false">IF(OR(F738="LOC - INITIAL",F738="CONSOLIDATION - UPFRONT COMM",F738="REVERSE - TOTAL FUNDING"),A738,"")</f>
        <v/>
      </c>
      <c r="C738" s="10"/>
      <c r="D738" s="11"/>
      <c r="E738" s="11"/>
      <c r="F738" s="11"/>
      <c r="G738" s="12"/>
      <c r="H738" s="13"/>
      <c r="I738" s="11"/>
      <c r="J738" s="14" t="str">
        <f aca="false">IF(AND(G738&lt;&gt;"",H738&lt;&gt;""),G738*H738,"")</f>
        <v/>
      </c>
      <c r="K738" s="11"/>
      <c r="L738" s="15"/>
      <c r="M738" s="15"/>
      <c r="N738" s="14" t="n">
        <f aca="false">IF(OR(G738="",M738=""),0,IF(M738&gt;100,M738,G738*IF(M738&gt;1,M738/100,M738)))</f>
        <v>0</v>
      </c>
      <c r="O738" s="14" t="str">
        <f aca="false">IF(G738="","",G738*IF(L738="",0,IF(L738&gt;1,L738/100,L738))+N738)</f>
        <v/>
      </c>
      <c r="P738" s="11"/>
      <c r="Q738" s="16" t="str">
        <f aca="false">IF(P738="","",IFERROR(VLOOKUP(P738,PARTNERS!$A$2:$B$30,2,0),""))</f>
        <v/>
      </c>
      <c r="R738" s="17" t="str">
        <f aca="false">IF(O738="","",IF(OR(P738="",Q738=""),0,(O738-N738)*IF(Q738&gt;1,Q738/100,Q738)))</f>
        <v/>
      </c>
      <c r="S738" s="14" t="str">
        <f aca="false">IF(O738="","",O738-R738)</f>
        <v/>
      </c>
      <c r="T738" s="11"/>
      <c r="U738" s="18" t="str">
        <f aca="false">IF(T738="","",IFERROR(VLOOKUP(T738,REPS!$A$2:$D$40,2,0),""))</f>
        <v/>
      </c>
      <c r="V738" s="14" t="str">
        <f aca="false">IF(O738="","",IF(U738="",0,O738*IF(U738&gt;1,U738/100,U738)))</f>
        <v/>
      </c>
      <c r="W738" s="11"/>
      <c r="X738" s="18" t="str">
        <f aca="false">IF(W738="","",IFERROR(VLOOKUP(W738,REPS!$A$2:$D$40,3,0),""))</f>
        <v/>
      </c>
      <c r="Y738" s="14" t="str">
        <f aca="false">IF(O738="","",IF(X738="",0,O738*IF(X738&gt;1,X738/100,X738)))</f>
        <v/>
      </c>
      <c r="Z738" s="11"/>
      <c r="AA738" s="18" t="str">
        <f aca="false">IF(Z738="","",IFERROR(VLOOKUP(Z738,REPS!$A$2:$D$40,4,0),""))</f>
        <v/>
      </c>
      <c r="AB738" s="14" t="str">
        <f aca="false">IF(O738="","",IF(AA738="",0,O738*IF(AA738&gt;1,AA738/100,AA738)))</f>
        <v/>
      </c>
      <c r="AC738" s="14" t="str">
        <f aca="false">IF(O738="","",V738+Y738+AB738)</f>
        <v/>
      </c>
      <c r="AD738" s="19" t="str">
        <f aca="false">IF(O738="","",O738-R738-AC738)</f>
        <v/>
      </c>
      <c r="AE738" s="20"/>
      <c r="AF738" s="10"/>
      <c r="AG738" s="21" t="n">
        <f aca="false">IF(OR(AE738="",AE738=0),0,AE738*IF(U738="",0,IF(U738&gt;1,U738/100,U738)))</f>
        <v>0</v>
      </c>
      <c r="AH738" s="21" t="n">
        <f aca="false">IF(OR(AE738="",AE738=0),0,AE738*IF(X738="",0,IF(X738&gt;1,X738/100,X738)))</f>
        <v>0</v>
      </c>
      <c r="AI738" s="21" t="n">
        <f aca="false">IF(OR(AE738="",AE738=0),0,AE738*IF(AA738="",0,IF(AA738&gt;1,AA738/100,AA738)))</f>
        <v>0</v>
      </c>
      <c r="AJ738" s="21" t="n">
        <f aca="false">AG738+AH738+AI738</f>
        <v>0</v>
      </c>
      <c r="AK738" s="21" t="n">
        <f aca="false">IF(OR(AE738="",AE738=0),0,AE738-AJ738)</f>
        <v>0</v>
      </c>
      <c r="AL738" s="19" t="str">
        <f aca="false">IF(AD738="","",AD738-AK738)</f>
        <v/>
      </c>
      <c r="AM738" s="9" t="str">
        <f aca="false">IF(C738="","","Waiting for payment")</f>
        <v/>
      </c>
      <c r="AN738" s="10"/>
      <c r="AO738" s="10"/>
      <c r="AP738" s="22" t="str">
        <f aca="false">IF(OR(C738="",I738="",K738=""),"",IF(K738="Monthly",EDATE(C738,ROUND(I738*SETTINGS!$I$8,0)),WORKDAY(C738,ROUND(I738*SETTINGS!$I$8,0))))</f>
        <v/>
      </c>
      <c r="AQ738" s="9" t="str">
        <f aca="true">IF(C738="","",IF(AND(AP738&lt;&gt;"",TODAY()&gt;=AP738),"Refi Ready",IF(TODAY()-C738&gt;=SETTINGS!$I$11,"Prospecting","Performing")))</f>
        <v/>
      </c>
      <c r="AR738" s="22" t="str">
        <f aca="false">IF(OR(C738="",I738="",K738=""),"",IF(K738="Monthly",EDATE(C738,I738),WORKDAY(C738,I738)))</f>
        <v/>
      </c>
      <c r="AS738" s="11"/>
      <c r="AT738" s="23" t="str">
        <f aca="true">IF(C738="","",IF(AM738="Clawed Back","CLAWED",IF(TODAY()&lt;=C738+SETTINGS!$I$2,"⚠ AT RISK","SAFE")))</f>
        <v/>
      </c>
      <c r="AU738" s="11"/>
      <c r="AW738" s="24" t="n">
        <f aca="false">AW737+IF(AND(C738&lt;&gt;"",AO738&lt;&gt;"",OR('REP COMMISSION'!$B$3="",T738='REP COMMISSION'!$B$3,W738='REP COMMISSION'!$B$3,Z738='REP COMMISSION'!$B$3)),1,0)</f>
        <v>0</v>
      </c>
      <c r="AX738" s="24" t="n">
        <f aca="false">AX737+IF(AND(C738&lt;&gt;"",OR(F738="LOC - INITIAL",F738="CONSOLIDATION - UPFRONT COMM",F738="REVERSE - TOTAL FUNDING")),1,0)</f>
        <v>0</v>
      </c>
    </row>
    <row r="739" customFormat="false" ht="15" hidden="false" customHeight="false" outlineLevel="0" collapsed="false">
      <c r="A739" s="25" t="str">
        <f aca="false">IF(C739&lt;&gt;"","F"&amp;COUNT($C$4:C739),"")</f>
        <v/>
      </c>
      <c r="B739" s="26" t="str">
        <f aca="false">IF(OR(F739="LOC - INITIAL",F739="CONSOLIDATION - UPFRONT COMM",F739="REVERSE - TOTAL FUNDING"),A739,"")</f>
        <v/>
      </c>
      <c r="C739" s="27"/>
      <c r="D739" s="28"/>
      <c r="E739" s="28"/>
      <c r="F739" s="28"/>
      <c r="G739" s="29"/>
      <c r="H739" s="30"/>
      <c r="I739" s="28"/>
      <c r="J739" s="31" t="str">
        <f aca="false">IF(AND(G739&lt;&gt;"",H739&lt;&gt;""),G739*H739,"")</f>
        <v/>
      </c>
      <c r="K739" s="28"/>
      <c r="L739" s="32"/>
      <c r="M739" s="32"/>
      <c r="N739" s="31" t="n">
        <f aca="false">IF(OR(G739="",M739=""),0,IF(M739&gt;100,M739,G739*IF(M739&gt;1,M739/100,M739)))</f>
        <v>0</v>
      </c>
      <c r="O739" s="31" t="str">
        <f aca="false">IF(G739="","",G739*IF(L739="",0,IF(L739&gt;1,L739/100,L739))+N739)</f>
        <v/>
      </c>
      <c r="P739" s="28"/>
      <c r="Q739" s="33" t="str">
        <f aca="false">IF(P739="","",IFERROR(VLOOKUP(P739,PARTNERS!$A$2:$B$30,2,0),""))</f>
        <v/>
      </c>
      <c r="R739" s="17" t="str">
        <f aca="false">IF(O739="","",IF(OR(P739="",Q739=""),0,(O739-N739)*IF(Q739&gt;1,Q739/100,Q739)))</f>
        <v/>
      </c>
      <c r="S739" s="31" t="str">
        <f aca="false">IF(O739="","",O739-R739)</f>
        <v/>
      </c>
      <c r="T739" s="28"/>
      <c r="U739" s="34" t="str">
        <f aca="false">IF(T739="","",IFERROR(VLOOKUP(T739,REPS!$A$2:$D$40,2,0),""))</f>
        <v/>
      </c>
      <c r="V739" s="31" t="str">
        <f aca="false">IF(O739="","",IF(U739="",0,O739*IF(U739&gt;1,U739/100,U739)))</f>
        <v/>
      </c>
      <c r="W739" s="28"/>
      <c r="X739" s="34" t="str">
        <f aca="false">IF(W739="","",IFERROR(VLOOKUP(W739,REPS!$A$2:$D$40,3,0),""))</f>
        <v/>
      </c>
      <c r="Y739" s="31" t="str">
        <f aca="false">IF(O739="","",IF(X739="",0,O739*IF(X739&gt;1,X739/100,X739)))</f>
        <v/>
      </c>
      <c r="Z739" s="28"/>
      <c r="AA739" s="34" t="str">
        <f aca="false">IF(Z739="","",IFERROR(VLOOKUP(Z739,REPS!$A$2:$D$40,4,0),""))</f>
        <v/>
      </c>
      <c r="AB739" s="31" t="str">
        <f aca="false">IF(O739="","",IF(AA739="",0,O739*IF(AA739&gt;1,AA739/100,AA739)))</f>
        <v/>
      </c>
      <c r="AC739" s="31" t="str">
        <f aca="false">IF(O739="","",V739+Y739+AB739)</f>
        <v/>
      </c>
      <c r="AD739" s="19" t="str">
        <f aca="false">IF(O739="","",O739-R739-AC739)</f>
        <v/>
      </c>
      <c r="AE739" s="20"/>
      <c r="AF739" s="27"/>
      <c r="AG739" s="21" t="n">
        <f aca="false">IF(OR(AE739="",AE739=0),0,AE739*IF(U739="",0,IF(U739&gt;1,U739/100,U739)))</f>
        <v>0</v>
      </c>
      <c r="AH739" s="21" t="n">
        <f aca="false">IF(OR(AE739="",AE739=0),0,AE739*IF(X739="",0,IF(X739&gt;1,X739/100,X739)))</f>
        <v>0</v>
      </c>
      <c r="AI739" s="21" t="n">
        <f aca="false">IF(OR(AE739="",AE739=0),0,AE739*IF(AA739="",0,IF(AA739&gt;1,AA739/100,AA739)))</f>
        <v>0</v>
      </c>
      <c r="AJ739" s="21" t="n">
        <f aca="false">AG739+AH739+AI739</f>
        <v>0</v>
      </c>
      <c r="AK739" s="21" t="n">
        <f aca="false">IF(OR(AE739="",AE739=0),0,AE739-AJ739)</f>
        <v>0</v>
      </c>
      <c r="AL739" s="19" t="str">
        <f aca="false">IF(AD739="","",AD739-AK739)</f>
        <v/>
      </c>
      <c r="AM739" s="26" t="str">
        <f aca="false">IF(C739="","","Waiting for payment")</f>
        <v/>
      </c>
      <c r="AN739" s="27"/>
      <c r="AO739" s="27"/>
      <c r="AP739" s="35" t="str">
        <f aca="false">IF(OR(C739="",I739="",K739=""),"",IF(K739="Monthly",EDATE(C739,ROUND(I739*SETTINGS!$I$8,0)),WORKDAY(C739,ROUND(I739*SETTINGS!$I$8,0))))</f>
        <v/>
      </c>
      <c r="AQ739" s="26" t="str">
        <f aca="true">IF(C739="","",IF(AND(AP739&lt;&gt;"",TODAY()&gt;=AP739),"Refi Ready",IF(TODAY()-C739&gt;=SETTINGS!$I$11,"Prospecting","Performing")))</f>
        <v/>
      </c>
      <c r="AR739" s="35" t="str">
        <f aca="false">IF(OR(C739="",I739="",K739=""),"",IF(K739="Monthly",EDATE(C739,I739),WORKDAY(C739,I739)))</f>
        <v/>
      </c>
      <c r="AS739" s="28"/>
      <c r="AT739" s="36" t="str">
        <f aca="true">IF(C739="","",IF(AM739="Clawed Back","CLAWED",IF(TODAY()&lt;=C739+SETTINGS!$I$2,"⚠ AT RISK","SAFE")))</f>
        <v/>
      </c>
      <c r="AU739" s="28"/>
      <c r="AW739" s="24" t="n">
        <f aca="false">AW738+IF(AND(C739&lt;&gt;"",AO739&lt;&gt;"",OR('REP COMMISSION'!$B$3="",T739='REP COMMISSION'!$B$3,W739='REP COMMISSION'!$B$3,Z739='REP COMMISSION'!$B$3)),1,0)</f>
        <v>0</v>
      </c>
      <c r="AX739" s="24" t="n">
        <f aca="false">AX738+IF(AND(C739&lt;&gt;"",OR(F739="LOC - INITIAL",F739="CONSOLIDATION - UPFRONT COMM",F739="REVERSE - TOTAL FUNDING")),1,0)</f>
        <v>0</v>
      </c>
    </row>
    <row r="740" customFormat="false" ht="15" hidden="false" customHeight="false" outlineLevel="0" collapsed="false">
      <c r="A740" s="8" t="str">
        <f aca="false">IF(C740&lt;&gt;"","F"&amp;COUNT($C$4:C740),"")</f>
        <v/>
      </c>
      <c r="B740" s="9" t="str">
        <f aca="false">IF(OR(F740="LOC - INITIAL",F740="CONSOLIDATION - UPFRONT COMM",F740="REVERSE - TOTAL FUNDING"),A740,"")</f>
        <v/>
      </c>
      <c r="C740" s="10"/>
      <c r="D740" s="11"/>
      <c r="E740" s="11"/>
      <c r="F740" s="11"/>
      <c r="G740" s="12"/>
      <c r="H740" s="13"/>
      <c r="I740" s="11"/>
      <c r="J740" s="14" t="str">
        <f aca="false">IF(AND(G740&lt;&gt;"",H740&lt;&gt;""),G740*H740,"")</f>
        <v/>
      </c>
      <c r="K740" s="11"/>
      <c r="L740" s="15"/>
      <c r="M740" s="15"/>
      <c r="N740" s="14" t="n">
        <f aca="false">IF(OR(G740="",M740=""),0,IF(M740&gt;100,M740,G740*IF(M740&gt;1,M740/100,M740)))</f>
        <v>0</v>
      </c>
      <c r="O740" s="14" t="str">
        <f aca="false">IF(G740="","",G740*IF(L740="",0,IF(L740&gt;1,L740/100,L740))+N740)</f>
        <v/>
      </c>
      <c r="P740" s="11"/>
      <c r="Q740" s="16" t="str">
        <f aca="false">IF(P740="","",IFERROR(VLOOKUP(P740,PARTNERS!$A$2:$B$30,2,0),""))</f>
        <v/>
      </c>
      <c r="R740" s="17" t="str">
        <f aca="false">IF(O740="","",IF(OR(P740="",Q740=""),0,(O740-N740)*IF(Q740&gt;1,Q740/100,Q740)))</f>
        <v/>
      </c>
      <c r="S740" s="14" t="str">
        <f aca="false">IF(O740="","",O740-R740)</f>
        <v/>
      </c>
      <c r="T740" s="11"/>
      <c r="U740" s="18" t="str">
        <f aca="false">IF(T740="","",IFERROR(VLOOKUP(T740,REPS!$A$2:$D$40,2,0),""))</f>
        <v/>
      </c>
      <c r="V740" s="14" t="str">
        <f aca="false">IF(O740="","",IF(U740="",0,O740*IF(U740&gt;1,U740/100,U740)))</f>
        <v/>
      </c>
      <c r="W740" s="11"/>
      <c r="X740" s="18" t="str">
        <f aca="false">IF(W740="","",IFERROR(VLOOKUP(W740,REPS!$A$2:$D$40,3,0),""))</f>
        <v/>
      </c>
      <c r="Y740" s="14" t="str">
        <f aca="false">IF(O740="","",IF(X740="",0,O740*IF(X740&gt;1,X740/100,X740)))</f>
        <v/>
      </c>
      <c r="Z740" s="11"/>
      <c r="AA740" s="18" t="str">
        <f aca="false">IF(Z740="","",IFERROR(VLOOKUP(Z740,REPS!$A$2:$D$40,4,0),""))</f>
        <v/>
      </c>
      <c r="AB740" s="14" t="str">
        <f aca="false">IF(O740="","",IF(AA740="",0,O740*IF(AA740&gt;1,AA740/100,AA740)))</f>
        <v/>
      </c>
      <c r="AC740" s="14" t="str">
        <f aca="false">IF(O740="","",V740+Y740+AB740)</f>
        <v/>
      </c>
      <c r="AD740" s="19" t="str">
        <f aca="false">IF(O740="","",O740-R740-AC740)</f>
        <v/>
      </c>
      <c r="AE740" s="20"/>
      <c r="AF740" s="10"/>
      <c r="AG740" s="21" t="n">
        <f aca="false">IF(OR(AE740="",AE740=0),0,AE740*IF(U740="",0,IF(U740&gt;1,U740/100,U740)))</f>
        <v>0</v>
      </c>
      <c r="AH740" s="21" t="n">
        <f aca="false">IF(OR(AE740="",AE740=0),0,AE740*IF(X740="",0,IF(X740&gt;1,X740/100,X740)))</f>
        <v>0</v>
      </c>
      <c r="AI740" s="21" t="n">
        <f aca="false">IF(OR(AE740="",AE740=0),0,AE740*IF(AA740="",0,IF(AA740&gt;1,AA740/100,AA740)))</f>
        <v>0</v>
      </c>
      <c r="AJ740" s="21" t="n">
        <f aca="false">AG740+AH740+AI740</f>
        <v>0</v>
      </c>
      <c r="AK740" s="21" t="n">
        <f aca="false">IF(OR(AE740="",AE740=0),0,AE740-AJ740)</f>
        <v>0</v>
      </c>
      <c r="AL740" s="19" t="str">
        <f aca="false">IF(AD740="","",AD740-AK740)</f>
        <v/>
      </c>
      <c r="AM740" s="9" t="str">
        <f aca="false">IF(C740="","","Waiting for payment")</f>
        <v/>
      </c>
      <c r="AN740" s="10"/>
      <c r="AO740" s="10"/>
      <c r="AP740" s="22" t="str">
        <f aca="false">IF(OR(C740="",I740="",K740=""),"",IF(K740="Monthly",EDATE(C740,ROUND(I740*SETTINGS!$I$8,0)),WORKDAY(C740,ROUND(I740*SETTINGS!$I$8,0))))</f>
        <v/>
      </c>
      <c r="AQ740" s="9" t="str">
        <f aca="true">IF(C740="","",IF(AND(AP740&lt;&gt;"",TODAY()&gt;=AP740),"Refi Ready",IF(TODAY()-C740&gt;=SETTINGS!$I$11,"Prospecting","Performing")))</f>
        <v/>
      </c>
      <c r="AR740" s="22" t="str">
        <f aca="false">IF(OR(C740="",I740="",K740=""),"",IF(K740="Monthly",EDATE(C740,I740),WORKDAY(C740,I740)))</f>
        <v/>
      </c>
      <c r="AS740" s="11"/>
      <c r="AT740" s="23" t="str">
        <f aca="true">IF(C740="","",IF(AM740="Clawed Back","CLAWED",IF(TODAY()&lt;=C740+SETTINGS!$I$2,"⚠ AT RISK","SAFE")))</f>
        <v/>
      </c>
      <c r="AU740" s="11"/>
      <c r="AW740" s="24" t="n">
        <f aca="false">AW739+IF(AND(C740&lt;&gt;"",AO740&lt;&gt;"",OR('REP COMMISSION'!$B$3="",T740='REP COMMISSION'!$B$3,W740='REP COMMISSION'!$B$3,Z740='REP COMMISSION'!$B$3)),1,0)</f>
        <v>0</v>
      </c>
      <c r="AX740" s="24" t="n">
        <f aca="false">AX739+IF(AND(C740&lt;&gt;"",OR(F740="LOC - INITIAL",F740="CONSOLIDATION - UPFRONT COMM",F740="REVERSE - TOTAL FUNDING")),1,0)</f>
        <v>0</v>
      </c>
    </row>
    <row r="741" customFormat="false" ht="15" hidden="false" customHeight="false" outlineLevel="0" collapsed="false">
      <c r="A741" s="25" t="str">
        <f aca="false">IF(C741&lt;&gt;"","F"&amp;COUNT($C$4:C741),"")</f>
        <v/>
      </c>
      <c r="B741" s="26" t="str">
        <f aca="false">IF(OR(F741="LOC - INITIAL",F741="CONSOLIDATION - UPFRONT COMM",F741="REVERSE - TOTAL FUNDING"),A741,"")</f>
        <v/>
      </c>
      <c r="C741" s="27"/>
      <c r="D741" s="28"/>
      <c r="E741" s="28"/>
      <c r="F741" s="28"/>
      <c r="G741" s="29"/>
      <c r="H741" s="30"/>
      <c r="I741" s="28"/>
      <c r="J741" s="31" t="str">
        <f aca="false">IF(AND(G741&lt;&gt;"",H741&lt;&gt;""),G741*H741,"")</f>
        <v/>
      </c>
      <c r="K741" s="28"/>
      <c r="L741" s="32"/>
      <c r="M741" s="32"/>
      <c r="N741" s="31" t="n">
        <f aca="false">IF(OR(G741="",M741=""),0,IF(M741&gt;100,M741,G741*IF(M741&gt;1,M741/100,M741)))</f>
        <v>0</v>
      </c>
      <c r="O741" s="31" t="str">
        <f aca="false">IF(G741="","",G741*IF(L741="",0,IF(L741&gt;1,L741/100,L741))+N741)</f>
        <v/>
      </c>
      <c r="P741" s="28"/>
      <c r="Q741" s="33" t="str">
        <f aca="false">IF(P741="","",IFERROR(VLOOKUP(P741,PARTNERS!$A$2:$B$30,2,0),""))</f>
        <v/>
      </c>
      <c r="R741" s="17" t="str">
        <f aca="false">IF(O741="","",IF(OR(P741="",Q741=""),0,(O741-N741)*IF(Q741&gt;1,Q741/100,Q741)))</f>
        <v/>
      </c>
      <c r="S741" s="31" t="str">
        <f aca="false">IF(O741="","",O741-R741)</f>
        <v/>
      </c>
      <c r="T741" s="28"/>
      <c r="U741" s="34" t="str">
        <f aca="false">IF(T741="","",IFERROR(VLOOKUP(T741,REPS!$A$2:$D$40,2,0),""))</f>
        <v/>
      </c>
      <c r="V741" s="31" t="str">
        <f aca="false">IF(O741="","",IF(U741="",0,O741*IF(U741&gt;1,U741/100,U741)))</f>
        <v/>
      </c>
      <c r="W741" s="28"/>
      <c r="X741" s="34" t="str">
        <f aca="false">IF(W741="","",IFERROR(VLOOKUP(W741,REPS!$A$2:$D$40,3,0),""))</f>
        <v/>
      </c>
      <c r="Y741" s="31" t="str">
        <f aca="false">IF(O741="","",IF(X741="",0,O741*IF(X741&gt;1,X741/100,X741)))</f>
        <v/>
      </c>
      <c r="Z741" s="28"/>
      <c r="AA741" s="34" t="str">
        <f aca="false">IF(Z741="","",IFERROR(VLOOKUP(Z741,REPS!$A$2:$D$40,4,0),""))</f>
        <v/>
      </c>
      <c r="AB741" s="31" t="str">
        <f aca="false">IF(O741="","",IF(AA741="",0,O741*IF(AA741&gt;1,AA741/100,AA741)))</f>
        <v/>
      </c>
      <c r="AC741" s="31" t="str">
        <f aca="false">IF(O741="","",V741+Y741+AB741)</f>
        <v/>
      </c>
      <c r="AD741" s="19" t="str">
        <f aca="false">IF(O741="","",O741-R741-AC741)</f>
        <v/>
      </c>
      <c r="AE741" s="20"/>
      <c r="AF741" s="27"/>
      <c r="AG741" s="21" t="n">
        <f aca="false">IF(OR(AE741="",AE741=0),0,AE741*IF(U741="",0,IF(U741&gt;1,U741/100,U741)))</f>
        <v>0</v>
      </c>
      <c r="AH741" s="21" t="n">
        <f aca="false">IF(OR(AE741="",AE741=0),0,AE741*IF(X741="",0,IF(X741&gt;1,X741/100,X741)))</f>
        <v>0</v>
      </c>
      <c r="AI741" s="21" t="n">
        <f aca="false">IF(OR(AE741="",AE741=0),0,AE741*IF(AA741="",0,IF(AA741&gt;1,AA741/100,AA741)))</f>
        <v>0</v>
      </c>
      <c r="AJ741" s="21" t="n">
        <f aca="false">AG741+AH741+AI741</f>
        <v>0</v>
      </c>
      <c r="AK741" s="21" t="n">
        <f aca="false">IF(OR(AE741="",AE741=0),0,AE741-AJ741)</f>
        <v>0</v>
      </c>
      <c r="AL741" s="19" t="str">
        <f aca="false">IF(AD741="","",AD741-AK741)</f>
        <v/>
      </c>
      <c r="AM741" s="26" t="str">
        <f aca="false">IF(C741="","","Waiting for payment")</f>
        <v/>
      </c>
      <c r="AN741" s="27"/>
      <c r="AO741" s="27"/>
      <c r="AP741" s="35" t="str">
        <f aca="false">IF(OR(C741="",I741="",K741=""),"",IF(K741="Monthly",EDATE(C741,ROUND(I741*SETTINGS!$I$8,0)),WORKDAY(C741,ROUND(I741*SETTINGS!$I$8,0))))</f>
        <v/>
      </c>
      <c r="AQ741" s="26" t="str">
        <f aca="true">IF(C741="","",IF(AND(AP741&lt;&gt;"",TODAY()&gt;=AP741),"Refi Ready",IF(TODAY()-C741&gt;=SETTINGS!$I$11,"Prospecting","Performing")))</f>
        <v/>
      </c>
      <c r="AR741" s="35" t="str">
        <f aca="false">IF(OR(C741="",I741="",K741=""),"",IF(K741="Monthly",EDATE(C741,I741),WORKDAY(C741,I741)))</f>
        <v/>
      </c>
      <c r="AS741" s="28"/>
      <c r="AT741" s="36" t="str">
        <f aca="true">IF(C741="","",IF(AM741="Clawed Back","CLAWED",IF(TODAY()&lt;=C741+SETTINGS!$I$2,"⚠ AT RISK","SAFE")))</f>
        <v/>
      </c>
      <c r="AU741" s="28"/>
      <c r="AW741" s="24" t="n">
        <f aca="false">AW740+IF(AND(C741&lt;&gt;"",AO741&lt;&gt;"",OR('REP COMMISSION'!$B$3="",T741='REP COMMISSION'!$B$3,W741='REP COMMISSION'!$B$3,Z741='REP COMMISSION'!$B$3)),1,0)</f>
        <v>0</v>
      </c>
      <c r="AX741" s="24" t="n">
        <f aca="false">AX740+IF(AND(C741&lt;&gt;"",OR(F741="LOC - INITIAL",F741="CONSOLIDATION - UPFRONT COMM",F741="REVERSE - TOTAL FUNDING")),1,0)</f>
        <v>0</v>
      </c>
    </row>
    <row r="742" customFormat="false" ht="15" hidden="false" customHeight="false" outlineLevel="0" collapsed="false">
      <c r="A742" s="8" t="str">
        <f aca="false">IF(C742&lt;&gt;"","F"&amp;COUNT($C$4:C742),"")</f>
        <v/>
      </c>
      <c r="B742" s="9" t="str">
        <f aca="false">IF(OR(F742="LOC - INITIAL",F742="CONSOLIDATION - UPFRONT COMM",F742="REVERSE - TOTAL FUNDING"),A742,"")</f>
        <v/>
      </c>
      <c r="C742" s="10"/>
      <c r="D742" s="11"/>
      <c r="E742" s="11"/>
      <c r="F742" s="11"/>
      <c r="G742" s="12"/>
      <c r="H742" s="13"/>
      <c r="I742" s="11"/>
      <c r="J742" s="14" t="str">
        <f aca="false">IF(AND(G742&lt;&gt;"",H742&lt;&gt;""),G742*H742,"")</f>
        <v/>
      </c>
      <c r="K742" s="11"/>
      <c r="L742" s="15"/>
      <c r="M742" s="15"/>
      <c r="N742" s="14" t="n">
        <f aca="false">IF(OR(G742="",M742=""),0,IF(M742&gt;100,M742,G742*IF(M742&gt;1,M742/100,M742)))</f>
        <v>0</v>
      </c>
      <c r="O742" s="14" t="str">
        <f aca="false">IF(G742="","",G742*IF(L742="",0,IF(L742&gt;1,L742/100,L742))+N742)</f>
        <v/>
      </c>
      <c r="P742" s="11"/>
      <c r="Q742" s="16" t="str">
        <f aca="false">IF(P742="","",IFERROR(VLOOKUP(P742,PARTNERS!$A$2:$B$30,2,0),""))</f>
        <v/>
      </c>
      <c r="R742" s="17" t="str">
        <f aca="false">IF(O742="","",IF(OR(P742="",Q742=""),0,(O742-N742)*IF(Q742&gt;1,Q742/100,Q742)))</f>
        <v/>
      </c>
      <c r="S742" s="14" t="str">
        <f aca="false">IF(O742="","",O742-R742)</f>
        <v/>
      </c>
      <c r="T742" s="11"/>
      <c r="U742" s="18" t="str">
        <f aca="false">IF(T742="","",IFERROR(VLOOKUP(T742,REPS!$A$2:$D$40,2,0),""))</f>
        <v/>
      </c>
      <c r="V742" s="14" t="str">
        <f aca="false">IF(O742="","",IF(U742="",0,O742*IF(U742&gt;1,U742/100,U742)))</f>
        <v/>
      </c>
      <c r="W742" s="11"/>
      <c r="X742" s="18" t="str">
        <f aca="false">IF(W742="","",IFERROR(VLOOKUP(W742,REPS!$A$2:$D$40,3,0),""))</f>
        <v/>
      </c>
      <c r="Y742" s="14" t="str">
        <f aca="false">IF(O742="","",IF(X742="",0,O742*IF(X742&gt;1,X742/100,X742)))</f>
        <v/>
      </c>
      <c r="Z742" s="11"/>
      <c r="AA742" s="18" t="str">
        <f aca="false">IF(Z742="","",IFERROR(VLOOKUP(Z742,REPS!$A$2:$D$40,4,0),""))</f>
        <v/>
      </c>
      <c r="AB742" s="14" t="str">
        <f aca="false">IF(O742="","",IF(AA742="",0,O742*IF(AA742&gt;1,AA742/100,AA742)))</f>
        <v/>
      </c>
      <c r="AC742" s="14" t="str">
        <f aca="false">IF(O742="","",V742+Y742+AB742)</f>
        <v/>
      </c>
      <c r="AD742" s="19" t="str">
        <f aca="false">IF(O742="","",O742-R742-AC742)</f>
        <v/>
      </c>
      <c r="AE742" s="20"/>
      <c r="AF742" s="10"/>
      <c r="AG742" s="21" t="n">
        <f aca="false">IF(OR(AE742="",AE742=0),0,AE742*IF(U742="",0,IF(U742&gt;1,U742/100,U742)))</f>
        <v>0</v>
      </c>
      <c r="AH742" s="21" t="n">
        <f aca="false">IF(OR(AE742="",AE742=0),0,AE742*IF(X742="",0,IF(X742&gt;1,X742/100,X742)))</f>
        <v>0</v>
      </c>
      <c r="AI742" s="21" t="n">
        <f aca="false">IF(OR(AE742="",AE742=0),0,AE742*IF(AA742="",0,IF(AA742&gt;1,AA742/100,AA742)))</f>
        <v>0</v>
      </c>
      <c r="AJ742" s="21" t="n">
        <f aca="false">AG742+AH742+AI742</f>
        <v>0</v>
      </c>
      <c r="AK742" s="21" t="n">
        <f aca="false">IF(OR(AE742="",AE742=0),0,AE742-AJ742)</f>
        <v>0</v>
      </c>
      <c r="AL742" s="19" t="str">
        <f aca="false">IF(AD742="","",AD742-AK742)</f>
        <v/>
      </c>
      <c r="AM742" s="9" t="str">
        <f aca="false">IF(C742="","","Waiting for payment")</f>
        <v/>
      </c>
      <c r="AN742" s="10"/>
      <c r="AO742" s="10"/>
      <c r="AP742" s="22" t="str">
        <f aca="false">IF(OR(C742="",I742="",K742=""),"",IF(K742="Monthly",EDATE(C742,ROUND(I742*SETTINGS!$I$8,0)),WORKDAY(C742,ROUND(I742*SETTINGS!$I$8,0))))</f>
        <v/>
      </c>
      <c r="AQ742" s="9" t="str">
        <f aca="true">IF(C742="","",IF(AND(AP742&lt;&gt;"",TODAY()&gt;=AP742),"Refi Ready",IF(TODAY()-C742&gt;=SETTINGS!$I$11,"Prospecting","Performing")))</f>
        <v/>
      </c>
      <c r="AR742" s="22" t="str">
        <f aca="false">IF(OR(C742="",I742="",K742=""),"",IF(K742="Monthly",EDATE(C742,I742),WORKDAY(C742,I742)))</f>
        <v/>
      </c>
      <c r="AS742" s="11"/>
      <c r="AT742" s="23" t="str">
        <f aca="true">IF(C742="","",IF(AM742="Clawed Back","CLAWED",IF(TODAY()&lt;=C742+SETTINGS!$I$2,"⚠ AT RISK","SAFE")))</f>
        <v/>
      </c>
      <c r="AU742" s="11"/>
      <c r="AW742" s="24" t="n">
        <f aca="false">AW741+IF(AND(C742&lt;&gt;"",AO742&lt;&gt;"",OR('REP COMMISSION'!$B$3="",T742='REP COMMISSION'!$B$3,W742='REP COMMISSION'!$B$3,Z742='REP COMMISSION'!$B$3)),1,0)</f>
        <v>0</v>
      </c>
      <c r="AX742" s="24" t="n">
        <f aca="false">AX741+IF(AND(C742&lt;&gt;"",OR(F742="LOC - INITIAL",F742="CONSOLIDATION - UPFRONT COMM",F742="REVERSE - TOTAL FUNDING")),1,0)</f>
        <v>0</v>
      </c>
    </row>
    <row r="743" customFormat="false" ht="15" hidden="false" customHeight="false" outlineLevel="0" collapsed="false">
      <c r="A743" s="25" t="str">
        <f aca="false">IF(C743&lt;&gt;"","F"&amp;COUNT($C$4:C743),"")</f>
        <v/>
      </c>
      <c r="B743" s="26" t="str">
        <f aca="false">IF(OR(F743="LOC - INITIAL",F743="CONSOLIDATION - UPFRONT COMM",F743="REVERSE - TOTAL FUNDING"),A743,"")</f>
        <v/>
      </c>
      <c r="C743" s="27"/>
      <c r="D743" s="28"/>
      <c r="E743" s="28"/>
      <c r="F743" s="28"/>
      <c r="G743" s="29"/>
      <c r="H743" s="30"/>
      <c r="I743" s="28"/>
      <c r="J743" s="31" t="str">
        <f aca="false">IF(AND(G743&lt;&gt;"",H743&lt;&gt;""),G743*H743,"")</f>
        <v/>
      </c>
      <c r="K743" s="28"/>
      <c r="L743" s="32"/>
      <c r="M743" s="32"/>
      <c r="N743" s="31" t="n">
        <f aca="false">IF(OR(G743="",M743=""),0,IF(M743&gt;100,M743,G743*IF(M743&gt;1,M743/100,M743)))</f>
        <v>0</v>
      </c>
      <c r="O743" s="31" t="str">
        <f aca="false">IF(G743="","",G743*IF(L743="",0,IF(L743&gt;1,L743/100,L743))+N743)</f>
        <v/>
      </c>
      <c r="P743" s="28"/>
      <c r="Q743" s="33" t="str">
        <f aca="false">IF(P743="","",IFERROR(VLOOKUP(P743,PARTNERS!$A$2:$B$30,2,0),""))</f>
        <v/>
      </c>
      <c r="R743" s="17" t="str">
        <f aca="false">IF(O743="","",IF(OR(P743="",Q743=""),0,(O743-N743)*IF(Q743&gt;1,Q743/100,Q743)))</f>
        <v/>
      </c>
      <c r="S743" s="31" t="str">
        <f aca="false">IF(O743="","",O743-R743)</f>
        <v/>
      </c>
      <c r="T743" s="28"/>
      <c r="U743" s="34" t="str">
        <f aca="false">IF(T743="","",IFERROR(VLOOKUP(T743,REPS!$A$2:$D$40,2,0),""))</f>
        <v/>
      </c>
      <c r="V743" s="31" t="str">
        <f aca="false">IF(O743="","",IF(U743="",0,O743*IF(U743&gt;1,U743/100,U743)))</f>
        <v/>
      </c>
      <c r="W743" s="28"/>
      <c r="X743" s="34" t="str">
        <f aca="false">IF(W743="","",IFERROR(VLOOKUP(W743,REPS!$A$2:$D$40,3,0),""))</f>
        <v/>
      </c>
      <c r="Y743" s="31" t="str">
        <f aca="false">IF(O743="","",IF(X743="",0,O743*IF(X743&gt;1,X743/100,X743)))</f>
        <v/>
      </c>
      <c r="Z743" s="28"/>
      <c r="AA743" s="34" t="str">
        <f aca="false">IF(Z743="","",IFERROR(VLOOKUP(Z743,REPS!$A$2:$D$40,4,0),""))</f>
        <v/>
      </c>
      <c r="AB743" s="31" t="str">
        <f aca="false">IF(O743="","",IF(AA743="",0,O743*IF(AA743&gt;1,AA743/100,AA743)))</f>
        <v/>
      </c>
      <c r="AC743" s="31" t="str">
        <f aca="false">IF(O743="","",V743+Y743+AB743)</f>
        <v/>
      </c>
      <c r="AD743" s="19" t="str">
        <f aca="false">IF(O743="","",O743-R743-AC743)</f>
        <v/>
      </c>
      <c r="AE743" s="20"/>
      <c r="AF743" s="27"/>
      <c r="AG743" s="21" t="n">
        <f aca="false">IF(OR(AE743="",AE743=0),0,AE743*IF(U743="",0,IF(U743&gt;1,U743/100,U743)))</f>
        <v>0</v>
      </c>
      <c r="AH743" s="21" t="n">
        <f aca="false">IF(OR(AE743="",AE743=0),0,AE743*IF(X743="",0,IF(X743&gt;1,X743/100,X743)))</f>
        <v>0</v>
      </c>
      <c r="AI743" s="21" t="n">
        <f aca="false">IF(OR(AE743="",AE743=0),0,AE743*IF(AA743="",0,IF(AA743&gt;1,AA743/100,AA743)))</f>
        <v>0</v>
      </c>
      <c r="AJ743" s="21" t="n">
        <f aca="false">AG743+AH743+AI743</f>
        <v>0</v>
      </c>
      <c r="AK743" s="21" t="n">
        <f aca="false">IF(OR(AE743="",AE743=0),0,AE743-AJ743)</f>
        <v>0</v>
      </c>
      <c r="AL743" s="19" t="str">
        <f aca="false">IF(AD743="","",AD743-AK743)</f>
        <v/>
      </c>
      <c r="AM743" s="26" t="str">
        <f aca="false">IF(C743="","","Waiting for payment")</f>
        <v/>
      </c>
      <c r="AN743" s="27"/>
      <c r="AO743" s="27"/>
      <c r="AP743" s="35" t="str">
        <f aca="false">IF(OR(C743="",I743="",K743=""),"",IF(K743="Monthly",EDATE(C743,ROUND(I743*SETTINGS!$I$8,0)),WORKDAY(C743,ROUND(I743*SETTINGS!$I$8,0))))</f>
        <v/>
      </c>
      <c r="AQ743" s="26" t="str">
        <f aca="true">IF(C743="","",IF(AND(AP743&lt;&gt;"",TODAY()&gt;=AP743),"Refi Ready",IF(TODAY()-C743&gt;=SETTINGS!$I$11,"Prospecting","Performing")))</f>
        <v/>
      </c>
      <c r="AR743" s="35" t="str">
        <f aca="false">IF(OR(C743="",I743="",K743=""),"",IF(K743="Monthly",EDATE(C743,I743),WORKDAY(C743,I743)))</f>
        <v/>
      </c>
      <c r="AS743" s="28"/>
      <c r="AT743" s="36" t="str">
        <f aca="true">IF(C743="","",IF(AM743="Clawed Back","CLAWED",IF(TODAY()&lt;=C743+SETTINGS!$I$2,"⚠ AT RISK","SAFE")))</f>
        <v/>
      </c>
      <c r="AU743" s="28"/>
      <c r="AW743" s="24" t="n">
        <f aca="false">AW742+IF(AND(C743&lt;&gt;"",AO743&lt;&gt;"",OR('REP COMMISSION'!$B$3="",T743='REP COMMISSION'!$B$3,W743='REP COMMISSION'!$B$3,Z743='REP COMMISSION'!$B$3)),1,0)</f>
        <v>0</v>
      </c>
      <c r="AX743" s="24" t="n">
        <f aca="false">AX742+IF(AND(C743&lt;&gt;"",OR(F743="LOC - INITIAL",F743="CONSOLIDATION - UPFRONT COMM",F743="REVERSE - TOTAL FUNDING")),1,0)</f>
        <v>0</v>
      </c>
    </row>
    <row r="744" customFormat="false" ht="15" hidden="false" customHeight="false" outlineLevel="0" collapsed="false">
      <c r="A744" s="8" t="str">
        <f aca="false">IF(C744&lt;&gt;"","F"&amp;COUNT($C$4:C744),"")</f>
        <v/>
      </c>
      <c r="B744" s="9" t="str">
        <f aca="false">IF(OR(F744="LOC - INITIAL",F744="CONSOLIDATION - UPFRONT COMM",F744="REVERSE - TOTAL FUNDING"),A744,"")</f>
        <v/>
      </c>
      <c r="C744" s="10"/>
      <c r="D744" s="11"/>
      <c r="E744" s="11"/>
      <c r="F744" s="11"/>
      <c r="G744" s="12"/>
      <c r="H744" s="13"/>
      <c r="I744" s="11"/>
      <c r="J744" s="14" t="str">
        <f aca="false">IF(AND(G744&lt;&gt;"",H744&lt;&gt;""),G744*H744,"")</f>
        <v/>
      </c>
      <c r="K744" s="11"/>
      <c r="L744" s="15"/>
      <c r="M744" s="15"/>
      <c r="N744" s="14" t="n">
        <f aca="false">IF(OR(G744="",M744=""),0,IF(M744&gt;100,M744,G744*IF(M744&gt;1,M744/100,M744)))</f>
        <v>0</v>
      </c>
      <c r="O744" s="14" t="str">
        <f aca="false">IF(G744="","",G744*IF(L744="",0,IF(L744&gt;1,L744/100,L744))+N744)</f>
        <v/>
      </c>
      <c r="P744" s="11"/>
      <c r="Q744" s="16" t="str">
        <f aca="false">IF(P744="","",IFERROR(VLOOKUP(P744,PARTNERS!$A$2:$B$30,2,0),""))</f>
        <v/>
      </c>
      <c r="R744" s="17" t="str">
        <f aca="false">IF(O744="","",IF(OR(P744="",Q744=""),0,(O744-N744)*IF(Q744&gt;1,Q744/100,Q744)))</f>
        <v/>
      </c>
      <c r="S744" s="14" t="str">
        <f aca="false">IF(O744="","",O744-R744)</f>
        <v/>
      </c>
      <c r="T744" s="11"/>
      <c r="U744" s="18" t="str">
        <f aca="false">IF(T744="","",IFERROR(VLOOKUP(T744,REPS!$A$2:$D$40,2,0),""))</f>
        <v/>
      </c>
      <c r="V744" s="14" t="str">
        <f aca="false">IF(O744="","",IF(U744="",0,O744*IF(U744&gt;1,U744/100,U744)))</f>
        <v/>
      </c>
      <c r="W744" s="11"/>
      <c r="X744" s="18" t="str">
        <f aca="false">IF(W744="","",IFERROR(VLOOKUP(W744,REPS!$A$2:$D$40,3,0),""))</f>
        <v/>
      </c>
      <c r="Y744" s="14" t="str">
        <f aca="false">IF(O744="","",IF(X744="",0,O744*IF(X744&gt;1,X744/100,X744)))</f>
        <v/>
      </c>
      <c r="Z744" s="11"/>
      <c r="AA744" s="18" t="str">
        <f aca="false">IF(Z744="","",IFERROR(VLOOKUP(Z744,REPS!$A$2:$D$40,4,0),""))</f>
        <v/>
      </c>
      <c r="AB744" s="14" t="str">
        <f aca="false">IF(O744="","",IF(AA744="",0,O744*IF(AA744&gt;1,AA744/100,AA744)))</f>
        <v/>
      </c>
      <c r="AC744" s="14" t="str">
        <f aca="false">IF(O744="","",V744+Y744+AB744)</f>
        <v/>
      </c>
      <c r="AD744" s="19" t="str">
        <f aca="false">IF(O744="","",O744-R744-AC744)</f>
        <v/>
      </c>
      <c r="AE744" s="20"/>
      <c r="AF744" s="10"/>
      <c r="AG744" s="21" t="n">
        <f aca="false">IF(OR(AE744="",AE744=0),0,AE744*IF(U744="",0,IF(U744&gt;1,U744/100,U744)))</f>
        <v>0</v>
      </c>
      <c r="AH744" s="21" t="n">
        <f aca="false">IF(OR(AE744="",AE744=0),0,AE744*IF(X744="",0,IF(X744&gt;1,X744/100,X744)))</f>
        <v>0</v>
      </c>
      <c r="AI744" s="21" t="n">
        <f aca="false">IF(OR(AE744="",AE744=0),0,AE744*IF(AA744="",0,IF(AA744&gt;1,AA744/100,AA744)))</f>
        <v>0</v>
      </c>
      <c r="AJ744" s="21" t="n">
        <f aca="false">AG744+AH744+AI744</f>
        <v>0</v>
      </c>
      <c r="AK744" s="21" t="n">
        <f aca="false">IF(OR(AE744="",AE744=0),0,AE744-AJ744)</f>
        <v>0</v>
      </c>
      <c r="AL744" s="19" t="str">
        <f aca="false">IF(AD744="","",AD744-AK744)</f>
        <v/>
      </c>
      <c r="AM744" s="9" t="str">
        <f aca="false">IF(C744="","","Waiting for payment")</f>
        <v/>
      </c>
      <c r="AN744" s="10"/>
      <c r="AO744" s="10"/>
      <c r="AP744" s="22" t="str">
        <f aca="false">IF(OR(C744="",I744="",K744=""),"",IF(K744="Monthly",EDATE(C744,ROUND(I744*SETTINGS!$I$8,0)),WORKDAY(C744,ROUND(I744*SETTINGS!$I$8,0))))</f>
        <v/>
      </c>
      <c r="AQ744" s="9" t="str">
        <f aca="true">IF(C744="","",IF(AND(AP744&lt;&gt;"",TODAY()&gt;=AP744),"Refi Ready",IF(TODAY()-C744&gt;=SETTINGS!$I$11,"Prospecting","Performing")))</f>
        <v/>
      </c>
      <c r="AR744" s="22" t="str">
        <f aca="false">IF(OR(C744="",I744="",K744=""),"",IF(K744="Monthly",EDATE(C744,I744),WORKDAY(C744,I744)))</f>
        <v/>
      </c>
      <c r="AS744" s="11"/>
      <c r="AT744" s="23" t="str">
        <f aca="true">IF(C744="","",IF(AM744="Clawed Back","CLAWED",IF(TODAY()&lt;=C744+SETTINGS!$I$2,"⚠ AT RISK","SAFE")))</f>
        <v/>
      </c>
      <c r="AU744" s="11"/>
      <c r="AW744" s="24" t="n">
        <f aca="false">AW743+IF(AND(C744&lt;&gt;"",AO744&lt;&gt;"",OR('REP COMMISSION'!$B$3="",T744='REP COMMISSION'!$B$3,W744='REP COMMISSION'!$B$3,Z744='REP COMMISSION'!$B$3)),1,0)</f>
        <v>0</v>
      </c>
      <c r="AX744" s="24" t="n">
        <f aca="false">AX743+IF(AND(C744&lt;&gt;"",OR(F744="LOC - INITIAL",F744="CONSOLIDATION - UPFRONT COMM",F744="REVERSE - TOTAL FUNDING")),1,0)</f>
        <v>0</v>
      </c>
    </row>
    <row r="745" customFormat="false" ht="15" hidden="false" customHeight="false" outlineLevel="0" collapsed="false">
      <c r="A745" s="25" t="str">
        <f aca="false">IF(C745&lt;&gt;"","F"&amp;COUNT($C$4:C745),"")</f>
        <v/>
      </c>
      <c r="B745" s="26" t="str">
        <f aca="false">IF(OR(F745="LOC - INITIAL",F745="CONSOLIDATION - UPFRONT COMM",F745="REVERSE - TOTAL FUNDING"),A745,"")</f>
        <v/>
      </c>
      <c r="C745" s="27"/>
      <c r="D745" s="28"/>
      <c r="E745" s="28"/>
      <c r="F745" s="28"/>
      <c r="G745" s="29"/>
      <c r="H745" s="30"/>
      <c r="I745" s="28"/>
      <c r="J745" s="31" t="str">
        <f aca="false">IF(AND(G745&lt;&gt;"",H745&lt;&gt;""),G745*H745,"")</f>
        <v/>
      </c>
      <c r="K745" s="28"/>
      <c r="L745" s="32"/>
      <c r="M745" s="32"/>
      <c r="N745" s="31" t="n">
        <f aca="false">IF(OR(G745="",M745=""),0,IF(M745&gt;100,M745,G745*IF(M745&gt;1,M745/100,M745)))</f>
        <v>0</v>
      </c>
      <c r="O745" s="31" t="str">
        <f aca="false">IF(G745="","",G745*IF(L745="",0,IF(L745&gt;1,L745/100,L745))+N745)</f>
        <v/>
      </c>
      <c r="P745" s="28"/>
      <c r="Q745" s="33" t="str">
        <f aca="false">IF(P745="","",IFERROR(VLOOKUP(P745,PARTNERS!$A$2:$B$30,2,0),""))</f>
        <v/>
      </c>
      <c r="R745" s="17" t="str">
        <f aca="false">IF(O745="","",IF(OR(P745="",Q745=""),0,(O745-N745)*IF(Q745&gt;1,Q745/100,Q745)))</f>
        <v/>
      </c>
      <c r="S745" s="31" t="str">
        <f aca="false">IF(O745="","",O745-R745)</f>
        <v/>
      </c>
      <c r="T745" s="28"/>
      <c r="U745" s="34" t="str">
        <f aca="false">IF(T745="","",IFERROR(VLOOKUP(T745,REPS!$A$2:$D$40,2,0),""))</f>
        <v/>
      </c>
      <c r="V745" s="31" t="str">
        <f aca="false">IF(O745="","",IF(U745="",0,O745*IF(U745&gt;1,U745/100,U745)))</f>
        <v/>
      </c>
      <c r="W745" s="28"/>
      <c r="X745" s="34" t="str">
        <f aca="false">IF(W745="","",IFERROR(VLOOKUP(W745,REPS!$A$2:$D$40,3,0),""))</f>
        <v/>
      </c>
      <c r="Y745" s="31" t="str">
        <f aca="false">IF(O745="","",IF(X745="",0,O745*IF(X745&gt;1,X745/100,X745)))</f>
        <v/>
      </c>
      <c r="Z745" s="28"/>
      <c r="AA745" s="34" t="str">
        <f aca="false">IF(Z745="","",IFERROR(VLOOKUP(Z745,REPS!$A$2:$D$40,4,0),""))</f>
        <v/>
      </c>
      <c r="AB745" s="31" t="str">
        <f aca="false">IF(O745="","",IF(AA745="",0,O745*IF(AA745&gt;1,AA745/100,AA745)))</f>
        <v/>
      </c>
      <c r="AC745" s="31" t="str">
        <f aca="false">IF(O745="","",V745+Y745+AB745)</f>
        <v/>
      </c>
      <c r="AD745" s="19" t="str">
        <f aca="false">IF(O745="","",O745-R745-AC745)</f>
        <v/>
      </c>
      <c r="AE745" s="20"/>
      <c r="AF745" s="27"/>
      <c r="AG745" s="21" t="n">
        <f aca="false">IF(OR(AE745="",AE745=0),0,AE745*IF(U745="",0,IF(U745&gt;1,U745/100,U745)))</f>
        <v>0</v>
      </c>
      <c r="AH745" s="21" t="n">
        <f aca="false">IF(OR(AE745="",AE745=0),0,AE745*IF(X745="",0,IF(X745&gt;1,X745/100,X745)))</f>
        <v>0</v>
      </c>
      <c r="AI745" s="21" t="n">
        <f aca="false">IF(OR(AE745="",AE745=0),0,AE745*IF(AA745="",0,IF(AA745&gt;1,AA745/100,AA745)))</f>
        <v>0</v>
      </c>
      <c r="AJ745" s="21" t="n">
        <f aca="false">AG745+AH745+AI745</f>
        <v>0</v>
      </c>
      <c r="AK745" s="21" t="n">
        <f aca="false">IF(OR(AE745="",AE745=0),0,AE745-AJ745)</f>
        <v>0</v>
      </c>
      <c r="AL745" s="19" t="str">
        <f aca="false">IF(AD745="","",AD745-AK745)</f>
        <v/>
      </c>
      <c r="AM745" s="26" t="str">
        <f aca="false">IF(C745="","","Waiting for payment")</f>
        <v/>
      </c>
      <c r="AN745" s="27"/>
      <c r="AO745" s="27"/>
      <c r="AP745" s="35" t="str">
        <f aca="false">IF(OR(C745="",I745="",K745=""),"",IF(K745="Monthly",EDATE(C745,ROUND(I745*SETTINGS!$I$8,0)),WORKDAY(C745,ROUND(I745*SETTINGS!$I$8,0))))</f>
        <v/>
      </c>
      <c r="AQ745" s="26" t="str">
        <f aca="true">IF(C745="","",IF(AND(AP745&lt;&gt;"",TODAY()&gt;=AP745),"Refi Ready",IF(TODAY()-C745&gt;=SETTINGS!$I$11,"Prospecting","Performing")))</f>
        <v/>
      </c>
      <c r="AR745" s="35" t="str">
        <f aca="false">IF(OR(C745="",I745="",K745=""),"",IF(K745="Monthly",EDATE(C745,I745),WORKDAY(C745,I745)))</f>
        <v/>
      </c>
      <c r="AS745" s="28"/>
      <c r="AT745" s="36" t="str">
        <f aca="true">IF(C745="","",IF(AM745="Clawed Back","CLAWED",IF(TODAY()&lt;=C745+SETTINGS!$I$2,"⚠ AT RISK","SAFE")))</f>
        <v/>
      </c>
      <c r="AU745" s="28"/>
      <c r="AW745" s="24" t="n">
        <f aca="false">AW744+IF(AND(C745&lt;&gt;"",AO745&lt;&gt;"",OR('REP COMMISSION'!$B$3="",T745='REP COMMISSION'!$B$3,W745='REP COMMISSION'!$B$3,Z745='REP COMMISSION'!$B$3)),1,0)</f>
        <v>0</v>
      </c>
      <c r="AX745" s="24" t="n">
        <f aca="false">AX744+IF(AND(C745&lt;&gt;"",OR(F745="LOC - INITIAL",F745="CONSOLIDATION - UPFRONT COMM",F745="REVERSE - TOTAL FUNDING")),1,0)</f>
        <v>0</v>
      </c>
    </row>
    <row r="746" customFormat="false" ht="15" hidden="false" customHeight="false" outlineLevel="0" collapsed="false">
      <c r="A746" s="8" t="str">
        <f aca="false">IF(C746&lt;&gt;"","F"&amp;COUNT($C$4:C746),"")</f>
        <v/>
      </c>
      <c r="B746" s="9" t="str">
        <f aca="false">IF(OR(F746="LOC - INITIAL",F746="CONSOLIDATION - UPFRONT COMM",F746="REVERSE - TOTAL FUNDING"),A746,"")</f>
        <v/>
      </c>
      <c r="C746" s="10"/>
      <c r="D746" s="11"/>
      <c r="E746" s="11"/>
      <c r="F746" s="11"/>
      <c r="G746" s="12"/>
      <c r="H746" s="13"/>
      <c r="I746" s="11"/>
      <c r="J746" s="14" t="str">
        <f aca="false">IF(AND(G746&lt;&gt;"",H746&lt;&gt;""),G746*H746,"")</f>
        <v/>
      </c>
      <c r="K746" s="11"/>
      <c r="L746" s="15"/>
      <c r="M746" s="15"/>
      <c r="N746" s="14" t="n">
        <f aca="false">IF(OR(G746="",M746=""),0,IF(M746&gt;100,M746,G746*IF(M746&gt;1,M746/100,M746)))</f>
        <v>0</v>
      </c>
      <c r="O746" s="14" t="str">
        <f aca="false">IF(G746="","",G746*IF(L746="",0,IF(L746&gt;1,L746/100,L746))+N746)</f>
        <v/>
      </c>
      <c r="P746" s="11"/>
      <c r="Q746" s="16" t="str">
        <f aca="false">IF(P746="","",IFERROR(VLOOKUP(P746,PARTNERS!$A$2:$B$30,2,0),""))</f>
        <v/>
      </c>
      <c r="R746" s="17" t="str">
        <f aca="false">IF(O746="","",IF(OR(P746="",Q746=""),0,(O746-N746)*IF(Q746&gt;1,Q746/100,Q746)))</f>
        <v/>
      </c>
      <c r="S746" s="14" t="str">
        <f aca="false">IF(O746="","",O746-R746)</f>
        <v/>
      </c>
      <c r="T746" s="11"/>
      <c r="U746" s="18" t="str">
        <f aca="false">IF(T746="","",IFERROR(VLOOKUP(T746,REPS!$A$2:$D$40,2,0),""))</f>
        <v/>
      </c>
      <c r="V746" s="14" t="str">
        <f aca="false">IF(O746="","",IF(U746="",0,O746*IF(U746&gt;1,U746/100,U746)))</f>
        <v/>
      </c>
      <c r="W746" s="11"/>
      <c r="X746" s="18" t="str">
        <f aca="false">IF(W746="","",IFERROR(VLOOKUP(W746,REPS!$A$2:$D$40,3,0),""))</f>
        <v/>
      </c>
      <c r="Y746" s="14" t="str">
        <f aca="false">IF(O746="","",IF(X746="",0,O746*IF(X746&gt;1,X746/100,X746)))</f>
        <v/>
      </c>
      <c r="Z746" s="11"/>
      <c r="AA746" s="18" t="str">
        <f aca="false">IF(Z746="","",IFERROR(VLOOKUP(Z746,REPS!$A$2:$D$40,4,0),""))</f>
        <v/>
      </c>
      <c r="AB746" s="14" t="str">
        <f aca="false">IF(O746="","",IF(AA746="",0,O746*IF(AA746&gt;1,AA746/100,AA746)))</f>
        <v/>
      </c>
      <c r="AC746" s="14" t="str">
        <f aca="false">IF(O746="","",V746+Y746+AB746)</f>
        <v/>
      </c>
      <c r="AD746" s="19" t="str">
        <f aca="false">IF(O746="","",O746-R746-AC746)</f>
        <v/>
      </c>
      <c r="AE746" s="20"/>
      <c r="AF746" s="10"/>
      <c r="AG746" s="21" t="n">
        <f aca="false">IF(OR(AE746="",AE746=0),0,AE746*IF(U746="",0,IF(U746&gt;1,U746/100,U746)))</f>
        <v>0</v>
      </c>
      <c r="AH746" s="21" t="n">
        <f aca="false">IF(OR(AE746="",AE746=0),0,AE746*IF(X746="",0,IF(X746&gt;1,X746/100,X746)))</f>
        <v>0</v>
      </c>
      <c r="AI746" s="21" t="n">
        <f aca="false">IF(OR(AE746="",AE746=0),0,AE746*IF(AA746="",0,IF(AA746&gt;1,AA746/100,AA746)))</f>
        <v>0</v>
      </c>
      <c r="AJ746" s="21" t="n">
        <f aca="false">AG746+AH746+AI746</f>
        <v>0</v>
      </c>
      <c r="AK746" s="21" t="n">
        <f aca="false">IF(OR(AE746="",AE746=0),0,AE746-AJ746)</f>
        <v>0</v>
      </c>
      <c r="AL746" s="19" t="str">
        <f aca="false">IF(AD746="","",AD746-AK746)</f>
        <v/>
      </c>
      <c r="AM746" s="9" t="str">
        <f aca="false">IF(C746="","","Waiting for payment")</f>
        <v/>
      </c>
      <c r="AN746" s="10"/>
      <c r="AO746" s="10"/>
      <c r="AP746" s="22" t="str">
        <f aca="false">IF(OR(C746="",I746="",K746=""),"",IF(K746="Monthly",EDATE(C746,ROUND(I746*SETTINGS!$I$8,0)),WORKDAY(C746,ROUND(I746*SETTINGS!$I$8,0))))</f>
        <v/>
      </c>
      <c r="AQ746" s="9" t="str">
        <f aca="true">IF(C746="","",IF(AND(AP746&lt;&gt;"",TODAY()&gt;=AP746),"Refi Ready",IF(TODAY()-C746&gt;=SETTINGS!$I$11,"Prospecting","Performing")))</f>
        <v/>
      </c>
      <c r="AR746" s="22" t="str">
        <f aca="false">IF(OR(C746="",I746="",K746=""),"",IF(K746="Monthly",EDATE(C746,I746),WORKDAY(C746,I746)))</f>
        <v/>
      </c>
      <c r="AS746" s="11"/>
      <c r="AT746" s="23" t="str">
        <f aca="true">IF(C746="","",IF(AM746="Clawed Back","CLAWED",IF(TODAY()&lt;=C746+SETTINGS!$I$2,"⚠ AT RISK","SAFE")))</f>
        <v/>
      </c>
      <c r="AU746" s="11"/>
      <c r="AW746" s="24" t="n">
        <f aca="false">AW745+IF(AND(C746&lt;&gt;"",AO746&lt;&gt;"",OR('REP COMMISSION'!$B$3="",T746='REP COMMISSION'!$B$3,W746='REP COMMISSION'!$B$3,Z746='REP COMMISSION'!$B$3)),1,0)</f>
        <v>0</v>
      </c>
      <c r="AX746" s="24" t="n">
        <f aca="false">AX745+IF(AND(C746&lt;&gt;"",OR(F746="LOC - INITIAL",F746="CONSOLIDATION - UPFRONT COMM",F746="REVERSE - TOTAL FUNDING")),1,0)</f>
        <v>0</v>
      </c>
    </row>
    <row r="747" customFormat="false" ht="15" hidden="false" customHeight="false" outlineLevel="0" collapsed="false">
      <c r="A747" s="25" t="str">
        <f aca="false">IF(C747&lt;&gt;"","F"&amp;COUNT($C$4:C747),"")</f>
        <v/>
      </c>
      <c r="B747" s="26" t="str">
        <f aca="false">IF(OR(F747="LOC - INITIAL",F747="CONSOLIDATION - UPFRONT COMM",F747="REVERSE - TOTAL FUNDING"),A747,"")</f>
        <v/>
      </c>
      <c r="C747" s="27"/>
      <c r="D747" s="28"/>
      <c r="E747" s="28"/>
      <c r="F747" s="28"/>
      <c r="G747" s="29"/>
      <c r="H747" s="30"/>
      <c r="I747" s="28"/>
      <c r="J747" s="31" t="str">
        <f aca="false">IF(AND(G747&lt;&gt;"",H747&lt;&gt;""),G747*H747,"")</f>
        <v/>
      </c>
      <c r="K747" s="28"/>
      <c r="L747" s="32"/>
      <c r="M747" s="32"/>
      <c r="N747" s="31" t="n">
        <f aca="false">IF(OR(G747="",M747=""),0,IF(M747&gt;100,M747,G747*IF(M747&gt;1,M747/100,M747)))</f>
        <v>0</v>
      </c>
      <c r="O747" s="31" t="str">
        <f aca="false">IF(G747="","",G747*IF(L747="",0,IF(L747&gt;1,L747/100,L747))+N747)</f>
        <v/>
      </c>
      <c r="P747" s="28"/>
      <c r="Q747" s="33" t="str">
        <f aca="false">IF(P747="","",IFERROR(VLOOKUP(P747,PARTNERS!$A$2:$B$30,2,0),""))</f>
        <v/>
      </c>
      <c r="R747" s="17" t="str">
        <f aca="false">IF(O747="","",IF(OR(P747="",Q747=""),0,(O747-N747)*IF(Q747&gt;1,Q747/100,Q747)))</f>
        <v/>
      </c>
      <c r="S747" s="31" t="str">
        <f aca="false">IF(O747="","",O747-R747)</f>
        <v/>
      </c>
      <c r="T747" s="28"/>
      <c r="U747" s="34" t="str">
        <f aca="false">IF(T747="","",IFERROR(VLOOKUP(T747,REPS!$A$2:$D$40,2,0),""))</f>
        <v/>
      </c>
      <c r="V747" s="31" t="str">
        <f aca="false">IF(O747="","",IF(U747="",0,O747*IF(U747&gt;1,U747/100,U747)))</f>
        <v/>
      </c>
      <c r="W747" s="28"/>
      <c r="X747" s="34" t="str">
        <f aca="false">IF(W747="","",IFERROR(VLOOKUP(W747,REPS!$A$2:$D$40,3,0),""))</f>
        <v/>
      </c>
      <c r="Y747" s="31" t="str">
        <f aca="false">IF(O747="","",IF(X747="",0,O747*IF(X747&gt;1,X747/100,X747)))</f>
        <v/>
      </c>
      <c r="Z747" s="28"/>
      <c r="AA747" s="34" t="str">
        <f aca="false">IF(Z747="","",IFERROR(VLOOKUP(Z747,REPS!$A$2:$D$40,4,0),""))</f>
        <v/>
      </c>
      <c r="AB747" s="31" t="str">
        <f aca="false">IF(O747="","",IF(AA747="",0,O747*IF(AA747&gt;1,AA747/100,AA747)))</f>
        <v/>
      </c>
      <c r="AC747" s="31" t="str">
        <f aca="false">IF(O747="","",V747+Y747+AB747)</f>
        <v/>
      </c>
      <c r="AD747" s="19" t="str">
        <f aca="false">IF(O747="","",O747-R747-AC747)</f>
        <v/>
      </c>
      <c r="AE747" s="20"/>
      <c r="AF747" s="27"/>
      <c r="AG747" s="21" t="n">
        <f aca="false">IF(OR(AE747="",AE747=0),0,AE747*IF(U747="",0,IF(U747&gt;1,U747/100,U747)))</f>
        <v>0</v>
      </c>
      <c r="AH747" s="21" t="n">
        <f aca="false">IF(OR(AE747="",AE747=0),0,AE747*IF(X747="",0,IF(X747&gt;1,X747/100,X747)))</f>
        <v>0</v>
      </c>
      <c r="AI747" s="21" t="n">
        <f aca="false">IF(OR(AE747="",AE747=0),0,AE747*IF(AA747="",0,IF(AA747&gt;1,AA747/100,AA747)))</f>
        <v>0</v>
      </c>
      <c r="AJ747" s="21" t="n">
        <f aca="false">AG747+AH747+AI747</f>
        <v>0</v>
      </c>
      <c r="AK747" s="21" t="n">
        <f aca="false">IF(OR(AE747="",AE747=0),0,AE747-AJ747)</f>
        <v>0</v>
      </c>
      <c r="AL747" s="19" t="str">
        <f aca="false">IF(AD747="","",AD747-AK747)</f>
        <v/>
      </c>
      <c r="AM747" s="26" t="str">
        <f aca="false">IF(C747="","","Waiting for payment")</f>
        <v/>
      </c>
      <c r="AN747" s="27"/>
      <c r="AO747" s="27"/>
      <c r="AP747" s="35" t="str">
        <f aca="false">IF(OR(C747="",I747="",K747=""),"",IF(K747="Monthly",EDATE(C747,ROUND(I747*SETTINGS!$I$8,0)),WORKDAY(C747,ROUND(I747*SETTINGS!$I$8,0))))</f>
        <v/>
      </c>
      <c r="AQ747" s="26" t="str">
        <f aca="true">IF(C747="","",IF(AND(AP747&lt;&gt;"",TODAY()&gt;=AP747),"Refi Ready",IF(TODAY()-C747&gt;=SETTINGS!$I$11,"Prospecting","Performing")))</f>
        <v/>
      </c>
      <c r="AR747" s="35" t="str">
        <f aca="false">IF(OR(C747="",I747="",K747=""),"",IF(K747="Monthly",EDATE(C747,I747),WORKDAY(C747,I747)))</f>
        <v/>
      </c>
      <c r="AS747" s="28"/>
      <c r="AT747" s="36" t="str">
        <f aca="true">IF(C747="","",IF(AM747="Clawed Back","CLAWED",IF(TODAY()&lt;=C747+SETTINGS!$I$2,"⚠ AT RISK","SAFE")))</f>
        <v/>
      </c>
      <c r="AU747" s="28"/>
      <c r="AW747" s="24" t="n">
        <f aca="false">AW746+IF(AND(C747&lt;&gt;"",AO747&lt;&gt;"",OR('REP COMMISSION'!$B$3="",T747='REP COMMISSION'!$B$3,W747='REP COMMISSION'!$B$3,Z747='REP COMMISSION'!$B$3)),1,0)</f>
        <v>0</v>
      </c>
      <c r="AX747" s="24" t="n">
        <f aca="false">AX746+IF(AND(C747&lt;&gt;"",OR(F747="LOC - INITIAL",F747="CONSOLIDATION - UPFRONT COMM",F747="REVERSE - TOTAL FUNDING")),1,0)</f>
        <v>0</v>
      </c>
    </row>
    <row r="748" customFormat="false" ht="15" hidden="false" customHeight="false" outlineLevel="0" collapsed="false">
      <c r="A748" s="8" t="str">
        <f aca="false">IF(C748&lt;&gt;"","F"&amp;COUNT($C$4:C748),"")</f>
        <v/>
      </c>
      <c r="B748" s="9" t="str">
        <f aca="false">IF(OR(F748="LOC - INITIAL",F748="CONSOLIDATION - UPFRONT COMM",F748="REVERSE - TOTAL FUNDING"),A748,"")</f>
        <v/>
      </c>
      <c r="C748" s="10"/>
      <c r="D748" s="11"/>
      <c r="E748" s="11"/>
      <c r="F748" s="11"/>
      <c r="G748" s="12"/>
      <c r="H748" s="13"/>
      <c r="I748" s="11"/>
      <c r="J748" s="14" t="str">
        <f aca="false">IF(AND(G748&lt;&gt;"",H748&lt;&gt;""),G748*H748,"")</f>
        <v/>
      </c>
      <c r="K748" s="11"/>
      <c r="L748" s="15"/>
      <c r="M748" s="15"/>
      <c r="N748" s="14" t="n">
        <f aca="false">IF(OR(G748="",M748=""),0,IF(M748&gt;100,M748,G748*IF(M748&gt;1,M748/100,M748)))</f>
        <v>0</v>
      </c>
      <c r="O748" s="14" t="str">
        <f aca="false">IF(G748="","",G748*IF(L748="",0,IF(L748&gt;1,L748/100,L748))+N748)</f>
        <v/>
      </c>
      <c r="P748" s="11"/>
      <c r="Q748" s="16" t="str">
        <f aca="false">IF(P748="","",IFERROR(VLOOKUP(P748,PARTNERS!$A$2:$B$30,2,0),""))</f>
        <v/>
      </c>
      <c r="R748" s="17" t="str">
        <f aca="false">IF(O748="","",IF(OR(P748="",Q748=""),0,(O748-N748)*IF(Q748&gt;1,Q748/100,Q748)))</f>
        <v/>
      </c>
      <c r="S748" s="14" t="str">
        <f aca="false">IF(O748="","",O748-R748)</f>
        <v/>
      </c>
      <c r="T748" s="11"/>
      <c r="U748" s="18" t="str">
        <f aca="false">IF(T748="","",IFERROR(VLOOKUP(T748,REPS!$A$2:$D$40,2,0),""))</f>
        <v/>
      </c>
      <c r="V748" s="14" t="str">
        <f aca="false">IF(O748="","",IF(U748="",0,O748*IF(U748&gt;1,U748/100,U748)))</f>
        <v/>
      </c>
      <c r="W748" s="11"/>
      <c r="X748" s="18" t="str">
        <f aca="false">IF(W748="","",IFERROR(VLOOKUP(W748,REPS!$A$2:$D$40,3,0),""))</f>
        <v/>
      </c>
      <c r="Y748" s="14" t="str">
        <f aca="false">IF(O748="","",IF(X748="",0,O748*IF(X748&gt;1,X748/100,X748)))</f>
        <v/>
      </c>
      <c r="Z748" s="11"/>
      <c r="AA748" s="18" t="str">
        <f aca="false">IF(Z748="","",IFERROR(VLOOKUP(Z748,REPS!$A$2:$D$40,4,0),""))</f>
        <v/>
      </c>
      <c r="AB748" s="14" t="str">
        <f aca="false">IF(O748="","",IF(AA748="",0,O748*IF(AA748&gt;1,AA748/100,AA748)))</f>
        <v/>
      </c>
      <c r="AC748" s="14" t="str">
        <f aca="false">IF(O748="","",V748+Y748+AB748)</f>
        <v/>
      </c>
      <c r="AD748" s="19" t="str">
        <f aca="false">IF(O748="","",O748-R748-AC748)</f>
        <v/>
      </c>
      <c r="AE748" s="20"/>
      <c r="AF748" s="10"/>
      <c r="AG748" s="21" t="n">
        <f aca="false">IF(OR(AE748="",AE748=0),0,AE748*IF(U748="",0,IF(U748&gt;1,U748/100,U748)))</f>
        <v>0</v>
      </c>
      <c r="AH748" s="21" t="n">
        <f aca="false">IF(OR(AE748="",AE748=0),0,AE748*IF(X748="",0,IF(X748&gt;1,X748/100,X748)))</f>
        <v>0</v>
      </c>
      <c r="AI748" s="21" t="n">
        <f aca="false">IF(OR(AE748="",AE748=0),0,AE748*IF(AA748="",0,IF(AA748&gt;1,AA748/100,AA748)))</f>
        <v>0</v>
      </c>
      <c r="AJ748" s="21" t="n">
        <f aca="false">AG748+AH748+AI748</f>
        <v>0</v>
      </c>
      <c r="AK748" s="21" t="n">
        <f aca="false">IF(OR(AE748="",AE748=0),0,AE748-AJ748)</f>
        <v>0</v>
      </c>
      <c r="AL748" s="19" t="str">
        <f aca="false">IF(AD748="","",AD748-AK748)</f>
        <v/>
      </c>
      <c r="AM748" s="9" t="str">
        <f aca="false">IF(C748="","","Waiting for payment")</f>
        <v/>
      </c>
      <c r="AN748" s="10"/>
      <c r="AO748" s="10"/>
      <c r="AP748" s="22" t="str">
        <f aca="false">IF(OR(C748="",I748="",K748=""),"",IF(K748="Monthly",EDATE(C748,ROUND(I748*SETTINGS!$I$8,0)),WORKDAY(C748,ROUND(I748*SETTINGS!$I$8,0))))</f>
        <v/>
      </c>
      <c r="AQ748" s="9" t="str">
        <f aca="true">IF(C748="","",IF(AND(AP748&lt;&gt;"",TODAY()&gt;=AP748),"Refi Ready",IF(TODAY()-C748&gt;=SETTINGS!$I$11,"Prospecting","Performing")))</f>
        <v/>
      </c>
      <c r="AR748" s="22" t="str">
        <f aca="false">IF(OR(C748="",I748="",K748=""),"",IF(K748="Monthly",EDATE(C748,I748),WORKDAY(C748,I748)))</f>
        <v/>
      </c>
      <c r="AS748" s="11"/>
      <c r="AT748" s="23" t="str">
        <f aca="true">IF(C748="","",IF(AM748="Clawed Back","CLAWED",IF(TODAY()&lt;=C748+SETTINGS!$I$2,"⚠ AT RISK","SAFE")))</f>
        <v/>
      </c>
      <c r="AU748" s="11"/>
      <c r="AW748" s="24" t="n">
        <f aca="false">AW747+IF(AND(C748&lt;&gt;"",AO748&lt;&gt;"",OR('REP COMMISSION'!$B$3="",T748='REP COMMISSION'!$B$3,W748='REP COMMISSION'!$B$3,Z748='REP COMMISSION'!$B$3)),1,0)</f>
        <v>0</v>
      </c>
      <c r="AX748" s="24" t="n">
        <f aca="false">AX747+IF(AND(C748&lt;&gt;"",OR(F748="LOC - INITIAL",F748="CONSOLIDATION - UPFRONT COMM",F748="REVERSE - TOTAL FUNDING")),1,0)</f>
        <v>0</v>
      </c>
    </row>
    <row r="749" customFormat="false" ht="15" hidden="false" customHeight="false" outlineLevel="0" collapsed="false">
      <c r="A749" s="25" t="str">
        <f aca="false">IF(C749&lt;&gt;"","F"&amp;COUNT($C$4:C749),"")</f>
        <v/>
      </c>
      <c r="B749" s="26" t="str">
        <f aca="false">IF(OR(F749="LOC - INITIAL",F749="CONSOLIDATION - UPFRONT COMM",F749="REVERSE - TOTAL FUNDING"),A749,"")</f>
        <v/>
      </c>
      <c r="C749" s="27"/>
      <c r="D749" s="28"/>
      <c r="E749" s="28"/>
      <c r="F749" s="28"/>
      <c r="G749" s="29"/>
      <c r="H749" s="30"/>
      <c r="I749" s="28"/>
      <c r="J749" s="31" t="str">
        <f aca="false">IF(AND(G749&lt;&gt;"",H749&lt;&gt;""),G749*H749,"")</f>
        <v/>
      </c>
      <c r="K749" s="28"/>
      <c r="L749" s="32"/>
      <c r="M749" s="32"/>
      <c r="N749" s="31" t="n">
        <f aca="false">IF(OR(G749="",M749=""),0,IF(M749&gt;100,M749,G749*IF(M749&gt;1,M749/100,M749)))</f>
        <v>0</v>
      </c>
      <c r="O749" s="31" t="str">
        <f aca="false">IF(G749="","",G749*IF(L749="",0,IF(L749&gt;1,L749/100,L749))+N749)</f>
        <v/>
      </c>
      <c r="P749" s="28"/>
      <c r="Q749" s="33" t="str">
        <f aca="false">IF(P749="","",IFERROR(VLOOKUP(P749,PARTNERS!$A$2:$B$30,2,0),""))</f>
        <v/>
      </c>
      <c r="R749" s="17" t="str">
        <f aca="false">IF(O749="","",IF(OR(P749="",Q749=""),0,(O749-N749)*IF(Q749&gt;1,Q749/100,Q749)))</f>
        <v/>
      </c>
      <c r="S749" s="31" t="str">
        <f aca="false">IF(O749="","",O749-R749)</f>
        <v/>
      </c>
      <c r="T749" s="28"/>
      <c r="U749" s="34" t="str">
        <f aca="false">IF(T749="","",IFERROR(VLOOKUP(T749,REPS!$A$2:$D$40,2,0),""))</f>
        <v/>
      </c>
      <c r="V749" s="31" t="str">
        <f aca="false">IF(O749="","",IF(U749="",0,O749*IF(U749&gt;1,U749/100,U749)))</f>
        <v/>
      </c>
      <c r="W749" s="28"/>
      <c r="X749" s="34" t="str">
        <f aca="false">IF(W749="","",IFERROR(VLOOKUP(W749,REPS!$A$2:$D$40,3,0),""))</f>
        <v/>
      </c>
      <c r="Y749" s="31" t="str">
        <f aca="false">IF(O749="","",IF(X749="",0,O749*IF(X749&gt;1,X749/100,X749)))</f>
        <v/>
      </c>
      <c r="Z749" s="28"/>
      <c r="AA749" s="34" t="str">
        <f aca="false">IF(Z749="","",IFERROR(VLOOKUP(Z749,REPS!$A$2:$D$40,4,0),""))</f>
        <v/>
      </c>
      <c r="AB749" s="31" t="str">
        <f aca="false">IF(O749="","",IF(AA749="",0,O749*IF(AA749&gt;1,AA749/100,AA749)))</f>
        <v/>
      </c>
      <c r="AC749" s="31" t="str">
        <f aca="false">IF(O749="","",V749+Y749+AB749)</f>
        <v/>
      </c>
      <c r="AD749" s="19" t="str">
        <f aca="false">IF(O749="","",O749-R749-AC749)</f>
        <v/>
      </c>
      <c r="AE749" s="20"/>
      <c r="AF749" s="27"/>
      <c r="AG749" s="21" t="n">
        <f aca="false">IF(OR(AE749="",AE749=0),0,AE749*IF(U749="",0,IF(U749&gt;1,U749/100,U749)))</f>
        <v>0</v>
      </c>
      <c r="AH749" s="21" t="n">
        <f aca="false">IF(OR(AE749="",AE749=0),0,AE749*IF(X749="",0,IF(X749&gt;1,X749/100,X749)))</f>
        <v>0</v>
      </c>
      <c r="AI749" s="21" t="n">
        <f aca="false">IF(OR(AE749="",AE749=0),0,AE749*IF(AA749="",0,IF(AA749&gt;1,AA749/100,AA749)))</f>
        <v>0</v>
      </c>
      <c r="AJ749" s="21" t="n">
        <f aca="false">AG749+AH749+AI749</f>
        <v>0</v>
      </c>
      <c r="AK749" s="21" t="n">
        <f aca="false">IF(OR(AE749="",AE749=0),0,AE749-AJ749)</f>
        <v>0</v>
      </c>
      <c r="AL749" s="19" t="str">
        <f aca="false">IF(AD749="","",AD749-AK749)</f>
        <v/>
      </c>
      <c r="AM749" s="26" t="str">
        <f aca="false">IF(C749="","","Waiting for payment")</f>
        <v/>
      </c>
      <c r="AN749" s="27"/>
      <c r="AO749" s="27"/>
      <c r="AP749" s="35" t="str">
        <f aca="false">IF(OR(C749="",I749="",K749=""),"",IF(K749="Monthly",EDATE(C749,ROUND(I749*SETTINGS!$I$8,0)),WORKDAY(C749,ROUND(I749*SETTINGS!$I$8,0))))</f>
        <v/>
      </c>
      <c r="AQ749" s="26" t="str">
        <f aca="true">IF(C749="","",IF(AND(AP749&lt;&gt;"",TODAY()&gt;=AP749),"Refi Ready",IF(TODAY()-C749&gt;=SETTINGS!$I$11,"Prospecting","Performing")))</f>
        <v/>
      </c>
      <c r="AR749" s="35" t="str">
        <f aca="false">IF(OR(C749="",I749="",K749=""),"",IF(K749="Monthly",EDATE(C749,I749),WORKDAY(C749,I749)))</f>
        <v/>
      </c>
      <c r="AS749" s="28"/>
      <c r="AT749" s="36" t="str">
        <f aca="true">IF(C749="","",IF(AM749="Clawed Back","CLAWED",IF(TODAY()&lt;=C749+SETTINGS!$I$2,"⚠ AT RISK","SAFE")))</f>
        <v/>
      </c>
      <c r="AU749" s="28"/>
      <c r="AW749" s="24" t="n">
        <f aca="false">AW748+IF(AND(C749&lt;&gt;"",AO749&lt;&gt;"",OR('REP COMMISSION'!$B$3="",T749='REP COMMISSION'!$B$3,W749='REP COMMISSION'!$B$3,Z749='REP COMMISSION'!$B$3)),1,0)</f>
        <v>0</v>
      </c>
      <c r="AX749" s="24" t="n">
        <f aca="false">AX748+IF(AND(C749&lt;&gt;"",OR(F749="LOC - INITIAL",F749="CONSOLIDATION - UPFRONT COMM",F749="REVERSE - TOTAL FUNDING")),1,0)</f>
        <v>0</v>
      </c>
    </row>
    <row r="750" customFormat="false" ht="15" hidden="false" customHeight="false" outlineLevel="0" collapsed="false">
      <c r="A750" s="8" t="str">
        <f aca="false">IF(C750&lt;&gt;"","F"&amp;COUNT($C$4:C750),"")</f>
        <v/>
      </c>
      <c r="B750" s="9" t="str">
        <f aca="false">IF(OR(F750="LOC - INITIAL",F750="CONSOLIDATION - UPFRONT COMM",F750="REVERSE - TOTAL FUNDING"),A750,"")</f>
        <v/>
      </c>
      <c r="C750" s="10"/>
      <c r="D750" s="11"/>
      <c r="E750" s="11"/>
      <c r="F750" s="11"/>
      <c r="G750" s="12"/>
      <c r="H750" s="13"/>
      <c r="I750" s="11"/>
      <c r="J750" s="14" t="str">
        <f aca="false">IF(AND(G750&lt;&gt;"",H750&lt;&gt;""),G750*H750,"")</f>
        <v/>
      </c>
      <c r="K750" s="11"/>
      <c r="L750" s="15"/>
      <c r="M750" s="15"/>
      <c r="N750" s="14" t="n">
        <f aca="false">IF(OR(G750="",M750=""),0,IF(M750&gt;100,M750,G750*IF(M750&gt;1,M750/100,M750)))</f>
        <v>0</v>
      </c>
      <c r="O750" s="14" t="str">
        <f aca="false">IF(G750="","",G750*IF(L750="",0,IF(L750&gt;1,L750/100,L750))+N750)</f>
        <v/>
      </c>
      <c r="P750" s="11"/>
      <c r="Q750" s="16" t="str">
        <f aca="false">IF(P750="","",IFERROR(VLOOKUP(P750,PARTNERS!$A$2:$B$30,2,0),""))</f>
        <v/>
      </c>
      <c r="R750" s="17" t="str">
        <f aca="false">IF(O750="","",IF(OR(P750="",Q750=""),0,(O750-N750)*IF(Q750&gt;1,Q750/100,Q750)))</f>
        <v/>
      </c>
      <c r="S750" s="14" t="str">
        <f aca="false">IF(O750="","",O750-R750)</f>
        <v/>
      </c>
      <c r="T750" s="11"/>
      <c r="U750" s="18" t="str">
        <f aca="false">IF(T750="","",IFERROR(VLOOKUP(T750,REPS!$A$2:$D$40,2,0),""))</f>
        <v/>
      </c>
      <c r="V750" s="14" t="str">
        <f aca="false">IF(O750="","",IF(U750="",0,O750*IF(U750&gt;1,U750/100,U750)))</f>
        <v/>
      </c>
      <c r="W750" s="11"/>
      <c r="X750" s="18" t="str">
        <f aca="false">IF(W750="","",IFERROR(VLOOKUP(W750,REPS!$A$2:$D$40,3,0),""))</f>
        <v/>
      </c>
      <c r="Y750" s="14" t="str">
        <f aca="false">IF(O750="","",IF(X750="",0,O750*IF(X750&gt;1,X750/100,X750)))</f>
        <v/>
      </c>
      <c r="Z750" s="11"/>
      <c r="AA750" s="18" t="str">
        <f aca="false">IF(Z750="","",IFERROR(VLOOKUP(Z750,REPS!$A$2:$D$40,4,0),""))</f>
        <v/>
      </c>
      <c r="AB750" s="14" t="str">
        <f aca="false">IF(O750="","",IF(AA750="",0,O750*IF(AA750&gt;1,AA750/100,AA750)))</f>
        <v/>
      </c>
      <c r="AC750" s="14" t="str">
        <f aca="false">IF(O750="","",V750+Y750+AB750)</f>
        <v/>
      </c>
      <c r="AD750" s="19" t="str">
        <f aca="false">IF(O750="","",O750-R750-AC750)</f>
        <v/>
      </c>
      <c r="AE750" s="20"/>
      <c r="AF750" s="10"/>
      <c r="AG750" s="21" t="n">
        <f aca="false">IF(OR(AE750="",AE750=0),0,AE750*IF(U750="",0,IF(U750&gt;1,U750/100,U750)))</f>
        <v>0</v>
      </c>
      <c r="AH750" s="21" t="n">
        <f aca="false">IF(OR(AE750="",AE750=0),0,AE750*IF(X750="",0,IF(X750&gt;1,X750/100,X750)))</f>
        <v>0</v>
      </c>
      <c r="AI750" s="21" t="n">
        <f aca="false">IF(OR(AE750="",AE750=0),0,AE750*IF(AA750="",0,IF(AA750&gt;1,AA750/100,AA750)))</f>
        <v>0</v>
      </c>
      <c r="AJ750" s="21" t="n">
        <f aca="false">AG750+AH750+AI750</f>
        <v>0</v>
      </c>
      <c r="AK750" s="21" t="n">
        <f aca="false">IF(OR(AE750="",AE750=0),0,AE750-AJ750)</f>
        <v>0</v>
      </c>
      <c r="AL750" s="19" t="str">
        <f aca="false">IF(AD750="","",AD750-AK750)</f>
        <v/>
      </c>
      <c r="AM750" s="9" t="str">
        <f aca="false">IF(C750="","","Waiting for payment")</f>
        <v/>
      </c>
      <c r="AN750" s="10"/>
      <c r="AO750" s="10"/>
      <c r="AP750" s="22" t="str">
        <f aca="false">IF(OR(C750="",I750="",K750=""),"",IF(K750="Monthly",EDATE(C750,ROUND(I750*SETTINGS!$I$8,0)),WORKDAY(C750,ROUND(I750*SETTINGS!$I$8,0))))</f>
        <v/>
      </c>
      <c r="AQ750" s="9" t="str">
        <f aca="true">IF(C750="","",IF(AND(AP750&lt;&gt;"",TODAY()&gt;=AP750),"Refi Ready",IF(TODAY()-C750&gt;=SETTINGS!$I$11,"Prospecting","Performing")))</f>
        <v/>
      </c>
      <c r="AR750" s="22" t="str">
        <f aca="false">IF(OR(C750="",I750="",K750=""),"",IF(K750="Monthly",EDATE(C750,I750),WORKDAY(C750,I750)))</f>
        <v/>
      </c>
      <c r="AS750" s="11"/>
      <c r="AT750" s="23" t="str">
        <f aca="true">IF(C750="","",IF(AM750="Clawed Back","CLAWED",IF(TODAY()&lt;=C750+SETTINGS!$I$2,"⚠ AT RISK","SAFE")))</f>
        <v/>
      </c>
      <c r="AU750" s="11"/>
      <c r="AW750" s="24" t="n">
        <f aca="false">AW749+IF(AND(C750&lt;&gt;"",AO750&lt;&gt;"",OR('REP COMMISSION'!$B$3="",T750='REP COMMISSION'!$B$3,W750='REP COMMISSION'!$B$3,Z750='REP COMMISSION'!$B$3)),1,0)</f>
        <v>0</v>
      </c>
      <c r="AX750" s="24" t="n">
        <f aca="false">AX749+IF(AND(C750&lt;&gt;"",OR(F750="LOC - INITIAL",F750="CONSOLIDATION - UPFRONT COMM",F750="REVERSE - TOTAL FUNDING")),1,0)</f>
        <v>0</v>
      </c>
    </row>
    <row r="751" customFormat="false" ht="15" hidden="false" customHeight="false" outlineLevel="0" collapsed="false">
      <c r="A751" s="25" t="str">
        <f aca="false">IF(C751&lt;&gt;"","F"&amp;COUNT($C$4:C751),"")</f>
        <v/>
      </c>
      <c r="B751" s="26" t="str">
        <f aca="false">IF(OR(F751="LOC - INITIAL",F751="CONSOLIDATION - UPFRONT COMM",F751="REVERSE - TOTAL FUNDING"),A751,"")</f>
        <v/>
      </c>
      <c r="C751" s="27"/>
      <c r="D751" s="28"/>
      <c r="E751" s="28"/>
      <c r="F751" s="28"/>
      <c r="G751" s="29"/>
      <c r="H751" s="30"/>
      <c r="I751" s="28"/>
      <c r="J751" s="31" t="str">
        <f aca="false">IF(AND(G751&lt;&gt;"",H751&lt;&gt;""),G751*H751,"")</f>
        <v/>
      </c>
      <c r="K751" s="28"/>
      <c r="L751" s="32"/>
      <c r="M751" s="32"/>
      <c r="N751" s="31" t="n">
        <f aca="false">IF(OR(G751="",M751=""),0,IF(M751&gt;100,M751,G751*IF(M751&gt;1,M751/100,M751)))</f>
        <v>0</v>
      </c>
      <c r="O751" s="31" t="str">
        <f aca="false">IF(G751="","",G751*IF(L751="",0,IF(L751&gt;1,L751/100,L751))+N751)</f>
        <v/>
      </c>
      <c r="P751" s="28"/>
      <c r="Q751" s="33" t="str">
        <f aca="false">IF(P751="","",IFERROR(VLOOKUP(P751,PARTNERS!$A$2:$B$30,2,0),""))</f>
        <v/>
      </c>
      <c r="R751" s="17" t="str">
        <f aca="false">IF(O751="","",IF(OR(P751="",Q751=""),0,(O751-N751)*IF(Q751&gt;1,Q751/100,Q751)))</f>
        <v/>
      </c>
      <c r="S751" s="31" t="str">
        <f aca="false">IF(O751="","",O751-R751)</f>
        <v/>
      </c>
      <c r="T751" s="28"/>
      <c r="U751" s="34" t="str">
        <f aca="false">IF(T751="","",IFERROR(VLOOKUP(T751,REPS!$A$2:$D$40,2,0),""))</f>
        <v/>
      </c>
      <c r="V751" s="31" t="str">
        <f aca="false">IF(O751="","",IF(U751="",0,O751*IF(U751&gt;1,U751/100,U751)))</f>
        <v/>
      </c>
      <c r="W751" s="28"/>
      <c r="X751" s="34" t="str">
        <f aca="false">IF(W751="","",IFERROR(VLOOKUP(W751,REPS!$A$2:$D$40,3,0),""))</f>
        <v/>
      </c>
      <c r="Y751" s="31" t="str">
        <f aca="false">IF(O751="","",IF(X751="",0,O751*IF(X751&gt;1,X751/100,X751)))</f>
        <v/>
      </c>
      <c r="Z751" s="28"/>
      <c r="AA751" s="34" t="str">
        <f aca="false">IF(Z751="","",IFERROR(VLOOKUP(Z751,REPS!$A$2:$D$40,4,0),""))</f>
        <v/>
      </c>
      <c r="AB751" s="31" t="str">
        <f aca="false">IF(O751="","",IF(AA751="",0,O751*IF(AA751&gt;1,AA751/100,AA751)))</f>
        <v/>
      </c>
      <c r="AC751" s="31" t="str">
        <f aca="false">IF(O751="","",V751+Y751+AB751)</f>
        <v/>
      </c>
      <c r="AD751" s="19" t="str">
        <f aca="false">IF(O751="","",O751-R751-AC751)</f>
        <v/>
      </c>
      <c r="AE751" s="20"/>
      <c r="AF751" s="27"/>
      <c r="AG751" s="21" t="n">
        <f aca="false">IF(OR(AE751="",AE751=0),0,AE751*IF(U751="",0,IF(U751&gt;1,U751/100,U751)))</f>
        <v>0</v>
      </c>
      <c r="AH751" s="21" t="n">
        <f aca="false">IF(OR(AE751="",AE751=0),0,AE751*IF(X751="",0,IF(X751&gt;1,X751/100,X751)))</f>
        <v>0</v>
      </c>
      <c r="AI751" s="21" t="n">
        <f aca="false">IF(OR(AE751="",AE751=0),0,AE751*IF(AA751="",0,IF(AA751&gt;1,AA751/100,AA751)))</f>
        <v>0</v>
      </c>
      <c r="AJ751" s="21" t="n">
        <f aca="false">AG751+AH751+AI751</f>
        <v>0</v>
      </c>
      <c r="AK751" s="21" t="n">
        <f aca="false">IF(OR(AE751="",AE751=0),0,AE751-AJ751)</f>
        <v>0</v>
      </c>
      <c r="AL751" s="19" t="str">
        <f aca="false">IF(AD751="","",AD751-AK751)</f>
        <v/>
      </c>
      <c r="AM751" s="26" t="str">
        <f aca="false">IF(C751="","","Waiting for payment")</f>
        <v/>
      </c>
      <c r="AN751" s="27"/>
      <c r="AO751" s="27"/>
      <c r="AP751" s="35" t="str">
        <f aca="false">IF(OR(C751="",I751="",K751=""),"",IF(K751="Monthly",EDATE(C751,ROUND(I751*SETTINGS!$I$8,0)),WORKDAY(C751,ROUND(I751*SETTINGS!$I$8,0))))</f>
        <v/>
      </c>
      <c r="AQ751" s="26" t="str">
        <f aca="true">IF(C751="","",IF(AND(AP751&lt;&gt;"",TODAY()&gt;=AP751),"Refi Ready",IF(TODAY()-C751&gt;=SETTINGS!$I$11,"Prospecting","Performing")))</f>
        <v/>
      </c>
      <c r="AR751" s="35" t="str">
        <f aca="false">IF(OR(C751="",I751="",K751=""),"",IF(K751="Monthly",EDATE(C751,I751),WORKDAY(C751,I751)))</f>
        <v/>
      </c>
      <c r="AS751" s="28"/>
      <c r="AT751" s="36" t="str">
        <f aca="true">IF(C751="","",IF(AM751="Clawed Back","CLAWED",IF(TODAY()&lt;=C751+SETTINGS!$I$2,"⚠ AT RISK","SAFE")))</f>
        <v/>
      </c>
      <c r="AU751" s="28"/>
      <c r="AW751" s="24" t="n">
        <f aca="false">AW750+IF(AND(C751&lt;&gt;"",AO751&lt;&gt;"",OR('REP COMMISSION'!$B$3="",T751='REP COMMISSION'!$B$3,W751='REP COMMISSION'!$B$3,Z751='REP COMMISSION'!$B$3)),1,0)</f>
        <v>0</v>
      </c>
      <c r="AX751" s="24" t="n">
        <f aca="false">AX750+IF(AND(C751&lt;&gt;"",OR(F751="LOC - INITIAL",F751="CONSOLIDATION - UPFRONT COMM",F751="REVERSE - TOTAL FUNDING")),1,0)</f>
        <v>0</v>
      </c>
    </row>
    <row r="752" customFormat="false" ht="15" hidden="false" customHeight="false" outlineLevel="0" collapsed="false">
      <c r="A752" s="8" t="str">
        <f aca="false">IF(C752&lt;&gt;"","F"&amp;COUNT($C$4:C752),"")</f>
        <v/>
      </c>
      <c r="B752" s="9" t="str">
        <f aca="false">IF(OR(F752="LOC - INITIAL",F752="CONSOLIDATION - UPFRONT COMM",F752="REVERSE - TOTAL FUNDING"),A752,"")</f>
        <v/>
      </c>
      <c r="C752" s="10"/>
      <c r="D752" s="11"/>
      <c r="E752" s="11"/>
      <c r="F752" s="11"/>
      <c r="G752" s="12"/>
      <c r="H752" s="13"/>
      <c r="I752" s="11"/>
      <c r="J752" s="14" t="str">
        <f aca="false">IF(AND(G752&lt;&gt;"",H752&lt;&gt;""),G752*H752,"")</f>
        <v/>
      </c>
      <c r="K752" s="11"/>
      <c r="L752" s="15"/>
      <c r="M752" s="15"/>
      <c r="N752" s="14" t="n">
        <f aca="false">IF(OR(G752="",M752=""),0,IF(M752&gt;100,M752,G752*IF(M752&gt;1,M752/100,M752)))</f>
        <v>0</v>
      </c>
      <c r="O752" s="14" t="str">
        <f aca="false">IF(G752="","",G752*IF(L752="",0,IF(L752&gt;1,L752/100,L752))+N752)</f>
        <v/>
      </c>
      <c r="P752" s="11"/>
      <c r="Q752" s="16" t="str">
        <f aca="false">IF(P752="","",IFERROR(VLOOKUP(P752,PARTNERS!$A$2:$B$30,2,0),""))</f>
        <v/>
      </c>
      <c r="R752" s="17" t="str">
        <f aca="false">IF(O752="","",IF(OR(P752="",Q752=""),0,(O752-N752)*IF(Q752&gt;1,Q752/100,Q752)))</f>
        <v/>
      </c>
      <c r="S752" s="14" t="str">
        <f aca="false">IF(O752="","",O752-R752)</f>
        <v/>
      </c>
      <c r="T752" s="11"/>
      <c r="U752" s="18" t="str">
        <f aca="false">IF(T752="","",IFERROR(VLOOKUP(T752,REPS!$A$2:$D$40,2,0),""))</f>
        <v/>
      </c>
      <c r="V752" s="14" t="str">
        <f aca="false">IF(O752="","",IF(U752="",0,O752*IF(U752&gt;1,U752/100,U752)))</f>
        <v/>
      </c>
      <c r="W752" s="11"/>
      <c r="X752" s="18" t="str">
        <f aca="false">IF(W752="","",IFERROR(VLOOKUP(W752,REPS!$A$2:$D$40,3,0),""))</f>
        <v/>
      </c>
      <c r="Y752" s="14" t="str">
        <f aca="false">IF(O752="","",IF(X752="",0,O752*IF(X752&gt;1,X752/100,X752)))</f>
        <v/>
      </c>
      <c r="Z752" s="11"/>
      <c r="AA752" s="18" t="str">
        <f aca="false">IF(Z752="","",IFERROR(VLOOKUP(Z752,REPS!$A$2:$D$40,4,0),""))</f>
        <v/>
      </c>
      <c r="AB752" s="14" t="str">
        <f aca="false">IF(O752="","",IF(AA752="",0,O752*IF(AA752&gt;1,AA752/100,AA752)))</f>
        <v/>
      </c>
      <c r="AC752" s="14" t="str">
        <f aca="false">IF(O752="","",V752+Y752+AB752)</f>
        <v/>
      </c>
      <c r="AD752" s="19" t="str">
        <f aca="false">IF(O752="","",O752-R752-AC752)</f>
        <v/>
      </c>
      <c r="AE752" s="20"/>
      <c r="AF752" s="10"/>
      <c r="AG752" s="21" t="n">
        <f aca="false">IF(OR(AE752="",AE752=0),0,AE752*IF(U752="",0,IF(U752&gt;1,U752/100,U752)))</f>
        <v>0</v>
      </c>
      <c r="AH752" s="21" t="n">
        <f aca="false">IF(OR(AE752="",AE752=0),0,AE752*IF(X752="",0,IF(X752&gt;1,X752/100,X752)))</f>
        <v>0</v>
      </c>
      <c r="AI752" s="21" t="n">
        <f aca="false">IF(OR(AE752="",AE752=0),0,AE752*IF(AA752="",0,IF(AA752&gt;1,AA752/100,AA752)))</f>
        <v>0</v>
      </c>
      <c r="AJ752" s="21" t="n">
        <f aca="false">AG752+AH752+AI752</f>
        <v>0</v>
      </c>
      <c r="AK752" s="21" t="n">
        <f aca="false">IF(OR(AE752="",AE752=0),0,AE752-AJ752)</f>
        <v>0</v>
      </c>
      <c r="AL752" s="19" t="str">
        <f aca="false">IF(AD752="","",AD752-AK752)</f>
        <v/>
      </c>
      <c r="AM752" s="9" t="str">
        <f aca="false">IF(C752="","","Waiting for payment")</f>
        <v/>
      </c>
      <c r="AN752" s="10"/>
      <c r="AO752" s="10"/>
      <c r="AP752" s="22" t="str">
        <f aca="false">IF(OR(C752="",I752="",K752=""),"",IF(K752="Monthly",EDATE(C752,ROUND(I752*SETTINGS!$I$8,0)),WORKDAY(C752,ROUND(I752*SETTINGS!$I$8,0))))</f>
        <v/>
      </c>
      <c r="AQ752" s="9" t="str">
        <f aca="true">IF(C752="","",IF(AND(AP752&lt;&gt;"",TODAY()&gt;=AP752),"Refi Ready",IF(TODAY()-C752&gt;=SETTINGS!$I$11,"Prospecting","Performing")))</f>
        <v/>
      </c>
      <c r="AR752" s="22" t="str">
        <f aca="false">IF(OR(C752="",I752="",K752=""),"",IF(K752="Monthly",EDATE(C752,I752),WORKDAY(C752,I752)))</f>
        <v/>
      </c>
      <c r="AS752" s="11"/>
      <c r="AT752" s="23" t="str">
        <f aca="true">IF(C752="","",IF(AM752="Clawed Back","CLAWED",IF(TODAY()&lt;=C752+SETTINGS!$I$2,"⚠ AT RISK","SAFE")))</f>
        <v/>
      </c>
      <c r="AU752" s="11"/>
      <c r="AW752" s="24" t="n">
        <f aca="false">AW751+IF(AND(C752&lt;&gt;"",AO752&lt;&gt;"",OR('REP COMMISSION'!$B$3="",T752='REP COMMISSION'!$B$3,W752='REP COMMISSION'!$B$3,Z752='REP COMMISSION'!$B$3)),1,0)</f>
        <v>0</v>
      </c>
      <c r="AX752" s="24" t="n">
        <f aca="false">AX751+IF(AND(C752&lt;&gt;"",OR(F752="LOC - INITIAL",F752="CONSOLIDATION - UPFRONT COMM",F752="REVERSE - TOTAL FUNDING")),1,0)</f>
        <v>0</v>
      </c>
    </row>
    <row r="753" customFormat="false" ht="15" hidden="false" customHeight="false" outlineLevel="0" collapsed="false">
      <c r="A753" s="25" t="str">
        <f aca="false">IF(C753&lt;&gt;"","F"&amp;COUNT($C$4:C753),"")</f>
        <v/>
      </c>
      <c r="B753" s="26" t="str">
        <f aca="false">IF(OR(F753="LOC - INITIAL",F753="CONSOLIDATION - UPFRONT COMM",F753="REVERSE - TOTAL FUNDING"),A753,"")</f>
        <v/>
      </c>
      <c r="C753" s="27"/>
      <c r="D753" s="28"/>
      <c r="E753" s="28"/>
      <c r="F753" s="28"/>
      <c r="G753" s="29"/>
      <c r="H753" s="30"/>
      <c r="I753" s="28"/>
      <c r="J753" s="31" t="str">
        <f aca="false">IF(AND(G753&lt;&gt;"",H753&lt;&gt;""),G753*H753,"")</f>
        <v/>
      </c>
      <c r="K753" s="28"/>
      <c r="L753" s="32"/>
      <c r="M753" s="32"/>
      <c r="N753" s="31" t="n">
        <f aca="false">IF(OR(G753="",M753=""),0,IF(M753&gt;100,M753,G753*IF(M753&gt;1,M753/100,M753)))</f>
        <v>0</v>
      </c>
      <c r="O753" s="31" t="str">
        <f aca="false">IF(G753="","",G753*IF(L753="",0,IF(L753&gt;1,L753/100,L753))+N753)</f>
        <v/>
      </c>
      <c r="P753" s="28"/>
      <c r="Q753" s="33" t="str">
        <f aca="false">IF(P753="","",IFERROR(VLOOKUP(P753,PARTNERS!$A$2:$B$30,2,0),""))</f>
        <v/>
      </c>
      <c r="R753" s="17" t="str">
        <f aca="false">IF(O753="","",IF(OR(P753="",Q753=""),0,(O753-N753)*IF(Q753&gt;1,Q753/100,Q753)))</f>
        <v/>
      </c>
      <c r="S753" s="31" t="str">
        <f aca="false">IF(O753="","",O753-R753)</f>
        <v/>
      </c>
      <c r="T753" s="28"/>
      <c r="U753" s="34" t="str">
        <f aca="false">IF(T753="","",IFERROR(VLOOKUP(T753,REPS!$A$2:$D$40,2,0),""))</f>
        <v/>
      </c>
      <c r="V753" s="31" t="str">
        <f aca="false">IF(O753="","",IF(U753="",0,O753*IF(U753&gt;1,U753/100,U753)))</f>
        <v/>
      </c>
      <c r="W753" s="28"/>
      <c r="X753" s="34" t="str">
        <f aca="false">IF(W753="","",IFERROR(VLOOKUP(W753,REPS!$A$2:$D$40,3,0),""))</f>
        <v/>
      </c>
      <c r="Y753" s="31" t="str">
        <f aca="false">IF(O753="","",IF(X753="",0,O753*IF(X753&gt;1,X753/100,X753)))</f>
        <v/>
      </c>
      <c r="Z753" s="28"/>
      <c r="AA753" s="34" t="str">
        <f aca="false">IF(Z753="","",IFERROR(VLOOKUP(Z753,REPS!$A$2:$D$40,4,0),""))</f>
        <v/>
      </c>
      <c r="AB753" s="31" t="str">
        <f aca="false">IF(O753="","",IF(AA753="",0,O753*IF(AA753&gt;1,AA753/100,AA753)))</f>
        <v/>
      </c>
      <c r="AC753" s="31" t="str">
        <f aca="false">IF(O753="","",V753+Y753+AB753)</f>
        <v/>
      </c>
      <c r="AD753" s="19" t="str">
        <f aca="false">IF(O753="","",O753-R753-AC753)</f>
        <v/>
      </c>
      <c r="AE753" s="20"/>
      <c r="AF753" s="27"/>
      <c r="AG753" s="21" t="n">
        <f aca="false">IF(OR(AE753="",AE753=0),0,AE753*IF(U753="",0,IF(U753&gt;1,U753/100,U753)))</f>
        <v>0</v>
      </c>
      <c r="AH753" s="21" t="n">
        <f aca="false">IF(OR(AE753="",AE753=0),0,AE753*IF(X753="",0,IF(X753&gt;1,X753/100,X753)))</f>
        <v>0</v>
      </c>
      <c r="AI753" s="21" t="n">
        <f aca="false">IF(OR(AE753="",AE753=0),0,AE753*IF(AA753="",0,IF(AA753&gt;1,AA753/100,AA753)))</f>
        <v>0</v>
      </c>
      <c r="AJ753" s="21" t="n">
        <f aca="false">AG753+AH753+AI753</f>
        <v>0</v>
      </c>
      <c r="AK753" s="21" t="n">
        <f aca="false">IF(OR(AE753="",AE753=0),0,AE753-AJ753)</f>
        <v>0</v>
      </c>
      <c r="AL753" s="19" t="str">
        <f aca="false">IF(AD753="","",AD753-AK753)</f>
        <v/>
      </c>
      <c r="AM753" s="26" t="str">
        <f aca="false">IF(C753="","","Waiting for payment")</f>
        <v/>
      </c>
      <c r="AN753" s="27"/>
      <c r="AO753" s="27"/>
      <c r="AP753" s="35" t="str">
        <f aca="false">IF(OR(C753="",I753="",K753=""),"",IF(K753="Monthly",EDATE(C753,ROUND(I753*SETTINGS!$I$8,0)),WORKDAY(C753,ROUND(I753*SETTINGS!$I$8,0))))</f>
        <v/>
      </c>
      <c r="AQ753" s="26" t="str">
        <f aca="true">IF(C753="","",IF(AND(AP753&lt;&gt;"",TODAY()&gt;=AP753),"Refi Ready",IF(TODAY()-C753&gt;=SETTINGS!$I$11,"Prospecting","Performing")))</f>
        <v/>
      </c>
      <c r="AR753" s="35" t="str">
        <f aca="false">IF(OR(C753="",I753="",K753=""),"",IF(K753="Monthly",EDATE(C753,I753),WORKDAY(C753,I753)))</f>
        <v/>
      </c>
      <c r="AS753" s="28"/>
      <c r="AT753" s="36" t="str">
        <f aca="true">IF(C753="","",IF(AM753="Clawed Back","CLAWED",IF(TODAY()&lt;=C753+SETTINGS!$I$2,"⚠ AT RISK","SAFE")))</f>
        <v/>
      </c>
      <c r="AU753" s="28"/>
      <c r="AW753" s="24" t="n">
        <f aca="false">AW752+IF(AND(C753&lt;&gt;"",AO753&lt;&gt;"",OR('REP COMMISSION'!$B$3="",T753='REP COMMISSION'!$B$3,W753='REP COMMISSION'!$B$3,Z753='REP COMMISSION'!$B$3)),1,0)</f>
        <v>0</v>
      </c>
      <c r="AX753" s="24" t="n">
        <f aca="false">AX752+IF(AND(C753&lt;&gt;"",OR(F753="LOC - INITIAL",F753="CONSOLIDATION - UPFRONT COMM",F753="REVERSE - TOTAL FUNDING")),1,0)</f>
        <v>0</v>
      </c>
    </row>
    <row r="754" customFormat="false" ht="15" hidden="false" customHeight="false" outlineLevel="0" collapsed="false">
      <c r="A754" s="8" t="str">
        <f aca="false">IF(C754&lt;&gt;"","F"&amp;COUNT($C$4:C754),"")</f>
        <v/>
      </c>
      <c r="B754" s="9" t="str">
        <f aca="false">IF(OR(F754="LOC - INITIAL",F754="CONSOLIDATION - UPFRONT COMM",F754="REVERSE - TOTAL FUNDING"),A754,"")</f>
        <v/>
      </c>
      <c r="C754" s="10"/>
      <c r="D754" s="11"/>
      <c r="E754" s="11"/>
      <c r="F754" s="11"/>
      <c r="G754" s="12"/>
      <c r="H754" s="13"/>
      <c r="I754" s="11"/>
      <c r="J754" s="14" t="str">
        <f aca="false">IF(AND(G754&lt;&gt;"",H754&lt;&gt;""),G754*H754,"")</f>
        <v/>
      </c>
      <c r="K754" s="11"/>
      <c r="L754" s="15"/>
      <c r="M754" s="15"/>
      <c r="N754" s="14" t="n">
        <f aca="false">IF(OR(G754="",M754=""),0,IF(M754&gt;100,M754,G754*IF(M754&gt;1,M754/100,M754)))</f>
        <v>0</v>
      </c>
      <c r="O754" s="14" t="str">
        <f aca="false">IF(G754="","",G754*IF(L754="",0,IF(L754&gt;1,L754/100,L754))+N754)</f>
        <v/>
      </c>
      <c r="P754" s="11"/>
      <c r="Q754" s="16" t="str">
        <f aca="false">IF(P754="","",IFERROR(VLOOKUP(P754,PARTNERS!$A$2:$B$30,2,0),""))</f>
        <v/>
      </c>
      <c r="R754" s="17" t="str">
        <f aca="false">IF(O754="","",IF(OR(P754="",Q754=""),0,(O754-N754)*IF(Q754&gt;1,Q754/100,Q754)))</f>
        <v/>
      </c>
      <c r="S754" s="14" t="str">
        <f aca="false">IF(O754="","",O754-R754)</f>
        <v/>
      </c>
      <c r="T754" s="11"/>
      <c r="U754" s="18" t="str">
        <f aca="false">IF(T754="","",IFERROR(VLOOKUP(T754,REPS!$A$2:$D$40,2,0),""))</f>
        <v/>
      </c>
      <c r="V754" s="14" t="str">
        <f aca="false">IF(O754="","",IF(U754="",0,O754*IF(U754&gt;1,U754/100,U754)))</f>
        <v/>
      </c>
      <c r="W754" s="11"/>
      <c r="X754" s="18" t="str">
        <f aca="false">IF(W754="","",IFERROR(VLOOKUP(W754,REPS!$A$2:$D$40,3,0),""))</f>
        <v/>
      </c>
      <c r="Y754" s="14" t="str">
        <f aca="false">IF(O754="","",IF(X754="",0,O754*IF(X754&gt;1,X754/100,X754)))</f>
        <v/>
      </c>
      <c r="Z754" s="11"/>
      <c r="AA754" s="18" t="str">
        <f aca="false">IF(Z754="","",IFERROR(VLOOKUP(Z754,REPS!$A$2:$D$40,4,0),""))</f>
        <v/>
      </c>
      <c r="AB754" s="14" t="str">
        <f aca="false">IF(O754="","",IF(AA754="",0,O754*IF(AA754&gt;1,AA754/100,AA754)))</f>
        <v/>
      </c>
      <c r="AC754" s="14" t="str">
        <f aca="false">IF(O754="","",V754+Y754+AB754)</f>
        <v/>
      </c>
      <c r="AD754" s="19" t="str">
        <f aca="false">IF(O754="","",O754-R754-AC754)</f>
        <v/>
      </c>
      <c r="AE754" s="20"/>
      <c r="AF754" s="10"/>
      <c r="AG754" s="21" t="n">
        <f aca="false">IF(OR(AE754="",AE754=0),0,AE754*IF(U754="",0,IF(U754&gt;1,U754/100,U754)))</f>
        <v>0</v>
      </c>
      <c r="AH754" s="21" t="n">
        <f aca="false">IF(OR(AE754="",AE754=0),0,AE754*IF(X754="",0,IF(X754&gt;1,X754/100,X754)))</f>
        <v>0</v>
      </c>
      <c r="AI754" s="21" t="n">
        <f aca="false">IF(OR(AE754="",AE754=0),0,AE754*IF(AA754="",0,IF(AA754&gt;1,AA754/100,AA754)))</f>
        <v>0</v>
      </c>
      <c r="AJ754" s="21" t="n">
        <f aca="false">AG754+AH754+AI754</f>
        <v>0</v>
      </c>
      <c r="AK754" s="21" t="n">
        <f aca="false">IF(OR(AE754="",AE754=0),0,AE754-AJ754)</f>
        <v>0</v>
      </c>
      <c r="AL754" s="19" t="str">
        <f aca="false">IF(AD754="","",AD754-AK754)</f>
        <v/>
      </c>
      <c r="AM754" s="9" t="str">
        <f aca="false">IF(C754="","","Waiting for payment")</f>
        <v/>
      </c>
      <c r="AN754" s="10"/>
      <c r="AO754" s="10"/>
      <c r="AP754" s="22" t="str">
        <f aca="false">IF(OR(C754="",I754="",K754=""),"",IF(K754="Monthly",EDATE(C754,ROUND(I754*SETTINGS!$I$8,0)),WORKDAY(C754,ROUND(I754*SETTINGS!$I$8,0))))</f>
        <v/>
      </c>
      <c r="AQ754" s="9" t="str">
        <f aca="true">IF(C754="","",IF(AND(AP754&lt;&gt;"",TODAY()&gt;=AP754),"Refi Ready",IF(TODAY()-C754&gt;=SETTINGS!$I$11,"Prospecting","Performing")))</f>
        <v/>
      </c>
      <c r="AR754" s="22" t="str">
        <f aca="false">IF(OR(C754="",I754="",K754=""),"",IF(K754="Monthly",EDATE(C754,I754),WORKDAY(C754,I754)))</f>
        <v/>
      </c>
      <c r="AS754" s="11"/>
      <c r="AT754" s="23" t="str">
        <f aca="true">IF(C754="","",IF(AM754="Clawed Back","CLAWED",IF(TODAY()&lt;=C754+SETTINGS!$I$2,"⚠ AT RISK","SAFE")))</f>
        <v/>
      </c>
      <c r="AU754" s="11"/>
      <c r="AW754" s="24" t="n">
        <f aca="false">AW753+IF(AND(C754&lt;&gt;"",AO754&lt;&gt;"",OR('REP COMMISSION'!$B$3="",T754='REP COMMISSION'!$B$3,W754='REP COMMISSION'!$B$3,Z754='REP COMMISSION'!$B$3)),1,0)</f>
        <v>0</v>
      </c>
      <c r="AX754" s="24" t="n">
        <f aca="false">AX753+IF(AND(C754&lt;&gt;"",OR(F754="LOC - INITIAL",F754="CONSOLIDATION - UPFRONT COMM",F754="REVERSE - TOTAL FUNDING")),1,0)</f>
        <v>0</v>
      </c>
    </row>
    <row r="755" customFormat="false" ht="15" hidden="false" customHeight="false" outlineLevel="0" collapsed="false">
      <c r="A755" s="25" t="str">
        <f aca="false">IF(C755&lt;&gt;"","F"&amp;COUNT($C$4:C755),"")</f>
        <v/>
      </c>
      <c r="B755" s="26" t="str">
        <f aca="false">IF(OR(F755="LOC - INITIAL",F755="CONSOLIDATION - UPFRONT COMM",F755="REVERSE - TOTAL FUNDING"),A755,"")</f>
        <v/>
      </c>
      <c r="C755" s="27"/>
      <c r="D755" s="28"/>
      <c r="E755" s="28"/>
      <c r="F755" s="28"/>
      <c r="G755" s="29"/>
      <c r="H755" s="30"/>
      <c r="I755" s="28"/>
      <c r="J755" s="31" t="str">
        <f aca="false">IF(AND(G755&lt;&gt;"",H755&lt;&gt;""),G755*H755,"")</f>
        <v/>
      </c>
      <c r="K755" s="28"/>
      <c r="L755" s="32"/>
      <c r="M755" s="32"/>
      <c r="N755" s="31" t="n">
        <f aca="false">IF(OR(G755="",M755=""),0,IF(M755&gt;100,M755,G755*IF(M755&gt;1,M755/100,M755)))</f>
        <v>0</v>
      </c>
      <c r="O755" s="31" t="str">
        <f aca="false">IF(G755="","",G755*IF(L755="",0,IF(L755&gt;1,L755/100,L755))+N755)</f>
        <v/>
      </c>
      <c r="P755" s="28"/>
      <c r="Q755" s="33" t="str">
        <f aca="false">IF(P755="","",IFERROR(VLOOKUP(P755,PARTNERS!$A$2:$B$30,2,0),""))</f>
        <v/>
      </c>
      <c r="R755" s="17" t="str">
        <f aca="false">IF(O755="","",IF(OR(P755="",Q755=""),0,(O755-N755)*IF(Q755&gt;1,Q755/100,Q755)))</f>
        <v/>
      </c>
      <c r="S755" s="31" t="str">
        <f aca="false">IF(O755="","",O755-R755)</f>
        <v/>
      </c>
      <c r="T755" s="28"/>
      <c r="U755" s="34" t="str">
        <f aca="false">IF(T755="","",IFERROR(VLOOKUP(T755,REPS!$A$2:$D$40,2,0),""))</f>
        <v/>
      </c>
      <c r="V755" s="31" t="str">
        <f aca="false">IF(O755="","",IF(U755="",0,O755*IF(U755&gt;1,U755/100,U755)))</f>
        <v/>
      </c>
      <c r="W755" s="28"/>
      <c r="X755" s="34" t="str">
        <f aca="false">IF(W755="","",IFERROR(VLOOKUP(W755,REPS!$A$2:$D$40,3,0),""))</f>
        <v/>
      </c>
      <c r="Y755" s="31" t="str">
        <f aca="false">IF(O755="","",IF(X755="",0,O755*IF(X755&gt;1,X755/100,X755)))</f>
        <v/>
      </c>
      <c r="Z755" s="28"/>
      <c r="AA755" s="34" t="str">
        <f aca="false">IF(Z755="","",IFERROR(VLOOKUP(Z755,REPS!$A$2:$D$40,4,0),""))</f>
        <v/>
      </c>
      <c r="AB755" s="31" t="str">
        <f aca="false">IF(O755="","",IF(AA755="",0,O755*IF(AA755&gt;1,AA755/100,AA755)))</f>
        <v/>
      </c>
      <c r="AC755" s="31" t="str">
        <f aca="false">IF(O755="","",V755+Y755+AB755)</f>
        <v/>
      </c>
      <c r="AD755" s="19" t="str">
        <f aca="false">IF(O755="","",O755-R755-AC755)</f>
        <v/>
      </c>
      <c r="AE755" s="20"/>
      <c r="AF755" s="27"/>
      <c r="AG755" s="21" t="n">
        <f aca="false">IF(OR(AE755="",AE755=0),0,AE755*IF(U755="",0,IF(U755&gt;1,U755/100,U755)))</f>
        <v>0</v>
      </c>
      <c r="AH755" s="21" t="n">
        <f aca="false">IF(OR(AE755="",AE755=0),0,AE755*IF(X755="",0,IF(X755&gt;1,X755/100,X755)))</f>
        <v>0</v>
      </c>
      <c r="AI755" s="21" t="n">
        <f aca="false">IF(OR(AE755="",AE755=0),0,AE755*IF(AA755="",0,IF(AA755&gt;1,AA755/100,AA755)))</f>
        <v>0</v>
      </c>
      <c r="AJ755" s="21" t="n">
        <f aca="false">AG755+AH755+AI755</f>
        <v>0</v>
      </c>
      <c r="AK755" s="21" t="n">
        <f aca="false">IF(OR(AE755="",AE755=0),0,AE755-AJ755)</f>
        <v>0</v>
      </c>
      <c r="AL755" s="19" t="str">
        <f aca="false">IF(AD755="","",AD755-AK755)</f>
        <v/>
      </c>
      <c r="AM755" s="26" t="str">
        <f aca="false">IF(C755="","","Waiting for payment")</f>
        <v/>
      </c>
      <c r="AN755" s="27"/>
      <c r="AO755" s="27"/>
      <c r="AP755" s="35" t="str">
        <f aca="false">IF(OR(C755="",I755="",K755=""),"",IF(K755="Monthly",EDATE(C755,ROUND(I755*SETTINGS!$I$8,0)),WORKDAY(C755,ROUND(I755*SETTINGS!$I$8,0))))</f>
        <v/>
      </c>
      <c r="AQ755" s="26" t="str">
        <f aca="true">IF(C755="","",IF(AND(AP755&lt;&gt;"",TODAY()&gt;=AP755),"Refi Ready",IF(TODAY()-C755&gt;=SETTINGS!$I$11,"Prospecting","Performing")))</f>
        <v/>
      </c>
      <c r="AR755" s="35" t="str">
        <f aca="false">IF(OR(C755="",I755="",K755=""),"",IF(K755="Monthly",EDATE(C755,I755),WORKDAY(C755,I755)))</f>
        <v/>
      </c>
      <c r="AS755" s="28"/>
      <c r="AT755" s="36" t="str">
        <f aca="true">IF(C755="","",IF(AM755="Clawed Back","CLAWED",IF(TODAY()&lt;=C755+SETTINGS!$I$2,"⚠ AT RISK","SAFE")))</f>
        <v/>
      </c>
      <c r="AU755" s="28"/>
      <c r="AW755" s="24" t="n">
        <f aca="false">AW754+IF(AND(C755&lt;&gt;"",AO755&lt;&gt;"",OR('REP COMMISSION'!$B$3="",T755='REP COMMISSION'!$B$3,W755='REP COMMISSION'!$B$3,Z755='REP COMMISSION'!$B$3)),1,0)</f>
        <v>0</v>
      </c>
      <c r="AX755" s="24" t="n">
        <f aca="false">AX754+IF(AND(C755&lt;&gt;"",OR(F755="LOC - INITIAL",F755="CONSOLIDATION - UPFRONT COMM",F755="REVERSE - TOTAL FUNDING")),1,0)</f>
        <v>0</v>
      </c>
    </row>
    <row r="756" customFormat="false" ht="15" hidden="false" customHeight="false" outlineLevel="0" collapsed="false">
      <c r="A756" s="8" t="str">
        <f aca="false">IF(C756&lt;&gt;"","F"&amp;COUNT($C$4:C756),"")</f>
        <v/>
      </c>
      <c r="B756" s="9" t="str">
        <f aca="false">IF(OR(F756="LOC - INITIAL",F756="CONSOLIDATION - UPFRONT COMM",F756="REVERSE - TOTAL FUNDING"),A756,"")</f>
        <v/>
      </c>
      <c r="C756" s="10"/>
      <c r="D756" s="11"/>
      <c r="E756" s="11"/>
      <c r="F756" s="11"/>
      <c r="G756" s="12"/>
      <c r="H756" s="13"/>
      <c r="I756" s="11"/>
      <c r="J756" s="14" t="str">
        <f aca="false">IF(AND(G756&lt;&gt;"",H756&lt;&gt;""),G756*H756,"")</f>
        <v/>
      </c>
      <c r="K756" s="11"/>
      <c r="L756" s="15"/>
      <c r="M756" s="15"/>
      <c r="N756" s="14" t="n">
        <f aca="false">IF(OR(G756="",M756=""),0,IF(M756&gt;100,M756,G756*IF(M756&gt;1,M756/100,M756)))</f>
        <v>0</v>
      </c>
      <c r="O756" s="14" t="str">
        <f aca="false">IF(G756="","",G756*IF(L756="",0,IF(L756&gt;1,L756/100,L756))+N756)</f>
        <v/>
      </c>
      <c r="P756" s="11"/>
      <c r="Q756" s="16" t="str">
        <f aca="false">IF(P756="","",IFERROR(VLOOKUP(P756,PARTNERS!$A$2:$B$30,2,0),""))</f>
        <v/>
      </c>
      <c r="R756" s="17" t="str">
        <f aca="false">IF(O756="","",IF(OR(P756="",Q756=""),0,(O756-N756)*IF(Q756&gt;1,Q756/100,Q756)))</f>
        <v/>
      </c>
      <c r="S756" s="14" t="str">
        <f aca="false">IF(O756="","",O756-R756)</f>
        <v/>
      </c>
      <c r="T756" s="11"/>
      <c r="U756" s="18" t="str">
        <f aca="false">IF(T756="","",IFERROR(VLOOKUP(T756,REPS!$A$2:$D$40,2,0),""))</f>
        <v/>
      </c>
      <c r="V756" s="14" t="str">
        <f aca="false">IF(O756="","",IF(U756="",0,O756*IF(U756&gt;1,U756/100,U756)))</f>
        <v/>
      </c>
      <c r="W756" s="11"/>
      <c r="X756" s="18" t="str">
        <f aca="false">IF(W756="","",IFERROR(VLOOKUP(W756,REPS!$A$2:$D$40,3,0),""))</f>
        <v/>
      </c>
      <c r="Y756" s="14" t="str">
        <f aca="false">IF(O756="","",IF(X756="",0,O756*IF(X756&gt;1,X756/100,X756)))</f>
        <v/>
      </c>
      <c r="Z756" s="11"/>
      <c r="AA756" s="18" t="str">
        <f aca="false">IF(Z756="","",IFERROR(VLOOKUP(Z756,REPS!$A$2:$D$40,4,0),""))</f>
        <v/>
      </c>
      <c r="AB756" s="14" t="str">
        <f aca="false">IF(O756="","",IF(AA756="",0,O756*IF(AA756&gt;1,AA756/100,AA756)))</f>
        <v/>
      </c>
      <c r="AC756" s="14" t="str">
        <f aca="false">IF(O756="","",V756+Y756+AB756)</f>
        <v/>
      </c>
      <c r="AD756" s="19" t="str">
        <f aca="false">IF(O756="","",O756-R756-AC756)</f>
        <v/>
      </c>
      <c r="AE756" s="20"/>
      <c r="AF756" s="10"/>
      <c r="AG756" s="21" t="n">
        <f aca="false">IF(OR(AE756="",AE756=0),0,AE756*IF(U756="",0,IF(U756&gt;1,U756/100,U756)))</f>
        <v>0</v>
      </c>
      <c r="AH756" s="21" t="n">
        <f aca="false">IF(OR(AE756="",AE756=0),0,AE756*IF(X756="",0,IF(X756&gt;1,X756/100,X756)))</f>
        <v>0</v>
      </c>
      <c r="AI756" s="21" t="n">
        <f aca="false">IF(OR(AE756="",AE756=0),0,AE756*IF(AA756="",0,IF(AA756&gt;1,AA756/100,AA756)))</f>
        <v>0</v>
      </c>
      <c r="AJ756" s="21" t="n">
        <f aca="false">AG756+AH756+AI756</f>
        <v>0</v>
      </c>
      <c r="AK756" s="21" t="n">
        <f aca="false">IF(OR(AE756="",AE756=0),0,AE756-AJ756)</f>
        <v>0</v>
      </c>
      <c r="AL756" s="19" t="str">
        <f aca="false">IF(AD756="","",AD756-AK756)</f>
        <v/>
      </c>
      <c r="AM756" s="9" t="str">
        <f aca="false">IF(C756="","","Waiting for payment")</f>
        <v/>
      </c>
      <c r="AN756" s="10"/>
      <c r="AO756" s="10"/>
      <c r="AP756" s="22" t="str">
        <f aca="false">IF(OR(C756="",I756="",K756=""),"",IF(K756="Monthly",EDATE(C756,ROUND(I756*SETTINGS!$I$8,0)),WORKDAY(C756,ROUND(I756*SETTINGS!$I$8,0))))</f>
        <v/>
      </c>
      <c r="AQ756" s="9" t="str">
        <f aca="true">IF(C756="","",IF(AND(AP756&lt;&gt;"",TODAY()&gt;=AP756),"Refi Ready",IF(TODAY()-C756&gt;=SETTINGS!$I$11,"Prospecting","Performing")))</f>
        <v/>
      </c>
      <c r="AR756" s="22" t="str">
        <f aca="false">IF(OR(C756="",I756="",K756=""),"",IF(K756="Monthly",EDATE(C756,I756),WORKDAY(C756,I756)))</f>
        <v/>
      </c>
      <c r="AS756" s="11"/>
      <c r="AT756" s="23" t="str">
        <f aca="true">IF(C756="","",IF(AM756="Clawed Back","CLAWED",IF(TODAY()&lt;=C756+SETTINGS!$I$2,"⚠ AT RISK","SAFE")))</f>
        <v/>
      </c>
      <c r="AU756" s="11"/>
      <c r="AW756" s="24" t="n">
        <f aca="false">AW755+IF(AND(C756&lt;&gt;"",AO756&lt;&gt;"",OR('REP COMMISSION'!$B$3="",T756='REP COMMISSION'!$B$3,W756='REP COMMISSION'!$B$3,Z756='REP COMMISSION'!$B$3)),1,0)</f>
        <v>0</v>
      </c>
      <c r="AX756" s="24" t="n">
        <f aca="false">AX755+IF(AND(C756&lt;&gt;"",OR(F756="LOC - INITIAL",F756="CONSOLIDATION - UPFRONT COMM",F756="REVERSE - TOTAL FUNDING")),1,0)</f>
        <v>0</v>
      </c>
    </row>
    <row r="757" customFormat="false" ht="15" hidden="false" customHeight="false" outlineLevel="0" collapsed="false">
      <c r="A757" s="25" t="str">
        <f aca="false">IF(C757&lt;&gt;"","F"&amp;COUNT($C$4:C757),"")</f>
        <v/>
      </c>
      <c r="B757" s="26" t="str">
        <f aca="false">IF(OR(F757="LOC - INITIAL",F757="CONSOLIDATION - UPFRONT COMM",F757="REVERSE - TOTAL FUNDING"),A757,"")</f>
        <v/>
      </c>
      <c r="C757" s="27"/>
      <c r="D757" s="28"/>
      <c r="E757" s="28"/>
      <c r="F757" s="28"/>
      <c r="G757" s="29"/>
      <c r="H757" s="30"/>
      <c r="I757" s="28"/>
      <c r="J757" s="31" t="str">
        <f aca="false">IF(AND(G757&lt;&gt;"",H757&lt;&gt;""),G757*H757,"")</f>
        <v/>
      </c>
      <c r="K757" s="28"/>
      <c r="L757" s="32"/>
      <c r="M757" s="32"/>
      <c r="N757" s="31" t="n">
        <f aca="false">IF(OR(G757="",M757=""),0,IF(M757&gt;100,M757,G757*IF(M757&gt;1,M757/100,M757)))</f>
        <v>0</v>
      </c>
      <c r="O757" s="31" t="str">
        <f aca="false">IF(G757="","",G757*IF(L757="",0,IF(L757&gt;1,L757/100,L757))+N757)</f>
        <v/>
      </c>
      <c r="P757" s="28"/>
      <c r="Q757" s="33" t="str">
        <f aca="false">IF(P757="","",IFERROR(VLOOKUP(P757,PARTNERS!$A$2:$B$30,2,0),""))</f>
        <v/>
      </c>
      <c r="R757" s="17" t="str">
        <f aca="false">IF(O757="","",IF(OR(P757="",Q757=""),0,(O757-N757)*IF(Q757&gt;1,Q757/100,Q757)))</f>
        <v/>
      </c>
      <c r="S757" s="31" t="str">
        <f aca="false">IF(O757="","",O757-R757)</f>
        <v/>
      </c>
      <c r="T757" s="28"/>
      <c r="U757" s="34" t="str">
        <f aca="false">IF(T757="","",IFERROR(VLOOKUP(T757,REPS!$A$2:$D$40,2,0),""))</f>
        <v/>
      </c>
      <c r="V757" s="31" t="str">
        <f aca="false">IF(O757="","",IF(U757="",0,O757*IF(U757&gt;1,U757/100,U757)))</f>
        <v/>
      </c>
      <c r="W757" s="28"/>
      <c r="X757" s="34" t="str">
        <f aca="false">IF(W757="","",IFERROR(VLOOKUP(W757,REPS!$A$2:$D$40,3,0),""))</f>
        <v/>
      </c>
      <c r="Y757" s="31" t="str">
        <f aca="false">IF(O757="","",IF(X757="",0,O757*IF(X757&gt;1,X757/100,X757)))</f>
        <v/>
      </c>
      <c r="Z757" s="28"/>
      <c r="AA757" s="34" t="str">
        <f aca="false">IF(Z757="","",IFERROR(VLOOKUP(Z757,REPS!$A$2:$D$40,4,0),""))</f>
        <v/>
      </c>
      <c r="AB757" s="31" t="str">
        <f aca="false">IF(O757="","",IF(AA757="",0,O757*IF(AA757&gt;1,AA757/100,AA757)))</f>
        <v/>
      </c>
      <c r="AC757" s="31" t="str">
        <f aca="false">IF(O757="","",V757+Y757+AB757)</f>
        <v/>
      </c>
      <c r="AD757" s="19" t="str">
        <f aca="false">IF(O757="","",O757-R757-AC757)</f>
        <v/>
      </c>
      <c r="AE757" s="20"/>
      <c r="AF757" s="27"/>
      <c r="AG757" s="21" t="n">
        <f aca="false">IF(OR(AE757="",AE757=0),0,AE757*IF(U757="",0,IF(U757&gt;1,U757/100,U757)))</f>
        <v>0</v>
      </c>
      <c r="AH757" s="21" t="n">
        <f aca="false">IF(OR(AE757="",AE757=0),0,AE757*IF(X757="",0,IF(X757&gt;1,X757/100,X757)))</f>
        <v>0</v>
      </c>
      <c r="AI757" s="21" t="n">
        <f aca="false">IF(OR(AE757="",AE757=0),0,AE757*IF(AA757="",0,IF(AA757&gt;1,AA757/100,AA757)))</f>
        <v>0</v>
      </c>
      <c r="AJ757" s="21" t="n">
        <f aca="false">AG757+AH757+AI757</f>
        <v>0</v>
      </c>
      <c r="AK757" s="21" t="n">
        <f aca="false">IF(OR(AE757="",AE757=0),0,AE757-AJ757)</f>
        <v>0</v>
      </c>
      <c r="AL757" s="19" t="str">
        <f aca="false">IF(AD757="","",AD757-AK757)</f>
        <v/>
      </c>
      <c r="AM757" s="26" t="str">
        <f aca="false">IF(C757="","","Waiting for payment")</f>
        <v/>
      </c>
      <c r="AN757" s="27"/>
      <c r="AO757" s="27"/>
      <c r="AP757" s="35" t="str">
        <f aca="false">IF(OR(C757="",I757="",K757=""),"",IF(K757="Monthly",EDATE(C757,ROUND(I757*SETTINGS!$I$8,0)),WORKDAY(C757,ROUND(I757*SETTINGS!$I$8,0))))</f>
        <v/>
      </c>
      <c r="AQ757" s="26" t="str">
        <f aca="true">IF(C757="","",IF(AND(AP757&lt;&gt;"",TODAY()&gt;=AP757),"Refi Ready",IF(TODAY()-C757&gt;=SETTINGS!$I$11,"Prospecting","Performing")))</f>
        <v/>
      </c>
      <c r="AR757" s="35" t="str">
        <f aca="false">IF(OR(C757="",I757="",K757=""),"",IF(K757="Monthly",EDATE(C757,I757),WORKDAY(C757,I757)))</f>
        <v/>
      </c>
      <c r="AS757" s="28"/>
      <c r="AT757" s="36" t="str">
        <f aca="true">IF(C757="","",IF(AM757="Clawed Back","CLAWED",IF(TODAY()&lt;=C757+SETTINGS!$I$2,"⚠ AT RISK","SAFE")))</f>
        <v/>
      </c>
      <c r="AU757" s="28"/>
      <c r="AW757" s="24" t="n">
        <f aca="false">AW756+IF(AND(C757&lt;&gt;"",AO757&lt;&gt;"",OR('REP COMMISSION'!$B$3="",T757='REP COMMISSION'!$B$3,W757='REP COMMISSION'!$B$3,Z757='REP COMMISSION'!$B$3)),1,0)</f>
        <v>0</v>
      </c>
      <c r="AX757" s="24" t="n">
        <f aca="false">AX756+IF(AND(C757&lt;&gt;"",OR(F757="LOC - INITIAL",F757="CONSOLIDATION - UPFRONT COMM",F757="REVERSE - TOTAL FUNDING")),1,0)</f>
        <v>0</v>
      </c>
    </row>
    <row r="758" customFormat="false" ht="15" hidden="false" customHeight="false" outlineLevel="0" collapsed="false">
      <c r="A758" s="8" t="str">
        <f aca="false">IF(C758&lt;&gt;"","F"&amp;COUNT($C$4:C758),"")</f>
        <v/>
      </c>
      <c r="B758" s="9" t="str">
        <f aca="false">IF(OR(F758="LOC - INITIAL",F758="CONSOLIDATION - UPFRONT COMM",F758="REVERSE - TOTAL FUNDING"),A758,"")</f>
        <v/>
      </c>
      <c r="C758" s="10"/>
      <c r="D758" s="11"/>
      <c r="E758" s="11"/>
      <c r="F758" s="11"/>
      <c r="G758" s="12"/>
      <c r="H758" s="13"/>
      <c r="I758" s="11"/>
      <c r="J758" s="14" t="str">
        <f aca="false">IF(AND(G758&lt;&gt;"",H758&lt;&gt;""),G758*H758,"")</f>
        <v/>
      </c>
      <c r="K758" s="11"/>
      <c r="L758" s="15"/>
      <c r="M758" s="15"/>
      <c r="N758" s="14" t="n">
        <f aca="false">IF(OR(G758="",M758=""),0,IF(M758&gt;100,M758,G758*IF(M758&gt;1,M758/100,M758)))</f>
        <v>0</v>
      </c>
      <c r="O758" s="14" t="str">
        <f aca="false">IF(G758="","",G758*IF(L758="",0,IF(L758&gt;1,L758/100,L758))+N758)</f>
        <v/>
      </c>
      <c r="P758" s="11"/>
      <c r="Q758" s="16" t="str">
        <f aca="false">IF(P758="","",IFERROR(VLOOKUP(P758,PARTNERS!$A$2:$B$30,2,0),""))</f>
        <v/>
      </c>
      <c r="R758" s="17" t="str">
        <f aca="false">IF(O758="","",IF(OR(P758="",Q758=""),0,(O758-N758)*IF(Q758&gt;1,Q758/100,Q758)))</f>
        <v/>
      </c>
      <c r="S758" s="14" t="str">
        <f aca="false">IF(O758="","",O758-R758)</f>
        <v/>
      </c>
      <c r="T758" s="11"/>
      <c r="U758" s="18" t="str">
        <f aca="false">IF(T758="","",IFERROR(VLOOKUP(T758,REPS!$A$2:$D$40,2,0),""))</f>
        <v/>
      </c>
      <c r="V758" s="14" t="str">
        <f aca="false">IF(O758="","",IF(U758="",0,O758*IF(U758&gt;1,U758/100,U758)))</f>
        <v/>
      </c>
      <c r="W758" s="11"/>
      <c r="X758" s="18" t="str">
        <f aca="false">IF(W758="","",IFERROR(VLOOKUP(W758,REPS!$A$2:$D$40,3,0),""))</f>
        <v/>
      </c>
      <c r="Y758" s="14" t="str">
        <f aca="false">IF(O758="","",IF(X758="",0,O758*IF(X758&gt;1,X758/100,X758)))</f>
        <v/>
      </c>
      <c r="Z758" s="11"/>
      <c r="AA758" s="18" t="str">
        <f aca="false">IF(Z758="","",IFERROR(VLOOKUP(Z758,REPS!$A$2:$D$40,4,0),""))</f>
        <v/>
      </c>
      <c r="AB758" s="14" t="str">
        <f aca="false">IF(O758="","",IF(AA758="",0,O758*IF(AA758&gt;1,AA758/100,AA758)))</f>
        <v/>
      </c>
      <c r="AC758" s="14" t="str">
        <f aca="false">IF(O758="","",V758+Y758+AB758)</f>
        <v/>
      </c>
      <c r="AD758" s="19" t="str">
        <f aca="false">IF(O758="","",O758-R758-AC758)</f>
        <v/>
      </c>
      <c r="AE758" s="20"/>
      <c r="AF758" s="10"/>
      <c r="AG758" s="21" t="n">
        <f aca="false">IF(OR(AE758="",AE758=0),0,AE758*IF(U758="",0,IF(U758&gt;1,U758/100,U758)))</f>
        <v>0</v>
      </c>
      <c r="AH758" s="21" t="n">
        <f aca="false">IF(OR(AE758="",AE758=0),0,AE758*IF(X758="",0,IF(X758&gt;1,X758/100,X758)))</f>
        <v>0</v>
      </c>
      <c r="AI758" s="21" t="n">
        <f aca="false">IF(OR(AE758="",AE758=0),0,AE758*IF(AA758="",0,IF(AA758&gt;1,AA758/100,AA758)))</f>
        <v>0</v>
      </c>
      <c r="AJ758" s="21" t="n">
        <f aca="false">AG758+AH758+AI758</f>
        <v>0</v>
      </c>
      <c r="AK758" s="21" t="n">
        <f aca="false">IF(OR(AE758="",AE758=0),0,AE758-AJ758)</f>
        <v>0</v>
      </c>
      <c r="AL758" s="19" t="str">
        <f aca="false">IF(AD758="","",AD758-AK758)</f>
        <v/>
      </c>
      <c r="AM758" s="9" t="str">
        <f aca="false">IF(C758="","","Waiting for payment")</f>
        <v/>
      </c>
      <c r="AN758" s="10"/>
      <c r="AO758" s="10"/>
      <c r="AP758" s="22" t="str">
        <f aca="false">IF(OR(C758="",I758="",K758=""),"",IF(K758="Monthly",EDATE(C758,ROUND(I758*SETTINGS!$I$8,0)),WORKDAY(C758,ROUND(I758*SETTINGS!$I$8,0))))</f>
        <v/>
      </c>
      <c r="AQ758" s="9" t="str">
        <f aca="true">IF(C758="","",IF(AND(AP758&lt;&gt;"",TODAY()&gt;=AP758),"Refi Ready",IF(TODAY()-C758&gt;=SETTINGS!$I$11,"Prospecting","Performing")))</f>
        <v/>
      </c>
      <c r="AR758" s="22" t="str">
        <f aca="false">IF(OR(C758="",I758="",K758=""),"",IF(K758="Monthly",EDATE(C758,I758),WORKDAY(C758,I758)))</f>
        <v/>
      </c>
      <c r="AS758" s="11"/>
      <c r="AT758" s="23" t="str">
        <f aca="true">IF(C758="","",IF(AM758="Clawed Back","CLAWED",IF(TODAY()&lt;=C758+SETTINGS!$I$2,"⚠ AT RISK","SAFE")))</f>
        <v/>
      </c>
      <c r="AU758" s="11"/>
      <c r="AW758" s="24" t="n">
        <f aca="false">AW757+IF(AND(C758&lt;&gt;"",AO758&lt;&gt;"",OR('REP COMMISSION'!$B$3="",T758='REP COMMISSION'!$B$3,W758='REP COMMISSION'!$B$3,Z758='REP COMMISSION'!$B$3)),1,0)</f>
        <v>0</v>
      </c>
      <c r="AX758" s="24" t="n">
        <f aca="false">AX757+IF(AND(C758&lt;&gt;"",OR(F758="LOC - INITIAL",F758="CONSOLIDATION - UPFRONT COMM",F758="REVERSE - TOTAL FUNDING")),1,0)</f>
        <v>0</v>
      </c>
    </row>
    <row r="759" customFormat="false" ht="15" hidden="false" customHeight="false" outlineLevel="0" collapsed="false">
      <c r="A759" s="25" t="str">
        <f aca="false">IF(C759&lt;&gt;"","F"&amp;COUNT($C$4:C759),"")</f>
        <v/>
      </c>
      <c r="B759" s="26" t="str">
        <f aca="false">IF(OR(F759="LOC - INITIAL",F759="CONSOLIDATION - UPFRONT COMM",F759="REVERSE - TOTAL FUNDING"),A759,"")</f>
        <v/>
      </c>
      <c r="C759" s="27"/>
      <c r="D759" s="28"/>
      <c r="E759" s="28"/>
      <c r="F759" s="28"/>
      <c r="G759" s="29"/>
      <c r="H759" s="30"/>
      <c r="I759" s="28"/>
      <c r="J759" s="31" t="str">
        <f aca="false">IF(AND(G759&lt;&gt;"",H759&lt;&gt;""),G759*H759,"")</f>
        <v/>
      </c>
      <c r="K759" s="28"/>
      <c r="L759" s="32"/>
      <c r="M759" s="32"/>
      <c r="N759" s="31" t="n">
        <f aca="false">IF(OR(G759="",M759=""),0,IF(M759&gt;100,M759,G759*IF(M759&gt;1,M759/100,M759)))</f>
        <v>0</v>
      </c>
      <c r="O759" s="31" t="str">
        <f aca="false">IF(G759="","",G759*IF(L759="",0,IF(L759&gt;1,L759/100,L759))+N759)</f>
        <v/>
      </c>
      <c r="P759" s="28"/>
      <c r="Q759" s="33" t="str">
        <f aca="false">IF(P759="","",IFERROR(VLOOKUP(P759,PARTNERS!$A$2:$B$30,2,0),""))</f>
        <v/>
      </c>
      <c r="R759" s="17" t="str">
        <f aca="false">IF(O759="","",IF(OR(P759="",Q759=""),0,(O759-N759)*IF(Q759&gt;1,Q759/100,Q759)))</f>
        <v/>
      </c>
      <c r="S759" s="31" t="str">
        <f aca="false">IF(O759="","",O759-R759)</f>
        <v/>
      </c>
      <c r="T759" s="28"/>
      <c r="U759" s="34" t="str">
        <f aca="false">IF(T759="","",IFERROR(VLOOKUP(T759,REPS!$A$2:$D$40,2,0),""))</f>
        <v/>
      </c>
      <c r="V759" s="31" t="str">
        <f aca="false">IF(O759="","",IF(U759="",0,O759*IF(U759&gt;1,U759/100,U759)))</f>
        <v/>
      </c>
      <c r="W759" s="28"/>
      <c r="X759" s="34" t="str">
        <f aca="false">IF(W759="","",IFERROR(VLOOKUP(W759,REPS!$A$2:$D$40,3,0),""))</f>
        <v/>
      </c>
      <c r="Y759" s="31" t="str">
        <f aca="false">IF(O759="","",IF(X759="",0,O759*IF(X759&gt;1,X759/100,X759)))</f>
        <v/>
      </c>
      <c r="Z759" s="28"/>
      <c r="AA759" s="34" t="str">
        <f aca="false">IF(Z759="","",IFERROR(VLOOKUP(Z759,REPS!$A$2:$D$40,4,0),""))</f>
        <v/>
      </c>
      <c r="AB759" s="31" t="str">
        <f aca="false">IF(O759="","",IF(AA759="",0,O759*IF(AA759&gt;1,AA759/100,AA759)))</f>
        <v/>
      </c>
      <c r="AC759" s="31" t="str">
        <f aca="false">IF(O759="","",V759+Y759+AB759)</f>
        <v/>
      </c>
      <c r="AD759" s="19" t="str">
        <f aca="false">IF(O759="","",O759-R759-AC759)</f>
        <v/>
      </c>
      <c r="AE759" s="20"/>
      <c r="AF759" s="27"/>
      <c r="AG759" s="21" t="n">
        <f aca="false">IF(OR(AE759="",AE759=0),0,AE759*IF(U759="",0,IF(U759&gt;1,U759/100,U759)))</f>
        <v>0</v>
      </c>
      <c r="AH759" s="21" t="n">
        <f aca="false">IF(OR(AE759="",AE759=0),0,AE759*IF(X759="",0,IF(X759&gt;1,X759/100,X759)))</f>
        <v>0</v>
      </c>
      <c r="AI759" s="21" t="n">
        <f aca="false">IF(OR(AE759="",AE759=0),0,AE759*IF(AA759="",0,IF(AA759&gt;1,AA759/100,AA759)))</f>
        <v>0</v>
      </c>
      <c r="AJ759" s="21" t="n">
        <f aca="false">AG759+AH759+AI759</f>
        <v>0</v>
      </c>
      <c r="AK759" s="21" t="n">
        <f aca="false">IF(OR(AE759="",AE759=0),0,AE759-AJ759)</f>
        <v>0</v>
      </c>
      <c r="AL759" s="19" t="str">
        <f aca="false">IF(AD759="","",AD759-AK759)</f>
        <v/>
      </c>
      <c r="AM759" s="26" t="str">
        <f aca="false">IF(C759="","","Waiting for payment")</f>
        <v/>
      </c>
      <c r="AN759" s="27"/>
      <c r="AO759" s="27"/>
      <c r="AP759" s="35" t="str">
        <f aca="false">IF(OR(C759="",I759="",K759=""),"",IF(K759="Monthly",EDATE(C759,ROUND(I759*SETTINGS!$I$8,0)),WORKDAY(C759,ROUND(I759*SETTINGS!$I$8,0))))</f>
        <v/>
      </c>
      <c r="AQ759" s="26" t="str">
        <f aca="true">IF(C759="","",IF(AND(AP759&lt;&gt;"",TODAY()&gt;=AP759),"Refi Ready",IF(TODAY()-C759&gt;=SETTINGS!$I$11,"Prospecting","Performing")))</f>
        <v/>
      </c>
      <c r="AR759" s="35" t="str">
        <f aca="false">IF(OR(C759="",I759="",K759=""),"",IF(K759="Monthly",EDATE(C759,I759),WORKDAY(C759,I759)))</f>
        <v/>
      </c>
      <c r="AS759" s="28"/>
      <c r="AT759" s="36" t="str">
        <f aca="true">IF(C759="","",IF(AM759="Clawed Back","CLAWED",IF(TODAY()&lt;=C759+SETTINGS!$I$2,"⚠ AT RISK","SAFE")))</f>
        <v/>
      </c>
      <c r="AU759" s="28"/>
      <c r="AW759" s="24" t="n">
        <f aca="false">AW758+IF(AND(C759&lt;&gt;"",AO759&lt;&gt;"",OR('REP COMMISSION'!$B$3="",T759='REP COMMISSION'!$B$3,W759='REP COMMISSION'!$B$3,Z759='REP COMMISSION'!$B$3)),1,0)</f>
        <v>0</v>
      </c>
      <c r="AX759" s="24" t="n">
        <f aca="false">AX758+IF(AND(C759&lt;&gt;"",OR(F759="LOC - INITIAL",F759="CONSOLIDATION - UPFRONT COMM",F759="REVERSE - TOTAL FUNDING")),1,0)</f>
        <v>0</v>
      </c>
    </row>
    <row r="760" customFormat="false" ht="15" hidden="false" customHeight="false" outlineLevel="0" collapsed="false">
      <c r="A760" s="8" t="str">
        <f aca="false">IF(C760&lt;&gt;"","F"&amp;COUNT($C$4:C760),"")</f>
        <v/>
      </c>
      <c r="B760" s="9" t="str">
        <f aca="false">IF(OR(F760="LOC - INITIAL",F760="CONSOLIDATION - UPFRONT COMM",F760="REVERSE - TOTAL FUNDING"),A760,"")</f>
        <v/>
      </c>
      <c r="C760" s="10"/>
      <c r="D760" s="11"/>
      <c r="E760" s="11"/>
      <c r="F760" s="11"/>
      <c r="G760" s="12"/>
      <c r="H760" s="13"/>
      <c r="I760" s="11"/>
      <c r="J760" s="14" t="str">
        <f aca="false">IF(AND(G760&lt;&gt;"",H760&lt;&gt;""),G760*H760,"")</f>
        <v/>
      </c>
      <c r="K760" s="11"/>
      <c r="L760" s="15"/>
      <c r="M760" s="15"/>
      <c r="N760" s="14" t="n">
        <f aca="false">IF(OR(G760="",M760=""),0,IF(M760&gt;100,M760,G760*IF(M760&gt;1,M760/100,M760)))</f>
        <v>0</v>
      </c>
      <c r="O760" s="14" t="str">
        <f aca="false">IF(G760="","",G760*IF(L760="",0,IF(L760&gt;1,L760/100,L760))+N760)</f>
        <v/>
      </c>
      <c r="P760" s="11"/>
      <c r="Q760" s="16" t="str">
        <f aca="false">IF(P760="","",IFERROR(VLOOKUP(P760,PARTNERS!$A$2:$B$30,2,0),""))</f>
        <v/>
      </c>
      <c r="R760" s="17" t="str">
        <f aca="false">IF(O760="","",IF(OR(P760="",Q760=""),0,(O760-N760)*IF(Q760&gt;1,Q760/100,Q760)))</f>
        <v/>
      </c>
      <c r="S760" s="14" t="str">
        <f aca="false">IF(O760="","",O760-R760)</f>
        <v/>
      </c>
      <c r="T760" s="11"/>
      <c r="U760" s="18" t="str">
        <f aca="false">IF(T760="","",IFERROR(VLOOKUP(T760,REPS!$A$2:$D$40,2,0),""))</f>
        <v/>
      </c>
      <c r="V760" s="14" t="str">
        <f aca="false">IF(O760="","",IF(U760="",0,O760*IF(U760&gt;1,U760/100,U760)))</f>
        <v/>
      </c>
      <c r="W760" s="11"/>
      <c r="X760" s="18" t="str">
        <f aca="false">IF(W760="","",IFERROR(VLOOKUP(W760,REPS!$A$2:$D$40,3,0),""))</f>
        <v/>
      </c>
      <c r="Y760" s="14" t="str">
        <f aca="false">IF(O760="","",IF(X760="",0,O760*IF(X760&gt;1,X760/100,X760)))</f>
        <v/>
      </c>
      <c r="Z760" s="11"/>
      <c r="AA760" s="18" t="str">
        <f aca="false">IF(Z760="","",IFERROR(VLOOKUP(Z760,REPS!$A$2:$D$40,4,0),""))</f>
        <v/>
      </c>
      <c r="AB760" s="14" t="str">
        <f aca="false">IF(O760="","",IF(AA760="",0,O760*IF(AA760&gt;1,AA760/100,AA760)))</f>
        <v/>
      </c>
      <c r="AC760" s="14" t="str">
        <f aca="false">IF(O760="","",V760+Y760+AB760)</f>
        <v/>
      </c>
      <c r="AD760" s="19" t="str">
        <f aca="false">IF(O760="","",O760-R760-AC760)</f>
        <v/>
      </c>
      <c r="AE760" s="20"/>
      <c r="AF760" s="10"/>
      <c r="AG760" s="21" t="n">
        <f aca="false">IF(OR(AE760="",AE760=0),0,AE760*IF(U760="",0,IF(U760&gt;1,U760/100,U760)))</f>
        <v>0</v>
      </c>
      <c r="AH760" s="21" t="n">
        <f aca="false">IF(OR(AE760="",AE760=0),0,AE760*IF(X760="",0,IF(X760&gt;1,X760/100,X760)))</f>
        <v>0</v>
      </c>
      <c r="AI760" s="21" t="n">
        <f aca="false">IF(OR(AE760="",AE760=0),0,AE760*IF(AA760="",0,IF(AA760&gt;1,AA760/100,AA760)))</f>
        <v>0</v>
      </c>
      <c r="AJ760" s="21" t="n">
        <f aca="false">AG760+AH760+AI760</f>
        <v>0</v>
      </c>
      <c r="AK760" s="21" t="n">
        <f aca="false">IF(OR(AE760="",AE760=0),0,AE760-AJ760)</f>
        <v>0</v>
      </c>
      <c r="AL760" s="19" t="str">
        <f aca="false">IF(AD760="","",AD760-AK760)</f>
        <v/>
      </c>
      <c r="AM760" s="9" t="str">
        <f aca="false">IF(C760="","","Waiting for payment")</f>
        <v/>
      </c>
      <c r="AN760" s="10"/>
      <c r="AO760" s="10"/>
      <c r="AP760" s="22" t="str">
        <f aca="false">IF(OR(C760="",I760="",K760=""),"",IF(K760="Monthly",EDATE(C760,ROUND(I760*SETTINGS!$I$8,0)),WORKDAY(C760,ROUND(I760*SETTINGS!$I$8,0))))</f>
        <v/>
      </c>
      <c r="AQ760" s="9" t="str">
        <f aca="true">IF(C760="","",IF(AND(AP760&lt;&gt;"",TODAY()&gt;=AP760),"Refi Ready",IF(TODAY()-C760&gt;=SETTINGS!$I$11,"Prospecting","Performing")))</f>
        <v/>
      </c>
      <c r="AR760" s="22" t="str">
        <f aca="false">IF(OR(C760="",I760="",K760=""),"",IF(K760="Monthly",EDATE(C760,I760),WORKDAY(C760,I760)))</f>
        <v/>
      </c>
      <c r="AS760" s="11"/>
      <c r="AT760" s="23" t="str">
        <f aca="true">IF(C760="","",IF(AM760="Clawed Back","CLAWED",IF(TODAY()&lt;=C760+SETTINGS!$I$2,"⚠ AT RISK","SAFE")))</f>
        <v/>
      </c>
      <c r="AU760" s="11"/>
      <c r="AW760" s="24" t="n">
        <f aca="false">AW759+IF(AND(C760&lt;&gt;"",AO760&lt;&gt;"",OR('REP COMMISSION'!$B$3="",T760='REP COMMISSION'!$B$3,W760='REP COMMISSION'!$B$3,Z760='REP COMMISSION'!$B$3)),1,0)</f>
        <v>0</v>
      </c>
      <c r="AX760" s="24" t="n">
        <f aca="false">AX759+IF(AND(C760&lt;&gt;"",OR(F760="LOC - INITIAL",F760="CONSOLIDATION - UPFRONT COMM",F760="REVERSE - TOTAL FUNDING")),1,0)</f>
        <v>0</v>
      </c>
    </row>
    <row r="761" customFormat="false" ht="15" hidden="false" customHeight="false" outlineLevel="0" collapsed="false">
      <c r="A761" s="25" t="str">
        <f aca="false">IF(C761&lt;&gt;"","F"&amp;COUNT($C$4:C761),"")</f>
        <v/>
      </c>
      <c r="B761" s="26" t="str">
        <f aca="false">IF(OR(F761="LOC - INITIAL",F761="CONSOLIDATION - UPFRONT COMM",F761="REVERSE - TOTAL FUNDING"),A761,"")</f>
        <v/>
      </c>
      <c r="C761" s="27"/>
      <c r="D761" s="28"/>
      <c r="E761" s="28"/>
      <c r="F761" s="28"/>
      <c r="G761" s="29"/>
      <c r="H761" s="30"/>
      <c r="I761" s="28"/>
      <c r="J761" s="31" t="str">
        <f aca="false">IF(AND(G761&lt;&gt;"",H761&lt;&gt;""),G761*H761,"")</f>
        <v/>
      </c>
      <c r="K761" s="28"/>
      <c r="L761" s="32"/>
      <c r="M761" s="32"/>
      <c r="N761" s="31" t="n">
        <f aca="false">IF(OR(G761="",M761=""),0,IF(M761&gt;100,M761,G761*IF(M761&gt;1,M761/100,M761)))</f>
        <v>0</v>
      </c>
      <c r="O761" s="31" t="str">
        <f aca="false">IF(G761="","",G761*IF(L761="",0,IF(L761&gt;1,L761/100,L761))+N761)</f>
        <v/>
      </c>
      <c r="P761" s="28"/>
      <c r="Q761" s="33" t="str">
        <f aca="false">IF(P761="","",IFERROR(VLOOKUP(P761,PARTNERS!$A$2:$B$30,2,0),""))</f>
        <v/>
      </c>
      <c r="R761" s="17" t="str">
        <f aca="false">IF(O761="","",IF(OR(P761="",Q761=""),0,(O761-N761)*IF(Q761&gt;1,Q761/100,Q761)))</f>
        <v/>
      </c>
      <c r="S761" s="31" t="str">
        <f aca="false">IF(O761="","",O761-R761)</f>
        <v/>
      </c>
      <c r="T761" s="28"/>
      <c r="U761" s="34" t="str">
        <f aca="false">IF(T761="","",IFERROR(VLOOKUP(T761,REPS!$A$2:$D$40,2,0),""))</f>
        <v/>
      </c>
      <c r="V761" s="31" t="str">
        <f aca="false">IF(O761="","",IF(U761="",0,O761*IF(U761&gt;1,U761/100,U761)))</f>
        <v/>
      </c>
      <c r="W761" s="28"/>
      <c r="X761" s="34" t="str">
        <f aca="false">IF(W761="","",IFERROR(VLOOKUP(W761,REPS!$A$2:$D$40,3,0),""))</f>
        <v/>
      </c>
      <c r="Y761" s="31" t="str">
        <f aca="false">IF(O761="","",IF(X761="",0,O761*IF(X761&gt;1,X761/100,X761)))</f>
        <v/>
      </c>
      <c r="Z761" s="28"/>
      <c r="AA761" s="34" t="str">
        <f aca="false">IF(Z761="","",IFERROR(VLOOKUP(Z761,REPS!$A$2:$D$40,4,0),""))</f>
        <v/>
      </c>
      <c r="AB761" s="31" t="str">
        <f aca="false">IF(O761="","",IF(AA761="",0,O761*IF(AA761&gt;1,AA761/100,AA761)))</f>
        <v/>
      </c>
      <c r="AC761" s="31" t="str">
        <f aca="false">IF(O761="","",V761+Y761+AB761)</f>
        <v/>
      </c>
      <c r="AD761" s="19" t="str">
        <f aca="false">IF(O761="","",O761-R761-AC761)</f>
        <v/>
      </c>
      <c r="AE761" s="20"/>
      <c r="AF761" s="27"/>
      <c r="AG761" s="21" t="n">
        <f aca="false">IF(OR(AE761="",AE761=0),0,AE761*IF(U761="",0,IF(U761&gt;1,U761/100,U761)))</f>
        <v>0</v>
      </c>
      <c r="AH761" s="21" t="n">
        <f aca="false">IF(OR(AE761="",AE761=0),0,AE761*IF(X761="",0,IF(X761&gt;1,X761/100,X761)))</f>
        <v>0</v>
      </c>
      <c r="AI761" s="21" t="n">
        <f aca="false">IF(OR(AE761="",AE761=0),0,AE761*IF(AA761="",0,IF(AA761&gt;1,AA761/100,AA761)))</f>
        <v>0</v>
      </c>
      <c r="AJ761" s="21" t="n">
        <f aca="false">AG761+AH761+AI761</f>
        <v>0</v>
      </c>
      <c r="AK761" s="21" t="n">
        <f aca="false">IF(OR(AE761="",AE761=0),0,AE761-AJ761)</f>
        <v>0</v>
      </c>
      <c r="AL761" s="19" t="str">
        <f aca="false">IF(AD761="","",AD761-AK761)</f>
        <v/>
      </c>
      <c r="AM761" s="26" t="str">
        <f aca="false">IF(C761="","","Waiting for payment")</f>
        <v/>
      </c>
      <c r="AN761" s="27"/>
      <c r="AO761" s="27"/>
      <c r="AP761" s="35" t="str">
        <f aca="false">IF(OR(C761="",I761="",K761=""),"",IF(K761="Monthly",EDATE(C761,ROUND(I761*SETTINGS!$I$8,0)),WORKDAY(C761,ROUND(I761*SETTINGS!$I$8,0))))</f>
        <v/>
      </c>
      <c r="AQ761" s="26" t="str">
        <f aca="true">IF(C761="","",IF(AND(AP761&lt;&gt;"",TODAY()&gt;=AP761),"Refi Ready",IF(TODAY()-C761&gt;=SETTINGS!$I$11,"Prospecting","Performing")))</f>
        <v/>
      </c>
      <c r="AR761" s="35" t="str">
        <f aca="false">IF(OR(C761="",I761="",K761=""),"",IF(K761="Monthly",EDATE(C761,I761),WORKDAY(C761,I761)))</f>
        <v/>
      </c>
      <c r="AS761" s="28"/>
      <c r="AT761" s="36" t="str">
        <f aca="true">IF(C761="","",IF(AM761="Clawed Back","CLAWED",IF(TODAY()&lt;=C761+SETTINGS!$I$2,"⚠ AT RISK","SAFE")))</f>
        <v/>
      </c>
      <c r="AU761" s="28"/>
      <c r="AW761" s="24" t="n">
        <f aca="false">AW760+IF(AND(C761&lt;&gt;"",AO761&lt;&gt;"",OR('REP COMMISSION'!$B$3="",T761='REP COMMISSION'!$B$3,W761='REP COMMISSION'!$B$3,Z761='REP COMMISSION'!$B$3)),1,0)</f>
        <v>0</v>
      </c>
      <c r="AX761" s="24" t="n">
        <f aca="false">AX760+IF(AND(C761&lt;&gt;"",OR(F761="LOC - INITIAL",F761="CONSOLIDATION - UPFRONT COMM",F761="REVERSE - TOTAL FUNDING")),1,0)</f>
        <v>0</v>
      </c>
    </row>
    <row r="762" customFormat="false" ht="15" hidden="false" customHeight="false" outlineLevel="0" collapsed="false">
      <c r="A762" s="8" t="str">
        <f aca="false">IF(C762&lt;&gt;"","F"&amp;COUNT($C$4:C762),"")</f>
        <v/>
      </c>
      <c r="B762" s="9" t="str">
        <f aca="false">IF(OR(F762="LOC - INITIAL",F762="CONSOLIDATION - UPFRONT COMM",F762="REVERSE - TOTAL FUNDING"),A762,"")</f>
        <v/>
      </c>
      <c r="C762" s="10"/>
      <c r="D762" s="11"/>
      <c r="E762" s="11"/>
      <c r="F762" s="11"/>
      <c r="G762" s="12"/>
      <c r="H762" s="13"/>
      <c r="I762" s="11"/>
      <c r="J762" s="14" t="str">
        <f aca="false">IF(AND(G762&lt;&gt;"",H762&lt;&gt;""),G762*H762,"")</f>
        <v/>
      </c>
      <c r="K762" s="11"/>
      <c r="L762" s="15"/>
      <c r="M762" s="15"/>
      <c r="N762" s="14" t="n">
        <f aca="false">IF(OR(G762="",M762=""),0,IF(M762&gt;100,M762,G762*IF(M762&gt;1,M762/100,M762)))</f>
        <v>0</v>
      </c>
      <c r="O762" s="14" t="str">
        <f aca="false">IF(G762="","",G762*IF(L762="",0,IF(L762&gt;1,L762/100,L762))+N762)</f>
        <v/>
      </c>
      <c r="P762" s="11"/>
      <c r="Q762" s="16" t="str">
        <f aca="false">IF(P762="","",IFERROR(VLOOKUP(P762,PARTNERS!$A$2:$B$30,2,0),""))</f>
        <v/>
      </c>
      <c r="R762" s="17" t="str">
        <f aca="false">IF(O762="","",IF(OR(P762="",Q762=""),0,(O762-N762)*IF(Q762&gt;1,Q762/100,Q762)))</f>
        <v/>
      </c>
      <c r="S762" s="14" t="str">
        <f aca="false">IF(O762="","",O762-R762)</f>
        <v/>
      </c>
      <c r="T762" s="11"/>
      <c r="U762" s="18" t="str">
        <f aca="false">IF(T762="","",IFERROR(VLOOKUP(T762,REPS!$A$2:$D$40,2,0),""))</f>
        <v/>
      </c>
      <c r="V762" s="14" t="str">
        <f aca="false">IF(O762="","",IF(U762="",0,O762*IF(U762&gt;1,U762/100,U762)))</f>
        <v/>
      </c>
      <c r="W762" s="11"/>
      <c r="X762" s="18" t="str">
        <f aca="false">IF(W762="","",IFERROR(VLOOKUP(W762,REPS!$A$2:$D$40,3,0),""))</f>
        <v/>
      </c>
      <c r="Y762" s="14" t="str">
        <f aca="false">IF(O762="","",IF(X762="",0,O762*IF(X762&gt;1,X762/100,X762)))</f>
        <v/>
      </c>
      <c r="Z762" s="11"/>
      <c r="AA762" s="18" t="str">
        <f aca="false">IF(Z762="","",IFERROR(VLOOKUP(Z762,REPS!$A$2:$D$40,4,0),""))</f>
        <v/>
      </c>
      <c r="AB762" s="14" t="str">
        <f aca="false">IF(O762="","",IF(AA762="",0,O762*IF(AA762&gt;1,AA762/100,AA762)))</f>
        <v/>
      </c>
      <c r="AC762" s="14" t="str">
        <f aca="false">IF(O762="","",V762+Y762+AB762)</f>
        <v/>
      </c>
      <c r="AD762" s="19" t="str">
        <f aca="false">IF(O762="","",O762-R762-AC762)</f>
        <v/>
      </c>
      <c r="AE762" s="20"/>
      <c r="AF762" s="10"/>
      <c r="AG762" s="21" t="n">
        <f aca="false">IF(OR(AE762="",AE762=0),0,AE762*IF(U762="",0,IF(U762&gt;1,U762/100,U762)))</f>
        <v>0</v>
      </c>
      <c r="AH762" s="21" t="n">
        <f aca="false">IF(OR(AE762="",AE762=0),0,AE762*IF(X762="",0,IF(X762&gt;1,X762/100,X762)))</f>
        <v>0</v>
      </c>
      <c r="AI762" s="21" t="n">
        <f aca="false">IF(OR(AE762="",AE762=0),0,AE762*IF(AA762="",0,IF(AA762&gt;1,AA762/100,AA762)))</f>
        <v>0</v>
      </c>
      <c r="AJ762" s="21" t="n">
        <f aca="false">AG762+AH762+AI762</f>
        <v>0</v>
      </c>
      <c r="AK762" s="21" t="n">
        <f aca="false">IF(OR(AE762="",AE762=0),0,AE762-AJ762)</f>
        <v>0</v>
      </c>
      <c r="AL762" s="19" t="str">
        <f aca="false">IF(AD762="","",AD762-AK762)</f>
        <v/>
      </c>
      <c r="AM762" s="9" t="str">
        <f aca="false">IF(C762="","","Waiting for payment")</f>
        <v/>
      </c>
      <c r="AN762" s="10"/>
      <c r="AO762" s="10"/>
      <c r="AP762" s="22" t="str">
        <f aca="false">IF(OR(C762="",I762="",K762=""),"",IF(K762="Monthly",EDATE(C762,ROUND(I762*SETTINGS!$I$8,0)),WORKDAY(C762,ROUND(I762*SETTINGS!$I$8,0))))</f>
        <v/>
      </c>
      <c r="AQ762" s="9" t="str">
        <f aca="true">IF(C762="","",IF(AND(AP762&lt;&gt;"",TODAY()&gt;=AP762),"Refi Ready",IF(TODAY()-C762&gt;=SETTINGS!$I$11,"Prospecting","Performing")))</f>
        <v/>
      </c>
      <c r="AR762" s="22" t="str">
        <f aca="false">IF(OR(C762="",I762="",K762=""),"",IF(K762="Monthly",EDATE(C762,I762),WORKDAY(C762,I762)))</f>
        <v/>
      </c>
      <c r="AS762" s="11"/>
      <c r="AT762" s="23" t="str">
        <f aca="true">IF(C762="","",IF(AM762="Clawed Back","CLAWED",IF(TODAY()&lt;=C762+SETTINGS!$I$2,"⚠ AT RISK","SAFE")))</f>
        <v/>
      </c>
      <c r="AU762" s="11"/>
      <c r="AW762" s="24" t="n">
        <f aca="false">AW761+IF(AND(C762&lt;&gt;"",AO762&lt;&gt;"",OR('REP COMMISSION'!$B$3="",T762='REP COMMISSION'!$B$3,W762='REP COMMISSION'!$B$3,Z762='REP COMMISSION'!$B$3)),1,0)</f>
        <v>0</v>
      </c>
      <c r="AX762" s="24" t="n">
        <f aca="false">AX761+IF(AND(C762&lt;&gt;"",OR(F762="LOC - INITIAL",F762="CONSOLIDATION - UPFRONT COMM",F762="REVERSE - TOTAL FUNDING")),1,0)</f>
        <v>0</v>
      </c>
    </row>
    <row r="763" customFormat="false" ht="15" hidden="false" customHeight="false" outlineLevel="0" collapsed="false">
      <c r="A763" s="25" t="str">
        <f aca="false">IF(C763&lt;&gt;"","F"&amp;COUNT($C$4:C763),"")</f>
        <v/>
      </c>
      <c r="B763" s="26" t="str">
        <f aca="false">IF(OR(F763="LOC - INITIAL",F763="CONSOLIDATION - UPFRONT COMM",F763="REVERSE - TOTAL FUNDING"),A763,"")</f>
        <v/>
      </c>
      <c r="C763" s="27"/>
      <c r="D763" s="28"/>
      <c r="E763" s="28"/>
      <c r="F763" s="28"/>
      <c r="G763" s="29"/>
      <c r="H763" s="30"/>
      <c r="I763" s="28"/>
      <c r="J763" s="31" t="str">
        <f aca="false">IF(AND(G763&lt;&gt;"",H763&lt;&gt;""),G763*H763,"")</f>
        <v/>
      </c>
      <c r="K763" s="28"/>
      <c r="L763" s="32"/>
      <c r="M763" s="32"/>
      <c r="N763" s="31" t="n">
        <f aca="false">IF(OR(G763="",M763=""),0,IF(M763&gt;100,M763,G763*IF(M763&gt;1,M763/100,M763)))</f>
        <v>0</v>
      </c>
      <c r="O763" s="31" t="str">
        <f aca="false">IF(G763="","",G763*IF(L763="",0,IF(L763&gt;1,L763/100,L763))+N763)</f>
        <v/>
      </c>
      <c r="P763" s="28"/>
      <c r="Q763" s="33" t="str">
        <f aca="false">IF(P763="","",IFERROR(VLOOKUP(P763,PARTNERS!$A$2:$B$30,2,0),""))</f>
        <v/>
      </c>
      <c r="R763" s="17" t="str">
        <f aca="false">IF(O763="","",IF(OR(P763="",Q763=""),0,(O763-N763)*IF(Q763&gt;1,Q763/100,Q763)))</f>
        <v/>
      </c>
      <c r="S763" s="31" t="str">
        <f aca="false">IF(O763="","",O763-R763)</f>
        <v/>
      </c>
      <c r="T763" s="28"/>
      <c r="U763" s="34" t="str">
        <f aca="false">IF(T763="","",IFERROR(VLOOKUP(T763,REPS!$A$2:$D$40,2,0),""))</f>
        <v/>
      </c>
      <c r="V763" s="31" t="str">
        <f aca="false">IF(O763="","",IF(U763="",0,O763*IF(U763&gt;1,U763/100,U763)))</f>
        <v/>
      </c>
      <c r="W763" s="28"/>
      <c r="X763" s="34" t="str">
        <f aca="false">IF(W763="","",IFERROR(VLOOKUP(W763,REPS!$A$2:$D$40,3,0),""))</f>
        <v/>
      </c>
      <c r="Y763" s="31" t="str">
        <f aca="false">IF(O763="","",IF(X763="",0,O763*IF(X763&gt;1,X763/100,X763)))</f>
        <v/>
      </c>
      <c r="Z763" s="28"/>
      <c r="AA763" s="34" t="str">
        <f aca="false">IF(Z763="","",IFERROR(VLOOKUP(Z763,REPS!$A$2:$D$40,4,0),""))</f>
        <v/>
      </c>
      <c r="AB763" s="31" t="str">
        <f aca="false">IF(O763="","",IF(AA763="",0,O763*IF(AA763&gt;1,AA763/100,AA763)))</f>
        <v/>
      </c>
      <c r="AC763" s="31" t="str">
        <f aca="false">IF(O763="","",V763+Y763+AB763)</f>
        <v/>
      </c>
      <c r="AD763" s="19" t="str">
        <f aca="false">IF(O763="","",O763-R763-AC763)</f>
        <v/>
      </c>
      <c r="AE763" s="20"/>
      <c r="AF763" s="27"/>
      <c r="AG763" s="21" t="n">
        <f aca="false">IF(OR(AE763="",AE763=0),0,AE763*IF(U763="",0,IF(U763&gt;1,U763/100,U763)))</f>
        <v>0</v>
      </c>
      <c r="AH763" s="21" t="n">
        <f aca="false">IF(OR(AE763="",AE763=0),0,AE763*IF(X763="",0,IF(X763&gt;1,X763/100,X763)))</f>
        <v>0</v>
      </c>
      <c r="AI763" s="21" t="n">
        <f aca="false">IF(OR(AE763="",AE763=0),0,AE763*IF(AA763="",0,IF(AA763&gt;1,AA763/100,AA763)))</f>
        <v>0</v>
      </c>
      <c r="AJ763" s="21" t="n">
        <f aca="false">AG763+AH763+AI763</f>
        <v>0</v>
      </c>
      <c r="AK763" s="21" t="n">
        <f aca="false">IF(OR(AE763="",AE763=0),0,AE763-AJ763)</f>
        <v>0</v>
      </c>
      <c r="AL763" s="19" t="str">
        <f aca="false">IF(AD763="","",AD763-AK763)</f>
        <v/>
      </c>
      <c r="AM763" s="26" t="str">
        <f aca="false">IF(C763="","","Waiting for payment")</f>
        <v/>
      </c>
      <c r="AN763" s="27"/>
      <c r="AO763" s="27"/>
      <c r="AP763" s="35" t="str">
        <f aca="false">IF(OR(C763="",I763="",K763=""),"",IF(K763="Monthly",EDATE(C763,ROUND(I763*SETTINGS!$I$8,0)),WORKDAY(C763,ROUND(I763*SETTINGS!$I$8,0))))</f>
        <v/>
      </c>
      <c r="AQ763" s="26" t="str">
        <f aca="true">IF(C763="","",IF(AND(AP763&lt;&gt;"",TODAY()&gt;=AP763),"Refi Ready",IF(TODAY()-C763&gt;=SETTINGS!$I$11,"Prospecting","Performing")))</f>
        <v/>
      </c>
      <c r="AR763" s="35" t="str">
        <f aca="false">IF(OR(C763="",I763="",K763=""),"",IF(K763="Monthly",EDATE(C763,I763),WORKDAY(C763,I763)))</f>
        <v/>
      </c>
      <c r="AS763" s="28"/>
      <c r="AT763" s="36" t="str">
        <f aca="true">IF(C763="","",IF(AM763="Clawed Back","CLAWED",IF(TODAY()&lt;=C763+SETTINGS!$I$2,"⚠ AT RISK","SAFE")))</f>
        <v/>
      </c>
      <c r="AU763" s="28"/>
      <c r="AW763" s="24" t="n">
        <f aca="false">AW762+IF(AND(C763&lt;&gt;"",AO763&lt;&gt;"",OR('REP COMMISSION'!$B$3="",T763='REP COMMISSION'!$B$3,W763='REP COMMISSION'!$B$3,Z763='REP COMMISSION'!$B$3)),1,0)</f>
        <v>0</v>
      </c>
      <c r="AX763" s="24" t="n">
        <f aca="false">AX762+IF(AND(C763&lt;&gt;"",OR(F763="LOC - INITIAL",F763="CONSOLIDATION - UPFRONT COMM",F763="REVERSE - TOTAL FUNDING")),1,0)</f>
        <v>0</v>
      </c>
    </row>
    <row r="764" customFormat="false" ht="15" hidden="false" customHeight="false" outlineLevel="0" collapsed="false">
      <c r="A764" s="8" t="str">
        <f aca="false">IF(C764&lt;&gt;"","F"&amp;COUNT($C$4:C764),"")</f>
        <v/>
      </c>
      <c r="B764" s="9" t="str">
        <f aca="false">IF(OR(F764="LOC - INITIAL",F764="CONSOLIDATION - UPFRONT COMM",F764="REVERSE - TOTAL FUNDING"),A764,"")</f>
        <v/>
      </c>
      <c r="C764" s="10"/>
      <c r="D764" s="11"/>
      <c r="E764" s="11"/>
      <c r="F764" s="11"/>
      <c r="G764" s="12"/>
      <c r="H764" s="13"/>
      <c r="I764" s="11"/>
      <c r="J764" s="14" t="str">
        <f aca="false">IF(AND(G764&lt;&gt;"",H764&lt;&gt;""),G764*H764,"")</f>
        <v/>
      </c>
      <c r="K764" s="11"/>
      <c r="L764" s="15"/>
      <c r="M764" s="15"/>
      <c r="N764" s="14" t="n">
        <f aca="false">IF(OR(G764="",M764=""),0,IF(M764&gt;100,M764,G764*IF(M764&gt;1,M764/100,M764)))</f>
        <v>0</v>
      </c>
      <c r="O764" s="14" t="str">
        <f aca="false">IF(G764="","",G764*IF(L764="",0,IF(L764&gt;1,L764/100,L764))+N764)</f>
        <v/>
      </c>
      <c r="P764" s="11"/>
      <c r="Q764" s="16" t="str">
        <f aca="false">IF(P764="","",IFERROR(VLOOKUP(P764,PARTNERS!$A$2:$B$30,2,0),""))</f>
        <v/>
      </c>
      <c r="R764" s="17" t="str">
        <f aca="false">IF(O764="","",IF(OR(P764="",Q764=""),0,(O764-N764)*IF(Q764&gt;1,Q764/100,Q764)))</f>
        <v/>
      </c>
      <c r="S764" s="14" t="str">
        <f aca="false">IF(O764="","",O764-R764)</f>
        <v/>
      </c>
      <c r="T764" s="11"/>
      <c r="U764" s="18" t="str">
        <f aca="false">IF(T764="","",IFERROR(VLOOKUP(T764,REPS!$A$2:$D$40,2,0),""))</f>
        <v/>
      </c>
      <c r="V764" s="14" t="str">
        <f aca="false">IF(O764="","",IF(U764="",0,O764*IF(U764&gt;1,U764/100,U764)))</f>
        <v/>
      </c>
      <c r="W764" s="11"/>
      <c r="X764" s="18" t="str">
        <f aca="false">IF(W764="","",IFERROR(VLOOKUP(W764,REPS!$A$2:$D$40,3,0),""))</f>
        <v/>
      </c>
      <c r="Y764" s="14" t="str">
        <f aca="false">IF(O764="","",IF(X764="",0,O764*IF(X764&gt;1,X764/100,X764)))</f>
        <v/>
      </c>
      <c r="Z764" s="11"/>
      <c r="AA764" s="18" t="str">
        <f aca="false">IF(Z764="","",IFERROR(VLOOKUP(Z764,REPS!$A$2:$D$40,4,0),""))</f>
        <v/>
      </c>
      <c r="AB764" s="14" t="str">
        <f aca="false">IF(O764="","",IF(AA764="",0,O764*IF(AA764&gt;1,AA764/100,AA764)))</f>
        <v/>
      </c>
      <c r="AC764" s="14" t="str">
        <f aca="false">IF(O764="","",V764+Y764+AB764)</f>
        <v/>
      </c>
      <c r="AD764" s="19" t="str">
        <f aca="false">IF(O764="","",O764-R764-AC764)</f>
        <v/>
      </c>
      <c r="AE764" s="20"/>
      <c r="AF764" s="10"/>
      <c r="AG764" s="21" t="n">
        <f aca="false">IF(OR(AE764="",AE764=0),0,AE764*IF(U764="",0,IF(U764&gt;1,U764/100,U764)))</f>
        <v>0</v>
      </c>
      <c r="AH764" s="21" t="n">
        <f aca="false">IF(OR(AE764="",AE764=0),0,AE764*IF(X764="",0,IF(X764&gt;1,X764/100,X764)))</f>
        <v>0</v>
      </c>
      <c r="AI764" s="21" t="n">
        <f aca="false">IF(OR(AE764="",AE764=0),0,AE764*IF(AA764="",0,IF(AA764&gt;1,AA764/100,AA764)))</f>
        <v>0</v>
      </c>
      <c r="AJ764" s="21" t="n">
        <f aca="false">AG764+AH764+AI764</f>
        <v>0</v>
      </c>
      <c r="AK764" s="21" t="n">
        <f aca="false">IF(OR(AE764="",AE764=0),0,AE764-AJ764)</f>
        <v>0</v>
      </c>
      <c r="AL764" s="19" t="str">
        <f aca="false">IF(AD764="","",AD764-AK764)</f>
        <v/>
      </c>
      <c r="AM764" s="9" t="str">
        <f aca="false">IF(C764="","","Waiting for payment")</f>
        <v/>
      </c>
      <c r="AN764" s="10"/>
      <c r="AO764" s="10"/>
      <c r="AP764" s="22" t="str">
        <f aca="false">IF(OR(C764="",I764="",K764=""),"",IF(K764="Monthly",EDATE(C764,ROUND(I764*SETTINGS!$I$8,0)),WORKDAY(C764,ROUND(I764*SETTINGS!$I$8,0))))</f>
        <v/>
      </c>
      <c r="AQ764" s="9" t="str">
        <f aca="true">IF(C764="","",IF(AND(AP764&lt;&gt;"",TODAY()&gt;=AP764),"Refi Ready",IF(TODAY()-C764&gt;=SETTINGS!$I$11,"Prospecting","Performing")))</f>
        <v/>
      </c>
      <c r="AR764" s="22" t="str">
        <f aca="false">IF(OR(C764="",I764="",K764=""),"",IF(K764="Monthly",EDATE(C764,I764),WORKDAY(C764,I764)))</f>
        <v/>
      </c>
      <c r="AS764" s="11"/>
      <c r="AT764" s="23" t="str">
        <f aca="true">IF(C764="","",IF(AM764="Clawed Back","CLAWED",IF(TODAY()&lt;=C764+SETTINGS!$I$2,"⚠ AT RISK","SAFE")))</f>
        <v/>
      </c>
      <c r="AU764" s="11"/>
      <c r="AW764" s="24" t="n">
        <f aca="false">AW763+IF(AND(C764&lt;&gt;"",AO764&lt;&gt;"",OR('REP COMMISSION'!$B$3="",T764='REP COMMISSION'!$B$3,W764='REP COMMISSION'!$B$3,Z764='REP COMMISSION'!$B$3)),1,0)</f>
        <v>0</v>
      </c>
      <c r="AX764" s="24" t="n">
        <f aca="false">AX763+IF(AND(C764&lt;&gt;"",OR(F764="LOC - INITIAL",F764="CONSOLIDATION - UPFRONT COMM",F764="REVERSE - TOTAL FUNDING")),1,0)</f>
        <v>0</v>
      </c>
    </row>
    <row r="765" customFormat="false" ht="15" hidden="false" customHeight="false" outlineLevel="0" collapsed="false">
      <c r="A765" s="25" t="str">
        <f aca="false">IF(C765&lt;&gt;"","F"&amp;COUNT($C$4:C765),"")</f>
        <v/>
      </c>
      <c r="B765" s="26" t="str">
        <f aca="false">IF(OR(F765="LOC - INITIAL",F765="CONSOLIDATION - UPFRONT COMM",F765="REVERSE - TOTAL FUNDING"),A765,"")</f>
        <v/>
      </c>
      <c r="C765" s="27"/>
      <c r="D765" s="28"/>
      <c r="E765" s="28"/>
      <c r="F765" s="28"/>
      <c r="G765" s="29"/>
      <c r="H765" s="30"/>
      <c r="I765" s="28"/>
      <c r="J765" s="31" t="str">
        <f aca="false">IF(AND(G765&lt;&gt;"",H765&lt;&gt;""),G765*H765,"")</f>
        <v/>
      </c>
      <c r="K765" s="28"/>
      <c r="L765" s="32"/>
      <c r="M765" s="32"/>
      <c r="N765" s="31" t="n">
        <f aca="false">IF(OR(G765="",M765=""),0,IF(M765&gt;100,M765,G765*IF(M765&gt;1,M765/100,M765)))</f>
        <v>0</v>
      </c>
      <c r="O765" s="31" t="str">
        <f aca="false">IF(G765="","",G765*IF(L765="",0,IF(L765&gt;1,L765/100,L765))+N765)</f>
        <v/>
      </c>
      <c r="P765" s="28"/>
      <c r="Q765" s="33" t="str">
        <f aca="false">IF(P765="","",IFERROR(VLOOKUP(P765,PARTNERS!$A$2:$B$30,2,0),""))</f>
        <v/>
      </c>
      <c r="R765" s="17" t="str">
        <f aca="false">IF(O765="","",IF(OR(P765="",Q765=""),0,(O765-N765)*IF(Q765&gt;1,Q765/100,Q765)))</f>
        <v/>
      </c>
      <c r="S765" s="31" t="str">
        <f aca="false">IF(O765="","",O765-R765)</f>
        <v/>
      </c>
      <c r="T765" s="28"/>
      <c r="U765" s="34" t="str">
        <f aca="false">IF(T765="","",IFERROR(VLOOKUP(T765,REPS!$A$2:$D$40,2,0),""))</f>
        <v/>
      </c>
      <c r="V765" s="31" t="str">
        <f aca="false">IF(O765="","",IF(U765="",0,O765*IF(U765&gt;1,U765/100,U765)))</f>
        <v/>
      </c>
      <c r="W765" s="28"/>
      <c r="X765" s="34" t="str">
        <f aca="false">IF(W765="","",IFERROR(VLOOKUP(W765,REPS!$A$2:$D$40,3,0),""))</f>
        <v/>
      </c>
      <c r="Y765" s="31" t="str">
        <f aca="false">IF(O765="","",IF(X765="",0,O765*IF(X765&gt;1,X765/100,X765)))</f>
        <v/>
      </c>
      <c r="Z765" s="28"/>
      <c r="AA765" s="34" t="str">
        <f aca="false">IF(Z765="","",IFERROR(VLOOKUP(Z765,REPS!$A$2:$D$40,4,0),""))</f>
        <v/>
      </c>
      <c r="AB765" s="31" t="str">
        <f aca="false">IF(O765="","",IF(AA765="",0,O765*IF(AA765&gt;1,AA765/100,AA765)))</f>
        <v/>
      </c>
      <c r="AC765" s="31" t="str">
        <f aca="false">IF(O765="","",V765+Y765+AB765)</f>
        <v/>
      </c>
      <c r="AD765" s="19" t="str">
        <f aca="false">IF(O765="","",O765-R765-AC765)</f>
        <v/>
      </c>
      <c r="AE765" s="20"/>
      <c r="AF765" s="27"/>
      <c r="AG765" s="21" t="n">
        <f aca="false">IF(OR(AE765="",AE765=0),0,AE765*IF(U765="",0,IF(U765&gt;1,U765/100,U765)))</f>
        <v>0</v>
      </c>
      <c r="AH765" s="21" t="n">
        <f aca="false">IF(OR(AE765="",AE765=0),0,AE765*IF(X765="",0,IF(X765&gt;1,X765/100,X765)))</f>
        <v>0</v>
      </c>
      <c r="AI765" s="21" t="n">
        <f aca="false">IF(OR(AE765="",AE765=0),0,AE765*IF(AA765="",0,IF(AA765&gt;1,AA765/100,AA765)))</f>
        <v>0</v>
      </c>
      <c r="AJ765" s="21" t="n">
        <f aca="false">AG765+AH765+AI765</f>
        <v>0</v>
      </c>
      <c r="AK765" s="21" t="n">
        <f aca="false">IF(OR(AE765="",AE765=0),0,AE765-AJ765)</f>
        <v>0</v>
      </c>
      <c r="AL765" s="19" t="str">
        <f aca="false">IF(AD765="","",AD765-AK765)</f>
        <v/>
      </c>
      <c r="AM765" s="26" t="str">
        <f aca="false">IF(C765="","","Waiting for payment")</f>
        <v/>
      </c>
      <c r="AN765" s="27"/>
      <c r="AO765" s="27"/>
      <c r="AP765" s="35" t="str">
        <f aca="false">IF(OR(C765="",I765="",K765=""),"",IF(K765="Monthly",EDATE(C765,ROUND(I765*SETTINGS!$I$8,0)),WORKDAY(C765,ROUND(I765*SETTINGS!$I$8,0))))</f>
        <v/>
      </c>
      <c r="AQ765" s="26" t="str">
        <f aca="true">IF(C765="","",IF(AND(AP765&lt;&gt;"",TODAY()&gt;=AP765),"Refi Ready",IF(TODAY()-C765&gt;=SETTINGS!$I$11,"Prospecting","Performing")))</f>
        <v/>
      </c>
      <c r="AR765" s="35" t="str">
        <f aca="false">IF(OR(C765="",I765="",K765=""),"",IF(K765="Monthly",EDATE(C765,I765),WORKDAY(C765,I765)))</f>
        <v/>
      </c>
      <c r="AS765" s="28"/>
      <c r="AT765" s="36" t="str">
        <f aca="true">IF(C765="","",IF(AM765="Clawed Back","CLAWED",IF(TODAY()&lt;=C765+SETTINGS!$I$2,"⚠ AT RISK","SAFE")))</f>
        <v/>
      </c>
      <c r="AU765" s="28"/>
      <c r="AW765" s="24" t="n">
        <f aca="false">AW764+IF(AND(C765&lt;&gt;"",AO765&lt;&gt;"",OR('REP COMMISSION'!$B$3="",T765='REP COMMISSION'!$B$3,W765='REP COMMISSION'!$B$3,Z765='REP COMMISSION'!$B$3)),1,0)</f>
        <v>0</v>
      </c>
      <c r="AX765" s="24" t="n">
        <f aca="false">AX764+IF(AND(C765&lt;&gt;"",OR(F765="LOC - INITIAL",F765="CONSOLIDATION - UPFRONT COMM",F765="REVERSE - TOTAL FUNDING")),1,0)</f>
        <v>0</v>
      </c>
    </row>
    <row r="766" customFormat="false" ht="15" hidden="false" customHeight="false" outlineLevel="0" collapsed="false">
      <c r="A766" s="8" t="str">
        <f aca="false">IF(C766&lt;&gt;"","F"&amp;COUNT($C$4:C766),"")</f>
        <v/>
      </c>
      <c r="B766" s="9" t="str">
        <f aca="false">IF(OR(F766="LOC - INITIAL",F766="CONSOLIDATION - UPFRONT COMM",F766="REVERSE - TOTAL FUNDING"),A766,"")</f>
        <v/>
      </c>
      <c r="C766" s="10"/>
      <c r="D766" s="11"/>
      <c r="E766" s="11"/>
      <c r="F766" s="11"/>
      <c r="G766" s="12"/>
      <c r="H766" s="13"/>
      <c r="I766" s="11"/>
      <c r="J766" s="14" t="str">
        <f aca="false">IF(AND(G766&lt;&gt;"",H766&lt;&gt;""),G766*H766,"")</f>
        <v/>
      </c>
      <c r="K766" s="11"/>
      <c r="L766" s="15"/>
      <c r="M766" s="15"/>
      <c r="N766" s="14" t="n">
        <f aca="false">IF(OR(G766="",M766=""),0,IF(M766&gt;100,M766,G766*IF(M766&gt;1,M766/100,M766)))</f>
        <v>0</v>
      </c>
      <c r="O766" s="14" t="str">
        <f aca="false">IF(G766="","",G766*IF(L766="",0,IF(L766&gt;1,L766/100,L766))+N766)</f>
        <v/>
      </c>
      <c r="P766" s="11"/>
      <c r="Q766" s="16" t="str">
        <f aca="false">IF(P766="","",IFERROR(VLOOKUP(P766,PARTNERS!$A$2:$B$30,2,0),""))</f>
        <v/>
      </c>
      <c r="R766" s="17" t="str">
        <f aca="false">IF(O766="","",IF(OR(P766="",Q766=""),0,(O766-N766)*IF(Q766&gt;1,Q766/100,Q766)))</f>
        <v/>
      </c>
      <c r="S766" s="14" t="str">
        <f aca="false">IF(O766="","",O766-R766)</f>
        <v/>
      </c>
      <c r="T766" s="11"/>
      <c r="U766" s="18" t="str">
        <f aca="false">IF(T766="","",IFERROR(VLOOKUP(T766,REPS!$A$2:$D$40,2,0),""))</f>
        <v/>
      </c>
      <c r="V766" s="14" t="str">
        <f aca="false">IF(O766="","",IF(U766="",0,O766*IF(U766&gt;1,U766/100,U766)))</f>
        <v/>
      </c>
      <c r="W766" s="11"/>
      <c r="X766" s="18" t="str">
        <f aca="false">IF(W766="","",IFERROR(VLOOKUP(W766,REPS!$A$2:$D$40,3,0),""))</f>
        <v/>
      </c>
      <c r="Y766" s="14" t="str">
        <f aca="false">IF(O766="","",IF(X766="",0,O766*IF(X766&gt;1,X766/100,X766)))</f>
        <v/>
      </c>
      <c r="Z766" s="11"/>
      <c r="AA766" s="18" t="str">
        <f aca="false">IF(Z766="","",IFERROR(VLOOKUP(Z766,REPS!$A$2:$D$40,4,0),""))</f>
        <v/>
      </c>
      <c r="AB766" s="14" t="str">
        <f aca="false">IF(O766="","",IF(AA766="",0,O766*IF(AA766&gt;1,AA766/100,AA766)))</f>
        <v/>
      </c>
      <c r="AC766" s="14" t="str">
        <f aca="false">IF(O766="","",V766+Y766+AB766)</f>
        <v/>
      </c>
      <c r="AD766" s="19" t="str">
        <f aca="false">IF(O766="","",O766-R766-AC766)</f>
        <v/>
      </c>
      <c r="AE766" s="20"/>
      <c r="AF766" s="10"/>
      <c r="AG766" s="21" t="n">
        <f aca="false">IF(OR(AE766="",AE766=0),0,AE766*IF(U766="",0,IF(U766&gt;1,U766/100,U766)))</f>
        <v>0</v>
      </c>
      <c r="AH766" s="21" t="n">
        <f aca="false">IF(OR(AE766="",AE766=0),0,AE766*IF(X766="",0,IF(X766&gt;1,X766/100,X766)))</f>
        <v>0</v>
      </c>
      <c r="AI766" s="21" t="n">
        <f aca="false">IF(OR(AE766="",AE766=0),0,AE766*IF(AA766="",0,IF(AA766&gt;1,AA766/100,AA766)))</f>
        <v>0</v>
      </c>
      <c r="AJ766" s="21" t="n">
        <f aca="false">AG766+AH766+AI766</f>
        <v>0</v>
      </c>
      <c r="AK766" s="21" t="n">
        <f aca="false">IF(OR(AE766="",AE766=0),0,AE766-AJ766)</f>
        <v>0</v>
      </c>
      <c r="AL766" s="19" t="str">
        <f aca="false">IF(AD766="","",AD766-AK766)</f>
        <v/>
      </c>
      <c r="AM766" s="9" t="str">
        <f aca="false">IF(C766="","","Waiting for payment")</f>
        <v/>
      </c>
      <c r="AN766" s="10"/>
      <c r="AO766" s="10"/>
      <c r="AP766" s="22" t="str">
        <f aca="false">IF(OR(C766="",I766="",K766=""),"",IF(K766="Monthly",EDATE(C766,ROUND(I766*SETTINGS!$I$8,0)),WORKDAY(C766,ROUND(I766*SETTINGS!$I$8,0))))</f>
        <v/>
      </c>
      <c r="AQ766" s="9" t="str">
        <f aca="true">IF(C766="","",IF(AND(AP766&lt;&gt;"",TODAY()&gt;=AP766),"Refi Ready",IF(TODAY()-C766&gt;=SETTINGS!$I$11,"Prospecting","Performing")))</f>
        <v/>
      </c>
      <c r="AR766" s="22" t="str">
        <f aca="false">IF(OR(C766="",I766="",K766=""),"",IF(K766="Monthly",EDATE(C766,I766),WORKDAY(C766,I766)))</f>
        <v/>
      </c>
      <c r="AS766" s="11"/>
      <c r="AT766" s="23" t="str">
        <f aca="true">IF(C766="","",IF(AM766="Clawed Back","CLAWED",IF(TODAY()&lt;=C766+SETTINGS!$I$2,"⚠ AT RISK","SAFE")))</f>
        <v/>
      </c>
      <c r="AU766" s="11"/>
      <c r="AW766" s="24" t="n">
        <f aca="false">AW765+IF(AND(C766&lt;&gt;"",AO766&lt;&gt;"",OR('REP COMMISSION'!$B$3="",T766='REP COMMISSION'!$B$3,W766='REP COMMISSION'!$B$3,Z766='REP COMMISSION'!$B$3)),1,0)</f>
        <v>0</v>
      </c>
      <c r="AX766" s="24" t="n">
        <f aca="false">AX765+IF(AND(C766&lt;&gt;"",OR(F766="LOC - INITIAL",F766="CONSOLIDATION - UPFRONT COMM",F766="REVERSE - TOTAL FUNDING")),1,0)</f>
        <v>0</v>
      </c>
    </row>
    <row r="767" customFormat="false" ht="15" hidden="false" customHeight="false" outlineLevel="0" collapsed="false">
      <c r="A767" s="25" t="str">
        <f aca="false">IF(C767&lt;&gt;"","F"&amp;COUNT($C$4:C767),"")</f>
        <v/>
      </c>
      <c r="B767" s="26" t="str">
        <f aca="false">IF(OR(F767="LOC - INITIAL",F767="CONSOLIDATION - UPFRONT COMM",F767="REVERSE - TOTAL FUNDING"),A767,"")</f>
        <v/>
      </c>
      <c r="C767" s="27"/>
      <c r="D767" s="28"/>
      <c r="E767" s="28"/>
      <c r="F767" s="28"/>
      <c r="G767" s="29"/>
      <c r="H767" s="30"/>
      <c r="I767" s="28"/>
      <c r="J767" s="31" t="str">
        <f aca="false">IF(AND(G767&lt;&gt;"",H767&lt;&gt;""),G767*H767,"")</f>
        <v/>
      </c>
      <c r="K767" s="28"/>
      <c r="L767" s="32"/>
      <c r="M767" s="32"/>
      <c r="N767" s="31" t="n">
        <f aca="false">IF(OR(G767="",M767=""),0,IF(M767&gt;100,M767,G767*IF(M767&gt;1,M767/100,M767)))</f>
        <v>0</v>
      </c>
      <c r="O767" s="31" t="str">
        <f aca="false">IF(G767="","",G767*IF(L767="",0,IF(L767&gt;1,L767/100,L767))+N767)</f>
        <v/>
      </c>
      <c r="P767" s="28"/>
      <c r="Q767" s="33" t="str">
        <f aca="false">IF(P767="","",IFERROR(VLOOKUP(P767,PARTNERS!$A$2:$B$30,2,0),""))</f>
        <v/>
      </c>
      <c r="R767" s="17" t="str">
        <f aca="false">IF(O767="","",IF(OR(P767="",Q767=""),0,(O767-N767)*IF(Q767&gt;1,Q767/100,Q767)))</f>
        <v/>
      </c>
      <c r="S767" s="31" t="str">
        <f aca="false">IF(O767="","",O767-R767)</f>
        <v/>
      </c>
      <c r="T767" s="28"/>
      <c r="U767" s="34" t="str">
        <f aca="false">IF(T767="","",IFERROR(VLOOKUP(T767,REPS!$A$2:$D$40,2,0),""))</f>
        <v/>
      </c>
      <c r="V767" s="31" t="str">
        <f aca="false">IF(O767="","",IF(U767="",0,O767*IF(U767&gt;1,U767/100,U767)))</f>
        <v/>
      </c>
      <c r="W767" s="28"/>
      <c r="X767" s="34" t="str">
        <f aca="false">IF(W767="","",IFERROR(VLOOKUP(W767,REPS!$A$2:$D$40,3,0),""))</f>
        <v/>
      </c>
      <c r="Y767" s="31" t="str">
        <f aca="false">IF(O767="","",IF(X767="",0,O767*IF(X767&gt;1,X767/100,X767)))</f>
        <v/>
      </c>
      <c r="Z767" s="28"/>
      <c r="AA767" s="34" t="str">
        <f aca="false">IF(Z767="","",IFERROR(VLOOKUP(Z767,REPS!$A$2:$D$40,4,0),""))</f>
        <v/>
      </c>
      <c r="AB767" s="31" t="str">
        <f aca="false">IF(O767="","",IF(AA767="",0,O767*IF(AA767&gt;1,AA767/100,AA767)))</f>
        <v/>
      </c>
      <c r="AC767" s="31" t="str">
        <f aca="false">IF(O767="","",V767+Y767+AB767)</f>
        <v/>
      </c>
      <c r="AD767" s="19" t="str">
        <f aca="false">IF(O767="","",O767-R767-AC767)</f>
        <v/>
      </c>
      <c r="AE767" s="20"/>
      <c r="AF767" s="27"/>
      <c r="AG767" s="21" t="n">
        <f aca="false">IF(OR(AE767="",AE767=0),0,AE767*IF(U767="",0,IF(U767&gt;1,U767/100,U767)))</f>
        <v>0</v>
      </c>
      <c r="AH767" s="21" t="n">
        <f aca="false">IF(OR(AE767="",AE767=0),0,AE767*IF(X767="",0,IF(X767&gt;1,X767/100,X767)))</f>
        <v>0</v>
      </c>
      <c r="AI767" s="21" t="n">
        <f aca="false">IF(OR(AE767="",AE767=0),0,AE767*IF(AA767="",0,IF(AA767&gt;1,AA767/100,AA767)))</f>
        <v>0</v>
      </c>
      <c r="AJ767" s="21" t="n">
        <f aca="false">AG767+AH767+AI767</f>
        <v>0</v>
      </c>
      <c r="AK767" s="21" t="n">
        <f aca="false">IF(OR(AE767="",AE767=0),0,AE767-AJ767)</f>
        <v>0</v>
      </c>
      <c r="AL767" s="19" t="str">
        <f aca="false">IF(AD767="","",AD767-AK767)</f>
        <v/>
      </c>
      <c r="AM767" s="26" t="str">
        <f aca="false">IF(C767="","","Waiting for payment")</f>
        <v/>
      </c>
      <c r="AN767" s="27"/>
      <c r="AO767" s="27"/>
      <c r="AP767" s="35" t="str">
        <f aca="false">IF(OR(C767="",I767="",K767=""),"",IF(K767="Monthly",EDATE(C767,ROUND(I767*SETTINGS!$I$8,0)),WORKDAY(C767,ROUND(I767*SETTINGS!$I$8,0))))</f>
        <v/>
      </c>
      <c r="AQ767" s="26" t="str">
        <f aca="true">IF(C767="","",IF(AND(AP767&lt;&gt;"",TODAY()&gt;=AP767),"Refi Ready",IF(TODAY()-C767&gt;=SETTINGS!$I$11,"Prospecting","Performing")))</f>
        <v/>
      </c>
      <c r="AR767" s="35" t="str">
        <f aca="false">IF(OR(C767="",I767="",K767=""),"",IF(K767="Monthly",EDATE(C767,I767),WORKDAY(C767,I767)))</f>
        <v/>
      </c>
      <c r="AS767" s="28"/>
      <c r="AT767" s="36" t="str">
        <f aca="true">IF(C767="","",IF(AM767="Clawed Back","CLAWED",IF(TODAY()&lt;=C767+SETTINGS!$I$2,"⚠ AT RISK","SAFE")))</f>
        <v/>
      </c>
      <c r="AU767" s="28"/>
      <c r="AW767" s="24" t="n">
        <f aca="false">AW766+IF(AND(C767&lt;&gt;"",AO767&lt;&gt;"",OR('REP COMMISSION'!$B$3="",T767='REP COMMISSION'!$B$3,W767='REP COMMISSION'!$B$3,Z767='REP COMMISSION'!$B$3)),1,0)</f>
        <v>0</v>
      </c>
      <c r="AX767" s="24" t="n">
        <f aca="false">AX766+IF(AND(C767&lt;&gt;"",OR(F767="LOC - INITIAL",F767="CONSOLIDATION - UPFRONT COMM",F767="REVERSE - TOTAL FUNDING")),1,0)</f>
        <v>0</v>
      </c>
    </row>
    <row r="768" customFormat="false" ht="15" hidden="false" customHeight="false" outlineLevel="0" collapsed="false">
      <c r="A768" s="8" t="str">
        <f aca="false">IF(C768&lt;&gt;"","F"&amp;COUNT($C$4:C768),"")</f>
        <v/>
      </c>
      <c r="B768" s="9" t="str">
        <f aca="false">IF(OR(F768="LOC - INITIAL",F768="CONSOLIDATION - UPFRONT COMM",F768="REVERSE - TOTAL FUNDING"),A768,"")</f>
        <v/>
      </c>
      <c r="C768" s="10"/>
      <c r="D768" s="11"/>
      <c r="E768" s="11"/>
      <c r="F768" s="11"/>
      <c r="G768" s="12"/>
      <c r="H768" s="13"/>
      <c r="I768" s="11"/>
      <c r="J768" s="14" t="str">
        <f aca="false">IF(AND(G768&lt;&gt;"",H768&lt;&gt;""),G768*H768,"")</f>
        <v/>
      </c>
      <c r="K768" s="11"/>
      <c r="L768" s="15"/>
      <c r="M768" s="15"/>
      <c r="N768" s="14" t="n">
        <f aca="false">IF(OR(G768="",M768=""),0,IF(M768&gt;100,M768,G768*IF(M768&gt;1,M768/100,M768)))</f>
        <v>0</v>
      </c>
      <c r="O768" s="14" t="str">
        <f aca="false">IF(G768="","",G768*IF(L768="",0,IF(L768&gt;1,L768/100,L768))+N768)</f>
        <v/>
      </c>
      <c r="P768" s="11"/>
      <c r="Q768" s="16" t="str">
        <f aca="false">IF(P768="","",IFERROR(VLOOKUP(P768,PARTNERS!$A$2:$B$30,2,0),""))</f>
        <v/>
      </c>
      <c r="R768" s="17" t="str">
        <f aca="false">IF(O768="","",IF(OR(P768="",Q768=""),0,(O768-N768)*IF(Q768&gt;1,Q768/100,Q768)))</f>
        <v/>
      </c>
      <c r="S768" s="14" t="str">
        <f aca="false">IF(O768="","",O768-R768)</f>
        <v/>
      </c>
      <c r="T768" s="11"/>
      <c r="U768" s="18" t="str">
        <f aca="false">IF(T768="","",IFERROR(VLOOKUP(T768,REPS!$A$2:$D$40,2,0),""))</f>
        <v/>
      </c>
      <c r="V768" s="14" t="str">
        <f aca="false">IF(O768="","",IF(U768="",0,O768*IF(U768&gt;1,U768/100,U768)))</f>
        <v/>
      </c>
      <c r="W768" s="11"/>
      <c r="X768" s="18" t="str">
        <f aca="false">IF(W768="","",IFERROR(VLOOKUP(W768,REPS!$A$2:$D$40,3,0),""))</f>
        <v/>
      </c>
      <c r="Y768" s="14" t="str">
        <f aca="false">IF(O768="","",IF(X768="",0,O768*IF(X768&gt;1,X768/100,X768)))</f>
        <v/>
      </c>
      <c r="Z768" s="11"/>
      <c r="AA768" s="18" t="str">
        <f aca="false">IF(Z768="","",IFERROR(VLOOKUP(Z768,REPS!$A$2:$D$40,4,0),""))</f>
        <v/>
      </c>
      <c r="AB768" s="14" t="str">
        <f aca="false">IF(O768="","",IF(AA768="",0,O768*IF(AA768&gt;1,AA768/100,AA768)))</f>
        <v/>
      </c>
      <c r="AC768" s="14" t="str">
        <f aca="false">IF(O768="","",V768+Y768+AB768)</f>
        <v/>
      </c>
      <c r="AD768" s="19" t="str">
        <f aca="false">IF(O768="","",O768-R768-AC768)</f>
        <v/>
      </c>
      <c r="AE768" s="20"/>
      <c r="AF768" s="10"/>
      <c r="AG768" s="21" t="n">
        <f aca="false">IF(OR(AE768="",AE768=0),0,AE768*IF(U768="",0,IF(U768&gt;1,U768/100,U768)))</f>
        <v>0</v>
      </c>
      <c r="AH768" s="21" t="n">
        <f aca="false">IF(OR(AE768="",AE768=0),0,AE768*IF(X768="",0,IF(X768&gt;1,X768/100,X768)))</f>
        <v>0</v>
      </c>
      <c r="AI768" s="21" t="n">
        <f aca="false">IF(OR(AE768="",AE768=0),0,AE768*IF(AA768="",0,IF(AA768&gt;1,AA768/100,AA768)))</f>
        <v>0</v>
      </c>
      <c r="AJ768" s="21" t="n">
        <f aca="false">AG768+AH768+AI768</f>
        <v>0</v>
      </c>
      <c r="AK768" s="21" t="n">
        <f aca="false">IF(OR(AE768="",AE768=0),0,AE768-AJ768)</f>
        <v>0</v>
      </c>
      <c r="AL768" s="19" t="str">
        <f aca="false">IF(AD768="","",AD768-AK768)</f>
        <v/>
      </c>
      <c r="AM768" s="9" t="str">
        <f aca="false">IF(C768="","","Waiting for payment")</f>
        <v/>
      </c>
      <c r="AN768" s="10"/>
      <c r="AO768" s="10"/>
      <c r="AP768" s="22" t="str">
        <f aca="false">IF(OR(C768="",I768="",K768=""),"",IF(K768="Monthly",EDATE(C768,ROUND(I768*SETTINGS!$I$8,0)),WORKDAY(C768,ROUND(I768*SETTINGS!$I$8,0))))</f>
        <v/>
      </c>
      <c r="AQ768" s="9" t="str">
        <f aca="true">IF(C768="","",IF(AND(AP768&lt;&gt;"",TODAY()&gt;=AP768),"Refi Ready",IF(TODAY()-C768&gt;=SETTINGS!$I$11,"Prospecting","Performing")))</f>
        <v/>
      </c>
      <c r="AR768" s="22" t="str">
        <f aca="false">IF(OR(C768="",I768="",K768=""),"",IF(K768="Monthly",EDATE(C768,I768),WORKDAY(C768,I768)))</f>
        <v/>
      </c>
      <c r="AS768" s="11"/>
      <c r="AT768" s="23" t="str">
        <f aca="true">IF(C768="","",IF(AM768="Clawed Back","CLAWED",IF(TODAY()&lt;=C768+SETTINGS!$I$2,"⚠ AT RISK","SAFE")))</f>
        <v/>
      </c>
      <c r="AU768" s="11"/>
      <c r="AW768" s="24" t="n">
        <f aca="false">AW767+IF(AND(C768&lt;&gt;"",AO768&lt;&gt;"",OR('REP COMMISSION'!$B$3="",T768='REP COMMISSION'!$B$3,W768='REP COMMISSION'!$B$3,Z768='REP COMMISSION'!$B$3)),1,0)</f>
        <v>0</v>
      </c>
      <c r="AX768" s="24" t="n">
        <f aca="false">AX767+IF(AND(C768&lt;&gt;"",OR(F768="LOC - INITIAL",F768="CONSOLIDATION - UPFRONT COMM",F768="REVERSE - TOTAL FUNDING")),1,0)</f>
        <v>0</v>
      </c>
    </row>
    <row r="769" customFormat="false" ht="15" hidden="false" customHeight="false" outlineLevel="0" collapsed="false">
      <c r="A769" s="25" t="str">
        <f aca="false">IF(C769&lt;&gt;"","F"&amp;COUNT($C$4:C769),"")</f>
        <v/>
      </c>
      <c r="B769" s="26" t="str">
        <f aca="false">IF(OR(F769="LOC - INITIAL",F769="CONSOLIDATION - UPFRONT COMM",F769="REVERSE - TOTAL FUNDING"),A769,"")</f>
        <v/>
      </c>
      <c r="C769" s="27"/>
      <c r="D769" s="28"/>
      <c r="E769" s="28"/>
      <c r="F769" s="28"/>
      <c r="G769" s="29"/>
      <c r="H769" s="30"/>
      <c r="I769" s="28"/>
      <c r="J769" s="31" t="str">
        <f aca="false">IF(AND(G769&lt;&gt;"",H769&lt;&gt;""),G769*H769,"")</f>
        <v/>
      </c>
      <c r="K769" s="28"/>
      <c r="L769" s="32"/>
      <c r="M769" s="32"/>
      <c r="N769" s="31" t="n">
        <f aca="false">IF(OR(G769="",M769=""),0,IF(M769&gt;100,M769,G769*IF(M769&gt;1,M769/100,M769)))</f>
        <v>0</v>
      </c>
      <c r="O769" s="31" t="str">
        <f aca="false">IF(G769="","",G769*IF(L769="",0,IF(L769&gt;1,L769/100,L769))+N769)</f>
        <v/>
      </c>
      <c r="P769" s="28"/>
      <c r="Q769" s="33" t="str">
        <f aca="false">IF(P769="","",IFERROR(VLOOKUP(P769,PARTNERS!$A$2:$B$30,2,0),""))</f>
        <v/>
      </c>
      <c r="R769" s="17" t="str">
        <f aca="false">IF(O769="","",IF(OR(P769="",Q769=""),0,(O769-N769)*IF(Q769&gt;1,Q769/100,Q769)))</f>
        <v/>
      </c>
      <c r="S769" s="31" t="str">
        <f aca="false">IF(O769="","",O769-R769)</f>
        <v/>
      </c>
      <c r="T769" s="28"/>
      <c r="U769" s="34" t="str">
        <f aca="false">IF(T769="","",IFERROR(VLOOKUP(T769,REPS!$A$2:$D$40,2,0),""))</f>
        <v/>
      </c>
      <c r="V769" s="31" t="str">
        <f aca="false">IF(O769="","",IF(U769="",0,O769*IF(U769&gt;1,U769/100,U769)))</f>
        <v/>
      </c>
      <c r="W769" s="28"/>
      <c r="X769" s="34" t="str">
        <f aca="false">IF(W769="","",IFERROR(VLOOKUP(W769,REPS!$A$2:$D$40,3,0),""))</f>
        <v/>
      </c>
      <c r="Y769" s="31" t="str">
        <f aca="false">IF(O769="","",IF(X769="",0,O769*IF(X769&gt;1,X769/100,X769)))</f>
        <v/>
      </c>
      <c r="Z769" s="28"/>
      <c r="AA769" s="34" t="str">
        <f aca="false">IF(Z769="","",IFERROR(VLOOKUP(Z769,REPS!$A$2:$D$40,4,0),""))</f>
        <v/>
      </c>
      <c r="AB769" s="31" t="str">
        <f aca="false">IF(O769="","",IF(AA769="",0,O769*IF(AA769&gt;1,AA769/100,AA769)))</f>
        <v/>
      </c>
      <c r="AC769" s="31" t="str">
        <f aca="false">IF(O769="","",V769+Y769+AB769)</f>
        <v/>
      </c>
      <c r="AD769" s="19" t="str">
        <f aca="false">IF(O769="","",O769-R769-AC769)</f>
        <v/>
      </c>
      <c r="AE769" s="20"/>
      <c r="AF769" s="27"/>
      <c r="AG769" s="21" t="n">
        <f aca="false">IF(OR(AE769="",AE769=0),0,AE769*IF(U769="",0,IF(U769&gt;1,U769/100,U769)))</f>
        <v>0</v>
      </c>
      <c r="AH769" s="21" t="n">
        <f aca="false">IF(OR(AE769="",AE769=0),0,AE769*IF(X769="",0,IF(X769&gt;1,X769/100,X769)))</f>
        <v>0</v>
      </c>
      <c r="AI769" s="21" t="n">
        <f aca="false">IF(OR(AE769="",AE769=0),0,AE769*IF(AA769="",0,IF(AA769&gt;1,AA769/100,AA769)))</f>
        <v>0</v>
      </c>
      <c r="AJ769" s="21" t="n">
        <f aca="false">AG769+AH769+AI769</f>
        <v>0</v>
      </c>
      <c r="AK769" s="21" t="n">
        <f aca="false">IF(OR(AE769="",AE769=0),0,AE769-AJ769)</f>
        <v>0</v>
      </c>
      <c r="AL769" s="19" t="str">
        <f aca="false">IF(AD769="","",AD769-AK769)</f>
        <v/>
      </c>
      <c r="AM769" s="26" t="str">
        <f aca="false">IF(C769="","","Waiting for payment")</f>
        <v/>
      </c>
      <c r="AN769" s="27"/>
      <c r="AO769" s="27"/>
      <c r="AP769" s="35" t="str">
        <f aca="false">IF(OR(C769="",I769="",K769=""),"",IF(K769="Monthly",EDATE(C769,ROUND(I769*SETTINGS!$I$8,0)),WORKDAY(C769,ROUND(I769*SETTINGS!$I$8,0))))</f>
        <v/>
      </c>
      <c r="AQ769" s="26" t="str">
        <f aca="true">IF(C769="","",IF(AND(AP769&lt;&gt;"",TODAY()&gt;=AP769),"Refi Ready",IF(TODAY()-C769&gt;=SETTINGS!$I$11,"Prospecting","Performing")))</f>
        <v/>
      </c>
      <c r="AR769" s="35" t="str">
        <f aca="false">IF(OR(C769="",I769="",K769=""),"",IF(K769="Monthly",EDATE(C769,I769),WORKDAY(C769,I769)))</f>
        <v/>
      </c>
      <c r="AS769" s="28"/>
      <c r="AT769" s="36" t="str">
        <f aca="true">IF(C769="","",IF(AM769="Clawed Back","CLAWED",IF(TODAY()&lt;=C769+SETTINGS!$I$2,"⚠ AT RISK","SAFE")))</f>
        <v/>
      </c>
      <c r="AU769" s="28"/>
      <c r="AW769" s="24" t="n">
        <f aca="false">AW768+IF(AND(C769&lt;&gt;"",AO769&lt;&gt;"",OR('REP COMMISSION'!$B$3="",T769='REP COMMISSION'!$B$3,W769='REP COMMISSION'!$B$3,Z769='REP COMMISSION'!$B$3)),1,0)</f>
        <v>0</v>
      </c>
      <c r="AX769" s="24" t="n">
        <f aca="false">AX768+IF(AND(C769&lt;&gt;"",OR(F769="LOC - INITIAL",F769="CONSOLIDATION - UPFRONT COMM",F769="REVERSE - TOTAL FUNDING")),1,0)</f>
        <v>0</v>
      </c>
    </row>
    <row r="770" customFormat="false" ht="15" hidden="false" customHeight="false" outlineLevel="0" collapsed="false">
      <c r="A770" s="8" t="str">
        <f aca="false">IF(C770&lt;&gt;"","F"&amp;COUNT($C$4:C770),"")</f>
        <v/>
      </c>
      <c r="B770" s="9" t="str">
        <f aca="false">IF(OR(F770="LOC - INITIAL",F770="CONSOLIDATION - UPFRONT COMM",F770="REVERSE - TOTAL FUNDING"),A770,"")</f>
        <v/>
      </c>
      <c r="C770" s="10"/>
      <c r="D770" s="11"/>
      <c r="E770" s="11"/>
      <c r="F770" s="11"/>
      <c r="G770" s="12"/>
      <c r="H770" s="13"/>
      <c r="I770" s="11"/>
      <c r="J770" s="14" t="str">
        <f aca="false">IF(AND(G770&lt;&gt;"",H770&lt;&gt;""),G770*H770,"")</f>
        <v/>
      </c>
      <c r="K770" s="11"/>
      <c r="L770" s="15"/>
      <c r="M770" s="15"/>
      <c r="N770" s="14" t="n">
        <f aca="false">IF(OR(G770="",M770=""),0,IF(M770&gt;100,M770,G770*IF(M770&gt;1,M770/100,M770)))</f>
        <v>0</v>
      </c>
      <c r="O770" s="14" t="str">
        <f aca="false">IF(G770="","",G770*IF(L770="",0,IF(L770&gt;1,L770/100,L770))+N770)</f>
        <v/>
      </c>
      <c r="P770" s="11"/>
      <c r="Q770" s="16" t="str">
        <f aca="false">IF(P770="","",IFERROR(VLOOKUP(P770,PARTNERS!$A$2:$B$30,2,0),""))</f>
        <v/>
      </c>
      <c r="R770" s="17" t="str">
        <f aca="false">IF(O770="","",IF(OR(P770="",Q770=""),0,(O770-N770)*IF(Q770&gt;1,Q770/100,Q770)))</f>
        <v/>
      </c>
      <c r="S770" s="14" t="str">
        <f aca="false">IF(O770="","",O770-R770)</f>
        <v/>
      </c>
      <c r="T770" s="11"/>
      <c r="U770" s="18" t="str">
        <f aca="false">IF(T770="","",IFERROR(VLOOKUP(T770,REPS!$A$2:$D$40,2,0),""))</f>
        <v/>
      </c>
      <c r="V770" s="14" t="str">
        <f aca="false">IF(O770="","",IF(U770="",0,O770*IF(U770&gt;1,U770/100,U770)))</f>
        <v/>
      </c>
      <c r="W770" s="11"/>
      <c r="X770" s="18" t="str">
        <f aca="false">IF(W770="","",IFERROR(VLOOKUP(W770,REPS!$A$2:$D$40,3,0),""))</f>
        <v/>
      </c>
      <c r="Y770" s="14" t="str">
        <f aca="false">IF(O770="","",IF(X770="",0,O770*IF(X770&gt;1,X770/100,X770)))</f>
        <v/>
      </c>
      <c r="Z770" s="11"/>
      <c r="AA770" s="18" t="str">
        <f aca="false">IF(Z770="","",IFERROR(VLOOKUP(Z770,REPS!$A$2:$D$40,4,0),""))</f>
        <v/>
      </c>
      <c r="AB770" s="14" t="str">
        <f aca="false">IF(O770="","",IF(AA770="",0,O770*IF(AA770&gt;1,AA770/100,AA770)))</f>
        <v/>
      </c>
      <c r="AC770" s="14" t="str">
        <f aca="false">IF(O770="","",V770+Y770+AB770)</f>
        <v/>
      </c>
      <c r="AD770" s="19" t="str">
        <f aca="false">IF(O770="","",O770-R770-AC770)</f>
        <v/>
      </c>
      <c r="AE770" s="20"/>
      <c r="AF770" s="10"/>
      <c r="AG770" s="21" t="n">
        <f aca="false">IF(OR(AE770="",AE770=0),0,AE770*IF(U770="",0,IF(U770&gt;1,U770/100,U770)))</f>
        <v>0</v>
      </c>
      <c r="AH770" s="21" t="n">
        <f aca="false">IF(OR(AE770="",AE770=0),0,AE770*IF(X770="",0,IF(X770&gt;1,X770/100,X770)))</f>
        <v>0</v>
      </c>
      <c r="AI770" s="21" t="n">
        <f aca="false">IF(OR(AE770="",AE770=0),0,AE770*IF(AA770="",0,IF(AA770&gt;1,AA770/100,AA770)))</f>
        <v>0</v>
      </c>
      <c r="AJ770" s="21" t="n">
        <f aca="false">AG770+AH770+AI770</f>
        <v>0</v>
      </c>
      <c r="AK770" s="21" t="n">
        <f aca="false">IF(OR(AE770="",AE770=0),0,AE770-AJ770)</f>
        <v>0</v>
      </c>
      <c r="AL770" s="19" t="str">
        <f aca="false">IF(AD770="","",AD770-AK770)</f>
        <v/>
      </c>
      <c r="AM770" s="9" t="str">
        <f aca="false">IF(C770="","","Waiting for payment")</f>
        <v/>
      </c>
      <c r="AN770" s="10"/>
      <c r="AO770" s="10"/>
      <c r="AP770" s="22" t="str">
        <f aca="false">IF(OR(C770="",I770="",K770=""),"",IF(K770="Monthly",EDATE(C770,ROUND(I770*SETTINGS!$I$8,0)),WORKDAY(C770,ROUND(I770*SETTINGS!$I$8,0))))</f>
        <v/>
      </c>
      <c r="AQ770" s="9" t="str">
        <f aca="true">IF(C770="","",IF(AND(AP770&lt;&gt;"",TODAY()&gt;=AP770),"Refi Ready",IF(TODAY()-C770&gt;=SETTINGS!$I$11,"Prospecting","Performing")))</f>
        <v/>
      </c>
      <c r="AR770" s="22" t="str">
        <f aca="false">IF(OR(C770="",I770="",K770=""),"",IF(K770="Monthly",EDATE(C770,I770),WORKDAY(C770,I770)))</f>
        <v/>
      </c>
      <c r="AS770" s="11"/>
      <c r="AT770" s="23" t="str">
        <f aca="true">IF(C770="","",IF(AM770="Clawed Back","CLAWED",IF(TODAY()&lt;=C770+SETTINGS!$I$2,"⚠ AT RISK","SAFE")))</f>
        <v/>
      </c>
      <c r="AU770" s="11"/>
      <c r="AW770" s="24" t="n">
        <f aca="false">AW769+IF(AND(C770&lt;&gt;"",AO770&lt;&gt;"",OR('REP COMMISSION'!$B$3="",T770='REP COMMISSION'!$B$3,W770='REP COMMISSION'!$B$3,Z770='REP COMMISSION'!$B$3)),1,0)</f>
        <v>0</v>
      </c>
      <c r="AX770" s="24" t="n">
        <f aca="false">AX769+IF(AND(C770&lt;&gt;"",OR(F770="LOC - INITIAL",F770="CONSOLIDATION - UPFRONT COMM",F770="REVERSE - TOTAL FUNDING")),1,0)</f>
        <v>0</v>
      </c>
    </row>
    <row r="771" customFormat="false" ht="15" hidden="false" customHeight="false" outlineLevel="0" collapsed="false">
      <c r="A771" s="25" t="str">
        <f aca="false">IF(C771&lt;&gt;"","F"&amp;COUNT($C$4:C771),"")</f>
        <v/>
      </c>
      <c r="B771" s="26" t="str">
        <f aca="false">IF(OR(F771="LOC - INITIAL",F771="CONSOLIDATION - UPFRONT COMM",F771="REVERSE - TOTAL FUNDING"),A771,"")</f>
        <v/>
      </c>
      <c r="C771" s="27"/>
      <c r="D771" s="28"/>
      <c r="E771" s="28"/>
      <c r="F771" s="28"/>
      <c r="G771" s="29"/>
      <c r="H771" s="30"/>
      <c r="I771" s="28"/>
      <c r="J771" s="31" t="str">
        <f aca="false">IF(AND(G771&lt;&gt;"",H771&lt;&gt;""),G771*H771,"")</f>
        <v/>
      </c>
      <c r="K771" s="28"/>
      <c r="L771" s="32"/>
      <c r="M771" s="32"/>
      <c r="N771" s="31" t="n">
        <f aca="false">IF(OR(G771="",M771=""),0,IF(M771&gt;100,M771,G771*IF(M771&gt;1,M771/100,M771)))</f>
        <v>0</v>
      </c>
      <c r="O771" s="31" t="str">
        <f aca="false">IF(G771="","",G771*IF(L771="",0,IF(L771&gt;1,L771/100,L771))+N771)</f>
        <v/>
      </c>
      <c r="P771" s="28"/>
      <c r="Q771" s="33" t="str">
        <f aca="false">IF(P771="","",IFERROR(VLOOKUP(P771,PARTNERS!$A$2:$B$30,2,0),""))</f>
        <v/>
      </c>
      <c r="R771" s="17" t="str">
        <f aca="false">IF(O771="","",IF(OR(P771="",Q771=""),0,(O771-N771)*IF(Q771&gt;1,Q771/100,Q771)))</f>
        <v/>
      </c>
      <c r="S771" s="31" t="str">
        <f aca="false">IF(O771="","",O771-R771)</f>
        <v/>
      </c>
      <c r="T771" s="28"/>
      <c r="U771" s="34" t="str">
        <f aca="false">IF(T771="","",IFERROR(VLOOKUP(T771,REPS!$A$2:$D$40,2,0),""))</f>
        <v/>
      </c>
      <c r="V771" s="31" t="str">
        <f aca="false">IF(O771="","",IF(U771="",0,O771*IF(U771&gt;1,U771/100,U771)))</f>
        <v/>
      </c>
      <c r="W771" s="28"/>
      <c r="X771" s="34" t="str">
        <f aca="false">IF(W771="","",IFERROR(VLOOKUP(W771,REPS!$A$2:$D$40,3,0),""))</f>
        <v/>
      </c>
      <c r="Y771" s="31" t="str">
        <f aca="false">IF(O771="","",IF(X771="",0,O771*IF(X771&gt;1,X771/100,X771)))</f>
        <v/>
      </c>
      <c r="Z771" s="28"/>
      <c r="AA771" s="34" t="str">
        <f aca="false">IF(Z771="","",IFERROR(VLOOKUP(Z771,REPS!$A$2:$D$40,4,0),""))</f>
        <v/>
      </c>
      <c r="AB771" s="31" t="str">
        <f aca="false">IF(O771="","",IF(AA771="",0,O771*IF(AA771&gt;1,AA771/100,AA771)))</f>
        <v/>
      </c>
      <c r="AC771" s="31" t="str">
        <f aca="false">IF(O771="","",V771+Y771+AB771)</f>
        <v/>
      </c>
      <c r="AD771" s="19" t="str">
        <f aca="false">IF(O771="","",O771-R771-AC771)</f>
        <v/>
      </c>
      <c r="AE771" s="20"/>
      <c r="AF771" s="27"/>
      <c r="AG771" s="21" t="n">
        <f aca="false">IF(OR(AE771="",AE771=0),0,AE771*IF(U771="",0,IF(U771&gt;1,U771/100,U771)))</f>
        <v>0</v>
      </c>
      <c r="AH771" s="21" t="n">
        <f aca="false">IF(OR(AE771="",AE771=0),0,AE771*IF(X771="",0,IF(X771&gt;1,X771/100,X771)))</f>
        <v>0</v>
      </c>
      <c r="AI771" s="21" t="n">
        <f aca="false">IF(OR(AE771="",AE771=0),0,AE771*IF(AA771="",0,IF(AA771&gt;1,AA771/100,AA771)))</f>
        <v>0</v>
      </c>
      <c r="AJ771" s="21" t="n">
        <f aca="false">AG771+AH771+AI771</f>
        <v>0</v>
      </c>
      <c r="AK771" s="21" t="n">
        <f aca="false">IF(OR(AE771="",AE771=0),0,AE771-AJ771)</f>
        <v>0</v>
      </c>
      <c r="AL771" s="19" t="str">
        <f aca="false">IF(AD771="","",AD771-AK771)</f>
        <v/>
      </c>
      <c r="AM771" s="26" t="str">
        <f aca="false">IF(C771="","","Waiting for payment")</f>
        <v/>
      </c>
      <c r="AN771" s="27"/>
      <c r="AO771" s="27"/>
      <c r="AP771" s="35" t="str">
        <f aca="false">IF(OR(C771="",I771="",K771=""),"",IF(K771="Monthly",EDATE(C771,ROUND(I771*SETTINGS!$I$8,0)),WORKDAY(C771,ROUND(I771*SETTINGS!$I$8,0))))</f>
        <v/>
      </c>
      <c r="AQ771" s="26" t="str">
        <f aca="true">IF(C771="","",IF(AND(AP771&lt;&gt;"",TODAY()&gt;=AP771),"Refi Ready",IF(TODAY()-C771&gt;=SETTINGS!$I$11,"Prospecting","Performing")))</f>
        <v/>
      </c>
      <c r="AR771" s="35" t="str">
        <f aca="false">IF(OR(C771="",I771="",K771=""),"",IF(K771="Monthly",EDATE(C771,I771),WORKDAY(C771,I771)))</f>
        <v/>
      </c>
      <c r="AS771" s="28"/>
      <c r="AT771" s="36" t="str">
        <f aca="true">IF(C771="","",IF(AM771="Clawed Back","CLAWED",IF(TODAY()&lt;=C771+SETTINGS!$I$2,"⚠ AT RISK","SAFE")))</f>
        <v/>
      </c>
      <c r="AU771" s="28"/>
      <c r="AW771" s="24" t="n">
        <f aca="false">AW770+IF(AND(C771&lt;&gt;"",AO771&lt;&gt;"",OR('REP COMMISSION'!$B$3="",T771='REP COMMISSION'!$B$3,W771='REP COMMISSION'!$B$3,Z771='REP COMMISSION'!$B$3)),1,0)</f>
        <v>0</v>
      </c>
      <c r="AX771" s="24" t="n">
        <f aca="false">AX770+IF(AND(C771&lt;&gt;"",OR(F771="LOC - INITIAL",F771="CONSOLIDATION - UPFRONT COMM",F771="REVERSE - TOTAL FUNDING")),1,0)</f>
        <v>0</v>
      </c>
    </row>
    <row r="772" customFormat="false" ht="15" hidden="false" customHeight="false" outlineLevel="0" collapsed="false">
      <c r="A772" s="8" t="str">
        <f aca="false">IF(C772&lt;&gt;"","F"&amp;COUNT($C$4:C772),"")</f>
        <v/>
      </c>
      <c r="B772" s="9" t="str">
        <f aca="false">IF(OR(F772="LOC - INITIAL",F772="CONSOLIDATION - UPFRONT COMM",F772="REVERSE - TOTAL FUNDING"),A772,"")</f>
        <v/>
      </c>
      <c r="C772" s="10"/>
      <c r="D772" s="11"/>
      <c r="E772" s="11"/>
      <c r="F772" s="11"/>
      <c r="G772" s="12"/>
      <c r="H772" s="13"/>
      <c r="I772" s="11"/>
      <c r="J772" s="14" t="str">
        <f aca="false">IF(AND(G772&lt;&gt;"",H772&lt;&gt;""),G772*H772,"")</f>
        <v/>
      </c>
      <c r="K772" s="11"/>
      <c r="L772" s="15"/>
      <c r="M772" s="15"/>
      <c r="N772" s="14" t="n">
        <f aca="false">IF(OR(G772="",M772=""),0,IF(M772&gt;100,M772,G772*IF(M772&gt;1,M772/100,M772)))</f>
        <v>0</v>
      </c>
      <c r="O772" s="14" t="str">
        <f aca="false">IF(G772="","",G772*IF(L772="",0,IF(L772&gt;1,L772/100,L772))+N772)</f>
        <v/>
      </c>
      <c r="P772" s="11"/>
      <c r="Q772" s="16" t="str">
        <f aca="false">IF(P772="","",IFERROR(VLOOKUP(P772,PARTNERS!$A$2:$B$30,2,0),""))</f>
        <v/>
      </c>
      <c r="R772" s="17" t="str">
        <f aca="false">IF(O772="","",IF(OR(P772="",Q772=""),0,(O772-N772)*IF(Q772&gt;1,Q772/100,Q772)))</f>
        <v/>
      </c>
      <c r="S772" s="14" t="str">
        <f aca="false">IF(O772="","",O772-R772)</f>
        <v/>
      </c>
      <c r="T772" s="11"/>
      <c r="U772" s="18" t="str">
        <f aca="false">IF(T772="","",IFERROR(VLOOKUP(T772,REPS!$A$2:$D$40,2,0),""))</f>
        <v/>
      </c>
      <c r="V772" s="14" t="str">
        <f aca="false">IF(O772="","",IF(U772="",0,O772*IF(U772&gt;1,U772/100,U772)))</f>
        <v/>
      </c>
      <c r="W772" s="11"/>
      <c r="X772" s="18" t="str">
        <f aca="false">IF(W772="","",IFERROR(VLOOKUP(W772,REPS!$A$2:$D$40,3,0),""))</f>
        <v/>
      </c>
      <c r="Y772" s="14" t="str">
        <f aca="false">IF(O772="","",IF(X772="",0,O772*IF(X772&gt;1,X772/100,X772)))</f>
        <v/>
      </c>
      <c r="Z772" s="11"/>
      <c r="AA772" s="18" t="str">
        <f aca="false">IF(Z772="","",IFERROR(VLOOKUP(Z772,REPS!$A$2:$D$40,4,0),""))</f>
        <v/>
      </c>
      <c r="AB772" s="14" t="str">
        <f aca="false">IF(O772="","",IF(AA772="",0,O772*IF(AA772&gt;1,AA772/100,AA772)))</f>
        <v/>
      </c>
      <c r="AC772" s="14" t="str">
        <f aca="false">IF(O772="","",V772+Y772+AB772)</f>
        <v/>
      </c>
      <c r="AD772" s="19" t="str">
        <f aca="false">IF(O772="","",O772-R772-AC772)</f>
        <v/>
      </c>
      <c r="AE772" s="20"/>
      <c r="AF772" s="10"/>
      <c r="AG772" s="21" t="n">
        <f aca="false">IF(OR(AE772="",AE772=0),0,AE772*IF(U772="",0,IF(U772&gt;1,U772/100,U772)))</f>
        <v>0</v>
      </c>
      <c r="AH772" s="21" t="n">
        <f aca="false">IF(OR(AE772="",AE772=0),0,AE772*IF(X772="",0,IF(X772&gt;1,X772/100,X772)))</f>
        <v>0</v>
      </c>
      <c r="AI772" s="21" t="n">
        <f aca="false">IF(OR(AE772="",AE772=0),0,AE772*IF(AA772="",0,IF(AA772&gt;1,AA772/100,AA772)))</f>
        <v>0</v>
      </c>
      <c r="AJ772" s="21" t="n">
        <f aca="false">AG772+AH772+AI772</f>
        <v>0</v>
      </c>
      <c r="AK772" s="21" t="n">
        <f aca="false">IF(OR(AE772="",AE772=0),0,AE772-AJ772)</f>
        <v>0</v>
      </c>
      <c r="AL772" s="19" t="str">
        <f aca="false">IF(AD772="","",AD772-AK772)</f>
        <v/>
      </c>
      <c r="AM772" s="9" t="str">
        <f aca="false">IF(C772="","","Waiting for payment")</f>
        <v/>
      </c>
      <c r="AN772" s="10"/>
      <c r="AO772" s="10"/>
      <c r="AP772" s="22" t="str">
        <f aca="false">IF(OR(C772="",I772="",K772=""),"",IF(K772="Monthly",EDATE(C772,ROUND(I772*SETTINGS!$I$8,0)),WORKDAY(C772,ROUND(I772*SETTINGS!$I$8,0))))</f>
        <v/>
      </c>
      <c r="AQ772" s="9" t="str">
        <f aca="true">IF(C772="","",IF(AND(AP772&lt;&gt;"",TODAY()&gt;=AP772),"Refi Ready",IF(TODAY()-C772&gt;=SETTINGS!$I$11,"Prospecting","Performing")))</f>
        <v/>
      </c>
      <c r="AR772" s="22" t="str">
        <f aca="false">IF(OR(C772="",I772="",K772=""),"",IF(K772="Monthly",EDATE(C772,I772),WORKDAY(C772,I772)))</f>
        <v/>
      </c>
      <c r="AS772" s="11"/>
      <c r="AT772" s="23" t="str">
        <f aca="true">IF(C772="","",IF(AM772="Clawed Back","CLAWED",IF(TODAY()&lt;=C772+SETTINGS!$I$2,"⚠ AT RISK","SAFE")))</f>
        <v/>
      </c>
      <c r="AU772" s="11"/>
      <c r="AW772" s="24" t="n">
        <f aca="false">AW771+IF(AND(C772&lt;&gt;"",AO772&lt;&gt;"",OR('REP COMMISSION'!$B$3="",T772='REP COMMISSION'!$B$3,W772='REP COMMISSION'!$B$3,Z772='REP COMMISSION'!$B$3)),1,0)</f>
        <v>0</v>
      </c>
      <c r="AX772" s="24" t="n">
        <f aca="false">AX771+IF(AND(C772&lt;&gt;"",OR(F772="LOC - INITIAL",F772="CONSOLIDATION - UPFRONT COMM",F772="REVERSE - TOTAL FUNDING")),1,0)</f>
        <v>0</v>
      </c>
    </row>
    <row r="773" customFormat="false" ht="15" hidden="false" customHeight="false" outlineLevel="0" collapsed="false">
      <c r="A773" s="25" t="str">
        <f aca="false">IF(C773&lt;&gt;"","F"&amp;COUNT($C$4:C773),"")</f>
        <v/>
      </c>
      <c r="B773" s="26" t="str">
        <f aca="false">IF(OR(F773="LOC - INITIAL",F773="CONSOLIDATION - UPFRONT COMM",F773="REVERSE - TOTAL FUNDING"),A773,"")</f>
        <v/>
      </c>
      <c r="C773" s="27"/>
      <c r="D773" s="28"/>
      <c r="E773" s="28"/>
      <c r="F773" s="28"/>
      <c r="G773" s="29"/>
      <c r="H773" s="30"/>
      <c r="I773" s="28"/>
      <c r="J773" s="31" t="str">
        <f aca="false">IF(AND(G773&lt;&gt;"",H773&lt;&gt;""),G773*H773,"")</f>
        <v/>
      </c>
      <c r="K773" s="28"/>
      <c r="L773" s="32"/>
      <c r="M773" s="32"/>
      <c r="N773" s="31" t="n">
        <f aca="false">IF(OR(G773="",M773=""),0,IF(M773&gt;100,M773,G773*IF(M773&gt;1,M773/100,M773)))</f>
        <v>0</v>
      </c>
      <c r="O773" s="31" t="str">
        <f aca="false">IF(G773="","",G773*IF(L773="",0,IF(L773&gt;1,L773/100,L773))+N773)</f>
        <v/>
      </c>
      <c r="P773" s="28"/>
      <c r="Q773" s="33" t="str">
        <f aca="false">IF(P773="","",IFERROR(VLOOKUP(P773,PARTNERS!$A$2:$B$30,2,0),""))</f>
        <v/>
      </c>
      <c r="R773" s="17" t="str">
        <f aca="false">IF(O773="","",IF(OR(P773="",Q773=""),0,(O773-N773)*IF(Q773&gt;1,Q773/100,Q773)))</f>
        <v/>
      </c>
      <c r="S773" s="31" t="str">
        <f aca="false">IF(O773="","",O773-R773)</f>
        <v/>
      </c>
      <c r="T773" s="28"/>
      <c r="U773" s="34" t="str">
        <f aca="false">IF(T773="","",IFERROR(VLOOKUP(T773,REPS!$A$2:$D$40,2,0),""))</f>
        <v/>
      </c>
      <c r="V773" s="31" t="str">
        <f aca="false">IF(O773="","",IF(U773="",0,O773*IF(U773&gt;1,U773/100,U773)))</f>
        <v/>
      </c>
      <c r="W773" s="28"/>
      <c r="X773" s="34" t="str">
        <f aca="false">IF(W773="","",IFERROR(VLOOKUP(W773,REPS!$A$2:$D$40,3,0),""))</f>
        <v/>
      </c>
      <c r="Y773" s="31" t="str">
        <f aca="false">IF(O773="","",IF(X773="",0,O773*IF(X773&gt;1,X773/100,X773)))</f>
        <v/>
      </c>
      <c r="Z773" s="28"/>
      <c r="AA773" s="34" t="str">
        <f aca="false">IF(Z773="","",IFERROR(VLOOKUP(Z773,REPS!$A$2:$D$40,4,0),""))</f>
        <v/>
      </c>
      <c r="AB773" s="31" t="str">
        <f aca="false">IF(O773="","",IF(AA773="",0,O773*IF(AA773&gt;1,AA773/100,AA773)))</f>
        <v/>
      </c>
      <c r="AC773" s="31" t="str">
        <f aca="false">IF(O773="","",V773+Y773+AB773)</f>
        <v/>
      </c>
      <c r="AD773" s="19" t="str">
        <f aca="false">IF(O773="","",O773-R773-AC773)</f>
        <v/>
      </c>
      <c r="AE773" s="20"/>
      <c r="AF773" s="27"/>
      <c r="AG773" s="21" t="n">
        <f aca="false">IF(OR(AE773="",AE773=0),0,AE773*IF(U773="",0,IF(U773&gt;1,U773/100,U773)))</f>
        <v>0</v>
      </c>
      <c r="AH773" s="21" t="n">
        <f aca="false">IF(OR(AE773="",AE773=0),0,AE773*IF(X773="",0,IF(X773&gt;1,X773/100,X773)))</f>
        <v>0</v>
      </c>
      <c r="AI773" s="21" t="n">
        <f aca="false">IF(OR(AE773="",AE773=0),0,AE773*IF(AA773="",0,IF(AA773&gt;1,AA773/100,AA773)))</f>
        <v>0</v>
      </c>
      <c r="AJ773" s="21" t="n">
        <f aca="false">AG773+AH773+AI773</f>
        <v>0</v>
      </c>
      <c r="AK773" s="21" t="n">
        <f aca="false">IF(OR(AE773="",AE773=0),0,AE773-AJ773)</f>
        <v>0</v>
      </c>
      <c r="AL773" s="19" t="str">
        <f aca="false">IF(AD773="","",AD773-AK773)</f>
        <v/>
      </c>
      <c r="AM773" s="26" t="str">
        <f aca="false">IF(C773="","","Waiting for payment")</f>
        <v/>
      </c>
      <c r="AN773" s="27"/>
      <c r="AO773" s="27"/>
      <c r="AP773" s="35" t="str">
        <f aca="false">IF(OR(C773="",I773="",K773=""),"",IF(K773="Monthly",EDATE(C773,ROUND(I773*SETTINGS!$I$8,0)),WORKDAY(C773,ROUND(I773*SETTINGS!$I$8,0))))</f>
        <v/>
      </c>
      <c r="AQ773" s="26" t="str">
        <f aca="true">IF(C773="","",IF(AND(AP773&lt;&gt;"",TODAY()&gt;=AP773),"Refi Ready",IF(TODAY()-C773&gt;=SETTINGS!$I$11,"Prospecting","Performing")))</f>
        <v/>
      </c>
      <c r="AR773" s="35" t="str">
        <f aca="false">IF(OR(C773="",I773="",K773=""),"",IF(K773="Monthly",EDATE(C773,I773),WORKDAY(C773,I773)))</f>
        <v/>
      </c>
      <c r="AS773" s="28"/>
      <c r="AT773" s="36" t="str">
        <f aca="true">IF(C773="","",IF(AM773="Clawed Back","CLAWED",IF(TODAY()&lt;=C773+SETTINGS!$I$2,"⚠ AT RISK","SAFE")))</f>
        <v/>
      </c>
      <c r="AU773" s="28"/>
      <c r="AW773" s="24" t="n">
        <f aca="false">AW772+IF(AND(C773&lt;&gt;"",AO773&lt;&gt;"",OR('REP COMMISSION'!$B$3="",T773='REP COMMISSION'!$B$3,W773='REP COMMISSION'!$B$3,Z773='REP COMMISSION'!$B$3)),1,0)</f>
        <v>0</v>
      </c>
      <c r="AX773" s="24" t="n">
        <f aca="false">AX772+IF(AND(C773&lt;&gt;"",OR(F773="LOC - INITIAL",F773="CONSOLIDATION - UPFRONT COMM",F773="REVERSE - TOTAL FUNDING")),1,0)</f>
        <v>0</v>
      </c>
    </row>
    <row r="774" customFormat="false" ht="15" hidden="false" customHeight="false" outlineLevel="0" collapsed="false">
      <c r="A774" s="8" t="str">
        <f aca="false">IF(C774&lt;&gt;"","F"&amp;COUNT($C$4:C774),"")</f>
        <v/>
      </c>
      <c r="B774" s="9" t="str">
        <f aca="false">IF(OR(F774="LOC - INITIAL",F774="CONSOLIDATION - UPFRONT COMM",F774="REVERSE - TOTAL FUNDING"),A774,"")</f>
        <v/>
      </c>
      <c r="C774" s="10"/>
      <c r="D774" s="11"/>
      <c r="E774" s="11"/>
      <c r="F774" s="11"/>
      <c r="G774" s="12"/>
      <c r="H774" s="13"/>
      <c r="I774" s="11"/>
      <c r="J774" s="14" t="str">
        <f aca="false">IF(AND(G774&lt;&gt;"",H774&lt;&gt;""),G774*H774,"")</f>
        <v/>
      </c>
      <c r="K774" s="11"/>
      <c r="L774" s="15"/>
      <c r="M774" s="15"/>
      <c r="N774" s="14" t="n">
        <f aca="false">IF(OR(G774="",M774=""),0,IF(M774&gt;100,M774,G774*IF(M774&gt;1,M774/100,M774)))</f>
        <v>0</v>
      </c>
      <c r="O774" s="14" t="str">
        <f aca="false">IF(G774="","",G774*IF(L774="",0,IF(L774&gt;1,L774/100,L774))+N774)</f>
        <v/>
      </c>
      <c r="P774" s="11"/>
      <c r="Q774" s="16" t="str">
        <f aca="false">IF(P774="","",IFERROR(VLOOKUP(P774,PARTNERS!$A$2:$B$30,2,0),""))</f>
        <v/>
      </c>
      <c r="R774" s="17" t="str">
        <f aca="false">IF(O774="","",IF(OR(P774="",Q774=""),0,(O774-N774)*IF(Q774&gt;1,Q774/100,Q774)))</f>
        <v/>
      </c>
      <c r="S774" s="14" t="str">
        <f aca="false">IF(O774="","",O774-R774)</f>
        <v/>
      </c>
      <c r="T774" s="11"/>
      <c r="U774" s="18" t="str">
        <f aca="false">IF(T774="","",IFERROR(VLOOKUP(T774,REPS!$A$2:$D$40,2,0),""))</f>
        <v/>
      </c>
      <c r="V774" s="14" t="str">
        <f aca="false">IF(O774="","",IF(U774="",0,O774*IF(U774&gt;1,U774/100,U774)))</f>
        <v/>
      </c>
      <c r="W774" s="11"/>
      <c r="X774" s="18" t="str">
        <f aca="false">IF(W774="","",IFERROR(VLOOKUP(W774,REPS!$A$2:$D$40,3,0),""))</f>
        <v/>
      </c>
      <c r="Y774" s="14" t="str">
        <f aca="false">IF(O774="","",IF(X774="",0,O774*IF(X774&gt;1,X774/100,X774)))</f>
        <v/>
      </c>
      <c r="Z774" s="11"/>
      <c r="AA774" s="18" t="str">
        <f aca="false">IF(Z774="","",IFERROR(VLOOKUP(Z774,REPS!$A$2:$D$40,4,0),""))</f>
        <v/>
      </c>
      <c r="AB774" s="14" t="str">
        <f aca="false">IF(O774="","",IF(AA774="",0,O774*IF(AA774&gt;1,AA774/100,AA774)))</f>
        <v/>
      </c>
      <c r="AC774" s="14" t="str">
        <f aca="false">IF(O774="","",V774+Y774+AB774)</f>
        <v/>
      </c>
      <c r="AD774" s="19" t="str">
        <f aca="false">IF(O774="","",O774-R774-AC774)</f>
        <v/>
      </c>
      <c r="AE774" s="20"/>
      <c r="AF774" s="10"/>
      <c r="AG774" s="21" t="n">
        <f aca="false">IF(OR(AE774="",AE774=0),0,AE774*IF(U774="",0,IF(U774&gt;1,U774/100,U774)))</f>
        <v>0</v>
      </c>
      <c r="AH774" s="21" t="n">
        <f aca="false">IF(OR(AE774="",AE774=0),0,AE774*IF(X774="",0,IF(X774&gt;1,X774/100,X774)))</f>
        <v>0</v>
      </c>
      <c r="AI774" s="21" t="n">
        <f aca="false">IF(OR(AE774="",AE774=0),0,AE774*IF(AA774="",0,IF(AA774&gt;1,AA774/100,AA774)))</f>
        <v>0</v>
      </c>
      <c r="AJ774" s="21" t="n">
        <f aca="false">AG774+AH774+AI774</f>
        <v>0</v>
      </c>
      <c r="AK774" s="21" t="n">
        <f aca="false">IF(OR(AE774="",AE774=0),0,AE774-AJ774)</f>
        <v>0</v>
      </c>
      <c r="AL774" s="19" t="str">
        <f aca="false">IF(AD774="","",AD774-AK774)</f>
        <v/>
      </c>
      <c r="AM774" s="9" t="str">
        <f aca="false">IF(C774="","","Waiting for payment")</f>
        <v/>
      </c>
      <c r="AN774" s="10"/>
      <c r="AO774" s="10"/>
      <c r="AP774" s="22" t="str">
        <f aca="false">IF(OR(C774="",I774="",K774=""),"",IF(K774="Monthly",EDATE(C774,ROUND(I774*SETTINGS!$I$8,0)),WORKDAY(C774,ROUND(I774*SETTINGS!$I$8,0))))</f>
        <v/>
      </c>
      <c r="AQ774" s="9" t="str">
        <f aca="true">IF(C774="","",IF(AND(AP774&lt;&gt;"",TODAY()&gt;=AP774),"Refi Ready",IF(TODAY()-C774&gt;=SETTINGS!$I$11,"Prospecting","Performing")))</f>
        <v/>
      </c>
      <c r="AR774" s="22" t="str">
        <f aca="false">IF(OR(C774="",I774="",K774=""),"",IF(K774="Monthly",EDATE(C774,I774),WORKDAY(C774,I774)))</f>
        <v/>
      </c>
      <c r="AS774" s="11"/>
      <c r="AT774" s="23" t="str">
        <f aca="true">IF(C774="","",IF(AM774="Clawed Back","CLAWED",IF(TODAY()&lt;=C774+SETTINGS!$I$2,"⚠ AT RISK","SAFE")))</f>
        <v/>
      </c>
      <c r="AU774" s="11"/>
      <c r="AW774" s="24" t="n">
        <f aca="false">AW773+IF(AND(C774&lt;&gt;"",AO774&lt;&gt;"",OR('REP COMMISSION'!$B$3="",T774='REP COMMISSION'!$B$3,W774='REP COMMISSION'!$B$3,Z774='REP COMMISSION'!$B$3)),1,0)</f>
        <v>0</v>
      </c>
      <c r="AX774" s="24" t="n">
        <f aca="false">AX773+IF(AND(C774&lt;&gt;"",OR(F774="LOC - INITIAL",F774="CONSOLIDATION - UPFRONT COMM",F774="REVERSE - TOTAL FUNDING")),1,0)</f>
        <v>0</v>
      </c>
    </row>
    <row r="775" customFormat="false" ht="15" hidden="false" customHeight="false" outlineLevel="0" collapsed="false">
      <c r="A775" s="25" t="str">
        <f aca="false">IF(C775&lt;&gt;"","F"&amp;COUNT($C$4:C775),"")</f>
        <v/>
      </c>
      <c r="B775" s="26" t="str">
        <f aca="false">IF(OR(F775="LOC - INITIAL",F775="CONSOLIDATION - UPFRONT COMM",F775="REVERSE - TOTAL FUNDING"),A775,"")</f>
        <v/>
      </c>
      <c r="C775" s="27"/>
      <c r="D775" s="28"/>
      <c r="E775" s="28"/>
      <c r="F775" s="28"/>
      <c r="G775" s="29"/>
      <c r="H775" s="30"/>
      <c r="I775" s="28"/>
      <c r="J775" s="31" t="str">
        <f aca="false">IF(AND(G775&lt;&gt;"",H775&lt;&gt;""),G775*H775,"")</f>
        <v/>
      </c>
      <c r="K775" s="28"/>
      <c r="L775" s="32"/>
      <c r="M775" s="32"/>
      <c r="N775" s="31" t="n">
        <f aca="false">IF(OR(G775="",M775=""),0,IF(M775&gt;100,M775,G775*IF(M775&gt;1,M775/100,M775)))</f>
        <v>0</v>
      </c>
      <c r="O775" s="31" t="str">
        <f aca="false">IF(G775="","",G775*IF(L775="",0,IF(L775&gt;1,L775/100,L775))+N775)</f>
        <v/>
      </c>
      <c r="P775" s="28"/>
      <c r="Q775" s="33" t="str">
        <f aca="false">IF(P775="","",IFERROR(VLOOKUP(P775,PARTNERS!$A$2:$B$30,2,0),""))</f>
        <v/>
      </c>
      <c r="R775" s="17" t="str">
        <f aca="false">IF(O775="","",IF(OR(P775="",Q775=""),0,(O775-N775)*IF(Q775&gt;1,Q775/100,Q775)))</f>
        <v/>
      </c>
      <c r="S775" s="31" t="str">
        <f aca="false">IF(O775="","",O775-R775)</f>
        <v/>
      </c>
      <c r="T775" s="28"/>
      <c r="U775" s="34" t="str">
        <f aca="false">IF(T775="","",IFERROR(VLOOKUP(T775,REPS!$A$2:$D$40,2,0),""))</f>
        <v/>
      </c>
      <c r="V775" s="31" t="str">
        <f aca="false">IF(O775="","",IF(U775="",0,O775*IF(U775&gt;1,U775/100,U775)))</f>
        <v/>
      </c>
      <c r="W775" s="28"/>
      <c r="X775" s="34" t="str">
        <f aca="false">IF(W775="","",IFERROR(VLOOKUP(W775,REPS!$A$2:$D$40,3,0),""))</f>
        <v/>
      </c>
      <c r="Y775" s="31" t="str">
        <f aca="false">IF(O775="","",IF(X775="",0,O775*IF(X775&gt;1,X775/100,X775)))</f>
        <v/>
      </c>
      <c r="Z775" s="28"/>
      <c r="AA775" s="34" t="str">
        <f aca="false">IF(Z775="","",IFERROR(VLOOKUP(Z775,REPS!$A$2:$D$40,4,0),""))</f>
        <v/>
      </c>
      <c r="AB775" s="31" t="str">
        <f aca="false">IF(O775="","",IF(AA775="",0,O775*IF(AA775&gt;1,AA775/100,AA775)))</f>
        <v/>
      </c>
      <c r="AC775" s="31" t="str">
        <f aca="false">IF(O775="","",V775+Y775+AB775)</f>
        <v/>
      </c>
      <c r="AD775" s="19" t="str">
        <f aca="false">IF(O775="","",O775-R775-AC775)</f>
        <v/>
      </c>
      <c r="AE775" s="20"/>
      <c r="AF775" s="27"/>
      <c r="AG775" s="21" t="n">
        <f aca="false">IF(OR(AE775="",AE775=0),0,AE775*IF(U775="",0,IF(U775&gt;1,U775/100,U775)))</f>
        <v>0</v>
      </c>
      <c r="AH775" s="21" t="n">
        <f aca="false">IF(OR(AE775="",AE775=0),0,AE775*IF(X775="",0,IF(X775&gt;1,X775/100,X775)))</f>
        <v>0</v>
      </c>
      <c r="AI775" s="21" t="n">
        <f aca="false">IF(OR(AE775="",AE775=0),0,AE775*IF(AA775="",0,IF(AA775&gt;1,AA775/100,AA775)))</f>
        <v>0</v>
      </c>
      <c r="AJ775" s="21" t="n">
        <f aca="false">AG775+AH775+AI775</f>
        <v>0</v>
      </c>
      <c r="AK775" s="21" t="n">
        <f aca="false">IF(OR(AE775="",AE775=0),0,AE775-AJ775)</f>
        <v>0</v>
      </c>
      <c r="AL775" s="19" t="str">
        <f aca="false">IF(AD775="","",AD775-AK775)</f>
        <v/>
      </c>
      <c r="AM775" s="26" t="str">
        <f aca="false">IF(C775="","","Waiting for payment")</f>
        <v/>
      </c>
      <c r="AN775" s="27"/>
      <c r="AO775" s="27"/>
      <c r="AP775" s="35" t="str">
        <f aca="false">IF(OR(C775="",I775="",K775=""),"",IF(K775="Monthly",EDATE(C775,ROUND(I775*SETTINGS!$I$8,0)),WORKDAY(C775,ROUND(I775*SETTINGS!$I$8,0))))</f>
        <v/>
      </c>
      <c r="AQ775" s="26" t="str">
        <f aca="true">IF(C775="","",IF(AND(AP775&lt;&gt;"",TODAY()&gt;=AP775),"Refi Ready",IF(TODAY()-C775&gt;=SETTINGS!$I$11,"Prospecting","Performing")))</f>
        <v/>
      </c>
      <c r="AR775" s="35" t="str">
        <f aca="false">IF(OR(C775="",I775="",K775=""),"",IF(K775="Monthly",EDATE(C775,I775),WORKDAY(C775,I775)))</f>
        <v/>
      </c>
      <c r="AS775" s="28"/>
      <c r="AT775" s="36" t="str">
        <f aca="true">IF(C775="","",IF(AM775="Clawed Back","CLAWED",IF(TODAY()&lt;=C775+SETTINGS!$I$2,"⚠ AT RISK","SAFE")))</f>
        <v/>
      </c>
      <c r="AU775" s="28"/>
      <c r="AW775" s="24" t="n">
        <f aca="false">AW774+IF(AND(C775&lt;&gt;"",AO775&lt;&gt;"",OR('REP COMMISSION'!$B$3="",T775='REP COMMISSION'!$B$3,W775='REP COMMISSION'!$B$3,Z775='REP COMMISSION'!$B$3)),1,0)</f>
        <v>0</v>
      </c>
      <c r="AX775" s="24" t="n">
        <f aca="false">AX774+IF(AND(C775&lt;&gt;"",OR(F775="LOC - INITIAL",F775="CONSOLIDATION - UPFRONT COMM",F775="REVERSE - TOTAL FUNDING")),1,0)</f>
        <v>0</v>
      </c>
    </row>
    <row r="776" customFormat="false" ht="15" hidden="false" customHeight="false" outlineLevel="0" collapsed="false">
      <c r="A776" s="8" t="str">
        <f aca="false">IF(C776&lt;&gt;"","F"&amp;COUNT($C$4:C776),"")</f>
        <v/>
      </c>
      <c r="B776" s="9" t="str">
        <f aca="false">IF(OR(F776="LOC - INITIAL",F776="CONSOLIDATION - UPFRONT COMM",F776="REVERSE - TOTAL FUNDING"),A776,"")</f>
        <v/>
      </c>
      <c r="C776" s="10"/>
      <c r="D776" s="11"/>
      <c r="E776" s="11"/>
      <c r="F776" s="11"/>
      <c r="G776" s="12"/>
      <c r="H776" s="13"/>
      <c r="I776" s="11"/>
      <c r="J776" s="14" t="str">
        <f aca="false">IF(AND(G776&lt;&gt;"",H776&lt;&gt;""),G776*H776,"")</f>
        <v/>
      </c>
      <c r="K776" s="11"/>
      <c r="L776" s="15"/>
      <c r="M776" s="15"/>
      <c r="N776" s="14" t="n">
        <f aca="false">IF(OR(G776="",M776=""),0,IF(M776&gt;100,M776,G776*IF(M776&gt;1,M776/100,M776)))</f>
        <v>0</v>
      </c>
      <c r="O776" s="14" t="str">
        <f aca="false">IF(G776="","",G776*IF(L776="",0,IF(L776&gt;1,L776/100,L776))+N776)</f>
        <v/>
      </c>
      <c r="P776" s="11"/>
      <c r="Q776" s="16" t="str">
        <f aca="false">IF(P776="","",IFERROR(VLOOKUP(P776,PARTNERS!$A$2:$B$30,2,0),""))</f>
        <v/>
      </c>
      <c r="R776" s="17" t="str">
        <f aca="false">IF(O776="","",IF(OR(P776="",Q776=""),0,(O776-N776)*IF(Q776&gt;1,Q776/100,Q776)))</f>
        <v/>
      </c>
      <c r="S776" s="14" t="str">
        <f aca="false">IF(O776="","",O776-R776)</f>
        <v/>
      </c>
      <c r="T776" s="11"/>
      <c r="U776" s="18" t="str">
        <f aca="false">IF(T776="","",IFERROR(VLOOKUP(T776,REPS!$A$2:$D$40,2,0),""))</f>
        <v/>
      </c>
      <c r="V776" s="14" t="str">
        <f aca="false">IF(O776="","",IF(U776="",0,O776*IF(U776&gt;1,U776/100,U776)))</f>
        <v/>
      </c>
      <c r="W776" s="11"/>
      <c r="X776" s="18" t="str">
        <f aca="false">IF(W776="","",IFERROR(VLOOKUP(W776,REPS!$A$2:$D$40,3,0),""))</f>
        <v/>
      </c>
      <c r="Y776" s="14" t="str">
        <f aca="false">IF(O776="","",IF(X776="",0,O776*IF(X776&gt;1,X776/100,X776)))</f>
        <v/>
      </c>
      <c r="Z776" s="11"/>
      <c r="AA776" s="18" t="str">
        <f aca="false">IF(Z776="","",IFERROR(VLOOKUP(Z776,REPS!$A$2:$D$40,4,0),""))</f>
        <v/>
      </c>
      <c r="AB776" s="14" t="str">
        <f aca="false">IF(O776="","",IF(AA776="",0,O776*IF(AA776&gt;1,AA776/100,AA776)))</f>
        <v/>
      </c>
      <c r="AC776" s="14" t="str">
        <f aca="false">IF(O776="","",V776+Y776+AB776)</f>
        <v/>
      </c>
      <c r="AD776" s="19" t="str">
        <f aca="false">IF(O776="","",O776-R776-AC776)</f>
        <v/>
      </c>
      <c r="AE776" s="20"/>
      <c r="AF776" s="10"/>
      <c r="AG776" s="21" t="n">
        <f aca="false">IF(OR(AE776="",AE776=0),0,AE776*IF(U776="",0,IF(U776&gt;1,U776/100,U776)))</f>
        <v>0</v>
      </c>
      <c r="AH776" s="21" t="n">
        <f aca="false">IF(OR(AE776="",AE776=0),0,AE776*IF(X776="",0,IF(X776&gt;1,X776/100,X776)))</f>
        <v>0</v>
      </c>
      <c r="AI776" s="21" t="n">
        <f aca="false">IF(OR(AE776="",AE776=0),0,AE776*IF(AA776="",0,IF(AA776&gt;1,AA776/100,AA776)))</f>
        <v>0</v>
      </c>
      <c r="AJ776" s="21" t="n">
        <f aca="false">AG776+AH776+AI776</f>
        <v>0</v>
      </c>
      <c r="AK776" s="21" t="n">
        <f aca="false">IF(OR(AE776="",AE776=0),0,AE776-AJ776)</f>
        <v>0</v>
      </c>
      <c r="AL776" s="19" t="str">
        <f aca="false">IF(AD776="","",AD776-AK776)</f>
        <v/>
      </c>
      <c r="AM776" s="9" t="str">
        <f aca="false">IF(C776="","","Waiting for payment")</f>
        <v/>
      </c>
      <c r="AN776" s="10"/>
      <c r="AO776" s="10"/>
      <c r="AP776" s="22" t="str">
        <f aca="false">IF(OR(C776="",I776="",K776=""),"",IF(K776="Monthly",EDATE(C776,ROUND(I776*SETTINGS!$I$8,0)),WORKDAY(C776,ROUND(I776*SETTINGS!$I$8,0))))</f>
        <v/>
      </c>
      <c r="AQ776" s="9" t="str">
        <f aca="true">IF(C776="","",IF(AND(AP776&lt;&gt;"",TODAY()&gt;=AP776),"Refi Ready",IF(TODAY()-C776&gt;=SETTINGS!$I$11,"Prospecting","Performing")))</f>
        <v/>
      </c>
      <c r="AR776" s="22" t="str">
        <f aca="false">IF(OR(C776="",I776="",K776=""),"",IF(K776="Monthly",EDATE(C776,I776),WORKDAY(C776,I776)))</f>
        <v/>
      </c>
      <c r="AS776" s="11"/>
      <c r="AT776" s="23" t="str">
        <f aca="true">IF(C776="","",IF(AM776="Clawed Back","CLAWED",IF(TODAY()&lt;=C776+SETTINGS!$I$2,"⚠ AT RISK","SAFE")))</f>
        <v/>
      </c>
      <c r="AU776" s="11"/>
      <c r="AW776" s="24" t="n">
        <f aca="false">AW775+IF(AND(C776&lt;&gt;"",AO776&lt;&gt;"",OR('REP COMMISSION'!$B$3="",T776='REP COMMISSION'!$B$3,W776='REP COMMISSION'!$B$3,Z776='REP COMMISSION'!$B$3)),1,0)</f>
        <v>0</v>
      </c>
      <c r="AX776" s="24" t="n">
        <f aca="false">AX775+IF(AND(C776&lt;&gt;"",OR(F776="LOC - INITIAL",F776="CONSOLIDATION - UPFRONT COMM",F776="REVERSE - TOTAL FUNDING")),1,0)</f>
        <v>0</v>
      </c>
    </row>
    <row r="777" customFormat="false" ht="15" hidden="false" customHeight="false" outlineLevel="0" collapsed="false">
      <c r="A777" s="25" t="str">
        <f aca="false">IF(C777&lt;&gt;"","F"&amp;COUNT($C$4:C777),"")</f>
        <v/>
      </c>
      <c r="B777" s="26" t="str">
        <f aca="false">IF(OR(F777="LOC - INITIAL",F777="CONSOLIDATION - UPFRONT COMM",F777="REVERSE - TOTAL FUNDING"),A777,"")</f>
        <v/>
      </c>
      <c r="C777" s="27"/>
      <c r="D777" s="28"/>
      <c r="E777" s="28"/>
      <c r="F777" s="28"/>
      <c r="G777" s="29"/>
      <c r="H777" s="30"/>
      <c r="I777" s="28"/>
      <c r="J777" s="31" t="str">
        <f aca="false">IF(AND(G777&lt;&gt;"",H777&lt;&gt;""),G777*H777,"")</f>
        <v/>
      </c>
      <c r="K777" s="28"/>
      <c r="L777" s="32"/>
      <c r="M777" s="32"/>
      <c r="N777" s="31" t="n">
        <f aca="false">IF(OR(G777="",M777=""),0,IF(M777&gt;100,M777,G777*IF(M777&gt;1,M777/100,M777)))</f>
        <v>0</v>
      </c>
      <c r="O777" s="31" t="str">
        <f aca="false">IF(G777="","",G777*IF(L777="",0,IF(L777&gt;1,L777/100,L777))+N777)</f>
        <v/>
      </c>
      <c r="P777" s="28"/>
      <c r="Q777" s="33" t="str">
        <f aca="false">IF(P777="","",IFERROR(VLOOKUP(P777,PARTNERS!$A$2:$B$30,2,0),""))</f>
        <v/>
      </c>
      <c r="R777" s="17" t="str">
        <f aca="false">IF(O777="","",IF(OR(P777="",Q777=""),0,(O777-N777)*IF(Q777&gt;1,Q777/100,Q777)))</f>
        <v/>
      </c>
      <c r="S777" s="31" t="str">
        <f aca="false">IF(O777="","",O777-R777)</f>
        <v/>
      </c>
      <c r="T777" s="28"/>
      <c r="U777" s="34" t="str">
        <f aca="false">IF(T777="","",IFERROR(VLOOKUP(T777,REPS!$A$2:$D$40,2,0),""))</f>
        <v/>
      </c>
      <c r="V777" s="31" t="str">
        <f aca="false">IF(O777="","",IF(U777="",0,O777*IF(U777&gt;1,U777/100,U777)))</f>
        <v/>
      </c>
      <c r="W777" s="28"/>
      <c r="X777" s="34" t="str">
        <f aca="false">IF(W777="","",IFERROR(VLOOKUP(W777,REPS!$A$2:$D$40,3,0),""))</f>
        <v/>
      </c>
      <c r="Y777" s="31" t="str">
        <f aca="false">IF(O777="","",IF(X777="",0,O777*IF(X777&gt;1,X777/100,X777)))</f>
        <v/>
      </c>
      <c r="Z777" s="28"/>
      <c r="AA777" s="34" t="str">
        <f aca="false">IF(Z777="","",IFERROR(VLOOKUP(Z777,REPS!$A$2:$D$40,4,0),""))</f>
        <v/>
      </c>
      <c r="AB777" s="31" t="str">
        <f aca="false">IF(O777="","",IF(AA777="",0,O777*IF(AA777&gt;1,AA777/100,AA777)))</f>
        <v/>
      </c>
      <c r="AC777" s="31" t="str">
        <f aca="false">IF(O777="","",V777+Y777+AB777)</f>
        <v/>
      </c>
      <c r="AD777" s="19" t="str">
        <f aca="false">IF(O777="","",O777-R777-AC777)</f>
        <v/>
      </c>
      <c r="AE777" s="20"/>
      <c r="AF777" s="27"/>
      <c r="AG777" s="21" t="n">
        <f aca="false">IF(OR(AE777="",AE777=0),0,AE777*IF(U777="",0,IF(U777&gt;1,U777/100,U777)))</f>
        <v>0</v>
      </c>
      <c r="AH777" s="21" t="n">
        <f aca="false">IF(OR(AE777="",AE777=0),0,AE777*IF(X777="",0,IF(X777&gt;1,X777/100,X777)))</f>
        <v>0</v>
      </c>
      <c r="AI777" s="21" t="n">
        <f aca="false">IF(OR(AE777="",AE777=0),0,AE777*IF(AA777="",0,IF(AA777&gt;1,AA777/100,AA777)))</f>
        <v>0</v>
      </c>
      <c r="AJ777" s="21" t="n">
        <f aca="false">AG777+AH777+AI777</f>
        <v>0</v>
      </c>
      <c r="AK777" s="21" t="n">
        <f aca="false">IF(OR(AE777="",AE777=0),0,AE777-AJ777)</f>
        <v>0</v>
      </c>
      <c r="AL777" s="19" t="str">
        <f aca="false">IF(AD777="","",AD777-AK777)</f>
        <v/>
      </c>
      <c r="AM777" s="26" t="str">
        <f aca="false">IF(C777="","","Waiting for payment")</f>
        <v/>
      </c>
      <c r="AN777" s="27"/>
      <c r="AO777" s="27"/>
      <c r="AP777" s="35" t="str">
        <f aca="false">IF(OR(C777="",I777="",K777=""),"",IF(K777="Monthly",EDATE(C777,ROUND(I777*SETTINGS!$I$8,0)),WORKDAY(C777,ROUND(I777*SETTINGS!$I$8,0))))</f>
        <v/>
      </c>
      <c r="AQ777" s="26" t="str">
        <f aca="true">IF(C777="","",IF(AND(AP777&lt;&gt;"",TODAY()&gt;=AP777),"Refi Ready",IF(TODAY()-C777&gt;=SETTINGS!$I$11,"Prospecting","Performing")))</f>
        <v/>
      </c>
      <c r="AR777" s="35" t="str">
        <f aca="false">IF(OR(C777="",I777="",K777=""),"",IF(K777="Monthly",EDATE(C777,I777),WORKDAY(C777,I777)))</f>
        <v/>
      </c>
      <c r="AS777" s="28"/>
      <c r="AT777" s="36" t="str">
        <f aca="true">IF(C777="","",IF(AM777="Clawed Back","CLAWED",IF(TODAY()&lt;=C777+SETTINGS!$I$2,"⚠ AT RISK","SAFE")))</f>
        <v/>
      </c>
      <c r="AU777" s="28"/>
      <c r="AW777" s="24" t="n">
        <f aca="false">AW776+IF(AND(C777&lt;&gt;"",AO777&lt;&gt;"",OR('REP COMMISSION'!$B$3="",T777='REP COMMISSION'!$B$3,W777='REP COMMISSION'!$B$3,Z777='REP COMMISSION'!$B$3)),1,0)</f>
        <v>0</v>
      </c>
      <c r="AX777" s="24" t="n">
        <f aca="false">AX776+IF(AND(C777&lt;&gt;"",OR(F777="LOC - INITIAL",F777="CONSOLIDATION - UPFRONT COMM",F777="REVERSE - TOTAL FUNDING")),1,0)</f>
        <v>0</v>
      </c>
    </row>
    <row r="778" customFormat="false" ht="15" hidden="false" customHeight="false" outlineLevel="0" collapsed="false">
      <c r="A778" s="8" t="str">
        <f aca="false">IF(C778&lt;&gt;"","F"&amp;COUNT($C$4:C778),"")</f>
        <v/>
      </c>
      <c r="B778" s="9" t="str">
        <f aca="false">IF(OR(F778="LOC - INITIAL",F778="CONSOLIDATION - UPFRONT COMM",F778="REVERSE - TOTAL FUNDING"),A778,"")</f>
        <v/>
      </c>
      <c r="C778" s="10"/>
      <c r="D778" s="11"/>
      <c r="E778" s="11"/>
      <c r="F778" s="11"/>
      <c r="G778" s="12"/>
      <c r="H778" s="13"/>
      <c r="I778" s="11"/>
      <c r="J778" s="14" t="str">
        <f aca="false">IF(AND(G778&lt;&gt;"",H778&lt;&gt;""),G778*H778,"")</f>
        <v/>
      </c>
      <c r="K778" s="11"/>
      <c r="L778" s="15"/>
      <c r="M778" s="15"/>
      <c r="N778" s="14" t="n">
        <f aca="false">IF(OR(G778="",M778=""),0,IF(M778&gt;100,M778,G778*IF(M778&gt;1,M778/100,M778)))</f>
        <v>0</v>
      </c>
      <c r="O778" s="14" t="str">
        <f aca="false">IF(G778="","",G778*IF(L778="",0,IF(L778&gt;1,L778/100,L778))+N778)</f>
        <v/>
      </c>
      <c r="P778" s="11"/>
      <c r="Q778" s="16" t="str">
        <f aca="false">IF(P778="","",IFERROR(VLOOKUP(P778,PARTNERS!$A$2:$B$30,2,0),""))</f>
        <v/>
      </c>
      <c r="R778" s="17" t="str">
        <f aca="false">IF(O778="","",IF(OR(P778="",Q778=""),0,(O778-N778)*IF(Q778&gt;1,Q778/100,Q778)))</f>
        <v/>
      </c>
      <c r="S778" s="14" t="str">
        <f aca="false">IF(O778="","",O778-R778)</f>
        <v/>
      </c>
      <c r="T778" s="11"/>
      <c r="U778" s="18" t="str">
        <f aca="false">IF(T778="","",IFERROR(VLOOKUP(T778,REPS!$A$2:$D$40,2,0),""))</f>
        <v/>
      </c>
      <c r="V778" s="14" t="str">
        <f aca="false">IF(O778="","",IF(U778="",0,O778*IF(U778&gt;1,U778/100,U778)))</f>
        <v/>
      </c>
      <c r="W778" s="11"/>
      <c r="X778" s="18" t="str">
        <f aca="false">IF(W778="","",IFERROR(VLOOKUP(W778,REPS!$A$2:$D$40,3,0),""))</f>
        <v/>
      </c>
      <c r="Y778" s="14" t="str">
        <f aca="false">IF(O778="","",IF(X778="",0,O778*IF(X778&gt;1,X778/100,X778)))</f>
        <v/>
      </c>
      <c r="Z778" s="11"/>
      <c r="AA778" s="18" t="str">
        <f aca="false">IF(Z778="","",IFERROR(VLOOKUP(Z778,REPS!$A$2:$D$40,4,0),""))</f>
        <v/>
      </c>
      <c r="AB778" s="14" t="str">
        <f aca="false">IF(O778="","",IF(AA778="",0,O778*IF(AA778&gt;1,AA778/100,AA778)))</f>
        <v/>
      </c>
      <c r="AC778" s="14" t="str">
        <f aca="false">IF(O778="","",V778+Y778+AB778)</f>
        <v/>
      </c>
      <c r="AD778" s="19" t="str">
        <f aca="false">IF(O778="","",O778-R778-AC778)</f>
        <v/>
      </c>
      <c r="AE778" s="20"/>
      <c r="AF778" s="10"/>
      <c r="AG778" s="21" t="n">
        <f aca="false">IF(OR(AE778="",AE778=0),0,AE778*IF(U778="",0,IF(U778&gt;1,U778/100,U778)))</f>
        <v>0</v>
      </c>
      <c r="AH778" s="21" t="n">
        <f aca="false">IF(OR(AE778="",AE778=0),0,AE778*IF(X778="",0,IF(X778&gt;1,X778/100,X778)))</f>
        <v>0</v>
      </c>
      <c r="AI778" s="21" t="n">
        <f aca="false">IF(OR(AE778="",AE778=0),0,AE778*IF(AA778="",0,IF(AA778&gt;1,AA778/100,AA778)))</f>
        <v>0</v>
      </c>
      <c r="AJ778" s="21" t="n">
        <f aca="false">AG778+AH778+AI778</f>
        <v>0</v>
      </c>
      <c r="AK778" s="21" t="n">
        <f aca="false">IF(OR(AE778="",AE778=0),0,AE778-AJ778)</f>
        <v>0</v>
      </c>
      <c r="AL778" s="19" t="str">
        <f aca="false">IF(AD778="","",AD778-AK778)</f>
        <v/>
      </c>
      <c r="AM778" s="9" t="str">
        <f aca="false">IF(C778="","","Waiting for payment")</f>
        <v/>
      </c>
      <c r="AN778" s="10"/>
      <c r="AO778" s="10"/>
      <c r="AP778" s="22" t="str">
        <f aca="false">IF(OR(C778="",I778="",K778=""),"",IF(K778="Monthly",EDATE(C778,ROUND(I778*SETTINGS!$I$8,0)),WORKDAY(C778,ROUND(I778*SETTINGS!$I$8,0))))</f>
        <v/>
      </c>
      <c r="AQ778" s="9" t="str">
        <f aca="true">IF(C778="","",IF(AND(AP778&lt;&gt;"",TODAY()&gt;=AP778),"Refi Ready",IF(TODAY()-C778&gt;=SETTINGS!$I$11,"Prospecting","Performing")))</f>
        <v/>
      </c>
      <c r="AR778" s="22" t="str">
        <f aca="false">IF(OR(C778="",I778="",K778=""),"",IF(K778="Monthly",EDATE(C778,I778),WORKDAY(C778,I778)))</f>
        <v/>
      </c>
      <c r="AS778" s="11"/>
      <c r="AT778" s="23" t="str">
        <f aca="true">IF(C778="","",IF(AM778="Clawed Back","CLAWED",IF(TODAY()&lt;=C778+SETTINGS!$I$2,"⚠ AT RISK","SAFE")))</f>
        <v/>
      </c>
      <c r="AU778" s="11"/>
      <c r="AW778" s="24" t="n">
        <f aca="false">AW777+IF(AND(C778&lt;&gt;"",AO778&lt;&gt;"",OR('REP COMMISSION'!$B$3="",T778='REP COMMISSION'!$B$3,W778='REP COMMISSION'!$B$3,Z778='REP COMMISSION'!$B$3)),1,0)</f>
        <v>0</v>
      </c>
      <c r="AX778" s="24" t="n">
        <f aca="false">AX777+IF(AND(C778&lt;&gt;"",OR(F778="LOC - INITIAL",F778="CONSOLIDATION - UPFRONT COMM",F778="REVERSE - TOTAL FUNDING")),1,0)</f>
        <v>0</v>
      </c>
    </row>
    <row r="779" customFormat="false" ht="15" hidden="false" customHeight="false" outlineLevel="0" collapsed="false">
      <c r="A779" s="25" t="str">
        <f aca="false">IF(C779&lt;&gt;"","F"&amp;COUNT($C$4:C779),"")</f>
        <v/>
      </c>
      <c r="B779" s="26" t="str">
        <f aca="false">IF(OR(F779="LOC - INITIAL",F779="CONSOLIDATION - UPFRONT COMM",F779="REVERSE - TOTAL FUNDING"),A779,"")</f>
        <v/>
      </c>
      <c r="C779" s="27"/>
      <c r="D779" s="28"/>
      <c r="E779" s="28"/>
      <c r="F779" s="28"/>
      <c r="G779" s="29"/>
      <c r="H779" s="30"/>
      <c r="I779" s="28"/>
      <c r="J779" s="31" t="str">
        <f aca="false">IF(AND(G779&lt;&gt;"",H779&lt;&gt;""),G779*H779,"")</f>
        <v/>
      </c>
      <c r="K779" s="28"/>
      <c r="L779" s="32"/>
      <c r="M779" s="32"/>
      <c r="N779" s="31" t="n">
        <f aca="false">IF(OR(G779="",M779=""),0,IF(M779&gt;100,M779,G779*IF(M779&gt;1,M779/100,M779)))</f>
        <v>0</v>
      </c>
      <c r="O779" s="31" t="str">
        <f aca="false">IF(G779="","",G779*IF(L779="",0,IF(L779&gt;1,L779/100,L779))+N779)</f>
        <v/>
      </c>
      <c r="P779" s="28"/>
      <c r="Q779" s="33" t="str">
        <f aca="false">IF(P779="","",IFERROR(VLOOKUP(P779,PARTNERS!$A$2:$B$30,2,0),""))</f>
        <v/>
      </c>
      <c r="R779" s="17" t="str">
        <f aca="false">IF(O779="","",IF(OR(P779="",Q779=""),0,(O779-N779)*IF(Q779&gt;1,Q779/100,Q779)))</f>
        <v/>
      </c>
      <c r="S779" s="31" t="str">
        <f aca="false">IF(O779="","",O779-R779)</f>
        <v/>
      </c>
      <c r="T779" s="28"/>
      <c r="U779" s="34" t="str">
        <f aca="false">IF(T779="","",IFERROR(VLOOKUP(T779,REPS!$A$2:$D$40,2,0),""))</f>
        <v/>
      </c>
      <c r="V779" s="31" t="str">
        <f aca="false">IF(O779="","",IF(U779="",0,O779*IF(U779&gt;1,U779/100,U779)))</f>
        <v/>
      </c>
      <c r="W779" s="28"/>
      <c r="X779" s="34" t="str">
        <f aca="false">IF(W779="","",IFERROR(VLOOKUP(W779,REPS!$A$2:$D$40,3,0),""))</f>
        <v/>
      </c>
      <c r="Y779" s="31" t="str">
        <f aca="false">IF(O779="","",IF(X779="",0,O779*IF(X779&gt;1,X779/100,X779)))</f>
        <v/>
      </c>
      <c r="Z779" s="28"/>
      <c r="AA779" s="34" t="str">
        <f aca="false">IF(Z779="","",IFERROR(VLOOKUP(Z779,REPS!$A$2:$D$40,4,0),""))</f>
        <v/>
      </c>
      <c r="AB779" s="31" t="str">
        <f aca="false">IF(O779="","",IF(AA779="",0,O779*IF(AA779&gt;1,AA779/100,AA779)))</f>
        <v/>
      </c>
      <c r="AC779" s="31" t="str">
        <f aca="false">IF(O779="","",V779+Y779+AB779)</f>
        <v/>
      </c>
      <c r="AD779" s="19" t="str">
        <f aca="false">IF(O779="","",O779-R779-AC779)</f>
        <v/>
      </c>
      <c r="AE779" s="20"/>
      <c r="AF779" s="27"/>
      <c r="AG779" s="21" t="n">
        <f aca="false">IF(OR(AE779="",AE779=0),0,AE779*IF(U779="",0,IF(U779&gt;1,U779/100,U779)))</f>
        <v>0</v>
      </c>
      <c r="AH779" s="21" t="n">
        <f aca="false">IF(OR(AE779="",AE779=0),0,AE779*IF(X779="",0,IF(X779&gt;1,X779/100,X779)))</f>
        <v>0</v>
      </c>
      <c r="AI779" s="21" t="n">
        <f aca="false">IF(OR(AE779="",AE779=0),0,AE779*IF(AA779="",0,IF(AA779&gt;1,AA779/100,AA779)))</f>
        <v>0</v>
      </c>
      <c r="AJ779" s="21" t="n">
        <f aca="false">AG779+AH779+AI779</f>
        <v>0</v>
      </c>
      <c r="AK779" s="21" t="n">
        <f aca="false">IF(OR(AE779="",AE779=0),0,AE779-AJ779)</f>
        <v>0</v>
      </c>
      <c r="AL779" s="19" t="str">
        <f aca="false">IF(AD779="","",AD779-AK779)</f>
        <v/>
      </c>
      <c r="AM779" s="26" t="str">
        <f aca="false">IF(C779="","","Waiting for payment")</f>
        <v/>
      </c>
      <c r="AN779" s="27"/>
      <c r="AO779" s="27"/>
      <c r="AP779" s="35" t="str">
        <f aca="false">IF(OR(C779="",I779="",K779=""),"",IF(K779="Monthly",EDATE(C779,ROUND(I779*SETTINGS!$I$8,0)),WORKDAY(C779,ROUND(I779*SETTINGS!$I$8,0))))</f>
        <v/>
      </c>
      <c r="AQ779" s="26" t="str">
        <f aca="true">IF(C779="","",IF(AND(AP779&lt;&gt;"",TODAY()&gt;=AP779),"Refi Ready",IF(TODAY()-C779&gt;=SETTINGS!$I$11,"Prospecting","Performing")))</f>
        <v/>
      </c>
      <c r="AR779" s="35" t="str">
        <f aca="false">IF(OR(C779="",I779="",K779=""),"",IF(K779="Monthly",EDATE(C779,I779),WORKDAY(C779,I779)))</f>
        <v/>
      </c>
      <c r="AS779" s="28"/>
      <c r="AT779" s="36" t="str">
        <f aca="true">IF(C779="","",IF(AM779="Clawed Back","CLAWED",IF(TODAY()&lt;=C779+SETTINGS!$I$2,"⚠ AT RISK","SAFE")))</f>
        <v/>
      </c>
      <c r="AU779" s="28"/>
      <c r="AW779" s="24" t="n">
        <f aca="false">AW778+IF(AND(C779&lt;&gt;"",AO779&lt;&gt;"",OR('REP COMMISSION'!$B$3="",T779='REP COMMISSION'!$B$3,W779='REP COMMISSION'!$B$3,Z779='REP COMMISSION'!$B$3)),1,0)</f>
        <v>0</v>
      </c>
      <c r="AX779" s="24" t="n">
        <f aca="false">AX778+IF(AND(C779&lt;&gt;"",OR(F779="LOC - INITIAL",F779="CONSOLIDATION - UPFRONT COMM",F779="REVERSE - TOTAL FUNDING")),1,0)</f>
        <v>0</v>
      </c>
    </row>
    <row r="780" customFormat="false" ht="15" hidden="false" customHeight="false" outlineLevel="0" collapsed="false">
      <c r="A780" s="8" t="str">
        <f aca="false">IF(C780&lt;&gt;"","F"&amp;COUNT($C$4:C780),"")</f>
        <v/>
      </c>
      <c r="B780" s="9" t="str">
        <f aca="false">IF(OR(F780="LOC - INITIAL",F780="CONSOLIDATION - UPFRONT COMM",F780="REVERSE - TOTAL FUNDING"),A780,"")</f>
        <v/>
      </c>
      <c r="C780" s="10"/>
      <c r="D780" s="11"/>
      <c r="E780" s="11"/>
      <c r="F780" s="11"/>
      <c r="G780" s="12"/>
      <c r="H780" s="13"/>
      <c r="I780" s="11"/>
      <c r="J780" s="14" t="str">
        <f aca="false">IF(AND(G780&lt;&gt;"",H780&lt;&gt;""),G780*H780,"")</f>
        <v/>
      </c>
      <c r="K780" s="11"/>
      <c r="L780" s="15"/>
      <c r="M780" s="15"/>
      <c r="N780" s="14" t="n">
        <f aca="false">IF(OR(G780="",M780=""),0,IF(M780&gt;100,M780,G780*IF(M780&gt;1,M780/100,M780)))</f>
        <v>0</v>
      </c>
      <c r="O780" s="14" t="str">
        <f aca="false">IF(G780="","",G780*IF(L780="",0,IF(L780&gt;1,L780/100,L780))+N780)</f>
        <v/>
      </c>
      <c r="P780" s="11"/>
      <c r="Q780" s="16" t="str">
        <f aca="false">IF(P780="","",IFERROR(VLOOKUP(P780,PARTNERS!$A$2:$B$30,2,0),""))</f>
        <v/>
      </c>
      <c r="R780" s="17" t="str">
        <f aca="false">IF(O780="","",IF(OR(P780="",Q780=""),0,(O780-N780)*IF(Q780&gt;1,Q780/100,Q780)))</f>
        <v/>
      </c>
      <c r="S780" s="14" t="str">
        <f aca="false">IF(O780="","",O780-R780)</f>
        <v/>
      </c>
      <c r="T780" s="11"/>
      <c r="U780" s="18" t="str">
        <f aca="false">IF(T780="","",IFERROR(VLOOKUP(T780,REPS!$A$2:$D$40,2,0),""))</f>
        <v/>
      </c>
      <c r="V780" s="14" t="str">
        <f aca="false">IF(O780="","",IF(U780="",0,O780*IF(U780&gt;1,U780/100,U780)))</f>
        <v/>
      </c>
      <c r="W780" s="11"/>
      <c r="X780" s="18" t="str">
        <f aca="false">IF(W780="","",IFERROR(VLOOKUP(W780,REPS!$A$2:$D$40,3,0),""))</f>
        <v/>
      </c>
      <c r="Y780" s="14" t="str">
        <f aca="false">IF(O780="","",IF(X780="",0,O780*IF(X780&gt;1,X780/100,X780)))</f>
        <v/>
      </c>
      <c r="Z780" s="11"/>
      <c r="AA780" s="18" t="str">
        <f aca="false">IF(Z780="","",IFERROR(VLOOKUP(Z780,REPS!$A$2:$D$40,4,0),""))</f>
        <v/>
      </c>
      <c r="AB780" s="14" t="str">
        <f aca="false">IF(O780="","",IF(AA780="",0,O780*IF(AA780&gt;1,AA780/100,AA780)))</f>
        <v/>
      </c>
      <c r="AC780" s="14" t="str">
        <f aca="false">IF(O780="","",V780+Y780+AB780)</f>
        <v/>
      </c>
      <c r="AD780" s="19" t="str">
        <f aca="false">IF(O780="","",O780-R780-AC780)</f>
        <v/>
      </c>
      <c r="AE780" s="20"/>
      <c r="AF780" s="10"/>
      <c r="AG780" s="21" t="n">
        <f aca="false">IF(OR(AE780="",AE780=0),0,AE780*IF(U780="",0,IF(U780&gt;1,U780/100,U780)))</f>
        <v>0</v>
      </c>
      <c r="AH780" s="21" t="n">
        <f aca="false">IF(OR(AE780="",AE780=0),0,AE780*IF(X780="",0,IF(X780&gt;1,X780/100,X780)))</f>
        <v>0</v>
      </c>
      <c r="AI780" s="21" t="n">
        <f aca="false">IF(OR(AE780="",AE780=0),0,AE780*IF(AA780="",0,IF(AA780&gt;1,AA780/100,AA780)))</f>
        <v>0</v>
      </c>
      <c r="AJ780" s="21" t="n">
        <f aca="false">AG780+AH780+AI780</f>
        <v>0</v>
      </c>
      <c r="AK780" s="21" t="n">
        <f aca="false">IF(OR(AE780="",AE780=0),0,AE780-AJ780)</f>
        <v>0</v>
      </c>
      <c r="AL780" s="19" t="str">
        <f aca="false">IF(AD780="","",AD780-AK780)</f>
        <v/>
      </c>
      <c r="AM780" s="9" t="str">
        <f aca="false">IF(C780="","","Waiting for payment")</f>
        <v/>
      </c>
      <c r="AN780" s="10"/>
      <c r="AO780" s="10"/>
      <c r="AP780" s="22" t="str">
        <f aca="false">IF(OR(C780="",I780="",K780=""),"",IF(K780="Monthly",EDATE(C780,ROUND(I780*SETTINGS!$I$8,0)),WORKDAY(C780,ROUND(I780*SETTINGS!$I$8,0))))</f>
        <v/>
      </c>
      <c r="AQ780" s="9" t="str">
        <f aca="true">IF(C780="","",IF(AND(AP780&lt;&gt;"",TODAY()&gt;=AP780),"Refi Ready",IF(TODAY()-C780&gt;=SETTINGS!$I$11,"Prospecting","Performing")))</f>
        <v/>
      </c>
      <c r="AR780" s="22" t="str">
        <f aca="false">IF(OR(C780="",I780="",K780=""),"",IF(K780="Monthly",EDATE(C780,I780),WORKDAY(C780,I780)))</f>
        <v/>
      </c>
      <c r="AS780" s="11"/>
      <c r="AT780" s="23" t="str">
        <f aca="true">IF(C780="","",IF(AM780="Clawed Back","CLAWED",IF(TODAY()&lt;=C780+SETTINGS!$I$2,"⚠ AT RISK","SAFE")))</f>
        <v/>
      </c>
      <c r="AU780" s="11"/>
      <c r="AW780" s="24" t="n">
        <f aca="false">AW779+IF(AND(C780&lt;&gt;"",AO780&lt;&gt;"",OR('REP COMMISSION'!$B$3="",T780='REP COMMISSION'!$B$3,W780='REP COMMISSION'!$B$3,Z780='REP COMMISSION'!$B$3)),1,0)</f>
        <v>0</v>
      </c>
      <c r="AX780" s="24" t="n">
        <f aca="false">AX779+IF(AND(C780&lt;&gt;"",OR(F780="LOC - INITIAL",F780="CONSOLIDATION - UPFRONT COMM",F780="REVERSE - TOTAL FUNDING")),1,0)</f>
        <v>0</v>
      </c>
    </row>
    <row r="781" customFormat="false" ht="15" hidden="false" customHeight="false" outlineLevel="0" collapsed="false">
      <c r="A781" s="25" t="str">
        <f aca="false">IF(C781&lt;&gt;"","F"&amp;COUNT($C$4:C781),"")</f>
        <v/>
      </c>
      <c r="B781" s="26" t="str">
        <f aca="false">IF(OR(F781="LOC - INITIAL",F781="CONSOLIDATION - UPFRONT COMM",F781="REVERSE - TOTAL FUNDING"),A781,"")</f>
        <v/>
      </c>
      <c r="C781" s="27"/>
      <c r="D781" s="28"/>
      <c r="E781" s="28"/>
      <c r="F781" s="28"/>
      <c r="G781" s="29"/>
      <c r="H781" s="30"/>
      <c r="I781" s="28"/>
      <c r="J781" s="31" t="str">
        <f aca="false">IF(AND(G781&lt;&gt;"",H781&lt;&gt;""),G781*H781,"")</f>
        <v/>
      </c>
      <c r="K781" s="28"/>
      <c r="L781" s="32"/>
      <c r="M781" s="32"/>
      <c r="N781" s="31" t="n">
        <f aca="false">IF(OR(G781="",M781=""),0,IF(M781&gt;100,M781,G781*IF(M781&gt;1,M781/100,M781)))</f>
        <v>0</v>
      </c>
      <c r="O781" s="31" t="str">
        <f aca="false">IF(G781="","",G781*IF(L781="",0,IF(L781&gt;1,L781/100,L781))+N781)</f>
        <v/>
      </c>
      <c r="P781" s="28"/>
      <c r="Q781" s="33" t="str">
        <f aca="false">IF(P781="","",IFERROR(VLOOKUP(P781,PARTNERS!$A$2:$B$30,2,0),""))</f>
        <v/>
      </c>
      <c r="R781" s="17" t="str">
        <f aca="false">IF(O781="","",IF(OR(P781="",Q781=""),0,(O781-N781)*IF(Q781&gt;1,Q781/100,Q781)))</f>
        <v/>
      </c>
      <c r="S781" s="31" t="str">
        <f aca="false">IF(O781="","",O781-R781)</f>
        <v/>
      </c>
      <c r="T781" s="28"/>
      <c r="U781" s="34" t="str">
        <f aca="false">IF(T781="","",IFERROR(VLOOKUP(T781,REPS!$A$2:$D$40,2,0),""))</f>
        <v/>
      </c>
      <c r="V781" s="31" t="str">
        <f aca="false">IF(O781="","",IF(U781="",0,O781*IF(U781&gt;1,U781/100,U781)))</f>
        <v/>
      </c>
      <c r="W781" s="28"/>
      <c r="X781" s="34" t="str">
        <f aca="false">IF(W781="","",IFERROR(VLOOKUP(W781,REPS!$A$2:$D$40,3,0),""))</f>
        <v/>
      </c>
      <c r="Y781" s="31" t="str">
        <f aca="false">IF(O781="","",IF(X781="",0,O781*IF(X781&gt;1,X781/100,X781)))</f>
        <v/>
      </c>
      <c r="Z781" s="28"/>
      <c r="AA781" s="34" t="str">
        <f aca="false">IF(Z781="","",IFERROR(VLOOKUP(Z781,REPS!$A$2:$D$40,4,0),""))</f>
        <v/>
      </c>
      <c r="AB781" s="31" t="str">
        <f aca="false">IF(O781="","",IF(AA781="",0,O781*IF(AA781&gt;1,AA781/100,AA781)))</f>
        <v/>
      </c>
      <c r="AC781" s="31" t="str">
        <f aca="false">IF(O781="","",V781+Y781+AB781)</f>
        <v/>
      </c>
      <c r="AD781" s="19" t="str">
        <f aca="false">IF(O781="","",O781-R781-AC781)</f>
        <v/>
      </c>
      <c r="AE781" s="20"/>
      <c r="AF781" s="27"/>
      <c r="AG781" s="21" t="n">
        <f aca="false">IF(OR(AE781="",AE781=0),0,AE781*IF(U781="",0,IF(U781&gt;1,U781/100,U781)))</f>
        <v>0</v>
      </c>
      <c r="AH781" s="21" t="n">
        <f aca="false">IF(OR(AE781="",AE781=0),0,AE781*IF(X781="",0,IF(X781&gt;1,X781/100,X781)))</f>
        <v>0</v>
      </c>
      <c r="AI781" s="21" t="n">
        <f aca="false">IF(OR(AE781="",AE781=0),0,AE781*IF(AA781="",0,IF(AA781&gt;1,AA781/100,AA781)))</f>
        <v>0</v>
      </c>
      <c r="AJ781" s="21" t="n">
        <f aca="false">AG781+AH781+AI781</f>
        <v>0</v>
      </c>
      <c r="AK781" s="21" t="n">
        <f aca="false">IF(OR(AE781="",AE781=0),0,AE781-AJ781)</f>
        <v>0</v>
      </c>
      <c r="AL781" s="19" t="str">
        <f aca="false">IF(AD781="","",AD781-AK781)</f>
        <v/>
      </c>
      <c r="AM781" s="26" t="str">
        <f aca="false">IF(C781="","","Waiting for payment")</f>
        <v/>
      </c>
      <c r="AN781" s="27"/>
      <c r="AO781" s="27"/>
      <c r="AP781" s="35" t="str">
        <f aca="false">IF(OR(C781="",I781="",K781=""),"",IF(K781="Monthly",EDATE(C781,ROUND(I781*SETTINGS!$I$8,0)),WORKDAY(C781,ROUND(I781*SETTINGS!$I$8,0))))</f>
        <v/>
      </c>
      <c r="AQ781" s="26" t="str">
        <f aca="true">IF(C781="","",IF(AND(AP781&lt;&gt;"",TODAY()&gt;=AP781),"Refi Ready",IF(TODAY()-C781&gt;=SETTINGS!$I$11,"Prospecting","Performing")))</f>
        <v/>
      </c>
      <c r="AR781" s="35" t="str">
        <f aca="false">IF(OR(C781="",I781="",K781=""),"",IF(K781="Monthly",EDATE(C781,I781),WORKDAY(C781,I781)))</f>
        <v/>
      </c>
      <c r="AS781" s="28"/>
      <c r="AT781" s="36" t="str">
        <f aca="true">IF(C781="","",IF(AM781="Clawed Back","CLAWED",IF(TODAY()&lt;=C781+SETTINGS!$I$2,"⚠ AT RISK","SAFE")))</f>
        <v/>
      </c>
      <c r="AU781" s="28"/>
      <c r="AW781" s="24" t="n">
        <f aca="false">AW780+IF(AND(C781&lt;&gt;"",AO781&lt;&gt;"",OR('REP COMMISSION'!$B$3="",T781='REP COMMISSION'!$B$3,W781='REP COMMISSION'!$B$3,Z781='REP COMMISSION'!$B$3)),1,0)</f>
        <v>0</v>
      </c>
      <c r="AX781" s="24" t="n">
        <f aca="false">AX780+IF(AND(C781&lt;&gt;"",OR(F781="LOC - INITIAL",F781="CONSOLIDATION - UPFRONT COMM",F781="REVERSE - TOTAL FUNDING")),1,0)</f>
        <v>0</v>
      </c>
    </row>
    <row r="782" customFormat="false" ht="15" hidden="false" customHeight="false" outlineLevel="0" collapsed="false">
      <c r="A782" s="8" t="str">
        <f aca="false">IF(C782&lt;&gt;"","F"&amp;COUNT($C$4:C782),"")</f>
        <v/>
      </c>
      <c r="B782" s="9" t="str">
        <f aca="false">IF(OR(F782="LOC - INITIAL",F782="CONSOLIDATION - UPFRONT COMM",F782="REVERSE - TOTAL FUNDING"),A782,"")</f>
        <v/>
      </c>
      <c r="C782" s="10"/>
      <c r="D782" s="11"/>
      <c r="E782" s="11"/>
      <c r="F782" s="11"/>
      <c r="G782" s="12"/>
      <c r="H782" s="13"/>
      <c r="I782" s="11"/>
      <c r="J782" s="14" t="str">
        <f aca="false">IF(AND(G782&lt;&gt;"",H782&lt;&gt;""),G782*H782,"")</f>
        <v/>
      </c>
      <c r="K782" s="11"/>
      <c r="L782" s="15"/>
      <c r="M782" s="15"/>
      <c r="N782" s="14" t="n">
        <f aca="false">IF(OR(G782="",M782=""),0,IF(M782&gt;100,M782,G782*IF(M782&gt;1,M782/100,M782)))</f>
        <v>0</v>
      </c>
      <c r="O782" s="14" t="str">
        <f aca="false">IF(G782="","",G782*IF(L782="",0,IF(L782&gt;1,L782/100,L782))+N782)</f>
        <v/>
      </c>
      <c r="P782" s="11"/>
      <c r="Q782" s="16" t="str">
        <f aca="false">IF(P782="","",IFERROR(VLOOKUP(P782,PARTNERS!$A$2:$B$30,2,0),""))</f>
        <v/>
      </c>
      <c r="R782" s="17" t="str">
        <f aca="false">IF(O782="","",IF(OR(P782="",Q782=""),0,(O782-N782)*IF(Q782&gt;1,Q782/100,Q782)))</f>
        <v/>
      </c>
      <c r="S782" s="14" t="str">
        <f aca="false">IF(O782="","",O782-R782)</f>
        <v/>
      </c>
      <c r="T782" s="11"/>
      <c r="U782" s="18" t="str">
        <f aca="false">IF(T782="","",IFERROR(VLOOKUP(T782,REPS!$A$2:$D$40,2,0),""))</f>
        <v/>
      </c>
      <c r="V782" s="14" t="str">
        <f aca="false">IF(O782="","",IF(U782="",0,O782*IF(U782&gt;1,U782/100,U782)))</f>
        <v/>
      </c>
      <c r="W782" s="11"/>
      <c r="X782" s="18" t="str">
        <f aca="false">IF(W782="","",IFERROR(VLOOKUP(W782,REPS!$A$2:$D$40,3,0),""))</f>
        <v/>
      </c>
      <c r="Y782" s="14" t="str">
        <f aca="false">IF(O782="","",IF(X782="",0,O782*IF(X782&gt;1,X782/100,X782)))</f>
        <v/>
      </c>
      <c r="Z782" s="11"/>
      <c r="AA782" s="18" t="str">
        <f aca="false">IF(Z782="","",IFERROR(VLOOKUP(Z782,REPS!$A$2:$D$40,4,0),""))</f>
        <v/>
      </c>
      <c r="AB782" s="14" t="str">
        <f aca="false">IF(O782="","",IF(AA782="",0,O782*IF(AA782&gt;1,AA782/100,AA782)))</f>
        <v/>
      </c>
      <c r="AC782" s="14" t="str">
        <f aca="false">IF(O782="","",V782+Y782+AB782)</f>
        <v/>
      </c>
      <c r="AD782" s="19" t="str">
        <f aca="false">IF(O782="","",O782-R782-AC782)</f>
        <v/>
      </c>
      <c r="AE782" s="20"/>
      <c r="AF782" s="10"/>
      <c r="AG782" s="21" t="n">
        <f aca="false">IF(OR(AE782="",AE782=0),0,AE782*IF(U782="",0,IF(U782&gt;1,U782/100,U782)))</f>
        <v>0</v>
      </c>
      <c r="AH782" s="21" t="n">
        <f aca="false">IF(OR(AE782="",AE782=0),0,AE782*IF(X782="",0,IF(X782&gt;1,X782/100,X782)))</f>
        <v>0</v>
      </c>
      <c r="AI782" s="21" t="n">
        <f aca="false">IF(OR(AE782="",AE782=0),0,AE782*IF(AA782="",0,IF(AA782&gt;1,AA782/100,AA782)))</f>
        <v>0</v>
      </c>
      <c r="AJ782" s="21" t="n">
        <f aca="false">AG782+AH782+AI782</f>
        <v>0</v>
      </c>
      <c r="AK782" s="21" t="n">
        <f aca="false">IF(OR(AE782="",AE782=0),0,AE782-AJ782)</f>
        <v>0</v>
      </c>
      <c r="AL782" s="19" t="str">
        <f aca="false">IF(AD782="","",AD782-AK782)</f>
        <v/>
      </c>
      <c r="AM782" s="9" t="str">
        <f aca="false">IF(C782="","","Waiting for payment")</f>
        <v/>
      </c>
      <c r="AN782" s="10"/>
      <c r="AO782" s="10"/>
      <c r="AP782" s="22" t="str">
        <f aca="false">IF(OR(C782="",I782="",K782=""),"",IF(K782="Monthly",EDATE(C782,ROUND(I782*SETTINGS!$I$8,0)),WORKDAY(C782,ROUND(I782*SETTINGS!$I$8,0))))</f>
        <v/>
      </c>
      <c r="AQ782" s="9" t="str">
        <f aca="true">IF(C782="","",IF(AND(AP782&lt;&gt;"",TODAY()&gt;=AP782),"Refi Ready",IF(TODAY()-C782&gt;=SETTINGS!$I$11,"Prospecting","Performing")))</f>
        <v/>
      </c>
      <c r="AR782" s="22" t="str">
        <f aca="false">IF(OR(C782="",I782="",K782=""),"",IF(K782="Monthly",EDATE(C782,I782),WORKDAY(C782,I782)))</f>
        <v/>
      </c>
      <c r="AS782" s="11"/>
      <c r="AT782" s="23" t="str">
        <f aca="true">IF(C782="","",IF(AM782="Clawed Back","CLAWED",IF(TODAY()&lt;=C782+SETTINGS!$I$2,"⚠ AT RISK","SAFE")))</f>
        <v/>
      </c>
      <c r="AU782" s="11"/>
      <c r="AW782" s="24" t="n">
        <f aca="false">AW781+IF(AND(C782&lt;&gt;"",AO782&lt;&gt;"",OR('REP COMMISSION'!$B$3="",T782='REP COMMISSION'!$B$3,W782='REP COMMISSION'!$B$3,Z782='REP COMMISSION'!$B$3)),1,0)</f>
        <v>0</v>
      </c>
      <c r="AX782" s="24" t="n">
        <f aca="false">AX781+IF(AND(C782&lt;&gt;"",OR(F782="LOC - INITIAL",F782="CONSOLIDATION - UPFRONT COMM",F782="REVERSE - TOTAL FUNDING")),1,0)</f>
        <v>0</v>
      </c>
    </row>
    <row r="783" customFormat="false" ht="15" hidden="false" customHeight="false" outlineLevel="0" collapsed="false">
      <c r="A783" s="25" t="str">
        <f aca="false">IF(C783&lt;&gt;"","F"&amp;COUNT($C$4:C783),"")</f>
        <v/>
      </c>
      <c r="B783" s="26" t="str">
        <f aca="false">IF(OR(F783="LOC - INITIAL",F783="CONSOLIDATION - UPFRONT COMM",F783="REVERSE - TOTAL FUNDING"),A783,"")</f>
        <v/>
      </c>
      <c r="C783" s="27"/>
      <c r="D783" s="28"/>
      <c r="E783" s="28"/>
      <c r="F783" s="28"/>
      <c r="G783" s="29"/>
      <c r="H783" s="30"/>
      <c r="I783" s="28"/>
      <c r="J783" s="31" t="str">
        <f aca="false">IF(AND(G783&lt;&gt;"",H783&lt;&gt;""),G783*H783,"")</f>
        <v/>
      </c>
      <c r="K783" s="28"/>
      <c r="L783" s="32"/>
      <c r="M783" s="32"/>
      <c r="N783" s="31" t="n">
        <f aca="false">IF(OR(G783="",M783=""),0,IF(M783&gt;100,M783,G783*IF(M783&gt;1,M783/100,M783)))</f>
        <v>0</v>
      </c>
      <c r="O783" s="31" t="str">
        <f aca="false">IF(G783="","",G783*IF(L783="",0,IF(L783&gt;1,L783/100,L783))+N783)</f>
        <v/>
      </c>
      <c r="P783" s="28"/>
      <c r="Q783" s="33" t="str">
        <f aca="false">IF(P783="","",IFERROR(VLOOKUP(P783,PARTNERS!$A$2:$B$30,2,0),""))</f>
        <v/>
      </c>
      <c r="R783" s="17" t="str">
        <f aca="false">IF(O783="","",IF(OR(P783="",Q783=""),0,(O783-N783)*IF(Q783&gt;1,Q783/100,Q783)))</f>
        <v/>
      </c>
      <c r="S783" s="31" t="str">
        <f aca="false">IF(O783="","",O783-R783)</f>
        <v/>
      </c>
      <c r="T783" s="28"/>
      <c r="U783" s="34" t="str">
        <f aca="false">IF(T783="","",IFERROR(VLOOKUP(T783,REPS!$A$2:$D$40,2,0),""))</f>
        <v/>
      </c>
      <c r="V783" s="31" t="str">
        <f aca="false">IF(O783="","",IF(U783="",0,O783*IF(U783&gt;1,U783/100,U783)))</f>
        <v/>
      </c>
      <c r="W783" s="28"/>
      <c r="X783" s="34" t="str">
        <f aca="false">IF(W783="","",IFERROR(VLOOKUP(W783,REPS!$A$2:$D$40,3,0),""))</f>
        <v/>
      </c>
      <c r="Y783" s="31" t="str">
        <f aca="false">IF(O783="","",IF(X783="",0,O783*IF(X783&gt;1,X783/100,X783)))</f>
        <v/>
      </c>
      <c r="Z783" s="28"/>
      <c r="AA783" s="34" t="str">
        <f aca="false">IF(Z783="","",IFERROR(VLOOKUP(Z783,REPS!$A$2:$D$40,4,0),""))</f>
        <v/>
      </c>
      <c r="AB783" s="31" t="str">
        <f aca="false">IF(O783="","",IF(AA783="",0,O783*IF(AA783&gt;1,AA783/100,AA783)))</f>
        <v/>
      </c>
      <c r="AC783" s="31" t="str">
        <f aca="false">IF(O783="","",V783+Y783+AB783)</f>
        <v/>
      </c>
      <c r="AD783" s="19" t="str">
        <f aca="false">IF(O783="","",O783-R783-AC783)</f>
        <v/>
      </c>
      <c r="AE783" s="20"/>
      <c r="AF783" s="27"/>
      <c r="AG783" s="21" t="n">
        <f aca="false">IF(OR(AE783="",AE783=0),0,AE783*IF(U783="",0,IF(U783&gt;1,U783/100,U783)))</f>
        <v>0</v>
      </c>
      <c r="AH783" s="21" t="n">
        <f aca="false">IF(OR(AE783="",AE783=0),0,AE783*IF(X783="",0,IF(X783&gt;1,X783/100,X783)))</f>
        <v>0</v>
      </c>
      <c r="AI783" s="21" t="n">
        <f aca="false">IF(OR(AE783="",AE783=0),0,AE783*IF(AA783="",0,IF(AA783&gt;1,AA783/100,AA783)))</f>
        <v>0</v>
      </c>
      <c r="AJ783" s="21" t="n">
        <f aca="false">AG783+AH783+AI783</f>
        <v>0</v>
      </c>
      <c r="AK783" s="21" t="n">
        <f aca="false">IF(OR(AE783="",AE783=0),0,AE783-AJ783)</f>
        <v>0</v>
      </c>
      <c r="AL783" s="19" t="str">
        <f aca="false">IF(AD783="","",AD783-AK783)</f>
        <v/>
      </c>
      <c r="AM783" s="26" t="str">
        <f aca="false">IF(C783="","","Waiting for payment")</f>
        <v/>
      </c>
      <c r="AN783" s="27"/>
      <c r="AO783" s="27"/>
      <c r="AP783" s="35" t="str">
        <f aca="false">IF(OR(C783="",I783="",K783=""),"",IF(K783="Monthly",EDATE(C783,ROUND(I783*SETTINGS!$I$8,0)),WORKDAY(C783,ROUND(I783*SETTINGS!$I$8,0))))</f>
        <v/>
      </c>
      <c r="AQ783" s="26" t="str">
        <f aca="true">IF(C783="","",IF(AND(AP783&lt;&gt;"",TODAY()&gt;=AP783),"Refi Ready",IF(TODAY()-C783&gt;=SETTINGS!$I$11,"Prospecting","Performing")))</f>
        <v/>
      </c>
      <c r="AR783" s="35" t="str">
        <f aca="false">IF(OR(C783="",I783="",K783=""),"",IF(K783="Monthly",EDATE(C783,I783),WORKDAY(C783,I783)))</f>
        <v/>
      </c>
      <c r="AS783" s="28"/>
      <c r="AT783" s="36" t="str">
        <f aca="true">IF(C783="","",IF(AM783="Clawed Back","CLAWED",IF(TODAY()&lt;=C783+SETTINGS!$I$2,"⚠ AT RISK","SAFE")))</f>
        <v/>
      </c>
      <c r="AU783" s="28"/>
      <c r="AW783" s="24" t="n">
        <f aca="false">AW782+IF(AND(C783&lt;&gt;"",AO783&lt;&gt;"",OR('REP COMMISSION'!$B$3="",T783='REP COMMISSION'!$B$3,W783='REP COMMISSION'!$B$3,Z783='REP COMMISSION'!$B$3)),1,0)</f>
        <v>0</v>
      </c>
      <c r="AX783" s="24" t="n">
        <f aca="false">AX782+IF(AND(C783&lt;&gt;"",OR(F783="LOC - INITIAL",F783="CONSOLIDATION - UPFRONT COMM",F783="REVERSE - TOTAL FUNDING")),1,0)</f>
        <v>0</v>
      </c>
    </row>
    <row r="784" customFormat="false" ht="15" hidden="false" customHeight="false" outlineLevel="0" collapsed="false">
      <c r="A784" s="8" t="str">
        <f aca="false">IF(C784&lt;&gt;"","F"&amp;COUNT($C$4:C784),"")</f>
        <v/>
      </c>
      <c r="B784" s="9" t="str">
        <f aca="false">IF(OR(F784="LOC - INITIAL",F784="CONSOLIDATION - UPFRONT COMM",F784="REVERSE - TOTAL FUNDING"),A784,"")</f>
        <v/>
      </c>
      <c r="C784" s="10"/>
      <c r="D784" s="11"/>
      <c r="E784" s="11"/>
      <c r="F784" s="11"/>
      <c r="G784" s="12"/>
      <c r="H784" s="13"/>
      <c r="I784" s="11"/>
      <c r="J784" s="14" t="str">
        <f aca="false">IF(AND(G784&lt;&gt;"",H784&lt;&gt;""),G784*H784,"")</f>
        <v/>
      </c>
      <c r="K784" s="11"/>
      <c r="L784" s="15"/>
      <c r="M784" s="15"/>
      <c r="N784" s="14" t="n">
        <f aca="false">IF(OR(G784="",M784=""),0,IF(M784&gt;100,M784,G784*IF(M784&gt;1,M784/100,M784)))</f>
        <v>0</v>
      </c>
      <c r="O784" s="14" t="str">
        <f aca="false">IF(G784="","",G784*IF(L784="",0,IF(L784&gt;1,L784/100,L784))+N784)</f>
        <v/>
      </c>
      <c r="P784" s="11"/>
      <c r="Q784" s="16" t="str">
        <f aca="false">IF(P784="","",IFERROR(VLOOKUP(P784,PARTNERS!$A$2:$B$30,2,0),""))</f>
        <v/>
      </c>
      <c r="R784" s="17" t="str">
        <f aca="false">IF(O784="","",IF(OR(P784="",Q784=""),0,(O784-N784)*IF(Q784&gt;1,Q784/100,Q784)))</f>
        <v/>
      </c>
      <c r="S784" s="14" t="str">
        <f aca="false">IF(O784="","",O784-R784)</f>
        <v/>
      </c>
      <c r="T784" s="11"/>
      <c r="U784" s="18" t="str">
        <f aca="false">IF(T784="","",IFERROR(VLOOKUP(T784,REPS!$A$2:$D$40,2,0),""))</f>
        <v/>
      </c>
      <c r="V784" s="14" t="str">
        <f aca="false">IF(O784="","",IF(U784="",0,O784*IF(U784&gt;1,U784/100,U784)))</f>
        <v/>
      </c>
      <c r="W784" s="11"/>
      <c r="X784" s="18" t="str">
        <f aca="false">IF(W784="","",IFERROR(VLOOKUP(W784,REPS!$A$2:$D$40,3,0),""))</f>
        <v/>
      </c>
      <c r="Y784" s="14" t="str">
        <f aca="false">IF(O784="","",IF(X784="",0,O784*IF(X784&gt;1,X784/100,X784)))</f>
        <v/>
      </c>
      <c r="Z784" s="11"/>
      <c r="AA784" s="18" t="str">
        <f aca="false">IF(Z784="","",IFERROR(VLOOKUP(Z784,REPS!$A$2:$D$40,4,0),""))</f>
        <v/>
      </c>
      <c r="AB784" s="14" t="str">
        <f aca="false">IF(O784="","",IF(AA784="",0,O784*IF(AA784&gt;1,AA784/100,AA784)))</f>
        <v/>
      </c>
      <c r="AC784" s="14" t="str">
        <f aca="false">IF(O784="","",V784+Y784+AB784)</f>
        <v/>
      </c>
      <c r="AD784" s="19" t="str">
        <f aca="false">IF(O784="","",O784-R784-AC784)</f>
        <v/>
      </c>
      <c r="AE784" s="20"/>
      <c r="AF784" s="10"/>
      <c r="AG784" s="21" t="n">
        <f aca="false">IF(OR(AE784="",AE784=0),0,AE784*IF(U784="",0,IF(U784&gt;1,U784/100,U784)))</f>
        <v>0</v>
      </c>
      <c r="AH784" s="21" t="n">
        <f aca="false">IF(OR(AE784="",AE784=0),0,AE784*IF(X784="",0,IF(X784&gt;1,X784/100,X784)))</f>
        <v>0</v>
      </c>
      <c r="AI784" s="21" t="n">
        <f aca="false">IF(OR(AE784="",AE784=0),0,AE784*IF(AA784="",0,IF(AA784&gt;1,AA784/100,AA784)))</f>
        <v>0</v>
      </c>
      <c r="AJ784" s="21" t="n">
        <f aca="false">AG784+AH784+AI784</f>
        <v>0</v>
      </c>
      <c r="AK784" s="21" t="n">
        <f aca="false">IF(OR(AE784="",AE784=0),0,AE784-AJ784)</f>
        <v>0</v>
      </c>
      <c r="AL784" s="19" t="str">
        <f aca="false">IF(AD784="","",AD784-AK784)</f>
        <v/>
      </c>
      <c r="AM784" s="9" t="str">
        <f aca="false">IF(C784="","","Waiting for payment")</f>
        <v/>
      </c>
      <c r="AN784" s="10"/>
      <c r="AO784" s="10"/>
      <c r="AP784" s="22" t="str">
        <f aca="false">IF(OR(C784="",I784="",K784=""),"",IF(K784="Monthly",EDATE(C784,ROUND(I784*SETTINGS!$I$8,0)),WORKDAY(C784,ROUND(I784*SETTINGS!$I$8,0))))</f>
        <v/>
      </c>
      <c r="AQ784" s="9" t="str">
        <f aca="true">IF(C784="","",IF(AND(AP784&lt;&gt;"",TODAY()&gt;=AP784),"Refi Ready",IF(TODAY()-C784&gt;=SETTINGS!$I$11,"Prospecting","Performing")))</f>
        <v/>
      </c>
      <c r="AR784" s="22" t="str">
        <f aca="false">IF(OR(C784="",I784="",K784=""),"",IF(K784="Monthly",EDATE(C784,I784),WORKDAY(C784,I784)))</f>
        <v/>
      </c>
      <c r="AS784" s="11"/>
      <c r="AT784" s="23" t="str">
        <f aca="true">IF(C784="","",IF(AM784="Clawed Back","CLAWED",IF(TODAY()&lt;=C784+SETTINGS!$I$2,"⚠ AT RISK","SAFE")))</f>
        <v/>
      </c>
      <c r="AU784" s="11"/>
      <c r="AW784" s="24" t="n">
        <f aca="false">AW783+IF(AND(C784&lt;&gt;"",AO784&lt;&gt;"",OR('REP COMMISSION'!$B$3="",T784='REP COMMISSION'!$B$3,W784='REP COMMISSION'!$B$3,Z784='REP COMMISSION'!$B$3)),1,0)</f>
        <v>0</v>
      </c>
      <c r="AX784" s="24" t="n">
        <f aca="false">AX783+IF(AND(C784&lt;&gt;"",OR(F784="LOC - INITIAL",F784="CONSOLIDATION - UPFRONT COMM",F784="REVERSE - TOTAL FUNDING")),1,0)</f>
        <v>0</v>
      </c>
    </row>
    <row r="785" customFormat="false" ht="15" hidden="false" customHeight="false" outlineLevel="0" collapsed="false">
      <c r="A785" s="25" t="str">
        <f aca="false">IF(C785&lt;&gt;"","F"&amp;COUNT($C$4:C785),"")</f>
        <v/>
      </c>
      <c r="B785" s="26" t="str">
        <f aca="false">IF(OR(F785="LOC - INITIAL",F785="CONSOLIDATION - UPFRONT COMM",F785="REVERSE - TOTAL FUNDING"),A785,"")</f>
        <v/>
      </c>
      <c r="C785" s="27"/>
      <c r="D785" s="28"/>
      <c r="E785" s="28"/>
      <c r="F785" s="28"/>
      <c r="G785" s="29"/>
      <c r="H785" s="30"/>
      <c r="I785" s="28"/>
      <c r="J785" s="31" t="str">
        <f aca="false">IF(AND(G785&lt;&gt;"",H785&lt;&gt;""),G785*H785,"")</f>
        <v/>
      </c>
      <c r="K785" s="28"/>
      <c r="L785" s="32"/>
      <c r="M785" s="32"/>
      <c r="N785" s="31" t="n">
        <f aca="false">IF(OR(G785="",M785=""),0,IF(M785&gt;100,M785,G785*IF(M785&gt;1,M785/100,M785)))</f>
        <v>0</v>
      </c>
      <c r="O785" s="31" t="str">
        <f aca="false">IF(G785="","",G785*IF(L785="",0,IF(L785&gt;1,L785/100,L785))+N785)</f>
        <v/>
      </c>
      <c r="P785" s="28"/>
      <c r="Q785" s="33" t="str">
        <f aca="false">IF(P785="","",IFERROR(VLOOKUP(P785,PARTNERS!$A$2:$B$30,2,0),""))</f>
        <v/>
      </c>
      <c r="R785" s="17" t="str">
        <f aca="false">IF(O785="","",IF(OR(P785="",Q785=""),0,(O785-N785)*IF(Q785&gt;1,Q785/100,Q785)))</f>
        <v/>
      </c>
      <c r="S785" s="31" t="str">
        <f aca="false">IF(O785="","",O785-R785)</f>
        <v/>
      </c>
      <c r="T785" s="28"/>
      <c r="U785" s="34" t="str">
        <f aca="false">IF(T785="","",IFERROR(VLOOKUP(T785,REPS!$A$2:$D$40,2,0),""))</f>
        <v/>
      </c>
      <c r="V785" s="31" t="str">
        <f aca="false">IF(O785="","",IF(U785="",0,O785*IF(U785&gt;1,U785/100,U785)))</f>
        <v/>
      </c>
      <c r="W785" s="28"/>
      <c r="X785" s="34" t="str">
        <f aca="false">IF(W785="","",IFERROR(VLOOKUP(W785,REPS!$A$2:$D$40,3,0),""))</f>
        <v/>
      </c>
      <c r="Y785" s="31" t="str">
        <f aca="false">IF(O785="","",IF(X785="",0,O785*IF(X785&gt;1,X785/100,X785)))</f>
        <v/>
      </c>
      <c r="Z785" s="28"/>
      <c r="AA785" s="34" t="str">
        <f aca="false">IF(Z785="","",IFERROR(VLOOKUP(Z785,REPS!$A$2:$D$40,4,0),""))</f>
        <v/>
      </c>
      <c r="AB785" s="31" t="str">
        <f aca="false">IF(O785="","",IF(AA785="",0,O785*IF(AA785&gt;1,AA785/100,AA785)))</f>
        <v/>
      </c>
      <c r="AC785" s="31" t="str">
        <f aca="false">IF(O785="","",V785+Y785+AB785)</f>
        <v/>
      </c>
      <c r="AD785" s="19" t="str">
        <f aca="false">IF(O785="","",O785-R785-AC785)</f>
        <v/>
      </c>
      <c r="AE785" s="20"/>
      <c r="AF785" s="27"/>
      <c r="AG785" s="21" t="n">
        <f aca="false">IF(OR(AE785="",AE785=0),0,AE785*IF(U785="",0,IF(U785&gt;1,U785/100,U785)))</f>
        <v>0</v>
      </c>
      <c r="AH785" s="21" t="n">
        <f aca="false">IF(OR(AE785="",AE785=0),0,AE785*IF(X785="",0,IF(X785&gt;1,X785/100,X785)))</f>
        <v>0</v>
      </c>
      <c r="AI785" s="21" t="n">
        <f aca="false">IF(OR(AE785="",AE785=0),0,AE785*IF(AA785="",0,IF(AA785&gt;1,AA785/100,AA785)))</f>
        <v>0</v>
      </c>
      <c r="AJ785" s="21" t="n">
        <f aca="false">AG785+AH785+AI785</f>
        <v>0</v>
      </c>
      <c r="AK785" s="21" t="n">
        <f aca="false">IF(OR(AE785="",AE785=0),0,AE785-AJ785)</f>
        <v>0</v>
      </c>
      <c r="AL785" s="19" t="str">
        <f aca="false">IF(AD785="","",AD785-AK785)</f>
        <v/>
      </c>
      <c r="AM785" s="26" t="str">
        <f aca="false">IF(C785="","","Waiting for payment")</f>
        <v/>
      </c>
      <c r="AN785" s="27"/>
      <c r="AO785" s="27"/>
      <c r="AP785" s="35" t="str">
        <f aca="false">IF(OR(C785="",I785="",K785=""),"",IF(K785="Monthly",EDATE(C785,ROUND(I785*SETTINGS!$I$8,0)),WORKDAY(C785,ROUND(I785*SETTINGS!$I$8,0))))</f>
        <v/>
      </c>
      <c r="AQ785" s="26" t="str">
        <f aca="true">IF(C785="","",IF(AND(AP785&lt;&gt;"",TODAY()&gt;=AP785),"Refi Ready",IF(TODAY()-C785&gt;=SETTINGS!$I$11,"Prospecting","Performing")))</f>
        <v/>
      </c>
      <c r="AR785" s="35" t="str">
        <f aca="false">IF(OR(C785="",I785="",K785=""),"",IF(K785="Monthly",EDATE(C785,I785),WORKDAY(C785,I785)))</f>
        <v/>
      </c>
      <c r="AS785" s="28"/>
      <c r="AT785" s="36" t="str">
        <f aca="true">IF(C785="","",IF(AM785="Clawed Back","CLAWED",IF(TODAY()&lt;=C785+SETTINGS!$I$2,"⚠ AT RISK","SAFE")))</f>
        <v/>
      </c>
      <c r="AU785" s="28"/>
      <c r="AW785" s="24" t="n">
        <f aca="false">AW784+IF(AND(C785&lt;&gt;"",AO785&lt;&gt;"",OR('REP COMMISSION'!$B$3="",T785='REP COMMISSION'!$B$3,W785='REP COMMISSION'!$B$3,Z785='REP COMMISSION'!$B$3)),1,0)</f>
        <v>0</v>
      </c>
      <c r="AX785" s="24" t="n">
        <f aca="false">AX784+IF(AND(C785&lt;&gt;"",OR(F785="LOC - INITIAL",F785="CONSOLIDATION - UPFRONT COMM",F785="REVERSE - TOTAL FUNDING")),1,0)</f>
        <v>0</v>
      </c>
    </row>
    <row r="786" customFormat="false" ht="15" hidden="false" customHeight="false" outlineLevel="0" collapsed="false">
      <c r="A786" s="8" t="str">
        <f aca="false">IF(C786&lt;&gt;"","F"&amp;COUNT($C$4:C786),"")</f>
        <v/>
      </c>
      <c r="B786" s="9" t="str">
        <f aca="false">IF(OR(F786="LOC - INITIAL",F786="CONSOLIDATION - UPFRONT COMM",F786="REVERSE - TOTAL FUNDING"),A786,"")</f>
        <v/>
      </c>
      <c r="C786" s="10"/>
      <c r="D786" s="11"/>
      <c r="E786" s="11"/>
      <c r="F786" s="11"/>
      <c r="G786" s="12"/>
      <c r="H786" s="13"/>
      <c r="I786" s="11"/>
      <c r="J786" s="14" t="str">
        <f aca="false">IF(AND(G786&lt;&gt;"",H786&lt;&gt;""),G786*H786,"")</f>
        <v/>
      </c>
      <c r="K786" s="11"/>
      <c r="L786" s="15"/>
      <c r="M786" s="15"/>
      <c r="N786" s="14" t="n">
        <f aca="false">IF(OR(G786="",M786=""),0,IF(M786&gt;100,M786,G786*IF(M786&gt;1,M786/100,M786)))</f>
        <v>0</v>
      </c>
      <c r="O786" s="14" t="str">
        <f aca="false">IF(G786="","",G786*IF(L786="",0,IF(L786&gt;1,L786/100,L786))+N786)</f>
        <v/>
      </c>
      <c r="P786" s="11"/>
      <c r="Q786" s="16" t="str">
        <f aca="false">IF(P786="","",IFERROR(VLOOKUP(P786,PARTNERS!$A$2:$B$30,2,0),""))</f>
        <v/>
      </c>
      <c r="R786" s="17" t="str">
        <f aca="false">IF(O786="","",IF(OR(P786="",Q786=""),0,(O786-N786)*IF(Q786&gt;1,Q786/100,Q786)))</f>
        <v/>
      </c>
      <c r="S786" s="14" t="str">
        <f aca="false">IF(O786="","",O786-R786)</f>
        <v/>
      </c>
      <c r="T786" s="11"/>
      <c r="U786" s="18" t="str">
        <f aca="false">IF(T786="","",IFERROR(VLOOKUP(T786,REPS!$A$2:$D$40,2,0),""))</f>
        <v/>
      </c>
      <c r="V786" s="14" t="str">
        <f aca="false">IF(O786="","",IF(U786="",0,O786*IF(U786&gt;1,U786/100,U786)))</f>
        <v/>
      </c>
      <c r="W786" s="11"/>
      <c r="X786" s="18" t="str">
        <f aca="false">IF(W786="","",IFERROR(VLOOKUP(W786,REPS!$A$2:$D$40,3,0),""))</f>
        <v/>
      </c>
      <c r="Y786" s="14" t="str">
        <f aca="false">IF(O786="","",IF(X786="",0,O786*IF(X786&gt;1,X786/100,X786)))</f>
        <v/>
      </c>
      <c r="Z786" s="11"/>
      <c r="AA786" s="18" t="str">
        <f aca="false">IF(Z786="","",IFERROR(VLOOKUP(Z786,REPS!$A$2:$D$40,4,0),""))</f>
        <v/>
      </c>
      <c r="AB786" s="14" t="str">
        <f aca="false">IF(O786="","",IF(AA786="",0,O786*IF(AA786&gt;1,AA786/100,AA786)))</f>
        <v/>
      </c>
      <c r="AC786" s="14" t="str">
        <f aca="false">IF(O786="","",V786+Y786+AB786)</f>
        <v/>
      </c>
      <c r="AD786" s="19" t="str">
        <f aca="false">IF(O786="","",O786-R786-AC786)</f>
        <v/>
      </c>
      <c r="AE786" s="20"/>
      <c r="AF786" s="10"/>
      <c r="AG786" s="21" t="n">
        <f aca="false">IF(OR(AE786="",AE786=0),0,AE786*IF(U786="",0,IF(U786&gt;1,U786/100,U786)))</f>
        <v>0</v>
      </c>
      <c r="AH786" s="21" t="n">
        <f aca="false">IF(OR(AE786="",AE786=0),0,AE786*IF(X786="",0,IF(X786&gt;1,X786/100,X786)))</f>
        <v>0</v>
      </c>
      <c r="AI786" s="21" t="n">
        <f aca="false">IF(OR(AE786="",AE786=0),0,AE786*IF(AA786="",0,IF(AA786&gt;1,AA786/100,AA786)))</f>
        <v>0</v>
      </c>
      <c r="AJ786" s="21" t="n">
        <f aca="false">AG786+AH786+AI786</f>
        <v>0</v>
      </c>
      <c r="AK786" s="21" t="n">
        <f aca="false">IF(OR(AE786="",AE786=0),0,AE786-AJ786)</f>
        <v>0</v>
      </c>
      <c r="AL786" s="19" t="str">
        <f aca="false">IF(AD786="","",AD786-AK786)</f>
        <v/>
      </c>
      <c r="AM786" s="9" t="str">
        <f aca="false">IF(C786="","","Waiting for payment")</f>
        <v/>
      </c>
      <c r="AN786" s="10"/>
      <c r="AO786" s="10"/>
      <c r="AP786" s="22" t="str">
        <f aca="false">IF(OR(C786="",I786="",K786=""),"",IF(K786="Monthly",EDATE(C786,ROUND(I786*SETTINGS!$I$8,0)),WORKDAY(C786,ROUND(I786*SETTINGS!$I$8,0))))</f>
        <v/>
      </c>
      <c r="AQ786" s="9" t="str">
        <f aca="true">IF(C786="","",IF(AND(AP786&lt;&gt;"",TODAY()&gt;=AP786),"Refi Ready",IF(TODAY()-C786&gt;=SETTINGS!$I$11,"Prospecting","Performing")))</f>
        <v/>
      </c>
      <c r="AR786" s="22" t="str">
        <f aca="false">IF(OR(C786="",I786="",K786=""),"",IF(K786="Monthly",EDATE(C786,I786),WORKDAY(C786,I786)))</f>
        <v/>
      </c>
      <c r="AS786" s="11"/>
      <c r="AT786" s="23" t="str">
        <f aca="true">IF(C786="","",IF(AM786="Clawed Back","CLAWED",IF(TODAY()&lt;=C786+SETTINGS!$I$2,"⚠ AT RISK","SAFE")))</f>
        <v/>
      </c>
      <c r="AU786" s="11"/>
      <c r="AW786" s="24" t="n">
        <f aca="false">AW785+IF(AND(C786&lt;&gt;"",AO786&lt;&gt;"",OR('REP COMMISSION'!$B$3="",T786='REP COMMISSION'!$B$3,W786='REP COMMISSION'!$B$3,Z786='REP COMMISSION'!$B$3)),1,0)</f>
        <v>0</v>
      </c>
      <c r="AX786" s="24" t="n">
        <f aca="false">AX785+IF(AND(C786&lt;&gt;"",OR(F786="LOC - INITIAL",F786="CONSOLIDATION - UPFRONT COMM",F786="REVERSE - TOTAL FUNDING")),1,0)</f>
        <v>0</v>
      </c>
    </row>
    <row r="787" customFormat="false" ht="15" hidden="false" customHeight="false" outlineLevel="0" collapsed="false">
      <c r="A787" s="25" t="str">
        <f aca="false">IF(C787&lt;&gt;"","F"&amp;COUNT($C$4:C787),"")</f>
        <v/>
      </c>
      <c r="B787" s="26" t="str">
        <f aca="false">IF(OR(F787="LOC - INITIAL",F787="CONSOLIDATION - UPFRONT COMM",F787="REVERSE - TOTAL FUNDING"),A787,"")</f>
        <v/>
      </c>
      <c r="C787" s="27"/>
      <c r="D787" s="28"/>
      <c r="E787" s="28"/>
      <c r="F787" s="28"/>
      <c r="G787" s="29"/>
      <c r="H787" s="30"/>
      <c r="I787" s="28"/>
      <c r="J787" s="31" t="str">
        <f aca="false">IF(AND(G787&lt;&gt;"",H787&lt;&gt;""),G787*H787,"")</f>
        <v/>
      </c>
      <c r="K787" s="28"/>
      <c r="L787" s="32"/>
      <c r="M787" s="32"/>
      <c r="N787" s="31" t="n">
        <f aca="false">IF(OR(G787="",M787=""),0,IF(M787&gt;100,M787,G787*IF(M787&gt;1,M787/100,M787)))</f>
        <v>0</v>
      </c>
      <c r="O787" s="31" t="str">
        <f aca="false">IF(G787="","",G787*IF(L787="",0,IF(L787&gt;1,L787/100,L787))+N787)</f>
        <v/>
      </c>
      <c r="P787" s="28"/>
      <c r="Q787" s="33" t="str">
        <f aca="false">IF(P787="","",IFERROR(VLOOKUP(P787,PARTNERS!$A$2:$B$30,2,0),""))</f>
        <v/>
      </c>
      <c r="R787" s="17" t="str">
        <f aca="false">IF(O787="","",IF(OR(P787="",Q787=""),0,(O787-N787)*IF(Q787&gt;1,Q787/100,Q787)))</f>
        <v/>
      </c>
      <c r="S787" s="31" t="str">
        <f aca="false">IF(O787="","",O787-R787)</f>
        <v/>
      </c>
      <c r="T787" s="28"/>
      <c r="U787" s="34" t="str">
        <f aca="false">IF(T787="","",IFERROR(VLOOKUP(T787,REPS!$A$2:$D$40,2,0),""))</f>
        <v/>
      </c>
      <c r="V787" s="31" t="str">
        <f aca="false">IF(O787="","",IF(U787="",0,O787*IF(U787&gt;1,U787/100,U787)))</f>
        <v/>
      </c>
      <c r="W787" s="28"/>
      <c r="X787" s="34" t="str">
        <f aca="false">IF(W787="","",IFERROR(VLOOKUP(W787,REPS!$A$2:$D$40,3,0),""))</f>
        <v/>
      </c>
      <c r="Y787" s="31" t="str">
        <f aca="false">IF(O787="","",IF(X787="",0,O787*IF(X787&gt;1,X787/100,X787)))</f>
        <v/>
      </c>
      <c r="Z787" s="28"/>
      <c r="AA787" s="34" t="str">
        <f aca="false">IF(Z787="","",IFERROR(VLOOKUP(Z787,REPS!$A$2:$D$40,4,0),""))</f>
        <v/>
      </c>
      <c r="AB787" s="31" t="str">
        <f aca="false">IF(O787="","",IF(AA787="",0,O787*IF(AA787&gt;1,AA787/100,AA787)))</f>
        <v/>
      </c>
      <c r="AC787" s="31" t="str">
        <f aca="false">IF(O787="","",V787+Y787+AB787)</f>
        <v/>
      </c>
      <c r="AD787" s="19" t="str">
        <f aca="false">IF(O787="","",O787-R787-AC787)</f>
        <v/>
      </c>
      <c r="AE787" s="20"/>
      <c r="AF787" s="27"/>
      <c r="AG787" s="21" t="n">
        <f aca="false">IF(OR(AE787="",AE787=0),0,AE787*IF(U787="",0,IF(U787&gt;1,U787/100,U787)))</f>
        <v>0</v>
      </c>
      <c r="AH787" s="21" t="n">
        <f aca="false">IF(OR(AE787="",AE787=0),0,AE787*IF(X787="",0,IF(X787&gt;1,X787/100,X787)))</f>
        <v>0</v>
      </c>
      <c r="AI787" s="21" t="n">
        <f aca="false">IF(OR(AE787="",AE787=0),0,AE787*IF(AA787="",0,IF(AA787&gt;1,AA787/100,AA787)))</f>
        <v>0</v>
      </c>
      <c r="AJ787" s="21" t="n">
        <f aca="false">AG787+AH787+AI787</f>
        <v>0</v>
      </c>
      <c r="AK787" s="21" t="n">
        <f aca="false">IF(OR(AE787="",AE787=0),0,AE787-AJ787)</f>
        <v>0</v>
      </c>
      <c r="AL787" s="19" t="str">
        <f aca="false">IF(AD787="","",AD787-AK787)</f>
        <v/>
      </c>
      <c r="AM787" s="26" t="str">
        <f aca="false">IF(C787="","","Waiting for payment")</f>
        <v/>
      </c>
      <c r="AN787" s="27"/>
      <c r="AO787" s="27"/>
      <c r="AP787" s="35" t="str">
        <f aca="false">IF(OR(C787="",I787="",K787=""),"",IF(K787="Monthly",EDATE(C787,ROUND(I787*SETTINGS!$I$8,0)),WORKDAY(C787,ROUND(I787*SETTINGS!$I$8,0))))</f>
        <v/>
      </c>
      <c r="AQ787" s="26" t="str">
        <f aca="true">IF(C787="","",IF(AND(AP787&lt;&gt;"",TODAY()&gt;=AP787),"Refi Ready",IF(TODAY()-C787&gt;=SETTINGS!$I$11,"Prospecting","Performing")))</f>
        <v/>
      </c>
      <c r="AR787" s="35" t="str">
        <f aca="false">IF(OR(C787="",I787="",K787=""),"",IF(K787="Monthly",EDATE(C787,I787),WORKDAY(C787,I787)))</f>
        <v/>
      </c>
      <c r="AS787" s="28"/>
      <c r="AT787" s="36" t="str">
        <f aca="true">IF(C787="","",IF(AM787="Clawed Back","CLAWED",IF(TODAY()&lt;=C787+SETTINGS!$I$2,"⚠ AT RISK","SAFE")))</f>
        <v/>
      </c>
      <c r="AU787" s="28"/>
      <c r="AW787" s="24" t="n">
        <f aca="false">AW786+IF(AND(C787&lt;&gt;"",AO787&lt;&gt;"",OR('REP COMMISSION'!$B$3="",T787='REP COMMISSION'!$B$3,W787='REP COMMISSION'!$B$3,Z787='REP COMMISSION'!$B$3)),1,0)</f>
        <v>0</v>
      </c>
      <c r="AX787" s="24" t="n">
        <f aca="false">AX786+IF(AND(C787&lt;&gt;"",OR(F787="LOC - INITIAL",F787="CONSOLIDATION - UPFRONT COMM",F787="REVERSE - TOTAL FUNDING")),1,0)</f>
        <v>0</v>
      </c>
    </row>
    <row r="788" customFormat="false" ht="15" hidden="false" customHeight="false" outlineLevel="0" collapsed="false">
      <c r="A788" s="8" t="str">
        <f aca="false">IF(C788&lt;&gt;"","F"&amp;COUNT($C$4:C788),"")</f>
        <v/>
      </c>
      <c r="B788" s="9" t="str">
        <f aca="false">IF(OR(F788="LOC - INITIAL",F788="CONSOLIDATION - UPFRONT COMM",F788="REVERSE - TOTAL FUNDING"),A788,"")</f>
        <v/>
      </c>
      <c r="C788" s="10"/>
      <c r="D788" s="11"/>
      <c r="E788" s="11"/>
      <c r="F788" s="11"/>
      <c r="G788" s="12"/>
      <c r="H788" s="13"/>
      <c r="I788" s="11"/>
      <c r="J788" s="14" t="str">
        <f aca="false">IF(AND(G788&lt;&gt;"",H788&lt;&gt;""),G788*H788,"")</f>
        <v/>
      </c>
      <c r="K788" s="11"/>
      <c r="L788" s="15"/>
      <c r="M788" s="15"/>
      <c r="N788" s="14" t="n">
        <f aca="false">IF(OR(G788="",M788=""),0,IF(M788&gt;100,M788,G788*IF(M788&gt;1,M788/100,M788)))</f>
        <v>0</v>
      </c>
      <c r="O788" s="14" t="str">
        <f aca="false">IF(G788="","",G788*IF(L788="",0,IF(L788&gt;1,L788/100,L788))+N788)</f>
        <v/>
      </c>
      <c r="P788" s="11"/>
      <c r="Q788" s="16" t="str">
        <f aca="false">IF(P788="","",IFERROR(VLOOKUP(P788,PARTNERS!$A$2:$B$30,2,0),""))</f>
        <v/>
      </c>
      <c r="R788" s="17" t="str">
        <f aca="false">IF(O788="","",IF(OR(P788="",Q788=""),0,(O788-N788)*IF(Q788&gt;1,Q788/100,Q788)))</f>
        <v/>
      </c>
      <c r="S788" s="14" t="str">
        <f aca="false">IF(O788="","",O788-R788)</f>
        <v/>
      </c>
      <c r="T788" s="11"/>
      <c r="U788" s="18" t="str">
        <f aca="false">IF(T788="","",IFERROR(VLOOKUP(T788,REPS!$A$2:$D$40,2,0),""))</f>
        <v/>
      </c>
      <c r="V788" s="14" t="str">
        <f aca="false">IF(O788="","",IF(U788="",0,O788*IF(U788&gt;1,U788/100,U788)))</f>
        <v/>
      </c>
      <c r="W788" s="11"/>
      <c r="X788" s="18" t="str">
        <f aca="false">IF(W788="","",IFERROR(VLOOKUP(W788,REPS!$A$2:$D$40,3,0),""))</f>
        <v/>
      </c>
      <c r="Y788" s="14" t="str">
        <f aca="false">IF(O788="","",IF(X788="",0,O788*IF(X788&gt;1,X788/100,X788)))</f>
        <v/>
      </c>
      <c r="Z788" s="11"/>
      <c r="AA788" s="18" t="str">
        <f aca="false">IF(Z788="","",IFERROR(VLOOKUP(Z788,REPS!$A$2:$D$40,4,0),""))</f>
        <v/>
      </c>
      <c r="AB788" s="14" t="str">
        <f aca="false">IF(O788="","",IF(AA788="",0,O788*IF(AA788&gt;1,AA788/100,AA788)))</f>
        <v/>
      </c>
      <c r="AC788" s="14" t="str">
        <f aca="false">IF(O788="","",V788+Y788+AB788)</f>
        <v/>
      </c>
      <c r="AD788" s="19" t="str">
        <f aca="false">IF(O788="","",O788-R788-AC788)</f>
        <v/>
      </c>
      <c r="AE788" s="20"/>
      <c r="AF788" s="10"/>
      <c r="AG788" s="21" t="n">
        <f aca="false">IF(OR(AE788="",AE788=0),0,AE788*IF(U788="",0,IF(U788&gt;1,U788/100,U788)))</f>
        <v>0</v>
      </c>
      <c r="AH788" s="21" t="n">
        <f aca="false">IF(OR(AE788="",AE788=0),0,AE788*IF(X788="",0,IF(X788&gt;1,X788/100,X788)))</f>
        <v>0</v>
      </c>
      <c r="AI788" s="21" t="n">
        <f aca="false">IF(OR(AE788="",AE788=0),0,AE788*IF(AA788="",0,IF(AA788&gt;1,AA788/100,AA788)))</f>
        <v>0</v>
      </c>
      <c r="AJ788" s="21" t="n">
        <f aca="false">AG788+AH788+AI788</f>
        <v>0</v>
      </c>
      <c r="AK788" s="21" t="n">
        <f aca="false">IF(OR(AE788="",AE788=0),0,AE788-AJ788)</f>
        <v>0</v>
      </c>
      <c r="AL788" s="19" t="str">
        <f aca="false">IF(AD788="","",AD788-AK788)</f>
        <v/>
      </c>
      <c r="AM788" s="9" t="str">
        <f aca="false">IF(C788="","","Waiting for payment")</f>
        <v/>
      </c>
      <c r="AN788" s="10"/>
      <c r="AO788" s="10"/>
      <c r="AP788" s="22" t="str">
        <f aca="false">IF(OR(C788="",I788="",K788=""),"",IF(K788="Monthly",EDATE(C788,ROUND(I788*SETTINGS!$I$8,0)),WORKDAY(C788,ROUND(I788*SETTINGS!$I$8,0))))</f>
        <v/>
      </c>
      <c r="AQ788" s="9" t="str">
        <f aca="true">IF(C788="","",IF(AND(AP788&lt;&gt;"",TODAY()&gt;=AP788),"Refi Ready",IF(TODAY()-C788&gt;=SETTINGS!$I$11,"Prospecting","Performing")))</f>
        <v/>
      </c>
      <c r="AR788" s="22" t="str">
        <f aca="false">IF(OR(C788="",I788="",K788=""),"",IF(K788="Monthly",EDATE(C788,I788),WORKDAY(C788,I788)))</f>
        <v/>
      </c>
      <c r="AS788" s="11"/>
      <c r="AT788" s="23" t="str">
        <f aca="true">IF(C788="","",IF(AM788="Clawed Back","CLAWED",IF(TODAY()&lt;=C788+SETTINGS!$I$2,"⚠ AT RISK","SAFE")))</f>
        <v/>
      </c>
      <c r="AU788" s="11"/>
      <c r="AW788" s="24" t="n">
        <f aca="false">AW787+IF(AND(C788&lt;&gt;"",AO788&lt;&gt;"",OR('REP COMMISSION'!$B$3="",T788='REP COMMISSION'!$B$3,W788='REP COMMISSION'!$B$3,Z788='REP COMMISSION'!$B$3)),1,0)</f>
        <v>0</v>
      </c>
      <c r="AX788" s="24" t="n">
        <f aca="false">AX787+IF(AND(C788&lt;&gt;"",OR(F788="LOC - INITIAL",F788="CONSOLIDATION - UPFRONT COMM",F788="REVERSE - TOTAL FUNDING")),1,0)</f>
        <v>0</v>
      </c>
    </row>
    <row r="789" customFormat="false" ht="15" hidden="false" customHeight="false" outlineLevel="0" collapsed="false">
      <c r="A789" s="25" t="str">
        <f aca="false">IF(C789&lt;&gt;"","F"&amp;COUNT($C$4:C789),"")</f>
        <v/>
      </c>
      <c r="B789" s="26" t="str">
        <f aca="false">IF(OR(F789="LOC - INITIAL",F789="CONSOLIDATION - UPFRONT COMM",F789="REVERSE - TOTAL FUNDING"),A789,"")</f>
        <v/>
      </c>
      <c r="C789" s="27"/>
      <c r="D789" s="28"/>
      <c r="E789" s="28"/>
      <c r="F789" s="28"/>
      <c r="G789" s="29"/>
      <c r="H789" s="30"/>
      <c r="I789" s="28"/>
      <c r="J789" s="31" t="str">
        <f aca="false">IF(AND(G789&lt;&gt;"",H789&lt;&gt;""),G789*H789,"")</f>
        <v/>
      </c>
      <c r="K789" s="28"/>
      <c r="L789" s="32"/>
      <c r="M789" s="32"/>
      <c r="N789" s="31" t="n">
        <f aca="false">IF(OR(G789="",M789=""),0,IF(M789&gt;100,M789,G789*IF(M789&gt;1,M789/100,M789)))</f>
        <v>0</v>
      </c>
      <c r="O789" s="31" t="str">
        <f aca="false">IF(G789="","",G789*IF(L789="",0,IF(L789&gt;1,L789/100,L789))+N789)</f>
        <v/>
      </c>
      <c r="P789" s="28"/>
      <c r="Q789" s="33" t="str">
        <f aca="false">IF(P789="","",IFERROR(VLOOKUP(P789,PARTNERS!$A$2:$B$30,2,0),""))</f>
        <v/>
      </c>
      <c r="R789" s="17" t="str">
        <f aca="false">IF(O789="","",IF(OR(P789="",Q789=""),0,(O789-N789)*IF(Q789&gt;1,Q789/100,Q789)))</f>
        <v/>
      </c>
      <c r="S789" s="31" t="str">
        <f aca="false">IF(O789="","",O789-R789)</f>
        <v/>
      </c>
      <c r="T789" s="28"/>
      <c r="U789" s="34" t="str">
        <f aca="false">IF(T789="","",IFERROR(VLOOKUP(T789,REPS!$A$2:$D$40,2,0),""))</f>
        <v/>
      </c>
      <c r="V789" s="31" t="str">
        <f aca="false">IF(O789="","",IF(U789="",0,O789*IF(U789&gt;1,U789/100,U789)))</f>
        <v/>
      </c>
      <c r="W789" s="28"/>
      <c r="X789" s="34" t="str">
        <f aca="false">IF(W789="","",IFERROR(VLOOKUP(W789,REPS!$A$2:$D$40,3,0),""))</f>
        <v/>
      </c>
      <c r="Y789" s="31" t="str">
        <f aca="false">IF(O789="","",IF(X789="",0,O789*IF(X789&gt;1,X789/100,X789)))</f>
        <v/>
      </c>
      <c r="Z789" s="28"/>
      <c r="AA789" s="34" t="str">
        <f aca="false">IF(Z789="","",IFERROR(VLOOKUP(Z789,REPS!$A$2:$D$40,4,0),""))</f>
        <v/>
      </c>
      <c r="AB789" s="31" t="str">
        <f aca="false">IF(O789="","",IF(AA789="",0,O789*IF(AA789&gt;1,AA789/100,AA789)))</f>
        <v/>
      </c>
      <c r="AC789" s="31" t="str">
        <f aca="false">IF(O789="","",V789+Y789+AB789)</f>
        <v/>
      </c>
      <c r="AD789" s="19" t="str">
        <f aca="false">IF(O789="","",O789-R789-AC789)</f>
        <v/>
      </c>
      <c r="AE789" s="20"/>
      <c r="AF789" s="27"/>
      <c r="AG789" s="21" t="n">
        <f aca="false">IF(OR(AE789="",AE789=0),0,AE789*IF(U789="",0,IF(U789&gt;1,U789/100,U789)))</f>
        <v>0</v>
      </c>
      <c r="AH789" s="21" t="n">
        <f aca="false">IF(OR(AE789="",AE789=0),0,AE789*IF(X789="",0,IF(X789&gt;1,X789/100,X789)))</f>
        <v>0</v>
      </c>
      <c r="AI789" s="21" t="n">
        <f aca="false">IF(OR(AE789="",AE789=0),0,AE789*IF(AA789="",0,IF(AA789&gt;1,AA789/100,AA789)))</f>
        <v>0</v>
      </c>
      <c r="AJ789" s="21" t="n">
        <f aca="false">AG789+AH789+AI789</f>
        <v>0</v>
      </c>
      <c r="AK789" s="21" t="n">
        <f aca="false">IF(OR(AE789="",AE789=0),0,AE789-AJ789)</f>
        <v>0</v>
      </c>
      <c r="AL789" s="19" t="str">
        <f aca="false">IF(AD789="","",AD789-AK789)</f>
        <v/>
      </c>
      <c r="AM789" s="26" t="str">
        <f aca="false">IF(C789="","","Waiting for payment")</f>
        <v/>
      </c>
      <c r="AN789" s="27"/>
      <c r="AO789" s="27"/>
      <c r="AP789" s="35" t="str">
        <f aca="false">IF(OR(C789="",I789="",K789=""),"",IF(K789="Monthly",EDATE(C789,ROUND(I789*SETTINGS!$I$8,0)),WORKDAY(C789,ROUND(I789*SETTINGS!$I$8,0))))</f>
        <v/>
      </c>
      <c r="AQ789" s="26" t="str">
        <f aca="true">IF(C789="","",IF(AND(AP789&lt;&gt;"",TODAY()&gt;=AP789),"Refi Ready",IF(TODAY()-C789&gt;=SETTINGS!$I$11,"Prospecting","Performing")))</f>
        <v/>
      </c>
      <c r="AR789" s="35" t="str">
        <f aca="false">IF(OR(C789="",I789="",K789=""),"",IF(K789="Monthly",EDATE(C789,I789),WORKDAY(C789,I789)))</f>
        <v/>
      </c>
      <c r="AS789" s="28"/>
      <c r="AT789" s="36" t="str">
        <f aca="true">IF(C789="","",IF(AM789="Clawed Back","CLAWED",IF(TODAY()&lt;=C789+SETTINGS!$I$2,"⚠ AT RISK","SAFE")))</f>
        <v/>
      </c>
      <c r="AU789" s="28"/>
      <c r="AW789" s="24" t="n">
        <f aca="false">AW788+IF(AND(C789&lt;&gt;"",AO789&lt;&gt;"",OR('REP COMMISSION'!$B$3="",T789='REP COMMISSION'!$B$3,W789='REP COMMISSION'!$B$3,Z789='REP COMMISSION'!$B$3)),1,0)</f>
        <v>0</v>
      </c>
      <c r="AX789" s="24" t="n">
        <f aca="false">AX788+IF(AND(C789&lt;&gt;"",OR(F789="LOC - INITIAL",F789="CONSOLIDATION - UPFRONT COMM",F789="REVERSE - TOTAL FUNDING")),1,0)</f>
        <v>0</v>
      </c>
    </row>
    <row r="790" customFormat="false" ht="15" hidden="false" customHeight="false" outlineLevel="0" collapsed="false">
      <c r="A790" s="8" t="str">
        <f aca="false">IF(C790&lt;&gt;"","F"&amp;COUNT($C$4:C790),"")</f>
        <v/>
      </c>
      <c r="B790" s="9" t="str">
        <f aca="false">IF(OR(F790="LOC - INITIAL",F790="CONSOLIDATION - UPFRONT COMM",F790="REVERSE - TOTAL FUNDING"),A790,"")</f>
        <v/>
      </c>
      <c r="C790" s="10"/>
      <c r="D790" s="11"/>
      <c r="E790" s="11"/>
      <c r="F790" s="11"/>
      <c r="G790" s="12"/>
      <c r="H790" s="13"/>
      <c r="I790" s="11"/>
      <c r="J790" s="14" t="str">
        <f aca="false">IF(AND(G790&lt;&gt;"",H790&lt;&gt;""),G790*H790,"")</f>
        <v/>
      </c>
      <c r="K790" s="11"/>
      <c r="L790" s="15"/>
      <c r="M790" s="15"/>
      <c r="N790" s="14" t="n">
        <f aca="false">IF(OR(G790="",M790=""),0,IF(M790&gt;100,M790,G790*IF(M790&gt;1,M790/100,M790)))</f>
        <v>0</v>
      </c>
      <c r="O790" s="14" t="str">
        <f aca="false">IF(G790="","",G790*IF(L790="",0,IF(L790&gt;1,L790/100,L790))+N790)</f>
        <v/>
      </c>
      <c r="P790" s="11"/>
      <c r="Q790" s="16" t="str">
        <f aca="false">IF(P790="","",IFERROR(VLOOKUP(P790,PARTNERS!$A$2:$B$30,2,0),""))</f>
        <v/>
      </c>
      <c r="R790" s="17" t="str">
        <f aca="false">IF(O790="","",IF(OR(P790="",Q790=""),0,(O790-N790)*IF(Q790&gt;1,Q790/100,Q790)))</f>
        <v/>
      </c>
      <c r="S790" s="14" t="str">
        <f aca="false">IF(O790="","",O790-R790)</f>
        <v/>
      </c>
      <c r="T790" s="11"/>
      <c r="U790" s="18" t="str">
        <f aca="false">IF(T790="","",IFERROR(VLOOKUP(T790,REPS!$A$2:$D$40,2,0),""))</f>
        <v/>
      </c>
      <c r="V790" s="14" t="str">
        <f aca="false">IF(O790="","",IF(U790="",0,O790*IF(U790&gt;1,U790/100,U790)))</f>
        <v/>
      </c>
      <c r="W790" s="11"/>
      <c r="X790" s="18" t="str">
        <f aca="false">IF(W790="","",IFERROR(VLOOKUP(W790,REPS!$A$2:$D$40,3,0),""))</f>
        <v/>
      </c>
      <c r="Y790" s="14" t="str">
        <f aca="false">IF(O790="","",IF(X790="",0,O790*IF(X790&gt;1,X790/100,X790)))</f>
        <v/>
      </c>
      <c r="Z790" s="11"/>
      <c r="AA790" s="18" t="str">
        <f aca="false">IF(Z790="","",IFERROR(VLOOKUP(Z790,REPS!$A$2:$D$40,4,0),""))</f>
        <v/>
      </c>
      <c r="AB790" s="14" t="str">
        <f aca="false">IF(O790="","",IF(AA790="",0,O790*IF(AA790&gt;1,AA790/100,AA790)))</f>
        <v/>
      </c>
      <c r="AC790" s="14" t="str">
        <f aca="false">IF(O790="","",V790+Y790+AB790)</f>
        <v/>
      </c>
      <c r="AD790" s="19" t="str">
        <f aca="false">IF(O790="","",O790-R790-AC790)</f>
        <v/>
      </c>
      <c r="AE790" s="20"/>
      <c r="AF790" s="10"/>
      <c r="AG790" s="21" t="n">
        <f aca="false">IF(OR(AE790="",AE790=0),0,AE790*IF(U790="",0,IF(U790&gt;1,U790/100,U790)))</f>
        <v>0</v>
      </c>
      <c r="AH790" s="21" t="n">
        <f aca="false">IF(OR(AE790="",AE790=0),0,AE790*IF(X790="",0,IF(X790&gt;1,X790/100,X790)))</f>
        <v>0</v>
      </c>
      <c r="AI790" s="21" t="n">
        <f aca="false">IF(OR(AE790="",AE790=0),0,AE790*IF(AA790="",0,IF(AA790&gt;1,AA790/100,AA790)))</f>
        <v>0</v>
      </c>
      <c r="AJ790" s="21" t="n">
        <f aca="false">AG790+AH790+AI790</f>
        <v>0</v>
      </c>
      <c r="AK790" s="21" t="n">
        <f aca="false">IF(OR(AE790="",AE790=0),0,AE790-AJ790)</f>
        <v>0</v>
      </c>
      <c r="AL790" s="19" t="str">
        <f aca="false">IF(AD790="","",AD790-AK790)</f>
        <v/>
      </c>
      <c r="AM790" s="9" t="str">
        <f aca="false">IF(C790="","","Waiting for payment")</f>
        <v/>
      </c>
      <c r="AN790" s="10"/>
      <c r="AO790" s="10"/>
      <c r="AP790" s="22" t="str">
        <f aca="false">IF(OR(C790="",I790="",K790=""),"",IF(K790="Monthly",EDATE(C790,ROUND(I790*SETTINGS!$I$8,0)),WORKDAY(C790,ROUND(I790*SETTINGS!$I$8,0))))</f>
        <v/>
      </c>
      <c r="AQ790" s="9" t="str">
        <f aca="true">IF(C790="","",IF(AND(AP790&lt;&gt;"",TODAY()&gt;=AP790),"Refi Ready",IF(TODAY()-C790&gt;=SETTINGS!$I$11,"Prospecting","Performing")))</f>
        <v/>
      </c>
      <c r="AR790" s="22" t="str">
        <f aca="false">IF(OR(C790="",I790="",K790=""),"",IF(K790="Monthly",EDATE(C790,I790),WORKDAY(C790,I790)))</f>
        <v/>
      </c>
      <c r="AS790" s="11"/>
      <c r="AT790" s="23" t="str">
        <f aca="true">IF(C790="","",IF(AM790="Clawed Back","CLAWED",IF(TODAY()&lt;=C790+SETTINGS!$I$2,"⚠ AT RISK","SAFE")))</f>
        <v/>
      </c>
      <c r="AU790" s="11"/>
      <c r="AW790" s="24" t="n">
        <f aca="false">AW789+IF(AND(C790&lt;&gt;"",AO790&lt;&gt;"",OR('REP COMMISSION'!$B$3="",T790='REP COMMISSION'!$B$3,W790='REP COMMISSION'!$B$3,Z790='REP COMMISSION'!$B$3)),1,0)</f>
        <v>0</v>
      </c>
      <c r="AX790" s="24" t="n">
        <f aca="false">AX789+IF(AND(C790&lt;&gt;"",OR(F790="LOC - INITIAL",F790="CONSOLIDATION - UPFRONT COMM",F790="REVERSE - TOTAL FUNDING")),1,0)</f>
        <v>0</v>
      </c>
    </row>
    <row r="791" customFormat="false" ht="15" hidden="false" customHeight="false" outlineLevel="0" collapsed="false">
      <c r="A791" s="25" t="str">
        <f aca="false">IF(C791&lt;&gt;"","F"&amp;COUNT($C$4:C791),"")</f>
        <v/>
      </c>
      <c r="B791" s="26" t="str">
        <f aca="false">IF(OR(F791="LOC - INITIAL",F791="CONSOLIDATION - UPFRONT COMM",F791="REVERSE - TOTAL FUNDING"),A791,"")</f>
        <v/>
      </c>
      <c r="C791" s="27"/>
      <c r="D791" s="28"/>
      <c r="E791" s="28"/>
      <c r="F791" s="28"/>
      <c r="G791" s="29"/>
      <c r="H791" s="30"/>
      <c r="I791" s="28"/>
      <c r="J791" s="31" t="str">
        <f aca="false">IF(AND(G791&lt;&gt;"",H791&lt;&gt;""),G791*H791,"")</f>
        <v/>
      </c>
      <c r="K791" s="28"/>
      <c r="L791" s="32"/>
      <c r="M791" s="32"/>
      <c r="N791" s="31" t="n">
        <f aca="false">IF(OR(G791="",M791=""),0,IF(M791&gt;100,M791,G791*IF(M791&gt;1,M791/100,M791)))</f>
        <v>0</v>
      </c>
      <c r="O791" s="31" t="str">
        <f aca="false">IF(G791="","",G791*IF(L791="",0,IF(L791&gt;1,L791/100,L791))+N791)</f>
        <v/>
      </c>
      <c r="P791" s="28"/>
      <c r="Q791" s="33" t="str">
        <f aca="false">IF(P791="","",IFERROR(VLOOKUP(P791,PARTNERS!$A$2:$B$30,2,0),""))</f>
        <v/>
      </c>
      <c r="R791" s="17" t="str">
        <f aca="false">IF(O791="","",IF(OR(P791="",Q791=""),0,(O791-N791)*IF(Q791&gt;1,Q791/100,Q791)))</f>
        <v/>
      </c>
      <c r="S791" s="31" t="str">
        <f aca="false">IF(O791="","",O791-R791)</f>
        <v/>
      </c>
      <c r="T791" s="28"/>
      <c r="U791" s="34" t="str">
        <f aca="false">IF(T791="","",IFERROR(VLOOKUP(T791,REPS!$A$2:$D$40,2,0),""))</f>
        <v/>
      </c>
      <c r="V791" s="31" t="str">
        <f aca="false">IF(O791="","",IF(U791="",0,O791*IF(U791&gt;1,U791/100,U791)))</f>
        <v/>
      </c>
      <c r="W791" s="28"/>
      <c r="X791" s="34" t="str">
        <f aca="false">IF(W791="","",IFERROR(VLOOKUP(W791,REPS!$A$2:$D$40,3,0),""))</f>
        <v/>
      </c>
      <c r="Y791" s="31" t="str">
        <f aca="false">IF(O791="","",IF(X791="",0,O791*IF(X791&gt;1,X791/100,X791)))</f>
        <v/>
      </c>
      <c r="Z791" s="28"/>
      <c r="AA791" s="34" t="str">
        <f aca="false">IF(Z791="","",IFERROR(VLOOKUP(Z791,REPS!$A$2:$D$40,4,0),""))</f>
        <v/>
      </c>
      <c r="AB791" s="31" t="str">
        <f aca="false">IF(O791="","",IF(AA791="",0,O791*IF(AA791&gt;1,AA791/100,AA791)))</f>
        <v/>
      </c>
      <c r="AC791" s="31" t="str">
        <f aca="false">IF(O791="","",V791+Y791+AB791)</f>
        <v/>
      </c>
      <c r="AD791" s="19" t="str">
        <f aca="false">IF(O791="","",O791-R791-AC791)</f>
        <v/>
      </c>
      <c r="AE791" s="20"/>
      <c r="AF791" s="27"/>
      <c r="AG791" s="21" t="n">
        <f aca="false">IF(OR(AE791="",AE791=0),0,AE791*IF(U791="",0,IF(U791&gt;1,U791/100,U791)))</f>
        <v>0</v>
      </c>
      <c r="AH791" s="21" t="n">
        <f aca="false">IF(OR(AE791="",AE791=0),0,AE791*IF(X791="",0,IF(X791&gt;1,X791/100,X791)))</f>
        <v>0</v>
      </c>
      <c r="AI791" s="21" t="n">
        <f aca="false">IF(OR(AE791="",AE791=0),0,AE791*IF(AA791="",0,IF(AA791&gt;1,AA791/100,AA791)))</f>
        <v>0</v>
      </c>
      <c r="AJ791" s="21" t="n">
        <f aca="false">AG791+AH791+AI791</f>
        <v>0</v>
      </c>
      <c r="AK791" s="21" t="n">
        <f aca="false">IF(OR(AE791="",AE791=0),0,AE791-AJ791)</f>
        <v>0</v>
      </c>
      <c r="AL791" s="19" t="str">
        <f aca="false">IF(AD791="","",AD791-AK791)</f>
        <v/>
      </c>
      <c r="AM791" s="26" t="str">
        <f aca="false">IF(C791="","","Waiting for payment")</f>
        <v/>
      </c>
      <c r="AN791" s="27"/>
      <c r="AO791" s="27"/>
      <c r="AP791" s="35" t="str">
        <f aca="false">IF(OR(C791="",I791="",K791=""),"",IF(K791="Monthly",EDATE(C791,ROUND(I791*SETTINGS!$I$8,0)),WORKDAY(C791,ROUND(I791*SETTINGS!$I$8,0))))</f>
        <v/>
      </c>
      <c r="AQ791" s="26" t="str">
        <f aca="true">IF(C791="","",IF(AND(AP791&lt;&gt;"",TODAY()&gt;=AP791),"Refi Ready",IF(TODAY()-C791&gt;=SETTINGS!$I$11,"Prospecting","Performing")))</f>
        <v/>
      </c>
      <c r="AR791" s="35" t="str">
        <f aca="false">IF(OR(C791="",I791="",K791=""),"",IF(K791="Monthly",EDATE(C791,I791),WORKDAY(C791,I791)))</f>
        <v/>
      </c>
      <c r="AS791" s="28"/>
      <c r="AT791" s="36" t="str">
        <f aca="true">IF(C791="","",IF(AM791="Clawed Back","CLAWED",IF(TODAY()&lt;=C791+SETTINGS!$I$2,"⚠ AT RISK","SAFE")))</f>
        <v/>
      </c>
      <c r="AU791" s="28"/>
      <c r="AW791" s="24" t="n">
        <f aca="false">AW790+IF(AND(C791&lt;&gt;"",AO791&lt;&gt;"",OR('REP COMMISSION'!$B$3="",T791='REP COMMISSION'!$B$3,W791='REP COMMISSION'!$B$3,Z791='REP COMMISSION'!$B$3)),1,0)</f>
        <v>0</v>
      </c>
      <c r="AX791" s="24" t="n">
        <f aca="false">AX790+IF(AND(C791&lt;&gt;"",OR(F791="LOC - INITIAL",F791="CONSOLIDATION - UPFRONT COMM",F791="REVERSE - TOTAL FUNDING")),1,0)</f>
        <v>0</v>
      </c>
    </row>
    <row r="792" customFormat="false" ht="15" hidden="false" customHeight="false" outlineLevel="0" collapsed="false">
      <c r="A792" s="8" t="str">
        <f aca="false">IF(C792&lt;&gt;"","F"&amp;COUNT($C$4:C792),"")</f>
        <v/>
      </c>
      <c r="B792" s="9" t="str">
        <f aca="false">IF(OR(F792="LOC - INITIAL",F792="CONSOLIDATION - UPFRONT COMM",F792="REVERSE - TOTAL FUNDING"),A792,"")</f>
        <v/>
      </c>
      <c r="C792" s="10"/>
      <c r="D792" s="11"/>
      <c r="E792" s="11"/>
      <c r="F792" s="11"/>
      <c r="G792" s="12"/>
      <c r="H792" s="13"/>
      <c r="I792" s="11"/>
      <c r="J792" s="14" t="str">
        <f aca="false">IF(AND(G792&lt;&gt;"",H792&lt;&gt;""),G792*H792,"")</f>
        <v/>
      </c>
      <c r="K792" s="11"/>
      <c r="L792" s="15"/>
      <c r="M792" s="15"/>
      <c r="N792" s="14" t="n">
        <f aca="false">IF(OR(G792="",M792=""),0,IF(M792&gt;100,M792,G792*IF(M792&gt;1,M792/100,M792)))</f>
        <v>0</v>
      </c>
      <c r="O792" s="14" t="str">
        <f aca="false">IF(G792="","",G792*IF(L792="",0,IF(L792&gt;1,L792/100,L792))+N792)</f>
        <v/>
      </c>
      <c r="P792" s="11"/>
      <c r="Q792" s="16" t="str">
        <f aca="false">IF(P792="","",IFERROR(VLOOKUP(P792,PARTNERS!$A$2:$B$30,2,0),""))</f>
        <v/>
      </c>
      <c r="R792" s="17" t="str">
        <f aca="false">IF(O792="","",IF(OR(P792="",Q792=""),0,(O792-N792)*IF(Q792&gt;1,Q792/100,Q792)))</f>
        <v/>
      </c>
      <c r="S792" s="14" t="str">
        <f aca="false">IF(O792="","",O792-R792)</f>
        <v/>
      </c>
      <c r="T792" s="11"/>
      <c r="U792" s="18" t="str">
        <f aca="false">IF(T792="","",IFERROR(VLOOKUP(T792,REPS!$A$2:$D$40,2,0),""))</f>
        <v/>
      </c>
      <c r="V792" s="14" t="str">
        <f aca="false">IF(O792="","",IF(U792="",0,O792*IF(U792&gt;1,U792/100,U792)))</f>
        <v/>
      </c>
      <c r="W792" s="11"/>
      <c r="X792" s="18" t="str">
        <f aca="false">IF(W792="","",IFERROR(VLOOKUP(W792,REPS!$A$2:$D$40,3,0),""))</f>
        <v/>
      </c>
      <c r="Y792" s="14" t="str">
        <f aca="false">IF(O792="","",IF(X792="",0,O792*IF(X792&gt;1,X792/100,X792)))</f>
        <v/>
      </c>
      <c r="Z792" s="11"/>
      <c r="AA792" s="18" t="str">
        <f aca="false">IF(Z792="","",IFERROR(VLOOKUP(Z792,REPS!$A$2:$D$40,4,0),""))</f>
        <v/>
      </c>
      <c r="AB792" s="14" t="str">
        <f aca="false">IF(O792="","",IF(AA792="",0,O792*IF(AA792&gt;1,AA792/100,AA792)))</f>
        <v/>
      </c>
      <c r="AC792" s="14" t="str">
        <f aca="false">IF(O792="","",V792+Y792+AB792)</f>
        <v/>
      </c>
      <c r="AD792" s="19" t="str">
        <f aca="false">IF(O792="","",O792-R792-AC792)</f>
        <v/>
      </c>
      <c r="AE792" s="20"/>
      <c r="AF792" s="10"/>
      <c r="AG792" s="21" t="n">
        <f aca="false">IF(OR(AE792="",AE792=0),0,AE792*IF(U792="",0,IF(U792&gt;1,U792/100,U792)))</f>
        <v>0</v>
      </c>
      <c r="AH792" s="21" t="n">
        <f aca="false">IF(OR(AE792="",AE792=0),0,AE792*IF(X792="",0,IF(X792&gt;1,X792/100,X792)))</f>
        <v>0</v>
      </c>
      <c r="AI792" s="21" t="n">
        <f aca="false">IF(OR(AE792="",AE792=0),0,AE792*IF(AA792="",0,IF(AA792&gt;1,AA792/100,AA792)))</f>
        <v>0</v>
      </c>
      <c r="AJ792" s="21" t="n">
        <f aca="false">AG792+AH792+AI792</f>
        <v>0</v>
      </c>
      <c r="AK792" s="21" t="n">
        <f aca="false">IF(OR(AE792="",AE792=0),0,AE792-AJ792)</f>
        <v>0</v>
      </c>
      <c r="AL792" s="19" t="str">
        <f aca="false">IF(AD792="","",AD792-AK792)</f>
        <v/>
      </c>
      <c r="AM792" s="9" t="str">
        <f aca="false">IF(C792="","","Waiting for payment")</f>
        <v/>
      </c>
      <c r="AN792" s="10"/>
      <c r="AO792" s="10"/>
      <c r="AP792" s="22" t="str">
        <f aca="false">IF(OR(C792="",I792="",K792=""),"",IF(K792="Monthly",EDATE(C792,ROUND(I792*SETTINGS!$I$8,0)),WORKDAY(C792,ROUND(I792*SETTINGS!$I$8,0))))</f>
        <v/>
      </c>
      <c r="AQ792" s="9" t="str">
        <f aca="true">IF(C792="","",IF(AND(AP792&lt;&gt;"",TODAY()&gt;=AP792),"Refi Ready",IF(TODAY()-C792&gt;=SETTINGS!$I$11,"Prospecting","Performing")))</f>
        <v/>
      </c>
      <c r="AR792" s="22" t="str">
        <f aca="false">IF(OR(C792="",I792="",K792=""),"",IF(K792="Monthly",EDATE(C792,I792),WORKDAY(C792,I792)))</f>
        <v/>
      </c>
      <c r="AS792" s="11"/>
      <c r="AT792" s="23" t="str">
        <f aca="true">IF(C792="","",IF(AM792="Clawed Back","CLAWED",IF(TODAY()&lt;=C792+SETTINGS!$I$2,"⚠ AT RISK","SAFE")))</f>
        <v/>
      </c>
      <c r="AU792" s="11"/>
      <c r="AW792" s="24" t="n">
        <f aca="false">AW791+IF(AND(C792&lt;&gt;"",AO792&lt;&gt;"",OR('REP COMMISSION'!$B$3="",T792='REP COMMISSION'!$B$3,W792='REP COMMISSION'!$B$3,Z792='REP COMMISSION'!$B$3)),1,0)</f>
        <v>0</v>
      </c>
      <c r="AX792" s="24" t="n">
        <f aca="false">AX791+IF(AND(C792&lt;&gt;"",OR(F792="LOC - INITIAL",F792="CONSOLIDATION - UPFRONT COMM",F792="REVERSE - TOTAL FUNDING")),1,0)</f>
        <v>0</v>
      </c>
    </row>
    <row r="793" customFormat="false" ht="15" hidden="false" customHeight="false" outlineLevel="0" collapsed="false">
      <c r="A793" s="25" t="str">
        <f aca="false">IF(C793&lt;&gt;"","F"&amp;COUNT($C$4:C793),"")</f>
        <v/>
      </c>
      <c r="B793" s="26" t="str">
        <f aca="false">IF(OR(F793="LOC - INITIAL",F793="CONSOLIDATION - UPFRONT COMM",F793="REVERSE - TOTAL FUNDING"),A793,"")</f>
        <v/>
      </c>
      <c r="C793" s="27"/>
      <c r="D793" s="28"/>
      <c r="E793" s="28"/>
      <c r="F793" s="28"/>
      <c r="G793" s="29"/>
      <c r="H793" s="30"/>
      <c r="I793" s="28"/>
      <c r="J793" s="31" t="str">
        <f aca="false">IF(AND(G793&lt;&gt;"",H793&lt;&gt;""),G793*H793,"")</f>
        <v/>
      </c>
      <c r="K793" s="28"/>
      <c r="L793" s="32"/>
      <c r="M793" s="32"/>
      <c r="N793" s="31" t="n">
        <f aca="false">IF(OR(G793="",M793=""),0,IF(M793&gt;100,M793,G793*IF(M793&gt;1,M793/100,M793)))</f>
        <v>0</v>
      </c>
      <c r="O793" s="31" t="str">
        <f aca="false">IF(G793="","",G793*IF(L793="",0,IF(L793&gt;1,L793/100,L793))+N793)</f>
        <v/>
      </c>
      <c r="P793" s="28"/>
      <c r="Q793" s="33" t="str">
        <f aca="false">IF(P793="","",IFERROR(VLOOKUP(P793,PARTNERS!$A$2:$B$30,2,0),""))</f>
        <v/>
      </c>
      <c r="R793" s="17" t="str">
        <f aca="false">IF(O793="","",IF(OR(P793="",Q793=""),0,(O793-N793)*IF(Q793&gt;1,Q793/100,Q793)))</f>
        <v/>
      </c>
      <c r="S793" s="31" t="str">
        <f aca="false">IF(O793="","",O793-R793)</f>
        <v/>
      </c>
      <c r="T793" s="28"/>
      <c r="U793" s="34" t="str">
        <f aca="false">IF(T793="","",IFERROR(VLOOKUP(T793,REPS!$A$2:$D$40,2,0),""))</f>
        <v/>
      </c>
      <c r="V793" s="31" t="str">
        <f aca="false">IF(O793="","",IF(U793="",0,O793*IF(U793&gt;1,U793/100,U793)))</f>
        <v/>
      </c>
      <c r="W793" s="28"/>
      <c r="X793" s="34" t="str">
        <f aca="false">IF(W793="","",IFERROR(VLOOKUP(W793,REPS!$A$2:$D$40,3,0),""))</f>
        <v/>
      </c>
      <c r="Y793" s="31" t="str">
        <f aca="false">IF(O793="","",IF(X793="",0,O793*IF(X793&gt;1,X793/100,X793)))</f>
        <v/>
      </c>
      <c r="Z793" s="28"/>
      <c r="AA793" s="34" t="str">
        <f aca="false">IF(Z793="","",IFERROR(VLOOKUP(Z793,REPS!$A$2:$D$40,4,0),""))</f>
        <v/>
      </c>
      <c r="AB793" s="31" t="str">
        <f aca="false">IF(O793="","",IF(AA793="",0,O793*IF(AA793&gt;1,AA793/100,AA793)))</f>
        <v/>
      </c>
      <c r="AC793" s="31" t="str">
        <f aca="false">IF(O793="","",V793+Y793+AB793)</f>
        <v/>
      </c>
      <c r="AD793" s="19" t="str">
        <f aca="false">IF(O793="","",O793-R793-AC793)</f>
        <v/>
      </c>
      <c r="AE793" s="20"/>
      <c r="AF793" s="27"/>
      <c r="AG793" s="21" t="n">
        <f aca="false">IF(OR(AE793="",AE793=0),0,AE793*IF(U793="",0,IF(U793&gt;1,U793/100,U793)))</f>
        <v>0</v>
      </c>
      <c r="AH793" s="21" t="n">
        <f aca="false">IF(OR(AE793="",AE793=0),0,AE793*IF(X793="",0,IF(X793&gt;1,X793/100,X793)))</f>
        <v>0</v>
      </c>
      <c r="AI793" s="21" t="n">
        <f aca="false">IF(OR(AE793="",AE793=0),0,AE793*IF(AA793="",0,IF(AA793&gt;1,AA793/100,AA793)))</f>
        <v>0</v>
      </c>
      <c r="AJ793" s="21" t="n">
        <f aca="false">AG793+AH793+AI793</f>
        <v>0</v>
      </c>
      <c r="AK793" s="21" t="n">
        <f aca="false">IF(OR(AE793="",AE793=0),0,AE793-AJ793)</f>
        <v>0</v>
      </c>
      <c r="AL793" s="19" t="str">
        <f aca="false">IF(AD793="","",AD793-AK793)</f>
        <v/>
      </c>
      <c r="AM793" s="26" t="str">
        <f aca="false">IF(C793="","","Waiting for payment")</f>
        <v/>
      </c>
      <c r="AN793" s="27"/>
      <c r="AO793" s="27"/>
      <c r="AP793" s="35" t="str">
        <f aca="false">IF(OR(C793="",I793="",K793=""),"",IF(K793="Monthly",EDATE(C793,ROUND(I793*SETTINGS!$I$8,0)),WORKDAY(C793,ROUND(I793*SETTINGS!$I$8,0))))</f>
        <v/>
      </c>
      <c r="AQ793" s="26" t="str">
        <f aca="true">IF(C793="","",IF(AND(AP793&lt;&gt;"",TODAY()&gt;=AP793),"Refi Ready",IF(TODAY()-C793&gt;=SETTINGS!$I$11,"Prospecting","Performing")))</f>
        <v/>
      </c>
      <c r="AR793" s="35" t="str">
        <f aca="false">IF(OR(C793="",I793="",K793=""),"",IF(K793="Monthly",EDATE(C793,I793),WORKDAY(C793,I793)))</f>
        <v/>
      </c>
      <c r="AS793" s="28"/>
      <c r="AT793" s="36" t="str">
        <f aca="true">IF(C793="","",IF(AM793="Clawed Back","CLAWED",IF(TODAY()&lt;=C793+SETTINGS!$I$2,"⚠ AT RISK","SAFE")))</f>
        <v/>
      </c>
      <c r="AU793" s="28"/>
      <c r="AW793" s="24" t="n">
        <f aca="false">AW792+IF(AND(C793&lt;&gt;"",AO793&lt;&gt;"",OR('REP COMMISSION'!$B$3="",T793='REP COMMISSION'!$B$3,W793='REP COMMISSION'!$B$3,Z793='REP COMMISSION'!$B$3)),1,0)</f>
        <v>0</v>
      </c>
      <c r="AX793" s="24" t="n">
        <f aca="false">AX792+IF(AND(C793&lt;&gt;"",OR(F793="LOC - INITIAL",F793="CONSOLIDATION - UPFRONT COMM",F793="REVERSE - TOTAL FUNDING")),1,0)</f>
        <v>0</v>
      </c>
    </row>
    <row r="794" customFormat="false" ht="15" hidden="false" customHeight="false" outlineLevel="0" collapsed="false">
      <c r="A794" s="8" t="str">
        <f aca="false">IF(C794&lt;&gt;"","F"&amp;COUNT($C$4:C794),"")</f>
        <v/>
      </c>
      <c r="B794" s="9" t="str">
        <f aca="false">IF(OR(F794="LOC - INITIAL",F794="CONSOLIDATION - UPFRONT COMM",F794="REVERSE - TOTAL FUNDING"),A794,"")</f>
        <v/>
      </c>
      <c r="C794" s="10"/>
      <c r="D794" s="11"/>
      <c r="E794" s="11"/>
      <c r="F794" s="11"/>
      <c r="G794" s="12"/>
      <c r="H794" s="13"/>
      <c r="I794" s="11"/>
      <c r="J794" s="14" t="str">
        <f aca="false">IF(AND(G794&lt;&gt;"",H794&lt;&gt;""),G794*H794,"")</f>
        <v/>
      </c>
      <c r="K794" s="11"/>
      <c r="L794" s="15"/>
      <c r="M794" s="15"/>
      <c r="N794" s="14" t="n">
        <f aca="false">IF(OR(G794="",M794=""),0,IF(M794&gt;100,M794,G794*IF(M794&gt;1,M794/100,M794)))</f>
        <v>0</v>
      </c>
      <c r="O794" s="14" t="str">
        <f aca="false">IF(G794="","",G794*IF(L794="",0,IF(L794&gt;1,L794/100,L794))+N794)</f>
        <v/>
      </c>
      <c r="P794" s="11"/>
      <c r="Q794" s="16" t="str">
        <f aca="false">IF(P794="","",IFERROR(VLOOKUP(P794,PARTNERS!$A$2:$B$30,2,0),""))</f>
        <v/>
      </c>
      <c r="R794" s="17" t="str">
        <f aca="false">IF(O794="","",IF(OR(P794="",Q794=""),0,(O794-N794)*IF(Q794&gt;1,Q794/100,Q794)))</f>
        <v/>
      </c>
      <c r="S794" s="14" t="str">
        <f aca="false">IF(O794="","",O794-R794)</f>
        <v/>
      </c>
      <c r="T794" s="11"/>
      <c r="U794" s="18" t="str">
        <f aca="false">IF(T794="","",IFERROR(VLOOKUP(T794,REPS!$A$2:$D$40,2,0),""))</f>
        <v/>
      </c>
      <c r="V794" s="14" t="str">
        <f aca="false">IF(O794="","",IF(U794="",0,O794*IF(U794&gt;1,U794/100,U794)))</f>
        <v/>
      </c>
      <c r="W794" s="11"/>
      <c r="X794" s="18" t="str">
        <f aca="false">IF(W794="","",IFERROR(VLOOKUP(W794,REPS!$A$2:$D$40,3,0),""))</f>
        <v/>
      </c>
      <c r="Y794" s="14" t="str">
        <f aca="false">IF(O794="","",IF(X794="",0,O794*IF(X794&gt;1,X794/100,X794)))</f>
        <v/>
      </c>
      <c r="Z794" s="11"/>
      <c r="AA794" s="18" t="str">
        <f aca="false">IF(Z794="","",IFERROR(VLOOKUP(Z794,REPS!$A$2:$D$40,4,0),""))</f>
        <v/>
      </c>
      <c r="AB794" s="14" t="str">
        <f aca="false">IF(O794="","",IF(AA794="",0,O794*IF(AA794&gt;1,AA794/100,AA794)))</f>
        <v/>
      </c>
      <c r="AC794" s="14" t="str">
        <f aca="false">IF(O794="","",V794+Y794+AB794)</f>
        <v/>
      </c>
      <c r="AD794" s="19" t="str">
        <f aca="false">IF(O794="","",O794-R794-AC794)</f>
        <v/>
      </c>
      <c r="AE794" s="20"/>
      <c r="AF794" s="10"/>
      <c r="AG794" s="21" t="n">
        <f aca="false">IF(OR(AE794="",AE794=0),0,AE794*IF(U794="",0,IF(U794&gt;1,U794/100,U794)))</f>
        <v>0</v>
      </c>
      <c r="AH794" s="21" t="n">
        <f aca="false">IF(OR(AE794="",AE794=0),0,AE794*IF(X794="",0,IF(X794&gt;1,X794/100,X794)))</f>
        <v>0</v>
      </c>
      <c r="AI794" s="21" t="n">
        <f aca="false">IF(OR(AE794="",AE794=0),0,AE794*IF(AA794="",0,IF(AA794&gt;1,AA794/100,AA794)))</f>
        <v>0</v>
      </c>
      <c r="AJ794" s="21" t="n">
        <f aca="false">AG794+AH794+AI794</f>
        <v>0</v>
      </c>
      <c r="AK794" s="21" t="n">
        <f aca="false">IF(OR(AE794="",AE794=0),0,AE794-AJ794)</f>
        <v>0</v>
      </c>
      <c r="AL794" s="19" t="str">
        <f aca="false">IF(AD794="","",AD794-AK794)</f>
        <v/>
      </c>
      <c r="AM794" s="9" t="str">
        <f aca="false">IF(C794="","","Waiting for payment")</f>
        <v/>
      </c>
      <c r="AN794" s="10"/>
      <c r="AO794" s="10"/>
      <c r="AP794" s="22" t="str">
        <f aca="false">IF(OR(C794="",I794="",K794=""),"",IF(K794="Monthly",EDATE(C794,ROUND(I794*SETTINGS!$I$8,0)),WORKDAY(C794,ROUND(I794*SETTINGS!$I$8,0))))</f>
        <v/>
      </c>
      <c r="AQ794" s="9" t="str">
        <f aca="true">IF(C794="","",IF(AND(AP794&lt;&gt;"",TODAY()&gt;=AP794),"Refi Ready",IF(TODAY()-C794&gt;=SETTINGS!$I$11,"Prospecting","Performing")))</f>
        <v/>
      </c>
      <c r="AR794" s="22" t="str">
        <f aca="false">IF(OR(C794="",I794="",K794=""),"",IF(K794="Monthly",EDATE(C794,I794),WORKDAY(C794,I794)))</f>
        <v/>
      </c>
      <c r="AS794" s="11"/>
      <c r="AT794" s="23" t="str">
        <f aca="true">IF(C794="","",IF(AM794="Clawed Back","CLAWED",IF(TODAY()&lt;=C794+SETTINGS!$I$2,"⚠ AT RISK","SAFE")))</f>
        <v/>
      </c>
      <c r="AU794" s="11"/>
      <c r="AW794" s="24" t="n">
        <f aca="false">AW793+IF(AND(C794&lt;&gt;"",AO794&lt;&gt;"",OR('REP COMMISSION'!$B$3="",T794='REP COMMISSION'!$B$3,W794='REP COMMISSION'!$B$3,Z794='REP COMMISSION'!$B$3)),1,0)</f>
        <v>0</v>
      </c>
      <c r="AX794" s="24" t="n">
        <f aca="false">AX793+IF(AND(C794&lt;&gt;"",OR(F794="LOC - INITIAL",F794="CONSOLIDATION - UPFRONT COMM",F794="REVERSE - TOTAL FUNDING")),1,0)</f>
        <v>0</v>
      </c>
    </row>
    <row r="795" customFormat="false" ht="15" hidden="false" customHeight="false" outlineLevel="0" collapsed="false">
      <c r="A795" s="25" t="str">
        <f aca="false">IF(C795&lt;&gt;"","F"&amp;COUNT($C$4:C795),"")</f>
        <v/>
      </c>
      <c r="B795" s="26" t="str">
        <f aca="false">IF(OR(F795="LOC - INITIAL",F795="CONSOLIDATION - UPFRONT COMM",F795="REVERSE - TOTAL FUNDING"),A795,"")</f>
        <v/>
      </c>
      <c r="C795" s="27"/>
      <c r="D795" s="28"/>
      <c r="E795" s="28"/>
      <c r="F795" s="28"/>
      <c r="G795" s="29"/>
      <c r="H795" s="30"/>
      <c r="I795" s="28"/>
      <c r="J795" s="31" t="str">
        <f aca="false">IF(AND(G795&lt;&gt;"",H795&lt;&gt;""),G795*H795,"")</f>
        <v/>
      </c>
      <c r="K795" s="28"/>
      <c r="L795" s="32"/>
      <c r="M795" s="32"/>
      <c r="N795" s="31" t="n">
        <f aca="false">IF(OR(G795="",M795=""),0,IF(M795&gt;100,M795,G795*IF(M795&gt;1,M795/100,M795)))</f>
        <v>0</v>
      </c>
      <c r="O795" s="31" t="str">
        <f aca="false">IF(G795="","",G795*IF(L795="",0,IF(L795&gt;1,L795/100,L795))+N795)</f>
        <v/>
      </c>
      <c r="P795" s="28"/>
      <c r="Q795" s="33" t="str">
        <f aca="false">IF(P795="","",IFERROR(VLOOKUP(P795,PARTNERS!$A$2:$B$30,2,0),""))</f>
        <v/>
      </c>
      <c r="R795" s="17" t="str">
        <f aca="false">IF(O795="","",IF(OR(P795="",Q795=""),0,(O795-N795)*IF(Q795&gt;1,Q795/100,Q795)))</f>
        <v/>
      </c>
      <c r="S795" s="31" t="str">
        <f aca="false">IF(O795="","",O795-R795)</f>
        <v/>
      </c>
      <c r="T795" s="28"/>
      <c r="U795" s="34" t="str">
        <f aca="false">IF(T795="","",IFERROR(VLOOKUP(T795,REPS!$A$2:$D$40,2,0),""))</f>
        <v/>
      </c>
      <c r="V795" s="31" t="str">
        <f aca="false">IF(O795="","",IF(U795="",0,O795*IF(U795&gt;1,U795/100,U795)))</f>
        <v/>
      </c>
      <c r="W795" s="28"/>
      <c r="X795" s="34" t="str">
        <f aca="false">IF(W795="","",IFERROR(VLOOKUP(W795,REPS!$A$2:$D$40,3,0),""))</f>
        <v/>
      </c>
      <c r="Y795" s="31" t="str">
        <f aca="false">IF(O795="","",IF(X795="",0,O795*IF(X795&gt;1,X795/100,X795)))</f>
        <v/>
      </c>
      <c r="Z795" s="28"/>
      <c r="AA795" s="34" t="str">
        <f aca="false">IF(Z795="","",IFERROR(VLOOKUP(Z795,REPS!$A$2:$D$40,4,0),""))</f>
        <v/>
      </c>
      <c r="AB795" s="31" t="str">
        <f aca="false">IF(O795="","",IF(AA795="",0,O795*IF(AA795&gt;1,AA795/100,AA795)))</f>
        <v/>
      </c>
      <c r="AC795" s="31" t="str">
        <f aca="false">IF(O795="","",V795+Y795+AB795)</f>
        <v/>
      </c>
      <c r="AD795" s="19" t="str">
        <f aca="false">IF(O795="","",O795-R795-AC795)</f>
        <v/>
      </c>
      <c r="AE795" s="20"/>
      <c r="AF795" s="27"/>
      <c r="AG795" s="21" t="n">
        <f aca="false">IF(OR(AE795="",AE795=0),0,AE795*IF(U795="",0,IF(U795&gt;1,U795/100,U795)))</f>
        <v>0</v>
      </c>
      <c r="AH795" s="21" t="n">
        <f aca="false">IF(OR(AE795="",AE795=0),0,AE795*IF(X795="",0,IF(X795&gt;1,X795/100,X795)))</f>
        <v>0</v>
      </c>
      <c r="AI795" s="21" t="n">
        <f aca="false">IF(OR(AE795="",AE795=0),0,AE795*IF(AA795="",0,IF(AA795&gt;1,AA795/100,AA795)))</f>
        <v>0</v>
      </c>
      <c r="AJ795" s="21" t="n">
        <f aca="false">AG795+AH795+AI795</f>
        <v>0</v>
      </c>
      <c r="AK795" s="21" t="n">
        <f aca="false">IF(OR(AE795="",AE795=0),0,AE795-AJ795)</f>
        <v>0</v>
      </c>
      <c r="AL795" s="19" t="str">
        <f aca="false">IF(AD795="","",AD795-AK795)</f>
        <v/>
      </c>
      <c r="AM795" s="26" t="str">
        <f aca="false">IF(C795="","","Waiting for payment")</f>
        <v/>
      </c>
      <c r="AN795" s="27"/>
      <c r="AO795" s="27"/>
      <c r="AP795" s="35" t="str">
        <f aca="false">IF(OR(C795="",I795="",K795=""),"",IF(K795="Monthly",EDATE(C795,ROUND(I795*SETTINGS!$I$8,0)),WORKDAY(C795,ROUND(I795*SETTINGS!$I$8,0))))</f>
        <v/>
      </c>
      <c r="AQ795" s="26" t="str">
        <f aca="true">IF(C795="","",IF(AND(AP795&lt;&gt;"",TODAY()&gt;=AP795),"Refi Ready",IF(TODAY()-C795&gt;=SETTINGS!$I$11,"Prospecting","Performing")))</f>
        <v/>
      </c>
      <c r="AR795" s="35" t="str">
        <f aca="false">IF(OR(C795="",I795="",K795=""),"",IF(K795="Monthly",EDATE(C795,I795),WORKDAY(C795,I795)))</f>
        <v/>
      </c>
      <c r="AS795" s="28"/>
      <c r="AT795" s="36" t="str">
        <f aca="true">IF(C795="","",IF(AM795="Clawed Back","CLAWED",IF(TODAY()&lt;=C795+SETTINGS!$I$2,"⚠ AT RISK","SAFE")))</f>
        <v/>
      </c>
      <c r="AU795" s="28"/>
      <c r="AW795" s="24" t="n">
        <f aca="false">AW794+IF(AND(C795&lt;&gt;"",AO795&lt;&gt;"",OR('REP COMMISSION'!$B$3="",T795='REP COMMISSION'!$B$3,W795='REP COMMISSION'!$B$3,Z795='REP COMMISSION'!$B$3)),1,0)</f>
        <v>0</v>
      </c>
      <c r="AX795" s="24" t="n">
        <f aca="false">AX794+IF(AND(C795&lt;&gt;"",OR(F795="LOC - INITIAL",F795="CONSOLIDATION - UPFRONT COMM",F795="REVERSE - TOTAL FUNDING")),1,0)</f>
        <v>0</v>
      </c>
    </row>
    <row r="796" customFormat="false" ht="15" hidden="false" customHeight="false" outlineLevel="0" collapsed="false">
      <c r="A796" s="8" t="str">
        <f aca="false">IF(C796&lt;&gt;"","F"&amp;COUNT($C$4:C796),"")</f>
        <v/>
      </c>
      <c r="B796" s="9" t="str">
        <f aca="false">IF(OR(F796="LOC - INITIAL",F796="CONSOLIDATION - UPFRONT COMM",F796="REVERSE - TOTAL FUNDING"),A796,"")</f>
        <v/>
      </c>
      <c r="C796" s="10"/>
      <c r="D796" s="11"/>
      <c r="E796" s="11"/>
      <c r="F796" s="11"/>
      <c r="G796" s="12"/>
      <c r="H796" s="13"/>
      <c r="I796" s="11"/>
      <c r="J796" s="14" t="str">
        <f aca="false">IF(AND(G796&lt;&gt;"",H796&lt;&gt;""),G796*H796,"")</f>
        <v/>
      </c>
      <c r="K796" s="11"/>
      <c r="L796" s="15"/>
      <c r="M796" s="15"/>
      <c r="N796" s="14" t="n">
        <f aca="false">IF(OR(G796="",M796=""),0,IF(M796&gt;100,M796,G796*IF(M796&gt;1,M796/100,M796)))</f>
        <v>0</v>
      </c>
      <c r="O796" s="14" t="str">
        <f aca="false">IF(G796="","",G796*IF(L796="",0,IF(L796&gt;1,L796/100,L796))+N796)</f>
        <v/>
      </c>
      <c r="P796" s="11"/>
      <c r="Q796" s="16" t="str">
        <f aca="false">IF(P796="","",IFERROR(VLOOKUP(P796,PARTNERS!$A$2:$B$30,2,0),""))</f>
        <v/>
      </c>
      <c r="R796" s="17" t="str">
        <f aca="false">IF(O796="","",IF(OR(P796="",Q796=""),0,(O796-N796)*IF(Q796&gt;1,Q796/100,Q796)))</f>
        <v/>
      </c>
      <c r="S796" s="14" t="str">
        <f aca="false">IF(O796="","",O796-R796)</f>
        <v/>
      </c>
      <c r="T796" s="11"/>
      <c r="U796" s="18" t="str">
        <f aca="false">IF(T796="","",IFERROR(VLOOKUP(T796,REPS!$A$2:$D$40,2,0),""))</f>
        <v/>
      </c>
      <c r="V796" s="14" t="str">
        <f aca="false">IF(O796="","",IF(U796="",0,O796*IF(U796&gt;1,U796/100,U796)))</f>
        <v/>
      </c>
      <c r="W796" s="11"/>
      <c r="X796" s="18" t="str">
        <f aca="false">IF(W796="","",IFERROR(VLOOKUP(W796,REPS!$A$2:$D$40,3,0),""))</f>
        <v/>
      </c>
      <c r="Y796" s="14" t="str">
        <f aca="false">IF(O796="","",IF(X796="",0,O796*IF(X796&gt;1,X796/100,X796)))</f>
        <v/>
      </c>
      <c r="Z796" s="11"/>
      <c r="AA796" s="18" t="str">
        <f aca="false">IF(Z796="","",IFERROR(VLOOKUP(Z796,REPS!$A$2:$D$40,4,0),""))</f>
        <v/>
      </c>
      <c r="AB796" s="14" t="str">
        <f aca="false">IF(O796="","",IF(AA796="",0,O796*IF(AA796&gt;1,AA796/100,AA796)))</f>
        <v/>
      </c>
      <c r="AC796" s="14" t="str">
        <f aca="false">IF(O796="","",V796+Y796+AB796)</f>
        <v/>
      </c>
      <c r="AD796" s="19" t="str">
        <f aca="false">IF(O796="","",O796-R796-AC796)</f>
        <v/>
      </c>
      <c r="AE796" s="20"/>
      <c r="AF796" s="10"/>
      <c r="AG796" s="21" t="n">
        <f aca="false">IF(OR(AE796="",AE796=0),0,AE796*IF(U796="",0,IF(U796&gt;1,U796/100,U796)))</f>
        <v>0</v>
      </c>
      <c r="AH796" s="21" t="n">
        <f aca="false">IF(OR(AE796="",AE796=0),0,AE796*IF(X796="",0,IF(X796&gt;1,X796/100,X796)))</f>
        <v>0</v>
      </c>
      <c r="AI796" s="21" t="n">
        <f aca="false">IF(OR(AE796="",AE796=0),0,AE796*IF(AA796="",0,IF(AA796&gt;1,AA796/100,AA796)))</f>
        <v>0</v>
      </c>
      <c r="AJ796" s="21" t="n">
        <f aca="false">AG796+AH796+AI796</f>
        <v>0</v>
      </c>
      <c r="AK796" s="21" t="n">
        <f aca="false">IF(OR(AE796="",AE796=0),0,AE796-AJ796)</f>
        <v>0</v>
      </c>
      <c r="AL796" s="19" t="str">
        <f aca="false">IF(AD796="","",AD796-AK796)</f>
        <v/>
      </c>
      <c r="AM796" s="9" t="str">
        <f aca="false">IF(C796="","","Waiting for payment")</f>
        <v/>
      </c>
      <c r="AN796" s="10"/>
      <c r="AO796" s="10"/>
      <c r="AP796" s="22" t="str">
        <f aca="false">IF(OR(C796="",I796="",K796=""),"",IF(K796="Monthly",EDATE(C796,ROUND(I796*SETTINGS!$I$8,0)),WORKDAY(C796,ROUND(I796*SETTINGS!$I$8,0))))</f>
        <v/>
      </c>
      <c r="AQ796" s="9" t="str">
        <f aca="true">IF(C796="","",IF(AND(AP796&lt;&gt;"",TODAY()&gt;=AP796),"Refi Ready",IF(TODAY()-C796&gt;=SETTINGS!$I$11,"Prospecting","Performing")))</f>
        <v/>
      </c>
      <c r="AR796" s="22" t="str">
        <f aca="false">IF(OR(C796="",I796="",K796=""),"",IF(K796="Monthly",EDATE(C796,I796),WORKDAY(C796,I796)))</f>
        <v/>
      </c>
      <c r="AS796" s="11"/>
      <c r="AT796" s="23" t="str">
        <f aca="true">IF(C796="","",IF(AM796="Clawed Back","CLAWED",IF(TODAY()&lt;=C796+SETTINGS!$I$2,"⚠ AT RISK","SAFE")))</f>
        <v/>
      </c>
      <c r="AU796" s="11"/>
      <c r="AW796" s="24" t="n">
        <f aca="false">AW795+IF(AND(C796&lt;&gt;"",AO796&lt;&gt;"",OR('REP COMMISSION'!$B$3="",T796='REP COMMISSION'!$B$3,W796='REP COMMISSION'!$B$3,Z796='REP COMMISSION'!$B$3)),1,0)</f>
        <v>0</v>
      </c>
      <c r="AX796" s="24" t="n">
        <f aca="false">AX795+IF(AND(C796&lt;&gt;"",OR(F796="LOC - INITIAL",F796="CONSOLIDATION - UPFRONT COMM",F796="REVERSE - TOTAL FUNDING")),1,0)</f>
        <v>0</v>
      </c>
    </row>
    <row r="797" customFormat="false" ht="15" hidden="false" customHeight="false" outlineLevel="0" collapsed="false">
      <c r="A797" s="25" t="str">
        <f aca="false">IF(C797&lt;&gt;"","F"&amp;COUNT($C$4:C797),"")</f>
        <v/>
      </c>
      <c r="B797" s="26" t="str">
        <f aca="false">IF(OR(F797="LOC - INITIAL",F797="CONSOLIDATION - UPFRONT COMM",F797="REVERSE - TOTAL FUNDING"),A797,"")</f>
        <v/>
      </c>
      <c r="C797" s="27"/>
      <c r="D797" s="28"/>
      <c r="E797" s="28"/>
      <c r="F797" s="28"/>
      <c r="G797" s="29"/>
      <c r="H797" s="30"/>
      <c r="I797" s="28"/>
      <c r="J797" s="31" t="str">
        <f aca="false">IF(AND(G797&lt;&gt;"",H797&lt;&gt;""),G797*H797,"")</f>
        <v/>
      </c>
      <c r="K797" s="28"/>
      <c r="L797" s="32"/>
      <c r="M797" s="32"/>
      <c r="N797" s="31" t="n">
        <f aca="false">IF(OR(G797="",M797=""),0,IF(M797&gt;100,M797,G797*IF(M797&gt;1,M797/100,M797)))</f>
        <v>0</v>
      </c>
      <c r="O797" s="31" t="str">
        <f aca="false">IF(G797="","",G797*IF(L797="",0,IF(L797&gt;1,L797/100,L797))+N797)</f>
        <v/>
      </c>
      <c r="P797" s="28"/>
      <c r="Q797" s="33" t="str">
        <f aca="false">IF(P797="","",IFERROR(VLOOKUP(P797,PARTNERS!$A$2:$B$30,2,0),""))</f>
        <v/>
      </c>
      <c r="R797" s="17" t="str">
        <f aca="false">IF(O797="","",IF(OR(P797="",Q797=""),0,(O797-N797)*IF(Q797&gt;1,Q797/100,Q797)))</f>
        <v/>
      </c>
      <c r="S797" s="31" t="str">
        <f aca="false">IF(O797="","",O797-R797)</f>
        <v/>
      </c>
      <c r="T797" s="28"/>
      <c r="U797" s="34" t="str">
        <f aca="false">IF(T797="","",IFERROR(VLOOKUP(T797,REPS!$A$2:$D$40,2,0),""))</f>
        <v/>
      </c>
      <c r="V797" s="31" t="str">
        <f aca="false">IF(O797="","",IF(U797="",0,O797*IF(U797&gt;1,U797/100,U797)))</f>
        <v/>
      </c>
      <c r="W797" s="28"/>
      <c r="X797" s="34" t="str">
        <f aca="false">IF(W797="","",IFERROR(VLOOKUP(W797,REPS!$A$2:$D$40,3,0),""))</f>
        <v/>
      </c>
      <c r="Y797" s="31" t="str">
        <f aca="false">IF(O797="","",IF(X797="",0,O797*IF(X797&gt;1,X797/100,X797)))</f>
        <v/>
      </c>
      <c r="Z797" s="28"/>
      <c r="AA797" s="34" t="str">
        <f aca="false">IF(Z797="","",IFERROR(VLOOKUP(Z797,REPS!$A$2:$D$40,4,0),""))</f>
        <v/>
      </c>
      <c r="AB797" s="31" t="str">
        <f aca="false">IF(O797="","",IF(AA797="",0,O797*IF(AA797&gt;1,AA797/100,AA797)))</f>
        <v/>
      </c>
      <c r="AC797" s="31" t="str">
        <f aca="false">IF(O797="","",V797+Y797+AB797)</f>
        <v/>
      </c>
      <c r="AD797" s="19" t="str">
        <f aca="false">IF(O797="","",O797-R797-AC797)</f>
        <v/>
      </c>
      <c r="AE797" s="20"/>
      <c r="AF797" s="27"/>
      <c r="AG797" s="21" t="n">
        <f aca="false">IF(OR(AE797="",AE797=0),0,AE797*IF(U797="",0,IF(U797&gt;1,U797/100,U797)))</f>
        <v>0</v>
      </c>
      <c r="AH797" s="21" t="n">
        <f aca="false">IF(OR(AE797="",AE797=0),0,AE797*IF(X797="",0,IF(X797&gt;1,X797/100,X797)))</f>
        <v>0</v>
      </c>
      <c r="AI797" s="21" t="n">
        <f aca="false">IF(OR(AE797="",AE797=0),0,AE797*IF(AA797="",0,IF(AA797&gt;1,AA797/100,AA797)))</f>
        <v>0</v>
      </c>
      <c r="AJ797" s="21" t="n">
        <f aca="false">AG797+AH797+AI797</f>
        <v>0</v>
      </c>
      <c r="AK797" s="21" t="n">
        <f aca="false">IF(OR(AE797="",AE797=0),0,AE797-AJ797)</f>
        <v>0</v>
      </c>
      <c r="AL797" s="19" t="str">
        <f aca="false">IF(AD797="","",AD797-AK797)</f>
        <v/>
      </c>
      <c r="AM797" s="26" t="str">
        <f aca="false">IF(C797="","","Waiting for payment")</f>
        <v/>
      </c>
      <c r="AN797" s="27"/>
      <c r="AO797" s="27"/>
      <c r="AP797" s="35" t="str">
        <f aca="false">IF(OR(C797="",I797="",K797=""),"",IF(K797="Monthly",EDATE(C797,ROUND(I797*SETTINGS!$I$8,0)),WORKDAY(C797,ROUND(I797*SETTINGS!$I$8,0))))</f>
        <v/>
      </c>
      <c r="AQ797" s="26" t="str">
        <f aca="true">IF(C797="","",IF(AND(AP797&lt;&gt;"",TODAY()&gt;=AP797),"Refi Ready",IF(TODAY()-C797&gt;=SETTINGS!$I$11,"Prospecting","Performing")))</f>
        <v/>
      </c>
      <c r="AR797" s="35" t="str">
        <f aca="false">IF(OR(C797="",I797="",K797=""),"",IF(K797="Monthly",EDATE(C797,I797),WORKDAY(C797,I797)))</f>
        <v/>
      </c>
      <c r="AS797" s="28"/>
      <c r="AT797" s="36" t="str">
        <f aca="true">IF(C797="","",IF(AM797="Clawed Back","CLAWED",IF(TODAY()&lt;=C797+SETTINGS!$I$2,"⚠ AT RISK","SAFE")))</f>
        <v/>
      </c>
      <c r="AU797" s="28"/>
      <c r="AW797" s="24" t="n">
        <f aca="false">AW796+IF(AND(C797&lt;&gt;"",AO797&lt;&gt;"",OR('REP COMMISSION'!$B$3="",T797='REP COMMISSION'!$B$3,W797='REP COMMISSION'!$B$3,Z797='REP COMMISSION'!$B$3)),1,0)</f>
        <v>0</v>
      </c>
      <c r="AX797" s="24" t="n">
        <f aca="false">AX796+IF(AND(C797&lt;&gt;"",OR(F797="LOC - INITIAL",F797="CONSOLIDATION - UPFRONT COMM",F797="REVERSE - TOTAL FUNDING")),1,0)</f>
        <v>0</v>
      </c>
    </row>
    <row r="798" customFormat="false" ht="15" hidden="false" customHeight="false" outlineLevel="0" collapsed="false">
      <c r="A798" s="8" t="str">
        <f aca="false">IF(C798&lt;&gt;"","F"&amp;COUNT($C$4:C798),"")</f>
        <v/>
      </c>
      <c r="B798" s="9" t="str">
        <f aca="false">IF(OR(F798="LOC - INITIAL",F798="CONSOLIDATION - UPFRONT COMM",F798="REVERSE - TOTAL FUNDING"),A798,"")</f>
        <v/>
      </c>
      <c r="C798" s="10"/>
      <c r="D798" s="11"/>
      <c r="E798" s="11"/>
      <c r="F798" s="11"/>
      <c r="G798" s="12"/>
      <c r="H798" s="13"/>
      <c r="I798" s="11"/>
      <c r="J798" s="14" t="str">
        <f aca="false">IF(AND(G798&lt;&gt;"",H798&lt;&gt;""),G798*H798,"")</f>
        <v/>
      </c>
      <c r="K798" s="11"/>
      <c r="L798" s="15"/>
      <c r="M798" s="15"/>
      <c r="N798" s="14" t="n">
        <f aca="false">IF(OR(G798="",M798=""),0,IF(M798&gt;100,M798,G798*IF(M798&gt;1,M798/100,M798)))</f>
        <v>0</v>
      </c>
      <c r="O798" s="14" t="str">
        <f aca="false">IF(G798="","",G798*IF(L798="",0,IF(L798&gt;1,L798/100,L798))+N798)</f>
        <v/>
      </c>
      <c r="P798" s="11"/>
      <c r="Q798" s="16" t="str">
        <f aca="false">IF(P798="","",IFERROR(VLOOKUP(P798,PARTNERS!$A$2:$B$30,2,0),""))</f>
        <v/>
      </c>
      <c r="R798" s="17" t="str">
        <f aca="false">IF(O798="","",IF(OR(P798="",Q798=""),0,(O798-N798)*IF(Q798&gt;1,Q798/100,Q798)))</f>
        <v/>
      </c>
      <c r="S798" s="14" t="str">
        <f aca="false">IF(O798="","",O798-R798)</f>
        <v/>
      </c>
      <c r="T798" s="11"/>
      <c r="U798" s="18" t="str">
        <f aca="false">IF(T798="","",IFERROR(VLOOKUP(T798,REPS!$A$2:$D$40,2,0),""))</f>
        <v/>
      </c>
      <c r="V798" s="14" t="str">
        <f aca="false">IF(O798="","",IF(U798="",0,O798*IF(U798&gt;1,U798/100,U798)))</f>
        <v/>
      </c>
      <c r="W798" s="11"/>
      <c r="X798" s="18" t="str">
        <f aca="false">IF(W798="","",IFERROR(VLOOKUP(W798,REPS!$A$2:$D$40,3,0),""))</f>
        <v/>
      </c>
      <c r="Y798" s="14" t="str">
        <f aca="false">IF(O798="","",IF(X798="",0,O798*IF(X798&gt;1,X798/100,X798)))</f>
        <v/>
      </c>
      <c r="Z798" s="11"/>
      <c r="AA798" s="18" t="str">
        <f aca="false">IF(Z798="","",IFERROR(VLOOKUP(Z798,REPS!$A$2:$D$40,4,0),""))</f>
        <v/>
      </c>
      <c r="AB798" s="14" t="str">
        <f aca="false">IF(O798="","",IF(AA798="",0,O798*IF(AA798&gt;1,AA798/100,AA798)))</f>
        <v/>
      </c>
      <c r="AC798" s="14" t="str">
        <f aca="false">IF(O798="","",V798+Y798+AB798)</f>
        <v/>
      </c>
      <c r="AD798" s="19" t="str">
        <f aca="false">IF(O798="","",O798-R798-AC798)</f>
        <v/>
      </c>
      <c r="AE798" s="20"/>
      <c r="AF798" s="10"/>
      <c r="AG798" s="21" t="n">
        <f aca="false">IF(OR(AE798="",AE798=0),0,AE798*IF(U798="",0,IF(U798&gt;1,U798/100,U798)))</f>
        <v>0</v>
      </c>
      <c r="AH798" s="21" t="n">
        <f aca="false">IF(OR(AE798="",AE798=0),0,AE798*IF(X798="",0,IF(X798&gt;1,X798/100,X798)))</f>
        <v>0</v>
      </c>
      <c r="AI798" s="21" t="n">
        <f aca="false">IF(OR(AE798="",AE798=0),0,AE798*IF(AA798="",0,IF(AA798&gt;1,AA798/100,AA798)))</f>
        <v>0</v>
      </c>
      <c r="AJ798" s="21" t="n">
        <f aca="false">AG798+AH798+AI798</f>
        <v>0</v>
      </c>
      <c r="AK798" s="21" t="n">
        <f aca="false">IF(OR(AE798="",AE798=0),0,AE798-AJ798)</f>
        <v>0</v>
      </c>
      <c r="AL798" s="19" t="str">
        <f aca="false">IF(AD798="","",AD798-AK798)</f>
        <v/>
      </c>
      <c r="AM798" s="9" t="str">
        <f aca="false">IF(C798="","","Waiting for payment")</f>
        <v/>
      </c>
      <c r="AN798" s="10"/>
      <c r="AO798" s="10"/>
      <c r="AP798" s="22" t="str">
        <f aca="false">IF(OR(C798="",I798="",K798=""),"",IF(K798="Monthly",EDATE(C798,ROUND(I798*SETTINGS!$I$8,0)),WORKDAY(C798,ROUND(I798*SETTINGS!$I$8,0))))</f>
        <v/>
      </c>
      <c r="AQ798" s="9" t="str">
        <f aca="true">IF(C798="","",IF(AND(AP798&lt;&gt;"",TODAY()&gt;=AP798),"Refi Ready",IF(TODAY()-C798&gt;=SETTINGS!$I$11,"Prospecting","Performing")))</f>
        <v/>
      </c>
      <c r="AR798" s="22" t="str">
        <f aca="false">IF(OR(C798="",I798="",K798=""),"",IF(K798="Monthly",EDATE(C798,I798),WORKDAY(C798,I798)))</f>
        <v/>
      </c>
      <c r="AS798" s="11"/>
      <c r="AT798" s="23" t="str">
        <f aca="true">IF(C798="","",IF(AM798="Clawed Back","CLAWED",IF(TODAY()&lt;=C798+SETTINGS!$I$2,"⚠ AT RISK","SAFE")))</f>
        <v/>
      </c>
      <c r="AU798" s="11"/>
      <c r="AW798" s="24" t="n">
        <f aca="false">AW797+IF(AND(C798&lt;&gt;"",AO798&lt;&gt;"",OR('REP COMMISSION'!$B$3="",T798='REP COMMISSION'!$B$3,W798='REP COMMISSION'!$B$3,Z798='REP COMMISSION'!$B$3)),1,0)</f>
        <v>0</v>
      </c>
      <c r="AX798" s="24" t="n">
        <f aca="false">AX797+IF(AND(C798&lt;&gt;"",OR(F798="LOC - INITIAL",F798="CONSOLIDATION - UPFRONT COMM",F798="REVERSE - TOTAL FUNDING")),1,0)</f>
        <v>0</v>
      </c>
    </row>
    <row r="799" customFormat="false" ht="15" hidden="false" customHeight="false" outlineLevel="0" collapsed="false">
      <c r="A799" s="25" t="str">
        <f aca="false">IF(C799&lt;&gt;"","F"&amp;COUNT($C$4:C799),"")</f>
        <v/>
      </c>
      <c r="B799" s="26" t="str">
        <f aca="false">IF(OR(F799="LOC - INITIAL",F799="CONSOLIDATION - UPFRONT COMM",F799="REVERSE - TOTAL FUNDING"),A799,"")</f>
        <v/>
      </c>
      <c r="C799" s="27"/>
      <c r="D799" s="28"/>
      <c r="E799" s="28"/>
      <c r="F799" s="28"/>
      <c r="G799" s="29"/>
      <c r="H799" s="30"/>
      <c r="I799" s="28"/>
      <c r="J799" s="31" t="str">
        <f aca="false">IF(AND(G799&lt;&gt;"",H799&lt;&gt;""),G799*H799,"")</f>
        <v/>
      </c>
      <c r="K799" s="28"/>
      <c r="L799" s="32"/>
      <c r="M799" s="32"/>
      <c r="N799" s="31" t="n">
        <f aca="false">IF(OR(G799="",M799=""),0,IF(M799&gt;100,M799,G799*IF(M799&gt;1,M799/100,M799)))</f>
        <v>0</v>
      </c>
      <c r="O799" s="31" t="str">
        <f aca="false">IF(G799="","",G799*IF(L799="",0,IF(L799&gt;1,L799/100,L799))+N799)</f>
        <v/>
      </c>
      <c r="P799" s="28"/>
      <c r="Q799" s="33" t="str">
        <f aca="false">IF(P799="","",IFERROR(VLOOKUP(P799,PARTNERS!$A$2:$B$30,2,0),""))</f>
        <v/>
      </c>
      <c r="R799" s="17" t="str">
        <f aca="false">IF(O799="","",IF(OR(P799="",Q799=""),0,(O799-N799)*IF(Q799&gt;1,Q799/100,Q799)))</f>
        <v/>
      </c>
      <c r="S799" s="31" t="str">
        <f aca="false">IF(O799="","",O799-R799)</f>
        <v/>
      </c>
      <c r="T799" s="28"/>
      <c r="U799" s="34" t="str">
        <f aca="false">IF(T799="","",IFERROR(VLOOKUP(T799,REPS!$A$2:$D$40,2,0),""))</f>
        <v/>
      </c>
      <c r="V799" s="31" t="str">
        <f aca="false">IF(O799="","",IF(U799="",0,O799*IF(U799&gt;1,U799/100,U799)))</f>
        <v/>
      </c>
      <c r="W799" s="28"/>
      <c r="X799" s="34" t="str">
        <f aca="false">IF(W799="","",IFERROR(VLOOKUP(W799,REPS!$A$2:$D$40,3,0),""))</f>
        <v/>
      </c>
      <c r="Y799" s="31" t="str">
        <f aca="false">IF(O799="","",IF(X799="",0,O799*IF(X799&gt;1,X799/100,X799)))</f>
        <v/>
      </c>
      <c r="Z799" s="28"/>
      <c r="AA799" s="34" t="str">
        <f aca="false">IF(Z799="","",IFERROR(VLOOKUP(Z799,REPS!$A$2:$D$40,4,0),""))</f>
        <v/>
      </c>
      <c r="AB799" s="31" t="str">
        <f aca="false">IF(O799="","",IF(AA799="",0,O799*IF(AA799&gt;1,AA799/100,AA799)))</f>
        <v/>
      </c>
      <c r="AC799" s="31" t="str">
        <f aca="false">IF(O799="","",V799+Y799+AB799)</f>
        <v/>
      </c>
      <c r="AD799" s="19" t="str">
        <f aca="false">IF(O799="","",O799-R799-AC799)</f>
        <v/>
      </c>
      <c r="AE799" s="20"/>
      <c r="AF799" s="27"/>
      <c r="AG799" s="21" t="n">
        <f aca="false">IF(OR(AE799="",AE799=0),0,AE799*IF(U799="",0,IF(U799&gt;1,U799/100,U799)))</f>
        <v>0</v>
      </c>
      <c r="AH799" s="21" t="n">
        <f aca="false">IF(OR(AE799="",AE799=0),0,AE799*IF(X799="",0,IF(X799&gt;1,X799/100,X799)))</f>
        <v>0</v>
      </c>
      <c r="AI799" s="21" t="n">
        <f aca="false">IF(OR(AE799="",AE799=0),0,AE799*IF(AA799="",0,IF(AA799&gt;1,AA799/100,AA799)))</f>
        <v>0</v>
      </c>
      <c r="AJ799" s="21" t="n">
        <f aca="false">AG799+AH799+AI799</f>
        <v>0</v>
      </c>
      <c r="AK799" s="21" t="n">
        <f aca="false">IF(OR(AE799="",AE799=0),0,AE799-AJ799)</f>
        <v>0</v>
      </c>
      <c r="AL799" s="19" t="str">
        <f aca="false">IF(AD799="","",AD799-AK799)</f>
        <v/>
      </c>
      <c r="AM799" s="26" t="str">
        <f aca="false">IF(C799="","","Waiting for payment")</f>
        <v/>
      </c>
      <c r="AN799" s="27"/>
      <c r="AO799" s="27"/>
      <c r="AP799" s="35" t="str">
        <f aca="false">IF(OR(C799="",I799="",K799=""),"",IF(K799="Monthly",EDATE(C799,ROUND(I799*SETTINGS!$I$8,0)),WORKDAY(C799,ROUND(I799*SETTINGS!$I$8,0))))</f>
        <v/>
      </c>
      <c r="AQ799" s="26" t="str">
        <f aca="true">IF(C799="","",IF(AND(AP799&lt;&gt;"",TODAY()&gt;=AP799),"Refi Ready",IF(TODAY()-C799&gt;=SETTINGS!$I$11,"Prospecting","Performing")))</f>
        <v/>
      </c>
      <c r="AR799" s="35" t="str">
        <f aca="false">IF(OR(C799="",I799="",K799=""),"",IF(K799="Monthly",EDATE(C799,I799),WORKDAY(C799,I799)))</f>
        <v/>
      </c>
      <c r="AS799" s="28"/>
      <c r="AT799" s="36" t="str">
        <f aca="true">IF(C799="","",IF(AM799="Clawed Back","CLAWED",IF(TODAY()&lt;=C799+SETTINGS!$I$2,"⚠ AT RISK","SAFE")))</f>
        <v/>
      </c>
      <c r="AU799" s="28"/>
      <c r="AW799" s="24" t="n">
        <f aca="false">AW798+IF(AND(C799&lt;&gt;"",AO799&lt;&gt;"",OR('REP COMMISSION'!$B$3="",T799='REP COMMISSION'!$B$3,W799='REP COMMISSION'!$B$3,Z799='REP COMMISSION'!$B$3)),1,0)</f>
        <v>0</v>
      </c>
      <c r="AX799" s="24" t="n">
        <f aca="false">AX798+IF(AND(C799&lt;&gt;"",OR(F799="LOC - INITIAL",F799="CONSOLIDATION - UPFRONT COMM",F799="REVERSE - TOTAL FUNDING")),1,0)</f>
        <v>0</v>
      </c>
    </row>
    <row r="800" customFormat="false" ht="15" hidden="false" customHeight="false" outlineLevel="0" collapsed="false">
      <c r="A800" s="8" t="str">
        <f aca="false">IF(C800&lt;&gt;"","F"&amp;COUNT($C$4:C800),"")</f>
        <v/>
      </c>
      <c r="B800" s="9" t="str">
        <f aca="false">IF(OR(F800="LOC - INITIAL",F800="CONSOLIDATION - UPFRONT COMM",F800="REVERSE - TOTAL FUNDING"),A800,"")</f>
        <v/>
      </c>
      <c r="C800" s="10"/>
      <c r="D800" s="11"/>
      <c r="E800" s="11"/>
      <c r="F800" s="11"/>
      <c r="G800" s="12"/>
      <c r="H800" s="13"/>
      <c r="I800" s="11"/>
      <c r="J800" s="14" t="str">
        <f aca="false">IF(AND(G800&lt;&gt;"",H800&lt;&gt;""),G800*H800,"")</f>
        <v/>
      </c>
      <c r="K800" s="11"/>
      <c r="L800" s="15"/>
      <c r="M800" s="15"/>
      <c r="N800" s="14" t="n">
        <f aca="false">IF(OR(G800="",M800=""),0,IF(M800&gt;100,M800,G800*IF(M800&gt;1,M800/100,M800)))</f>
        <v>0</v>
      </c>
      <c r="O800" s="14" t="str">
        <f aca="false">IF(G800="","",G800*IF(L800="",0,IF(L800&gt;1,L800/100,L800))+N800)</f>
        <v/>
      </c>
      <c r="P800" s="11"/>
      <c r="Q800" s="16" t="str">
        <f aca="false">IF(P800="","",IFERROR(VLOOKUP(P800,PARTNERS!$A$2:$B$30,2,0),""))</f>
        <v/>
      </c>
      <c r="R800" s="17" t="str">
        <f aca="false">IF(O800="","",IF(OR(P800="",Q800=""),0,(O800-N800)*IF(Q800&gt;1,Q800/100,Q800)))</f>
        <v/>
      </c>
      <c r="S800" s="14" t="str">
        <f aca="false">IF(O800="","",O800-R800)</f>
        <v/>
      </c>
      <c r="T800" s="11"/>
      <c r="U800" s="18" t="str">
        <f aca="false">IF(T800="","",IFERROR(VLOOKUP(T800,REPS!$A$2:$D$40,2,0),""))</f>
        <v/>
      </c>
      <c r="V800" s="14" t="str">
        <f aca="false">IF(O800="","",IF(U800="",0,O800*IF(U800&gt;1,U800/100,U800)))</f>
        <v/>
      </c>
      <c r="W800" s="11"/>
      <c r="X800" s="18" t="str">
        <f aca="false">IF(W800="","",IFERROR(VLOOKUP(W800,REPS!$A$2:$D$40,3,0),""))</f>
        <v/>
      </c>
      <c r="Y800" s="14" t="str">
        <f aca="false">IF(O800="","",IF(X800="",0,O800*IF(X800&gt;1,X800/100,X800)))</f>
        <v/>
      </c>
      <c r="Z800" s="11"/>
      <c r="AA800" s="18" t="str">
        <f aca="false">IF(Z800="","",IFERROR(VLOOKUP(Z800,REPS!$A$2:$D$40,4,0),""))</f>
        <v/>
      </c>
      <c r="AB800" s="14" t="str">
        <f aca="false">IF(O800="","",IF(AA800="",0,O800*IF(AA800&gt;1,AA800/100,AA800)))</f>
        <v/>
      </c>
      <c r="AC800" s="14" t="str">
        <f aca="false">IF(O800="","",V800+Y800+AB800)</f>
        <v/>
      </c>
      <c r="AD800" s="19" t="str">
        <f aca="false">IF(O800="","",O800-R800-AC800)</f>
        <v/>
      </c>
      <c r="AE800" s="20"/>
      <c r="AF800" s="10"/>
      <c r="AG800" s="21" t="n">
        <f aca="false">IF(OR(AE800="",AE800=0),0,AE800*IF(U800="",0,IF(U800&gt;1,U800/100,U800)))</f>
        <v>0</v>
      </c>
      <c r="AH800" s="21" t="n">
        <f aca="false">IF(OR(AE800="",AE800=0),0,AE800*IF(X800="",0,IF(X800&gt;1,X800/100,X800)))</f>
        <v>0</v>
      </c>
      <c r="AI800" s="21" t="n">
        <f aca="false">IF(OR(AE800="",AE800=0),0,AE800*IF(AA800="",0,IF(AA800&gt;1,AA800/100,AA800)))</f>
        <v>0</v>
      </c>
      <c r="AJ800" s="21" t="n">
        <f aca="false">AG800+AH800+AI800</f>
        <v>0</v>
      </c>
      <c r="AK800" s="21" t="n">
        <f aca="false">IF(OR(AE800="",AE800=0),0,AE800-AJ800)</f>
        <v>0</v>
      </c>
      <c r="AL800" s="19" t="str">
        <f aca="false">IF(AD800="","",AD800-AK800)</f>
        <v/>
      </c>
      <c r="AM800" s="9" t="str">
        <f aca="false">IF(C800="","","Waiting for payment")</f>
        <v/>
      </c>
      <c r="AN800" s="10"/>
      <c r="AO800" s="10"/>
      <c r="AP800" s="22" t="str">
        <f aca="false">IF(OR(C800="",I800="",K800=""),"",IF(K800="Monthly",EDATE(C800,ROUND(I800*SETTINGS!$I$8,0)),WORKDAY(C800,ROUND(I800*SETTINGS!$I$8,0))))</f>
        <v/>
      </c>
      <c r="AQ800" s="9" t="str">
        <f aca="true">IF(C800="","",IF(AND(AP800&lt;&gt;"",TODAY()&gt;=AP800),"Refi Ready",IF(TODAY()-C800&gt;=SETTINGS!$I$11,"Prospecting","Performing")))</f>
        <v/>
      </c>
      <c r="AR800" s="22" t="str">
        <f aca="false">IF(OR(C800="",I800="",K800=""),"",IF(K800="Monthly",EDATE(C800,I800),WORKDAY(C800,I800)))</f>
        <v/>
      </c>
      <c r="AS800" s="11"/>
      <c r="AT800" s="23" t="str">
        <f aca="true">IF(C800="","",IF(AM800="Clawed Back","CLAWED",IF(TODAY()&lt;=C800+SETTINGS!$I$2,"⚠ AT RISK","SAFE")))</f>
        <v/>
      </c>
      <c r="AU800" s="11"/>
      <c r="AW800" s="24" t="n">
        <f aca="false">AW799+IF(AND(C800&lt;&gt;"",AO800&lt;&gt;"",OR('REP COMMISSION'!$B$3="",T800='REP COMMISSION'!$B$3,W800='REP COMMISSION'!$B$3,Z800='REP COMMISSION'!$B$3)),1,0)</f>
        <v>0</v>
      </c>
      <c r="AX800" s="24" t="n">
        <f aca="false">AX799+IF(AND(C800&lt;&gt;"",OR(F800="LOC - INITIAL",F800="CONSOLIDATION - UPFRONT COMM",F800="REVERSE - TOTAL FUNDING")),1,0)</f>
        <v>0</v>
      </c>
    </row>
    <row r="801" customFormat="false" ht="15" hidden="false" customHeight="false" outlineLevel="0" collapsed="false">
      <c r="A801" s="25" t="str">
        <f aca="false">IF(C801&lt;&gt;"","F"&amp;COUNT($C$4:C801),"")</f>
        <v/>
      </c>
      <c r="B801" s="26" t="str">
        <f aca="false">IF(OR(F801="LOC - INITIAL",F801="CONSOLIDATION - UPFRONT COMM",F801="REVERSE - TOTAL FUNDING"),A801,"")</f>
        <v/>
      </c>
      <c r="C801" s="27"/>
      <c r="D801" s="28"/>
      <c r="E801" s="28"/>
      <c r="F801" s="28"/>
      <c r="G801" s="29"/>
      <c r="H801" s="30"/>
      <c r="I801" s="28"/>
      <c r="J801" s="31" t="str">
        <f aca="false">IF(AND(G801&lt;&gt;"",H801&lt;&gt;""),G801*H801,"")</f>
        <v/>
      </c>
      <c r="K801" s="28"/>
      <c r="L801" s="32"/>
      <c r="M801" s="32"/>
      <c r="N801" s="31" t="n">
        <f aca="false">IF(OR(G801="",M801=""),0,IF(M801&gt;100,M801,G801*IF(M801&gt;1,M801/100,M801)))</f>
        <v>0</v>
      </c>
      <c r="O801" s="31" t="str">
        <f aca="false">IF(G801="","",G801*IF(L801="",0,IF(L801&gt;1,L801/100,L801))+N801)</f>
        <v/>
      </c>
      <c r="P801" s="28"/>
      <c r="Q801" s="33" t="str">
        <f aca="false">IF(P801="","",IFERROR(VLOOKUP(P801,PARTNERS!$A$2:$B$30,2,0),""))</f>
        <v/>
      </c>
      <c r="R801" s="17" t="str">
        <f aca="false">IF(O801="","",IF(OR(P801="",Q801=""),0,(O801-N801)*IF(Q801&gt;1,Q801/100,Q801)))</f>
        <v/>
      </c>
      <c r="S801" s="31" t="str">
        <f aca="false">IF(O801="","",O801-R801)</f>
        <v/>
      </c>
      <c r="T801" s="28"/>
      <c r="U801" s="34" t="str">
        <f aca="false">IF(T801="","",IFERROR(VLOOKUP(T801,REPS!$A$2:$D$40,2,0),""))</f>
        <v/>
      </c>
      <c r="V801" s="31" t="str">
        <f aca="false">IF(O801="","",IF(U801="",0,O801*IF(U801&gt;1,U801/100,U801)))</f>
        <v/>
      </c>
      <c r="W801" s="28"/>
      <c r="X801" s="34" t="str">
        <f aca="false">IF(W801="","",IFERROR(VLOOKUP(W801,REPS!$A$2:$D$40,3,0),""))</f>
        <v/>
      </c>
      <c r="Y801" s="31" t="str">
        <f aca="false">IF(O801="","",IF(X801="",0,O801*IF(X801&gt;1,X801/100,X801)))</f>
        <v/>
      </c>
      <c r="Z801" s="28"/>
      <c r="AA801" s="34" t="str">
        <f aca="false">IF(Z801="","",IFERROR(VLOOKUP(Z801,REPS!$A$2:$D$40,4,0),""))</f>
        <v/>
      </c>
      <c r="AB801" s="31" t="str">
        <f aca="false">IF(O801="","",IF(AA801="",0,O801*IF(AA801&gt;1,AA801/100,AA801)))</f>
        <v/>
      </c>
      <c r="AC801" s="31" t="str">
        <f aca="false">IF(O801="","",V801+Y801+AB801)</f>
        <v/>
      </c>
      <c r="AD801" s="19" t="str">
        <f aca="false">IF(O801="","",O801-R801-AC801)</f>
        <v/>
      </c>
      <c r="AE801" s="20"/>
      <c r="AF801" s="27"/>
      <c r="AG801" s="21" t="n">
        <f aca="false">IF(OR(AE801="",AE801=0),0,AE801*IF(U801="",0,IF(U801&gt;1,U801/100,U801)))</f>
        <v>0</v>
      </c>
      <c r="AH801" s="21" t="n">
        <f aca="false">IF(OR(AE801="",AE801=0),0,AE801*IF(X801="",0,IF(X801&gt;1,X801/100,X801)))</f>
        <v>0</v>
      </c>
      <c r="AI801" s="21" t="n">
        <f aca="false">IF(OR(AE801="",AE801=0),0,AE801*IF(AA801="",0,IF(AA801&gt;1,AA801/100,AA801)))</f>
        <v>0</v>
      </c>
      <c r="AJ801" s="21" t="n">
        <f aca="false">AG801+AH801+AI801</f>
        <v>0</v>
      </c>
      <c r="AK801" s="21" t="n">
        <f aca="false">IF(OR(AE801="",AE801=0),0,AE801-AJ801)</f>
        <v>0</v>
      </c>
      <c r="AL801" s="19" t="str">
        <f aca="false">IF(AD801="","",AD801-AK801)</f>
        <v/>
      </c>
      <c r="AM801" s="26" t="str">
        <f aca="false">IF(C801="","","Waiting for payment")</f>
        <v/>
      </c>
      <c r="AN801" s="27"/>
      <c r="AO801" s="27"/>
      <c r="AP801" s="35" t="str">
        <f aca="false">IF(OR(C801="",I801="",K801=""),"",IF(K801="Monthly",EDATE(C801,ROUND(I801*SETTINGS!$I$8,0)),WORKDAY(C801,ROUND(I801*SETTINGS!$I$8,0))))</f>
        <v/>
      </c>
      <c r="AQ801" s="26" t="str">
        <f aca="true">IF(C801="","",IF(AND(AP801&lt;&gt;"",TODAY()&gt;=AP801),"Refi Ready",IF(TODAY()-C801&gt;=SETTINGS!$I$11,"Prospecting","Performing")))</f>
        <v/>
      </c>
      <c r="AR801" s="35" t="str">
        <f aca="false">IF(OR(C801="",I801="",K801=""),"",IF(K801="Monthly",EDATE(C801,I801),WORKDAY(C801,I801)))</f>
        <v/>
      </c>
      <c r="AS801" s="28"/>
      <c r="AT801" s="36" t="str">
        <f aca="true">IF(C801="","",IF(AM801="Clawed Back","CLAWED",IF(TODAY()&lt;=C801+SETTINGS!$I$2,"⚠ AT RISK","SAFE")))</f>
        <v/>
      </c>
      <c r="AU801" s="28"/>
      <c r="AW801" s="24" t="n">
        <f aca="false">AW800+IF(AND(C801&lt;&gt;"",AO801&lt;&gt;"",OR('REP COMMISSION'!$B$3="",T801='REP COMMISSION'!$B$3,W801='REP COMMISSION'!$B$3,Z801='REP COMMISSION'!$B$3)),1,0)</f>
        <v>0</v>
      </c>
      <c r="AX801" s="24" t="n">
        <f aca="false">AX800+IF(AND(C801&lt;&gt;"",OR(F801="LOC - INITIAL",F801="CONSOLIDATION - UPFRONT COMM",F801="REVERSE - TOTAL FUNDING")),1,0)</f>
        <v>0</v>
      </c>
    </row>
    <row r="802" customFormat="false" ht="15" hidden="false" customHeight="false" outlineLevel="0" collapsed="false">
      <c r="A802" s="8" t="str">
        <f aca="false">IF(C802&lt;&gt;"","F"&amp;COUNT($C$4:C802),"")</f>
        <v/>
      </c>
      <c r="B802" s="9" t="str">
        <f aca="false">IF(OR(F802="LOC - INITIAL",F802="CONSOLIDATION - UPFRONT COMM",F802="REVERSE - TOTAL FUNDING"),A802,"")</f>
        <v/>
      </c>
      <c r="C802" s="10"/>
      <c r="D802" s="11"/>
      <c r="E802" s="11"/>
      <c r="F802" s="11"/>
      <c r="G802" s="12"/>
      <c r="H802" s="13"/>
      <c r="I802" s="11"/>
      <c r="J802" s="14" t="str">
        <f aca="false">IF(AND(G802&lt;&gt;"",H802&lt;&gt;""),G802*H802,"")</f>
        <v/>
      </c>
      <c r="K802" s="11"/>
      <c r="L802" s="15"/>
      <c r="M802" s="15"/>
      <c r="N802" s="14" t="n">
        <f aca="false">IF(OR(G802="",M802=""),0,IF(M802&gt;100,M802,G802*IF(M802&gt;1,M802/100,M802)))</f>
        <v>0</v>
      </c>
      <c r="O802" s="14" t="str">
        <f aca="false">IF(G802="","",G802*IF(L802="",0,IF(L802&gt;1,L802/100,L802))+N802)</f>
        <v/>
      </c>
      <c r="P802" s="11"/>
      <c r="Q802" s="16" t="str">
        <f aca="false">IF(P802="","",IFERROR(VLOOKUP(P802,PARTNERS!$A$2:$B$30,2,0),""))</f>
        <v/>
      </c>
      <c r="R802" s="17" t="str">
        <f aca="false">IF(O802="","",IF(OR(P802="",Q802=""),0,(O802-N802)*IF(Q802&gt;1,Q802/100,Q802)))</f>
        <v/>
      </c>
      <c r="S802" s="14" t="str">
        <f aca="false">IF(O802="","",O802-R802)</f>
        <v/>
      </c>
      <c r="T802" s="11"/>
      <c r="U802" s="18" t="str">
        <f aca="false">IF(T802="","",IFERROR(VLOOKUP(T802,REPS!$A$2:$D$40,2,0),""))</f>
        <v/>
      </c>
      <c r="V802" s="14" t="str">
        <f aca="false">IF(O802="","",IF(U802="",0,O802*IF(U802&gt;1,U802/100,U802)))</f>
        <v/>
      </c>
      <c r="W802" s="11"/>
      <c r="X802" s="18" t="str">
        <f aca="false">IF(W802="","",IFERROR(VLOOKUP(W802,REPS!$A$2:$D$40,3,0),""))</f>
        <v/>
      </c>
      <c r="Y802" s="14" t="str">
        <f aca="false">IF(O802="","",IF(X802="",0,O802*IF(X802&gt;1,X802/100,X802)))</f>
        <v/>
      </c>
      <c r="Z802" s="11"/>
      <c r="AA802" s="18" t="str">
        <f aca="false">IF(Z802="","",IFERROR(VLOOKUP(Z802,REPS!$A$2:$D$40,4,0),""))</f>
        <v/>
      </c>
      <c r="AB802" s="14" t="str">
        <f aca="false">IF(O802="","",IF(AA802="",0,O802*IF(AA802&gt;1,AA802/100,AA802)))</f>
        <v/>
      </c>
      <c r="AC802" s="14" t="str">
        <f aca="false">IF(O802="","",V802+Y802+AB802)</f>
        <v/>
      </c>
      <c r="AD802" s="19" t="str">
        <f aca="false">IF(O802="","",O802-R802-AC802)</f>
        <v/>
      </c>
      <c r="AE802" s="20"/>
      <c r="AF802" s="10"/>
      <c r="AG802" s="21" t="n">
        <f aca="false">IF(OR(AE802="",AE802=0),0,AE802*IF(U802="",0,IF(U802&gt;1,U802/100,U802)))</f>
        <v>0</v>
      </c>
      <c r="AH802" s="21" t="n">
        <f aca="false">IF(OR(AE802="",AE802=0),0,AE802*IF(X802="",0,IF(X802&gt;1,X802/100,X802)))</f>
        <v>0</v>
      </c>
      <c r="AI802" s="21" t="n">
        <f aca="false">IF(OR(AE802="",AE802=0),0,AE802*IF(AA802="",0,IF(AA802&gt;1,AA802/100,AA802)))</f>
        <v>0</v>
      </c>
      <c r="AJ802" s="21" t="n">
        <f aca="false">AG802+AH802+AI802</f>
        <v>0</v>
      </c>
      <c r="AK802" s="21" t="n">
        <f aca="false">IF(OR(AE802="",AE802=0),0,AE802-AJ802)</f>
        <v>0</v>
      </c>
      <c r="AL802" s="19" t="str">
        <f aca="false">IF(AD802="","",AD802-AK802)</f>
        <v/>
      </c>
      <c r="AM802" s="9" t="str">
        <f aca="false">IF(C802="","","Waiting for payment")</f>
        <v/>
      </c>
      <c r="AN802" s="10"/>
      <c r="AO802" s="10"/>
      <c r="AP802" s="22" t="str">
        <f aca="false">IF(OR(C802="",I802="",K802=""),"",IF(K802="Monthly",EDATE(C802,ROUND(I802*SETTINGS!$I$8,0)),WORKDAY(C802,ROUND(I802*SETTINGS!$I$8,0))))</f>
        <v/>
      </c>
      <c r="AQ802" s="9" t="str">
        <f aca="true">IF(C802="","",IF(AND(AP802&lt;&gt;"",TODAY()&gt;=AP802),"Refi Ready",IF(TODAY()-C802&gt;=SETTINGS!$I$11,"Prospecting","Performing")))</f>
        <v/>
      </c>
      <c r="AR802" s="22" t="str">
        <f aca="false">IF(OR(C802="",I802="",K802=""),"",IF(K802="Monthly",EDATE(C802,I802),WORKDAY(C802,I802)))</f>
        <v/>
      </c>
      <c r="AS802" s="11"/>
      <c r="AT802" s="23" t="str">
        <f aca="true">IF(C802="","",IF(AM802="Clawed Back","CLAWED",IF(TODAY()&lt;=C802+SETTINGS!$I$2,"⚠ AT RISK","SAFE")))</f>
        <v/>
      </c>
      <c r="AU802" s="11"/>
      <c r="AW802" s="24" t="n">
        <f aca="false">AW801+IF(AND(C802&lt;&gt;"",AO802&lt;&gt;"",OR('REP COMMISSION'!$B$3="",T802='REP COMMISSION'!$B$3,W802='REP COMMISSION'!$B$3,Z802='REP COMMISSION'!$B$3)),1,0)</f>
        <v>0</v>
      </c>
      <c r="AX802" s="24" t="n">
        <f aca="false">AX801+IF(AND(C802&lt;&gt;"",OR(F802="LOC - INITIAL",F802="CONSOLIDATION - UPFRONT COMM",F802="REVERSE - TOTAL FUNDING")),1,0)</f>
        <v>0</v>
      </c>
    </row>
    <row r="803" customFormat="false" ht="15" hidden="false" customHeight="false" outlineLevel="0" collapsed="false">
      <c r="A803" s="25" t="str">
        <f aca="false">IF(C803&lt;&gt;"","F"&amp;COUNT($C$4:C803),"")</f>
        <v/>
      </c>
      <c r="B803" s="26" t="str">
        <f aca="false">IF(OR(F803="LOC - INITIAL",F803="CONSOLIDATION - UPFRONT COMM",F803="REVERSE - TOTAL FUNDING"),A803,"")</f>
        <v/>
      </c>
      <c r="C803" s="27"/>
      <c r="D803" s="28"/>
      <c r="E803" s="28"/>
      <c r="F803" s="28"/>
      <c r="G803" s="29"/>
      <c r="H803" s="30"/>
      <c r="I803" s="28"/>
      <c r="J803" s="31" t="str">
        <f aca="false">IF(AND(G803&lt;&gt;"",H803&lt;&gt;""),G803*H803,"")</f>
        <v/>
      </c>
      <c r="K803" s="28"/>
      <c r="L803" s="32"/>
      <c r="M803" s="32"/>
      <c r="N803" s="31" t="n">
        <f aca="false">IF(OR(G803="",M803=""),0,IF(M803&gt;100,M803,G803*IF(M803&gt;1,M803/100,M803)))</f>
        <v>0</v>
      </c>
      <c r="O803" s="31" t="str">
        <f aca="false">IF(G803="","",G803*IF(L803="",0,IF(L803&gt;1,L803/100,L803))+N803)</f>
        <v/>
      </c>
      <c r="P803" s="28"/>
      <c r="Q803" s="33" t="str">
        <f aca="false">IF(P803="","",IFERROR(VLOOKUP(P803,PARTNERS!$A$2:$B$30,2,0),""))</f>
        <v/>
      </c>
      <c r="R803" s="17" t="str">
        <f aca="false">IF(O803="","",IF(OR(P803="",Q803=""),0,(O803-N803)*IF(Q803&gt;1,Q803/100,Q803)))</f>
        <v/>
      </c>
      <c r="S803" s="31" t="str">
        <f aca="false">IF(O803="","",O803-R803)</f>
        <v/>
      </c>
      <c r="T803" s="28"/>
      <c r="U803" s="34" t="str">
        <f aca="false">IF(T803="","",IFERROR(VLOOKUP(T803,REPS!$A$2:$D$40,2,0),""))</f>
        <v/>
      </c>
      <c r="V803" s="31" t="str">
        <f aca="false">IF(O803="","",IF(U803="",0,O803*IF(U803&gt;1,U803/100,U803)))</f>
        <v/>
      </c>
      <c r="W803" s="28"/>
      <c r="X803" s="34" t="str">
        <f aca="false">IF(W803="","",IFERROR(VLOOKUP(W803,REPS!$A$2:$D$40,3,0),""))</f>
        <v/>
      </c>
      <c r="Y803" s="31" t="str">
        <f aca="false">IF(O803="","",IF(X803="",0,O803*IF(X803&gt;1,X803/100,X803)))</f>
        <v/>
      </c>
      <c r="Z803" s="28"/>
      <c r="AA803" s="34" t="str">
        <f aca="false">IF(Z803="","",IFERROR(VLOOKUP(Z803,REPS!$A$2:$D$40,4,0),""))</f>
        <v/>
      </c>
      <c r="AB803" s="31" t="str">
        <f aca="false">IF(O803="","",IF(AA803="",0,O803*IF(AA803&gt;1,AA803/100,AA803)))</f>
        <v/>
      </c>
      <c r="AC803" s="31" t="str">
        <f aca="false">IF(O803="","",V803+Y803+AB803)</f>
        <v/>
      </c>
      <c r="AD803" s="19" t="str">
        <f aca="false">IF(O803="","",O803-R803-AC803)</f>
        <v/>
      </c>
      <c r="AE803" s="20"/>
      <c r="AF803" s="27"/>
      <c r="AG803" s="21" t="n">
        <f aca="false">IF(OR(AE803="",AE803=0),0,AE803*IF(U803="",0,IF(U803&gt;1,U803/100,U803)))</f>
        <v>0</v>
      </c>
      <c r="AH803" s="21" t="n">
        <f aca="false">IF(OR(AE803="",AE803=0),0,AE803*IF(X803="",0,IF(X803&gt;1,X803/100,X803)))</f>
        <v>0</v>
      </c>
      <c r="AI803" s="21" t="n">
        <f aca="false">IF(OR(AE803="",AE803=0),0,AE803*IF(AA803="",0,IF(AA803&gt;1,AA803/100,AA803)))</f>
        <v>0</v>
      </c>
      <c r="AJ803" s="21" t="n">
        <f aca="false">AG803+AH803+AI803</f>
        <v>0</v>
      </c>
      <c r="AK803" s="21" t="n">
        <f aca="false">IF(OR(AE803="",AE803=0),0,AE803-AJ803)</f>
        <v>0</v>
      </c>
      <c r="AL803" s="19" t="str">
        <f aca="false">IF(AD803="","",AD803-AK803)</f>
        <v/>
      </c>
      <c r="AM803" s="26" t="str">
        <f aca="false">IF(C803="","","Waiting for payment")</f>
        <v/>
      </c>
      <c r="AN803" s="27"/>
      <c r="AO803" s="27"/>
      <c r="AP803" s="35" t="str">
        <f aca="false">IF(OR(C803="",I803="",K803=""),"",IF(K803="Monthly",EDATE(C803,ROUND(I803*SETTINGS!$I$8,0)),WORKDAY(C803,ROUND(I803*SETTINGS!$I$8,0))))</f>
        <v/>
      </c>
      <c r="AQ803" s="26" t="str">
        <f aca="true">IF(C803="","",IF(AND(AP803&lt;&gt;"",TODAY()&gt;=AP803),"Refi Ready",IF(TODAY()-C803&gt;=SETTINGS!$I$11,"Prospecting","Performing")))</f>
        <v/>
      </c>
      <c r="AR803" s="35" t="str">
        <f aca="false">IF(OR(C803="",I803="",K803=""),"",IF(K803="Monthly",EDATE(C803,I803),WORKDAY(C803,I803)))</f>
        <v/>
      </c>
      <c r="AS803" s="28"/>
      <c r="AT803" s="36" t="str">
        <f aca="true">IF(C803="","",IF(AM803="Clawed Back","CLAWED",IF(TODAY()&lt;=C803+SETTINGS!$I$2,"⚠ AT RISK","SAFE")))</f>
        <v/>
      </c>
      <c r="AU803" s="28"/>
      <c r="AW803" s="24" t="n">
        <f aca="false">AW802+IF(AND(C803&lt;&gt;"",AO803&lt;&gt;"",OR('REP COMMISSION'!$B$3="",T803='REP COMMISSION'!$B$3,W803='REP COMMISSION'!$B$3,Z803='REP COMMISSION'!$B$3)),1,0)</f>
        <v>0</v>
      </c>
      <c r="AX803" s="24" t="n">
        <f aca="false">AX802+IF(AND(C803&lt;&gt;"",OR(F803="LOC - INITIAL",F803="CONSOLIDATION - UPFRONT COMM",F803="REVERSE - TOTAL FUNDING")),1,0)</f>
        <v>0</v>
      </c>
    </row>
    <row r="804" customFormat="false" ht="15" hidden="false" customHeight="false" outlineLevel="0" collapsed="false">
      <c r="A804" s="8" t="str">
        <f aca="false">IF(C804&lt;&gt;"","F"&amp;COUNT($C$4:C804),"")</f>
        <v/>
      </c>
      <c r="B804" s="9" t="str">
        <f aca="false">IF(OR(F804="LOC - INITIAL",F804="CONSOLIDATION - UPFRONT COMM",F804="REVERSE - TOTAL FUNDING"),A804,"")</f>
        <v/>
      </c>
      <c r="C804" s="10"/>
      <c r="D804" s="11"/>
      <c r="E804" s="11"/>
      <c r="F804" s="11"/>
      <c r="G804" s="12"/>
      <c r="H804" s="13"/>
      <c r="I804" s="11"/>
      <c r="J804" s="14" t="str">
        <f aca="false">IF(AND(G804&lt;&gt;"",H804&lt;&gt;""),G804*H804,"")</f>
        <v/>
      </c>
      <c r="K804" s="11"/>
      <c r="L804" s="15"/>
      <c r="M804" s="15"/>
      <c r="N804" s="14" t="n">
        <f aca="false">IF(OR(G804="",M804=""),0,IF(M804&gt;100,M804,G804*IF(M804&gt;1,M804/100,M804)))</f>
        <v>0</v>
      </c>
      <c r="O804" s="14" t="str">
        <f aca="false">IF(G804="","",G804*IF(L804="",0,IF(L804&gt;1,L804/100,L804))+N804)</f>
        <v/>
      </c>
      <c r="P804" s="11"/>
      <c r="Q804" s="16" t="str">
        <f aca="false">IF(P804="","",IFERROR(VLOOKUP(P804,PARTNERS!$A$2:$B$30,2,0),""))</f>
        <v/>
      </c>
      <c r="R804" s="17" t="str">
        <f aca="false">IF(O804="","",IF(OR(P804="",Q804=""),0,(O804-N804)*IF(Q804&gt;1,Q804/100,Q804)))</f>
        <v/>
      </c>
      <c r="S804" s="14" t="str">
        <f aca="false">IF(O804="","",O804-R804)</f>
        <v/>
      </c>
      <c r="T804" s="11"/>
      <c r="U804" s="18" t="str">
        <f aca="false">IF(T804="","",IFERROR(VLOOKUP(T804,REPS!$A$2:$D$40,2,0),""))</f>
        <v/>
      </c>
      <c r="V804" s="14" t="str">
        <f aca="false">IF(O804="","",IF(U804="",0,O804*IF(U804&gt;1,U804/100,U804)))</f>
        <v/>
      </c>
      <c r="W804" s="11"/>
      <c r="X804" s="18" t="str">
        <f aca="false">IF(W804="","",IFERROR(VLOOKUP(W804,REPS!$A$2:$D$40,3,0),""))</f>
        <v/>
      </c>
      <c r="Y804" s="14" t="str">
        <f aca="false">IF(O804="","",IF(X804="",0,O804*IF(X804&gt;1,X804/100,X804)))</f>
        <v/>
      </c>
      <c r="Z804" s="11"/>
      <c r="AA804" s="18" t="str">
        <f aca="false">IF(Z804="","",IFERROR(VLOOKUP(Z804,REPS!$A$2:$D$40,4,0),""))</f>
        <v/>
      </c>
      <c r="AB804" s="14" t="str">
        <f aca="false">IF(O804="","",IF(AA804="",0,O804*IF(AA804&gt;1,AA804/100,AA804)))</f>
        <v/>
      </c>
      <c r="AC804" s="14" t="str">
        <f aca="false">IF(O804="","",V804+Y804+AB804)</f>
        <v/>
      </c>
      <c r="AD804" s="19" t="str">
        <f aca="false">IF(O804="","",O804-R804-AC804)</f>
        <v/>
      </c>
      <c r="AE804" s="20"/>
      <c r="AF804" s="10"/>
      <c r="AG804" s="21" t="n">
        <f aca="false">IF(OR(AE804="",AE804=0),0,AE804*IF(U804="",0,IF(U804&gt;1,U804/100,U804)))</f>
        <v>0</v>
      </c>
      <c r="AH804" s="21" t="n">
        <f aca="false">IF(OR(AE804="",AE804=0),0,AE804*IF(X804="",0,IF(X804&gt;1,X804/100,X804)))</f>
        <v>0</v>
      </c>
      <c r="AI804" s="21" t="n">
        <f aca="false">IF(OR(AE804="",AE804=0),0,AE804*IF(AA804="",0,IF(AA804&gt;1,AA804/100,AA804)))</f>
        <v>0</v>
      </c>
      <c r="AJ804" s="21" t="n">
        <f aca="false">AG804+AH804+AI804</f>
        <v>0</v>
      </c>
      <c r="AK804" s="21" t="n">
        <f aca="false">IF(OR(AE804="",AE804=0),0,AE804-AJ804)</f>
        <v>0</v>
      </c>
      <c r="AL804" s="19" t="str">
        <f aca="false">IF(AD804="","",AD804-AK804)</f>
        <v/>
      </c>
      <c r="AM804" s="9" t="str">
        <f aca="false">IF(C804="","","Waiting for payment")</f>
        <v/>
      </c>
      <c r="AN804" s="10"/>
      <c r="AO804" s="10"/>
      <c r="AP804" s="22" t="str">
        <f aca="false">IF(OR(C804="",I804="",K804=""),"",IF(K804="Monthly",EDATE(C804,ROUND(I804*SETTINGS!$I$8,0)),WORKDAY(C804,ROUND(I804*SETTINGS!$I$8,0))))</f>
        <v/>
      </c>
      <c r="AQ804" s="9" t="str">
        <f aca="true">IF(C804="","",IF(AND(AP804&lt;&gt;"",TODAY()&gt;=AP804),"Refi Ready",IF(TODAY()-C804&gt;=SETTINGS!$I$11,"Prospecting","Performing")))</f>
        <v/>
      </c>
      <c r="AR804" s="22" t="str">
        <f aca="false">IF(OR(C804="",I804="",K804=""),"",IF(K804="Monthly",EDATE(C804,I804),WORKDAY(C804,I804)))</f>
        <v/>
      </c>
      <c r="AS804" s="11"/>
      <c r="AT804" s="23" t="str">
        <f aca="true">IF(C804="","",IF(AM804="Clawed Back","CLAWED",IF(TODAY()&lt;=C804+SETTINGS!$I$2,"⚠ AT RISK","SAFE")))</f>
        <v/>
      </c>
      <c r="AU804" s="11"/>
      <c r="AW804" s="24" t="n">
        <f aca="false">AW803+IF(AND(C804&lt;&gt;"",AO804&lt;&gt;"",OR('REP COMMISSION'!$B$3="",T804='REP COMMISSION'!$B$3,W804='REP COMMISSION'!$B$3,Z804='REP COMMISSION'!$B$3)),1,0)</f>
        <v>0</v>
      </c>
      <c r="AX804" s="24" t="n">
        <f aca="false">AX803+IF(AND(C804&lt;&gt;"",OR(F804="LOC - INITIAL",F804="CONSOLIDATION - UPFRONT COMM",F804="REVERSE - TOTAL FUNDING")),1,0)</f>
        <v>0</v>
      </c>
    </row>
    <row r="805" customFormat="false" ht="15" hidden="false" customHeight="false" outlineLevel="0" collapsed="false">
      <c r="A805" s="25" t="str">
        <f aca="false">IF(C805&lt;&gt;"","F"&amp;COUNT($C$4:C805),"")</f>
        <v/>
      </c>
      <c r="B805" s="26" t="str">
        <f aca="false">IF(OR(F805="LOC - INITIAL",F805="CONSOLIDATION - UPFRONT COMM",F805="REVERSE - TOTAL FUNDING"),A805,"")</f>
        <v/>
      </c>
      <c r="C805" s="27"/>
      <c r="D805" s="28"/>
      <c r="E805" s="28"/>
      <c r="F805" s="28"/>
      <c r="G805" s="29"/>
      <c r="H805" s="30"/>
      <c r="I805" s="28"/>
      <c r="J805" s="31" t="str">
        <f aca="false">IF(AND(G805&lt;&gt;"",H805&lt;&gt;""),G805*H805,"")</f>
        <v/>
      </c>
      <c r="K805" s="28"/>
      <c r="L805" s="32"/>
      <c r="M805" s="32"/>
      <c r="N805" s="31" t="n">
        <f aca="false">IF(OR(G805="",M805=""),0,IF(M805&gt;100,M805,G805*IF(M805&gt;1,M805/100,M805)))</f>
        <v>0</v>
      </c>
      <c r="O805" s="31" t="str">
        <f aca="false">IF(G805="","",G805*IF(L805="",0,IF(L805&gt;1,L805/100,L805))+N805)</f>
        <v/>
      </c>
      <c r="P805" s="28"/>
      <c r="Q805" s="33" t="str">
        <f aca="false">IF(P805="","",IFERROR(VLOOKUP(P805,PARTNERS!$A$2:$B$30,2,0),""))</f>
        <v/>
      </c>
      <c r="R805" s="17" t="str">
        <f aca="false">IF(O805="","",IF(OR(P805="",Q805=""),0,(O805-N805)*IF(Q805&gt;1,Q805/100,Q805)))</f>
        <v/>
      </c>
      <c r="S805" s="31" t="str">
        <f aca="false">IF(O805="","",O805-R805)</f>
        <v/>
      </c>
      <c r="T805" s="28"/>
      <c r="U805" s="34" t="str">
        <f aca="false">IF(T805="","",IFERROR(VLOOKUP(T805,REPS!$A$2:$D$40,2,0),""))</f>
        <v/>
      </c>
      <c r="V805" s="31" t="str">
        <f aca="false">IF(O805="","",IF(U805="",0,O805*IF(U805&gt;1,U805/100,U805)))</f>
        <v/>
      </c>
      <c r="W805" s="28"/>
      <c r="X805" s="34" t="str">
        <f aca="false">IF(W805="","",IFERROR(VLOOKUP(W805,REPS!$A$2:$D$40,3,0),""))</f>
        <v/>
      </c>
      <c r="Y805" s="31" t="str">
        <f aca="false">IF(O805="","",IF(X805="",0,O805*IF(X805&gt;1,X805/100,X805)))</f>
        <v/>
      </c>
      <c r="Z805" s="28"/>
      <c r="AA805" s="34" t="str">
        <f aca="false">IF(Z805="","",IFERROR(VLOOKUP(Z805,REPS!$A$2:$D$40,4,0),""))</f>
        <v/>
      </c>
      <c r="AB805" s="31" t="str">
        <f aca="false">IF(O805="","",IF(AA805="",0,O805*IF(AA805&gt;1,AA805/100,AA805)))</f>
        <v/>
      </c>
      <c r="AC805" s="31" t="str">
        <f aca="false">IF(O805="","",V805+Y805+AB805)</f>
        <v/>
      </c>
      <c r="AD805" s="19" t="str">
        <f aca="false">IF(O805="","",O805-R805-AC805)</f>
        <v/>
      </c>
      <c r="AE805" s="20"/>
      <c r="AF805" s="27"/>
      <c r="AG805" s="21" t="n">
        <f aca="false">IF(OR(AE805="",AE805=0),0,AE805*IF(U805="",0,IF(U805&gt;1,U805/100,U805)))</f>
        <v>0</v>
      </c>
      <c r="AH805" s="21" t="n">
        <f aca="false">IF(OR(AE805="",AE805=0),0,AE805*IF(X805="",0,IF(X805&gt;1,X805/100,X805)))</f>
        <v>0</v>
      </c>
      <c r="AI805" s="21" t="n">
        <f aca="false">IF(OR(AE805="",AE805=0),0,AE805*IF(AA805="",0,IF(AA805&gt;1,AA805/100,AA805)))</f>
        <v>0</v>
      </c>
      <c r="AJ805" s="21" t="n">
        <f aca="false">AG805+AH805+AI805</f>
        <v>0</v>
      </c>
      <c r="AK805" s="21" t="n">
        <f aca="false">IF(OR(AE805="",AE805=0),0,AE805-AJ805)</f>
        <v>0</v>
      </c>
      <c r="AL805" s="19" t="str">
        <f aca="false">IF(AD805="","",AD805-AK805)</f>
        <v/>
      </c>
      <c r="AM805" s="26" t="str">
        <f aca="false">IF(C805="","","Waiting for payment")</f>
        <v/>
      </c>
      <c r="AN805" s="27"/>
      <c r="AO805" s="27"/>
      <c r="AP805" s="35" t="str">
        <f aca="false">IF(OR(C805="",I805="",K805=""),"",IF(K805="Monthly",EDATE(C805,ROUND(I805*SETTINGS!$I$8,0)),WORKDAY(C805,ROUND(I805*SETTINGS!$I$8,0))))</f>
        <v/>
      </c>
      <c r="AQ805" s="26" t="str">
        <f aca="true">IF(C805="","",IF(AND(AP805&lt;&gt;"",TODAY()&gt;=AP805),"Refi Ready",IF(TODAY()-C805&gt;=SETTINGS!$I$11,"Prospecting","Performing")))</f>
        <v/>
      </c>
      <c r="AR805" s="35" t="str">
        <f aca="false">IF(OR(C805="",I805="",K805=""),"",IF(K805="Monthly",EDATE(C805,I805),WORKDAY(C805,I805)))</f>
        <v/>
      </c>
      <c r="AS805" s="28"/>
      <c r="AT805" s="36" t="str">
        <f aca="true">IF(C805="","",IF(AM805="Clawed Back","CLAWED",IF(TODAY()&lt;=C805+SETTINGS!$I$2,"⚠ AT RISK","SAFE")))</f>
        <v/>
      </c>
      <c r="AU805" s="28"/>
      <c r="AW805" s="24" t="n">
        <f aca="false">AW804+IF(AND(C805&lt;&gt;"",AO805&lt;&gt;"",OR('REP COMMISSION'!$B$3="",T805='REP COMMISSION'!$B$3,W805='REP COMMISSION'!$B$3,Z805='REP COMMISSION'!$B$3)),1,0)</f>
        <v>0</v>
      </c>
      <c r="AX805" s="24" t="n">
        <f aca="false">AX804+IF(AND(C805&lt;&gt;"",OR(F805="LOC - INITIAL",F805="CONSOLIDATION - UPFRONT COMM",F805="REVERSE - TOTAL FUNDING")),1,0)</f>
        <v>0</v>
      </c>
    </row>
    <row r="806" customFormat="false" ht="15" hidden="false" customHeight="false" outlineLevel="0" collapsed="false">
      <c r="A806" s="8" t="str">
        <f aca="false">IF(C806&lt;&gt;"","F"&amp;COUNT($C$4:C806),"")</f>
        <v/>
      </c>
      <c r="B806" s="9" t="str">
        <f aca="false">IF(OR(F806="LOC - INITIAL",F806="CONSOLIDATION - UPFRONT COMM",F806="REVERSE - TOTAL FUNDING"),A806,"")</f>
        <v/>
      </c>
      <c r="C806" s="10"/>
      <c r="D806" s="11"/>
      <c r="E806" s="11"/>
      <c r="F806" s="11"/>
      <c r="G806" s="12"/>
      <c r="H806" s="13"/>
      <c r="I806" s="11"/>
      <c r="J806" s="14" t="str">
        <f aca="false">IF(AND(G806&lt;&gt;"",H806&lt;&gt;""),G806*H806,"")</f>
        <v/>
      </c>
      <c r="K806" s="11"/>
      <c r="L806" s="15"/>
      <c r="M806" s="15"/>
      <c r="N806" s="14" t="n">
        <f aca="false">IF(OR(G806="",M806=""),0,IF(M806&gt;100,M806,G806*IF(M806&gt;1,M806/100,M806)))</f>
        <v>0</v>
      </c>
      <c r="O806" s="14" t="str">
        <f aca="false">IF(G806="","",G806*IF(L806="",0,IF(L806&gt;1,L806/100,L806))+N806)</f>
        <v/>
      </c>
      <c r="P806" s="11"/>
      <c r="Q806" s="16" t="str">
        <f aca="false">IF(P806="","",IFERROR(VLOOKUP(P806,PARTNERS!$A$2:$B$30,2,0),""))</f>
        <v/>
      </c>
      <c r="R806" s="17" t="str">
        <f aca="false">IF(O806="","",IF(OR(P806="",Q806=""),0,(O806-N806)*IF(Q806&gt;1,Q806/100,Q806)))</f>
        <v/>
      </c>
      <c r="S806" s="14" t="str">
        <f aca="false">IF(O806="","",O806-R806)</f>
        <v/>
      </c>
      <c r="T806" s="11"/>
      <c r="U806" s="18" t="str">
        <f aca="false">IF(T806="","",IFERROR(VLOOKUP(T806,REPS!$A$2:$D$40,2,0),""))</f>
        <v/>
      </c>
      <c r="V806" s="14" t="str">
        <f aca="false">IF(O806="","",IF(U806="",0,O806*IF(U806&gt;1,U806/100,U806)))</f>
        <v/>
      </c>
      <c r="W806" s="11"/>
      <c r="X806" s="18" t="str">
        <f aca="false">IF(W806="","",IFERROR(VLOOKUP(W806,REPS!$A$2:$D$40,3,0),""))</f>
        <v/>
      </c>
      <c r="Y806" s="14" t="str">
        <f aca="false">IF(O806="","",IF(X806="",0,O806*IF(X806&gt;1,X806/100,X806)))</f>
        <v/>
      </c>
      <c r="Z806" s="11"/>
      <c r="AA806" s="18" t="str">
        <f aca="false">IF(Z806="","",IFERROR(VLOOKUP(Z806,REPS!$A$2:$D$40,4,0),""))</f>
        <v/>
      </c>
      <c r="AB806" s="14" t="str">
        <f aca="false">IF(O806="","",IF(AA806="",0,O806*IF(AA806&gt;1,AA806/100,AA806)))</f>
        <v/>
      </c>
      <c r="AC806" s="14" t="str">
        <f aca="false">IF(O806="","",V806+Y806+AB806)</f>
        <v/>
      </c>
      <c r="AD806" s="19" t="str">
        <f aca="false">IF(O806="","",O806-R806-AC806)</f>
        <v/>
      </c>
      <c r="AE806" s="20"/>
      <c r="AF806" s="10"/>
      <c r="AG806" s="21" t="n">
        <f aca="false">IF(OR(AE806="",AE806=0),0,AE806*IF(U806="",0,IF(U806&gt;1,U806/100,U806)))</f>
        <v>0</v>
      </c>
      <c r="AH806" s="21" t="n">
        <f aca="false">IF(OR(AE806="",AE806=0),0,AE806*IF(X806="",0,IF(X806&gt;1,X806/100,X806)))</f>
        <v>0</v>
      </c>
      <c r="AI806" s="21" t="n">
        <f aca="false">IF(OR(AE806="",AE806=0),0,AE806*IF(AA806="",0,IF(AA806&gt;1,AA806/100,AA806)))</f>
        <v>0</v>
      </c>
      <c r="AJ806" s="21" t="n">
        <f aca="false">AG806+AH806+AI806</f>
        <v>0</v>
      </c>
      <c r="AK806" s="21" t="n">
        <f aca="false">IF(OR(AE806="",AE806=0),0,AE806-AJ806)</f>
        <v>0</v>
      </c>
      <c r="AL806" s="19" t="str">
        <f aca="false">IF(AD806="","",AD806-AK806)</f>
        <v/>
      </c>
      <c r="AM806" s="9" t="str">
        <f aca="false">IF(C806="","","Waiting for payment")</f>
        <v/>
      </c>
      <c r="AN806" s="10"/>
      <c r="AO806" s="10"/>
      <c r="AP806" s="22" t="str">
        <f aca="false">IF(OR(C806="",I806="",K806=""),"",IF(K806="Monthly",EDATE(C806,ROUND(I806*SETTINGS!$I$8,0)),WORKDAY(C806,ROUND(I806*SETTINGS!$I$8,0))))</f>
        <v/>
      </c>
      <c r="AQ806" s="9" t="str">
        <f aca="true">IF(C806="","",IF(AND(AP806&lt;&gt;"",TODAY()&gt;=AP806),"Refi Ready",IF(TODAY()-C806&gt;=SETTINGS!$I$11,"Prospecting","Performing")))</f>
        <v/>
      </c>
      <c r="AR806" s="22" t="str">
        <f aca="false">IF(OR(C806="",I806="",K806=""),"",IF(K806="Monthly",EDATE(C806,I806),WORKDAY(C806,I806)))</f>
        <v/>
      </c>
      <c r="AS806" s="11"/>
      <c r="AT806" s="23" t="str">
        <f aca="true">IF(C806="","",IF(AM806="Clawed Back","CLAWED",IF(TODAY()&lt;=C806+SETTINGS!$I$2,"⚠ AT RISK","SAFE")))</f>
        <v/>
      </c>
      <c r="AU806" s="11"/>
      <c r="AW806" s="24" t="n">
        <f aca="false">AW805+IF(AND(C806&lt;&gt;"",AO806&lt;&gt;"",OR('REP COMMISSION'!$B$3="",T806='REP COMMISSION'!$B$3,W806='REP COMMISSION'!$B$3,Z806='REP COMMISSION'!$B$3)),1,0)</f>
        <v>0</v>
      </c>
      <c r="AX806" s="24" t="n">
        <f aca="false">AX805+IF(AND(C806&lt;&gt;"",OR(F806="LOC - INITIAL",F806="CONSOLIDATION - UPFRONT COMM",F806="REVERSE - TOTAL FUNDING")),1,0)</f>
        <v>0</v>
      </c>
    </row>
    <row r="807" customFormat="false" ht="15" hidden="false" customHeight="false" outlineLevel="0" collapsed="false">
      <c r="A807" s="25" t="str">
        <f aca="false">IF(C807&lt;&gt;"","F"&amp;COUNT($C$4:C807),"")</f>
        <v/>
      </c>
      <c r="B807" s="26" t="str">
        <f aca="false">IF(OR(F807="LOC - INITIAL",F807="CONSOLIDATION - UPFRONT COMM",F807="REVERSE - TOTAL FUNDING"),A807,"")</f>
        <v/>
      </c>
      <c r="C807" s="27"/>
      <c r="D807" s="28"/>
      <c r="E807" s="28"/>
      <c r="F807" s="28"/>
      <c r="G807" s="29"/>
      <c r="H807" s="30"/>
      <c r="I807" s="28"/>
      <c r="J807" s="31" t="str">
        <f aca="false">IF(AND(G807&lt;&gt;"",H807&lt;&gt;""),G807*H807,"")</f>
        <v/>
      </c>
      <c r="K807" s="28"/>
      <c r="L807" s="32"/>
      <c r="M807" s="32"/>
      <c r="N807" s="31" t="n">
        <f aca="false">IF(OR(G807="",M807=""),0,IF(M807&gt;100,M807,G807*IF(M807&gt;1,M807/100,M807)))</f>
        <v>0</v>
      </c>
      <c r="O807" s="31" t="str">
        <f aca="false">IF(G807="","",G807*IF(L807="",0,IF(L807&gt;1,L807/100,L807))+N807)</f>
        <v/>
      </c>
      <c r="P807" s="28"/>
      <c r="Q807" s="33" t="str">
        <f aca="false">IF(P807="","",IFERROR(VLOOKUP(P807,PARTNERS!$A$2:$B$30,2,0),""))</f>
        <v/>
      </c>
      <c r="R807" s="17" t="str">
        <f aca="false">IF(O807="","",IF(OR(P807="",Q807=""),0,(O807-N807)*IF(Q807&gt;1,Q807/100,Q807)))</f>
        <v/>
      </c>
      <c r="S807" s="31" t="str">
        <f aca="false">IF(O807="","",O807-R807)</f>
        <v/>
      </c>
      <c r="T807" s="28"/>
      <c r="U807" s="34" t="str">
        <f aca="false">IF(T807="","",IFERROR(VLOOKUP(T807,REPS!$A$2:$D$40,2,0),""))</f>
        <v/>
      </c>
      <c r="V807" s="31" t="str">
        <f aca="false">IF(O807="","",IF(U807="",0,O807*IF(U807&gt;1,U807/100,U807)))</f>
        <v/>
      </c>
      <c r="W807" s="28"/>
      <c r="X807" s="34" t="str">
        <f aca="false">IF(W807="","",IFERROR(VLOOKUP(W807,REPS!$A$2:$D$40,3,0),""))</f>
        <v/>
      </c>
      <c r="Y807" s="31" t="str">
        <f aca="false">IF(O807="","",IF(X807="",0,O807*IF(X807&gt;1,X807/100,X807)))</f>
        <v/>
      </c>
      <c r="Z807" s="28"/>
      <c r="AA807" s="34" t="str">
        <f aca="false">IF(Z807="","",IFERROR(VLOOKUP(Z807,REPS!$A$2:$D$40,4,0),""))</f>
        <v/>
      </c>
      <c r="AB807" s="31" t="str">
        <f aca="false">IF(O807="","",IF(AA807="",0,O807*IF(AA807&gt;1,AA807/100,AA807)))</f>
        <v/>
      </c>
      <c r="AC807" s="31" t="str">
        <f aca="false">IF(O807="","",V807+Y807+AB807)</f>
        <v/>
      </c>
      <c r="AD807" s="19" t="str">
        <f aca="false">IF(O807="","",O807-R807-AC807)</f>
        <v/>
      </c>
      <c r="AE807" s="20"/>
      <c r="AF807" s="27"/>
      <c r="AG807" s="21" t="n">
        <f aca="false">IF(OR(AE807="",AE807=0),0,AE807*IF(U807="",0,IF(U807&gt;1,U807/100,U807)))</f>
        <v>0</v>
      </c>
      <c r="AH807" s="21" t="n">
        <f aca="false">IF(OR(AE807="",AE807=0),0,AE807*IF(X807="",0,IF(X807&gt;1,X807/100,X807)))</f>
        <v>0</v>
      </c>
      <c r="AI807" s="21" t="n">
        <f aca="false">IF(OR(AE807="",AE807=0),0,AE807*IF(AA807="",0,IF(AA807&gt;1,AA807/100,AA807)))</f>
        <v>0</v>
      </c>
      <c r="AJ807" s="21" t="n">
        <f aca="false">AG807+AH807+AI807</f>
        <v>0</v>
      </c>
      <c r="AK807" s="21" t="n">
        <f aca="false">IF(OR(AE807="",AE807=0),0,AE807-AJ807)</f>
        <v>0</v>
      </c>
      <c r="AL807" s="19" t="str">
        <f aca="false">IF(AD807="","",AD807-AK807)</f>
        <v/>
      </c>
      <c r="AM807" s="26" t="str">
        <f aca="false">IF(C807="","","Waiting for payment")</f>
        <v/>
      </c>
      <c r="AN807" s="27"/>
      <c r="AO807" s="27"/>
      <c r="AP807" s="35" t="str">
        <f aca="false">IF(OR(C807="",I807="",K807=""),"",IF(K807="Monthly",EDATE(C807,ROUND(I807*SETTINGS!$I$8,0)),WORKDAY(C807,ROUND(I807*SETTINGS!$I$8,0))))</f>
        <v/>
      </c>
      <c r="AQ807" s="26" t="str">
        <f aca="true">IF(C807="","",IF(AND(AP807&lt;&gt;"",TODAY()&gt;=AP807),"Refi Ready",IF(TODAY()-C807&gt;=SETTINGS!$I$11,"Prospecting","Performing")))</f>
        <v/>
      </c>
      <c r="AR807" s="35" t="str">
        <f aca="false">IF(OR(C807="",I807="",K807=""),"",IF(K807="Monthly",EDATE(C807,I807),WORKDAY(C807,I807)))</f>
        <v/>
      </c>
      <c r="AS807" s="28"/>
      <c r="AT807" s="36" t="str">
        <f aca="true">IF(C807="","",IF(AM807="Clawed Back","CLAWED",IF(TODAY()&lt;=C807+SETTINGS!$I$2,"⚠ AT RISK","SAFE")))</f>
        <v/>
      </c>
      <c r="AU807" s="28"/>
      <c r="AW807" s="24" t="n">
        <f aca="false">AW806+IF(AND(C807&lt;&gt;"",AO807&lt;&gt;"",OR('REP COMMISSION'!$B$3="",T807='REP COMMISSION'!$B$3,W807='REP COMMISSION'!$B$3,Z807='REP COMMISSION'!$B$3)),1,0)</f>
        <v>0</v>
      </c>
      <c r="AX807" s="24" t="n">
        <f aca="false">AX806+IF(AND(C807&lt;&gt;"",OR(F807="LOC - INITIAL",F807="CONSOLIDATION - UPFRONT COMM",F807="REVERSE - TOTAL FUNDING")),1,0)</f>
        <v>0</v>
      </c>
    </row>
    <row r="808" customFormat="false" ht="15" hidden="false" customHeight="false" outlineLevel="0" collapsed="false">
      <c r="A808" s="8" t="str">
        <f aca="false">IF(C808&lt;&gt;"","F"&amp;COUNT($C$4:C808),"")</f>
        <v/>
      </c>
      <c r="B808" s="9" t="str">
        <f aca="false">IF(OR(F808="LOC - INITIAL",F808="CONSOLIDATION - UPFRONT COMM",F808="REVERSE - TOTAL FUNDING"),A808,"")</f>
        <v/>
      </c>
      <c r="C808" s="10"/>
      <c r="D808" s="11"/>
      <c r="E808" s="11"/>
      <c r="F808" s="11"/>
      <c r="G808" s="12"/>
      <c r="H808" s="13"/>
      <c r="I808" s="11"/>
      <c r="J808" s="14" t="str">
        <f aca="false">IF(AND(G808&lt;&gt;"",H808&lt;&gt;""),G808*H808,"")</f>
        <v/>
      </c>
      <c r="K808" s="11"/>
      <c r="L808" s="15"/>
      <c r="M808" s="15"/>
      <c r="N808" s="14" t="n">
        <f aca="false">IF(OR(G808="",M808=""),0,IF(M808&gt;100,M808,G808*IF(M808&gt;1,M808/100,M808)))</f>
        <v>0</v>
      </c>
      <c r="O808" s="14" t="str">
        <f aca="false">IF(G808="","",G808*IF(L808="",0,IF(L808&gt;1,L808/100,L808))+N808)</f>
        <v/>
      </c>
      <c r="P808" s="11"/>
      <c r="Q808" s="16" t="str">
        <f aca="false">IF(P808="","",IFERROR(VLOOKUP(P808,PARTNERS!$A$2:$B$30,2,0),""))</f>
        <v/>
      </c>
      <c r="R808" s="17" t="str">
        <f aca="false">IF(O808="","",IF(OR(P808="",Q808=""),0,(O808-N808)*IF(Q808&gt;1,Q808/100,Q808)))</f>
        <v/>
      </c>
      <c r="S808" s="14" t="str">
        <f aca="false">IF(O808="","",O808-R808)</f>
        <v/>
      </c>
      <c r="T808" s="11"/>
      <c r="U808" s="18" t="str">
        <f aca="false">IF(T808="","",IFERROR(VLOOKUP(T808,REPS!$A$2:$D$40,2,0),""))</f>
        <v/>
      </c>
      <c r="V808" s="14" t="str">
        <f aca="false">IF(O808="","",IF(U808="",0,O808*IF(U808&gt;1,U808/100,U808)))</f>
        <v/>
      </c>
      <c r="W808" s="11"/>
      <c r="X808" s="18" t="str">
        <f aca="false">IF(W808="","",IFERROR(VLOOKUP(W808,REPS!$A$2:$D$40,3,0),""))</f>
        <v/>
      </c>
      <c r="Y808" s="14" t="str">
        <f aca="false">IF(O808="","",IF(X808="",0,O808*IF(X808&gt;1,X808/100,X808)))</f>
        <v/>
      </c>
      <c r="Z808" s="11"/>
      <c r="AA808" s="18" t="str">
        <f aca="false">IF(Z808="","",IFERROR(VLOOKUP(Z808,REPS!$A$2:$D$40,4,0),""))</f>
        <v/>
      </c>
      <c r="AB808" s="14" t="str">
        <f aca="false">IF(O808="","",IF(AA808="",0,O808*IF(AA808&gt;1,AA808/100,AA808)))</f>
        <v/>
      </c>
      <c r="AC808" s="14" t="str">
        <f aca="false">IF(O808="","",V808+Y808+AB808)</f>
        <v/>
      </c>
      <c r="AD808" s="19" t="str">
        <f aca="false">IF(O808="","",O808-R808-AC808)</f>
        <v/>
      </c>
      <c r="AE808" s="20"/>
      <c r="AF808" s="10"/>
      <c r="AG808" s="21" t="n">
        <f aca="false">IF(OR(AE808="",AE808=0),0,AE808*IF(U808="",0,IF(U808&gt;1,U808/100,U808)))</f>
        <v>0</v>
      </c>
      <c r="AH808" s="21" t="n">
        <f aca="false">IF(OR(AE808="",AE808=0),0,AE808*IF(X808="",0,IF(X808&gt;1,X808/100,X808)))</f>
        <v>0</v>
      </c>
      <c r="AI808" s="21" t="n">
        <f aca="false">IF(OR(AE808="",AE808=0),0,AE808*IF(AA808="",0,IF(AA808&gt;1,AA808/100,AA808)))</f>
        <v>0</v>
      </c>
      <c r="AJ808" s="21" t="n">
        <f aca="false">AG808+AH808+AI808</f>
        <v>0</v>
      </c>
      <c r="AK808" s="21" t="n">
        <f aca="false">IF(OR(AE808="",AE808=0),0,AE808-AJ808)</f>
        <v>0</v>
      </c>
      <c r="AL808" s="19" t="str">
        <f aca="false">IF(AD808="","",AD808-AK808)</f>
        <v/>
      </c>
      <c r="AM808" s="9" t="str">
        <f aca="false">IF(C808="","","Waiting for payment")</f>
        <v/>
      </c>
      <c r="AN808" s="10"/>
      <c r="AO808" s="10"/>
      <c r="AP808" s="22" t="str">
        <f aca="false">IF(OR(C808="",I808="",K808=""),"",IF(K808="Monthly",EDATE(C808,ROUND(I808*SETTINGS!$I$8,0)),WORKDAY(C808,ROUND(I808*SETTINGS!$I$8,0))))</f>
        <v/>
      </c>
      <c r="AQ808" s="9" t="str">
        <f aca="true">IF(C808="","",IF(AND(AP808&lt;&gt;"",TODAY()&gt;=AP808),"Refi Ready",IF(TODAY()-C808&gt;=SETTINGS!$I$11,"Prospecting","Performing")))</f>
        <v/>
      </c>
      <c r="AR808" s="22" t="str">
        <f aca="false">IF(OR(C808="",I808="",K808=""),"",IF(K808="Monthly",EDATE(C808,I808),WORKDAY(C808,I808)))</f>
        <v/>
      </c>
      <c r="AS808" s="11"/>
      <c r="AT808" s="23" t="str">
        <f aca="true">IF(C808="","",IF(AM808="Clawed Back","CLAWED",IF(TODAY()&lt;=C808+SETTINGS!$I$2,"⚠ AT RISK","SAFE")))</f>
        <v/>
      </c>
      <c r="AU808" s="11"/>
      <c r="AW808" s="24" t="n">
        <f aca="false">AW807+IF(AND(C808&lt;&gt;"",AO808&lt;&gt;"",OR('REP COMMISSION'!$B$3="",T808='REP COMMISSION'!$B$3,W808='REP COMMISSION'!$B$3,Z808='REP COMMISSION'!$B$3)),1,0)</f>
        <v>0</v>
      </c>
      <c r="AX808" s="24" t="n">
        <f aca="false">AX807+IF(AND(C808&lt;&gt;"",OR(F808="LOC - INITIAL",F808="CONSOLIDATION - UPFRONT COMM",F808="REVERSE - TOTAL FUNDING")),1,0)</f>
        <v>0</v>
      </c>
    </row>
    <row r="809" customFormat="false" ht="15" hidden="false" customHeight="false" outlineLevel="0" collapsed="false">
      <c r="A809" s="25" t="str">
        <f aca="false">IF(C809&lt;&gt;"","F"&amp;COUNT($C$4:C809),"")</f>
        <v/>
      </c>
      <c r="B809" s="26" t="str">
        <f aca="false">IF(OR(F809="LOC - INITIAL",F809="CONSOLIDATION - UPFRONT COMM",F809="REVERSE - TOTAL FUNDING"),A809,"")</f>
        <v/>
      </c>
      <c r="C809" s="27"/>
      <c r="D809" s="28"/>
      <c r="E809" s="28"/>
      <c r="F809" s="28"/>
      <c r="G809" s="29"/>
      <c r="H809" s="30"/>
      <c r="I809" s="28"/>
      <c r="J809" s="31" t="str">
        <f aca="false">IF(AND(G809&lt;&gt;"",H809&lt;&gt;""),G809*H809,"")</f>
        <v/>
      </c>
      <c r="K809" s="28"/>
      <c r="L809" s="32"/>
      <c r="M809" s="32"/>
      <c r="N809" s="31" t="n">
        <f aca="false">IF(OR(G809="",M809=""),0,IF(M809&gt;100,M809,G809*IF(M809&gt;1,M809/100,M809)))</f>
        <v>0</v>
      </c>
      <c r="O809" s="31" t="str">
        <f aca="false">IF(G809="","",G809*IF(L809="",0,IF(L809&gt;1,L809/100,L809))+N809)</f>
        <v/>
      </c>
      <c r="P809" s="28"/>
      <c r="Q809" s="33" t="str">
        <f aca="false">IF(P809="","",IFERROR(VLOOKUP(P809,PARTNERS!$A$2:$B$30,2,0),""))</f>
        <v/>
      </c>
      <c r="R809" s="17" t="str">
        <f aca="false">IF(O809="","",IF(OR(P809="",Q809=""),0,(O809-N809)*IF(Q809&gt;1,Q809/100,Q809)))</f>
        <v/>
      </c>
      <c r="S809" s="31" t="str">
        <f aca="false">IF(O809="","",O809-R809)</f>
        <v/>
      </c>
      <c r="T809" s="28"/>
      <c r="U809" s="34" t="str">
        <f aca="false">IF(T809="","",IFERROR(VLOOKUP(T809,REPS!$A$2:$D$40,2,0),""))</f>
        <v/>
      </c>
      <c r="V809" s="31" t="str">
        <f aca="false">IF(O809="","",IF(U809="",0,O809*IF(U809&gt;1,U809/100,U809)))</f>
        <v/>
      </c>
      <c r="W809" s="28"/>
      <c r="X809" s="34" t="str">
        <f aca="false">IF(W809="","",IFERROR(VLOOKUP(W809,REPS!$A$2:$D$40,3,0),""))</f>
        <v/>
      </c>
      <c r="Y809" s="31" t="str">
        <f aca="false">IF(O809="","",IF(X809="",0,O809*IF(X809&gt;1,X809/100,X809)))</f>
        <v/>
      </c>
      <c r="Z809" s="28"/>
      <c r="AA809" s="34" t="str">
        <f aca="false">IF(Z809="","",IFERROR(VLOOKUP(Z809,REPS!$A$2:$D$40,4,0),""))</f>
        <v/>
      </c>
      <c r="AB809" s="31" t="str">
        <f aca="false">IF(O809="","",IF(AA809="",0,O809*IF(AA809&gt;1,AA809/100,AA809)))</f>
        <v/>
      </c>
      <c r="AC809" s="31" t="str">
        <f aca="false">IF(O809="","",V809+Y809+AB809)</f>
        <v/>
      </c>
      <c r="AD809" s="19" t="str">
        <f aca="false">IF(O809="","",O809-R809-AC809)</f>
        <v/>
      </c>
      <c r="AE809" s="20"/>
      <c r="AF809" s="27"/>
      <c r="AG809" s="21" t="n">
        <f aca="false">IF(OR(AE809="",AE809=0),0,AE809*IF(U809="",0,IF(U809&gt;1,U809/100,U809)))</f>
        <v>0</v>
      </c>
      <c r="AH809" s="21" t="n">
        <f aca="false">IF(OR(AE809="",AE809=0),0,AE809*IF(X809="",0,IF(X809&gt;1,X809/100,X809)))</f>
        <v>0</v>
      </c>
      <c r="AI809" s="21" t="n">
        <f aca="false">IF(OR(AE809="",AE809=0),0,AE809*IF(AA809="",0,IF(AA809&gt;1,AA809/100,AA809)))</f>
        <v>0</v>
      </c>
      <c r="AJ809" s="21" t="n">
        <f aca="false">AG809+AH809+AI809</f>
        <v>0</v>
      </c>
      <c r="AK809" s="21" t="n">
        <f aca="false">IF(OR(AE809="",AE809=0),0,AE809-AJ809)</f>
        <v>0</v>
      </c>
      <c r="AL809" s="19" t="str">
        <f aca="false">IF(AD809="","",AD809-AK809)</f>
        <v/>
      </c>
      <c r="AM809" s="26" t="str">
        <f aca="false">IF(C809="","","Waiting for payment")</f>
        <v/>
      </c>
      <c r="AN809" s="27"/>
      <c r="AO809" s="27"/>
      <c r="AP809" s="35" t="str">
        <f aca="false">IF(OR(C809="",I809="",K809=""),"",IF(K809="Monthly",EDATE(C809,ROUND(I809*SETTINGS!$I$8,0)),WORKDAY(C809,ROUND(I809*SETTINGS!$I$8,0))))</f>
        <v/>
      </c>
      <c r="AQ809" s="26" t="str">
        <f aca="true">IF(C809="","",IF(AND(AP809&lt;&gt;"",TODAY()&gt;=AP809),"Refi Ready",IF(TODAY()-C809&gt;=SETTINGS!$I$11,"Prospecting","Performing")))</f>
        <v/>
      </c>
      <c r="AR809" s="35" t="str">
        <f aca="false">IF(OR(C809="",I809="",K809=""),"",IF(K809="Monthly",EDATE(C809,I809),WORKDAY(C809,I809)))</f>
        <v/>
      </c>
      <c r="AS809" s="28"/>
      <c r="AT809" s="36" t="str">
        <f aca="true">IF(C809="","",IF(AM809="Clawed Back","CLAWED",IF(TODAY()&lt;=C809+SETTINGS!$I$2,"⚠ AT RISK","SAFE")))</f>
        <v/>
      </c>
      <c r="AU809" s="28"/>
      <c r="AW809" s="24" t="n">
        <f aca="false">AW808+IF(AND(C809&lt;&gt;"",AO809&lt;&gt;"",OR('REP COMMISSION'!$B$3="",T809='REP COMMISSION'!$B$3,W809='REP COMMISSION'!$B$3,Z809='REP COMMISSION'!$B$3)),1,0)</f>
        <v>0</v>
      </c>
      <c r="AX809" s="24" t="n">
        <f aca="false">AX808+IF(AND(C809&lt;&gt;"",OR(F809="LOC - INITIAL",F809="CONSOLIDATION - UPFRONT COMM",F809="REVERSE - TOTAL FUNDING")),1,0)</f>
        <v>0</v>
      </c>
    </row>
    <row r="810" customFormat="false" ht="15" hidden="false" customHeight="false" outlineLevel="0" collapsed="false">
      <c r="A810" s="8" t="str">
        <f aca="false">IF(C810&lt;&gt;"","F"&amp;COUNT($C$4:C810),"")</f>
        <v/>
      </c>
      <c r="B810" s="9" t="str">
        <f aca="false">IF(OR(F810="LOC - INITIAL",F810="CONSOLIDATION - UPFRONT COMM",F810="REVERSE - TOTAL FUNDING"),A810,"")</f>
        <v/>
      </c>
      <c r="C810" s="10"/>
      <c r="D810" s="11"/>
      <c r="E810" s="11"/>
      <c r="F810" s="11"/>
      <c r="G810" s="12"/>
      <c r="H810" s="13"/>
      <c r="I810" s="11"/>
      <c r="J810" s="14" t="str">
        <f aca="false">IF(AND(G810&lt;&gt;"",H810&lt;&gt;""),G810*H810,"")</f>
        <v/>
      </c>
      <c r="K810" s="11"/>
      <c r="L810" s="15"/>
      <c r="M810" s="15"/>
      <c r="N810" s="14" t="n">
        <f aca="false">IF(OR(G810="",M810=""),0,IF(M810&gt;100,M810,G810*IF(M810&gt;1,M810/100,M810)))</f>
        <v>0</v>
      </c>
      <c r="O810" s="14" t="str">
        <f aca="false">IF(G810="","",G810*IF(L810="",0,IF(L810&gt;1,L810/100,L810))+N810)</f>
        <v/>
      </c>
      <c r="P810" s="11"/>
      <c r="Q810" s="16" t="str">
        <f aca="false">IF(P810="","",IFERROR(VLOOKUP(P810,PARTNERS!$A$2:$B$30,2,0),""))</f>
        <v/>
      </c>
      <c r="R810" s="17" t="str">
        <f aca="false">IF(O810="","",IF(OR(P810="",Q810=""),0,(O810-N810)*IF(Q810&gt;1,Q810/100,Q810)))</f>
        <v/>
      </c>
      <c r="S810" s="14" t="str">
        <f aca="false">IF(O810="","",O810-R810)</f>
        <v/>
      </c>
      <c r="T810" s="11"/>
      <c r="U810" s="18" t="str">
        <f aca="false">IF(T810="","",IFERROR(VLOOKUP(T810,REPS!$A$2:$D$40,2,0),""))</f>
        <v/>
      </c>
      <c r="V810" s="14" t="str">
        <f aca="false">IF(O810="","",IF(U810="",0,O810*IF(U810&gt;1,U810/100,U810)))</f>
        <v/>
      </c>
      <c r="W810" s="11"/>
      <c r="X810" s="18" t="str">
        <f aca="false">IF(W810="","",IFERROR(VLOOKUP(W810,REPS!$A$2:$D$40,3,0),""))</f>
        <v/>
      </c>
      <c r="Y810" s="14" t="str">
        <f aca="false">IF(O810="","",IF(X810="",0,O810*IF(X810&gt;1,X810/100,X810)))</f>
        <v/>
      </c>
      <c r="Z810" s="11"/>
      <c r="AA810" s="18" t="str">
        <f aca="false">IF(Z810="","",IFERROR(VLOOKUP(Z810,REPS!$A$2:$D$40,4,0),""))</f>
        <v/>
      </c>
      <c r="AB810" s="14" t="str">
        <f aca="false">IF(O810="","",IF(AA810="",0,O810*IF(AA810&gt;1,AA810/100,AA810)))</f>
        <v/>
      </c>
      <c r="AC810" s="14" t="str">
        <f aca="false">IF(O810="","",V810+Y810+AB810)</f>
        <v/>
      </c>
      <c r="AD810" s="19" t="str">
        <f aca="false">IF(O810="","",O810-R810-AC810)</f>
        <v/>
      </c>
      <c r="AE810" s="20"/>
      <c r="AF810" s="10"/>
      <c r="AG810" s="21" t="n">
        <f aca="false">IF(OR(AE810="",AE810=0),0,AE810*IF(U810="",0,IF(U810&gt;1,U810/100,U810)))</f>
        <v>0</v>
      </c>
      <c r="AH810" s="21" t="n">
        <f aca="false">IF(OR(AE810="",AE810=0),0,AE810*IF(X810="",0,IF(X810&gt;1,X810/100,X810)))</f>
        <v>0</v>
      </c>
      <c r="AI810" s="21" t="n">
        <f aca="false">IF(OR(AE810="",AE810=0),0,AE810*IF(AA810="",0,IF(AA810&gt;1,AA810/100,AA810)))</f>
        <v>0</v>
      </c>
      <c r="AJ810" s="21" t="n">
        <f aca="false">AG810+AH810+AI810</f>
        <v>0</v>
      </c>
      <c r="AK810" s="21" t="n">
        <f aca="false">IF(OR(AE810="",AE810=0),0,AE810-AJ810)</f>
        <v>0</v>
      </c>
      <c r="AL810" s="19" t="str">
        <f aca="false">IF(AD810="","",AD810-AK810)</f>
        <v/>
      </c>
      <c r="AM810" s="9" t="str">
        <f aca="false">IF(C810="","","Waiting for payment")</f>
        <v/>
      </c>
      <c r="AN810" s="10"/>
      <c r="AO810" s="10"/>
      <c r="AP810" s="22" t="str">
        <f aca="false">IF(OR(C810="",I810="",K810=""),"",IF(K810="Monthly",EDATE(C810,ROUND(I810*SETTINGS!$I$8,0)),WORKDAY(C810,ROUND(I810*SETTINGS!$I$8,0))))</f>
        <v/>
      </c>
      <c r="AQ810" s="9" t="str">
        <f aca="true">IF(C810="","",IF(AND(AP810&lt;&gt;"",TODAY()&gt;=AP810),"Refi Ready",IF(TODAY()-C810&gt;=SETTINGS!$I$11,"Prospecting","Performing")))</f>
        <v/>
      </c>
      <c r="AR810" s="22" t="str">
        <f aca="false">IF(OR(C810="",I810="",K810=""),"",IF(K810="Monthly",EDATE(C810,I810),WORKDAY(C810,I810)))</f>
        <v/>
      </c>
      <c r="AS810" s="11"/>
      <c r="AT810" s="23" t="str">
        <f aca="true">IF(C810="","",IF(AM810="Clawed Back","CLAWED",IF(TODAY()&lt;=C810+SETTINGS!$I$2,"⚠ AT RISK","SAFE")))</f>
        <v/>
      </c>
      <c r="AU810" s="11"/>
      <c r="AW810" s="24" t="n">
        <f aca="false">AW809+IF(AND(C810&lt;&gt;"",AO810&lt;&gt;"",OR('REP COMMISSION'!$B$3="",T810='REP COMMISSION'!$B$3,W810='REP COMMISSION'!$B$3,Z810='REP COMMISSION'!$B$3)),1,0)</f>
        <v>0</v>
      </c>
      <c r="AX810" s="24" t="n">
        <f aca="false">AX809+IF(AND(C810&lt;&gt;"",OR(F810="LOC - INITIAL",F810="CONSOLIDATION - UPFRONT COMM",F810="REVERSE - TOTAL FUNDING")),1,0)</f>
        <v>0</v>
      </c>
    </row>
    <row r="811" customFormat="false" ht="15" hidden="false" customHeight="false" outlineLevel="0" collapsed="false">
      <c r="A811" s="25" t="str">
        <f aca="false">IF(C811&lt;&gt;"","F"&amp;COUNT($C$4:C811),"")</f>
        <v/>
      </c>
      <c r="B811" s="26" t="str">
        <f aca="false">IF(OR(F811="LOC - INITIAL",F811="CONSOLIDATION - UPFRONT COMM",F811="REVERSE - TOTAL FUNDING"),A811,"")</f>
        <v/>
      </c>
      <c r="C811" s="27"/>
      <c r="D811" s="28"/>
      <c r="E811" s="28"/>
      <c r="F811" s="28"/>
      <c r="G811" s="29"/>
      <c r="H811" s="30"/>
      <c r="I811" s="28"/>
      <c r="J811" s="31" t="str">
        <f aca="false">IF(AND(G811&lt;&gt;"",H811&lt;&gt;""),G811*H811,"")</f>
        <v/>
      </c>
      <c r="K811" s="28"/>
      <c r="L811" s="32"/>
      <c r="M811" s="32"/>
      <c r="N811" s="31" t="n">
        <f aca="false">IF(OR(G811="",M811=""),0,IF(M811&gt;100,M811,G811*IF(M811&gt;1,M811/100,M811)))</f>
        <v>0</v>
      </c>
      <c r="O811" s="31" t="str">
        <f aca="false">IF(G811="","",G811*IF(L811="",0,IF(L811&gt;1,L811/100,L811))+N811)</f>
        <v/>
      </c>
      <c r="P811" s="28"/>
      <c r="Q811" s="33" t="str">
        <f aca="false">IF(P811="","",IFERROR(VLOOKUP(P811,PARTNERS!$A$2:$B$30,2,0),""))</f>
        <v/>
      </c>
      <c r="R811" s="17" t="str">
        <f aca="false">IF(O811="","",IF(OR(P811="",Q811=""),0,(O811-N811)*IF(Q811&gt;1,Q811/100,Q811)))</f>
        <v/>
      </c>
      <c r="S811" s="31" t="str">
        <f aca="false">IF(O811="","",O811-R811)</f>
        <v/>
      </c>
      <c r="T811" s="28"/>
      <c r="U811" s="34" t="str">
        <f aca="false">IF(T811="","",IFERROR(VLOOKUP(T811,REPS!$A$2:$D$40,2,0),""))</f>
        <v/>
      </c>
      <c r="V811" s="31" t="str">
        <f aca="false">IF(O811="","",IF(U811="",0,O811*IF(U811&gt;1,U811/100,U811)))</f>
        <v/>
      </c>
      <c r="W811" s="28"/>
      <c r="X811" s="34" t="str">
        <f aca="false">IF(W811="","",IFERROR(VLOOKUP(W811,REPS!$A$2:$D$40,3,0),""))</f>
        <v/>
      </c>
      <c r="Y811" s="31" t="str">
        <f aca="false">IF(O811="","",IF(X811="",0,O811*IF(X811&gt;1,X811/100,X811)))</f>
        <v/>
      </c>
      <c r="Z811" s="28"/>
      <c r="AA811" s="34" t="str">
        <f aca="false">IF(Z811="","",IFERROR(VLOOKUP(Z811,REPS!$A$2:$D$40,4,0),""))</f>
        <v/>
      </c>
      <c r="AB811" s="31" t="str">
        <f aca="false">IF(O811="","",IF(AA811="",0,O811*IF(AA811&gt;1,AA811/100,AA811)))</f>
        <v/>
      </c>
      <c r="AC811" s="31" t="str">
        <f aca="false">IF(O811="","",V811+Y811+AB811)</f>
        <v/>
      </c>
      <c r="AD811" s="19" t="str">
        <f aca="false">IF(O811="","",O811-R811-AC811)</f>
        <v/>
      </c>
      <c r="AE811" s="20"/>
      <c r="AF811" s="27"/>
      <c r="AG811" s="21" t="n">
        <f aca="false">IF(OR(AE811="",AE811=0),0,AE811*IF(U811="",0,IF(U811&gt;1,U811/100,U811)))</f>
        <v>0</v>
      </c>
      <c r="AH811" s="21" t="n">
        <f aca="false">IF(OR(AE811="",AE811=0),0,AE811*IF(X811="",0,IF(X811&gt;1,X811/100,X811)))</f>
        <v>0</v>
      </c>
      <c r="AI811" s="21" t="n">
        <f aca="false">IF(OR(AE811="",AE811=0),0,AE811*IF(AA811="",0,IF(AA811&gt;1,AA811/100,AA811)))</f>
        <v>0</v>
      </c>
      <c r="AJ811" s="21" t="n">
        <f aca="false">AG811+AH811+AI811</f>
        <v>0</v>
      </c>
      <c r="AK811" s="21" t="n">
        <f aca="false">IF(OR(AE811="",AE811=0),0,AE811-AJ811)</f>
        <v>0</v>
      </c>
      <c r="AL811" s="19" t="str">
        <f aca="false">IF(AD811="","",AD811-AK811)</f>
        <v/>
      </c>
      <c r="AM811" s="26" t="str">
        <f aca="false">IF(C811="","","Waiting for payment")</f>
        <v/>
      </c>
      <c r="AN811" s="27"/>
      <c r="AO811" s="27"/>
      <c r="AP811" s="35" t="str">
        <f aca="false">IF(OR(C811="",I811="",K811=""),"",IF(K811="Monthly",EDATE(C811,ROUND(I811*SETTINGS!$I$8,0)),WORKDAY(C811,ROUND(I811*SETTINGS!$I$8,0))))</f>
        <v/>
      </c>
      <c r="AQ811" s="26" t="str">
        <f aca="true">IF(C811="","",IF(AND(AP811&lt;&gt;"",TODAY()&gt;=AP811),"Refi Ready",IF(TODAY()-C811&gt;=SETTINGS!$I$11,"Prospecting","Performing")))</f>
        <v/>
      </c>
      <c r="AR811" s="35" t="str">
        <f aca="false">IF(OR(C811="",I811="",K811=""),"",IF(K811="Monthly",EDATE(C811,I811),WORKDAY(C811,I811)))</f>
        <v/>
      </c>
      <c r="AS811" s="28"/>
      <c r="AT811" s="36" t="str">
        <f aca="true">IF(C811="","",IF(AM811="Clawed Back","CLAWED",IF(TODAY()&lt;=C811+SETTINGS!$I$2,"⚠ AT RISK","SAFE")))</f>
        <v/>
      </c>
      <c r="AU811" s="28"/>
      <c r="AW811" s="24" t="n">
        <f aca="false">AW810+IF(AND(C811&lt;&gt;"",AO811&lt;&gt;"",OR('REP COMMISSION'!$B$3="",T811='REP COMMISSION'!$B$3,W811='REP COMMISSION'!$B$3,Z811='REP COMMISSION'!$B$3)),1,0)</f>
        <v>0</v>
      </c>
      <c r="AX811" s="24" t="n">
        <f aca="false">AX810+IF(AND(C811&lt;&gt;"",OR(F811="LOC - INITIAL",F811="CONSOLIDATION - UPFRONT COMM",F811="REVERSE - TOTAL FUNDING")),1,0)</f>
        <v>0</v>
      </c>
    </row>
    <row r="812" customFormat="false" ht="15" hidden="false" customHeight="false" outlineLevel="0" collapsed="false">
      <c r="A812" s="8" t="str">
        <f aca="false">IF(C812&lt;&gt;"","F"&amp;COUNT($C$4:C812),"")</f>
        <v/>
      </c>
      <c r="B812" s="9" t="str">
        <f aca="false">IF(OR(F812="LOC - INITIAL",F812="CONSOLIDATION - UPFRONT COMM",F812="REVERSE - TOTAL FUNDING"),A812,"")</f>
        <v/>
      </c>
      <c r="C812" s="10"/>
      <c r="D812" s="11"/>
      <c r="E812" s="11"/>
      <c r="F812" s="11"/>
      <c r="G812" s="12"/>
      <c r="H812" s="13"/>
      <c r="I812" s="11"/>
      <c r="J812" s="14" t="str">
        <f aca="false">IF(AND(G812&lt;&gt;"",H812&lt;&gt;""),G812*H812,"")</f>
        <v/>
      </c>
      <c r="K812" s="11"/>
      <c r="L812" s="15"/>
      <c r="M812" s="15"/>
      <c r="N812" s="14" t="n">
        <f aca="false">IF(OR(G812="",M812=""),0,IF(M812&gt;100,M812,G812*IF(M812&gt;1,M812/100,M812)))</f>
        <v>0</v>
      </c>
      <c r="O812" s="14" t="str">
        <f aca="false">IF(G812="","",G812*IF(L812="",0,IF(L812&gt;1,L812/100,L812))+N812)</f>
        <v/>
      </c>
      <c r="P812" s="11"/>
      <c r="Q812" s="16" t="str">
        <f aca="false">IF(P812="","",IFERROR(VLOOKUP(P812,PARTNERS!$A$2:$B$30,2,0),""))</f>
        <v/>
      </c>
      <c r="R812" s="17" t="str">
        <f aca="false">IF(O812="","",IF(OR(P812="",Q812=""),0,(O812-N812)*IF(Q812&gt;1,Q812/100,Q812)))</f>
        <v/>
      </c>
      <c r="S812" s="14" t="str">
        <f aca="false">IF(O812="","",O812-R812)</f>
        <v/>
      </c>
      <c r="T812" s="11"/>
      <c r="U812" s="18" t="str">
        <f aca="false">IF(T812="","",IFERROR(VLOOKUP(T812,REPS!$A$2:$D$40,2,0),""))</f>
        <v/>
      </c>
      <c r="V812" s="14" t="str">
        <f aca="false">IF(O812="","",IF(U812="",0,O812*IF(U812&gt;1,U812/100,U812)))</f>
        <v/>
      </c>
      <c r="W812" s="11"/>
      <c r="X812" s="18" t="str">
        <f aca="false">IF(W812="","",IFERROR(VLOOKUP(W812,REPS!$A$2:$D$40,3,0),""))</f>
        <v/>
      </c>
      <c r="Y812" s="14" t="str">
        <f aca="false">IF(O812="","",IF(X812="",0,O812*IF(X812&gt;1,X812/100,X812)))</f>
        <v/>
      </c>
      <c r="Z812" s="11"/>
      <c r="AA812" s="18" t="str">
        <f aca="false">IF(Z812="","",IFERROR(VLOOKUP(Z812,REPS!$A$2:$D$40,4,0),""))</f>
        <v/>
      </c>
      <c r="AB812" s="14" t="str">
        <f aca="false">IF(O812="","",IF(AA812="",0,O812*IF(AA812&gt;1,AA812/100,AA812)))</f>
        <v/>
      </c>
      <c r="AC812" s="14" t="str">
        <f aca="false">IF(O812="","",V812+Y812+AB812)</f>
        <v/>
      </c>
      <c r="AD812" s="19" t="str">
        <f aca="false">IF(O812="","",O812-R812-AC812)</f>
        <v/>
      </c>
      <c r="AE812" s="20"/>
      <c r="AF812" s="10"/>
      <c r="AG812" s="21" t="n">
        <f aca="false">IF(OR(AE812="",AE812=0),0,AE812*IF(U812="",0,IF(U812&gt;1,U812/100,U812)))</f>
        <v>0</v>
      </c>
      <c r="AH812" s="21" t="n">
        <f aca="false">IF(OR(AE812="",AE812=0),0,AE812*IF(X812="",0,IF(X812&gt;1,X812/100,X812)))</f>
        <v>0</v>
      </c>
      <c r="AI812" s="21" t="n">
        <f aca="false">IF(OR(AE812="",AE812=0),0,AE812*IF(AA812="",0,IF(AA812&gt;1,AA812/100,AA812)))</f>
        <v>0</v>
      </c>
      <c r="AJ812" s="21" t="n">
        <f aca="false">AG812+AH812+AI812</f>
        <v>0</v>
      </c>
      <c r="AK812" s="21" t="n">
        <f aca="false">IF(OR(AE812="",AE812=0),0,AE812-AJ812)</f>
        <v>0</v>
      </c>
      <c r="AL812" s="19" t="str">
        <f aca="false">IF(AD812="","",AD812-AK812)</f>
        <v/>
      </c>
      <c r="AM812" s="9" t="str">
        <f aca="false">IF(C812="","","Waiting for payment")</f>
        <v/>
      </c>
      <c r="AN812" s="10"/>
      <c r="AO812" s="10"/>
      <c r="AP812" s="22" t="str">
        <f aca="false">IF(OR(C812="",I812="",K812=""),"",IF(K812="Monthly",EDATE(C812,ROUND(I812*SETTINGS!$I$8,0)),WORKDAY(C812,ROUND(I812*SETTINGS!$I$8,0))))</f>
        <v/>
      </c>
      <c r="AQ812" s="9" t="str">
        <f aca="true">IF(C812="","",IF(AND(AP812&lt;&gt;"",TODAY()&gt;=AP812),"Refi Ready",IF(TODAY()-C812&gt;=SETTINGS!$I$11,"Prospecting","Performing")))</f>
        <v/>
      </c>
      <c r="AR812" s="22" t="str">
        <f aca="false">IF(OR(C812="",I812="",K812=""),"",IF(K812="Monthly",EDATE(C812,I812),WORKDAY(C812,I812)))</f>
        <v/>
      </c>
      <c r="AS812" s="11"/>
      <c r="AT812" s="23" t="str">
        <f aca="true">IF(C812="","",IF(AM812="Clawed Back","CLAWED",IF(TODAY()&lt;=C812+SETTINGS!$I$2,"⚠ AT RISK","SAFE")))</f>
        <v/>
      </c>
      <c r="AU812" s="11"/>
      <c r="AW812" s="24" t="n">
        <f aca="false">AW811+IF(AND(C812&lt;&gt;"",AO812&lt;&gt;"",OR('REP COMMISSION'!$B$3="",T812='REP COMMISSION'!$B$3,W812='REP COMMISSION'!$B$3,Z812='REP COMMISSION'!$B$3)),1,0)</f>
        <v>0</v>
      </c>
      <c r="AX812" s="24" t="n">
        <f aca="false">AX811+IF(AND(C812&lt;&gt;"",OR(F812="LOC - INITIAL",F812="CONSOLIDATION - UPFRONT COMM",F812="REVERSE - TOTAL FUNDING")),1,0)</f>
        <v>0</v>
      </c>
    </row>
    <row r="813" customFormat="false" ht="15" hidden="false" customHeight="false" outlineLevel="0" collapsed="false">
      <c r="A813" s="25" t="str">
        <f aca="false">IF(C813&lt;&gt;"","F"&amp;COUNT($C$4:C813),"")</f>
        <v/>
      </c>
      <c r="B813" s="26" t="str">
        <f aca="false">IF(OR(F813="LOC - INITIAL",F813="CONSOLIDATION - UPFRONT COMM",F813="REVERSE - TOTAL FUNDING"),A813,"")</f>
        <v/>
      </c>
      <c r="C813" s="27"/>
      <c r="D813" s="28"/>
      <c r="E813" s="28"/>
      <c r="F813" s="28"/>
      <c r="G813" s="29"/>
      <c r="H813" s="30"/>
      <c r="I813" s="28"/>
      <c r="J813" s="31" t="str">
        <f aca="false">IF(AND(G813&lt;&gt;"",H813&lt;&gt;""),G813*H813,"")</f>
        <v/>
      </c>
      <c r="K813" s="28"/>
      <c r="L813" s="32"/>
      <c r="M813" s="32"/>
      <c r="N813" s="31" t="n">
        <f aca="false">IF(OR(G813="",M813=""),0,IF(M813&gt;100,M813,G813*IF(M813&gt;1,M813/100,M813)))</f>
        <v>0</v>
      </c>
      <c r="O813" s="31" t="str">
        <f aca="false">IF(G813="","",G813*IF(L813="",0,IF(L813&gt;1,L813/100,L813))+N813)</f>
        <v/>
      </c>
      <c r="P813" s="28"/>
      <c r="Q813" s="33" t="str">
        <f aca="false">IF(P813="","",IFERROR(VLOOKUP(P813,PARTNERS!$A$2:$B$30,2,0),""))</f>
        <v/>
      </c>
      <c r="R813" s="17" t="str">
        <f aca="false">IF(O813="","",IF(OR(P813="",Q813=""),0,(O813-N813)*IF(Q813&gt;1,Q813/100,Q813)))</f>
        <v/>
      </c>
      <c r="S813" s="31" t="str">
        <f aca="false">IF(O813="","",O813-R813)</f>
        <v/>
      </c>
      <c r="T813" s="28"/>
      <c r="U813" s="34" t="str">
        <f aca="false">IF(T813="","",IFERROR(VLOOKUP(T813,REPS!$A$2:$D$40,2,0),""))</f>
        <v/>
      </c>
      <c r="V813" s="31" t="str">
        <f aca="false">IF(O813="","",IF(U813="",0,O813*IF(U813&gt;1,U813/100,U813)))</f>
        <v/>
      </c>
      <c r="W813" s="28"/>
      <c r="X813" s="34" t="str">
        <f aca="false">IF(W813="","",IFERROR(VLOOKUP(W813,REPS!$A$2:$D$40,3,0),""))</f>
        <v/>
      </c>
      <c r="Y813" s="31" t="str">
        <f aca="false">IF(O813="","",IF(X813="",0,O813*IF(X813&gt;1,X813/100,X813)))</f>
        <v/>
      </c>
      <c r="Z813" s="28"/>
      <c r="AA813" s="34" t="str">
        <f aca="false">IF(Z813="","",IFERROR(VLOOKUP(Z813,REPS!$A$2:$D$40,4,0),""))</f>
        <v/>
      </c>
      <c r="AB813" s="31" t="str">
        <f aca="false">IF(O813="","",IF(AA813="",0,O813*IF(AA813&gt;1,AA813/100,AA813)))</f>
        <v/>
      </c>
      <c r="AC813" s="31" t="str">
        <f aca="false">IF(O813="","",V813+Y813+AB813)</f>
        <v/>
      </c>
      <c r="AD813" s="19" t="str">
        <f aca="false">IF(O813="","",O813-R813-AC813)</f>
        <v/>
      </c>
      <c r="AE813" s="20"/>
      <c r="AF813" s="27"/>
      <c r="AG813" s="21" t="n">
        <f aca="false">IF(OR(AE813="",AE813=0),0,AE813*IF(U813="",0,IF(U813&gt;1,U813/100,U813)))</f>
        <v>0</v>
      </c>
      <c r="AH813" s="21" t="n">
        <f aca="false">IF(OR(AE813="",AE813=0),0,AE813*IF(X813="",0,IF(X813&gt;1,X813/100,X813)))</f>
        <v>0</v>
      </c>
      <c r="AI813" s="21" t="n">
        <f aca="false">IF(OR(AE813="",AE813=0),0,AE813*IF(AA813="",0,IF(AA813&gt;1,AA813/100,AA813)))</f>
        <v>0</v>
      </c>
      <c r="AJ813" s="21" t="n">
        <f aca="false">AG813+AH813+AI813</f>
        <v>0</v>
      </c>
      <c r="AK813" s="21" t="n">
        <f aca="false">IF(OR(AE813="",AE813=0),0,AE813-AJ813)</f>
        <v>0</v>
      </c>
      <c r="AL813" s="19" t="str">
        <f aca="false">IF(AD813="","",AD813-AK813)</f>
        <v/>
      </c>
      <c r="AM813" s="26" t="str">
        <f aca="false">IF(C813="","","Waiting for payment")</f>
        <v/>
      </c>
      <c r="AN813" s="27"/>
      <c r="AO813" s="27"/>
      <c r="AP813" s="35" t="str">
        <f aca="false">IF(OR(C813="",I813="",K813=""),"",IF(K813="Monthly",EDATE(C813,ROUND(I813*SETTINGS!$I$8,0)),WORKDAY(C813,ROUND(I813*SETTINGS!$I$8,0))))</f>
        <v/>
      </c>
      <c r="AQ813" s="26" t="str">
        <f aca="true">IF(C813="","",IF(AND(AP813&lt;&gt;"",TODAY()&gt;=AP813),"Refi Ready",IF(TODAY()-C813&gt;=SETTINGS!$I$11,"Prospecting","Performing")))</f>
        <v/>
      </c>
      <c r="AR813" s="35" t="str">
        <f aca="false">IF(OR(C813="",I813="",K813=""),"",IF(K813="Monthly",EDATE(C813,I813),WORKDAY(C813,I813)))</f>
        <v/>
      </c>
      <c r="AS813" s="28"/>
      <c r="AT813" s="36" t="str">
        <f aca="true">IF(C813="","",IF(AM813="Clawed Back","CLAWED",IF(TODAY()&lt;=C813+SETTINGS!$I$2,"⚠ AT RISK","SAFE")))</f>
        <v/>
      </c>
      <c r="AU813" s="28"/>
      <c r="AW813" s="24" t="n">
        <f aca="false">AW812+IF(AND(C813&lt;&gt;"",AO813&lt;&gt;"",OR('REP COMMISSION'!$B$3="",T813='REP COMMISSION'!$B$3,W813='REP COMMISSION'!$B$3,Z813='REP COMMISSION'!$B$3)),1,0)</f>
        <v>0</v>
      </c>
      <c r="AX813" s="24" t="n">
        <f aca="false">AX812+IF(AND(C813&lt;&gt;"",OR(F813="LOC - INITIAL",F813="CONSOLIDATION - UPFRONT COMM",F813="REVERSE - TOTAL FUNDING")),1,0)</f>
        <v>0</v>
      </c>
    </row>
    <row r="814" customFormat="false" ht="15" hidden="false" customHeight="false" outlineLevel="0" collapsed="false">
      <c r="A814" s="8" t="str">
        <f aca="false">IF(C814&lt;&gt;"","F"&amp;COUNT($C$4:C814),"")</f>
        <v/>
      </c>
      <c r="B814" s="9" t="str">
        <f aca="false">IF(OR(F814="LOC - INITIAL",F814="CONSOLIDATION - UPFRONT COMM",F814="REVERSE - TOTAL FUNDING"),A814,"")</f>
        <v/>
      </c>
      <c r="C814" s="10"/>
      <c r="D814" s="11"/>
      <c r="E814" s="11"/>
      <c r="F814" s="11"/>
      <c r="G814" s="12"/>
      <c r="H814" s="13"/>
      <c r="I814" s="11"/>
      <c r="J814" s="14" t="str">
        <f aca="false">IF(AND(G814&lt;&gt;"",H814&lt;&gt;""),G814*H814,"")</f>
        <v/>
      </c>
      <c r="K814" s="11"/>
      <c r="L814" s="15"/>
      <c r="M814" s="15"/>
      <c r="N814" s="14" t="n">
        <f aca="false">IF(OR(G814="",M814=""),0,IF(M814&gt;100,M814,G814*IF(M814&gt;1,M814/100,M814)))</f>
        <v>0</v>
      </c>
      <c r="O814" s="14" t="str">
        <f aca="false">IF(G814="","",G814*IF(L814="",0,IF(L814&gt;1,L814/100,L814))+N814)</f>
        <v/>
      </c>
      <c r="P814" s="11"/>
      <c r="Q814" s="16" t="str">
        <f aca="false">IF(P814="","",IFERROR(VLOOKUP(P814,PARTNERS!$A$2:$B$30,2,0),""))</f>
        <v/>
      </c>
      <c r="R814" s="17" t="str">
        <f aca="false">IF(O814="","",IF(OR(P814="",Q814=""),0,(O814-N814)*IF(Q814&gt;1,Q814/100,Q814)))</f>
        <v/>
      </c>
      <c r="S814" s="14" t="str">
        <f aca="false">IF(O814="","",O814-R814)</f>
        <v/>
      </c>
      <c r="T814" s="11"/>
      <c r="U814" s="18" t="str">
        <f aca="false">IF(T814="","",IFERROR(VLOOKUP(T814,REPS!$A$2:$D$40,2,0),""))</f>
        <v/>
      </c>
      <c r="V814" s="14" t="str">
        <f aca="false">IF(O814="","",IF(U814="",0,O814*IF(U814&gt;1,U814/100,U814)))</f>
        <v/>
      </c>
      <c r="W814" s="11"/>
      <c r="X814" s="18" t="str">
        <f aca="false">IF(W814="","",IFERROR(VLOOKUP(W814,REPS!$A$2:$D$40,3,0),""))</f>
        <v/>
      </c>
      <c r="Y814" s="14" t="str">
        <f aca="false">IF(O814="","",IF(X814="",0,O814*IF(X814&gt;1,X814/100,X814)))</f>
        <v/>
      </c>
      <c r="Z814" s="11"/>
      <c r="AA814" s="18" t="str">
        <f aca="false">IF(Z814="","",IFERROR(VLOOKUP(Z814,REPS!$A$2:$D$40,4,0),""))</f>
        <v/>
      </c>
      <c r="AB814" s="14" t="str">
        <f aca="false">IF(O814="","",IF(AA814="",0,O814*IF(AA814&gt;1,AA814/100,AA814)))</f>
        <v/>
      </c>
      <c r="AC814" s="14" t="str">
        <f aca="false">IF(O814="","",V814+Y814+AB814)</f>
        <v/>
      </c>
      <c r="AD814" s="19" t="str">
        <f aca="false">IF(O814="","",O814-R814-AC814)</f>
        <v/>
      </c>
      <c r="AE814" s="20"/>
      <c r="AF814" s="10"/>
      <c r="AG814" s="21" t="n">
        <f aca="false">IF(OR(AE814="",AE814=0),0,AE814*IF(U814="",0,IF(U814&gt;1,U814/100,U814)))</f>
        <v>0</v>
      </c>
      <c r="AH814" s="21" t="n">
        <f aca="false">IF(OR(AE814="",AE814=0),0,AE814*IF(X814="",0,IF(X814&gt;1,X814/100,X814)))</f>
        <v>0</v>
      </c>
      <c r="AI814" s="21" t="n">
        <f aca="false">IF(OR(AE814="",AE814=0),0,AE814*IF(AA814="",0,IF(AA814&gt;1,AA814/100,AA814)))</f>
        <v>0</v>
      </c>
      <c r="AJ814" s="21" t="n">
        <f aca="false">AG814+AH814+AI814</f>
        <v>0</v>
      </c>
      <c r="AK814" s="21" t="n">
        <f aca="false">IF(OR(AE814="",AE814=0),0,AE814-AJ814)</f>
        <v>0</v>
      </c>
      <c r="AL814" s="19" t="str">
        <f aca="false">IF(AD814="","",AD814-AK814)</f>
        <v/>
      </c>
      <c r="AM814" s="9" t="str">
        <f aca="false">IF(C814="","","Waiting for payment")</f>
        <v/>
      </c>
      <c r="AN814" s="10"/>
      <c r="AO814" s="10"/>
      <c r="AP814" s="22" t="str">
        <f aca="false">IF(OR(C814="",I814="",K814=""),"",IF(K814="Monthly",EDATE(C814,ROUND(I814*SETTINGS!$I$8,0)),WORKDAY(C814,ROUND(I814*SETTINGS!$I$8,0))))</f>
        <v/>
      </c>
      <c r="AQ814" s="9" t="str">
        <f aca="true">IF(C814="","",IF(AND(AP814&lt;&gt;"",TODAY()&gt;=AP814),"Refi Ready",IF(TODAY()-C814&gt;=SETTINGS!$I$11,"Prospecting","Performing")))</f>
        <v/>
      </c>
      <c r="AR814" s="22" t="str">
        <f aca="false">IF(OR(C814="",I814="",K814=""),"",IF(K814="Monthly",EDATE(C814,I814),WORKDAY(C814,I814)))</f>
        <v/>
      </c>
      <c r="AS814" s="11"/>
      <c r="AT814" s="23" t="str">
        <f aca="true">IF(C814="","",IF(AM814="Clawed Back","CLAWED",IF(TODAY()&lt;=C814+SETTINGS!$I$2,"⚠ AT RISK","SAFE")))</f>
        <v/>
      </c>
      <c r="AU814" s="11"/>
      <c r="AW814" s="24" t="n">
        <f aca="false">AW813+IF(AND(C814&lt;&gt;"",AO814&lt;&gt;"",OR('REP COMMISSION'!$B$3="",T814='REP COMMISSION'!$B$3,W814='REP COMMISSION'!$B$3,Z814='REP COMMISSION'!$B$3)),1,0)</f>
        <v>0</v>
      </c>
      <c r="AX814" s="24" t="n">
        <f aca="false">AX813+IF(AND(C814&lt;&gt;"",OR(F814="LOC - INITIAL",F814="CONSOLIDATION - UPFRONT COMM",F814="REVERSE - TOTAL FUNDING")),1,0)</f>
        <v>0</v>
      </c>
    </row>
    <row r="815" customFormat="false" ht="15" hidden="false" customHeight="false" outlineLevel="0" collapsed="false">
      <c r="A815" s="25" t="str">
        <f aca="false">IF(C815&lt;&gt;"","F"&amp;COUNT($C$4:C815),"")</f>
        <v/>
      </c>
      <c r="B815" s="26" t="str">
        <f aca="false">IF(OR(F815="LOC - INITIAL",F815="CONSOLIDATION - UPFRONT COMM",F815="REVERSE - TOTAL FUNDING"),A815,"")</f>
        <v/>
      </c>
      <c r="C815" s="27"/>
      <c r="D815" s="28"/>
      <c r="E815" s="28"/>
      <c r="F815" s="28"/>
      <c r="G815" s="29"/>
      <c r="H815" s="30"/>
      <c r="I815" s="28"/>
      <c r="J815" s="31" t="str">
        <f aca="false">IF(AND(G815&lt;&gt;"",H815&lt;&gt;""),G815*H815,"")</f>
        <v/>
      </c>
      <c r="K815" s="28"/>
      <c r="L815" s="32"/>
      <c r="M815" s="32"/>
      <c r="N815" s="31" t="n">
        <f aca="false">IF(OR(G815="",M815=""),0,IF(M815&gt;100,M815,G815*IF(M815&gt;1,M815/100,M815)))</f>
        <v>0</v>
      </c>
      <c r="O815" s="31" t="str">
        <f aca="false">IF(G815="","",G815*IF(L815="",0,IF(L815&gt;1,L815/100,L815))+N815)</f>
        <v/>
      </c>
      <c r="P815" s="28"/>
      <c r="Q815" s="33" t="str">
        <f aca="false">IF(P815="","",IFERROR(VLOOKUP(P815,PARTNERS!$A$2:$B$30,2,0),""))</f>
        <v/>
      </c>
      <c r="R815" s="17" t="str">
        <f aca="false">IF(O815="","",IF(OR(P815="",Q815=""),0,(O815-N815)*IF(Q815&gt;1,Q815/100,Q815)))</f>
        <v/>
      </c>
      <c r="S815" s="31" t="str">
        <f aca="false">IF(O815="","",O815-R815)</f>
        <v/>
      </c>
      <c r="T815" s="28"/>
      <c r="U815" s="34" t="str">
        <f aca="false">IF(T815="","",IFERROR(VLOOKUP(T815,REPS!$A$2:$D$40,2,0),""))</f>
        <v/>
      </c>
      <c r="V815" s="31" t="str">
        <f aca="false">IF(O815="","",IF(U815="",0,O815*IF(U815&gt;1,U815/100,U815)))</f>
        <v/>
      </c>
      <c r="W815" s="28"/>
      <c r="X815" s="34" t="str">
        <f aca="false">IF(W815="","",IFERROR(VLOOKUP(W815,REPS!$A$2:$D$40,3,0),""))</f>
        <v/>
      </c>
      <c r="Y815" s="31" t="str">
        <f aca="false">IF(O815="","",IF(X815="",0,O815*IF(X815&gt;1,X815/100,X815)))</f>
        <v/>
      </c>
      <c r="Z815" s="28"/>
      <c r="AA815" s="34" t="str">
        <f aca="false">IF(Z815="","",IFERROR(VLOOKUP(Z815,REPS!$A$2:$D$40,4,0),""))</f>
        <v/>
      </c>
      <c r="AB815" s="31" t="str">
        <f aca="false">IF(O815="","",IF(AA815="",0,O815*IF(AA815&gt;1,AA815/100,AA815)))</f>
        <v/>
      </c>
      <c r="AC815" s="31" t="str">
        <f aca="false">IF(O815="","",V815+Y815+AB815)</f>
        <v/>
      </c>
      <c r="AD815" s="19" t="str">
        <f aca="false">IF(O815="","",O815-R815-AC815)</f>
        <v/>
      </c>
      <c r="AE815" s="20"/>
      <c r="AF815" s="27"/>
      <c r="AG815" s="21" t="n">
        <f aca="false">IF(OR(AE815="",AE815=0),0,AE815*IF(U815="",0,IF(U815&gt;1,U815/100,U815)))</f>
        <v>0</v>
      </c>
      <c r="AH815" s="21" t="n">
        <f aca="false">IF(OR(AE815="",AE815=0),0,AE815*IF(X815="",0,IF(X815&gt;1,X815/100,X815)))</f>
        <v>0</v>
      </c>
      <c r="AI815" s="21" t="n">
        <f aca="false">IF(OR(AE815="",AE815=0),0,AE815*IF(AA815="",0,IF(AA815&gt;1,AA815/100,AA815)))</f>
        <v>0</v>
      </c>
      <c r="AJ815" s="21" t="n">
        <f aca="false">AG815+AH815+AI815</f>
        <v>0</v>
      </c>
      <c r="AK815" s="21" t="n">
        <f aca="false">IF(OR(AE815="",AE815=0),0,AE815-AJ815)</f>
        <v>0</v>
      </c>
      <c r="AL815" s="19" t="str">
        <f aca="false">IF(AD815="","",AD815-AK815)</f>
        <v/>
      </c>
      <c r="AM815" s="26" t="str">
        <f aca="false">IF(C815="","","Waiting for payment")</f>
        <v/>
      </c>
      <c r="AN815" s="27"/>
      <c r="AO815" s="27"/>
      <c r="AP815" s="35" t="str">
        <f aca="false">IF(OR(C815="",I815="",K815=""),"",IF(K815="Monthly",EDATE(C815,ROUND(I815*SETTINGS!$I$8,0)),WORKDAY(C815,ROUND(I815*SETTINGS!$I$8,0))))</f>
        <v/>
      </c>
      <c r="AQ815" s="26" t="str">
        <f aca="true">IF(C815="","",IF(AND(AP815&lt;&gt;"",TODAY()&gt;=AP815),"Refi Ready",IF(TODAY()-C815&gt;=SETTINGS!$I$11,"Prospecting","Performing")))</f>
        <v/>
      </c>
      <c r="AR815" s="35" t="str">
        <f aca="false">IF(OR(C815="",I815="",K815=""),"",IF(K815="Monthly",EDATE(C815,I815),WORKDAY(C815,I815)))</f>
        <v/>
      </c>
      <c r="AS815" s="28"/>
      <c r="AT815" s="36" t="str">
        <f aca="true">IF(C815="","",IF(AM815="Clawed Back","CLAWED",IF(TODAY()&lt;=C815+SETTINGS!$I$2,"⚠ AT RISK","SAFE")))</f>
        <v/>
      </c>
      <c r="AU815" s="28"/>
      <c r="AW815" s="24" t="n">
        <f aca="false">AW814+IF(AND(C815&lt;&gt;"",AO815&lt;&gt;"",OR('REP COMMISSION'!$B$3="",T815='REP COMMISSION'!$B$3,W815='REP COMMISSION'!$B$3,Z815='REP COMMISSION'!$B$3)),1,0)</f>
        <v>0</v>
      </c>
      <c r="AX815" s="24" t="n">
        <f aca="false">AX814+IF(AND(C815&lt;&gt;"",OR(F815="LOC - INITIAL",F815="CONSOLIDATION - UPFRONT COMM",F815="REVERSE - TOTAL FUNDING")),1,0)</f>
        <v>0</v>
      </c>
    </row>
    <row r="816" customFormat="false" ht="15" hidden="false" customHeight="false" outlineLevel="0" collapsed="false">
      <c r="A816" s="8" t="str">
        <f aca="false">IF(C816&lt;&gt;"","F"&amp;COUNT($C$4:C816),"")</f>
        <v/>
      </c>
      <c r="B816" s="9" t="str">
        <f aca="false">IF(OR(F816="LOC - INITIAL",F816="CONSOLIDATION - UPFRONT COMM",F816="REVERSE - TOTAL FUNDING"),A816,"")</f>
        <v/>
      </c>
      <c r="C816" s="10"/>
      <c r="D816" s="11"/>
      <c r="E816" s="11"/>
      <c r="F816" s="11"/>
      <c r="G816" s="12"/>
      <c r="H816" s="13"/>
      <c r="I816" s="11"/>
      <c r="J816" s="14" t="str">
        <f aca="false">IF(AND(G816&lt;&gt;"",H816&lt;&gt;""),G816*H816,"")</f>
        <v/>
      </c>
      <c r="K816" s="11"/>
      <c r="L816" s="15"/>
      <c r="M816" s="15"/>
      <c r="N816" s="14" t="n">
        <f aca="false">IF(OR(G816="",M816=""),0,IF(M816&gt;100,M816,G816*IF(M816&gt;1,M816/100,M816)))</f>
        <v>0</v>
      </c>
      <c r="O816" s="14" t="str">
        <f aca="false">IF(G816="","",G816*IF(L816="",0,IF(L816&gt;1,L816/100,L816))+N816)</f>
        <v/>
      </c>
      <c r="P816" s="11"/>
      <c r="Q816" s="16" t="str">
        <f aca="false">IF(P816="","",IFERROR(VLOOKUP(P816,PARTNERS!$A$2:$B$30,2,0),""))</f>
        <v/>
      </c>
      <c r="R816" s="17" t="str">
        <f aca="false">IF(O816="","",IF(OR(P816="",Q816=""),0,(O816-N816)*IF(Q816&gt;1,Q816/100,Q816)))</f>
        <v/>
      </c>
      <c r="S816" s="14" t="str">
        <f aca="false">IF(O816="","",O816-R816)</f>
        <v/>
      </c>
      <c r="T816" s="11"/>
      <c r="U816" s="18" t="str">
        <f aca="false">IF(T816="","",IFERROR(VLOOKUP(T816,REPS!$A$2:$D$40,2,0),""))</f>
        <v/>
      </c>
      <c r="V816" s="14" t="str">
        <f aca="false">IF(O816="","",IF(U816="",0,O816*IF(U816&gt;1,U816/100,U816)))</f>
        <v/>
      </c>
      <c r="W816" s="11"/>
      <c r="X816" s="18" t="str">
        <f aca="false">IF(W816="","",IFERROR(VLOOKUP(W816,REPS!$A$2:$D$40,3,0),""))</f>
        <v/>
      </c>
      <c r="Y816" s="14" t="str">
        <f aca="false">IF(O816="","",IF(X816="",0,O816*IF(X816&gt;1,X816/100,X816)))</f>
        <v/>
      </c>
      <c r="Z816" s="11"/>
      <c r="AA816" s="18" t="str">
        <f aca="false">IF(Z816="","",IFERROR(VLOOKUP(Z816,REPS!$A$2:$D$40,4,0),""))</f>
        <v/>
      </c>
      <c r="AB816" s="14" t="str">
        <f aca="false">IF(O816="","",IF(AA816="",0,O816*IF(AA816&gt;1,AA816/100,AA816)))</f>
        <v/>
      </c>
      <c r="AC816" s="14" t="str">
        <f aca="false">IF(O816="","",V816+Y816+AB816)</f>
        <v/>
      </c>
      <c r="AD816" s="19" t="str">
        <f aca="false">IF(O816="","",O816-R816-AC816)</f>
        <v/>
      </c>
      <c r="AE816" s="20"/>
      <c r="AF816" s="10"/>
      <c r="AG816" s="21" t="n">
        <f aca="false">IF(OR(AE816="",AE816=0),0,AE816*IF(U816="",0,IF(U816&gt;1,U816/100,U816)))</f>
        <v>0</v>
      </c>
      <c r="AH816" s="21" t="n">
        <f aca="false">IF(OR(AE816="",AE816=0),0,AE816*IF(X816="",0,IF(X816&gt;1,X816/100,X816)))</f>
        <v>0</v>
      </c>
      <c r="AI816" s="21" t="n">
        <f aca="false">IF(OR(AE816="",AE816=0),0,AE816*IF(AA816="",0,IF(AA816&gt;1,AA816/100,AA816)))</f>
        <v>0</v>
      </c>
      <c r="AJ816" s="21" t="n">
        <f aca="false">AG816+AH816+AI816</f>
        <v>0</v>
      </c>
      <c r="AK816" s="21" t="n">
        <f aca="false">IF(OR(AE816="",AE816=0),0,AE816-AJ816)</f>
        <v>0</v>
      </c>
      <c r="AL816" s="19" t="str">
        <f aca="false">IF(AD816="","",AD816-AK816)</f>
        <v/>
      </c>
      <c r="AM816" s="9" t="str">
        <f aca="false">IF(C816="","","Waiting for payment")</f>
        <v/>
      </c>
      <c r="AN816" s="10"/>
      <c r="AO816" s="10"/>
      <c r="AP816" s="22" t="str">
        <f aca="false">IF(OR(C816="",I816="",K816=""),"",IF(K816="Monthly",EDATE(C816,ROUND(I816*SETTINGS!$I$8,0)),WORKDAY(C816,ROUND(I816*SETTINGS!$I$8,0))))</f>
        <v/>
      </c>
      <c r="AQ816" s="9" t="str">
        <f aca="true">IF(C816="","",IF(AND(AP816&lt;&gt;"",TODAY()&gt;=AP816),"Refi Ready",IF(TODAY()-C816&gt;=SETTINGS!$I$11,"Prospecting","Performing")))</f>
        <v/>
      </c>
      <c r="AR816" s="22" t="str">
        <f aca="false">IF(OR(C816="",I816="",K816=""),"",IF(K816="Monthly",EDATE(C816,I816),WORKDAY(C816,I816)))</f>
        <v/>
      </c>
      <c r="AS816" s="11"/>
      <c r="AT816" s="23" t="str">
        <f aca="true">IF(C816="","",IF(AM816="Clawed Back","CLAWED",IF(TODAY()&lt;=C816+SETTINGS!$I$2,"⚠ AT RISK","SAFE")))</f>
        <v/>
      </c>
      <c r="AU816" s="11"/>
      <c r="AW816" s="24" t="n">
        <f aca="false">AW815+IF(AND(C816&lt;&gt;"",AO816&lt;&gt;"",OR('REP COMMISSION'!$B$3="",T816='REP COMMISSION'!$B$3,W816='REP COMMISSION'!$B$3,Z816='REP COMMISSION'!$B$3)),1,0)</f>
        <v>0</v>
      </c>
      <c r="AX816" s="24" t="n">
        <f aca="false">AX815+IF(AND(C816&lt;&gt;"",OR(F816="LOC - INITIAL",F816="CONSOLIDATION - UPFRONT COMM",F816="REVERSE - TOTAL FUNDING")),1,0)</f>
        <v>0</v>
      </c>
    </row>
    <row r="817" customFormat="false" ht="15" hidden="false" customHeight="false" outlineLevel="0" collapsed="false">
      <c r="A817" s="25" t="str">
        <f aca="false">IF(C817&lt;&gt;"","F"&amp;COUNT($C$4:C817),"")</f>
        <v/>
      </c>
      <c r="B817" s="26" t="str">
        <f aca="false">IF(OR(F817="LOC - INITIAL",F817="CONSOLIDATION - UPFRONT COMM",F817="REVERSE - TOTAL FUNDING"),A817,"")</f>
        <v/>
      </c>
      <c r="C817" s="27"/>
      <c r="D817" s="28"/>
      <c r="E817" s="28"/>
      <c r="F817" s="28"/>
      <c r="G817" s="29"/>
      <c r="H817" s="30"/>
      <c r="I817" s="28"/>
      <c r="J817" s="31" t="str">
        <f aca="false">IF(AND(G817&lt;&gt;"",H817&lt;&gt;""),G817*H817,"")</f>
        <v/>
      </c>
      <c r="K817" s="28"/>
      <c r="L817" s="32"/>
      <c r="M817" s="32"/>
      <c r="N817" s="31" t="n">
        <f aca="false">IF(OR(G817="",M817=""),0,IF(M817&gt;100,M817,G817*IF(M817&gt;1,M817/100,M817)))</f>
        <v>0</v>
      </c>
      <c r="O817" s="31" t="str">
        <f aca="false">IF(G817="","",G817*IF(L817="",0,IF(L817&gt;1,L817/100,L817))+N817)</f>
        <v/>
      </c>
      <c r="P817" s="28"/>
      <c r="Q817" s="33" t="str">
        <f aca="false">IF(P817="","",IFERROR(VLOOKUP(P817,PARTNERS!$A$2:$B$30,2,0),""))</f>
        <v/>
      </c>
      <c r="R817" s="17" t="str">
        <f aca="false">IF(O817="","",IF(OR(P817="",Q817=""),0,(O817-N817)*IF(Q817&gt;1,Q817/100,Q817)))</f>
        <v/>
      </c>
      <c r="S817" s="31" t="str">
        <f aca="false">IF(O817="","",O817-R817)</f>
        <v/>
      </c>
      <c r="T817" s="28"/>
      <c r="U817" s="34" t="str">
        <f aca="false">IF(T817="","",IFERROR(VLOOKUP(T817,REPS!$A$2:$D$40,2,0),""))</f>
        <v/>
      </c>
      <c r="V817" s="31" t="str">
        <f aca="false">IF(O817="","",IF(U817="",0,O817*IF(U817&gt;1,U817/100,U817)))</f>
        <v/>
      </c>
      <c r="W817" s="28"/>
      <c r="X817" s="34" t="str">
        <f aca="false">IF(W817="","",IFERROR(VLOOKUP(W817,REPS!$A$2:$D$40,3,0),""))</f>
        <v/>
      </c>
      <c r="Y817" s="31" t="str">
        <f aca="false">IF(O817="","",IF(X817="",0,O817*IF(X817&gt;1,X817/100,X817)))</f>
        <v/>
      </c>
      <c r="Z817" s="28"/>
      <c r="AA817" s="34" t="str">
        <f aca="false">IF(Z817="","",IFERROR(VLOOKUP(Z817,REPS!$A$2:$D$40,4,0),""))</f>
        <v/>
      </c>
      <c r="AB817" s="31" t="str">
        <f aca="false">IF(O817="","",IF(AA817="",0,O817*IF(AA817&gt;1,AA817/100,AA817)))</f>
        <v/>
      </c>
      <c r="AC817" s="31" t="str">
        <f aca="false">IF(O817="","",V817+Y817+AB817)</f>
        <v/>
      </c>
      <c r="AD817" s="19" t="str">
        <f aca="false">IF(O817="","",O817-R817-AC817)</f>
        <v/>
      </c>
      <c r="AE817" s="20"/>
      <c r="AF817" s="27"/>
      <c r="AG817" s="21" t="n">
        <f aca="false">IF(OR(AE817="",AE817=0),0,AE817*IF(U817="",0,IF(U817&gt;1,U817/100,U817)))</f>
        <v>0</v>
      </c>
      <c r="AH817" s="21" t="n">
        <f aca="false">IF(OR(AE817="",AE817=0),0,AE817*IF(X817="",0,IF(X817&gt;1,X817/100,X817)))</f>
        <v>0</v>
      </c>
      <c r="AI817" s="21" t="n">
        <f aca="false">IF(OR(AE817="",AE817=0),0,AE817*IF(AA817="",0,IF(AA817&gt;1,AA817/100,AA817)))</f>
        <v>0</v>
      </c>
      <c r="AJ817" s="21" t="n">
        <f aca="false">AG817+AH817+AI817</f>
        <v>0</v>
      </c>
      <c r="AK817" s="21" t="n">
        <f aca="false">IF(OR(AE817="",AE817=0),0,AE817-AJ817)</f>
        <v>0</v>
      </c>
      <c r="AL817" s="19" t="str">
        <f aca="false">IF(AD817="","",AD817-AK817)</f>
        <v/>
      </c>
      <c r="AM817" s="26" t="str">
        <f aca="false">IF(C817="","","Waiting for payment")</f>
        <v/>
      </c>
      <c r="AN817" s="27"/>
      <c r="AO817" s="27"/>
      <c r="AP817" s="35" t="str">
        <f aca="false">IF(OR(C817="",I817="",K817=""),"",IF(K817="Monthly",EDATE(C817,ROUND(I817*SETTINGS!$I$8,0)),WORKDAY(C817,ROUND(I817*SETTINGS!$I$8,0))))</f>
        <v/>
      </c>
      <c r="AQ817" s="26" t="str">
        <f aca="true">IF(C817="","",IF(AND(AP817&lt;&gt;"",TODAY()&gt;=AP817),"Refi Ready",IF(TODAY()-C817&gt;=SETTINGS!$I$11,"Prospecting","Performing")))</f>
        <v/>
      </c>
      <c r="AR817" s="35" t="str">
        <f aca="false">IF(OR(C817="",I817="",K817=""),"",IF(K817="Monthly",EDATE(C817,I817),WORKDAY(C817,I817)))</f>
        <v/>
      </c>
      <c r="AS817" s="28"/>
      <c r="AT817" s="36" t="str">
        <f aca="true">IF(C817="","",IF(AM817="Clawed Back","CLAWED",IF(TODAY()&lt;=C817+SETTINGS!$I$2,"⚠ AT RISK","SAFE")))</f>
        <v/>
      </c>
      <c r="AU817" s="28"/>
      <c r="AW817" s="24" t="n">
        <f aca="false">AW816+IF(AND(C817&lt;&gt;"",AO817&lt;&gt;"",OR('REP COMMISSION'!$B$3="",T817='REP COMMISSION'!$B$3,W817='REP COMMISSION'!$B$3,Z817='REP COMMISSION'!$B$3)),1,0)</f>
        <v>0</v>
      </c>
      <c r="AX817" s="24" t="n">
        <f aca="false">AX816+IF(AND(C817&lt;&gt;"",OR(F817="LOC - INITIAL",F817="CONSOLIDATION - UPFRONT COMM",F817="REVERSE - TOTAL FUNDING")),1,0)</f>
        <v>0</v>
      </c>
    </row>
    <row r="818" customFormat="false" ht="18" hidden="false" customHeight="true" outlineLevel="0" collapsed="false">
      <c r="A818" s="37" t="s">
        <v>63</v>
      </c>
      <c r="B818" s="38"/>
      <c r="C818" s="38"/>
      <c r="D818" s="37" t="str">
        <f aca="false">COUNT(C718:C817)&amp;" units"</f>
        <v>0 units</v>
      </c>
      <c r="E818" s="38"/>
      <c r="F818" s="38"/>
      <c r="G818" s="39" t="n">
        <f aca="false">SUM(G718:G817)</f>
        <v>0</v>
      </c>
      <c r="H818" s="38"/>
      <c r="I818" s="38"/>
      <c r="J818" s="38"/>
      <c r="K818" s="38"/>
      <c r="L818" s="38"/>
      <c r="M818" s="38"/>
      <c r="N818" s="39" t="n">
        <f aca="false">SUM(N718:N817)</f>
        <v>0</v>
      </c>
      <c r="O818" s="39" t="n">
        <f aca="false">SUM(O718:O817)</f>
        <v>0</v>
      </c>
      <c r="P818" s="38"/>
      <c r="Q818" s="38"/>
      <c r="R818" s="39" t="n">
        <f aca="false">SUM(R718:R817)</f>
        <v>0</v>
      </c>
      <c r="S818" s="39" t="n">
        <f aca="false">SUM(S718:S817)</f>
        <v>0</v>
      </c>
      <c r="T818" s="38"/>
      <c r="U818" s="38"/>
      <c r="V818" s="38"/>
      <c r="W818" s="38"/>
      <c r="X818" s="38"/>
      <c r="Y818" s="38"/>
      <c r="Z818" s="38"/>
      <c r="AA818" s="38"/>
      <c r="AB818" s="38"/>
      <c r="AC818" s="39" t="n">
        <f aca="false">SUM(AC718:AC817)</f>
        <v>0</v>
      </c>
      <c r="AD818" s="39" t="n">
        <f aca="false">SUM(AD718:AD817)</f>
        <v>0</v>
      </c>
      <c r="AE818" s="39" t="n">
        <f aca="false">SUM(AE718:AE817)</f>
        <v>0</v>
      </c>
      <c r="AF818" s="38"/>
      <c r="AG818" s="38"/>
      <c r="AH818" s="38"/>
      <c r="AI818" s="38"/>
      <c r="AJ818" s="39" t="n">
        <f aca="false">SUM(AJ718:AJ817)</f>
        <v>0</v>
      </c>
      <c r="AK818" s="39" t="n">
        <f aca="false">SUM(AK718:AK817)</f>
        <v>0</v>
      </c>
      <c r="AL818" s="39" t="n">
        <f aca="false">SUM(AL718:AL817)</f>
        <v>0</v>
      </c>
      <c r="AM818" s="38"/>
      <c r="AN818" s="38"/>
      <c r="AO818" s="38"/>
      <c r="AP818" s="38"/>
      <c r="AQ818" s="38"/>
      <c r="AR818" s="38"/>
      <c r="AS818" s="38"/>
      <c r="AT818" s="38"/>
      <c r="AU818" s="38"/>
      <c r="AW818" s="24" t="n">
        <f aca="false">AW817</f>
        <v>0</v>
      </c>
      <c r="AX818" s="24" t="n">
        <f aca="false">AX817</f>
        <v>0</v>
      </c>
    </row>
    <row r="819" customFormat="false" ht="19.5" hidden="false" customHeight="true" outlineLevel="0" collapsed="false">
      <c r="A819" s="6" t="s">
        <v>64</v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W819" s="24" t="n">
        <f aca="false">AW818</f>
        <v>0</v>
      </c>
      <c r="AX819" s="24" t="n">
        <f aca="false">AX818</f>
        <v>0</v>
      </c>
    </row>
    <row r="820" customFormat="false" ht="15" hidden="false" customHeight="false" outlineLevel="0" collapsed="false">
      <c r="A820" s="8" t="str">
        <f aca="false">IF(C820&lt;&gt;"","F"&amp;COUNT($C$4:C820),"")</f>
        <v/>
      </c>
      <c r="B820" s="9" t="str">
        <f aca="false">IF(OR(F820="LOC - INITIAL",F820="CONSOLIDATION - UPFRONT COMM",F820="REVERSE - TOTAL FUNDING"),A820,"")</f>
        <v/>
      </c>
      <c r="C820" s="10"/>
      <c r="D820" s="11"/>
      <c r="E820" s="11"/>
      <c r="F820" s="11"/>
      <c r="G820" s="12"/>
      <c r="H820" s="13"/>
      <c r="I820" s="11"/>
      <c r="J820" s="14" t="str">
        <f aca="false">IF(AND(G820&lt;&gt;"",H820&lt;&gt;""),G820*H820,"")</f>
        <v/>
      </c>
      <c r="K820" s="11"/>
      <c r="L820" s="15"/>
      <c r="M820" s="15"/>
      <c r="N820" s="14" t="n">
        <f aca="false">IF(OR(G820="",M820=""),0,IF(M820&gt;100,M820,G820*IF(M820&gt;1,M820/100,M820)))</f>
        <v>0</v>
      </c>
      <c r="O820" s="14" t="str">
        <f aca="false">IF(G820="","",G820*IF(L820="",0,IF(L820&gt;1,L820/100,L820))+N820)</f>
        <v/>
      </c>
      <c r="P820" s="11"/>
      <c r="Q820" s="16" t="str">
        <f aca="false">IF(P820="","",IFERROR(VLOOKUP(P820,PARTNERS!$A$2:$B$30,2,0),""))</f>
        <v/>
      </c>
      <c r="R820" s="17" t="str">
        <f aca="false">IF(O820="","",IF(OR(P820="",Q820=""),0,(O820-N820)*IF(Q820&gt;1,Q820/100,Q820)))</f>
        <v/>
      </c>
      <c r="S820" s="14" t="str">
        <f aca="false">IF(O820="","",O820-R820)</f>
        <v/>
      </c>
      <c r="T820" s="11"/>
      <c r="U820" s="18" t="str">
        <f aca="false">IF(T820="","",IFERROR(VLOOKUP(T820,REPS!$A$2:$D$40,2,0),""))</f>
        <v/>
      </c>
      <c r="V820" s="14" t="str">
        <f aca="false">IF(O820="","",IF(U820="",0,O820*IF(U820&gt;1,U820/100,U820)))</f>
        <v/>
      </c>
      <c r="W820" s="11"/>
      <c r="X820" s="18" t="str">
        <f aca="false">IF(W820="","",IFERROR(VLOOKUP(W820,REPS!$A$2:$D$40,3,0),""))</f>
        <v/>
      </c>
      <c r="Y820" s="14" t="str">
        <f aca="false">IF(O820="","",IF(X820="",0,O820*IF(X820&gt;1,X820/100,X820)))</f>
        <v/>
      </c>
      <c r="Z820" s="11"/>
      <c r="AA820" s="18" t="str">
        <f aca="false">IF(Z820="","",IFERROR(VLOOKUP(Z820,REPS!$A$2:$D$40,4,0),""))</f>
        <v/>
      </c>
      <c r="AB820" s="14" t="str">
        <f aca="false">IF(O820="","",IF(AA820="",0,O820*IF(AA820&gt;1,AA820/100,AA820)))</f>
        <v/>
      </c>
      <c r="AC820" s="14" t="str">
        <f aca="false">IF(O820="","",V820+Y820+AB820)</f>
        <v/>
      </c>
      <c r="AD820" s="19" t="str">
        <f aca="false">IF(O820="","",O820-R820-AC820)</f>
        <v/>
      </c>
      <c r="AE820" s="20"/>
      <c r="AF820" s="10"/>
      <c r="AG820" s="21" t="n">
        <f aca="false">IF(OR(AE820="",AE820=0),0,AE820*IF(U820="",0,IF(U820&gt;1,U820/100,U820)))</f>
        <v>0</v>
      </c>
      <c r="AH820" s="21" t="n">
        <f aca="false">IF(OR(AE820="",AE820=0),0,AE820*IF(X820="",0,IF(X820&gt;1,X820/100,X820)))</f>
        <v>0</v>
      </c>
      <c r="AI820" s="21" t="n">
        <f aca="false">IF(OR(AE820="",AE820=0),0,AE820*IF(AA820="",0,IF(AA820&gt;1,AA820/100,AA820)))</f>
        <v>0</v>
      </c>
      <c r="AJ820" s="21" t="n">
        <f aca="false">AG820+AH820+AI820</f>
        <v>0</v>
      </c>
      <c r="AK820" s="21" t="n">
        <f aca="false">IF(OR(AE820="",AE820=0),0,AE820-AJ820)</f>
        <v>0</v>
      </c>
      <c r="AL820" s="19" t="str">
        <f aca="false">IF(AD820="","",AD820-AK820)</f>
        <v/>
      </c>
      <c r="AM820" s="9" t="str">
        <f aca="false">IF(C820="","","Waiting for payment")</f>
        <v/>
      </c>
      <c r="AN820" s="10"/>
      <c r="AO820" s="10"/>
      <c r="AP820" s="22" t="str">
        <f aca="false">IF(OR(C820="",I820="",K820=""),"",IF(K820="Monthly",EDATE(C820,ROUND(I820*SETTINGS!$I$8,0)),WORKDAY(C820,ROUND(I820*SETTINGS!$I$8,0))))</f>
        <v/>
      </c>
      <c r="AQ820" s="9" t="str">
        <f aca="true">IF(C820="","",IF(AND(AP820&lt;&gt;"",TODAY()&gt;=AP820),"Refi Ready",IF(TODAY()-C820&gt;=SETTINGS!$I$11,"Prospecting","Performing")))</f>
        <v/>
      </c>
      <c r="AR820" s="22" t="str">
        <f aca="false">IF(OR(C820="",I820="",K820=""),"",IF(K820="Monthly",EDATE(C820,I820),WORKDAY(C820,I820)))</f>
        <v/>
      </c>
      <c r="AS820" s="11"/>
      <c r="AT820" s="23" t="str">
        <f aca="true">IF(C820="","",IF(AM820="Clawed Back","CLAWED",IF(TODAY()&lt;=C820+SETTINGS!$I$2,"⚠ AT RISK","SAFE")))</f>
        <v/>
      </c>
      <c r="AU820" s="11"/>
      <c r="AW820" s="24" t="n">
        <f aca="false">AW819+IF(AND(C820&lt;&gt;"",AO820&lt;&gt;"",OR('REP COMMISSION'!$B$3="",T820='REP COMMISSION'!$B$3,W820='REP COMMISSION'!$B$3,Z820='REP COMMISSION'!$B$3)),1,0)</f>
        <v>0</v>
      </c>
      <c r="AX820" s="24" t="n">
        <f aca="false">AX819+IF(AND(C820&lt;&gt;"",OR(F820="LOC - INITIAL",F820="CONSOLIDATION - UPFRONT COMM",F820="REVERSE - TOTAL FUNDING")),1,0)</f>
        <v>0</v>
      </c>
    </row>
    <row r="821" customFormat="false" ht="15" hidden="false" customHeight="false" outlineLevel="0" collapsed="false">
      <c r="A821" s="25" t="str">
        <f aca="false">IF(C821&lt;&gt;"","F"&amp;COUNT($C$4:C821),"")</f>
        <v/>
      </c>
      <c r="B821" s="26" t="str">
        <f aca="false">IF(OR(F821="LOC - INITIAL",F821="CONSOLIDATION - UPFRONT COMM",F821="REVERSE - TOTAL FUNDING"),A821,"")</f>
        <v/>
      </c>
      <c r="C821" s="27"/>
      <c r="D821" s="28"/>
      <c r="E821" s="28"/>
      <c r="F821" s="28"/>
      <c r="G821" s="29"/>
      <c r="H821" s="30"/>
      <c r="I821" s="28"/>
      <c r="J821" s="31" t="str">
        <f aca="false">IF(AND(G821&lt;&gt;"",H821&lt;&gt;""),G821*H821,"")</f>
        <v/>
      </c>
      <c r="K821" s="28"/>
      <c r="L821" s="32"/>
      <c r="M821" s="32"/>
      <c r="N821" s="31" t="n">
        <f aca="false">IF(OR(G821="",M821=""),0,IF(M821&gt;100,M821,G821*IF(M821&gt;1,M821/100,M821)))</f>
        <v>0</v>
      </c>
      <c r="O821" s="31" t="str">
        <f aca="false">IF(G821="","",G821*IF(L821="",0,IF(L821&gt;1,L821/100,L821))+N821)</f>
        <v/>
      </c>
      <c r="P821" s="28"/>
      <c r="Q821" s="33" t="str">
        <f aca="false">IF(P821="","",IFERROR(VLOOKUP(P821,PARTNERS!$A$2:$B$30,2,0),""))</f>
        <v/>
      </c>
      <c r="R821" s="17" t="str">
        <f aca="false">IF(O821="","",IF(OR(P821="",Q821=""),0,(O821-N821)*IF(Q821&gt;1,Q821/100,Q821)))</f>
        <v/>
      </c>
      <c r="S821" s="31" t="str">
        <f aca="false">IF(O821="","",O821-R821)</f>
        <v/>
      </c>
      <c r="T821" s="28"/>
      <c r="U821" s="34" t="str">
        <f aca="false">IF(T821="","",IFERROR(VLOOKUP(T821,REPS!$A$2:$D$40,2,0),""))</f>
        <v/>
      </c>
      <c r="V821" s="31" t="str">
        <f aca="false">IF(O821="","",IF(U821="",0,O821*IF(U821&gt;1,U821/100,U821)))</f>
        <v/>
      </c>
      <c r="W821" s="28"/>
      <c r="X821" s="34" t="str">
        <f aca="false">IF(W821="","",IFERROR(VLOOKUP(W821,REPS!$A$2:$D$40,3,0),""))</f>
        <v/>
      </c>
      <c r="Y821" s="31" t="str">
        <f aca="false">IF(O821="","",IF(X821="",0,O821*IF(X821&gt;1,X821/100,X821)))</f>
        <v/>
      </c>
      <c r="Z821" s="28"/>
      <c r="AA821" s="34" t="str">
        <f aca="false">IF(Z821="","",IFERROR(VLOOKUP(Z821,REPS!$A$2:$D$40,4,0),""))</f>
        <v/>
      </c>
      <c r="AB821" s="31" t="str">
        <f aca="false">IF(O821="","",IF(AA821="",0,O821*IF(AA821&gt;1,AA821/100,AA821)))</f>
        <v/>
      </c>
      <c r="AC821" s="31" t="str">
        <f aca="false">IF(O821="","",V821+Y821+AB821)</f>
        <v/>
      </c>
      <c r="AD821" s="19" t="str">
        <f aca="false">IF(O821="","",O821-R821-AC821)</f>
        <v/>
      </c>
      <c r="AE821" s="20"/>
      <c r="AF821" s="27"/>
      <c r="AG821" s="21" t="n">
        <f aca="false">IF(OR(AE821="",AE821=0),0,AE821*IF(U821="",0,IF(U821&gt;1,U821/100,U821)))</f>
        <v>0</v>
      </c>
      <c r="AH821" s="21" t="n">
        <f aca="false">IF(OR(AE821="",AE821=0),0,AE821*IF(X821="",0,IF(X821&gt;1,X821/100,X821)))</f>
        <v>0</v>
      </c>
      <c r="AI821" s="21" t="n">
        <f aca="false">IF(OR(AE821="",AE821=0),0,AE821*IF(AA821="",0,IF(AA821&gt;1,AA821/100,AA821)))</f>
        <v>0</v>
      </c>
      <c r="AJ821" s="21" t="n">
        <f aca="false">AG821+AH821+AI821</f>
        <v>0</v>
      </c>
      <c r="AK821" s="21" t="n">
        <f aca="false">IF(OR(AE821="",AE821=0),0,AE821-AJ821)</f>
        <v>0</v>
      </c>
      <c r="AL821" s="19" t="str">
        <f aca="false">IF(AD821="","",AD821-AK821)</f>
        <v/>
      </c>
      <c r="AM821" s="26" t="str">
        <f aca="false">IF(C821="","","Waiting for payment")</f>
        <v/>
      </c>
      <c r="AN821" s="27"/>
      <c r="AO821" s="27"/>
      <c r="AP821" s="35" t="str">
        <f aca="false">IF(OR(C821="",I821="",K821=""),"",IF(K821="Monthly",EDATE(C821,ROUND(I821*SETTINGS!$I$8,0)),WORKDAY(C821,ROUND(I821*SETTINGS!$I$8,0))))</f>
        <v/>
      </c>
      <c r="AQ821" s="26" t="str">
        <f aca="true">IF(C821="","",IF(AND(AP821&lt;&gt;"",TODAY()&gt;=AP821),"Refi Ready",IF(TODAY()-C821&gt;=SETTINGS!$I$11,"Prospecting","Performing")))</f>
        <v/>
      </c>
      <c r="AR821" s="35" t="str">
        <f aca="false">IF(OR(C821="",I821="",K821=""),"",IF(K821="Monthly",EDATE(C821,I821),WORKDAY(C821,I821)))</f>
        <v/>
      </c>
      <c r="AS821" s="28"/>
      <c r="AT821" s="36" t="str">
        <f aca="true">IF(C821="","",IF(AM821="Clawed Back","CLAWED",IF(TODAY()&lt;=C821+SETTINGS!$I$2,"⚠ AT RISK","SAFE")))</f>
        <v/>
      </c>
      <c r="AU821" s="28"/>
      <c r="AW821" s="24" t="n">
        <f aca="false">AW820+IF(AND(C821&lt;&gt;"",AO821&lt;&gt;"",OR('REP COMMISSION'!$B$3="",T821='REP COMMISSION'!$B$3,W821='REP COMMISSION'!$B$3,Z821='REP COMMISSION'!$B$3)),1,0)</f>
        <v>0</v>
      </c>
      <c r="AX821" s="24" t="n">
        <f aca="false">AX820+IF(AND(C821&lt;&gt;"",OR(F821="LOC - INITIAL",F821="CONSOLIDATION - UPFRONT COMM",F821="REVERSE - TOTAL FUNDING")),1,0)</f>
        <v>0</v>
      </c>
    </row>
    <row r="822" customFormat="false" ht="15" hidden="false" customHeight="false" outlineLevel="0" collapsed="false">
      <c r="A822" s="8" t="str">
        <f aca="false">IF(C822&lt;&gt;"","F"&amp;COUNT($C$4:C822),"")</f>
        <v/>
      </c>
      <c r="B822" s="9" t="str">
        <f aca="false">IF(OR(F822="LOC - INITIAL",F822="CONSOLIDATION - UPFRONT COMM",F822="REVERSE - TOTAL FUNDING"),A822,"")</f>
        <v/>
      </c>
      <c r="C822" s="10"/>
      <c r="D822" s="11"/>
      <c r="E822" s="11"/>
      <c r="F822" s="11"/>
      <c r="G822" s="12"/>
      <c r="H822" s="13"/>
      <c r="I822" s="11"/>
      <c r="J822" s="14" t="str">
        <f aca="false">IF(AND(G822&lt;&gt;"",H822&lt;&gt;""),G822*H822,"")</f>
        <v/>
      </c>
      <c r="K822" s="11"/>
      <c r="L822" s="15"/>
      <c r="M822" s="15"/>
      <c r="N822" s="14" t="n">
        <f aca="false">IF(OR(G822="",M822=""),0,IF(M822&gt;100,M822,G822*IF(M822&gt;1,M822/100,M822)))</f>
        <v>0</v>
      </c>
      <c r="O822" s="14" t="str">
        <f aca="false">IF(G822="","",G822*IF(L822="",0,IF(L822&gt;1,L822/100,L822))+N822)</f>
        <v/>
      </c>
      <c r="P822" s="11"/>
      <c r="Q822" s="16" t="str">
        <f aca="false">IF(P822="","",IFERROR(VLOOKUP(P822,PARTNERS!$A$2:$B$30,2,0),""))</f>
        <v/>
      </c>
      <c r="R822" s="17" t="str">
        <f aca="false">IF(O822="","",IF(OR(P822="",Q822=""),0,(O822-N822)*IF(Q822&gt;1,Q822/100,Q822)))</f>
        <v/>
      </c>
      <c r="S822" s="14" t="str">
        <f aca="false">IF(O822="","",O822-R822)</f>
        <v/>
      </c>
      <c r="T822" s="11"/>
      <c r="U822" s="18" t="str">
        <f aca="false">IF(T822="","",IFERROR(VLOOKUP(T822,REPS!$A$2:$D$40,2,0),""))</f>
        <v/>
      </c>
      <c r="V822" s="14" t="str">
        <f aca="false">IF(O822="","",IF(U822="",0,O822*IF(U822&gt;1,U822/100,U822)))</f>
        <v/>
      </c>
      <c r="W822" s="11"/>
      <c r="X822" s="18" t="str">
        <f aca="false">IF(W822="","",IFERROR(VLOOKUP(W822,REPS!$A$2:$D$40,3,0),""))</f>
        <v/>
      </c>
      <c r="Y822" s="14" t="str">
        <f aca="false">IF(O822="","",IF(X822="",0,O822*IF(X822&gt;1,X822/100,X822)))</f>
        <v/>
      </c>
      <c r="Z822" s="11"/>
      <c r="AA822" s="18" t="str">
        <f aca="false">IF(Z822="","",IFERROR(VLOOKUP(Z822,REPS!$A$2:$D$40,4,0),""))</f>
        <v/>
      </c>
      <c r="AB822" s="14" t="str">
        <f aca="false">IF(O822="","",IF(AA822="",0,O822*IF(AA822&gt;1,AA822/100,AA822)))</f>
        <v/>
      </c>
      <c r="AC822" s="14" t="str">
        <f aca="false">IF(O822="","",V822+Y822+AB822)</f>
        <v/>
      </c>
      <c r="AD822" s="19" t="str">
        <f aca="false">IF(O822="","",O822-R822-AC822)</f>
        <v/>
      </c>
      <c r="AE822" s="20"/>
      <c r="AF822" s="10"/>
      <c r="AG822" s="21" t="n">
        <f aca="false">IF(OR(AE822="",AE822=0),0,AE822*IF(U822="",0,IF(U822&gt;1,U822/100,U822)))</f>
        <v>0</v>
      </c>
      <c r="AH822" s="21" t="n">
        <f aca="false">IF(OR(AE822="",AE822=0),0,AE822*IF(X822="",0,IF(X822&gt;1,X822/100,X822)))</f>
        <v>0</v>
      </c>
      <c r="AI822" s="21" t="n">
        <f aca="false">IF(OR(AE822="",AE822=0),0,AE822*IF(AA822="",0,IF(AA822&gt;1,AA822/100,AA822)))</f>
        <v>0</v>
      </c>
      <c r="AJ822" s="21" t="n">
        <f aca="false">AG822+AH822+AI822</f>
        <v>0</v>
      </c>
      <c r="AK822" s="21" t="n">
        <f aca="false">IF(OR(AE822="",AE822=0),0,AE822-AJ822)</f>
        <v>0</v>
      </c>
      <c r="AL822" s="19" t="str">
        <f aca="false">IF(AD822="","",AD822-AK822)</f>
        <v/>
      </c>
      <c r="AM822" s="9" t="str">
        <f aca="false">IF(C822="","","Waiting for payment")</f>
        <v/>
      </c>
      <c r="AN822" s="10"/>
      <c r="AO822" s="10"/>
      <c r="AP822" s="22" t="str">
        <f aca="false">IF(OR(C822="",I822="",K822=""),"",IF(K822="Monthly",EDATE(C822,ROUND(I822*SETTINGS!$I$8,0)),WORKDAY(C822,ROUND(I822*SETTINGS!$I$8,0))))</f>
        <v/>
      </c>
      <c r="AQ822" s="9" t="str">
        <f aca="true">IF(C822="","",IF(AND(AP822&lt;&gt;"",TODAY()&gt;=AP822),"Refi Ready",IF(TODAY()-C822&gt;=SETTINGS!$I$11,"Prospecting","Performing")))</f>
        <v/>
      </c>
      <c r="AR822" s="22" t="str">
        <f aca="false">IF(OR(C822="",I822="",K822=""),"",IF(K822="Monthly",EDATE(C822,I822),WORKDAY(C822,I822)))</f>
        <v/>
      </c>
      <c r="AS822" s="11"/>
      <c r="AT822" s="23" t="str">
        <f aca="true">IF(C822="","",IF(AM822="Clawed Back","CLAWED",IF(TODAY()&lt;=C822+SETTINGS!$I$2,"⚠ AT RISK","SAFE")))</f>
        <v/>
      </c>
      <c r="AU822" s="11"/>
      <c r="AW822" s="24" t="n">
        <f aca="false">AW821+IF(AND(C822&lt;&gt;"",AO822&lt;&gt;"",OR('REP COMMISSION'!$B$3="",T822='REP COMMISSION'!$B$3,W822='REP COMMISSION'!$B$3,Z822='REP COMMISSION'!$B$3)),1,0)</f>
        <v>0</v>
      </c>
      <c r="AX822" s="24" t="n">
        <f aca="false">AX821+IF(AND(C822&lt;&gt;"",OR(F822="LOC - INITIAL",F822="CONSOLIDATION - UPFRONT COMM",F822="REVERSE - TOTAL FUNDING")),1,0)</f>
        <v>0</v>
      </c>
    </row>
    <row r="823" customFormat="false" ht="15" hidden="false" customHeight="false" outlineLevel="0" collapsed="false">
      <c r="A823" s="25" t="str">
        <f aca="false">IF(C823&lt;&gt;"","F"&amp;COUNT($C$4:C823),"")</f>
        <v/>
      </c>
      <c r="B823" s="26" t="str">
        <f aca="false">IF(OR(F823="LOC - INITIAL",F823="CONSOLIDATION - UPFRONT COMM",F823="REVERSE - TOTAL FUNDING"),A823,"")</f>
        <v/>
      </c>
      <c r="C823" s="27"/>
      <c r="D823" s="28"/>
      <c r="E823" s="28"/>
      <c r="F823" s="28"/>
      <c r="G823" s="29"/>
      <c r="H823" s="30"/>
      <c r="I823" s="28"/>
      <c r="J823" s="31" t="str">
        <f aca="false">IF(AND(G823&lt;&gt;"",H823&lt;&gt;""),G823*H823,"")</f>
        <v/>
      </c>
      <c r="K823" s="28"/>
      <c r="L823" s="32"/>
      <c r="M823" s="32"/>
      <c r="N823" s="31" t="n">
        <f aca="false">IF(OR(G823="",M823=""),0,IF(M823&gt;100,M823,G823*IF(M823&gt;1,M823/100,M823)))</f>
        <v>0</v>
      </c>
      <c r="O823" s="31" t="str">
        <f aca="false">IF(G823="","",G823*IF(L823="",0,IF(L823&gt;1,L823/100,L823))+N823)</f>
        <v/>
      </c>
      <c r="P823" s="28"/>
      <c r="Q823" s="33" t="str">
        <f aca="false">IF(P823="","",IFERROR(VLOOKUP(P823,PARTNERS!$A$2:$B$30,2,0),""))</f>
        <v/>
      </c>
      <c r="R823" s="17" t="str">
        <f aca="false">IF(O823="","",IF(OR(P823="",Q823=""),0,(O823-N823)*IF(Q823&gt;1,Q823/100,Q823)))</f>
        <v/>
      </c>
      <c r="S823" s="31" t="str">
        <f aca="false">IF(O823="","",O823-R823)</f>
        <v/>
      </c>
      <c r="T823" s="28"/>
      <c r="U823" s="34" t="str">
        <f aca="false">IF(T823="","",IFERROR(VLOOKUP(T823,REPS!$A$2:$D$40,2,0),""))</f>
        <v/>
      </c>
      <c r="V823" s="31" t="str">
        <f aca="false">IF(O823="","",IF(U823="",0,O823*IF(U823&gt;1,U823/100,U823)))</f>
        <v/>
      </c>
      <c r="W823" s="28"/>
      <c r="X823" s="34" t="str">
        <f aca="false">IF(W823="","",IFERROR(VLOOKUP(W823,REPS!$A$2:$D$40,3,0),""))</f>
        <v/>
      </c>
      <c r="Y823" s="31" t="str">
        <f aca="false">IF(O823="","",IF(X823="",0,O823*IF(X823&gt;1,X823/100,X823)))</f>
        <v/>
      </c>
      <c r="Z823" s="28"/>
      <c r="AA823" s="34" t="str">
        <f aca="false">IF(Z823="","",IFERROR(VLOOKUP(Z823,REPS!$A$2:$D$40,4,0),""))</f>
        <v/>
      </c>
      <c r="AB823" s="31" t="str">
        <f aca="false">IF(O823="","",IF(AA823="",0,O823*IF(AA823&gt;1,AA823/100,AA823)))</f>
        <v/>
      </c>
      <c r="AC823" s="31" t="str">
        <f aca="false">IF(O823="","",V823+Y823+AB823)</f>
        <v/>
      </c>
      <c r="AD823" s="19" t="str">
        <f aca="false">IF(O823="","",O823-R823-AC823)</f>
        <v/>
      </c>
      <c r="AE823" s="20"/>
      <c r="AF823" s="27"/>
      <c r="AG823" s="21" t="n">
        <f aca="false">IF(OR(AE823="",AE823=0),0,AE823*IF(U823="",0,IF(U823&gt;1,U823/100,U823)))</f>
        <v>0</v>
      </c>
      <c r="AH823" s="21" t="n">
        <f aca="false">IF(OR(AE823="",AE823=0),0,AE823*IF(X823="",0,IF(X823&gt;1,X823/100,X823)))</f>
        <v>0</v>
      </c>
      <c r="AI823" s="21" t="n">
        <f aca="false">IF(OR(AE823="",AE823=0),0,AE823*IF(AA823="",0,IF(AA823&gt;1,AA823/100,AA823)))</f>
        <v>0</v>
      </c>
      <c r="AJ823" s="21" t="n">
        <f aca="false">AG823+AH823+AI823</f>
        <v>0</v>
      </c>
      <c r="AK823" s="21" t="n">
        <f aca="false">IF(OR(AE823="",AE823=0),0,AE823-AJ823)</f>
        <v>0</v>
      </c>
      <c r="AL823" s="19" t="str">
        <f aca="false">IF(AD823="","",AD823-AK823)</f>
        <v/>
      </c>
      <c r="AM823" s="26" t="str">
        <f aca="false">IF(C823="","","Waiting for payment")</f>
        <v/>
      </c>
      <c r="AN823" s="27"/>
      <c r="AO823" s="27"/>
      <c r="AP823" s="35" t="str">
        <f aca="false">IF(OR(C823="",I823="",K823=""),"",IF(K823="Monthly",EDATE(C823,ROUND(I823*SETTINGS!$I$8,0)),WORKDAY(C823,ROUND(I823*SETTINGS!$I$8,0))))</f>
        <v/>
      </c>
      <c r="AQ823" s="26" t="str">
        <f aca="true">IF(C823="","",IF(AND(AP823&lt;&gt;"",TODAY()&gt;=AP823),"Refi Ready",IF(TODAY()-C823&gt;=SETTINGS!$I$11,"Prospecting","Performing")))</f>
        <v/>
      </c>
      <c r="AR823" s="35" t="str">
        <f aca="false">IF(OR(C823="",I823="",K823=""),"",IF(K823="Monthly",EDATE(C823,I823),WORKDAY(C823,I823)))</f>
        <v/>
      </c>
      <c r="AS823" s="28"/>
      <c r="AT823" s="36" t="str">
        <f aca="true">IF(C823="","",IF(AM823="Clawed Back","CLAWED",IF(TODAY()&lt;=C823+SETTINGS!$I$2,"⚠ AT RISK","SAFE")))</f>
        <v/>
      </c>
      <c r="AU823" s="28"/>
      <c r="AW823" s="24" t="n">
        <f aca="false">AW822+IF(AND(C823&lt;&gt;"",AO823&lt;&gt;"",OR('REP COMMISSION'!$B$3="",T823='REP COMMISSION'!$B$3,W823='REP COMMISSION'!$B$3,Z823='REP COMMISSION'!$B$3)),1,0)</f>
        <v>0</v>
      </c>
      <c r="AX823" s="24" t="n">
        <f aca="false">AX822+IF(AND(C823&lt;&gt;"",OR(F823="LOC - INITIAL",F823="CONSOLIDATION - UPFRONT COMM",F823="REVERSE - TOTAL FUNDING")),1,0)</f>
        <v>0</v>
      </c>
    </row>
    <row r="824" customFormat="false" ht="15" hidden="false" customHeight="false" outlineLevel="0" collapsed="false">
      <c r="A824" s="8" t="str">
        <f aca="false">IF(C824&lt;&gt;"","F"&amp;COUNT($C$4:C824),"")</f>
        <v/>
      </c>
      <c r="B824" s="9" t="str">
        <f aca="false">IF(OR(F824="LOC - INITIAL",F824="CONSOLIDATION - UPFRONT COMM",F824="REVERSE - TOTAL FUNDING"),A824,"")</f>
        <v/>
      </c>
      <c r="C824" s="10"/>
      <c r="D824" s="11"/>
      <c r="E824" s="11"/>
      <c r="F824" s="11"/>
      <c r="G824" s="12"/>
      <c r="H824" s="13"/>
      <c r="I824" s="11"/>
      <c r="J824" s="14" t="str">
        <f aca="false">IF(AND(G824&lt;&gt;"",H824&lt;&gt;""),G824*H824,"")</f>
        <v/>
      </c>
      <c r="K824" s="11"/>
      <c r="L824" s="15"/>
      <c r="M824" s="15"/>
      <c r="N824" s="14" t="n">
        <f aca="false">IF(OR(G824="",M824=""),0,IF(M824&gt;100,M824,G824*IF(M824&gt;1,M824/100,M824)))</f>
        <v>0</v>
      </c>
      <c r="O824" s="14" t="str">
        <f aca="false">IF(G824="","",G824*IF(L824="",0,IF(L824&gt;1,L824/100,L824))+N824)</f>
        <v/>
      </c>
      <c r="P824" s="11"/>
      <c r="Q824" s="16" t="str">
        <f aca="false">IF(P824="","",IFERROR(VLOOKUP(P824,PARTNERS!$A$2:$B$30,2,0),""))</f>
        <v/>
      </c>
      <c r="R824" s="17" t="str">
        <f aca="false">IF(O824="","",IF(OR(P824="",Q824=""),0,(O824-N824)*IF(Q824&gt;1,Q824/100,Q824)))</f>
        <v/>
      </c>
      <c r="S824" s="14" t="str">
        <f aca="false">IF(O824="","",O824-R824)</f>
        <v/>
      </c>
      <c r="T824" s="11"/>
      <c r="U824" s="18" t="str">
        <f aca="false">IF(T824="","",IFERROR(VLOOKUP(T824,REPS!$A$2:$D$40,2,0),""))</f>
        <v/>
      </c>
      <c r="V824" s="14" t="str">
        <f aca="false">IF(O824="","",IF(U824="",0,O824*IF(U824&gt;1,U824/100,U824)))</f>
        <v/>
      </c>
      <c r="W824" s="11"/>
      <c r="X824" s="18" t="str">
        <f aca="false">IF(W824="","",IFERROR(VLOOKUP(W824,REPS!$A$2:$D$40,3,0),""))</f>
        <v/>
      </c>
      <c r="Y824" s="14" t="str">
        <f aca="false">IF(O824="","",IF(X824="",0,O824*IF(X824&gt;1,X824/100,X824)))</f>
        <v/>
      </c>
      <c r="Z824" s="11"/>
      <c r="AA824" s="18" t="str">
        <f aca="false">IF(Z824="","",IFERROR(VLOOKUP(Z824,REPS!$A$2:$D$40,4,0),""))</f>
        <v/>
      </c>
      <c r="AB824" s="14" t="str">
        <f aca="false">IF(O824="","",IF(AA824="",0,O824*IF(AA824&gt;1,AA824/100,AA824)))</f>
        <v/>
      </c>
      <c r="AC824" s="14" t="str">
        <f aca="false">IF(O824="","",V824+Y824+AB824)</f>
        <v/>
      </c>
      <c r="AD824" s="19" t="str">
        <f aca="false">IF(O824="","",O824-R824-AC824)</f>
        <v/>
      </c>
      <c r="AE824" s="20"/>
      <c r="AF824" s="10"/>
      <c r="AG824" s="21" t="n">
        <f aca="false">IF(OR(AE824="",AE824=0),0,AE824*IF(U824="",0,IF(U824&gt;1,U824/100,U824)))</f>
        <v>0</v>
      </c>
      <c r="AH824" s="21" t="n">
        <f aca="false">IF(OR(AE824="",AE824=0),0,AE824*IF(X824="",0,IF(X824&gt;1,X824/100,X824)))</f>
        <v>0</v>
      </c>
      <c r="AI824" s="21" t="n">
        <f aca="false">IF(OR(AE824="",AE824=0),0,AE824*IF(AA824="",0,IF(AA824&gt;1,AA824/100,AA824)))</f>
        <v>0</v>
      </c>
      <c r="AJ824" s="21" t="n">
        <f aca="false">AG824+AH824+AI824</f>
        <v>0</v>
      </c>
      <c r="AK824" s="21" t="n">
        <f aca="false">IF(OR(AE824="",AE824=0),0,AE824-AJ824)</f>
        <v>0</v>
      </c>
      <c r="AL824" s="19" t="str">
        <f aca="false">IF(AD824="","",AD824-AK824)</f>
        <v/>
      </c>
      <c r="AM824" s="9" t="str">
        <f aca="false">IF(C824="","","Waiting for payment")</f>
        <v/>
      </c>
      <c r="AN824" s="10"/>
      <c r="AO824" s="10"/>
      <c r="AP824" s="22" t="str">
        <f aca="false">IF(OR(C824="",I824="",K824=""),"",IF(K824="Monthly",EDATE(C824,ROUND(I824*SETTINGS!$I$8,0)),WORKDAY(C824,ROUND(I824*SETTINGS!$I$8,0))))</f>
        <v/>
      </c>
      <c r="AQ824" s="9" t="str">
        <f aca="true">IF(C824="","",IF(AND(AP824&lt;&gt;"",TODAY()&gt;=AP824),"Refi Ready",IF(TODAY()-C824&gt;=SETTINGS!$I$11,"Prospecting","Performing")))</f>
        <v/>
      </c>
      <c r="AR824" s="22" t="str">
        <f aca="false">IF(OR(C824="",I824="",K824=""),"",IF(K824="Monthly",EDATE(C824,I824),WORKDAY(C824,I824)))</f>
        <v/>
      </c>
      <c r="AS824" s="11"/>
      <c r="AT824" s="23" t="str">
        <f aca="true">IF(C824="","",IF(AM824="Clawed Back","CLAWED",IF(TODAY()&lt;=C824+SETTINGS!$I$2,"⚠ AT RISK","SAFE")))</f>
        <v/>
      </c>
      <c r="AU824" s="11"/>
      <c r="AW824" s="24" t="n">
        <f aca="false">AW823+IF(AND(C824&lt;&gt;"",AO824&lt;&gt;"",OR('REP COMMISSION'!$B$3="",T824='REP COMMISSION'!$B$3,W824='REP COMMISSION'!$B$3,Z824='REP COMMISSION'!$B$3)),1,0)</f>
        <v>0</v>
      </c>
      <c r="AX824" s="24" t="n">
        <f aca="false">AX823+IF(AND(C824&lt;&gt;"",OR(F824="LOC - INITIAL",F824="CONSOLIDATION - UPFRONT COMM",F824="REVERSE - TOTAL FUNDING")),1,0)</f>
        <v>0</v>
      </c>
    </row>
    <row r="825" customFormat="false" ht="15" hidden="false" customHeight="false" outlineLevel="0" collapsed="false">
      <c r="A825" s="25" t="str">
        <f aca="false">IF(C825&lt;&gt;"","F"&amp;COUNT($C$4:C825),"")</f>
        <v/>
      </c>
      <c r="B825" s="26" t="str">
        <f aca="false">IF(OR(F825="LOC - INITIAL",F825="CONSOLIDATION - UPFRONT COMM",F825="REVERSE - TOTAL FUNDING"),A825,"")</f>
        <v/>
      </c>
      <c r="C825" s="27"/>
      <c r="D825" s="28"/>
      <c r="E825" s="28"/>
      <c r="F825" s="28"/>
      <c r="G825" s="29"/>
      <c r="H825" s="30"/>
      <c r="I825" s="28"/>
      <c r="J825" s="31" t="str">
        <f aca="false">IF(AND(G825&lt;&gt;"",H825&lt;&gt;""),G825*H825,"")</f>
        <v/>
      </c>
      <c r="K825" s="28"/>
      <c r="L825" s="32"/>
      <c r="M825" s="32"/>
      <c r="N825" s="31" t="n">
        <f aca="false">IF(OR(G825="",M825=""),0,IF(M825&gt;100,M825,G825*IF(M825&gt;1,M825/100,M825)))</f>
        <v>0</v>
      </c>
      <c r="O825" s="31" t="str">
        <f aca="false">IF(G825="","",G825*IF(L825="",0,IF(L825&gt;1,L825/100,L825))+N825)</f>
        <v/>
      </c>
      <c r="P825" s="28"/>
      <c r="Q825" s="33" t="str">
        <f aca="false">IF(P825="","",IFERROR(VLOOKUP(P825,PARTNERS!$A$2:$B$30,2,0),""))</f>
        <v/>
      </c>
      <c r="R825" s="17" t="str">
        <f aca="false">IF(O825="","",IF(OR(P825="",Q825=""),0,(O825-N825)*IF(Q825&gt;1,Q825/100,Q825)))</f>
        <v/>
      </c>
      <c r="S825" s="31" t="str">
        <f aca="false">IF(O825="","",O825-R825)</f>
        <v/>
      </c>
      <c r="T825" s="28"/>
      <c r="U825" s="34" t="str">
        <f aca="false">IF(T825="","",IFERROR(VLOOKUP(T825,REPS!$A$2:$D$40,2,0),""))</f>
        <v/>
      </c>
      <c r="V825" s="31" t="str">
        <f aca="false">IF(O825="","",IF(U825="",0,O825*IF(U825&gt;1,U825/100,U825)))</f>
        <v/>
      </c>
      <c r="W825" s="28"/>
      <c r="X825" s="34" t="str">
        <f aca="false">IF(W825="","",IFERROR(VLOOKUP(W825,REPS!$A$2:$D$40,3,0),""))</f>
        <v/>
      </c>
      <c r="Y825" s="31" t="str">
        <f aca="false">IF(O825="","",IF(X825="",0,O825*IF(X825&gt;1,X825/100,X825)))</f>
        <v/>
      </c>
      <c r="Z825" s="28"/>
      <c r="AA825" s="34" t="str">
        <f aca="false">IF(Z825="","",IFERROR(VLOOKUP(Z825,REPS!$A$2:$D$40,4,0),""))</f>
        <v/>
      </c>
      <c r="AB825" s="31" t="str">
        <f aca="false">IF(O825="","",IF(AA825="",0,O825*IF(AA825&gt;1,AA825/100,AA825)))</f>
        <v/>
      </c>
      <c r="AC825" s="31" t="str">
        <f aca="false">IF(O825="","",V825+Y825+AB825)</f>
        <v/>
      </c>
      <c r="AD825" s="19" t="str">
        <f aca="false">IF(O825="","",O825-R825-AC825)</f>
        <v/>
      </c>
      <c r="AE825" s="20"/>
      <c r="AF825" s="27"/>
      <c r="AG825" s="21" t="n">
        <f aca="false">IF(OR(AE825="",AE825=0),0,AE825*IF(U825="",0,IF(U825&gt;1,U825/100,U825)))</f>
        <v>0</v>
      </c>
      <c r="AH825" s="21" t="n">
        <f aca="false">IF(OR(AE825="",AE825=0),0,AE825*IF(X825="",0,IF(X825&gt;1,X825/100,X825)))</f>
        <v>0</v>
      </c>
      <c r="AI825" s="21" t="n">
        <f aca="false">IF(OR(AE825="",AE825=0),0,AE825*IF(AA825="",0,IF(AA825&gt;1,AA825/100,AA825)))</f>
        <v>0</v>
      </c>
      <c r="AJ825" s="21" t="n">
        <f aca="false">AG825+AH825+AI825</f>
        <v>0</v>
      </c>
      <c r="AK825" s="21" t="n">
        <f aca="false">IF(OR(AE825="",AE825=0),0,AE825-AJ825)</f>
        <v>0</v>
      </c>
      <c r="AL825" s="19" t="str">
        <f aca="false">IF(AD825="","",AD825-AK825)</f>
        <v/>
      </c>
      <c r="AM825" s="26" t="str">
        <f aca="false">IF(C825="","","Waiting for payment")</f>
        <v/>
      </c>
      <c r="AN825" s="27"/>
      <c r="AO825" s="27"/>
      <c r="AP825" s="35" t="str">
        <f aca="false">IF(OR(C825="",I825="",K825=""),"",IF(K825="Monthly",EDATE(C825,ROUND(I825*SETTINGS!$I$8,0)),WORKDAY(C825,ROUND(I825*SETTINGS!$I$8,0))))</f>
        <v/>
      </c>
      <c r="AQ825" s="26" t="str">
        <f aca="true">IF(C825="","",IF(AND(AP825&lt;&gt;"",TODAY()&gt;=AP825),"Refi Ready",IF(TODAY()-C825&gt;=SETTINGS!$I$11,"Prospecting","Performing")))</f>
        <v/>
      </c>
      <c r="AR825" s="35" t="str">
        <f aca="false">IF(OR(C825="",I825="",K825=""),"",IF(K825="Monthly",EDATE(C825,I825),WORKDAY(C825,I825)))</f>
        <v/>
      </c>
      <c r="AS825" s="28"/>
      <c r="AT825" s="36" t="str">
        <f aca="true">IF(C825="","",IF(AM825="Clawed Back","CLAWED",IF(TODAY()&lt;=C825+SETTINGS!$I$2,"⚠ AT RISK","SAFE")))</f>
        <v/>
      </c>
      <c r="AU825" s="28"/>
      <c r="AW825" s="24" t="n">
        <f aca="false">AW824+IF(AND(C825&lt;&gt;"",AO825&lt;&gt;"",OR('REP COMMISSION'!$B$3="",T825='REP COMMISSION'!$B$3,W825='REP COMMISSION'!$B$3,Z825='REP COMMISSION'!$B$3)),1,0)</f>
        <v>0</v>
      </c>
      <c r="AX825" s="24" t="n">
        <f aca="false">AX824+IF(AND(C825&lt;&gt;"",OR(F825="LOC - INITIAL",F825="CONSOLIDATION - UPFRONT COMM",F825="REVERSE - TOTAL FUNDING")),1,0)</f>
        <v>0</v>
      </c>
    </row>
    <row r="826" customFormat="false" ht="15" hidden="false" customHeight="false" outlineLevel="0" collapsed="false">
      <c r="A826" s="8" t="str">
        <f aca="false">IF(C826&lt;&gt;"","F"&amp;COUNT($C$4:C826),"")</f>
        <v/>
      </c>
      <c r="B826" s="9" t="str">
        <f aca="false">IF(OR(F826="LOC - INITIAL",F826="CONSOLIDATION - UPFRONT COMM",F826="REVERSE - TOTAL FUNDING"),A826,"")</f>
        <v/>
      </c>
      <c r="C826" s="10"/>
      <c r="D826" s="11"/>
      <c r="E826" s="11"/>
      <c r="F826" s="11"/>
      <c r="G826" s="12"/>
      <c r="H826" s="13"/>
      <c r="I826" s="11"/>
      <c r="J826" s="14" t="str">
        <f aca="false">IF(AND(G826&lt;&gt;"",H826&lt;&gt;""),G826*H826,"")</f>
        <v/>
      </c>
      <c r="K826" s="11"/>
      <c r="L826" s="15"/>
      <c r="M826" s="15"/>
      <c r="N826" s="14" t="n">
        <f aca="false">IF(OR(G826="",M826=""),0,IF(M826&gt;100,M826,G826*IF(M826&gt;1,M826/100,M826)))</f>
        <v>0</v>
      </c>
      <c r="O826" s="14" t="str">
        <f aca="false">IF(G826="","",G826*IF(L826="",0,IF(L826&gt;1,L826/100,L826))+N826)</f>
        <v/>
      </c>
      <c r="P826" s="11"/>
      <c r="Q826" s="16" t="str">
        <f aca="false">IF(P826="","",IFERROR(VLOOKUP(P826,PARTNERS!$A$2:$B$30,2,0),""))</f>
        <v/>
      </c>
      <c r="R826" s="17" t="str">
        <f aca="false">IF(O826="","",IF(OR(P826="",Q826=""),0,(O826-N826)*IF(Q826&gt;1,Q826/100,Q826)))</f>
        <v/>
      </c>
      <c r="S826" s="14" t="str">
        <f aca="false">IF(O826="","",O826-R826)</f>
        <v/>
      </c>
      <c r="T826" s="11"/>
      <c r="U826" s="18" t="str">
        <f aca="false">IF(T826="","",IFERROR(VLOOKUP(T826,REPS!$A$2:$D$40,2,0),""))</f>
        <v/>
      </c>
      <c r="V826" s="14" t="str">
        <f aca="false">IF(O826="","",IF(U826="",0,O826*IF(U826&gt;1,U826/100,U826)))</f>
        <v/>
      </c>
      <c r="W826" s="11"/>
      <c r="X826" s="18" t="str">
        <f aca="false">IF(W826="","",IFERROR(VLOOKUP(W826,REPS!$A$2:$D$40,3,0),""))</f>
        <v/>
      </c>
      <c r="Y826" s="14" t="str">
        <f aca="false">IF(O826="","",IF(X826="",0,O826*IF(X826&gt;1,X826/100,X826)))</f>
        <v/>
      </c>
      <c r="Z826" s="11"/>
      <c r="AA826" s="18" t="str">
        <f aca="false">IF(Z826="","",IFERROR(VLOOKUP(Z826,REPS!$A$2:$D$40,4,0),""))</f>
        <v/>
      </c>
      <c r="AB826" s="14" t="str">
        <f aca="false">IF(O826="","",IF(AA826="",0,O826*IF(AA826&gt;1,AA826/100,AA826)))</f>
        <v/>
      </c>
      <c r="AC826" s="14" t="str">
        <f aca="false">IF(O826="","",V826+Y826+AB826)</f>
        <v/>
      </c>
      <c r="AD826" s="19" t="str">
        <f aca="false">IF(O826="","",O826-R826-AC826)</f>
        <v/>
      </c>
      <c r="AE826" s="20"/>
      <c r="AF826" s="10"/>
      <c r="AG826" s="21" t="n">
        <f aca="false">IF(OR(AE826="",AE826=0),0,AE826*IF(U826="",0,IF(U826&gt;1,U826/100,U826)))</f>
        <v>0</v>
      </c>
      <c r="AH826" s="21" t="n">
        <f aca="false">IF(OR(AE826="",AE826=0),0,AE826*IF(X826="",0,IF(X826&gt;1,X826/100,X826)))</f>
        <v>0</v>
      </c>
      <c r="AI826" s="21" t="n">
        <f aca="false">IF(OR(AE826="",AE826=0),0,AE826*IF(AA826="",0,IF(AA826&gt;1,AA826/100,AA826)))</f>
        <v>0</v>
      </c>
      <c r="AJ826" s="21" t="n">
        <f aca="false">AG826+AH826+AI826</f>
        <v>0</v>
      </c>
      <c r="AK826" s="21" t="n">
        <f aca="false">IF(OR(AE826="",AE826=0),0,AE826-AJ826)</f>
        <v>0</v>
      </c>
      <c r="AL826" s="19" t="str">
        <f aca="false">IF(AD826="","",AD826-AK826)</f>
        <v/>
      </c>
      <c r="AM826" s="9" t="str">
        <f aca="false">IF(C826="","","Waiting for payment")</f>
        <v/>
      </c>
      <c r="AN826" s="10"/>
      <c r="AO826" s="10"/>
      <c r="AP826" s="22" t="str">
        <f aca="false">IF(OR(C826="",I826="",K826=""),"",IF(K826="Monthly",EDATE(C826,ROUND(I826*SETTINGS!$I$8,0)),WORKDAY(C826,ROUND(I826*SETTINGS!$I$8,0))))</f>
        <v/>
      </c>
      <c r="AQ826" s="9" t="str">
        <f aca="true">IF(C826="","",IF(AND(AP826&lt;&gt;"",TODAY()&gt;=AP826),"Refi Ready",IF(TODAY()-C826&gt;=SETTINGS!$I$11,"Prospecting","Performing")))</f>
        <v/>
      </c>
      <c r="AR826" s="22" t="str">
        <f aca="false">IF(OR(C826="",I826="",K826=""),"",IF(K826="Monthly",EDATE(C826,I826),WORKDAY(C826,I826)))</f>
        <v/>
      </c>
      <c r="AS826" s="11"/>
      <c r="AT826" s="23" t="str">
        <f aca="true">IF(C826="","",IF(AM826="Clawed Back","CLAWED",IF(TODAY()&lt;=C826+SETTINGS!$I$2,"⚠ AT RISK","SAFE")))</f>
        <v/>
      </c>
      <c r="AU826" s="11"/>
      <c r="AW826" s="24" t="n">
        <f aca="false">AW825+IF(AND(C826&lt;&gt;"",AO826&lt;&gt;"",OR('REP COMMISSION'!$B$3="",T826='REP COMMISSION'!$B$3,W826='REP COMMISSION'!$B$3,Z826='REP COMMISSION'!$B$3)),1,0)</f>
        <v>0</v>
      </c>
      <c r="AX826" s="24" t="n">
        <f aca="false">AX825+IF(AND(C826&lt;&gt;"",OR(F826="LOC - INITIAL",F826="CONSOLIDATION - UPFRONT COMM",F826="REVERSE - TOTAL FUNDING")),1,0)</f>
        <v>0</v>
      </c>
    </row>
    <row r="827" customFormat="false" ht="15" hidden="false" customHeight="false" outlineLevel="0" collapsed="false">
      <c r="A827" s="25" t="str">
        <f aca="false">IF(C827&lt;&gt;"","F"&amp;COUNT($C$4:C827),"")</f>
        <v/>
      </c>
      <c r="B827" s="26" t="str">
        <f aca="false">IF(OR(F827="LOC - INITIAL",F827="CONSOLIDATION - UPFRONT COMM",F827="REVERSE - TOTAL FUNDING"),A827,"")</f>
        <v/>
      </c>
      <c r="C827" s="27"/>
      <c r="D827" s="28"/>
      <c r="E827" s="28"/>
      <c r="F827" s="28"/>
      <c r="G827" s="29"/>
      <c r="H827" s="30"/>
      <c r="I827" s="28"/>
      <c r="J827" s="31" t="str">
        <f aca="false">IF(AND(G827&lt;&gt;"",H827&lt;&gt;""),G827*H827,"")</f>
        <v/>
      </c>
      <c r="K827" s="28"/>
      <c r="L827" s="32"/>
      <c r="M827" s="32"/>
      <c r="N827" s="31" t="n">
        <f aca="false">IF(OR(G827="",M827=""),0,IF(M827&gt;100,M827,G827*IF(M827&gt;1,M827/100,M827)))</f>
        <v>0</v>
      </c>
      <c r="O827" s="31" t="str">
        <f aca="false">IF(G827="","",G827*IF(L827="",0,IF(L827&gt;1,L827/100,L827))+N827)</f>
        <v/>
      </c>
      <c r="P827" s="28"/>
      <c r="Q827" s="33" t="str">
        <f aca="false">IF(P827="","",IFERROR(VLOOKUP(P827,PARTNERS!$A$2:$B$30,2,0),""))</f>
        <v/>
      </c>
      <c r="R827" s="17" t="str">
        <f aca="false">IF(O827="","",IF(OR(P827="",Q827=""),0,(O827-N827)*IF(Q827&gt;1,Q827/100,Q827)))</f>
        <v/>
      </c>
      <c r="S827" s="31" t="str">
        <f aca="false">IF(O827="","",O827-R827)</f>
        <v/>
      </c>
      <c r="T827" s="28"/>
      <c r="U827" s="34" t="str">
        <f aca="false">IF(T827="","",IFERROR(VLOOKUP(T827,REPS!$A$2:$D$40,2,0),""))</f>
        <v/>
      </c>
      <c r="V827" s="31" t="str">
        <f aca="false">IF(O827="","",IF(U827="",0,O827*IF(U827&gt;1,U827/100,U827)))</f>
        <v/>
      </c>
      <c r="W827" s="28"/>
      <c r="X827" s="34" t="str">
        <f aca="false">IF(W827="","",IFERROR(VLOOKUP(W827,REPS!$A$2:$D$40,3,0),""))</f>
        <v/>
      </c>
      <c r="Y827" s="31" t="str">
        <f aca="false">IF(O827="","",IF(X827="",0,O827*IF(X827&gt;1,X827/100,X827)))</f>
        <v/>
      </c>
      <c r="Z827" s="28"/>
      <c r="AA827" s="34" t="str">
        <f aca="false">IF(Z827="","",IFERROR(VLOOKUP(Z827,REPS!$A$2:$D$40,4,0),""))</f>
        <v/>
      </c>
      <c r="AB827" s="31" t="str">
        <f aca="false">IF(O827="","",IF(AA827="",0,O827*IF(AA827&gt;1,AA827/100,AA827)))</f>
        <v/>
      </c>
      <c r="AC827" s="31" t="str">
        <f aca="false">IF(O827="","",V827+Y827+AB827)</f>
        <v/>
      </c>
      <c r="AD827" s="19" t="str">
        <f aca="false">IF(O827="","",O827-R827-AC827)</f>
        <v/>
      </c>
      <c r="AE827" s="20"/>
      <c r="AF827" s="27"/>
      <c r="AG827" s="21" t="n">
        <f aca="false">IF(OR(AE827="",AE827=0),0,AE827*IF(U827="",0,IF(U827&gt;1,U827/100,U827)))</f>
        <v>0</v>
      </c>
      <c r="AH827" s="21" t="n">
        <f aca="false">IF(OR(AE827="",AE827=0),0,AE827*IF(X827="",0,IF(X827&gt;1,X827/100,X827)))</f>
        <v>0</v>
      </c>
      <c r="AI827" s="21" t="n">
        <f aca="false">IF(OR(AE827="",AE827=0),0,AE827*IF(AA827="",0,IF(AA827&gt;1,AA827/100,AA827)))</f>
        <v>0</v>
      </c>
      <c r="AJ827" s="21" t="n">
        <f aca="false">AG827+AH827+AI827</f>
        <v>0</v>
      </c>
      <c r="AK827" s="21" t="n">
        <f aca="false">IF(OR(AE827="",AE827=0),0,AE827-AJ827)</f>
        <v>0</v>
      </c>
      <c r="AL827" s="19" t="str">
        <f aca="false">IF(AD827="","",AD827-AK827)</f>
        <v/>
      </c>
      <c r="AM827" s="26" t="str">
        <f aca="false">IF(C827="","","Waiting for payment")</f>
        <v/>
      </c>
      <c r="AN827" s="27"/>
      <c r="AO827" s="27"/>
      <c r="AP827" s="35" t="str">
        <f aca="false">IF(OR(C827="",I827="",K827=""),"",IF(K827="Monthly",EDATE(C827,ROUND(I827*SETTINGS!$I$8,0)),WORKDAY(C827,ROUND(I827*SETTINGS!$I$8,0))))</f>
        <v/>
      </c>
      <c r="AQ827" s="26" t="str">
        <f aca="true">IF(C827="","",IF(AND(AP827&lt;&gt;"",TODAY()&gt;=AP827),"Refi Ready",IF(TODAY()-C827&gt;=SETTINGS!$I$11,"Prospecting","Performing")))</f>
        <v/>
      </c>
      <c r="AR827" s="35" t="str">
        <f aca="false">IF(OR(C827="",I827="",K827=""),"",IF(K827="Monthly",EDATE(C827,I827),WORKDAY(C827,I827)))</f>
        <v/>
      </c>
      <c r="AS827" s="28"/>
      <c r="AT827" s="36" t="str">
        <f aca="true">IF(C827="","",IF(AM827="Clawed Back","CLAWED",IF(TODAY()&lt;=C827+SETTINGS!$I$2,"⚠ AT RISK","SAFE")))</f>
        <v/>
      </c>
      <c r="AU827" s="28"/>
      <c r="AW827" s="24" t="n">
        <f aca="false">AW826+IF(AND(C827&lt;&gt;"",AO827&lt;&gt;"",OR('REP COMMISSION'!$B$3="",T827='REP COMMISSION'!$B$3,W827='REP COMMISSION'!$B$3,Z827='REP COMMISSION'!$B$3)),1,0)</f>
        <v>0</v>
      </c>
      <c r="AX827" s="24" t="n">
        <f aca="false">AX826+IF(AND(C827&lt;&gt;"",OR(F827="LOC - INITIAL",F827="CONSOLIDATION - UPFRONT COMM",F827="REVERSE - TOTAL FUNDING")),1,0)</f>
        <v>0</v>
      </c>
    </row>
    <row r="828" customFormat="false" ht="15" hidden="false" customHeight="false" outlineLevel="0" collapsed="false">
      <c r="A828" s="8" t="str">
        <f aca="false">IF(C828&lt;&gt;"","F"&amp;COUNT($C$4:C828),"")</f>
        <v/>
      </c>
      <c r="B828" s="9" t="str">
        <f aca="false">IF(OR(F828="LOC - INITIAL",F828="CONSOLIDATION - UPFRONT COMM",F828="REVERSE - TOTAL FUNDING"),A828,"")</f>
        <v/>
      </c>
      <c r="C828" s="10"/>
      <c r="D828" s="11"/>
      <c r="E828" s="11"/>
      <c r="F828" s="11"/>
      <c r="G828" s="12"/>
      <c r="H828" s="13"/>
      <c r="I828" s="11"/>
      <c r="J828" s="14" t="str">
        <f aca="false">IF(AND(G828&lt;&gt;"",H828&lt;&gt;""),G828*H828,"")</f>
        <v/>
      </c>
      <c r="K828" s="11"/>
      <c r="L828" s="15"/>
      <c r="M828" s="15"/>
      <c r="N828" s="14" t="n">
        <f aca="false">IF(OR(G828="",M828=""),0,IF(M828&gt;100,M828,G828*IF(M828&gt;1,M828/100,M828)))</f>
        <v>0</v>
      </c>
      <c r="O828" s="14" t="str">
        <f aca="false">IF(G828="","",G828*IF(L828="",0,IF(L828&gt;1,L828/100,L828))+N828)</f>
        <v/>
      </c>
      <c r="P828" s="11"/>
      <c r="Q828" s="16" t="str">
        <f aca="false">IF(P828="","",IFERROR(VLOOKUP(P828,PARTNERS!$A$2:$B$30,2,0),""))</f>
        <v/>
      </c>
      <c r="R828" s="17" t="str">
        <f aca="false">IF(O828="","",IF(OR(P828="",Q828=""),0,(O828-N828)*IF(Q828&gt;1,Q828/100,Q828)))</f>
        <v/>
      </c>
      <c r="S828" s="14" t="str">
        <f aca="false">IF(O828="","",O828-R828)</f>
        <v/>
      </c>
      <c r="T828" s="11"/>
      <c r="U828" s="18" t="str">
        <f aca="false">IF(T828="","",IFERROR(VLOOKUP(T828,REPS!$A$2:$D$40,2,0),""))</f>
        <v/>
      </c>
      <c r="V828" s="14" t="str">
        <f aca="false">IF(O828="","",IF(U828="",0,O828*IF(U828&gt;1,U828/100,U828)))</f>
        <v/>
      </c>
      <c r="W828" s="11"/>
      <c r="X828" s="18" t="str">
        <f aca="false">IF(W828="","",IFERROR(VLOOKUP(W828,REPS!$A$2:$D$40,3,0),""))</f>
        <v/>
      </c>
      <c r="Y828" s="14" t="str">
        <f aca="false">IF(O828="","",IF(X828="",0,O828*IF(X828&gt;1,X828/100,X828)))</f>
        <v/>
      </c>
      <c r="Z828" s="11"/>
      <c r="AA828" s="18" t="str">
        <f aca="false">IF(Z828="","",IFERROR(VLOOKUP(Z828,REPS!$A$2:$D$40,4,0),""))</f>
        <v/>
      </c>
      <c r="AB828" s="14" t="str">
        <f aca="false">IF(O828="","",IF(AA828="",0,O828*IF(AA828&gt;1,AA828/100,AA828)))</f>
        <v/>
      </c>
      <c r="AC828" s="14" t="str">
        <f aca="false">IF(O828="","",V828+Y828+AB828)</f>
        <v/>
      </c>
      <c r="AD828" s="19" t="str">
        <f aca="false">IF(O828="","",O828-R828-AC828)</f>
        <v/>
      </c>
      <c r="AE828" s="20"/>
      <c r="AF828" s="10"/>
      <c r="AG828" s="21" t="n">
        <f aca="false">IF(OR(AE828="",AE828=0),0,AE828*IF(U828="",0,IF(U828&gt;1,U828/100,U828)))</f>
        <v>0</v>
      </c>
      <c r="AH828" s="21" t="n">
        <f aca="false">IF(OR(AE828="",AE828=0),0,AE828*IF(X828="",0,IF(X828&gt;1,X828/100,X828)))</f>
        <v>0</v>
      </c>
      <c r="AI828" s="21" t="n">
        <f aca="false">IF(OR(AE828="",AE828=0),0,AE828*IF(AA828="",0,IF(AA828&gt;1,AA828/100,AA828)))</f>
        <v>0</v>
      </c>
      <c r="AJ828" s="21" t="n">
        <f aca="false">AG828+AH828+AI828</f>
        <v>0</v>
      </c>
      <c r="AK828" s="21" t="n">
        <f aca="false">IF(OR(AE828="",AE828=0),0,AE828-AJ828)</f>
        <v>0</v>
      </c>
      <c r="AL828" s="19" t="str">
        <f aca="false">IF(AD828="","",AD828-AK828)</f>
        <v/>
      </c>
      <c r="AM828" s="9" t="str">
        <f aca="false">IF(C828="","","Waiting for payment")</f>
        <v/>
      </c>
      <c r="AN828" s="10"/>
      <c r="AO828" s="10"/>
      <c r="AP828" s="22" t="str">
        <f aca="false">IF(OR(C828="",I828="",K828=""),"",IF(K828="Monthly",EDATE(C828,ROUND(I828*SETTINGS!$I$8,0)),WORKDAY(C828,ROUND(I828*SETTINGS!$I$8,0))))</f>
        <v/>
      </c>
      <c r="AQ828" s="9" t="str">
        <f aca="true">IF(C828="","",IF(AND(AP828&lt;&gt;"",TODAY()&gt;=AP828),"Refi Ready",IF(TODAY()-C828&gt;=SETTINGS!$I$11,"Prospecting","Performing")))</f>
        <v/>
      </c>
      <c r="AR828" s="22" t="str">
        <f aca="false">IF(OR(C828="",I828="",K828=""),"",IF(K828="Monthly",EDATE(C828,I828),WORKDAY(C828,I828)))</f>
        <v/>
      </c>
      <c r="AS828" s="11"/>
      <c r="AT828" s="23" t="str">
        <f aca="true">IF(C828="","",IF(AM828="Clawed Back","CLAWED",IF(TODAY()&lt;=C828+SETTINGS!$I$2,"⚠ AT RISK","SAFE")))</f>
        <v/>
      </c>
      <c r="AU828" s="11"/>
      <c r="AW828" s="24" t="n">
        <f aca="false">AW827+IF(AND(C828&lt;&gt;"",AO828&lt;&gt;"",OR('REP COMMISSION'!$B$3="",T828='REP COMMISSION'!$B$3,W828='REP COMMISSION'!$B$3,Z828='REP COMMISSION'!$B$3)),1,0)</f>
        <v>0</v>
      </c>
      <c r="AX828" s="24" t="n">
        <f aca="false">AX827+IF(AND(C828&lt;&gt;"",OR(F828="LOC - INITIAL",F828="CONSOLIDATION - UPFRONT COMM",F828="REVERSE - TOTAL FUNDING")),1,0)</f>
        <v>0</v>
      </c>
    </row>
    <row r="829" customFormat="false" ht="15" hidden="false" customHeight="false" outlineLevel="0" collapsed="false">
      <c r="A829" s="25" t="str">
        <f aca="false">IF(C829&lt;&gt;"","F"&amp;COUNT($C$4:C829),"")</f>
        <v/>
      </c>
      <c r="B829" s="26" t="str">
        <f aca="false">IF(OR(F829="LOC - INITIAL",F829="CONSOLIDATION - UPFRONT COMM",F829="REVERSE - TOTAL FUNDING"),A829,"")</f>
        <v/>
      </c>
      <c r="C829" s="27"/>
      <c r="D829" s="28"/>
      <c r="E829" s="28"/>
      <c r="F829" s="28"/>
      <c r="G829" s="29"/>
      <c r="H829" s="30"/>
      <c r="I829" s="28"/>
      <c r="J829" s="31" t="str">
        <f aca="false">IF(AND(G829&lt;&gt;"",H829&lt;&gt;""),G829*H829,"")</f>
        <v/>
      </c>
      <c r="K829" s="28"/>
      <c r="L829" s="32"/>
      <c r="M829" s="32"/>
      <c r="N829" s="31" t="n">
        <f aca="false">IF(OR(G829="",M829=""),0,IF(M829&gt;100,M829,G829*IF(M829&gt;1,M829/100,M829)))</f>
        <v>0</v>
      </c>
      <c r="O829" s="31" t="str">
        <f aca="false">IF(G829="","",G829*IF(L829="",0,IF(L829&gt;1,L829/100,L829))+N829)</f>
        <v/>
      </c>
      <c r="P829" s="28"/>
      <c r="Q829" s="33" t="str">
        <f aca="false">IF(P829="","",IFERROR(VLOOKUP(P829,PARTNERS!$A$2:$B$30,2,0),""))</f>
        <v/>
      </c>
      <c r="R829" s="17" t="str">
        <f aca="false">IF(O829="","",IF(OR(P829="",Q829=""),0,(O829-N829)*IF(Q829&gt;1,Q829/100,Q829)))</f>
        <v/>
      </c>
      <c r="S829" s="31" t="str">
        <f aca="false">IF(O829="","",O829-R829)</f>
        <v/>
      </c>
      <c r="T829" s="28"/>
      <c r="U829" s="34" t="str">
        <f aca="false">IF(T829="","",IFERROR(VLOOKUP(T829,REPS!$A$2:$D$40,2,0),""))</f>
        <v/>
      </c>
      <c r="V829" s="31" t="str">
        <f aca="false">IF(O829="","",IF(U829="",0,O829*IF(U829&gt;1,U829/100,U829)))</f>
        <v/>
      </c>
      <c r="W829" s="28"/>
      <c r="X829" s="34" t="str">
        <f aca="false">IF(W829="","",IFERROR(VLOOKUP(W829,REPS!$A$2:$D$40,3,0),""))</f>
        <v/>
      </c>
      <c r="Y829" s="31" t="str">
        <f aca="false">IF(O829="","",IF(X829="",0,O829*IF(X829&gt;1,X829/100,X829)))</f>
        <v/>
      </c>
      <c r="Z829" s="28"/>
      <c r="AA829" s="34" t="str">
        <f aca="false">IF(Z829="","",IFERROR(VLOOKUP(Z829,REPS!$A$2:$D$40,4,0),""))</f>
        <v/>
      </c>
      <c r="AB829" s="31" t="str">
        <f aca="false">IF(O829="","",IF(AA829="",0,O829*IF(AA829&gt;1,AA829/100,AA829)))</f>
        <v/>
      </c>
      <c r="AC829" s="31" t="str">
        <f aca="false">IF(O829="","",V829+Y829+AB829)</f>
        <v/>
      </c>
      <c r="AD829" s="19" t="str">
        <f aca="false">IF(O829="","",O829-R829-AC829)</f>
        <v/>
      </c>
      <c r="AE829" s="20"/>
      <c r="AF829" s="27"/>
      <c r="AG829" s="21" t="n">
        <f aca="false">IF(OR(AE829="",AE829=0),0,AE829*IF(U829="",0,IF(U829&gt;1,U829/100,U829)))</f>
        <v>0</v>
      </c>
      <c r="AH829" s="21" t="n">
        <f aca="false">IF(OR(AE829="",AE829=0),0,AE829*IF(X829="",0,IF(X829&gt;1,X829/100,X829)))</f>
        <v>0</v>
      </c>
      <c r="AI829" s="21" t="n">
        <f aca="false">IF(OR(AE829="",AE829=0),0,AE829*IF(AA829="",0,IF(AA829&gt;1,AA829/100,AA829)))</f>
        <v>0</v>
      </c>
      <c r="AJ829" s="21" t="n">
        <f aca="false">AG829+AH829+AI829</f>
        <v>0</v>
      </c>
      <c r="AK829" s="21" t="n">
        <f aca="false">IF(OR(AE829="",AE829=0),0,AE829-AJ829)</f>
        <v>0</v>
      </c>
      <c r="AL829" s="19" t="str">
        <f aca="false">IF(AD829="","",AD829-AK829)</f>
        <v/>
      </c>
      <c r="AM829" s="26" t="str">
        <f aca="false">IF(C829="","","Waiting for payment")</f>
        <v/>
      </c>
      <c r="AN829" s="27"/>
      <c r="AO829" s="27"/>
      <c r="AP829" s="35" t="str">
        <f aca="false">IF(OR(C829="",I829="",K829=""),"",IF(K829="Monthly",EDATE(C829,ROUND(I829*SETTINGS!$I$8,0)),WORKDAY(C829,ROUND(I829*SETTINGS!$I$8,0))))</f>
        <v/>
      </c>
      <c r="AQ829" s="26" t="str">
        <f aca="true">IF(C829="","",IF(AND(AP829&lt;&gt;"",TODAY()&gt;=AP829),"Refi Ready",IF(TODAY()-C829&gt;=SETTINGS!$I$11,"Prospecting","Performing")))</f>
        <v/>
      </c>
      <c r="AR829" s="35" t="str">
        <f aca="false">IF(OR(C829="",I829="",K829=""),"",IF(K829="Monthly",EDATE(C829,I829),WORKDAY(C829,I829)))</f>
        <v/>
      </c>
      <c r="AS829" s="28"/>
      <c r="AT829" s="36" t="str">
        <f aca="true">IF(C829="","",IF(AM829="Clawed Back","CLAWED",IF(TODAY()&lt;=C829+SETTINGS!$I$2,"⚠ AT RISK","SAFE")))</f>
        <v/>
      </c>
      <c r="AU829" s="28"/>
      <c r="AW829" s="24" t="n">
        <f aca="false">AW828+IF(AND(C829&lt;&gt;"",AO829&lt;&gt;"",OR('REP COMMISSION'!$B$3="",T829='REP COMMISSION'!$B$3,W829='REP COMMISSION'!$B$3,Z829='REP COMMISSION'!$B$3)),1,0)</f>
        <v>0</v>
      </c>
      <c r="AX829" s="24" t="n">
        <f aca="false">AX828+IF(AND(C829&lt;&gt;"",OR(F829="LOC - INITIAL",F829="CONSOLIDATION - UPFRONT COMM",F829="REVERSE - TOTAL FUNDING")),1,0)</f>
        <v>0</v>
      </c>
    </row>
    <row r="830" customFormat="false" ht="15" hidden="false" customHeight="false" outlineLevel="0" collapsed="false">
      <c r="A830" s="8" t="str">
        <f aca="false">IF(C830&lt;&gt;"","F"&amp;COUNT($C$4:C830),"")</f>
        <v/>
      </c>
      <c r="B830" s="9" t="str">
        <f aca="false">IF(OR(F830="LOC - INITIAL",F830="CONSOLIDATION - UPFRONT COMM",F830="REVERSE - TOTAL FUNDING"),A830,"")</f>
        <v/>
      </c>
      <c r="C830" s="10"/>
      <c r="D830" s="11"/>
      <c r="E830" s="11"/>
      <c r="F830" s="11"/>
      <c r="G830" s="12"/>
      <c r="H830" s="13"/>
      <c r="I830" s="11"/>
      <c r="J830" s="14" t="str">
        <f aca="false">IF(AND(G830&lt;&gt;"",H830&lt;&gt;""),G830*H830,"")</f>
        <v/>
      </c>
      <c r="K830" s="11"/>
      <c r="L830" s="15"/>
      <c r="M830" s="15"/>
      <c r="N830" s="14" t="n">
        <f aca="false">IF(OR(G830="",M830=""),0,IF(M830&gt;100,M830,G830*IF(M830&gt;1,M830/100,M830)))</f>
        <v>0</v>
      </c>
      <c r="O830" s="14" t="str">
        <f aca="false">IF(G830="","",G830*IF(L830="",0,IF(L830&gt;1,L830/100,L830))+N830)</f>
        <v/>
      </c>
      <c r="P830" s="11"/>
      <c r="Q830" s="16" t="str">
        <f aca="false">IF(P830="","",IFERROR(VLOOKUP(P830,PARTNERS!$A$2:$B$30,2,0),""))</f>
        <v/>
      </c>
      <c r="R830" s="17" t="str">
        <f aca="false">IF(O830="","",IF(OR(P830="",Q830=""),0,(O830-N830)*IF(Q830&gt;1,Q830/100,Q830)))</f>
        <v/>
      </c>
      <c r="S830" s="14" t="str">
        <f aca="false">IF(O830="","",O830-R830)</f>
        <v/>
      </c>
      <c r="T830" s="11"/>
      <c r="U830" s="18" t="str">
        <f aca="false">IF(T830="","",IFERROR(VLOOKUP(T830,REPS!$A$2:$D$40,2,0),""))</f>
        <v/>
      </c>
      <c r="V830" s="14" t="str">
        <f aca="false">IF(O830="","",IF(U830="",0,O830*IF(U830&gt;1,U830/100,U830)))</f>
        <v/>
      </c>
      <c r="W830" s="11"/>
      <c r="X830" s="18" t="str">
        <f aca="false">IF(W830="","",IFERROR(VLOOKUP(W830,REPS!$A$2:$D$40,3,0),""))</f>
        <v/>
      </c>
      <c r="Y830" s="14" t="str">
        <f aca="false">IF(O830="","",IF(X830="",0,O830*IF(X830&gt;1,X830/100,X830)))</f>
        <v/>
      </c>
      <c r="Z830" s="11"/>
      <c r="AA830" s="18" t="str">
        <f aca="false">IF(Z830="","",IFERROR(VLOOKUP(Z830,REPS!$A$2:$D$40,4,0),""))</f>
        <v/>
      </c>
      <c r="AB830" s="14" t="str">
        <f aca="false">IF(O830="","",IF(AA830="",0,O830*IF(AA830&gt;1,AA830/100,AA830)))</f>
        <v/>
      </c>
      <c r="AC830" s="14" t="str">
        <f aca="false">IF(O830="","",V830+Y830+AB830)</f>
        <v/>
      </c>
      <c r="AD830" s="19" t="str">
        <f aca="false">IF(O830="","",O830-R830-AC830)</f>
        <v/>
      </c>
      <c r="AE830" s="20"/>
      <c r="AF830" s="10"/>
      <c r="AG830" s="21" t="n">
        <f aca="false">IF(OR(AE830="",AE830=0),0,AE830*IF(U830="",0,IF(U830&gt;1,U830/100,U830)))</f>
        <v>0</v>
      </c>
      <c r="AH830" s="21" t="n">
        <f aca="false">IF(OR(AE830="",AE830=0),0,AE830*IF(X830="",0,IF(X830&gt;1,X830/100,X830)))</f>
        <v>0</v>
      </c>
      <c r="AI830" s="21" t="n">
        <f aca="false">IF(OR(AE830="",AE830=0),0,AE830*IF(AA830="",0,IF(AA830&gt;1,AA830/100,AA830)))</f>
        <v>0</v>
      </c>
      <c r="AJ830" s="21" t="n">
        <f aca="false">AG830+AH830+AI830</f>
        <v>0</v>
      </c>
      <c r="AK830" s="21" t="n">
        <f aca="false">IF(OR(AE830="",AE830=0),0,AE830-AJ830)</f>
        <v>0</v>
      </c>
      <c r="AL830" s="19" t="str">
        <f aca="false">IF(AD830="","",AD830-AK830)</f>
        <v/>
      </c>
      <c r="AM830" s="9" t="str">
        <f aca="false">IF(C830="","","Waiting for payment")</f>
        <v/>
      </c>
      <c r="AN830" s="10"/>
      <c r="AO830" s="10"/>
      <c r="AP830" s="22" t="str">
        <f aca="false">IF(OR(C830="",I830="",K830=""),"",IF(K830="Monthly",EDATE(C830,ROUND(I830*SETTINGS!$I$8,0)),WORKDAY(C830,ROUND(I830*SETTINGS!$I$8,0))))</f>
        <v/>
      </c>
      <c r="AQ830" s="9" t="str">
        <f aca="true">IF(C830="","",IF(AND(AP830&lt;&gt;"",TODAY()&gt;=AP830),"Refi Ready",IF(TODAY()-C830&gt;=SETTINGS!$I$11,"Prospecting","Performing")))</f>
        <v/>
      </c>
      <c r="AR830" s="22" t="str">
        <f aca="false">IF(OR(C830="",I830="",K830=""),"",IF(K830="Monthly",EDATE(C830,I830),WORKDAY(C830,I830)))</f>
        <v/>
      </c>
      <c r="AS830" s="11"/>
      <c r="AT830" s="23" t="str">
        <f aca="true">IF(C830="","",IF(AM830="Clawed Back","CLAWED",IF(TODAY()&lt;=C830+SETTINGS!$I$2,"⚠ AT RISK","SAFE")))</f>
        <v/>
      </c>
      <c r="AU830" s="11"/>
      <c r="AW830" s="24" t="n">
        <f aca="false">AW829+IF(AND(C830&lt;&gt;"",AO830&lt;&gt;"",OR('REP COMMISSION'!$B$3="",T830='REP COMMISSION'!$B$3,W830='REP COMMISSION'!$B$3,Z830='REP COMMISSION'!$B$3)),1,0)</f>
        <v>0</v>
      </c>
      <c r="AX830" s="24" t="n">
        <f aca="false">AX829+IF(AND(C830&lt;&gt;"",OR(F830="LOC - INITIAL",F830="CONSOLIDATION - UPFRONT COMM",F830="REVERSE - TOTAL FUNDING")),1,0)</f>
        <v>0</v>
      </c>
    </row>
    <row r="831" customFormat="false" ht="15" hidden="false" customHeight="false" outlineLevel="0" collapsed="false">
      <c r="A831" s="25" t="str">
        <f aca="false">IF(C831&lt;&gt;"","F"&amp;COUNT($C$4:C831),"")</f>
        <v/>
      </c>
      <c r="B831" s="26" t="str">
        <f aca="false">IF(OR(F831="LOC - INITIAL",F831="CONSOLIDATION - UPFRONT COMM",F831="REVERSE - TOTAL FUNDING"),A831,"")</f>
        <v/>
      </c>
      <c r="C831" s="27"/>
      <c r="D831" s="28"/>
      <c r="E831" s="28"/>
      <c r="F831" s="28"/>
      <c r="G831" s="29"/>
      <c r="H831" s="30"/>
      <c r="I831" s="28"/>
      <c r="J831" s="31" t="str">
        <f aca="false">IF(AND(G831&lt;&gt;"",H831&lt;&gt;""),G831*H831,"")</f>
        <v/>
      </c>
      <c r="K831" s="28"/>
      <c r="L831" s="32"/>
      <c r="M831" s="32"/>
      <c r="N831" s="31" t="n">
        <f aca="false">IF(OR(G831="",M831=""),0,IF(M831&gt;100,M831,G831*IF(M831&gt;1,M831/100,M831)))</f>
        <v>0</v>
      </c>
      <c r="O831" s="31" t="str">
        <f aca="false">IF(G831="","",G831*IF(L831="",0,IF(L831&gt;1,L831/100,L831))+N831)</f>
        <v/>
      </c>
      <c r="P831" s="28"/>
      <c r="Q831" s="33" t="str">
        <f aca="false">IF(P831="","",IFERROR(VLOOKUP(P831,PARTNERS!$A$2:$B$30,2,0),""))</f>
        <v/>
      </c>
      <c r="R831" s="17" t="str">
        <f aca="false">IF(O831="","",IF(OR(P831="",Q831=""),0,(O831-N831)*IF(Q831&gt;1,Q831/100,Q831)))</f>
        <v/>
      </c>
      <c r="S831" s="31" t="str">
        <f aca="false">IF(O831="","",O831-R831)</f>
        <v/>
      </c>
      <c r="T831" s="28"/>
      <c r="U831" s="34" t="str">
        <f aca="false">IF(T831="","",IFERROR(VLOOKUP(T831,REPS!$A$2:$D$40,2,0),""))</f>
        <v/>
      </c>
      <c r="V831" s="31" t="str">
        <f aca="false">IF(O831="","",IF(U831="",0,O831*IF(U831&gt;1,U831/100,U831)))</f>
        <v/>
      </c>
      <c r="W831" s="28"/>
      <c r="X831" s="34" t="str">
        <f aca="false">IF(W831="","",IFERROR(VLOOKUP(W831,REPS!$A$2:$D$40,3,0),""))</f>
        <v/>
      </c>
      <c r="Y831" s="31" t="str">
        <f aca="false">IF(O831="","",IF(X831="",0,O831*IF(X831&gt;1,X831/100,X831)))</f>
        <v/>
      </c>
      <c r="Z831" s="28"/>
      <c r="AA831" s="34" t="str">
        <f aca="false">IF(Z831="","",IFERROR(VLOOKUP(Z831,REPS!$A$2:$D$40,4,0),""))</f>
        <v/>
      </c>
      <c r="AB831" s="31" t="str">
        <f aca="false">IF(O831="","",IF(AA831="",0,O831*IF(AA831&gt;1,AA831/100,AA831)))</f>
        <v/>
      </c>
      <c r="AC831" s="31" t="str">
        <f aca="false">IF(O831="","",V831+Y831+AB831)</f>
        <v/>
      </c>
      <c r="AD831" s="19" t="str">
        <f aca="false">IF(O831="","",O831-R831-AC831)</f>
        <v/>
      </c>
      <c r="AE831" s="20"/>
      <c r="AF831" s="27"/>
      <c r="AG831" s="21" t="n">
        <f aca="false">IF(OR(AE831="",AE831=0),0,AE831*IF(U831="",0,IF(U831&gt;1,U831/100,U831)))</f>
        <v>0</v>
      </c>
      <c r="AH831" s="21" t="n">
        <f aca="false">IF(OR(AE831="",AE831=0),0,AE831*IF(X831="",0,IF(X831&gt;1,X831/100,X831)))</f>
        <v>0</v>
      </c>
      <c r="AI831" s="21" t="n">
        <f aca="false">IF(OR(AE831="",AE831=0),0,AE831*IF(AA831="",0,IF(AA831&gt;1,AA831/100,AA831)))</f>
        <v>0</v>
      </c>
      <c r="AJ831" s="21" t="n">
        <f aca="false">AG831+AH831+AI831</f>
        <v>0</v>
      </c>
      <c r="AK831" s="21" t="n">
        <f aca="false">IF(OR(AE831="",AE831=0),0,AE831-AJ831)</f>
        <v>0</v>
      </c>
      <c r="AL831" s="19" t="str">
        <f aca="false">IF(AD831="","",AD831-AK831)</f>
        <v/>
      </c>
      <c r="AM831" s="26" t="str">
        <f aca="false">IF(C831="","","Waiting for payment")</f>
        <v/>
      </c>
      <c r="AN831" s="27"/>
      <c r="AO831" s="27"/>
      <c r="AP831" s="35" t="str">
        <f aca="false">IF(OR(C831="",I831="",K831=""),"",IF(K831="Monthly",EDATE(C831,ROUND(I831*SETTINGS!$I$8,0)),WORKDAY(C831,ROUND(I831*SETTINGS!$I$8,0))))</f>
        <v/>
      </c>
      <c r="AQ831" s="26" t="str">
        <f aca="true">IF(C831="","",IF(AND(AP831&lt;&gt;"",TODAY()&gt;=AP831),"Refi Ready",IF(TODAY()-C831&gt;=SETTINGS!$I$11,"Prospecting","Performing")))</f>
        <v/>
      </c>
      <c r="AR831" s="35" t="str">
        <f aca="false">IF(OR(C831="",I831="",K831=""),"",IF(K831="Monthly",EDATE(C831,I831),WORKDAY(C831,I831)))</f>
        <v/>
      </c>
      <c r="AS831" s="28"/>
      <c r="AT831" s="36" t="str">
        <f aca="true">IF(C831="","",IF(AM831="Clawed Back","CLAWED",IF(TODAY()&lt;=C831+SETTINGS!$I$2,"⚠ AT RISK","SAFE")))</f>
        <v/>
      </c>
      <c r="AU831" s="28"/>
      <c r="AW831" s="24" t="n">
        <f aca="false">AW830+IF(AND(C831&lt;&gt;"",AO831&lt;&gt;"",OR('REP COMMISSION'!$B$3="",T831='REP COMMISSION'!$B$3,W831='REP COMMISSION'!$B$3,Z831='REP COMMISSION'!$B$3)),1,0)</f>
        <v>0</v>
      </c>
      <c r="AX831" s="24" t="n">
        <f aca="false">AX830+IF(AND(C831&lt;&gt;"",OR(F831="LOC - INITIAL",F831="CONSOLIDATION - UPFRONT COMM",F831="REVERSE - TOTAL FUNDING")),1,0)</f>
        <v>0</v>
      </c>
    </row>
    <row r="832" customFormat="false" ht="15" hidden="false" customHeight="false" outlineLevel="0" collapsed="false">
      <c r="A832" s="8" t="str">
        <f aca="false">IF(C832&lt;&gt;"","F"&amp;COUNT($C$4:C832),"")</f>
        <v/>
      </c>
      <c r="B832" s="9" t="str">
        <f aca="false">IF(OR(F832="LOC - INITIAL",F832="CONSOLIDATION - UPFRONT COMM",F832="REVERSE - TOTAL FUNDING"),A832,"")</f>
        <v/>
      </c>
      <c r="C832" s="10"/>
      <c r="D832" s="11"/>
      <c r="E832" s="11"/>
      <c r="F832" s="11"/>
      <c r="G832" s="12"/>
      <c r="H832" s="13"/>
      <c r="I832" s="11"/>
      <c r="J832" s="14" t="str">
        <f aca="false">IF(AND(G832&lt;&gt;"",H832&lt;&gt;""),G832*H832,"")</f>
        <v/>
      </c>
      <c r="K832" s="11"/>
      <c r="L832" s="15"/>
      <c r="M832" s="15"/>
      <c r="N832" s="14" t="n">
        <f aca="false">IF(OR(G832="",M832=""),0,IF(M832&gt;100,M832,G832*IF(M832&gt;1,M832/100,M832)))</f>
        <v>0</v>
      </c>
      <c r="O832" s="14" t="str">
        <f aca="false">IF(G832="","",G832*IF(L832="",0,IF(L832&gt;1,L832/100,L832))+N832)</f>
        <v/>
      </c>
      <c r="P832" s="11"/>
      <c r="Q832" s="16" t="str">
        <f aca="false">IF(P832="","",IFERROR(VLOOKUP(P832,PARTNERS!$A$2:$B$30,2,0),""))</f>
        <v/>
      </c>
      <c r="R832" s="17" t="str">
        <f aca="false">IF(O832="","",IF(OR(P832="",Q832=""),0,(O832-N832)*IF(Q832&gt;1,Q832/100,Q832)))</f>
        <v/>
      </c>
      <c r="S832" s="14" t="str">
        <f aca="false">IF(O832="","",O832-R832)</f>
        <v/>
      </c>
      <c r="T832" s="11"/>
      <c r="U832" s="18" t="str">
        <f aca="false">IF(T832="","",IFERROR(VLOOKUP(T832,REPS!$A$2:$D$40,2,0),""))</f>
        <v/>
      </c>
      <c r="V832" s="14" t="str">
        <f aca="false">IF(O832="","",IF(U832="",0,O832*IF(U832&gt;1,U832/100,U832)))</f>
        <v/>
      </c>
      <c r="W832" s="11"/>
      <c r="X832" s="18" t="str">
        <f aca="false">IF(W832="","",IFERROR(VLOOKUP(W832,REPS!$A$2:$D$40,3,0),""))</f>
        <v/>
      </c>
      <c r="Y832" s="14" t="str">
        <f aca="false">IF(O832="","",IF(X832="",0,O832*IF(X832&gt;1,X832/100,X832)))</f>
        <v/>
      </c>
      <c r="Z832" s="11"/>
      <c r="AA832" s="18" t="str">
        <f aca="false">IF(Z832="","",IFERROR(VLOOKUP(Z832,REPS!$A$2:$D$40,4,0),""))</f>
        <v/>
      </c>
      <c r="AB832" s="14" t="str">
        <f aca="false">IF(O832="","",IF(AA832="",0,O832*IF(AA832&gt;1,AA832/100,AA832)))</f>
        <v/>
      </c>
      <c r="AC832" s="14" t="str">
        <f aca="false">IF(O832="","",V832+Y832+AB832)</f>
        <v/>
      </c>
      <c r="AD832" s="19" t="str">
        <f aca="false">IF(O832="","",O832-R832-AC832)</f>
        <v/>
      </c>
      <c r="AE832" s="20"/>
      <c r="AF832" s="10"/>
      <c r="AG832" s="21" t="n">
        <f aca="false">IF(OR(AE832="",AE832=0),0,AE832*IF(U832="",0,IF(U832&gt;1,U832/100,U832)))</f>
        <v>0</v>
      </c>
      <c r="AH832" s="21" t="n">
        <f aca="false">IF(OR(AE832="",AE832=0),0,AE832*IF(X832="",0,IF(X832&gt;1,X832/100,X832)))</f>
        <v>0</v>
      </c>
      <c r="AI832" s="21" t="n">
        <f aca="false">IF(OR(AE832="",AE832=0),0,AE832*IF(AA832="",0,IF(AA832&gt;1,AA832/100,AA832)))</f>
        <v>0</v>
      </c>
      <c r="AJ832" s="21" t="n">
        <f aca="false">AG832+AH832+AI832</f>
        <v>0</v>
      </c>
      <c r="AK832" s="21" t="n">
        <f aca="false">IF(OR(AE832="",AE832=0),0,AE832-AJ832)</f>
        <v>0</v>
      </c>
      <c r="AL832" s="19" t="str">
        <f aca="false">IF(AD832="","",AD832-AK832)</f>
        <v/>
      </c>
      <c r="AM832" s="9" t="str">
        <f aca="false">IF(C832="","","Waiting for payment")</f>
        <v/>
      </c>
      <c r="AN832" s="10"/>
      <c r="AO832" s="10"/>
      <c r="AP832" s="22" t="str">
        <f aca="false">IF(OR(C832="",I832="",K832=""),"",IF(K832="Monthly",EDATE(C832,ROUND(I832*SETTINGS!$I$8,0)),WORKDAY(C832,ROUND(I832*SETTINGS!$I$8,0))))</f>
        <v/>
      </c>
      <c r="AQ832" s="9" t="str">
        <f aca="true">IF(C832="","",IF(AND(AP832&lt;&gt;"",TODAY()&gt;=AP832),"Refi Ready",IF(TODAY()-C832&gt;=SETTINGS!$I$11,"Prospecting","Performing")))</f>
        <v/>
      </c>
      <c r="AR832" s="22" t="str">
        <f aca="false">IF(OR(C832="",I832="",K832=""),"",IF(K832="Monthly",EDATE(C832,I832),WORKDAY(C832,I832)))</f>
        <v/>
      </c>
      <c r="AS832" s="11"/>
      <c r="AT832" s="23" t="str">
        <f aca="true">IF(C832="","",IF(AM832="Clawed Back","CLAWED",IF(TODAY()&lt;=C832+SETTINGS!$I$2,"⚠ AT RISK","SAFE")))</f>
        <v/>
      </c>
      <c r="AU832" s="11"/>
      <c r="AW832" s="24" t="n">
        <f aca="false">AW831+IF(AND(C832&lt;&gt;"",AO832&lt;&gt;"",OR('REP COMMISSION'!$B$3="",T832='REP COMMISSION'!$B$3,W832='REP COMMISSION'!$B$3,Z832='REP COMMISSION'!$B$3)),1,0)</f>
        <v>0</v>
      </c>
      <c r="AX832" s="24" t="n">
        <f aca="false">AX831+IF(AND(C832&lt;&gt;"",OR(F832="LOC - INITIAL",F832="CONSOLIDATION - UPFRONT COMM",F832="REVERSE - TOTAL FUNDING")),1,0)</f>
        <v>0</v>
      </c>
    </row>
    <row r="833" customFormat="false" ht="15" hidden="false" customHeight="false" outlineLevel="0" collapsed="false">
      <c r="A833" s="25" t="str">
        <f aca="false">IF(C833&lt;&gt;"","F"&amp;COUNT($C$4:C833),"")</f>
        <v/>
      </c>
      <c r="B833" s="26" t="str">
        <f aca="false">IF(OR(F833="LOC - INITIAL",F833="CONSOLIDATION - UPFRONT COMM",F833="REVERSE - TOTAL FUNDING"),A833,"")</f>
        <v/>
      </c>
      <c r="C833" s="27"/>
      <c r="D833" s="28"/>
      <c r="E833" s="28"/>
      <c r="F833" s="28"/>
      <c r="G833" s="29"/>
      <c r="H833" s="30"/>
      <c r="I833" s="28"/>
      <c r="J833" s="31" t="str">
        <f aca="false">IF(AND(G833&lt;&gt;"",H833&lt;&gt;""),G833*H833,"")</f>
        <v/>
      </c>
      <c r="K833" s="28"/>
      <c r="L833" s="32"/>
      <c r="M833" s="32"/>
      <c r="N833" s="31" t="n">
        <f aca="false">IF(OR(G833="",M833=""),0,IF(M833&gt;100,M833,G833*IF(M833&gt;1,M833/100,M833)))</f>
        <v>0</v>
      </c>
      <c r="O833" s="31" t="str">
        <f aca="false">IF(G833="","",G833*IF(L833="",0,IF(L833&gt;1,L833/100,L833))+N833)</f>
        <v/>
      </c>
      <c r="P833" s="28"/>
      <c r="Q833" s="33" t="str">
        <f aca="false">IF(P833="","",IFERROR(VLOOKUP(P833,PARTNERS!$A$2:$B$30,2,0),""))</f>
        <v/>
      </c>
      <c r="R833" s="17" t="str">
        <f aca="false">IF(O833="","",IF(OR(P833="",Q833=""),0,(O833-N833)*IF(Q833&gt;1,Q833/100,Q833)))</f>
        <v/>
      </c>
      <c r="S833" s="31" t="str">
        <f aca="false">IF(O833="","",O833-R833)</f>
        <v/>
      </c>
      <c r="T833" s="28"/>
      <c r="U833" s="34" t="str">
        <f aca="false">IF(T833="","",IFERROR(VLOOKUP(T833,REPS!$A$2:$D$40,2,0),""))</f>
        <v/>
      </c>
      <c r="V833" s="31" t="str">
        <f aca="false">IF(O833="","",IF(U833="",0,O833*IF(U833&gt;1,U833/100,U833)))</f>
        <v/>
      </c>
      <c r="W833" s="28"/>
      <c r="X833" s="34" t="str">
        <f aca="false">IF(W833="","",IFERROR(VLOOKUP(W833,REPS!$A$2:$D$40,3,0),""))</f>
        <v/>
      </c>
      <c r="Y833" s="31" t="str">
        <f aca="false">IF(O833="","",IF(X833="",0,O833*IF(X833&gt;1,X833/100,X833)))</f>
        <v/>
      </c>
      <c r="Z833" s="28"/>
      <c r="AA833" s="34" t="str">
        <f aca="false">IF(Z833="","",IFERROR(VLOOKUP(Z833,REPS!$A$2:$D$40,4,0),""))</f>
        <v/>
      </c>
      <c r="AB833" s="31" t="str">
        <f aca="false">IF(O833="","",IF(AA833="",0,O833*IF(AA833&gt;1,AA833/100,AA833)))</f>
        <v/>
      </c>
      <c r="AC833" s="31" t="str">
        <f aca="false">IF(O833="","",V833+Y833+AB833)</f>
        <v/>
      </c>
      <c r="AD833" s="19" t="str">
        <f aca="false">IF(O833="","",O833-R833-AC833)</f>
        <v/>
      </c>
      <c r="AE833" s="20"/>
      <c r="AF833" s="27"/>
      <c r="AG833" s="21" t="n">
        <f aca="false">IF(OR(AE833="",AE833=0),0,AE833*IF(U833="",0,IF(U833&gt;1,U833/100,U833)))</f>
        <v>0</v>
      </c>
      <c r="AH833" s="21" t="n">
        <f aca="false">IF(OR(AE833="",AE833=0),0,AE833*IF(X833="",0,IF(X833&gt;1,X833/100,X833)))</f>
        <v>0</v>
      </c>
      <c r="AI833" s="21" t="n">
        <f aca="false">IF(OR(AE833="",AE833=0),0,AE833*IF(AA833="",0,IF(AA833&gt;1,AA833/100,AA833)))</f>
        <v>0</v>
      </c>
      <c r="AJ833" s="21" t="n">
        <f aca="false">AG833+AH833+AI833</f>
        <v>0</v>
      </c>
      <c r="AK833" s="21" t="n">
        <f aca="false">IF(OR(AE833="",AE833=0),0,AE833-AJ833)</f>
        <v>0</v>
      </c>
      <c r="AL833" s="19" t="str">
        <f aca="false">IF(AD833="","",AD833-AK833)</f>
        <v/>
      </c>
      <c r="AM833" s="26" t="str">
        <f aca="false">IF(C833="","","Waiting for payment")</f>
        <v/>
      </c>
      <c r="AN833" s="27"/>
      <c r="AO833" s="27"/>
      <c r="AP833" s="35" t="str">
        <f aca="false">IF(OR(C833="",I833="",K833=""),"",IF(K833="Monthly",EDATE(C833,ROUND(I833*SETTINGS!$I$8,0)),WORKDAY(C833,ROUND(I833*SETTINGS!$I$8,0))))</f>
        <v/>
      </c>
      <c r="AQ833" s="26" t="str">
        <f aca="true">IF(C833="","",IF(AND(AP833&lt;&gt;"",TODAY()&gt;=AP833),"Refi Ready",IF(TODAY()-C833&gt;=SETTINGS!$I$11,"Prospecting","Performing")))</f>
        <v/>
      </c>
      <c r="AR833" s="35" t="str">
        <f aca="false">IF(OR(C833="",I833="",K833=""),"",IF(K833="Monthly",EDATE(C833,I833),WORKDAY(C833,I833)))</f>
        <v/>
      </c>
      <c r="AS833" s="28"/>
      <c r="AT833" s="36" t="str">
        <f aca="true">IF(C833="","",IF(AM833="Clawed Back","CLAWED",IF(TODAY()&lt;=C833+SETTINGS!$I$2,"⚠ AT RISK","SAFE")))</f>
        <v/>
      </c>
      <c r="AU833" s="28"/>
      <c r="AW833" s="24" t="n">
        <f aca="false">AW832+IF(AND(C833&lt;&gt;"",AO833&lt;&gt;"",OR('REP COMMISSION'!$B$3="",T833='REP COMMISSION'!$B$3,W833='REP COMMISSION'!$B$3,Z833='REP COMMISSION'!$B$3)),1,0)</f>
        <v>0</v>
      </c>
      <c r="AX833" s="24" t="n">
        <f aca="false">AX832+IF(AND(C833&lt;&gt;"",OR(F833="LOC - INITIAL",F833="CONSOLIDATION - UPFRONT COMM",F833="REVERSE - TOTAL FUNDING")),1,0)</f>
        <v>0</v>
      </c>
    </row>
    <row r="834" customFormat="false" ht="15" hidden="false" customHeight="false" outlineLevel="0" collapsed="false">
      <c r="A834" s="8" t="str">
        <f aca="false">IF(C834&lt;&gt;"","F"&amp;COUNT($C$4:C834),"")</f>
        <v/>
      </c>
      <c r="B834" s="9" t="str">
        <f aca="false">IF(OR(F834="LOC - INITIAL",F834="CONSOLIDATION - UPFRONT COMM",F834="REVERSE - TOTAL FUNDING"),A834,"")</f>
        <v/>
      </c>
      <c r="C834" s="10"/>
      <c r="D834" s="11"/>
      <c r="E834" s="11"/>
      <c r="F834" s="11"/>
      <c r="G834" s="12"/>
      <c r="H834" s="13"/>
      <c r="I834" s="11"/>
      <c r="J834" s="14" t="str">
        <f aca="false">IF(AND(G834&lt;&gt;"",H834&lt;&gt;""),G834*H834,"")</f>
        <v/>
      </c>
      <c r="K834" s="11"/>
      <c r="L834" s="15"/>
      <c r="M834" s="15"/>
      <c r="N834" s="14" t="n">
        <f aca="false">IF(OR(G834="",M834=""),0,IF(M834&gt;100,M834,G834*IF(M834&gt;1,M834/100,M834)))</f>
        <v>0</v>
      </c>
      <c r="O834" s="14" t="str">
        <f aca="false">IF(G834="","",G834*IF(L834="",0,IF(L834&gt;1,L834/100,L834))+N834)</f>
        <v/>
      </c>
      <c r="P834" s="11"/>
      <c r="Q834" s="16" t="str">
        <f aca="false">IF(P834="","",IFERROR(VLOOKUP(P834,PARTNERS!$A$2:$B$30,2,0),""))</f>
        <v/>
      </c>
      <c r="R834" s="17" t="str">
        <f aca="false">IF(O834="","",IF(OR(P834="",Q834=""),0,(O834-N834)*IF(Q834&gt;1,Q834/100,Q834)))</f>
        <v/>
      </c>
      <c r="S834" s="14" t="str">
        <f aca="false">IF(O834="","",O834-R834)</f>
        <v/>
      </c>
      <c r="T834" s="11"/>
      <c r="U834" s="18" t="str">
        <f aca="false">IF(T834="","",IFERROR(VLOOKUP(T834,REPS!$A$2:$D$40,2,0),""))</f>
        <v/>
      </c>
      <c r="V834" s="14" t="str">
        <f aca="false">IF(O834="","",IF(U834="",0,O834*IF(U834&gt;1,U834/100,U834)))</f>
        <v/>
      </c>
      <c r="W834" s="11"/>
      <c r="X834" s="18" t="str">
        <f aca="false">IF(W834="","",IFERROR(VLOOKUP(W834,REPS!$A$2:$D$40,3,0),""))</f>
        <v/>
      </c>
      <c r="Y834" s="14" t="str">
        <f aca="false">IF(O834="","",IF(X834="",0,O834*IF(X834&gt;1,X834/100,X834)))</f>
        <v/>
      </c>
      <c r="Z834" s="11"/>
      <c r="AA834" s="18" t="str">
        <f aca="false">IF(Z834="","",IFERROR(VLOOKUP(Z834,REPS!$A$2:$D$40,4,0),""))</f>
        <v/>
      </c>
      <c r="AB834" s="14" t="str">
        <f aca="false">IF(O834="","",IF(AA834="",0,O834*IF(AA834&gt;1,AA834/100,AA834)))</f>
        <v/>
      </c>
      <c r="AC834" s="14" t="str">
        <f aca="false">IF(O834="","",V834+Y834+AB834)</f>
        <v/>
      </c>
      <c r="AD834" s="19" t="str">
        <f aca="false">IF(O834="","",O834-R834-AC834)</f>
        <v/>
      </c>
      <c r="AE834" s="20"/>
      <c r="AF834" s="10"/>
      <c r="AG834" s="21" t="n">
        <f aca="false">IF(OR(AE834="",AE834=0),0,AE834*IF(U834="",0,IF(U834&gt;1,U834/100,U834)))</f>
        <v>0</v>
      </c>
      <c r="AH834" s="21" t="n">
        <f aca="false">IF(OR(AE834="",AE834=0),0,AE834*IF(X834="",0,IF(X834&gt;1,X834/100,X834)))</f>
        <v>0</v>
      </c>
      <c r="AI834" s="21" t="n">
        <f aca="false">IF(OR(AE834="",AE834=0),0,AE834*IF(AA834="",0,IF(AA834&gt;1,AA834/100,AA834)))</f>
        <v>0</v>
      </c>
      <c r="AJ834" s="21" t="n">
        <f aca="false">AG834+AH834+AI834</f>
        <v>0</v>
      </c>
      <c r="AK834" s="21" t="n">
        <f aca="false">IF(OR(AE834="",AE834=0),0,AE834-AJ834)</f>
        <v>0</v>
      </c>
      <c r="AL834" s="19" t="str">
        <f aca="false">IF(AD834="","",AD834-AK834)</f>
        <v/>
      </c>
      <c r="AM834" s="9" t="str">
        <f aca="false">IF(C834="","","Waiting for payment")</f>
        <v/>
      </c>
      <c r="AN834" s="10"/>
      <c r="AO834" s="10"/>
      <c r="AP834" s="22" t="str">
        <f aca="false">IF(OR(C834="",I834="",K834=""),"",IF(K834="Monthly",EDATE(C834,ROUND(I834*SETTINGS!$I$8,0)),WORKDAY(C834,ROUND(I834*SETTINGS!$I$8,0))))</f>
        <v/>
      </c>
      <c r="AQ834" s="9" t="str">
        <f aca="true">IF(C834="","",IF(AND(AP834&lt;&gt;"",TODAY()&gt;=AP834),"Refi Ready",IF(TODAY()-C834&gt;=SETTINGS!$I$11,"Prospecting","Performing")))</f>
        <v/>
      </c>
      <c r="AR834" s="22" t="str">
        <f aca="false">IF(OR(C834="",I834="",K834=""),"",IF(K834="Monthly",EDATE(C834,I834),WORKDAY(C834,I834)))</f>
        <v/>
      </c>
      <c r="AS834" s="11"/>
      <c r="AT834" s="23" t="str">
        <f aca="true">IF(C834="","",IF(AM834="Clawed Back","CLAWED",IF(TODAY()&lt;=C834+SETTINGS!$I$2,"⚠ AT RISK","SAFE")))</f>
        <v/>
      </c>
      <c r="AU834" s="11"/>
      <c r="AW834" s="24" t="n">
        <f aca="false">AW833+IF(AND(C834&lt;&gt;"",AO834&lt;&gt;"",OR('REP COMMISSION'!$B$3="",T834='REP COMMISSION'!$B$3,W834='REP COMMISSION'!$B$3,Z834='REP COMMISSION'!$B$3)),1,0)</f>
        <v>0</v>
      </c>
      <c r="AX834" s="24" t="n">
        <f aca="false">AX833+IF(AND(C834&lt;&gt;"",OR(F834="LOC - INITIAL",F834="CONSOLIDATION - UPFRONT COMM",F834="REVERSE - TOTAL FUNDING")),1,0)</f>
        <v>0</v>
      </c>
    </row>
    <row r="835" customFormat="false" ht="15" hidden="false" customHeight="false" outlineLevel="0" collapsed="false">
      <c r="A835" s="25" t="str">
        <f aca="false">IF(C835&lt;&gt;"","F"&amp;COUNT($C$4:C835),"")</f>
        <v/>
      </c>
      <c r="B835" s="26" t="str">
        <f aca="false">IF(OR(F835="LOC - INITIAL",F835="CONSOLIDATION - UPFRONT COMM",F835="REVERSE - TOTAL FUNDING"),A835,"")</f>
        <v/>
      </c>
      <c r="C835" s="27"/>
      <c r="D835" s="28"/>
      <c r="E835" s="28"/>
      <c r="F835" s="28"/>
      <c r="G835" s="29"/>
      <c r="H835" s="30"/>
      <c r="I835" s="28"/>
      <c r="J835" s="31" t="str">
        <f aca="false">IF(AND(G835&lt;&gt;"",H835&lt;&gt;""),G835*H835,"")</f>
        <v/>
      </c>
      <c r="K835" s="28"/>
      <c r="L835" s="32"/>
      <c r="M835" s="32"/>
      <c r="N835" s="31" t="n">
        <f aca="false">IF(OR(G835="",M835=""),0,IF(M835&gt;100,M835,G835*IF(M835&gt;1,M835/100,M835)))</f>
        <v>0</v>
      </c>
      <c r="O835" s="31" t="str">
        <f aca="false">IF(G835="","",G835*IF(L835="",0,IF(L835&gt;1,L835/100,L835))+N835)</f>
        <v/>
      </c>
      <c r="P835" s="28"/>
      <c r="Q835" s="33" t="str">
        <f aca="false">IF(P835="","",IFERROR(VLOOKUP(P835,PARTNERS!$A$2:$B$30,2,0),""))</f>
        <v/>
      </c>
      <c r="R835" s="17" t="str">
        <f aca="false">IF(O835="","",IF(OR(P835="",Q835=""),0,(O835-N835)*IF(Q835&gt;1,Q835/100,Q835)))</f>
        <v/>
      </c>
      <c r="S835" s="31" t="str">
        <f aca="false">IF(O835="","",O835-R835)</f>
        <v/>
      </c>
      <c r="T835" s="28"/>
      <c r="U835" s="34" t="str">
        <f aca="false">IF(T835="","",IFERROR(VLOOKUP(T835,REPS!$A$2:$D$40,2,0),""))</f>
        <v/>
      </c>
      <c r="V835" s="31" t="str">
        <f aca="false">IF(O835="","",IF(U835="",0,O835*IF(U835&gt;1,U835/100,U835)))</f>
        <v/>
      </c>
      <c r="W835" s="28"/>
      <c r="X835" s="34" t="str">
        <f aca="false">IF(W835="","",IFERROR(VLOOKUP(W835,REPS!$A$2:$D$40,3,0),""))</f>
        <v/>
      </c>
      <c r="Y835" s="31" t="str">
        <f aca="false">IF(O835="","",IF(X835="",0,O835*IF(X835&gt;1,X835/100,X835)))</f>
        <v/>
      </c>
      <c r="Z835" s="28"/>
      <c r="AA835" s="34" t="str">
        <f aca="false">IF(Z835="","",IFERROR(VLOOKUP(Z835,REPS!$A$2:$D$40,4,0),""))</f>
        <v/>
      </c>
      <c r="AB835" s="31" t="str">
        <f aca="false">IF(O835="","",IF(AA835="",0,O835*IF(AA835&gt;1,AA835/100,AA835)))</f>
        <v/>
      </c>
      <c r="AC835" s="31" t="str">
        <f aca="false">IF(O835="","",V835+Y835+AB835)</f>
        <v/>
      </c>
      <c r="AD835" s="19" t="str">
        <f aca="false">IF(O835="","",O835-R835-AC835)</f>
        <v/>
      </c>
      <c r="AE835" s="20"/>
      <c r="AF835" s="27"/>
      <c r="AG835" s="21" t="n">
        <f aca="false">IF(OR(AE835="",AE835=0),0,AE835*IF(U835="",0,IF(U835&gt;1,U835/100,U835)))</f>
        <v>0</v>
      </c>
      <c r="AH835" s="21" t="n">
        <f aca="false">IF(OR(AE835="",AE835=0),0,AE835*IF(X835="",0,IF(X835&gt;1,X835/100,X835)))</f>
        <v>0</v>
      </c>
      <c r="AI835" s="21" t="n">
        <f aca="false">IF(OR(AE835="",AE835=0),0,AE835*IF(AA835="",0,IF(AA835&gt;1,AA835/100,AA835)))</f>
        <v>0</v>
      </c>
      <c r="AJ835" s="21" t="n">
        <f aca="false">AG835+AH835+AI835</f>
        <v>0</v>
      </c>
      <c r="AK835" s="21" t="n">
        <f aca="false">IF(OR(AE835="",AE835=0),0,AE835-AJ835)</f>
        <v>0</v>
      </c>
      <c r="AL835" s="19" t="str">
        <f aca="false">IF(AD835="","",AD835-AK835)</f>
        <v/>
      </c>
      <c r="AM835" s="26" t="str">
        <f aca="false">IF(C835="","","Waiting for payment")</f>
        <v/>
      </c>
      <c r="AN835" s="27"/>
      <c r="AO835" s="27"/>
      <c r="AP835" s="35" t="str">
        <f aca="false">IF(OR(C835="",I835="",K835=""),"",IF(K835="Monthly",EDATE(C835,ROUND(I835*SETTINGS!$I$8,0)),WORKDAY(C835,ROUND(I835*SETTINGS!$I$8,0))))</f>
        <v/>
      </c>
      <c r="AQ835" s="26" t="str">
        <f aca="true">IF(C835="","",IF(AND(AP835&lt;&gt;"",TODAY()&gt;=AP835),"Refi Ready",IF(TODAY()-C835&gt;=SETTINGS!$I$11,"Prospecting","Performing")))</f>
        <v/>
      </c>
      <c r="AR835" s="35" t="str">
        <f aca="false">IF(OR(C835="",I835="",K835=""),"",IF(K835="Monthly",EDATE(C835,I835),WORKDAY(C835,I835)))</f>
        <v/>
      </c>
      <c r="AS835" s="28"/>
      <c r="AT835" s="36" t="str">
        <f aca="true">IF(C835="","",IF(AM835="Clawed Back","CLAWED",IF(TODAY()&lt;=C835+SETTINGS!$I$2,"⚠ AT RISK","SAFE")))</f>
        <v/>
      </c>
      <c r="AU835" s="28"/>
      <c r="AW835" s="24" t="n">
        <f aca="false">AW834+IF(AND(C835&lt;&gt;"",AO835&lt;&gt;"",OR('REP COMMISSION'!$B$3="",T835='REP COMMISSION'!$B$3,W835='REP COMMISSION'!$B$3,Z835='REP COMMISSION'!$B$3)),1,0)</f>
        <v>0</v>
      </c>
      <c r="AX835" s="24" t="n">
        <f aca="false">AX834+IF(AND(C835&lt;&gt;"",OR(F835="LOC - INITIAL",F835="CONSOLIDATION - UPFRONT COMM",F835="REVERSE - TOTAL FUNDING")),1,0)</f>
        <v>0</v>
      </c>
    </row>
    <row r="836" customFormat="false" ht="15" hidden="false" customHeight="false" outlineLevel="0" collapsed="false">
      <c r="A836" s="8" t="str">
        <f aca="false">IF(C836&lt;&gt;"","F"&amp;COUNT($C$4:C836),"")</f>
        <v/>
      </c>
      <c r="B836" s="9" t="str">
        <f aca="false">IF(OR(F836="LOC - INITIAL",F836="CONSOLIDATION - UPFRONT COMM",F836="REVERSE - TOTAL FUNDING"),A836,"")</f>
        <v/>
      </c>
      <c r="C836" s="10"/>
      <c r="D836" s="11"/>
      <c r="E836" s="11"/>
      <c r="F836" s="11"/>
      <c r="G836" s="12"/>
      <c r="H836" s="13"/>
      <c r="I836" s="11"/>
      <c r="J836" s="14" t="str">
        <f aca="false">IF(AND(G836&lt;&gt;"",H836&lt;&gt;""),G836*H836,"")</f>
        <v/>
      </c>
      <c r="K836" s="11"/>
      <c r="L836" s="15"/>
      <c r="M836" s="15"/>
      <c r="N836" s="14" t="n">
        <f aca="false">IF(OR(G836="",M836=""),0,IF(M836&gt;100,M836,G836*IF(M836&gt;1,M836/100,M836)))</f>
        <v>0</v>
      </c>
      <c r="O836" s="14" t="str">
        <f aca="false">IF(G836="","",G836*IF(L836="",0,IF(L836&gt;1,L836/100,L836))+N836)</f>
        <v/>
      </c>
      <c r="P836" s="11"/>
      <c r="Q836" s="16" t="str">
        <f aca="false">IF(P836="","",IFERROR(VLOOKUP(P836,PARTNERS!$A$2:$B$30,2,0),""))</f>
        <v/>
      </c>
      <c r="R836" s="17" t="str">
        <f aca="false">IF(O836="","",IF(OR(P836="",Q836=""),0,(O836-N836)*IF(Q836&gt;1,Q836/100,Q836)))</f>
        <v/>
      </c>
      <c r="S836" s="14" t="str">
        <f aca="false">IF(O836="","",O836-R836)</f>
        <v/>
      </c>
      <c r="T836" s="11"/>
      <c r="U836" s="18" t="str">
        <f aca="false">IF(T836="","",IFERROR(VLOOKUP(T836,REPS!$A$2:$D$40,2,0),""))</f>
        <v/>
      </c>
      <c r="V836" s="14" t="str">
        <f aca="false">IF(O836="","",IF(U836="",0,O836*IF(U836&gt;1,U836/100,U836)))</f>
        <v/>
      </c>
      <c r="W836" s="11"/>
      <c r="X836" s="18" t="str">
        <f aca="false">IF(W836="","",IFERROR(VLOOKUP(W836,REPS!$A$2:$D$40,3,0),""))</f>
        <v/>
      </c>
      <c r="Y836" s="14" t="str">
        <f aca="false">IF(O836="","",IF(X836="",0,O836*IF(X836&gt;1,X836/100,X836)))</f>
        <v/>
      </c>
      <c r="Z836" s="11"/>
      <c r="AA836" s="18" t="str">
        <f aca="false">IF(Z836="","",IFERROR(VLOOKUP(Z836,REPS!$A$2:$D$40,4,0),""))</f>
        <v/>
      </c>
      <c r="AB836" s="14" t="str">
        <f aca="false">IF(O836="","",IF(AA836="",0,O836*IF(AA836&gt;1,AA836/100,AA836)))</f>
        <v/>
      </c>
      <c r="AC836" s="14" t="str">
        <f aca="false">IF(O836="","",V836+Y836+AB836)</f>
        <v/>
      </c>
      <c r="AD836" s="19" t="str">
        <f aca="false">IF(O836="","",O836-R836-AC836)</f>
        <v/>
      </c>
      <c r="AE836" s="20"/>
      <c r="AF836" s="10"/>
      <c r="AG836" s="21" t="n">
        <f aca="false">IF(OR(AE836="",AE836=0),0,AE836*IF(U836="",0,IF(U836&gt;1,U836/100,U836)))</f>
        <v>0</v>
      </c>
      <c r="AH836" s="21" t="n">
        <f aca="false">IF(OR(AE836="",AE836=0),0,AE836*IF(X836="",0,IF(X836&gt;1,X836/100,X836)))</f>
        <v>0</v>
      </c>
      <c r="AI836" s="21" t="n">
        <f aca="false">IF(OR(AE836="",AE836=0),0,AE836*IF(AA836="",0,IF(AA836&gt;1,AA836/100,AA836)))</f>
        <v>0</v>
      </c>
      <c r="AJ836" s="21" t="n">
        <f aca="false">AG836+AH836+AI836</f>
        <v>0</v>
      </c>
      <c r="AK836" s="21" t="n">
        <f aca="false">IF(OR(AE836="",AE836=0),0,AE836-AJ836)</f>
        <v>0</v>
      </c>
      <c r="AL836" s="19" t="str">
        <f aca="false">IF(AD836="","",AD836-AK836)</f>
        <v/>
      </c>
      <c r="AM836" s="9" t="str">
        <f aca="false">IF(C836="","","Waiting for payment")</f>
        <v/>
      </c>
      <c r="AN836" s="10"/>
      <c r="AO836" s="10"/>
      <c r="AP836" s="22" t="str">
        <f aca="false">IF(OR(C836="",I836="",K836=""),"",IF(K836="Monthly",EDATE(C836,ROUND(I836*SETTINGS!$I$8,0)),WORKDAY(C836,ROUND(I836*SETTINGS!$I$8,0))))</f>
        <v/>
      </c>
      <c r="AQ836" s="9" t="str">
        <f aca="true">IF(C836="","",IF(AND(AP836&lt;&gt;"",TODAY()&gt;=AP836),"Refi Ready",IF(TODAY()-C836&gt;=SETTINGS!$I$11,"Prospecting","Performing")))</f>
        <v/>
      </c>
      <c r="AR836" s="22" t="str">
        <f aca="false">IF(OR(C836="",I836="",K836=""),"",IF(K836="Monthly",EDATE(C836,I836),WORKDAY(C836,I836)))</f>
        <v/>
      </c>
      <c r="AS836" s="11"/>
      <c r="AT836" s="23" t="str">
        <f aca="true">IF(C836="","",IF(AM836="Clawed Back","CLAWED",IF(TODAY()&lt;=C836+SETTINGS!$I$2,"⚠ AT RISK","SAFE")))</f>
        <v/>
      </c>
      <c r="AU836" s="11"/>
      <c r="AW836" s="24" t="n">
        <f aca="false">AW835+IF(AND(C836&lt;&gt;"",AO836&lt;&gt;"",OR('REP COMMISSION'!$B$3="",T836='REP COMMISSION'!$B$3,W836='REP COMMISSION'!$B$3,Z836='REP COMMISSION'!$B$3)),1,0)</f>
        <v>0</v>
      </c>
      <c r="AX836" s="24" t="n">
        <f aca="false">AX835+IF(AND(C836&lt;&gt;"",OR(F836="LOC - INITIAL",F836="CONSOLIDATION - UPFRONT COMM",F836="REVERSE - TOTAL FUNDING")),1,0)</f>
        <v>0</v>
      </c>
    </row>
    <row r="837" customFormat="false" ht="15" hidden="false" customHeight="false" outlineLevel="0" collapsed="false">
      <c r="A837" s="25" t="str">
        <f aca="false">IF(C837&lt;&gt;"","F"&amp;COUNT($C$4:C837),"")</f>
        <v/>
      </c>
      <c r="B837" s="26" t="str">
        <f aca="false">IF(OR(F837="LOC - INITIAL",F837="CONSOLIDATION - UPFRONT COMM",F837="REVERSE - TOTAL FUNDING"),A837,"")</f>
        <v/>
      </c>
      <c r="C837" s="27"/>
      <c r="D837" s="28"/>
      <c r="E837" s="28"/>
      <c r="F837" s="28"/>
      <c r="G837" s="29"/>
      <c r="H837" s="30"/>
      <c r="I837" s="28"/>
      <c r="J837" s="31" t="str">
        <f aca="false">IF(AND(G837&lt;&gt;"",H837&lt;&gt;""),G837*H837,"")</f>
        <v/>
      </c>
      <c r="K837" s="28"/>
      <c r="L837" s="32"/>
      <c r="M837" s="32"/>
      <c r="N837" s="31" t="n">
        <f aca="false">IF(OR(G837="",M837=""),0,IF(M837&gt;100,M837,G837*IF(M837&gt;1,M837/100,M837)))</f>
        <v>0</v>
      </c>
      <c r="O837" s="31" t="str">
        <f aca="false">IF(G837="","",G837*IF(L837="",0,IF(L837&gt;1,L837/100,L837))+N837)</f>
        <v/>
      </c>
      <c r="P837" s="28"/>
      <c r="Q837" s="33" t="str">
        <f aca="false">IF(P837="","",IFERROR(VLOOKUP(P837,PARTNERS!$A$2:$B$30,2,0),""))</f>
        <v/>
      </c>
      <c r="R837" s="17" t="str">
        <f aca="false">IF(O837="","",IF(OR(P837="",Q837=""),0,(O837-N837)*IF(Q837&gt;1,Q837/100,Q837)))</f>
        <v/>
      </c>
      <c r="S837" s="31" t="str">
        <f aca="false">IF(O837="","",O837-R837)</f>
        <v/>
      </c>
      <c r="T837" s="28"/>
      <c r="U837" s="34" t="str">
        <f aca="false">IF(T837="","",IFERROR(VLOOKUP(T837,REPS!$A$2:$D$40,2,0),""))</f>
        <v/>
      </c>
      <c r="V837" s="31" t="str">
        <f aca="false">IF(O837="","",IF(U837="",0,O837*IF(U837&gt;1,U837/100,U837)))</f>
        <v/>
      </c>
      <c r="W837" s="28"/>
      <c r="X837" s="34" t="str">
        <f aca="false">IF(W837="","",IFERROR(VLOOKUP(W837,REPS!$A$2:$D$40,3,0),""))</f>
        <v/>
      </c>
      <c r="Y837" s="31" t="str">
        <f aca="false">IF(O837="","",IF(X837="",0,O837*IF(X837&gt;1,X837/100,X837)))</f>
        <v/>
      </c>
      <c r="Z837" s="28"/>
      <c r="AA837" s="34" t="str">
        <f aca="false">IF(Z837="","",IFERROR(VLOOKUP(Z837,REPS!$A$2:$D$40,4,0),""))</f>
        <v/>
      </c>
      <c r="AB837" s="31" t="str">
        <f aca="false">IF(O837="","",IF(AA837="",0,O837*IF(AA837&gt;1,AA837/100,AA837)))</f>
        <v/>
      </c>
      <c r="AC837" s="31" t="str">
        <f aca="false">IF(O837="","",V837+Y837+AB837)</f>
        <v/>
      </c>
      <c r="AD837" s="19" t="str">
        <f aca="false">IF(O837="","",O837-R837-AC837)</f>
        <v/>
      </c>
      <c r="AE837" s="20"/>
      <c r="AF837" s="27"/>
      <c r="AG837" s="21" t="n">
        <f aca="false">IF(OR(AE837="",AE837=0),0,AE837*IF(U837="",0,IF(U837&gt;1,U837/100,U837)))</f>
        <v>0</v>
      </c>
      <c r="AH837" s="21" t="n">
        <f aca="false">IF(OR(AE837="",AE837=0),0,AE837*IF(X837="",0,IF(X837&gt;1,X837/100,X837)))</f>
        <v>0</v>
      </c>
      <c r="AI837" s="21" t="n">
        <f aca="false">IF(OR(AE837="",AE837=0),0,AE837*IF(AA837="",0,IF(AA837&gt;1,AA837/100,AA837)))</f>
        <v>0</v>
      </c>
      <c r="AJ837" s="21" t="n">
        <f aca="false">AG837+AH837+AI837</f>
        <v>0</v>
      </c>
      <c r="AK837" s="21" t="n">
        <f aca="false">IF(OR(AE837="",AE837=0),0,AE837-AJ837)</f>
        <v>0</v>
      </c>
      <c r="AL837" s="19" t="str">
        <f aca="false">IF(AD837="","",AD837-AK837)</f>
        <v/>
      </c>
      <c r="AM837" s="26" t="str">
        <f aca="false">IF(C837="","","Waiting for payment")</f>
        <v/>
      </c>
      <c r="AN837" s="27"/>
      <c r="AO837" s="27"/>
      <c r="AP837" s="35" t="str">
        <f aca="false">IF(OR(C837="",I837="",K837=""),"",IF(K837="Monthly",EDATE(C837,ROUND(I837*SETTINGS!$I$8,0)),WORKDAY(C837,ROUND(I837*SETTINGS!$I$8,0))))</f>
        <v/>
      </c>
      <c r="AQ837" s="26" t="str">
        <f aca="true">IF(C837="","",IF(AND(AP837&lt;&gt;"",TODAY()&gt;=AP837),"Refi Ready",IF(TODAY()-C837&gt;=SETTINGS!$I$11,"Prospecting","Performing")))</f>
        <v/>
      </c>
      <c r="AR837" s="35" t="str">
        <f aca="false">IF(OR(C837="",I837="",K837=""),"",IF(K837="Monthly",EDATE(C837,I837),WORKDAY(C837,I837)))</f>
        <v/>
      </c>
      <c r="AS837" s="28"/>
      <c r="AT837" s="36" t="str">
        <f aca="true">IF(C837="","",IF(AM837="Clawed Back","CLAWED",IF(TODAY()&lt;=C837+SETTINGS!$I$2,"⚠ AT RISK","SAFE")))</f>
        <v/>
      </c>
      <c r="AU837" s="28"/>
      <c r="AW837" s="24" t="n">
        <f aca="false">AW836+IF(AND(C837&lt;&gt;"",AO837&lt;&gt;"",OR('REP COMMISSION'!$B$3="",T837='REP COMMISSION'!$B$3,W837='REP COMMISSION'!$B$3,Z837='REP COMMISSION'!$B$3)),1,0)</f>
        <v>0</v>
      </c>
      <c r="AX837" s="24" t="n">
        <f aca="false">AX836+IF(AND(C837&lt;&gt;"",OR(F837="LOC - INITIAL",F837="CONSOLIDATION - UPFRONT COMM",F837="REVERSE - TOTAL FUNDING")),1,0)</f>
        <v>0</v>
      </c>
    </row>
    <row r="838" customFormat="false" ht="15" hidden="false" customHeight="false" outlineLevel="0" collapsed="false">
      <c r="A838" s="8" t="str">
        <f aca="false">IF(C838&lt;&gt;"","F"&amp;COUNT($C$4:C838),"")</f>
        <v/>
      </c>
      <c r="B838" s="9" t="str">
        <f aca="false">IF(OR(F838="LOC - INITIAL",F838="CONSOLIDATION - UPFRONT COMM",F838="REVERSE - TOTAL FUNDING"),A838,"")</f>
        <v/>
      </c>
      <c r="C838" s="10"/>
      <c r="D838" s="11"/>
      <c r="E838" s="11"/>
      <c r="F838" s="11"/>
      <c r="G838" s="12"/>
      <c r="H838" s="13"/>
      <c r="I838" s="11"/>
      <c r="J838" s="14" t="str">
        <f aca="false">IF(AND(G838&lt;&gt;"",H838&lt;&gt;""),G838*H838,"")</f>
        <v/>
      </c>
      <c r="K838" s="11"/>
      <c r="L838" s="15"/>
      <c r="M838" s="15"/>
      <c r="N838" s="14" t="n">
        <f aca="false">IF(OR(G838="",M838=""),0,IF(M838&gt;100,M838,G838*IF(M838&gt;1,M838/100,M838)))</f>
        <v>0</v>
      </c>
      <c r="O838" s="14" t="str">
        <f aca="false">IF(G838="","",G838*IF(L838="",0,IF(L838&gt;1,L838/100,L838))+N838)</f>
        <v/>
      </c>
      <c r="P838" s="11"/>
      <c r="Q838" s="16" t="str">
        <f aca="false">IF(P838="","",IFERROR(VLOOKUP(P838,PARTNERS!$A$2:$B$30,2,0),""))</f>
        <v/>
      </c>
      <c r="R838" s="17" t="str">
        <f aca="false">IF(O838="","",IF(OR(P838="",Q838=""),0,(O838-N838)*IF(Q838&gt;1,Q838/100,Q838)))</f>
        <v/>
      </c>
      <c r="S838" s="14" t="str">
        <f aca="false">IF(O838="","",O838-R838)</f>
        <v/>
      </c>
      <c r="T838" s="11"/>
      <c r="U838" s="18" t="str">
        <f aca="false">IF(T838="","",IFERROR(VLOOKUP(T838,REPS!$A$2:$D$40,2,0),""))</f>
        <v/>
      </c>
      <c r="V838" s="14" t="str">
        <f aca="false">IF(O838="","",IF(U838="",0,O838*IF(U838&gt;1,U838/100,U838)))</f>
        <v/>
      </c>
      <c r="W838" s="11"/>
      <c r="X838" s="18" t="str">
        <f aca="false">IF(W838="","",IFERROR(VLOOKUP(W838,REPS!$A$2:$D$40,3,0),""))</f>
        <v/>
      </c>
      <c r="Y838" s="14" t="str">
        <f aca="false">IF(O838="","",IF(X838="",0,O838*IF(X838&gt;1,X838/100,X838)))</f>
        <v/>
      </c>
      <c r="Z838" s="11"/>
      <c r="AA838" s="18" t="str">
        <f aca="false">IF(Z838="","",IFERROR(VLOOKUP(Z838,REPS!$A$2:$D$40,4,0),""))</f>
        <v/>
      </c>
      <c r="AB838" s="14" t="str">
        <f aca="false">IF(O838="","",IF(AA838="",0,O838*IF(AA838&gt;1,AA838/100,AA838)))</f>
        <v/>
      </c>
      <c r="AC838" s="14" t="str">
        <f aca="false">IF(O838="","",V838+Y838+AB838)</f>
        <v/>
      </c>
      <c r="AD838" s="19" t="str">
        <f aca="false">IF(O838="","",O838-R838-AC838)</f>
        <v/>
      </c>
      <c r="AE838" s="20"/>
      <c r="AF838" s="10"/>
      <c r="AG838" s="21" t="n">
        <f aca="false">IF(OR(AE838="",AE838=0),0,AE838*IF(U838="",0,IF(U838&gt;1,U838/100,U838)))</f>
        <v>0</v>
      </c>
      <c r="AH838" s="21" t="n">
        <f aca="false">IF(OR(AE838="",AE838=0),0,AE838*IF(X838="",0,IF(X838&gt;1,X838/100,X838)))</f>
        <v>0</v>
      </c>
      <c r="AI838" s="21" t="n">
        <f aca="false">IF(OR(AE838="",AE838=0),0,AE838*IF(AA838="",0,IF(AA838&gt;1,AA838/100,AA838)))</f>
        <v>0</v>
      </c>
      <c r="AJ838" s="21" t="n">
        <f aca="false">AG838+AH838+AI838</f>
        <v>0</v>
      </c>
      <c r="AK838" s="21" t="n">
        <f aca="false">IF(OR(AE838="",AE838=0),0,AE838-AJ838)</f>
        <v>0</v>
      </c>
      <c r="AL838" s="19" t="str">
        <f aca="false">IF(AD838="","",AD838-AK838)</f>
        <v/>
      </c>
      <c r="AM838" s="9" t="str">
        <f aca="false">IF(C838="","","Waiting for payment")</f>
        <v/>
      </c>
      <c r="AN838" s="10"/>
      <c r="AO838" s="10"/>
      <c r="AP838" s="22" t="str">
        <f aca="false">IF(OR(C838="",I838="",K838=""),"",IF(K838="Monthly",EDATE(C838,ROUND(I838*SETTINGS!$I$8,0)),WORKDAY(C838,ROUND(I838*SETTINGS!$I$8,0))))</f>
        <v/>
      </c>
      <c r="AQ838" s="9" t="str">
        <f aca="true">IF(C838="","",IF(AND(AP838&lt;&gt;"",TODAY()&gt;=AP838),"Refi Ready",IF(TODAY()-C838&gt;=SETTINGS!$I$11,"Prospecting","Performing")))</f>
        <v/>
      </c>
      <c r="AR838" s="22" t="str">
        <f aca="false">IF(OR(C838="",I838="",K838=""),"",IF(K838="Monthly",EDATE(C838,I838),WORKDAY(C838,I838)))</f>
        <v/>
      </c>
      <c r="AS838" s="11"/>
      <c r="AT838" s="23" t="str">
        <f aca="true">IF(C838="","",IF(AM838="Clawed Back","CLAWED",IF(TODAY()&lt;=C838+SETTINGS!$I$2,"⚠ AT RISK","SAFE")))</f>
        <v/>
      </c>
      <c r="AU838" s="11"/>
      <c r="AW838" s="24" t="n">
        <f aca="false">AW837+IF(AND(C838&lt;&gt;"",AO838&lt;&gt;"",OR('REP COMMISSION'!$B$3="",T838='REP COMMISSION'!$B$3,W838='REP COMMISSION'!$B$3,Z838='REP COMMISSION'!$B$3)),1,0)</f>
        <v>0</v>
      </c>
      <c r="AX838" s="24" t="n">
        <f aca="false">AX837+IF(AND(C838&lt;&gt;"",OR(F838="LOC - INITIAL",F838="CONSOLIDATION - UPFRONT COMM",F838="REVERSE - TOTAL FUNDING")),1,0)</f>
        <v>0</v>
      </c>
    </row>
    <row r="839" customFormat="false" ht="15" hidden="false" customHeight="false" outlineLevel="0" collapsed="false">
      <c r="A839" s="25" t="str">
        <f aca="false">IF(C839&lt;&gt;"","F"&amp;COUNT($C$4:C839),"")</f>
        <v/>
      </c>
      <c r="B839" s="26" t="str">
        <f aca="false">IF(OR(F839="LOC - INITIAL",F839="CONSOLIDATION - UPFRONT COMM",F839="REVERSE - TOTAL FUNDING"),A839,"")</f>
        <v/>
      </c>
      <c r="C839" s="27"/>
      <c r="D839" s="28"/>
      <c r="E839" s="28"/>
      <c r="F839" s="28"/>
      <c r="G839" s="29"/>
      <c r="H839" s="30"/>
      <c r="I839" s="28"/>
      <c r="J839" s="31" t="str">
        <f aca="false">IF(AND(G839&lt;&gt;"",H839&lt;&gt;""),G839*H839,"")</f>
        <v/>
      </c>
      <c r="K839" s="28"/>
      <c r="L839" s="32"/>
      <c r="M839" s="32"/>
      <c r="N839" s="31" t="n">
        <f aca="false">IF(OR(G839="",M839=""),0,IF(M839&gt;100,M839,G839*IF(M839&gt;1,M839/100,M839)))</f>
        <v>0</v>
      </c>
      <c r="O839" s="31" t="str">
        <f aca="false">IF(G839="","",G839*IF(L839="",0,IF(L839&gt;1,L839/100,L839))+N839)</f>
        <v/>
      </c>
      <c r="P839" s="28"/>
      <c r="Q839" s="33" t="str">
        <f aca="false">IF(P839="","",IFERROR(VLOOKUP(P839,PARTNERS!$A$2:$B$30,2,0),""))</f>
        <v/>
      </c>
      <c r="R839" s="17" t="str">
        <f aca="false">IF(O839="","",IF(OR(P839="",Q839=""),0,(O839-N839)*IF(Q839&gt;1,Q839/100,Q839)))</f>
        <v/>
      </c>
      <c r="S839" s="31" t="str">
        <f aca="false">IF(O839="","",O839-R839)</f>
        <v/>
      </c>
      <c r="T839" s="28"/>
      <c r="U839" s="34" t="str">
        <f aca="false">IF(T839="","",IFERROR(VLOOKUP(T839,REPS!$A$2:$D$40,2,0),""))</f>
        <v/>
      </c>
      <c r="V839" s="31" t="str">
        <f aca="false">IF(O839="","",IF(U839="",0,O839*IF(U839&gt;1,U839/100,U839)))</f>
        <v/>
      </c>
      <c r="W839" s="28"/>
      <c r="X839" s="34" t="str">
        <f aca="false">IF(W839="","",IFERROR(VLOOKUP(W839,REPS!$A$2:$D$40,3,0),""))</f>
        <v/>
      </c>
      <c r="Y839" s="31" t="str">
        <f aca="false">IF(O839="","",IF(X839="",0,O839*IF(X839&gt;1,X839/100,X839)))</f>
        <v/>
      </c>
      <c r="Z839" s="28"/>
      <c r="AA839" s="34" t="str">
        <f aca="false">IF(Z839="","",IFERROR(VLOOKUP(Z839,REPS!$A$2:$D$40,4,0),""))</f>
        <v/>
      </c>
      <c r="AB839" s="31" t="str">
        <f aca="false">IF(O839="","",IF(AA839="",0,O839*IF(AA839&gt;1,AA839/100,AA839)))</f>
        <v/>
      </c>
      <c r="AC839" s="31" t="str">
        <f aca="false">IF(O839="","",V839+Y839+AB839)</f>
        <v/>
      </c>
      <c r="AD839" s="19" t="str">
        <f aca="false">IF(O839="","",O839-R839-AC839)</f>
        <v/>
      </c>
      <c r="AE839" s="20"/>
      <c r="AF839" s="27"/>
      <c r="AG839" s="21" t="n">
        <f aca="false">IF(OR(AE839="",AE839=0),0,AE839*IF(U839="",0,IF(U839&gt;1,U839/100,U839)))</f>
        <v>0</v>
      </c>
      <c r="AH839" s="21" t="n">
        <f aca="false">IF(OR(AE839="",AE839=0),0,AE839*IF(X839="",0,IF(X839&gt;1,X839/100,X839)))</f>
        <v>0</v>
      </c>
      <c r="AI839" s="21" t="n">
        <f aca="false">IF(OR(AE839="",AE839=0),0,AE839*IF(AA839="",0,IF(AA839&gt;1,AA839/100,AA839)))</f>
        <v>0</v>
      </c>
      <c r="AJ839" s="21" t="n">
        <f aca="false">AG839+AH839+AI839</f>
        <v>0</v>
      </c>
      <c r="AK839" s="21" t="n">
        <f aca="false">IF(OR(AE839="",AE839=0),0,AE839-AJ839)</f>
        <v>0</v>
      </c>
      <c r="AL839" s="19" t="str">
        <f aca="false">IF(AD839="","",AD839-AK839)</f>
        <v/>
      </c>
      <c r="AM839" s="26" t="str">
        <f aca="false">IF(C839="","","Waiting for payment")</f>
        <v/>
      </c>
      <c r="AN839" s="27"/>
      <c r="AO839" s="27"/>
      <c r="AP839" s="35" t="str">
        <f aca="false">IF(OR(C839="",I839="",K839=""),"",IF(K839="Monthly",EDATE(C839,ROUND(I839*SETTINGS!$I$8,0)),WORKDAY(C839,ROUND(I839*SETTINGS!$I$8,0))))</f>
        <v/>
      </c>
      <c r="AQ839" s="26" t="str">
        <f aca="true">IF(C839="","",IF(AND(AP839&lt;&gt;"",TODAY()&gt;=AP839),"Refi Ready",IF(TODAY()-C839&gt;=SETTINGS!$I$11,"Prospecting","Performing")))</f>
        <v/>
      </c>
      <c r="AR839" s="35" t="str">
        <f aca="false">IF(OR(C839="",I839="",K839=""),"",IF(K839="Monthly",EDATE(C839,I839),WORKDAY(C839,I839)))</f>
        <v/>
      </c>
      <c r="AS839" s="28"/>
      <c r="AT839" s="36" t="str">
        <f aca="true">IF(C839="","",IF(AM839="Clawed Back","CLAWED",IF(TODAY()&lt;=C839+SETTINGS!$I$2,"⚠ AT RISK","SAFE")))</f>
        <v/>
      </c>
      <c r="AU839" s="28"/>
      <c r="AW839" s="24" t="n">
        <f aca="false">AW838+IF(AND(C839&lt;&gt;"",AO839&lt;&gt;"",OR('REP COMMISSION'!$B$3="",T839='REP COMMISSION'!$B$3,W839='REP COMMISSION'!$B$3,Z839='REP COMMISSION'!$B$3)),1,0)</f>
        <v>0</v>
      </c>
      <c r="AX839" s="24" t="n">
        <f aca="false">AX838+IF(AND(C839&lt;&gt;"",OR(F839="LOC - INITIAL",F839="CONSOLIDATION - UPFRONT COMM",F839="REVERSE - TOTAL FUNDING")),1,0)</f>
        <v>0</v>
      </c>
    </row>
    <row r="840" customFormat="false" ht="15" hidden="false" customHeight="false" outlineLevel="0" collapsed="false">
      <c r="A840" s="8" t="str">
        <f aca="false">IF(C840&lt;&gt;"","F"&amp;COUNT($C$4:C840),"")</f>
        <v/>
      </c>
      <c r="B840" s="9" t="str">
        <f aca="false">IF(OR(F840="LOC - INITIAL",F840="CONSOLIDATION - UPFRONT COMM",F840="REVERSE - TOTAL FUNDING"),A840,"")</f>
        <v/>
      </c>
      <c r="C840" s="10"/>
      <c r="D840" s="11"/>
      <c r="E840" s="11"/>
      <c r="F840" s="11"/>
      <c r="G840" s="12"/>
      <c r="H840" s="13"/>
      <c r="I840" s="11"/>
      <c r="J840" s="14" t="str">
        <f aca="false">IF(AND(G840&lt;&gt;"",H840&lt;&gt;""),G840*H840,"")</f>
        <v/>
      </c>
      <c r="K840" s="11"/>
      <c r="L840" s="15"/>
      <c r="M840" s="15"/>
      <c r="N840" s="14" t="n">
        <f aca="false">IF(OR(G840="",M840=""),0,IF(M840&gt;100,M840,G840*IF(M840&gt;1,M840/100,M840)))</f>
        <v>0</v>
      </c>
      <c r="O840" s="14" t="str">
        <f aca="false">IF(G840="","",G840*IF(L840="",0,IF(L840&gt;1,L840/100,L840))+N840)</f>
        <v/>
      </c>
      <c r="P840" s="11"/>
      <c r="Q840" s="16" t="str">
        <f aca="false">IF(P840="","",IFERROR(VLOOKUP(P840,PARTNERS!$A$2:$B$30,2,0),""))</f>
        <v/>
      </c>
      <c r="R840" s="17" t="str">
        <f aca="false">IF(O840="","",IF(OR(P840="",Q840=""),0,(O840-N840)*IF(Q840&gt;1,Q840/100,Q840)))</f>
        <v/>
      </c>
      <c r="S840" s="14" t="str">
        <f aca="false">IF(O840="","",O840-R840)</f>
        <v/>
      </c>
      <c r="T840" s="11"/>
      <c r="U840" s="18" t="str">
        <f aca="false">IF(T840="","",IFERROR(VLOOKUP(T840,REPS!$A$2:$D$40,2,0),""))</f>
        <v/>
      </c>
      <c r="V840" s="14" t="str">
        <f aca="false">IF(O840="","",IF(U840="",0,O840*IF(U840&gt;1,U840/100,U840)))</f>
        <v/>
      </c>
      <c r="W840" s="11"/>
      <c r="X840" s="18" t="str">
        <f aca="false">IF(W840="","",IFERROR(VLOOKUP(W840,REPS!$A$2:$D$40,3,0),""))</f>
        <v/>
      </c>
      <c r="Y840" s="14" t="str">
        <f aca="false">IF(O840="","",IF(X840="",0,O840*IF(X840&gt;1,X840/100,X840)))</f>
        <v/>
      </c>
      <c r="Z840" s="11"/>
      <c r="AA840" s="18" t="str">
        <f aca="false">IF(Z840="","",IFERROR(VLOOKUP(Z840,REPS!$A$2:$D$40,4,0),""))</f>
        <v/>
      </c>
      <c r="AB840" s="14" t="str">
        <f aca="false">IF(O840="","",IF(AA840="",0,O840*IF(AA840&gt;1,AA840/100,AA840)))</f>
        <v/>
      </c>
      <c r="AC840" s="14" t="str">
        <f aca="false">IF(O840="","",V840+Y840+AB840)</f>
        <v/>
      </c>
      <c r="AD840" s="19" t="str">
        <f aca="false">IF(O840="","",O840-R840-AC840)</f>
        <v/>
      </c>
      <c r="AE840" s="20"/>
      <c r="AF840" s="10"/>
      <c r="AG840" s="21" t="n">
        <f aca="false">IF(OR(AE840="",AE840=0),0,AE840*IF(U840="",0,IF(U840&gt;1,U840/100,U840)))</f>
        <v>0</v>
      </c>
      <c r="AH840" s="21" t="n">
        <f aca="false">IF(OR(AE840="",AE840=0),0,AE840*IF(X840="",0,IF(X840&gt;1,X840/100,X840)))</f>
        <v>0</v>
      </c>
      <c r="AI840" s="21" t="n">
        <f aca="false">IF(OR(AE840="",AE840=0),0,AE840*IF(AA840="",0,IF(AA840&gt;1,AA840/100,AA840)))</f>
        <v>0</v>
      </c>
      <c r="AJ840" s="21" t="n">
        <f aca="false">AG840+AH840+AI840</f>
        <v>0</v>
      </c>
      <c r="AK840" s="21" t="n">
        <f aca="false">IF(OR(AE840="",AE840=0),0,AE840-AJ840)</f>
        <v>0</v>
      </c>
      <c r="AL840" s="19" t="str">
        <f aca="false">IF(AD840="","",AD840-AK840)</f>
        <v/>
      </c>
      <c r="AM840" s="9" t="str">
        <f aca="false">IF(C840="","","Waiting for payment")</f>
        <v/>
      </c>
      <c r="AN840" s="10"/>
      <c r="AO840" s="10"/>
      <c r="AP840" s="22" t="str">
        <f aca="false">IF(OR(C840="",I840="",K840=""),"",IF(K840="Monthly",EDATE(C840,ROUND(I840*SETTINGS!$I$8,0)),WORKDAY(C840,ROUND(I840*SETTINGS!$I$8,0))))</f>
        <v/>
      </c>
      <c r="AQ840" s="9" t="str">
        <f aca="true">IF(C840="","",IF(AND(AP840&lt;&gt;"",TODAY()&gt;=AP840),"Refi Ready",IF(TODAY()-C840&gt;=SETTINGS!$I$11,"Prospecting","Performing")))</f>
        <v/>
      </c>
      <c r="AR840" s="22" t="str">
        <f aca="false">IF(OR(C840="",I840="",K840=""),"",IF(K840="Monthly",EDATE(C840,I840),WORKDAY(C840,I840)))</f>
        <v/>
      </c>
      <c r="AS840" s="11"/>
      <c r="AT840" s="23" t="str">
        <f aca="true">IF(C840="","",IF(AM840="Clawed Back","CLAWED",IF(TODAY()&lt;=C840+SETTINGS!$I$2,"⚠ AT RISK","SAFE")))</f>
        <v/>
      </c>
      <c r="AU840" s="11"/>
      <c r="AW840" s="24" t="n">
        <f aca="false">AW839+IF(AND(C840&lt;&gt;"",AO840&lt;&gt;"",OR('REP COMMISSION'!$B$3="",T840='REP COMMISSION'!$B$3,W840='REP COMMISSION'!$B$3,Z840='REP COMMISSION'!$B$3)),1,0)</f>
        <v>0</v>
      </c>
      <c r="AX840" s="24" t="n">
        <f aca="false">AX839+IF(AND(C840&lt;&gt;"",OR(F840="LOC - INITIAL",F840="CONSOLIDATION - UPFRONT COMM",F840="REVERSE - TOTAL FUNDING")),1,0)</f>
        <v>0</v>
      </c>
    </row>
    <row r="841" customFormat="false" ht="15" hidden="false" customHeight="false" outlineLevel="0" collapsed="false">
      <c r="A841" s="25" t="str">
        <f aca="false">IF(C841&lt;&gt;"","F"&amp;COUNT($C$4:C841),"")</f>
        <v/>
      </c>
      <c r="B841" s="26" t="str">
        <f aca="false">IF(OR(F841="LOC - INITIAL",F841="CONSOLIDATION - UPFRONT COMM",F841="REVERSE - TOTAL FUNDING"),A841,"")</f>
        <v/>
      </c>
      <c r="C841" s="27"/>
      <c r="D841" s="28"/>
      <c r="E841" s="28"/>
      <c r="F841" s="28"/>
      <c r="G841" s="29"/>
      <c r="H841" s="30"/>
      <c r="I841" s="28"/>
      <c r="J841" s="31" t="str">
        <f aca="false">IF(AND(G841&lt;&gt;"",H841&lt;&gt;""),G841*H841,"")</f>
        <v/>
      </c>
      <c r="K841" s="28"/>
      <c r="L841" s="32"/>
      <c r="M841" s="32"/>
      <c r="N841" s="31" t="n">
        <f aca="false">IF(OR(G841="",M841=""),0,IF(M841&gt;100,M841,G841*IF(M841&gt;1,M841/100,M841)))</f>
        <v>0</v>
      </c>
      <c r="O841" s="31" t="str">
        <f aca="false">IF(G841="","",G841*IF(L841="",0,IF(L841&gt;1,L841/100,L841))+N841)</f>
        <v/>
      </c>
      <c r="P841" s="28"/>
      <c r="Q841" s="33" t="str">
        <f aca="false">IF(P841="","",IFERROR(VLOOKUP(P841,PARTNERS!$A$2:$B$30,2,0),""))</f>
        <v/>
      </c>
      <c r="R841" s="17" t="str">
        <f aca="false">IF(O841="","",IF(OR(P841="",Q841=""),0,(O841-N841)*IF(Q841&gt;1,Q841/100,Q841)))</f>
        <v/>
      </c>
      <c r="S841" s="31" t="str">
        <f aca="false">IF(O841="","",O841-R841)</f>
        <v/>
      </c>
      <c r="T841" s="28"/>
      <c r="U841" s="34" t="str">
        <f aca="false">IF(T841="","",IFERROR(VLOOKUP(T841,REPS!$A$2:$D$40,2,0),""))</f>
        <v/>
      </c>
      <c r="V841" s="31" t="str">
        <f aca="false">IF(O841="","",IF(U841="",0,O841*IF(U841&gt;1,U841/100,U841)))</f>
        <v/>
      </c>
      <c r="W841" s="28"/>
      <c r="X841" s="34" t="str">
        <f aca="false">IF(W841="","",IFERROR(VLOOKUP(W841,REPS!$A$2:$D$40,3,0),""))</f>
        <v/>
      </c>
      <c r="Y841" s="31" t="str">
        <f aca="false">IF(O841="","",IF(X841="",0,O841*IF(X841&gt;1,X841/100,X841)))</f>
        <v/>
      </c>
      <c r="Z841" s="28"/>
      <c r="AA841" s="34" t="str">
        <f aca="false">IF(Z841="","",IFERROR(VLOOKUP(Z841,REPS!$A$2:$D$40,4,0),""))</f>
        <v/>
      </c>
      <c r="AB841" s="31" t="str">
        <f aca="false">IF(O841="","",IF(AA841="",0,O841*IF(AA841&gt;1,AA841/100,AA841)))</f>
        <v/>
      </c>
      <c r="AC841" s="31" t="str">
        <f aca="false">IF(O841="","",V841+Y841+AB841)</f>
        <v/>
      </c>
      <c r="AD841" s="19" t="str">
        <f aca="false">IF(O841="","",O841-R841-AC841)</f>
        <v/>
      </c>
      <c r="AE841" s="20"/>
      <c r="AF841" s="27"/>
      <c r="AG841" s="21" t="n">
        <f aca="false">IF(OR(AE841="",AE841=0),0,AE841*IF(U841="",0,IF(U841&gt;1,U841/100,U841)))</f>
        <v>0</v>
      </c>
      <c r="AH841" s="21" t="n">
        <f aca="false">IF(OR(AE841="",AE841=0),0,AE841*IF(X841="",0,IF(X841&gt;1,X841/100,X841)))</f>
        <v>0</v>
      </c>
      <c r="AI841" s="21" t="n">
        <f aca="false">IF(OR(AE841="",AE841=0),0,AE841*IF(AA841="",0,IF(AA841&gt;1,AA841/100,AA841)))</f>
        <v>0</v>
      </c>
      <c r="AJ841" s="21" t="n">
        <f aca="false">AG841+AH841+AI841</f>
        <v>0</v>
      </c>
      <c r="AK841" s="21" t="n">
        <f aca="false">IF(OR(AE841="",AE841=0),0,AE841-AJ841)</f>
        <v>0</v>
      </c>
      <c r="AL841" s="19" t="str">
        <f aca="false">IF(AD841="","",AD841-AK841)</f>
        <v/>
      </c>
      <c r="AM841" s="26" t="str">
        <f aca="false">IF(C841="","","Waiting for payment")</f>
        <v/>
      </c>
      <c r="AN841" s="27"/>
      <c r="AO841" s="27"/>
      <c r="AP841" s="35" t="str">
        <f aca="false">IF(OR(C841="",I841="",K841=""),"",IF(K841="Monthly",EDATE(C841,ROUND(I841*SETTINGS!$I$8,0)),WORKDAY(C841,ROUND(I841*SETTINGS!$I$8,0))))</f>
        <v/>
      </c>
      <c r="AQ841" s="26" t="str">
        <f aca="true">IF(C841="","",IF(AND(AP841&lt;&gt;"",TODAY()&gt;=AP841),"Refi Ready",IF(TODAY()-C841&gt;=SETTINGS!$I$11,"Prospecting","Performing")))</f>
        <v/>
      </c>
      <c r="AR841" s="35" t="str">
        <f aca="false">IF(OR(C841="",I841="",K841=""),"",IF(K841="Monthly",EDATE(C841,I841),WORKDAY(C841,I841)))</f>
        <v/>
      </c>
      <c r="AS841" s="28"/>
      <c r="AT841" s="36" t="str">
        <f aca="true">IF(C841="","",IF(AM841="Clawed Back","CLAWED",IF(TODAY()&lt;=C841+SETTINGS!$I$2,"⚠ AT RISK","SAFE")))</f>
        <v/>
      </c>
      <c r="AU841" s="28"/>
      <c r="AW841" s="24" t="n">
        <f aca="false">AW840+IF(AND(C841&lt;&gt;"",AO841&lt;&gt;"",OR('REP COMMISSION'!$B$3="",T841='REP COMMISSION'!$B$3,W841='REP COMMISSION'!$B$3,Z841='REP COMMISSION'!$B$3)),1,0)</f>
        <v>0</v>
      </c>
      <c r="AX841" s="24" t="n">
        <f aca="false">AX840+IF(AND(C841&lt;&gt;"",OR(F841="LOC - INITIAL",F841="CONSOLIDATION - UPFRONT COMM",F841="REVERSE - TOTAL FUNDING")),1,0)</f>
        <v>0</v>
      </c>
    </row>
    <row r="842" customFormat="false" ht="15" hidden="false" customHeight="false" outlineLevel="0" collapsed="false">
      <c r="A842" s="8" t="str">
        <f aca="false">IF(C842&lt;&gt;"","F"&amp;COUNT($C$4:C842),"")</f>
        <v/>
      </c>
      <c r="B842" s="9" t="str">
        <f aca="false">IF(OR(F842="LOC - INITIAL",F842="CONSOLIDATION - UPFRONT COMM",F842="REVERSE - TOTAL FUNDING"),A842,"")</f>
        <v/>
      </c>
      <c r="C842" s="10"/>
      <c r="D842" s="11"/>
      <c r="E842" s="11"/>
      <c r="F842" s="11"/>
      <c r="G842" s="12"/>
      <c r="H842" s="13"/>
      <c r="I842" s="11"/>
      <c r="J842" s="14" t="str">
        <f aca="false">IF(AND(G842&lt;&gt;"",H842&lt;&gt;""),G842*H842,"")</f>
        <v/>
      </c>
      <c r="K842" s="11"/>
      <c r="L842" s="15"/>
      <c r="M842" s="15"/>
      <c r="N842" s="14" t="n">
        <f aca="false">IF(OR(G842="",M842=""),0,IF(M842&gt;100,M842,G842*IF(M842&gt;1,M842/100,M842)))</f>
        <v>0</v>
      </c>
      <c r="O842" s="14" t="str">
        <f aca="false">IF(G842="","",G842*IF(L842="",0,IF(L842&gt;1,L842/100,L842))+N842)</f>
        <v/>
      </c>
      <c r="P842" s="11"/>
      <c r="Q842" s="16" t="str">
        <f aca="false">IF(P842="","",IFERROR(VLOOKUP(P842,PARTNERS!$A$2:$B$30,2,0),""))</f>
        <v/>
      </c>
      <c r="R842" s="17" t="str">
        <f aca="false">IF(O842="","",IF(OR(P842="",Q842=""),0,(O842-N842)*IF(Q842&gt;1,Q842/100,Q842)))</f>
        <v/>
      </c>
      <c r="S842" s="14" t="str">
        <f aca="false">IF(O842="","",O842-R842)</f>
        <v/>
      </c>
      <c r="T842" s="11"/>
      <c r="U842" s="18" t="str">
        <f aca="false">IF(T842="","",IFERROR(VLOOKUP(T842,REPS!$A$2:$D$40,2,0),""))</f>
        <v/>
      </c>
      <c r="V842" s="14" t="str">
        <f aca="false">IF(O842="","",IF(U842="",0,O842*IF(U842&gt;1,U842/100,U842)))</f>
        <v/>
      </c>
      <c r="W842" s="11"/>
      <c r="X842" s="18" t="str">
        <f aca="false">IF(W842="","",IFERROR(VLOOKUP(W842,REPS!$A$2:$D$40,3,0),""))</f>
        <v/>
      </c>
      <c r="Y842" s="14" t="str">
        <f aca="false">IF(O842="","",IF(X842="",0,O842*IF(X842&gt;1,X842/100,X842)))</f>
        <v/>
      </c>
      <c r="Z842" s="11"/>
      <c r="AA842" s="18" t="str">
        <f aca="false">IF(Z842="","",IFERROR(VLOOKUP(Z842,REPS!$A$2:$D$40,4,0),""))</f>
        <v/>
      </c>
      <c r="AB842" s="14" t="str">
        <f aca="false">IF(O842="","",IF(AA842="",0,O842*IF(AA842&gt;1,AA842/100,AA842)))</f>
        <v/>
      </c>
      <c r="AC842" s="14" t="str">
        <f aca="false">IF(O842="","",V842+Y842+AB842)</f>
        <v/>
      </c>
      <c r="AD842" s="19" t="str">
        <f aca="false">IF(O842="","",O842-R842-AC842)</f>
        <v/>
      </c>
      <c r="AE842" s="20"/>
      <c r="AF842" s="10"/>
      <c r="AG842" s="21" t="n">
        <f aca="false">IF(OR(AE842="",AE842=0),0,AE842*IF(U842="",0,IF(U842&gt;1,U842/100,U842)))</f>
        <v>0</v>
      </c>
      <c r="AH842" s="21" t="n">
        <f aca="false">IF(OR(AE842="",AE842=0),0,AE842*IF(X842="",0,IF(X842&gt;1,X842/100,X842)))</f>
        <v>0</v>
      </c>
      <c r="AI842" s="21" t="n">
        <f aca="false">IF(OR(AE842="",AE842=0),0,AE842*IF(AA842="",0,IF(AA842&gt;1,AA842/100,AA842)))</f>
        <v>0</v>
      </c>
      <c r="AJ842" s="21" t="n">
        <f aca="false">AG842+AH842+AI842</f>
        <v>0</v>
      </c>
      <c r="AK842" s="21" t="n">
        <f aca="false">IF(OR(AE842="",AE842=0),0,AE842-AJ842)</f>
        <v>0</v>
      </c>
      <c r="AL842" s="19" t="str">
        <f aca="false">IF(AD842="","",AD842-AK842)</f>
        <v/>
      </c>
      <c r="AM842" s="9" t="str">
        <f aca="false">IF(C842="","","Waiting for payment")</f>
        <v/>
      </c>
      <c r="AN842" s="10"/>
      <c r="AO842" s="10"/>
      <c r="AP842" s="22" t="str">
        <f aca="false">IF(OR(C842="",I842="",K842=""),"",IF(K842="Monthly",EDATE(C842,ROUND(I842*SETTINGS!$I$8,0)),WORKDAY(C842,ROUND(I842*SETTINGS!$I$8,0))))</f>
        <v/>
      </c>
      <c r="AQ842" s="9" t="str">
        <f aca="true">IF(C842="","",IF(AND(AP842&lt;&gt;"",TODAY()&gt;=AP842),"Refi Ready",IF(TODAY()-C842&gt;=SETTINGS!$I$11,"Prospecting","Performing")))</f>
        <v/>
      </c>
      <c r="AR842" s="22" t="str">
        <f aca="false">IF(OR(C842="",I842="",K842=""),"",IF(K842="Monthly",EDATE(C842,I842),WORKDAY(C842,I842)))</f>
        <v/>
      </c>
      <c r="AS842" s="11"/>
      <c r="AT842" s="23" t="str">
        <f aca="true">IF(C842="","",IF(AM842="Clawed Back","CLAWED",IF(TODAY()&lt;=C842+SETTINGS!$I$2,"⚠ AT RISK","SAFE")))</f>
        <v/>
      </c>
      <c r="AU842" s="11"/>
      <c r="AW842" s="24" t="n">
        <f aca="false">AW841+IF(AND(C842&lt;&gt;"",AO842&lt;&gt;"",OR('REP COMMISSION'!$B$3="",T842='REP COMMISSION'!$B$3,W842='REP COMMISSION'!$B$3,Z842='REP COMMISSION'!$B$3)),1,0)</f>
        <v>0</v>
      </c>
      <c r="AX842" s="24" t="n">
        <f aca="false">AX841+IF(AND(C842&lt;&gt;"",OR(F842="LOC - INITIAL",F842="CONSOLIDATION - UPFRONT COMM",F842="REVERSE - TOTAL FUNDING")),1,0)</f>
        <v>0</v>
      </c>
    </row>
    <row r="843" customFormat="false" ht="15" hidden="false" customHeight="false" outlineLevel="0" collapsed="false">
      <c r="A843" s="25" t="str">
        <f aca="false">IF(C843&lt;&gt;"","F"&amp;COUNT($C$4:C843),"")</f>
        <v/>
      </c>
      <c r="B843" s="26" t="str">
        <f aca="false">IF(OR(F843="LOC - INITIAL",F843="CONSOLIDATION - UPFRONT COMM",F843="REVERSE - TOTAL FUNDING"),A843,"")</f>
        <v/>
      </c>
      <c r="C843" s="27"/>
      <c r="D843" s="28"/>
      <c r="E843" s="28"/>
      <c r="F843" s="28"/>
      <c r="G843" s="29"/>
      <c r="H843" s="30"/>
      <c r="I843" s="28"/>
      <c r="J843" s="31" t="str">
        <f aca="false">IF(AND(G843&lt;&gt;"",H843&lt;&gt;""),G843*H843,"")</f>
        <v/>
      </c>
      <c r="K843" s="28"/>
      <c r="L843" s="32"/>
      <c r="M843" s="32"/>
      <c r="N843" s="31" t="n">
        <f aca="false">IF(OR(G843="",M843=""),0,IF(M843&gt;100,M843,G843*IF(M843&gt;1,M843/100,M843)))</f>
        <v>0</v>
      </c>
      <c r="O843" s="31" t="str">
        <f aca="false">IF(G843="","",G843*IF(L843="",0,IF(L843&gt;1,L843/100,L843))+N843)</f>
        <v/>
      </c>
      <c r="P843" s="28"/>
      <c r="Q843" s="33" t="str">
        <f aca="false">IF(P843="","",IFERROR(VLOOKUP(P843,PARTNERS!$A$2:$B$30,2,0),""))</f>
        <v/>
      </c>
      <c r="R843" s="17" t="str">
        <f aca="false">IF(O843="","",IF(OR(P843="",Q843=""),0,(O843-N843)*IF(Q843&gt;1,Q843/100,Q843)))</f>
        <v/>
      </c>
      <c r="S843" s="31" t="str">
        <f aca="false">IF(O843="","",O843-R843)</f>
        <v/>
      </c>
      <c r="T843" s="28"/>
      <c r="U843" s="34" t="str">
        <f aca="false">IF(T843="","",IFERROR(VLOOKUP(T843,REPS!$A$2:$D$40,2,0),""))</f>
        <v/>
      </c>
      <c r="V843" s="31" t="str">
        <f aca="false">IF(O843="","",IF(U843="",0,O843*IF(U843&gt;1,U843/100,U843)))</f>
        <v/>
      </c>
      <c r="W843" s="28"/>
      <c r="X843" s="34" t="str">
        <f aca="false">IF(W843="","",IFERROR(VLOOKUP(W843,REPS!$A$2:$D$40,3,0),""))</f>
        <v/>
      </c>
      <c r="Y843" s="31" t="str">
        <f aca="false">IF(O843="","",IF(X843="",0,O843*IF(X843&gt;1,X843/100,X843)))</f>
        <v/>
      </c>
      <c r="Z843" s="28"/>
      <c r="AA843" s="34" t="str">
        <f aca="false">IF(Z843="","",IFERROR(VLOOKUP(Z843,REPS!$A$2:$D$40,4,0),""))</f>
        <v/>
      </c>
      <c r="AB843" s="31" t="str">
        <f aca="false">IF(O843="","",IF(AA843="",0,O843*IF(AA843&gt;1,AA843/100,AA843)))</f>
        <v/>
      </c>
      <c r="AC843" s="31" t="str">
        <f aca="false">IF(O843="","",V843+Y843+AB843)</f>
        <v/>
      </c>
      <c r="AD843" s="19" t="str">
        <f aca="false">IF(O843="","",O843-R843-AC843)</f>
        <v/>
      </c>
      <c r="AE843" s="20"/>
      <c r="AF843" s="27"/>
      <c r="AG843" s="21" t="n">
        <f aca="false">IF(OR(AE843="",AE843=0),0,AE843*IF(U843="",0,IF(U843&gt;1,U843/100,U843)))</f>
        <v>0</v>
      </c>
      <c r="AH843" s="21" t="n">
        <f aca="false">IF(OR(AE843="",AE843=0),0,AE843*IF(X843="",0,IF(X843&gt;1,X843/100,X843)))</f>
        <v>0</v>
      </c>
      <c r="AI843" s="21" t="n">
        <f aca="false">IF(OR(AE843="",AE843=0),0,AE843*IF(AA843="",0,IF(AA843&gt;1,AA843/100,AA843)))</f>
        <v>0</v>
      </c>
      <c r="AJ843" s="21" t="n">
        <f aca="false">AG843+AH843+AI843</f>
        <v>0</v>
      </c>
      <c r="AK843" s="21" t="n">
        <f aca="false">IF(OR(AE843="",AE843=0),0,AE843-AJ843)</f>
        <v>0</v>
      </c>
      <c r="AL843" s="19" t="str">
        <f aca="false">IF(AD843="","",AD843-AK843)</f>
        <v/>
      </c>
      <c r="AM843" s="26" t="str">
        <f aca="false">IF(C843="","","Waiting for payment")</f>
        <v/>
      </c>
      <c r="AN843" s="27"/>
      <c r="AO843" s="27"/>
      <c r="AP843" s="35" t="str">
        <f aca="false">IF(OR(C843="",I843="",K843=""),"",IF(K843="Monthly",EDATE(C843,ROUND(I843*SETTINGS!$I$8,0)),WORKDAY(C843,ROUND(I843*SETTINGS!$I$8,0))))</f>
        <v/>
      </c>
      <c r="AQ843" s="26" t="str">
        <f aca="true">IF(C843="","",IF(AND(AP843&lt;&gt;"",TODAY()&gt;=AP843),"Refi Ready",IF(TODAY()-C843&gt;=SETTINGS!$I$11,"Prospecting","Performing")))</f>
        <v/>
      </c>
      <c r="AR843" s="35" t="str">
        <f aca="false">IF(OR(C843="",I843="",K843=""),"",IF(K843="Monthly",EDATE(C843,I843),WORKDAY(C843,I843)))</f>
        <v/>
      </c>
      <c r="AS843" s="28"/>
      <c r="AT843" s="36" t="str">
        <f aca="true">IF(C843="","",IF(AM843="Clawed Back","CLAWED",IF(TODAY()&lt;=C843+SETTINGS!$I$2,"⚠ AT RISK","SAFE")))</f>
        <v/>
      </c>
      <c r="AU843" s="28"/>
      <c r="AW843" s="24" t="n">
        <f aca="false">AW842+IF(AND(C843&lt;&gt;"",AO843&lt;&gt;"",OR('REP COMMISSION'!$B$3="",T843='REP COMMISSION'!$B$3,W843='REP COMMISSION'!$B$3,Z843='REP COMMISSION'!$B$3)),1,0)</f>
        <v>0</v>
      </c>
      <c r="AX843" s="24" t="n">
        <f aca="false">AX842+IF(AND(C843&lt;&gt;"",OR(F843="LOC - INITIAL",F843="CONSOLIDATION - UPFRONT COMM",F843="REVERSE - TOTAL FUNDING")),1,0)</f>
        <v>0</v>
      </c>
    </row>
    <row r="844" customFormat="false" ht="15" hidden="false" customHeight="false" outlineLevel="0" collapsed="false">
      <c r="A844" s="8" t="str">
        <f aca="false">IF(C844&lt;&gt;"","F"&amp;COUNT($C$4:C844),"")</f>
        <v/>
      </c>
      <c r="B844" s="9" t="str">
        <f aca="false">IF(OR(F844="LOC - INITIAL",F844="CONSOLIDATION - UPFRONT COMM",F844="REVERSE - TOTAL FUNDING"),A844,"")</f>
        <v/>
      </c>
      <c r="C844" s="10"/>
      <c r="D844" s="11"/>
      <c r="E844" s="11"/>
      <c r="F844" s="11"/>
      <c r="G844" s="12"/>
      <c r="H844" s="13"/>
      <c r="I844" s="11"/>
      <c r="J844" s="14" t="str">
        <f aca="false">IF(AND(G844&lt;&gt;"",H844&lt;&gt;""),G844*H844,"")</f>
        <v/>
      </c>
      <c r="K844" s="11"/>
      <c r="L844" s="15"/>
      <c r="M844" s="15"/>
      <c r="N844" s="14" t="n">
        <f aca="false">IF(OR(G844="",M844=""),0,IF(M844&gt;100,M844,G844*IF(M844&gt;1,M844/100,M844)))</f>
        <v>0</v>
      </c>
      <c r="O844" s="14" t="str">
        <f aca="false">IF(G844="","",G844*IF(L844="",0,IF(L844&gt;1,L844/100,L844))+N844)</f>
        <v/>
      </c>
      <c r="P844" s="11"/>
      <c r="Q844" s="16" t="str">
        <f aca="false">IF(P844="","",IFERROR(VLOOKUP(P844,PARTNERS!$A$2:$B$30,2,0),""))</f>
        <v/>
      </c>
      <c r="R844" s="17" t="str">
        <f aca="false">IF(O844="","",IF(OR(P844="",Q844=""),0,(O844-N844)*IF(Q844&gt;1,Q844/100,Q844)))</f>
        <v/>
      </c>
      <c r="S844" s="14" t="str">
        <f aca="false">IF(O844="","",O844-R844)</f>
        <v/>
      </c>
      <c r="T844" s="11"/>
      <c r="U844" s="18" t="str">
        <f aca="false">IF(T844="","",IFERROR(VLOOKUP(T844,REPS!$A$2:$D$40,2,0),""))</f>
        <v/>
      </c>
      <c r="V844" s="14" t="str">
        <f aca="false">IF(O844="","",IF(U844="",0,O844*IF(U844&gt;1,U844/100,U844)))</f>
        <v/>
      </c>
      <c r="W844" s="11"/>
      <c r="X844" s="18" t="str">
        <f aca="false">IF(W844="","",IFERROR(VLOOKUP(W844,REPS!$A$2:$D$40,3,0),""))</f>
        <v/>
      </c>
      <c r="Y844" s="14" t="str">
        <f aca="false">IF(O844="","",IF(X844="",0,O844*IF(X844&gt;1,X844/100,X844)))</f>
        <v/>
      </c>
      <c r="Z844" s="11"/>
      <c r="AA844" s="18" t="str">
        <f aca="false">IF(Z844="","",IFERROR(VLOOKUP(Z844,REPS!$A$2:$D$40,4,0),""))</f>
        <v/>
      </c>
      <c r="AB844" s="14" t="str">
        <f aca="false">IF(O844="","",IF(AA844="",0,O844*IF(AA844&gt;1,AA844/100,AA844)))</f>
        <v/>
      </c>
      <c r="AC844" s="14" t="str">
        <f aca="false">IF(O844="","",V844+Y844+AB844)</f>
        <v/>
      </c>
      <c r="AD844" s="19" t="str">
        <f aca="false">IF(O844="","",O844-R844-AC844)</f>
        <v/>
      </c>
      <c r="AE844" s="20"/>
      <c r="AF844" s="10"/>
      <c r="AG844" s="21" t="n">
        <f aca="false">IF(OR(AE844="",AE844=0),0,AE844*IF(U844="",0,IF(U844&gt;1,U844/100,U844)))</f>
        <v>0</v>
      </c>
      <c r="AH844" s="21" t="n">
        <f aca="false">IF(OR(AE844="",AE844=0),0,AE844*IF(X844="",0,IF(X844&gt;1,X844/100,X844)))</f>
        <v>0</v>
      </c>
      <c r="AI844" s="21" t="n">
        <f aca="false">IF(OR(AE844="",AE844=0),0,AE844*IF(AA844="",0,IF(AA844&gt;1,AA844/100,AA844)))</f>
        <v>0</v>
      </c>
      <c r="AJ844" s="21" t="n">
        <f aca="false">AG844+AH844+AI844</f>
        <v>0</v>
      </c>
      <c r="AK844" s="21" t="n">
        <f aca="false">IF(OR(AE844="",AE844=0),0,AE844-AJ844)</f>
        <v>0</v>
      </c>
      <c r="AL844" s="19" t="str">
        <f aca="false">IF(AD844="","",AD844-AK844)</f>
        <v/>
      </c>
      <c r="AM844" s="9" t="str">
        <f aca="false">IF(C844="","","Waiting for payment")</f>
        <v/>
      </c>
      <c r="AN844" s="10"/>
      <c r="AO844" s="10"/>
      <c r="AP844" s="22" t="str">
        <f aca="false">IF(OR(C844="",I844="",K844=""),"",IF(K844="Monthly",EDATE(C844,ROUND(I844*SETTINGS!$I$8,0)),WORKDAY(C844,ROUND(I844*SETTINGS!$I$8,0))))</f>
        <v/>
      </c>
      <c r="AQ844" s="9" t="str">
        <f aca="true">IF(C844="","",IF(AND(AP844&lt;&gt;"",TODAY()&gt;=AP844),"Refi Ready",IF(TODAY()-C844&gt;=SETTINGS!$I$11,"Prospecting","Performing")))</f>
        <v/>
      </c>
      <c r="AR844" s="22" t="str">
        <f aca="false">IF(OR(C844="",I844="",K844=""),"",IF(K844="Monthly",EDATE(C844,I844),WORKDAY(C844,I844)))</f>
        <v/>
      </c>
      <c r="AS844" s="11"/>
      <c r="AT844" s="23" t="str">
        <f aca="true">IF(C844="","",IF(AM844="Clawed Back","CLAWED",IF(TODAY()&lt;=C844+SETTINGS!$I$2,"⚠ AT RISK","SAFE")))</f>
        <v/>
      </c>
      <c r="AU844" s="11"/>
      <c r="AW844" s="24" t="n">
        <f aca="false">AW843+IF(AND(C844&lt;&gt;"",AO844&lt;&gt;"",OR('REP COMMISSION'!$B$3="",T844='REP COMMISSION'!$B$3,W844='REP COMMISSION'!$B$3,Z844='REP COMMISSION'!$B$3)),1,0)</f>
        <v>0</v>
      </c>
      <c r="AX844" s="24" t="n">
        <f aca="false">AX843+IF(AND(C844&lt;&gt;"",OR(F844="LOC - INITIAL",F844="CONSOLIDATION - UPFRONT COMM",F844="REVERSE - TOTAL FUNDING")),1,0)</f>
        <v>0</v>
      </c>
    </row>
    <row r="845" customFormat="false" ht="15" hidden="false" customHeight="false" outlineLevel="0" collapsed="false">
      <c r="A845" s="25" t="str">
        <f aca="false">IF(C845&lt;&gt;"","F"&amp;COUNT($C$4:C845),"")</f>
        <v/>
      </c>
      <c r="B845" s="26" t="str">
        <f aca="false">IF(OR(F845="LOC - INITIAL",F845="CONSOLIDATION - UPFRONT COMM",F845="REVERSE - TOTAL FUNDING"),A845,"")</f>
        <v/>
      </c>
      <c r="C845" s="27"/>
      <c r="D845" s="28"/>
      <c r="E845" s="28"/>
      <c r="F845" s="28"/>
      <c r="G845" s="29"/>
      <c r="H845" s="30"/>
      <c r="I845" s="28"/>
      <c r="J845" s="31" t="str">
        <f aca="false">IF(AND(G845&lt;&gt;"",H845&lt;&gt;""),G845*H845,"")</f>
        <v/>
      </c>
      <c r="K845" s="28"/>
      <c r="L845" s="32"/>
      <c r="M845" s="32"/>
      <c r="N845" s="31" t="n">
        <f aca="false">IF(OR(G845="",M845=""),0,IF(M845&gt;100,M845,G845*IF(M845&gt;1,M845/100,M845)))</f>
        <v>0</v>
      </c>
      <c r="O845" s="31" t="str">
        <f aca="false">IF(G845="","",G845*IF(L845="",0,IF(L845&gt;1,L845/100,L845))+N845)</f>
        <v/>
      </c>
      <c r="P845" s="28"/>
      <c r="Q845" s="33" t="str">
        <f aca="false">IF(P845="","",IFERROR(VLOOKUP(P845,PARTNERS!$A$2:$B$30,2,0),""))</f>
        <v/>
      </c>
      <c r="R845" s="17" t="str">
        <f aca="false">IF(O845="","",IF(OR(P845="",Q845=""),0,(O845-N845)*IF(Q845&gt;1,Q845/100,Q845)))</f>
        <v/>
      </c>
      <c r="S845" s="31" t="str">
        <f aca="false">IF(O845="","",O845-R845)</f>
        <v/>
      </c>
      <c r="T845" s="28"/>
      <c r="U845" s="34" t="str">
        <f aca="false">IF(T845="","",IFERROR(VLOOKUP(T845,REPS!$A$2:$D$40,2,0),""))</f>
        <v/>
      </c>
      <c r="V845" s="31" t="str">
        <f aca="false">IF(O845="","",IF(U845="",0,O845*IF(U845&gt;1,U845/100,U845)))</f>
        <v/>
      </c>
      <c r="W845" s="28"/>
      <c r="X845" s="34" t="str">
        <f aca="false">IF(W845="","",IFERROR(VLOOKUP(W845,REPS!$A$2:$D$40,3,0),""))</f>
        <v/>
      </c>
      <c r="Y845" s="31" t="str">
        <f aca="false">IF(O845="","",IF(X845="",0,O845*IF(X845&gt;1,X845/100,X845)))</f>
        <v/>
      </c>
      <c r="Z845" s="28"/>
      <c r="AA845" s="34" t="str">
        <f aca="false">IF(Z845="","",IFERROR(VLOOKUP(Z845,REPS!$A$2:$D$40,4,0),""))</f>
        <v/>
      </c>
      <c r="AB845" s="31" t="str">
        <f aca="false">IF(O845="","",IF(AA845="",0,O845*IF(AA845&gt;1,AA845/100,AA845)))</f>
        <v/>
      </c>
      <c r="AC845" s="31" t="str">
        <f aca="false">IF(O845="","",V845+Y845+AB845)</f>
        <v/>
      </c>
      <c r="AD845" s="19" t="str">
        <f aca="false">IF(O845="","",O845-R845-AC845)</f>
        <v/>
      </c>
      <c r="AE845" s="20"/>
      <c r="AF845" s="27"/>
      <c r="AG845" s="21" t="n">
        <f aca="false">IF(OR(AE845="",AE845=0),0,AE845*IF(U845="",0,IF(U845&gt;1,U845/100,U845)))</f>
        <v>0</v>
      </c>
      <c r="AH845" s="21" t="n">
        <f aca="false">IF(OR(AE845="",AE845=0),0,AE845*IF(X845="",0,IF(X845&gt;1,X845/100,X845)))</f>
        <v>0</v>
      </c>
      <c r="AI845" s="21" t="n">
        <f aca="false">IF(OR(AE845="",AE845=0),0,AE845*IF(AA845="",0,IF(AA845&gt;1,AA845/100,AA845)))</f>
        <v>0</v>
      </c>
      <c r="AJ845" s="21" t="n">
        <f aca="false">AG845+AH845+AI845</f>
        <v>0</v>
      </c>
      <c r="AK845" s="21" t="n">
        <f aca="false">IF(OR(AE845="",AE845=0),0,AE845-AJ845)</f>
        <v>0</v>
      </c>
      <c r="AL845" s="19" t="str">
        <f aca="false">IF(AD845="","",AD845-AK845)</f>
        <v/>
      </c>
      <c r="AM845" s="26" t="str">
        <f aca="false">IF(C845="","","Waiting for payment")</f>
        <v/>
      </c>
      <c r="AN845" s="27"/>
      <c r="AO845" s="27"/>
      <c r="AP845" s="35" t="str">
        <f aca="false">IF(OR(C845="",I845="",K845=""),"",IF(K845="Monthly",EDATE(C845,ROUND(I845*SETTINGS!$I$8,0)),WORKDAY(C845,ROUND(I845*SETTINGS!$I$8,0))))</f>
        <v/>
      </c>
      <c r="AQ845" s="26" t="str">
        <f aca="true">IF(C845="","",IF(AND(AP845&lt;&gt;"",TODAY()&gt;=AP845),"Refi Ready",IF(TODAY()-C845&gt;=SETTINGS!$I$11,"Prospecting","Performing")))</f>
        <v/>
      </c>
      <c r="AR845" s="35" t="str">
        <f aca="false">IF(OR(C845="",I845="",K845=""),"",IF(K845="Monthly",EDATE(C845,I845),WORKDAY(C845,I845)))</f>
        <v/>
      </c>
      <c r="AS845" s="28"/>
      <c r="AT845" s="36" t="str">
        <f aca="true">IF(C845="","",IF(AM845="Clawed Back","CLAWED",IF(TODAY()&lt;=C845+SETTINGS!$I$2,"⚠ AT RISK","SAFE")))</f>
        <v/>
      </c>
      <c r="AU845" s="28"/>
      <c r="AW845" s="24" t="n">
        <f aca="false">AW844+IF(AND(C845&lt;&gt;"",AO845&lt;&gt;"",OR('REP COMMISSION'!$B$3="",T845='REP COMMISSION'!$B$3,W845='REP COMMISSION'!$B$3,Z845='REP COMMISSION'!$B$3)),1,0)</f>
        <v>0</v>
      </c>
      <c r="AX845" s="24" t="n">
        <f aca="false">AX844+IF(AND(C845&lt;&gt;"",OR(F845="LOC - INITIAL",F845="CONSOLIDATION - UPFRONT COMM",F845="REVERSE - TOTAL FUNDING")),1,0)</f>
        <v>0</v>
      </c>
    </row>
    <row r="846" customFormat="false" ht="15" hidden="false" customHeight="false" outlineLevel="0" collapsed="false">
      <c r="A846" s="8" t="str">
        <f aca="false">IF(C846&lt;&gt;"","F"&amp;COUNT($C$4:C846),"")</f>
        <v/>
      </c>
      <c r="B846" s="9" t="str">
        <f aca="false">IF(OR(F846="LOC - INITIAL",F846="CONSOLIDATION - UPFRONT COMM",F846="REVERSE - TOTAL FUNDING"),A846,"")</f>
        <v/>
      </c>
      <c r="C846" s="10"/>
      <c r="D846" s="11"/>
      <c r="E846" s="11"/>
      <c r="F846" s="11"/>
      <c r="G846" s="12"/>
      <c r="H846" s="13"/>
      <c r="I846" s="11"/>
      <c r="J846" s="14" t="str">
        <f aca="false">IF(AND(G846&lt;&gt;"",H846&lt;&gt;""),G846*H846,"")</f>
        <v/>
      </c>
      <c r="K846" s="11"/>
      <c r="L846" s="15"/>
      <c r="M846" s="15"/>
      <c r="N846" s="14" t="n">
        <f aca="false">IF(OR(G846="",M846=""),0,IF(M846&gt;100,M846,G846*IF(M846&gt;1,M846/100,M846)))</f>
        <v>0</v>
      </c>
      <c r="O846" s="14" t="str">
        <f aca="false">IF(G846="","",G846*IF(L846="",0,IF(L846&gt;1,L846/100,L846))+N846)</f>
        <v/>
      </c>
      <c r="P846" s="11"/>
      <c r="Q846" s="16" t="str">
        <f aca="false">IF(P846="","",IFERROR(VLOOKUP(P846,PARTNERS!$A$2:$B$30,2,0),""))</f>
        <v/>
      </c>
      <c r="R846" s="17" t="str">
        <f aca="false">IF(O846="","",IF(OR(P846="",Q846=""),0,(O846-N846)*IF(Q846&gt;1,Q846/100,Q846)))</f>
        <v/>
      </c>
      <c r="S846" s="14" t="str">
        <f aca="false">IF(O846="","",O846-R846)</f>
        <v/>
      </c>
      <c r="T846" s="11"/>
      <c r="U846" s="18" t="str">
        <f aca="false">IF(T846="","",IFERROR(VLOOKUP(T846,REPS!$A$2:$D$40,2,0),""))</f>
        <v/>
      </c>
      <c r="V846" s="14" t="str">
        <f aca="false">IF(O846="","",IF(U846="",0,O846*IF(U846&gt;1,U846/100,U846)))</f>
        <v/>
      </c>
      <c r="W846" s="11"/>
      <c r="X846" s="18" t="str">
        <f aca="false">IF(W846="","",IFERROR(VLOOKUP(W846,REPS!$A$2:$D$40,3,0),""))</f>
        <v/>
      </c>
      <c r="Y846" s="14" t="str">
        <f aca="false">IF(O846="","",IF(X846="",0,O846*IF(X846&gt;1,X846/100,X846)))</f>
        <v/>
      </c>
      <c r="Z846" s="11"/>
      <c r="AA846" s="18" t="str">
        <f aca="false">IF(Z846="","",IFERROR(VLOOKUP(Z846,REPS!$A$2:$D$40,4,0),""))</f>
        <v/>
      </c>
      <c r="AB846" s="14" t="str">
        <f aca="false">IF(O846="","",IF(AA846="",0,O846*IF(AA846&gt;1,AA846/100,AA846)))</f>
        <v/>
      </c>
      <c r="AC846" s="14" t="str">
        <f aca="false">IF(O846="","",V846+Y846+AB846)</f>
        <v/>
      </c>
      <c r="AD846" s="19" t="str">
        <f aca="false">IF(O846="","",O846-R846-AC846)</f>
        <v/>
      </c>
      <c r="AE846" s="20"/>
      <c r="AF846" s="10"/>
      <c r="AG846" s="21" t="n">
        <f aca="false">IF(OR(AE846="",AE846=0),0,AE846*IF(U846="",0,IF(U846&gt;1,U846/100,U846)))</f>
        <v>0</v>
      </c>
      <c r="AH846" s="21" t="n">
        <f aca="false">IF(OR(AE846="",AE846=0),0,AE846*IF(X846="",0,IF(X846&gt;1,X846/100,X846)))</f>
        <v>0</v>
      </c>
      <c r="AI846" s="21" t="n">
        <f aca="false">IF(OR(AE846="",AE846=0),0,AE846*IF(AA846="",0,IF(AA846&gt;1,AA846/100,AA846)))</f>
        <v>0</v>
      </c>
      <c r="AJ846" s="21" t="n">
        <f aca="false">AG846+AH846+AI846</f>
        <v>0</v>
      </c>
      <c r="AK846" s="21" t="n">
        <f aca="false">IF(OR(AE846="",AE846=0),0,AE846-AJ846)</f>
        <v>0</v>
      </c>
      <c r="AL846" s="19" t="str">
        <f aca="false">IF(AD846="","",AD846-AK846)</f>
        <v/>
      </c>
      <c r="AM846" s="9" t="str">
        <f aca="false">IF(C846="","","Waiting for payment")</f>
        <v/>
      </c>
      <c r="AN846" s="10"/>
      <c r="AO846" s="10"/>
      <c r="AP846" s="22" t="str">
        <f aca="false">IF(OR(C846="",I846="",K846=""),"",IF(K846="Monthly",EDATE(C846,ROUND(I846*SETTINGS!$I$8,0)),WORKDAY(C846,ROUND(I846*SETTINGS!$I$8,0))))</f>
        <v/>
      </c>
      <c r="AQ846" s="9" t="str">
        <f aca="true">IF(C846="","",IF(AND(AP846&lt;&gt;"",TODAY()&gt;=AP846),"Refi Ready",IF(TODAY()-C846&gt;=SETTINGS!$I$11,"Prospecting","Performing")))</f>
        <v/>
      </c>
      <c r="AR846" s="22" t="str">
        <f aca="false">IF(OR(C846="",I846="",K846=""),"",IF(K846="Monthly",EDATE(C846,I846),WORKDAY(C846,I846)))</f>
        <v/>
      </c>
      <c r="AS846" s="11"/>
      <c r="AT846" s="23" t="str">
        <f aca="true">IF(C846="","",IF(AM846="Clawed Back","CLAWED",IF(TODAY()&lt;=C846+SETTINGS!$I$2,"⚠ AT RISK","SAFE")))</f>
        <v/>
      </c>
      <c r="AU846" s="11"/>
      <c r="AW846" s="24" t="n">
        <f aca="false">AW845+IF(AND(C846&lt;&gt;"",AO846&lt;&gt;"",OR('REP COMMISSION'!$B$3="",T846='REP COMMISSION'!$B$3,W846='REP COMMISSION'!$B$3,Z846='REP COMMISSION'!$B$3)),1,0)</f>
        <v>0</v>
      </c>
      <c r="AX846" s="24" t="n">
        <f aca="false">AX845+IF(AND(C846&lt;&gt;"",OR(F846="LOC - INITIAL",F846="CONSOLIDATION - UPFRONT COMM",F846="REVERSE - TOTAL FUNDING")),1,0)</f>
        <v>0</v>
      </c>
    </row>
    <row r="847" customFormat="false" ht="15" hidden="false" customHeight="false" outlineLevel="0" collapsed="false">
      <c r="A847" s="25" t="str">
        <f aca="false">IF(C847&lt;&gt;"","F"&amp;COUNT($C$4:C847),"")</f>
        <v/>
      </c>
      <c r="B847" s="26" t="str">
        <f aca="false">IF(OR(F847="LOC - INITIAL",F847="CONSOLIDATION - UPFRONT COMM",F847="REVERSE - TOTAL FUNDING"),A847,"")</f>
        <v/>
      </c>
      <c r="C847" s="27"/>
      <c r="D847" s="28"/>
      <c r="E847" s="28"/>
      <c r="F847" s="28"/>
      <c r="G847" s="29"/>
      <c r="H847" s="30"/>
      <c r="I847" s="28"/>
      <c r="J847" s="31" t="str">
        <f aca="false">IF(AND(G847&lt;&gt;"",H847&lt;&gt;""),G847*H847,"")</f>
        <v/>
      </c>
      <c r="K847" s="28"/>
      <c r="L847" s="32"/>
      <c r="M847" s="32"/>
      <c r="N847" s="31" t="n">
        <f aca="false">IF(OR(G847="",M847=""),0,IF(M847&gt;100,M847,G847*IF(M847&gt;1,M847/100,M847)))</f>
        <v>0</v>
      </c>
      <c r="O847" s="31" t="str">
        <f aca="false">IF(G847="","",G847*IF(L847="",0,IF(L847&gt;1,L847/100,L847))+N847)</f>
        <v/>
      </c>
      <c r="P847" s="28"/>
      <c r="Q847" s="33" t="str">
        <f aca="false">IF(P847="","",IFERROR(VLOOKUP(P847,PARTNERS!$A$2:$B$30,2,0),""))</f>
        <v/>
      </c>
      <c r="R847" s="17" t="str">
        <f aca="false">IF(O847="","",IF(OR(P847="",Q847=""),0,(O847-N847)*IF(Q847&gt;1,Q847/100,Q847)))</f>
        <v/>
      </c>
      <c r="S847" s="31" t="str">
        <f aca="false">IF(O847="","",O847-R847)</f>
        <v/>
      </c>
      <c r="T847" s="28"/>
      <c r="U847" s="34" t="str">
        <f aca="false">IF(T847="","",IFERROR(VLOOKUP(T847,REPS!$A$2:$D$40,2,0),""))</f>
        <v/>
      </c>
      <c r="V847" s="31" t="str">
        <f aca="false">IF(O847="","",IF(U847="",0,O847*IF(U847&gt;1,U847/100,U847)))</f>
        <v/>
      </c>
      <c r="W847" s="28"/>
      <c r="X847" s="34" t="str">
        <f aca="false">IF(W847="","",IFERROR(VLOOKUP(W847,REPS!$A$2:$D$40,3,0),""))</f>
        <v/>
      </c>
      <c r="Y847" s="31" t="str">
        <f aca="false">IF(O847="","",IF(X847="",0,O847*IF(X847&gt;1,X847/100,X847)))</f>
        <v/>
      </c>
      <c r="Z847" s="28"/>
      <c r="AA847" s="34" t="str">
        <f aca="false">IF(Z847="","",IFERROR(VLOOKUP(Z847,REPS!$A$2:$D$40,4,0),""))</f>
        <v/>
      </c>
      <c r="AB847" s="31" t="str">
        <f aca="false">IF(O847="","",IF(AA847="",0,O847*IF(AA847&gt;1,AA847/100,AA847)))</f>
        <v/>
      </c>
      <c r="AC847" s="31" t="str">
        <f aca="false">IF(O847="","",V847+Y847+AB847)</f>
        <v/>
      </c>
      <c r="AD847" s="19" t="str">
        <f aca="false">IF(O847="","",O847-R847-AC847)</f>
        <v/>
      </c>
      <c r="AE847" s="20"/>
      <c r="AF847" s="27"/>
      <c r="AG847" s="21" t="n">
        <f aca="false">IF(OR(AE847="",AE847=0),0,AE847*IF(U847="",0,IF(U847&gt;1,U847/100,U847)))</f>
        <v>0</v>
      </c>
      <c r="AH847" s="21" t="n">
        <f aca="false">IF(OR(AE847="",AE847=0),0,AE847*IF(X847="",0,IF(X847&gt;1,X847/100,X847)))</f>
        <v>0</v>
      </c>
      <c r="AI847" s="21" t="n">
        <f aca="false">IF(OR(AE847="",AE847=0),0,AE847*IF(AA847="",0,IF(AA847&gt;1,AA847/100,AA847)))</f>
        <v>0</v>
      </c>
      <c r="AJ847" s="21" t="n">
        <f aca="false">AG847+AH847+AI847</f>
        <v>0</v>
      </c>
      <c r="AK847" s="21" t="n">
        <f aca="false">IF(OR(AE847="",AE847=0),0,AE847-AJ847)</f>
        <v>0</v>
      </c>
      <c r="AL847" s="19" t="str">
        <f aca="false">IF(AD847="","",AD847-AK847)</f>
        <v/>
      </c>
      <c r="AM847" s="26" t="str">
        <f aca="false">IF(C847="","","Waiting for payment")</f>
        <v/>
      </c>
      <c r="AN847" s="27"/>
      <c r="AO847" s="27"/>
      <c r="AP847" s="35" t="str">
        <f aca="false">IF(OR(C847="",I847="",K847=""),"",IF(K847="Monthly",EDATE(C847,ROUND(I847*SETTINGS!$I$8,0)),WORKDAY(C847,ROUND(I847*SETTINGS!$I$8,0))))</f>
        <v/>
      </c>
      <c r="AQ847" s="26" t="str">
        <f aca="true">IF(C847="","",IF(AND(AP847&lt;&gt;"",TODAY()&gt;=AP847),"Refi Ready",IF(TODAY()-C847&gt;=SETTINGS!$I$11,"Prospecting","Performing")))</f>
        <v/>
      </c>
      <c r="AR847" s="35" t="str">
        <f aca="false">IF(OR(C847="",I847="",K847=""),"",IF(K847="Monthly",EDATE(C847,I847),WORKDAY(C847,I847)))</f>
        <v/>
      </c>
      <c r="AS847" s="28"/>
      <c r="AT847" s="36" t="str">
        <f aca="true">IF(C847="","",IF(AM847="Clawed Back","CLAWED",IF(TODAY()&lt;=C847+SETTINGS!$I$2,"⚠ AT RISK","SAFE")))</f>
        <v/>
      </c>
      <c r="AU847" s="28"/>
      <c r="AW847" s="24" t="n">
        <f aca="false">AW846+IF(AND(C847&lt;&gt;"",AO847&lt;&gt;"",OR('REP COMMISSION'!$B$3="",T847='REP COMMISSION'!$B$3,W847='REP COMMISSION'!$B$3,Z847='REP COMMISSION'!$B$3)),1,0)</f>
        <v>0</v>
      </c>
      <c r="AX847" s="24" t="n">
        <f aca="false">AX846+IF(AND(C847&lt;&gt;"",OR(F847="LOC - INITIAL",F847="CONSOLIDATION - UPFRONT COMM",F847="REVERSE - TOTAL FUNDING")),1,0)</f>
        <v>0</v>
      </c>
    </row>
    <row r="848" customFormat="false" ht="15" hidden="false" customHeight="false" outlineLevel="0" collapsed="false">
      <c r="A848" s="8" t="str">
        <f aca="false">IF(C848&lt;&gt;"","F"&amp;COUNT($C$4:C848),"")</f>
        <v/>
      </c>
      <c r="B848" s="9" t="str">
        <f aca="false">IF(OR(F848="LOC - INITIAL",F848="CONSOLIDATION - UPFRONT COMM",F848="REVERSE - TOTAL FUNDING"),A848,"")</f>
        <v/>
      </c>
      <c r="C848" s="10"/>
      <c r="D848" s="11"/>
      <c r="E848" s="11"/>
      <c r="F848" s="11"/>
      <c r="G848" s="12"/>
      <c r="H848" s="13"/>
      <c r="I848" s="11"/>
      <c r="J848" s="14" t="str">
        <f aca="false">IF(AND(G848&lt;&gt;"",H848&lt;&gt;""),G848*H848,"")</f>
        <v/>
      </c>
      <c r="K848" s="11"/>
      <c r="L848" s="15"/>
      <c r="M848" s="15"/>
      <c r="N848" s="14" t="n">
        <f aca="false">IF(OR(G848="",M848=""),0,IF(M848&gt;100,M848,G848*IF(M848&gt;1,M848/100,M848)))</f>
        <v>0</v>
      </c>
      <c r="O848" s="14" t="str">
        <f aca="false">IF(G848="","",G848*IF(L848="",0,IF(L848&gt;1,L848/100,L848))+N848)</f>
        <v/>
      </c>
      <c r="P848" s="11"/>
      <c r="Q848" s="16" t="str">
        <f aca="false">IF(P848="","",IFERROR(VLOOKUP(P848,PARTNERS!$A$2:$B$30,2,0),""))</f>
        <v/>
      </c>
      <c r="R848" s="17" t="str">
        <f aca="false">IF(O848="","",IF(OR(P848="",Q848=""),0,(O848-N848)*IF(Q848&gt;1,Q848/100,Q848)))</f>
        <v/>
      </c>
      <c r="S848" s="14" t="str">
        <f aca="false">IF(O848="","",O848-R848)</f>
        <v/>
      </c>
      <c r="T848" s="11"/>
      <c r="U848" s="18" t="str">
        <f aca="false">IF(T848="","",IFERROR(VLOOKUP(T848,REPS!$A$2:$D$40,2,0),""))</f>
        <v/>
      </c>
      <c r="V848" s="14" t="str">
        <f aca="false">IF(O848="","",IF(U848="",0,O848*IF(U848&gt;1,U848/100,U848)))</f>
        <v/>
      </c>
      <c r="W848" s="11"/>
      <c r="X848" s="18" t="str">
        <f aca="false">IF(W848="","",IFERROR(VLOOKUP(W848,REPS!$A$2:$D$40,3,0),""))</f>
        <v/>
      </c>
      <c r="Y848" s="14" t="str">
        <f aca="false">IF(O848="","",IF(X848="",0,O848*IF(X848&gt;1,X848/100,X848)))</f>
        <v/>
      </c>
      <c r="Z848" s="11"/>
      <c r="AA848" s="18" t="str">
        <f aca="false">IF(Z848="","",IFERROR(VLOOKUP(Z848,REPS!$A$2:$D$40,4,0),""))</f>
        <v/>
      </c>
      <c r="AB848" s="14" t="str">
        <f aca="false">IF(O848="","",IF(AA848="",0,O848*IF(AA848&gt;1,AA848/100,AA848)))</f>
        <v/>
      </c>
      <c r="AC848" s="14" t="str">
        <f aca="false">IF(O848="","",V848+Y848+AB848)</f>
        <v/>
      </c>
      <c r="AD848" s="19" t="str">
        <f aca="false">IF(O848="","",O848-R848-AC848)</f>
        <v/>
      </c>
      <c r="AE848" s="20"/>
      <c r="AF848" s="10"/>
      <c r="AG848" s="21" t="n">
        <f aca="false">IF(OR(AE848="",AE848=0),0,AE848*IF(U848="",0,IF(U848&gt;1,U848/100,U848)))</f>
        <v>0</v>
      </c>
      <c r="AH848" s="21" t="n">
        <f aca="false">IF(OR(AE848="",AE848=0),0,AE848*IF(X848="",0,IF(X848&gt;1,X848/100,X848)))</f>
        <v>0</v>
      </c>
      <c r="AI848" s="21" t="n">
        <f aca="false">IF(OR(AE848="",AE848=0),0,AE848*IF(AA848="",0,IF(AA848&gt;1,AA848/100,AA848)))</f>
        <v>0</v>
      </c>
      <c r="AJ848" s="21" t="n">
        <f aca="false">AG848+AH848+AI848</f>
        <v>0</v>
      </c>
      <c r="AK848" s="21" t="n">
        <f aca="false">IF(OR(AE848="",AE848=0),0,AE848-AJ848)</f>
        <v>0</v>
      </c>
      <c r="AL848" s="19" t="str">
        <f aca="false">IF(AD848="","",AD848-AK848)</f>
        <v/>
      </c>
      <c r="AM848" s="9" t="str">
        <f aca="false">IF(C848="","","Waiting for payment")</f>
        <v/>
      </c>
      <c r="AN848" s="10"/>
      <c r="AO848" s="10"/>
      <c r="AP848" s="22" t="str">
        <f aca="false">IF(OR(C848="",I848="",K848=""),"",IF(K848="Monthly",EDATE(C848,ROUND(I848*SETTINGS!$I$8,0)),WORKDAY(C848,ROUND(I848*SETTINGS!$I$8,0))))</f>
        <v/>
      </c>
      <c r="AQ848" s="9" t="str">
        <f aca="true">IF(C848="","",IF(AND(AP848&lt;&gt;"",TODAY()&gt;=AP848),"Refi Ready",IF(TODAY()-C848&gt;=SETTINGS!$I$11,"Prospecting","Performing")))</f>
        <v/>
      </c>
      <c r="AR848" s="22" t="str">
        <f aca="false">IF(OR(C848="",I848="",K848=""),"",IF(K848="Monthly",EDATE(C848,I848),WORKDAY(C848,I848)))</f>
        <v/>
      </c>
      <c r="AS848" s="11"/>
      <c r="AT848" s="23" t="str">
        <f aca="true">IF(C848="","",IF(AM848="Clawed Back","CLAWED",IF(TODAY()&lt;=C848+SETTINGS!$I$2,"⚠ AT RISK","SAFE")))</f>
        <v/>
      </c>
      <c r="AU848" s="11"/>
      <c r="AW848" s="24" t="n">
        <f aca="false">AW847+IF(AND(C848&lt;&gt;"",AO848&lt;&gt;"",OR('REP COMMISSION'!$B$3="",T848='REP COMMISSION'!$B$3,W848='REP COMMISSION'!$B$3,Z848='REP COMMISSION'!$B$3)),1,0)</f>
        <v>0</v>
      </c>
      <c r="AX848" s="24" t="n">
        <f aca="false">AX847+IF(AND(C848&lt;&gt;"",OR(F848="LOC - INITIAL",F848="CONSOLIDATION - UPFRONT COMM",F848="REVERSE - TOTAL FUNDING")),1,0)</f>
        <v>0</v>
      </c>
    </row>
    <row r="849" customFormat="false" ht="15" hidden="false" customHeight="false" outlineLevel="0" collapsed="false">
      <c r="A849" s="25" t="str">
        <f aca="false">IF(C849&lt;&gt;"","F"&amp;COUNT($C$4:C849),"")</f>
        <v/>
      </c>
      <c r="B849" s="26" t="str">
        <f aca="false">IF(OR(F849="LOC - INITIAL",F849="CONSOLIDATION - UPFRONT COMM",F849="REVERSE - TOTAL FUNDING"),A849,"")</f>
        <v/>
      </c>
      <c r="C849" s="27"/>
      <c r="D849" s="28"/>
      <c r="E849" s="28"/>
      <c r="F849" s="28"/>
      <c r="G849" s="29"/>
      <c r="H849" s="30"/>
      <c r="I849" s="28"/>
      <c r="J849" s="31" t="str">
        <f aca="false">IF(AND(G849&lt;&gt;"",H849&lt;&gt;""),G849*H849,"")</f>
        <v/>
      </c>
      <c r="K849" s="28"/>
      <c r="L849" s="32"/>
      <c r="M849" s="32"/>
      <c r="N849" s="31" t="n">
        <f aca="false">IF(OR(G849="",M849=""),0,IF(M849&gt;100,M849,G849*IF(M849&gt;1,M849/100,M849)))</f>
        <v>0</v>
      </c>
      <c r="O849" s="31" t="str">
        <f aca="false">IF(G849="","",G849*IF(L849="",0,IF(L849&gt;1,L849/100,L849))+N849)</f>
        <v/>
      </c>
      <c r="P849" s="28"/>
      <c r="Q849" s="33" t="str">
        <f aca="false">IF(P849="","",IFERROR(VLOOKUP(P849,PARTNERS!$A$2:$B$30,2,0),""))</f>
        <v/>
      </c>
      <c r="R849" s="17" t="str">
        <f aca="false">IF(O849="","",IF(OR(P849="",Q849=""),0,(O849-N849)*IF(Q849&gt;1,Q849/100,Q849)))</f>
        <v/>
      </c>
      <c r="S849" s="31" t="str">
        <f aca="false">IF(O849="","",O849-R849)</f>
        <v/>
      </c>
      <c r="T849" s="28"/>
      <c r="U849" s="34" t="str">
        <f aca="false">IF(T849="","",IFERROR(VLOOKUP(T849,REPS!$A$2:$D$40,2,0),""))</f>
        <v/>
      </c>
      <c r="V849" s="31" t="str">
        <f aca="false">IF(O849="","",IF(U849="",0,O849*IF(U849&gt;1,U849/100,U849)))</f>
        <v/>
      </c>
      <c r="W849" s="28"/>
      <c r="X849" s="34" t="str">
        <f aca="false">IF(W849="","",IFERROR(VLOOKUP(W849,REPS!$A$2:$D$40,3,0),""))</f>
        <v/>
      </c>
      <c r="Y849" s="31" t="str">
        <f aca="false">IF(O849="","",IF(X849="",0,O849*IF(X849&gt;1,X849/100,X849)))</f>
        <v/>
      </c>
      <c r="Z849" s="28"/>
      <c r="AA849" s="34" t="str">
        <f aca="false">IF(Z849="","",IFERROR(VLOOKUP(Z849,REPS!$A$2:$D$40,4,0),""))</f>
        <v/>
      </c>
      <c r="AB849" s="31" t="str">
        <f aca="false">IF(O849="","",IF(AA849="",0,O849*IF(AA849&gt;1,AA849/100,AA849)))</f>
        <v/>
      </c>
      <c r="AC849" s="31" t="str">
        <f aca="false">IF(O849="","",V849+Y849+AB849)</f>
        <v/>
      </c>
      <c r="AD849" s="19" t="str">
        <f aca="false">IF(O849="","",O849-R849-AC849)</f>
        <v/>
      </c>
      <c r="AE849" s="20"/>
      <c r="AF849" s="27"/>
      <c r="AG849" s="21" t="n">
        <f aca="false">IF(OR(AE849="",AE849=0),0,AE849*IF(U849="",0,IF(U849&gt;1,U849/100,U849)))</f>
        <v>0</v>
      </c>
      <c r="AH849" s="21" t="n">
        <f aca="false">IF(OR(AE849="",AE849=0),0,AE849*IF(X849="",0,IF(X849&gt;1,X849/100,X849)))</f>
        <v>0</v>
      </c>
      <c r="AI849" s="21" t="n">
        <f aca="false">IF(OR(AE849="",AE849=0),0,AE849*IF(AA849="",0,IF(AA849&gt;1,AA849/100,AA849)))</f>
        <v>0</v>
      </c>
      <c r="AJ849" s="21" t="n">
        <f aca="false">AG849+AH849+AI849</f>
        <v>0</v>
      </c>
      <c r="AK849" s="21" t="n">
        <f aca="false">IF(OR(AE849="",AE849=0),0,AE849-AJ849)</f>
        <v>0</v>
      </c>
      <c r="AL849" s="19" t="str">
        <f aca="false">IF(AD849="","",AD849-AK849)</f>
        <v/>
      </c>
      <c r="AM849" s="26" t="str">
        <f aca="false">IF(C849="","","Waiting for payment")</f>
        <v/>
      </c>
      <c r="AN849" s="27"/>
      <c r="AO849" s="27"/>
      <c r="AP849" s="35" t="str">
        <f aca="false">IF(OR(C849="",I849="",K849=""),"",IF(K849="Monthly",EDATE(C849,ROUND(I849*SETTINGS!$I$8,0)),WORKDAY(C849,ROUND(I849*SETTINGS!$I$8,0))))</f>
        <v/>
      </c>
      <c r="AQ849" s="26" t="str">
        <f aca="true">IF(C849="","",IF(AND(AP849&lt;&gt;"",TODAY()&gt;=AP849),"Refi Ready",IF(TODAY()-C849&gt;=SETTINGS!$I$11,"Prospecting","Performing")))</f>
        <v/>
      </c>
      <c r="AR849" s="35" t="str">
        <f aca="false">IF(OR(C849="",I849="",K849=""),"",IF(K849="Monthly",EDATE(C849,I849),WORKDAY(C849,I849)))</f>
        <v/>
      </c>
      <c r="AS849" s="28"/>
      <c r="AT849" s="36" t="str">
        <f aca="true">IF(C849="","",IF(AM849="Clawed Back","CLAWED",IF(TODAY()&lt;=C849+SETTINGS!$I$2,"⚠ AT RISK","SAFE")))</f>
        <v/>
      </c>
      <c r="AU849" s="28"/>
      <c r="AW849" s="24" t="n">
        <f aca="false">AW848+IF(AND(C849&lt;&gt;"",AO849&lt;&gt;"",OR('REP COMMISSION'!$B$3="",T849='REP COMMISSION'!$B$3,W849='REP COMMISSION'!$B$3,Z849='REP COMMISSION'!$B$3)),1,0)</f>
        <v>0</v>
      </c>
      <c r="AX849" s="24" t="n">
        <f aca="false">AX848+IF(AND(C849&lt;&gt;"",OR(F849="LOC - INITIAL",F849="CONSOLIDATION - UPFRONT COMM",F849="REVERSE - TOTAL FUNDING")),1,0)</f>
        <v>0</v>
      </c>
    </row>
    <row r="850" customFormat="false" ht="15" hidden="false" customHeight="false" outlineLevel="0" collapsed="false">
      <c r="A850" s="8" t="str">
        <f aca="false">IF(C850&lt;&gt;"","F"&amp;COUNT($C$4:C850),"")</f>
        <v/>
      </c>
      <c r="B850" s="9" t="str">
        <f aca="false">IF(OR(F850="LOC - INITIAL",F850="CONSOLIDATION - UPFRONT COMM",F850="REVERSE - TOTAL FUNDING"),A850,"")</f>
        <v/>
      </c>
      <c r="C850" s="10"/>
      <c r="D850" s="11"/>
      <c r="E850" s="11"/>
      <c r="F850" s="11"/>
      <c r="G850" s="12"/>
      <c r="H850" s="13"/>
      <c r="I850" s="11"/>
      <c r="J850" s="14" t="str">
        <f aca="false">IF(AND(G850&lt;&gt;"",H850&lt;&gt;""),G850*H850,"")</f>
        <v/>
      </c>
      <c r="K850" s="11"/>
      <c r="L850" s="15"/>
      <c r="M850" s="15"/>
      <c r="N850" s="14" t="n">
        <f aca="false">IF(OR(G850="",M850=""),0,IF(M850&gt;100,M850,G850*IF(M850&gt;1,M850/100,M850)))</f>
        <v>0</v>
      </c>
      <c r="O850" s="14" t="str">
        <f aca="false">IF(G850="","",G850*IF(L850="",0,IF(L850&gt;1,L850/100,L850))+N850)</f>
        <v/>
      </c>
      <c r="P850" s="11"/>
      <c r="Q850" s="16" t="str">
        <f aca="false">IF(P850="","",IFERROR(VLOOKUP(P850,PARTNERS!$A$2:$B$30,2,0),""))</f>
        <v/>
      </c>
      <c r="R850" s="17" t="str">
        <f aca="false">IF(O850="","",IF(OR(P850="",Q850=""),0,(O850-N850)*IF(Q850&gt;1,Q850/100,Q850)))</f>
        <v/>
      </c>
      <c r="S850" s="14" t="str">
        <f aca="false">IF(O850="","",O850-R850)</f>
        <v/>
      </c>
      <c r="T850" s="11"/>
      <c r="U850" s="18" t="str">
        <f aca="false">IF(T850="","",IFERROR(VLOOKUP(T850,REPS!$A$2:$D$40,2,0),""))</f>
        <v/>
      </c>
      <c r="V850" s="14" t="str">
        <f aca="false">IF(O850="","",IF(U850="",0,O850*IF(U850&gt;1,U850/100,U850)))</f>
        <v/>
      </c>
      <c r="W850" s="11"/>
      <c r="X850" s="18" t="str">
        <f aca="false">IF(W850="","",IFERROR(VLOOKUP(W850,REPS!$A$2:$D$40,3,0),""))</f>
        <v/>
      </c>
      <c r="Y850" s="14" t="str">
        <f aca="false">IF(O850="","",IF(X850="",0,O850*IF(X850&gt;1,X850/100,X850)))</f>
        <v/>
      </c>
      <c r="Z850" s="11"/>
      <c r="AA850" s="18" t="str">
        <f aca="false">IF(Z850="","",IFERROR(VLOOKUP(Z850,REPS!$A$2:$D$40,4,0),""))</f>
        <v/>
      </c>
      <c r="AB850" s="14" t="str">
        <f aca="false">IF(O850="","",IF(AA850="",0,O850*IF(AA850&gt;1,AA850/100,AA850)))</f>
        <v/>
      </c>
      <c r="AC850" s="14" t="str">
        <f aca="false">IF(O850="","",V850+Y850+AB850)</f>
        <v/>
      </c>
      <c r="AD850" s="19" t="str">
        <f aca="false">IF(O850="","",O850-R850-AC850)</f>
        <v/>
      </c>
      <c r="AE850" s="20"/>
      <c r="AF850" s="10"/>
      <c r="AG850" s="21" t="n">
        <f aca="false">IF(OR(AE850="",AE850=0),0,AE850*IF(U850="",0,IF(U850&gt;1,U850/100,U850)))</f>
        <v>0</v>
      </c>
      <c r="AH850" s="21" t="n">
        <f aca="false">IF(OR(AE850="",AE850=0),0,AE850*IF(X850="",0,IF(X850&gt;1,X850/100,X850)))</f>
        <v>0</v>
      </c>
      <c r="AI850" s="21" t="n">
        <f aca="false">IF(OR(AE850="",AE850=0),0,AE850*IF(AA850="",0,IF(AA850&gt;1,AA850/100,AA850)))</f>
        <v>0</v>
      </c>
      <c r="AJ850" s="21" t="n">
        <f aca="false">AG850+AH850+AI850</f>
        <v>0</v>
      </c>
      <c r="AK850" s="21" t="n">
        <f aca="false">IF(OR(AE850="",AE850=0),0,AE850-AJ850)</f>
        <v>0</v>
      </c>
      <c r="AL850" s="19" t="str">
        <f aca="false">IF(AD850="","",AD850-AK850)</f>
        <v/>
      </c>
      <c r="AM850" s="9" t="str">
        <f aca="false">IF(C850="","","Waiting for payment")</f>
        <v/>
      </c>
      <c r="AN850" s="10"/>
      <c r="AO850" s="10"/>
      <c r="AP850" s="22" t="str">
        <f aca="false">IF(OR(C850="",I850="",K850=""),"",IF(K850="Monthly",EDATE(C850,ROUND(I850*SETTINGS!$I$8,0)),WORKDAY(C850,ROUND(I850*SETTINGS!$I$8,0))))</f>
        <v/>
      </c>
      <c r="AQ850" s="9" t="str">
        <f aca="true">IF(C850="","",IF(AND(AP850&lt;&gt;"",TODAY()&gt;=AP850),"Refi Ready",IF(TODAY()-C850&gt;=SETTINGS!$I$11,"Prospecting","Performing")))</f>
        <v/>
      </c>
      <c r="AR850" s="22" t="str">
        <f aca="false">IF(OR(C850="",I850="",K850=""),"",IF(K850="Monthly",EDATE(C850,I850),WORKDAY(C850,I850)))</f>
        <v/>
      </c>
      <c r="AS850" s="11"/>
      <c r="AT850" s="23" t="str">
        <f aca="true">IF(C850="","",IF(AM850="Clawed Back","CLAWED",IF(TODAY()&lt;=C850+SETTINGS!$I$2,"⚠ AT RISK","SAFE")))</f>
        <v/>
      </c>
      <c r="AU850" s="11"/>
      <c r="AW850" s="24" t="n">
        <f aca="false">AW849+IF(AND(C850&lt;&gt;"",AO850&lt;&gt;"",OR('REP COMMISSION'!$B$3="",T850='REP COMMISSION'!$B$3,W850='REP COMMISSION'!$B$3,Z850='REP COMMISSION'!$B$3)),1,0)</f>
        <v>0</v>
      </c>
      <c r="AX850" s="24" t="n">
        <f aca="false">AX849+IF(AND(C850&lt;&gt;"",OR(F850="LOC - INITIAL",F850="CONSOLIDATION - UPFRONT COMM",F850="REVERSE - TOTAL FUNDING")),1,0)</f>
        <v>0</v>
      </c>
    </row>
    <row r="851" customFormat="false" ht="15" hidden="false" customHeight="false" outlineLevel="0" collapsed="false">
      <c r="A851" s="25" t="str">
        <f aca="false">IF(C851&lt;&gt;"","F"&amp;COUNT($C$4:C851),"")</f>
        <v/>
      </c>
      <c r="B851" s="26" t="str">
        <f aca="false">IF(OR(F851="LOC - INITIAL",F851="CONSOLIDATION - UPFRONT COMM",F851="REVERSE - TOTAL FUNDING"),A851,"")</f>
        <v/>
      </c>
      <c r="C851" s="27"/>
      <c r="D851" s="28"/>
      <c r="E851" s="28"/>
      <c r="F851" s="28"/>
      <c r="G851" s="29"/>
      <c r="H851" s="30"/>
      <c r="I851" s="28"/>
      <c r="J851" s="31" t="str">
        <f aca="false">IF(AND(G851&lt;&gt;"",H851&lt;&gt;""),G851*H851,"")</f>
        <v/>
      </c>
      <c r="K851" s="28"/>
      <c r="L851" s="32"/>
      <c r="M851" s="32"/>
      <c r="N851" s="31" t="n">
        <f aca="false">IF(OR(G851="",M851=""),0,IF(M851&gt;100,M851,G851*IF(M851&gt;1,M851/100,M851)))</f>
        <v>0</v>
      </c>
      <c r="O851" s="31" t="str">
        <f aca="false">IF(G851="","",G851*IF(L851="",0,IF(L851&gt;1,L851/100,L851))+N851)</f>
        <v/>
      </c>
      <c r="P851" s="28"/>
      <c r="Q851" s="33" t="str">
        <f aca="false">IF(P851="","",IFERROR(VLOOKUP(P851,PARTNERS!$A$2:$B$30,2,0),""))</f>
        <v/>
      </c>
      <c r="R851" s="17" t="str">
        <f aca="false">IF(O851="","",IF(OR(P851="",Q851=""),0,(O851-N851)*IF(Q851&gt;1,Q851/100,Q851)))</f>
        <v/>
      </c>
      <c r="S851" s="31" t="str">
        <f aca="false">IF(O851="","",O851-R851)</f>
        <v/>
      </c>
      <c r="T851" s="28"/>
      <c r="U851" s="34" t="str">
        <f aca="false">IF(T851="","",IFERROR(VLOOKUP(T851,REPS!$A$2:$D$40,2,0),""))</f>
        <v/>
      </c>
      <c r="V851" s="31" t="str">
        <f aca="false">IF(O851="","",IF(U851="",0,O851*IF(U851&gt;1,U851/100,U851)))</f>
        <v/>
      </c>
      <c r="W851" s="28"/>
      <c r="X851" s="34" t="str">
        <f aca="false">IF(W851="","",IFERROR(VLOOKUP(W851,REPS!$A$2:$D$40,3,0),""))</f>
        <v/>
      </c>
      <c r="Y851" s="31" t="str">
        <f aca="false">IF(O851="","",IF(X851="",0,O851*IF(X851&gt;1,X851/100,X851)))</f>
        <v/>
      </c>
      <c r="Z851" s="28"/>
      <c r="AA851" s="34" t="str">
        <f aca="false">IF(Z851="","",IFERROR(VLOOKUP(Z851,REPS!$A$2:$D$40,4,0),""))</f>
        <v/>
      </c>
      <c r="AB851" s="31" t="str">
        <f aca="false">IF(O851="","",IF(AA851="",0,O851*IF(AA851&gt;1,AA851/100,AA851)))</f>
        <v/>
      </c>
      <c r="AC851" s="31" t="str">
        <f aca="false">IF(O851="","",V851+Y851+AB851)</f>
        <v/>
      </c>
      <c r="AD851" s="19" t="str">
        <f aca="false">IF(O851="","",O851-R851-AC851)</f>
        <v/>
      </c>
      <c r="AE851" s="20"/>
      <c r="AF851" s="27"/>
      <c r="AG851" s="21" t="n">
        <f aca="false">IF(OR(AE851="",AE851=0),0,AE851*IF(U851="",0,IF(U851&gt;1,U851/100,U851)))</f>
        <v>0</v>
      </c>
      <c r="AH851" s="21" t="n">
        <f aca="false">IF(OR(AE851="",AE851=0),0,AE851*IF(X851="",0,IF(X851&gt;1,X851/100,X851)))</f>
        <v>0</v>
      </c>
      <c r="AI851" s="21" t="n">
        <f aca="false">IF(OR(AE851="",AE851=0),0,AE851*IF(AA851="",0,IF(AA851&gt;1,AA851/100,AA851)))</f>
        <v>0</v>
      </c>
      <c r="AJ851" s="21" t="n">
        <f aca="false">AG851+AH851+AI851</f>
        <v>0</v>
      </c>
      <c r="AK851" s="21" t="n">
        <f aca="false">IF(OR(AE851="",AE851=0),0,AE851-AJ851)</f>
        <v>0</v>
      </c>
      <c r="AL851" s="19" t="str">
        <f aca="false">IF(AD851="","",AD851-AK851)</f>
        <v/>
      </c>
      <c r="AM851" s="26" t="str">
        <f aca="false">IF(C851="","","Waiting for payment")</f>
        <v/>
      </c>
      <c r="AN851" s="27"/>
      <c r="AO851" s="27"/>
      <c r="AP851" s="35" t="str">
        <f aca="false">IF(OR(C851="",I851="",K851=""),"",IF(K851="Monthly",EDATE(C851,ROUND(I851*SETTINGS!$I$8,0)),WORKDAY(C851,ROUND(I851*SETTINGS!$I$8,0))))</f>
        <v/>
      </c>
      <c r="AQ851" s="26" t="str">
        <f aca="true">IF(C851="","",IF(AND(AP851&lt;&gt;"",TODAY()&gt;=AP851),"Refi Ready",IF(TODAY()-C851&gt;=SETTINGS!$I$11,"Prospecting","Performing")))</f>
        <v/>
      </c>
      <c r="AR851" s="35" t="str">
        <f aca="false">IF(OR(C851="",I851="",K851=""),"",IF(K851="Monthly",EDATE(C851,I851),WORKDAY(C851,I851)))</f>
        <v/>
      </c>
      <c r="AS851" s="28"/>
      <c r="AT851" s="36" t="str">
        <f aca="true">IF(C851="","",IF(AM851="Clawed Back","CLAWED",IF(TODAY()&lt;=C851+SETTINGS!$I$2,"⚠ AT RISK","SAFE")))</f>
        <v/>
      </c>
      <c r="AU851" s="28"/>
      <c r="AW851" s="24" t="n">
        <f aca="false">AW850+IF(AND(C851&lt;&gt;"",AO851&lt;&gt;"",OR('REP COMMISSION'!$B$3="",T851='REP COMMISSION'!$B$3,W851='REP COMMISSION'!$B$3,Z851='REP COMMISSION'!$B$3)),1,0)</f>
        <v>0</v>
      </c>
      <c r="AX851" s="24" t="n">
        <f aca="false">AX850+IF(AND(C851&lt;&gt;"",OR(F851="LOC - INITIAL",F851="CONSOLIDATION - UPFRONT COMM",F851="REVERSE - TOTAL FUNDING")),1,0)</f>
        <v>0</v>
      </c>
    </row>
    <row r="852" customFormat="false" ht="15" hidden="false" customHeight="false" outlineLevel="0" collapsed="false">
      <c r="A852" s="8" t="str">
        <f aca="false">IF(C852&lt;&gt;"","F"&amp;COUNT($C$4:C852),"")</f>
        <v/>
      </c>
      <c r="B852" s="9" t="str">
        <f aca="false">IF(OR(F852="LOC - INITIAL",F852="CONSOLIDATION - UPFRONT COMM",F852="REVERSE - TOTAL FUNDING"),A852,"")</f>
        <v/>
      </c>
      <c r="C852" s="10"/>
      <c r="D852" s="11"/>
      <c r="E852" s="11"/>
      <c r="F852" s="11"/>
      <c r="G852" s="12"/>
      <c r="H852" s="13"/>
      <c r="I852" s="11"/>
      <c r="J852" s="14" t="str">
        <f aca="false">IF(AND(G852&lt;&gt;"",H852&lt;&gt;""),G852*H852,"")</f>
        <v/>
      </c>
      <c r="K852" s="11"/>
      <c r="L852" s="15"/>
      <c r="M852" s="15"/>
      <c r="N852" s="14" t="n">
        <f aca="false">IF(OR(G852="",M852=""),0,IF(M852&gt;100,M852,G852*IF(M852&gt;1,M852/100,M852)))</f>
        <v>0</v>
      </c>
      <c r="O852" s="14" t="str">
        <f aca="false">IF(G852="","",G852*IF(L852="",0,IF(L852&gt;1,L852/100,L852))+N852)</f>
        <v/>
      </c>
      <c r="P852" s="11"/>
      <c r="Q852" s="16" t="str">
        <f aca="false">IF(P852="","",IFERROR(VLOOKUP(P852,PARTNERS!$A$2:$B$30,2,0),""))</f>
        <v/>
      </c>
      <c r="R852" s="17" t="str">
        <f aca="false">IF(O852="","",IF(OR(P852="",Q852=""),0,(O852-N852)*IF(Q852&gt;1,Q852/100,Q852)))</f>
        <v/>
      </c>
      <c r="S852" s="14" t="str">
        <f aca="false">IF(O852="","",O852-R852)</f>
        <v/>
      </c>
      <c r="T852" s="11"/>
      <c r="U852" s="18" t="str">
        <f aca="false">IF(T852="","",IFERROR(VLOOKUP(T852,REPS!$A$2:$D$40,2,0),""))</f>
        <v/>
      </c>
      <c r="V852" s="14" t="str">
        <f aca="false">IF(O852="","",IF(U852="",0,O852*IF(U852&gt;1,U852/100,U852)))</f>
        <v/>
      </c>
      <c r="W852" s="11"/>
      <c r="X852" s="18" t="str">
        <f aca="false">IF(W852="","",IFERROR(VLOOKUP(W852,REPS!$A$2:$D$40,3,0),""))</f>
        <v/>
      </c>
      <c r="Y852" s="14" t="str">
        <f aca="false">IF(O852="","",IF(X852="",0,O852*IF(X852&gt;1,X852/100,X852)))</f>
        <v/>
      </c>
      <c r="Z852" s="11"/>
      <c r="AA852" s="18" t="str">
        <f aca="false">IF(Z852="","",IFERROR(VLOOKUP(Z852,REPS!$A$2:$D$40,4,0),""))</f>
        <v/>
      </c>
      <c r="AB852" s="14" t="str">
        <f aca="false">IF(O852="","",IF(AA852="",0,O852*IF(AA852&gt;1,AA852/100,AA852)))</f>
        <v/>
      </c>
      <c r="AC852" s="14" t="str">
        <f aca="false">IF(O852="","",V852+Y852+AB852)</f>
        <v/>
      </c>
      <c r="AD852" s="19" t="str">
        <f aca="false">IF(O852="","",O852-R852-AC852)</f>
        <v/>
      </c>
      <c r="AE852" s="20"/>
      <c r="AF852" s="10"/>
      <c r="AG852" s="21" t="n">
        <f aca="false">IF(OR(AE852="",AE852=0),0,AE852*IF(U852="",0,IF(U852&gt;1,U852/100,U852)))</f>
        <v>0</v>
      </c>
      <c r="AH852" s="21" t="n">
        <f aca="false">IF(OR(AE852="",AE852=0),0,AE852*IF(X852="",0,IF(X852&gt;1,X852/100,X852)))</f>
        <v>0</v>
      </c>
      <c r="AI852" s="21" t="n">
        <f aca="false">IF(OR(AE852="",AE852=0),0,AE852*IF(AA852="",0,IF(AA852&gt;1,AA852/100,AA852)))</f>
        <v>0</v>
      </c>
      <c r="AJ852" s="21" t="n">
        <f aca="false">AG852+AH852+AI852</f>
        <v>0</v>
      </c>
      <c r="AK852" s="21" t="n">
        <f aca="false">IF(OR(AE852="",AE852=0),0,AE852-AJ852)</f>
        <v>0</v>
      </c>
      <c r="AL852" s="19" t="str">
        <f aca="false">IF(AD852="","",AD852-AK852)</f>
        <v/>
      </c>
      <c r="AM852" s="9" t="str">
        <f aca="false">IF(C852="","","Waiting for payment")</f>
        <v/>
      </c>
      <c r="AN852" s="10"/>
      <c r="AO852" s="10"/>
      <c r="AP852" s="22" t="str">
        <f aca="false">IF(OR(C852="",I852="",K852=""),"",IF(K852="Monthly",EDATE(C852,ROUND(I852*SETTINGS!$I$8,0)),WORKDAY(C852,ROUND(I852*SETTINGS!$I$8,0))))</f>
        <v/>
      </c>
      <c r="AQ852" s="9" t="str">
        <f aca="true">IF(C852="","",IF(AND(AP852&lt;&gt;"",TODAY()&gt;=AP852),"Refi Ready",IF(TODAY()-C852&gt;=SETTINGS!$I$11,"Prospecting","Performing")))</f>
        <v/>
      </c>
      <c r="AR852" s="22" t="str">
        <f aca="false">IF(OR(C852="",I852="",K852=""),"",IF(K852="Monthly",EDATE(C852,I852),WORKDAY(C852,I852)))</f>
        <v/>
      </c>
      <c r="AS852" s="11"/>
      <c r="AT852" s="23" t="str">
        <f aca="true">IF(C852="","",IF(AM852="Clawed Back","CLAWED",IF(TODAY()&lt;=C852+SETTINGS!$I$2,"⚠ AT RISK","SAFE")))</f>
        <v/>
      </c>
      <c r="AU852" s="11"/>
      <c r="AW852" s="24" t="n">
        <f aca="false">AW851+IF(AND(C852&lt;&gt;"",AO852&lt;&gt;"",OR('REP COMMISSION'!$B$3="",T852='REP COMMISSION'!$B$3,W852='REP COMMISSION'!$B$3,Z852='REP COMMISSION'!$B$3)),1,0)</f>
        <v>0</v>
      </c>
      <c r="AX852" s="24" t="n">
        <f aca="false">AX851+IF(AND(C852&lt;&gt;"",OR(F852="LOC - INITIAL",F852="CONSOLIDATION - UPFRONT COMM",F852="REVERSE - TOTAL FUNDING")),1,0)</f>
        <v>0</v>
      </c>
    </row>
    <row r="853" customFormat="false" ht="15" hidden="false" customHeight="false" outlineLevel="0" collapsed="false">
      <c r="A853" s="25" t="str">
        <f aca="false">IF(C853&lt;&gt;"","F"&amp;COUNT($C$4:C853),"")</f>
        <v/>
      </c>
      <c r="B853" s="26" t="str">
        <f aca="false">IF(OR(F853="LOC - INITIAL",F853="CONSOLIDATION - UPFRONT COMM",F853="REVERSE - TOTAL FUNDING"),A853,"")</f>
        <v/>
      </c>
      <c r="C853" s="27"/>
      <c r="D853" s="28"/>
      <c r="E853" s="28"/>
      <c r="F853" s="28"/>
      <c r="G853" s="29"/>
      <c r="H853" s="30"/>
      <c r="I853" s="28"/>
      <c r="J853" s="31" t="str">
        <f aca="false">IF(AND(G853&lt;&gt;"",H853&lt;&gt;""),G853*H853,"")</f>
        <v/>
      </c>
      <c r="K853" s="28"/>
      <c r="L853" s="32"/>
      <c r="M853" s="32"/>
      <c r="N853" s="31" t="n">
        <f aca="false">IF(OR(G853="",M853=""),0,IF(M853&gt;100,M853,G853*IF(M853&gt;1,M853/100,M853)))</f>
        <v>0</v>
      </c>
      <c r="O853" s="31" t="str">
        <f aca="false">IF(G853="","",G853*IF(L853="",0,IF(L853&gt;1,L853/100,L853))+N853)</f>
        <v/>
      </c>
      <c r="P853" s="28"/>
      <c r="Q853" s="33" t="str">
        <f aca="false">IF(P853="","",IFERROR(VLOOKUP(P853,PARTNERS!$A$2:$B$30,2,0),""))</f>
        <v/>
      </c>
      <c r="R853" s="17" t="str">
        <f aca="false">IF(O853="","",IF(OR(P853="",Q853=""),0,(O853-N853)*IF(Q853&gt;1,Q853/100,Q853)))</f>
        <v/>
      </c>
      <c r="S853" s="31" t="str">
        <f aca="false">IF(O853="","",O853-R853)</f>
        <v/>
      </c>
      <c r="T853" s="28"/>
      <c r="U853" s="34" t="str">
        <f aca="false">IF(T853="","",IFERROR(VLOOKUP(T853,REPS!$A$2:$D$40,2,0),""))</f>
        <v/>
      </c>
      <c r="V853" s="31" t="str">
        <f aca="false">IF(O853="","",IF(U853="",0,O853*IF(U853&gt;1,U853/100,U853)))</f>
        <v/>
      </c>
      <c r="W853" s="28"/>
      <c r="X853" s="34" t="str">
        <f aca="false">IF(W853="","",IFERROR(VLOOKUP(W853,REPS!$A$2:$D$40,3,0),""))</f>
        <v/>
      </c>
      <c r="Y853" s="31" t="str">
        <f aca="false">IF(O853="","",IF(X853="",0,O853*IF(X853&gt;1,X853/100,X853)))</f>
        <v/>
      </c>
      <c r="Z853" s="28"/>
      <c r="AA853" s="34" t="str">
        <f aca="false">IF(Z853="","",IFERROR(VLOOKUP(Z853,REPS!$A$2:$D$40,4,0),""))</f>
        <v/>
      </c>
      <c r="AB853" s="31" t="str">
        <f aca="false">IF(O853="","",IF(AA853="",0,O853*IF(AA853&gt;1,AA853/100,AA853)))</f>
        <v/>
      </c>
      <c r="AC853" s="31" t="str">
        <f aca="false">IF(O853="","",V853+Y853+AB853)</f>
        <v/>
      </c>
      <c r="AD853" s="19" t="str">
        <f aca="false">IF(O853="","",O853-R853-AC853)</f>
        <v/>
      </c>
      <c r="AE853" s="20"/>
      <c r="AF853" s="27"/>
      <c r="AG853" s="21" t="n">
        <f aca="false">IF(OR(AE853="",AE853=0),0,AE853*IF(U853="",0,IF(U853&gt;1,U853/100,U853)))</f>
        <v>0</v>
      </c>
      <c r="AH853" s="21" t="n">
        <f aca="false">IF(OR(AE853="",AE853=0),0,AE853*IF(X853="",0,IF(X853&gt;1,X853/100,X853)))</f>
        <v>0</v>
      </c>
      <c r="AI853" s="21" t="n">
        <f aca="false">IF(OR(AE853="",AE853=0),0,AE853*IF(AA853="",0,IF(AA853&gt;1,AA853/100,AA853)))</f>
        <v>0</v>
      </c>
      <c r="AJ853" s="21" t="n">
        <f aca="false">AG853+AH853+AI853</f>
        <v>0</v>
      </c>
      <c r="AK853" s="21" t="n">
        <f aca="false">IF(OR(AE853="",AE853=0),0,AE853-AJ853)</f>
        <v>0</v>
      </c>
      <c r="AL853" s="19" t="str">
        <f aca="false">IF(AD853="","",AD853-AK853)</f>
        <v/>
      </c>
      <c r="AM853" s="26" t="str">
        <f aca="false">IF(C853="","","Waiting for payment")</f>
        <v/>
      </c>
      <c r="AN853" s="27"/>
      <c r="AO853" s="27"/>
      <c r="AP853" s="35" t="str">
        <f aca="false">IF(OR(C853="",I853="",K853=""),"",IF(K853="Monthly",EDATE(C853,ROUND(I853*SETTINGS!$I$8,0)),WORKDAY(C853,ROUND(I853*SETTINGS!$I$8,0))))</f>
        <v/>
      </c>
      <c r="AQ853" s="26" t="str">
        <f aca="true">IF(C853="","",IF(AND(AP853&lt;&gt;"",TODAY()&gt;=AP853),"Refi Ready",IF(TODAY()-C853&gt;=SETTINGS!$I$11,"Prospecting","Performing")))</f>
        <v/>
      </c>
      <c r="AR853" s="35" t="str">
        <f aca="false">IF(OR(C853="",I853="",K853=""),"",IF(K853="Monthly",EDATE(C853,I853),WORKDAY(C853,I853)))</f>
        <v/>
      </c>
      <c r="AS853" s="28"/>
      <c r="AT853" s="36" t="str">
        <f aca="true">IF(C853="","",IF(AM853="Clawed Back","CLAWED",IF(TODAY()&lt;=C853+SETTINGS!$I$2,"⚠ AT RISK","SAFE")))</f>
        <v/>
      </c>
      <c r="AU853" s="28"/>
      <c r="AW853" s="24" t="n">
        <f aca="false">AW852+IF(AND(C853&lt;&gt;"",AO853&lt;&gt;"",OR('REP COMMISSION'!$B$3="",T853='REP COMMISSION'!$B$3,W853='REP COMMISSION'!$B$3,Z853='REP COMMISSION'!$B$3)),1,0)</f>
        <v>0</v>
      </c>
      <c r="AX853" s="24" t="n">
        <f aca="false">AX852+IF(AND(C853&lt;&gt;"",OR(F853="LOC - INITIAL",F853="CONSOLIDATION - UPFRONT COMM",F853="REVERSE - TOTAL FUNDING")),1,0)</f>
        <v>0</v>
      </c>
    </row>
    <row r="854" customFormat="false" ht="15" hidden="false" customHeight="false" outlineLevel="0" collapsed="false">
      <c r="A854" s="8" t="str">
        <f aca="false">IF(C854&lt;&gt;"","F"&amp;COUNT($C$4:C854),"")</f>
        <v/>
      </c>
      <c r="B854" s="9" t="str">
        <f aca="false">IF(OR(F854="LOC - INITIAL",F854="CONSOLIDATION - UPFRONT COMM",F854="REVERSE - TOTAL FUNDING"),A854,"")</f>
        <v/>
      </c>
      <c r="C854" s="10"/>
      <c r="D854" s="11"/>
      <c r="E854" s="11"/>
      <c r="F854" s="11"/>
      <c r="G854" s="12"/>
      <c r="H854" s="13"/>
      <c r="I854" s="11"/>
      <c r="J854" s="14" t="str">
        <f aca="false">IF(AND(G854&lt;&gt;"",H854&lt;&gt;""),G854*H854,"")</f>
        <v/>
      </c>
      <c r="K854" s="11"/>
      <c r="L854" s="15"/>
      <c r="M854" s="15"/>
      <c r="N854" s="14" t="n">
        <f aca="false">IF(OR(G854="",M854=""),0,IF(M854&gt;100,M854,G854*IF(M854&gt;1,M854/100,M854)))</f>
        <v>0</v>
      </c>
      <c r="O854" s="14" t="str">
        <f aca="false">IF(G854="","",G854*IF(L854="",0,IF(L854&gt;1,L854/100,L854))+N854)</f>
        <v/>
      </c>
      <c r="P854" s="11"/>
      <c r="Q854" s="16" t="str">
        <f aca="false">IF(P854="","",IFERROR(VLOOKUP(P854,PARTNERS!$A$2:$B$30,2,0),""))</f>
        <v/>
      </c>
      <c r="R854" s="17" t="str">
        <f aca="false">IF(O854="","",IF(OR(P854="",Q854=""),0,(O854-N854)*IF(Q854&gt;1,Q854/100,Q854)))</f>
        <v/>
      </c>
      <c r="S854" s="14" t="str">
        <f aca="false">IF(O854="","",O854-R854)</f>
        <v/>
      </c>
      <c r="T854" s="11"/>
      <c r="U854" s="18" t="str">
        <f aca="false">IF(T854="","",IFERROR(VLOOKUP(T854,REPS!$A$2:$D$40,2,0),""))</f>
        <v/>
      </c>
      <c r="V854" s="14" t="str">
        <f aca="false">IF(O854="","",IF(U854="",0,O854*IF(U854&gt;1,U854/100,U854)))</f>
        <v/>
      </c>
      <c r="W854" s="11"/>
      <c r="X854" s="18" t="str">
        <f aca="false">IF(W854="","",IFERROR(VLOOKUP(W854,REPS!$A$2:$D$40,3,0),""))</f>
        <v/>
      </c>
      <c r="Y854" s="14" t="str">
        <f aca="false">IF(O854="","",IF(X854="",0,O854*IF(X854&gt;1,X854/100,X854)))</f>
        <v/>
      </c>
      <c r="Z854" s="11"/>
      <c r="AA854" s="18" t="str">
        <f aca="false">IF(Z854="","",IFERROR(VLOOKUP(Z854,REPS!$A$2:$D$40,4,0),""))</f>
        <v/>
      </c>
      <c r="AB854" s="14" t="str">
        <f aca="false">IF(O854="","",IF(AA854="",0,O854*IF(AA854&gt;1,AA854/100,AA854)))</f>
        <v/>
      </c>
      <c r="AC854" s="14" t="str">
        <f aca="false">IF(O854="","",V854+Y854+AB854)</f>
        <v/>
      </c>
      <c r="AD854" s="19" t="str">
        <f aca="false">IF(O854="","",O854-R854-AC854)</f>
        <v/>
      </c>
      <c r="AE854" s="20"/>
      <c r="AF854" s="10"/>
      <c r="AG854" s="21" t="n">
        <f aca="false">IF(OR(AE854="",AE854=0),0,AE854*IF(U854="",0,IF(U854&gt;1,U854/100,U854)))</f>
        <v>0</v>
      </c>
      <c r="AH854" s="21" t="n">
        <f aca="false">IF(OR(AE854="",AE854=0),0,AE854*IF(X854="",0,IF(X854&gt;1,X854/100,X854)))</f>
        <v>0</v>
      </c>
      <c r="AI854" s="21" t="n">
        <f aca="false">IF(OR(AE854="",AE854=0),0,AE854*IF(AA854="",0,IF(AA854&gt;1,AA854/100,AA854)))</f>
        <v>0</v>
      </c>
      <c r="AJ854" s="21" t="n">
        <f aca="false">AG854+AH854+AI854</f>
        <v>0</v>
      </c>
      <c r="AK854" s="21" t="n">
        <f aca="false">IF(OR(AE854="",AE854=0),0,AE854-AJ854)</f>
        <v>0</v>
      </c>
      <c r="AL854" s="19" t="str">
        <f aca="false">IF(AD854="","",AD854-AK854)</f>
        <v/>
      </c>
      <c r="AM854" s="9" t="str">
        <f aca="false">IF(C854="","","Waiting for payment")</f>
        <v/>
      </c>
      <c r="AN854" s="10"/>
      <c r="AO854" s="10"/>
      <c r="AP854" s="22" t="str">
        <f aca="false">IF(OR(C854="",I854="",K854=""),"",IF(K854="Monthly",EDATE(C854,ROUND(I854*SETTINGS!$I$8,0)),WORKDAY(C854,ROUND(I854*SETTINGS!$I$8,0))))</f>
        <v/>
      </c>
      <c r="AQ854" s="9" t="str">
        <f aca="true">IF(C854="","",IF(AND(AP854&lt;&gt;"",TODAY()&gt;=AP854),"Refi Ready",IF(TODAY()-C854&gt;=SETTINGS!$I$11,"Prospecting","Performing")))</f>
        <v/>
      </c>
      <c r="AR854" s="22" t="str">
        <f aca="false">IF(OR(C854="",I854="",K854=""),"",IF(K854="Monthly",EDATE(C854,I854),WORKDAY(C854,I854)))</f>
        <v/>
      </c>
      <c r="AS854" s="11"/>
      <c r="AT854" s="23" t="str">
        <f aca="true">IF(C854="","",IF(AM854="Clawed Back","CLAWED",IF(TODAY()&lt;=C854+SETTINGS!$I$2,"⚠ AT RISK","SAFE")))</f>
        <v/>
      </c>
      <c r="AU854" s="11"/>
      <c r="AW854" s="24" t="n">
        <f aca="false">AW853+IF(AND(C854&lt;&gt;"",AO854&lt;&gt;"",OR('REP COMMISSION'!$B$3="",T854='REP COMMISSION'!$B$3,W854='REP COMMISSION'!$B$3,Z854='REP COMMISSION'!$B$3)),1,0)</f>
        <v>0</v>
      </c>
      <c r="AX854" s="24" t="n">
        <f aca="false">AX853+IF(AND(C854&lt;&gt;"",OR(F854="LOC - INITIAL",F854="CONSOLIDATION - UPFRONT COMM",F854="REVERSE - TOTAL FUNDING")),1,0)</f>
        <v>0</v>
      </c>
    </row>
    <row r="855" customFormat="false" ht="15" hidden="false" customHeight="false" outlineLevel="0" collapsed="false">
      <c r="A855" s="25" t="str">
        <f aca="false">IF(C855&lt;&gt;"","F"&amp;COUNT($C$4:C855),"")</f>
        <v/>
      </c>
      <c r="B855" s="26" t="str">
        <f aca="false">IF(OR(F855="LOC - INITIAL",F855="CONSOLIDATION - UPFRONT COMM",F855="REVERSE - TOTAL FUNDING"),A855,"")</f>
        <v/>
      </c>
      <c r="C855" s="27"/>
      <c r="D855" s="28"/>
      <c r="E855" s="28"/>
      <c r="F855" s="28"/>
      <c r="G855" s="29"/>
      <c r="H855" s="30"/>
      <c r="I855" s="28"/>
      <c r="J855" s="31" t="str">
        <f aca="false">IF(AND(G855&lt;&gt;"",H855&lt;&gt;""),G855*H855,"")</f>
        <v/>
      </c>
      <c r="K855" s="28"/>
      <c r="L855" s="32"/>
      <c r="M855" s="32"/>
      <c r="N855" s="31" t="n">
        <f aca="false">IF(OR(G855="",M855=""),0,IF(M855&gt;100,M855,G855*IF(M855&gt;1,M855/100,M855)))</f>
        <v>0</v>
      </c>
      <c r="O855" s="31" t="str">
        <f aca="false">IF(G855="","",G855*IF(L855="",0,IF(L855&gt;1,L855/100,L855))+N855)</f>
        <v/>
      </c>
      <c r="P855" s="28"/>
      <c r="Q855" s="33" t="str">
        <f aca="false">IF(P855="","",IFERROR(VLOOKUP(P855,PARTNERS!$A$2:$B$30,2,0),""))</f>
        <v/>
      </c>
      <c r="R855" s="17" t="str">
        <f aca="false">IF(O855="","",IF(OR(P855="",Q855=""),0,(O855-N855)*IF(Q855&gt;1,Q855/100,Q855)))</f>
        <v/>
      </c>
      <c r="S855" s="31" t="str">
        <f aca="false">IF(O855="","",O855-R855)</f>
        <v/>
      </c>
      <c r="T855" s="28"/>
      <c r="U855" s="34" t="str">
        <f aca="false">IF(T855="","",IFERROR(VLOOKUP(T855,REPS!$A$2:$D$40,2,0),""))</f>
        <v/>
      </c>
      <c r="V855" s="31" t="str">
        <f aca="false">IF(O855="","",IF(U855="",0,O855*IF(U855&gt;1,U855/100,U855)))</f>
        <v/>
      </c>
      <c r="W855" s="28"/>
      <c r="X855" s="34" t="str">
        <f aca="false">IF(W855="","",IFERROR(VLOOKUP(W855,REPS!$A$2:$D$40,3,0),""))</f>
        <v/>
      </c>
      <c r="Y855" s="31" t="str">
        <f aca="false">IF(O855="","",IF(X855="",0,O855*IF(X855&gt;1,X855/100,X855)))</f>
        <v/>
      </c>
      <c r="Z855" s="28"/>
      <c r="AA855" s="34" t="str">
        <f aca="false">IF(Z855="","",IFERROR(VLOOKUP(Z855,REPS!$A$2:$D$40,4,0),""))</f>
        <v/>
      </c>
      <c r="AB855" s="31" t="str">
        <f aca="false">IF(O855="","",IF(AA855="",0,O855*IF(AA855&gt;1,AA855/100,AA855)))</f>
        <v/>
      </c>
      <c r="AC855" s="31" t="str">
        <f aca="false">IF(O855="","",V855+Y855+AB855)</f>
        <v/>
      </c>
      <c r="AD855" s="19" t="str">
        <f aca="false">IF(O855="","",O855-R855-AC855)</f>
        <v/>
      </c>
      <c r="AE855" s="20"/>
      <c r="AF855" s="27"/>
      <c r="AG855" s="21" t="n">
        <f aca="false">IF(OR(AE855="",AE855=0),0,AE855*IF(U855="",0,IF(U855&gt;1,U855/100,U855)))</f>
        <v>0</v>
      </c>
      <c r="AH855" s="21" t="n">
        <f aca="false">IF(OR(AE855="",AE855=0),0,AE855*IF(X855="",0,IF(X855&gt;1,X855/100,X855)))</f>
        <v>0</v>
      </c>
      <c r="AI855" s="21" t="n">
        <f aca="false">IF(OR(AE855="",AE855=0),0,AE855*IF(AA855="",0,IF(AA855&gt;1,AA855/100,AA855)))</f>
        <v>0</v>
      </c>
      <c r="AJ855" s="21" t="n">
        <f aca="false">AG855+AH855+AI855</f>
        <v>0</v>
      </c>
      <c r="AK855" s="21" t="n">
        <f aca="false">IF(OR(AE855="",AE855=0),0,AE855-AJ855)</f>
        <v>0</v>
      </c>
      <c r="AL855" s="19" t="str">
        <f aca="false">IF(AD855="","",AD855-AK855)</f>
        <v/>
      </c>
      <c r="AM855" s="26" t="str">
        <f aca="false">IF(C855="","","Waiting for payment")</f>
        <v/>
      </c>
      <c r="AN855" s="27"/>
      <c r="AO855" s="27"/>
      <c r="AP855" s="35" t="str">
        <f aca="false">IF(OR(C855="",I855="",K855=""),"",IF(K855="Monthly",EDATE(C855,ROUND(I855*SETTINGS!$I$8,0)),WORKDAY(C855,ROUND(I855*SETTINGS!$I$8,0))))</f>
        <v/>
      </c>
      <c r="AQ855" s="26" t="str">
        <f aca="true">IF(C855="","",IF(AND(AP855&lt;&gt;"",TODAY()&gt;=AP855),"Refi Ready",IF(TODAY()-C855&gt;=SETTINGS!$I$11,"Prospecting","Performing")))</f>
        <v/>
      </c>
      <c r="AR855" s="35" t="str">
        <f aca="false">IF(OR(C855="",I855="",K855=""),"",IF(K855="Monthly",EDATE(C855,I855),WORKDAY(C855,I855)))</f>
        <v/>
      </c>
      <c r="AS855" s="28"/>
      <c r="AT855" s="36" t="str">
        <f aca="true">IF(C855="","",IF(AM855="Clawed Back","CLAWED",IF(TODAY()&lt;=C855+SETTINGS!$I$2,"⚠ AT RISK","SAFE")))</f>
        <v/>
      </c>
      <c r="AU855" s="28"/>
      <c r="AW855" s="24" t="n">
        <f aca="false">AW854+IF(AND(C855&lt;&gt;"",AO855&lt;&gt;"",OR('REP COMMISSION'!$B$3="",T855='REP COMMISSION'!$B$3,W855='REP COMMISSION'!$B$3,Z855='REP COMMISSION'!$B$3)),1,0)</f>
        <v>0</v>
      </c>
      <c r="AX855" s="24" t="n">
        <f aca="false">AX854+IF(AND(C855&lt;&gt;"",OR(F855="LOC - INITIAL",F855="CONSOLIDATION - UPFRONT COMM",F855="REVERSE - TOTAL FUNDING")),1,0)</f>
        <v>0</v>
      </c>
    </row>
    <row r="856" customFormat="false" ht="15" hidden="false" customHeight="false" outlineLevel="0" collapsed="false">
      <c r="A856" s="8" t="str">
        <f aca="false">IF(C856&lt;&gt;"","F"&amp;COUNT($C$4:C856),"")</f>
        <v/>
      </c>
      <c r="B856" s="9" t="str">
        <f aca="false">IF(OR(F856="LOC - INITIAL",F856="CONSOLIDATION - UPFRONT COMM",F856="REVERSE - TOTAL FUNDING"),A856,"")</f>
        <v/>
      </c>
      <c r="C856" s="10"/>
      <c r="D856" s="11"/>
      <c r="E856" s="11"/>
      <c r="F856" s="11"/>
      <c r="G856" s="12"/>
      <c r="H856" s="13"/>
      <c r="I856" s="11"/>
      <c r="J856" s="14" t="str">
        <f aca="false">IF(AND(G856&lt;&gt;"",H856&lt;&gt;""),G856*H856,"")</f>
        <v/>
      </c>
      <c r="K856" s="11"/>
      <c r="L856" s="15"/>
      <c r="M856" s="15"/>
      <c r="N856" s="14" t="n">
        <f aca="false">IF(OR(G856="",M856=""),0,IF(M856&gt;100,M856,G856*IF(M856&gt;1,M856/100,M856)))</f>
        <v>0</v>
      </c>
      <c r="O856" s="14" t="str">
        <f aca="false">IF(G856="","",G856*IF(L856="",0,IF(L856&gt;1,L856/100,L856))+N856)</f>
        <v/>
      </c>
      <c r="P856" s="11"/>
      <c r="Q856" s="16" t="str">
        <f aca="false">IF(P856="","",IFERROR(VLOOKUP(P856,PARTNERS!$A$2:$B$30,2,0),""))</f>
        <v/>
      </c>
      <c r="R856" s="17" t="str">
        <f aca="false">IF(O856="","",IF(OR(P856="",Q856=""),0,(O856-N856)*IF(Q856&gt;1,Q856/100,Q856)))</f>
        <v/>
      </c>
      <c r="S856" s="14" t="str">
        <f aca="false">IF(O856="","",O856-R856)</f>
        <v/>
      </c>
      <c r="T856" s="11"/>
      <c r="U856" s="18" t="str">
        <f aca="false">IF(T856="","",IFERROR(VLOOKUP(T856,REPS!$A$2:$D$40,2,0),""))</f>
        <v/>
      </c>
      <c r="V856" s="14" t="str">
        <f aca="false">IF(O856="","",IF(U856="",0,O856*IF(U856&gt;1,U856/100,U856)))</f>
        <v/>
      </c>
      <c r="W856" s="11"/>
      <c r="X856" s="18" t="str">
        <f aca="false">IF(W856="","",IFERROR(VLOOKUP(W856,REPS!$A$2:$D$40,3,0),""))</f>
        <v/>
      </c>
      <c r="Y856" s="14" t="str">
        <f aca="false">IF(O856="","",IF(X856="",0,O856*IF(X856&gt;1,X856/100,X856)))</f>
        <v/>
      </c>
      <c r="Z856" s="11"/>
      <c r="AA856" s="18" t="str">
        <f aca="false">IF(Z856="","",IFERROR(VLOOKUP(Z856,REPS!$A$2:$D$40,4,0),""))</f>
        <v/>
      </c>
      <c r="AB856" s="14" t="str">
        <f aca="false">IF(O856="","",IF(AA856="",0,O856*IF(AA856&gt;1,AA856/100,AA856)))</f>
        <v/>
      </c>
      <c r="AC856" s="14" t="str">
        <f aca="false">IF(O856="","",V856+Y856+AB856)</f>
        <v/>
      </c>
      <c r="AD856" s="19" t="str">
        <f aca="false">IF(O856="","",O856-R856-AC856)</f>
        <v/>
      </c>
      <c r="AE856" s="20"/>
      <c r="AF856" s="10"/>
      <c r="AG856" s="21" t="n">
        <f aca="false">IF(OR(AE856="",AE856=0),0,AE856*IF(U856="",0,IF(U856&gt;1,U856/100,U856)))</f>
        <v>0</v>
      </c>
      <c r="AH856" s="21" t="n">
        <f aca="false">IF(OR(AE856="",AE856=0),0,AE856*IF(X856="",0,IF(X856&gt;1,X856/100,X856)))</f>
        <v>0</v>
      </c>
      <c r="AI856" s="21" t="n">
        <f aca="false">IF(OR(AE856="",AE856=0),0,AE856*IF(AA856="",0,IF(AA856&gt;1,AA856/100,AA856)))</f>
        <v>0</v>
      </c>
      <c r="AJ856" s="21" t="n">
        <f aca="false">AG856+AH856+AI856</f>
        <v>0</v>
      </c>
      <c r="AK856" s="21" t="n">
        <f aca="false">IF(OR(AE856="",AE856=0),0,AE856-AJ856)</f>
        <v>0</v>
      </c>
      <c r="AL856" s="19" t="str">
        <f aca="false">IF(AD856="","",AD856-AK856)</f>
        <v/>
      </c>
      <c r="AM856" s="9" t="str">
        <f aca="false">IF(C856="","","Waiting for payment")</f>
        <v/>
      </c>
      <c r="AN856" s="10"/>
      <c r="AO856" s="10"/>
      <c r="AP856" s="22" t="str">
        <f aca="false">IF(OR(C856="",I856="",K856=""),"",IF(K856="Monthly",EDATE(C856,ROUND(I856*SETTINGS!$I$8,0)),WORKDAY(C856,ROUND(I856*SETTINGS!$I$8,0))))</f>
        <v/>
      </c>
      <c r="AQ856" s="9" t="str">
        <f aca="true">IF(C856="","",IF(AND(AP856&lt;&gt;"",TODAY()&gt;=AP856),"Refi Ready",IF(TODAY()-C856&gt;=SETTINGS!$I$11,"Prospecting","Performing")))</f>
        <v/>
      </c>
      <c r="AR856" s="22" t="str">
        <f aca="false">IF(OR(C856="",I856="",K856=""),"",IF(K856="Monthly",EDATE(C856,I856),WORKDAY(C856,I856)))</f>
        <v/>
      </c>
      <c r="AS856" s="11"/>
      <c r="AT856" s="23" t="str">
        <f aca="true">IF(C856="","",IF(AM856="Clawed Back","CLAWED",IF(TODAY()&lt;=C856+SETTINGS!$I$2,"⚠ AT RISK","SAFE")))</f>
        <v/>
      </c>
      <c r="AU856" s="11"/>
      <c r="AW856" s="24" t="n">
        <f aca="false">AW855+IF(AND(C856&lt;&gt;"",AO856&lt;&gt;"",OR('REP COMMISSION'!$B$3="",T856='REP COMMISSION'!$B$3,W856='REP COMMISSION'!$B$3,Z856='REP COMMISSION'!$B$3)),1,0)</f>
        <v>0</v>
      </c>
      <c r="AX856" s="24" t="n">
        <f aca="false">AX855+IF(AND(C856&lt;&gt;"",OR(F856="LOC - INITIAL",F856="CONSOLIDATION - UPFRONT COMM",F856="REVERSE - TOTAL FUNDING")),1,0)</f>
        <v>0</v>
      </c>
    </row>
    <row r="857" customFormat="false" ht="15" hidden="false" customHeight="false" outlineLevel="0" collapsed="false">
      <c r="A857" s="25" t="str">
        <f aca="false">IF(C857&lt;&gt;"","F"&amp;COUNT($C$4:C857),"")</f>
        <v/>
      </c>
      <c r="B857" s="26" t="str">
        <f aca="false">IF(OR(F857="LOC - INITIAL",F857="CONSOLIDATION - UPFRONT COMM",F857="REVERSE - TOTAL FUNDING"),A857,"")</f>
        <v/>
      </c>
      <c r="C857" s="27"/>
      <c r="D857" s="28"/>
      <c r="E857" s="28"/>
      <c r="F857" s="28"/>
      <c r="G857" s="29"/>
      <c r="H857" s="30"/>
      <c r="I857" s="28"/>
      <c r="J857" s="31" t="str">
        <f aca="false">IF(AND(G857&lt;&gt;"",H857&lt;&gt;""),G857*H857,"")</f>
        <v/>
      </c>
      <c r="K857" s="28"/>
      <c r="L857" s="32"/>
      <c r="M857" s="32"/>
      <c r="N857" s="31" t="n">
        <f aca="false">IF(OR(G857="",M857=""),0,IF(M857&gt;100,M857,G857*IF(M857&gt;1,M857/100,M857)))</f>
        <v>0</v>
      </c>
      <c r="O857" s="31" t="str">
        <f aca="false">IF(G857="","",G857*IF(L857="",0,IF(L857&gt;1,L857/100,L857))+N857)</f>
        <v/>
      </c>
      <c r="P857" s="28"/>
      <c r="Q857" s="33" t="str">
        <f aca="false">IF(P857="","",IFERROR(VLOOKUP(P857,PARTNERS!$A$2:$B$30,2,0),""))</f>
        <v/>
      </c>
      <c r="R857" s="17" t="str">
        <f aca="false">IF(O857="","",IF(OR(P857="",Q857=""),0,(O857-N857)*IF(Q857&gt;1,Q857/100,Q857)))</f>
        <v/>
      </c>
      <c r="S857" s="31" t="str">
        <f aca="false">IF(O857="","",O857-R857)</f>
        <v/>
      </c>
      <c r="T857" s="28"/>
      <c r="U857" s="34" t="str">
        <f aca="false">IF(T857="","",IFERROR(VLOOKUP(T857,REPS!$A$2:$D$40,2,0),""))</f>
        <v/>
      </c>
      <c r="V857" s="31" t="str">
        <f aca="false">IF(O857="","",IF(U857="",0,O857*IF(U857&gt;1,U857/100,U857)))</f>
        <v/>
      </c>
      <c r="W857" s="28"/>
      <c r="X857" s="34" t="str">
        <f aca="false">IF(W857="","",IFERROR(VLOOKUP(W857,REPS!$A$2:$D$40,3,0),""))</f>
        <v/>
      </c>
      <c r="Y857" s="31" t="str">
        <f aca="false">IF(O857="","",IF(X857="",0,O857*IF(X857&gt;1,X857/100,X857)))</f>
        <v/>
      </c>
      <c r="Z857" s="28"/>
      <c r="AA857" s="34" t="str">
        <f aca="false">IF(Z857="","",IFERROR(VLOOKUP(Z857,REPS!$A$2:$D$40,4,0),""))</f>
        <v/>
      </c>
      <c r="AB857" s="31" t="str">
        <f aca="false">IF(O857="","",IF(AA857="",0,O857*IF(AA857&gt;1,AA857/100,AA857)))</f>
        <v/>
      </c>
      <c r="AC857" s="31" t="str">
        <f aca="false">IF(O857="","",V857+Y857+AB857)</f>
        <v/>
      </c>
      <c r="AD857" s="19" t="str">
        <f aca="false">IF(O857="","",O857-R857-AC857)</f>
        <v/>
      </c>
      <c r="AE857" s="20"/>
      <c r="AF857" s="27"/>
      <c r="AG857" s="21" t="n">
        <f aca="false">IF(OR(AE857="",AE857=0),0,AE857*IF(U857="",0,IF(U857&gt;1,U857/100,U857)))</f>
        <v>0</v>
      </c>
      <c r="AH857" s="21" t="n">
        <f aca="false">IF(OR(AE857="",AE857=0),0,AE857*IF(X857="",0,IF(X857&gt;1,X857/100,X857)))</f>
        <v>0</v>
      </c>
      <c r="AI857" s="21" t="n">
        <f aca="false">IF(OR(AE857="",AE857=0),0,AE857*IF(AA857="",0,IF(AA857&gt;1,AA857/100,AA857)))</f>
        <v>0</v>
      </c>
      <c r="AJ857" s="21" t="n">
        <f aca="false">AG857+AH857+AI857</f>
        <v>0</v>
      </c>
      <c r="AK857" s="21" t="n">
        <f aca="false">IF(OR(AE857="",AE857=0),0,AE857-AJ857)</f>
        <v>0</v>
      </c>
      <c r="AL857" s="19" t="str">
        <f aca="false">IF(AD857="","",AD857-AK857)</f>
        <v/>
      </c>
      <c r="AM857" s="26" t="str">
        <f aca="false">IF(C857="","","Waiting for payment")</f>
        <v/>
      </c>
      <c r="AN857" s="27"/>
      <c r="AO857" s="27"/>
      <c r="AP857" s="35" t="str">
        <f aca="false">IF(OR(C857="",I857="",K857=""),"",IF(K857="Monthly",EDATE(C857,ROUND(I857*SETTINGS!$I$8,0)),WORKDAY(C857,ROUND(I857*SETTINGS!$I$8,0))))</f>
        <v/>
      </c>
      <c r="AQ857" s="26" t="str">
        <f aca="true">IF(C857="","",IF(AND(AP857&lt;&gt;"",TODAY()&gt;=AP857),"Refi Ready",IF(TODAY()-C857&gt;=SETTINGS!$I$11,"Prospecting","Performing")))</f>
        <v/>
      </c>
      <c r="AR857" s="35" t="str">
        <f aca="false">IF(OR(C857="",I857="",K857=""),"",IF(K857="Monthly",EDATE(C857,I857),WORKDAY(C857,I857)))</f>
        <v/>
      </c>
      <c r="AS857" s="28"/>
      <c r="AT857" s="36" t="str">
        <f aca="true">IF(C857="","",IF(AM857="Clawed Back","CLAWED",IF(TODAY()&lt;=C857+SETTINGS!$I$2,"⚠ AT RISK","SAFE")))</f>
        <v/>
      </c>
      <c r="AU857" s="28"/>
      <c r="AW857" s="24" t="n">
        <f aca="false">AW856+IF(AND(C857&lt;&gt;"",AO857&lt;&gt;"",OR('REP COMMISSION'!$B$3="",T857='REP COMMISSION'!$B$3,W857='REP COMMISSION'!$B$3,Z857='REP COMMISSION'!$B$3)),1,0)</f>
        <v>0</v>
      </c>
      <c r="AX857" s="24" t="n">
        <f aca="false">AX856+IF(AND(C857&lt;&gt;"",OR(F857="LOC - INITIAL",F857="CONSOLIDATION - UPFRONT COMM",F857="REVERSE - TOTAL FUNDING")),1,0)</f>
        <v>0</v>
      </c>
    </row>
    <row r="858" customFormat="false" ht="15" hidden="false" customHeight="false" outlineLevel="0" collapsed="false">
      <c r="A858" s="8" t="str">
        <f aca="false">IF(C858&lt;&gt;"","F"&amp;COUNT($C$4:C858),"")</f>
        <v/>
      </c>
      <c r="B858" s="9" t="str">
        <f aca="false">IF(OR(F858="LOC - INITIAL",F858="CONSOLIDATION - UPFRONT COMM",F858="REVERSE - TOTAL FUNDING"),A858,"")</f>
        <v/>
      </c>
      <c r="C858" s="10"/>
      <c r="D858" s="11"/>
      <c r="E858" s="11"/>
      <c r="F858" s="11"/>
      <c r="G858" s="12"/>
      <c r="H858" s="13"/>
      <c r="I858" s="11"/>
      <c r="J858" s="14" t="str">
        <f aca="false">IF(AND(G858&lt;&gt;"",H858&lt;&gt;""),G858*H858,"")</f>
        <v/>
      </c>
      <c r="K858" s="11"/>
      <c r="L858" s="15"/>
      <c r="M858" s="15"/>
      <c r="N858" s="14" t="n">
        <f aca="false">IF(OR(G858="",M858=""),0,IF(M858&gt;100,M858,G858*IF(M858&gt;1,M858/100,M858)))</f>
        <v>0</v>
      </c>
      <c r="O858" s="14" t="str">
        <f aca="false">IF(G858="","",G858*IF(L858="",0,IF(L858&gt;1,L858/100,L858))+N858)</f>
        <v/>
      </c>
      <c r="P858" s="11"/>
      <c r="Q858" s="16" t="str">
        <f aca="false">IF(P858="","",IFERROR(VLOOKUP(P858,PARTNERS!$A$2:$B$30,2,0),""))</f>
        <v/>
      </c>
      <c r="R858" s="17" t="str">
        <f aca="false">IF(O858="","",IF(OR(P858="",Q858=""),0,(O858-N858)*IF(Q858&gt;1,Q858/100,Q858)))</f>
        <v/>
      </c>
      <c r="S858" s="14" t="str">
        <f aca="false">IF(O858="","",O858-R858)</f>
        <v/>
      </c>
      <c r="T858" s="11"/>
      <c r="U858" s="18" t="str">
        <f aca="false">IF(T858="","",IFERROR(VLOOKUP(T858,REPS!$A$2:$D$40,2,0),""))</f>
        <v/>
      </c>
      <c r="V858" s="14" t="str">
        <f aca="false">IF(O858="","",IF(U858="",0,O858*IF(U858&gt;1,U858/100,U858)))</f>
        <v/>
      </c>
      <c r="W858" s="11"/>
      <c r="X858" s="18" t="str">
        <f aca="false">IF(W858="","",IFERROR(VLOOKUP(W858,REPS!$A$2:$D$40,3,0),""))</f>
        <v/>
      </c>
      <c r="Y858" s="14" t="str">
        <f aca="false">IF(O858="","",IF(X858="",0,O858*IF(X858&gt;1,X858/100,X858)))</f>
        <v/>
      </c>
      <c r="Z858" s="11"/>
      <c r="AA858" s="18" t="str">
        <f aca="false">IF(Z858="","",IFERROR(VLOOKUP(Z858,REPS!$A$2:$D$40,4,0),""))</f>
        <v/>
      </c>
      <c r="AB858" s="14" t="str">
        <f aca="false">IF(O858="","",IF(AA858="",0,O858*IF(AA858&gt;1,AA858/100,AA858)))</f>
        <v/>
      </c>
      <c r="AC858" s="14" t="str">
        <f aca="false">IF(O858="","",V858+Y858+AB858)</f>
        <v/>
      </c>
      <c r="AD858" s="19" t="str">
        <f aca="false">IF(O858="","",O858-R858-AC858)</f>
        <v/>
      </c>
      <c r="AE858" s="20"/>
      <c r="AF858" s="10"/>
      <c r="AG858" s="21" t="n">
        <f aca="false">IF(OR(AE858="",AE858=0),0,AE858*IF(U858="",0,IF(U858&gt;1,U858/100,U858)))</f>
        <v>0</v>
      </c>
      <c r="AH858" s="21" t="n">
        <f aca="false">IF(OR(AE858="",AE858=0),0,AE858*IF(X858="",0,IF(X858&gt;1,X858/100,X858)))</f>
        <v>0</v>
      </c>
      <c r="AI858" s="21" t="n">
        <f aca="false">IF(OR(AE858="",AE858=0),0,AE858*IF(AA858="",0,IF(AA858&gt;1,AA858/100,AA858)))</f>
        <v>0</v>
      </c>
      <c r="AJ858" s="21" t="n">
        <f aca="false">AG858+AH858+AI858</f>
        <v>0</v>
      </c>
      <c r="AK858" s="21" t="n">
        <f aca="false">IF(OR(AE858="",AE858=0),0,AE858-AJ858)</f>
        <v>0</v>
      </c>
      <c r="AL858" s="19" t="str">
        <f aca="false">IF(AD858="","",AD858-AK858)</f>
        <v/>
      </c>
      <c r="AM858" s="9" t="str">
        <f aca="false">IF(C858="","","Waiting for payment")</f>
        <v/>
      </c>
      <c r="AN858" s="10"/>
      <c r="AO858" s="10"/>
      <c r="AP858" s="22" t="str">
        <f aca="false">IF(OR(C858="",I858="",K858=""),"",IF(K858="Monthly",EDATE(C858,ROUND(I858*SETTINGS!$I$8,0)),WORKDAY(C858,ROUND(I858*SETTINGS!$I$8,0))))</f>
        <v/>
      </c>
      <c r="AQ858" s="9" t="str">
        <f aca="true">IF(C858="","",IF(AND(AP858&lt;&gt;"",TODAY()&gt;=AP858),"Refi Ready",IF(TODAY()-C858&gt;=SETTINGS!$I$11,"Prospecting","Performing")))</f>
        <v/>
      </c>
      <c r="AR858" s="22" t="str">
        <f aca="false">IF(OR(C858="",I858="",K858=""),"",IF(K858="Monthly",EDATE(C858,I858),WORKDAY(C858,I858)))</f>
        <v/>
      </c>
      <c r="AS858" s="11"/>
      <c r="AT858" s="23" t="str">
        <f aca="true">IF(C858="","",IF(AM858="Clawed Back","CLAWED",IF(TODAY()&lt;=C858+SETTINGS!$I$2,"⚠ AT RISK","SAFE")))</f>
        <v/>
      </c>
      <c r="AU858" s="11"/>
      <c r="AW858" s="24" t="n">
        <f aca="false">AW857+IF(AND(C858&lt;&gt;"",AO858&lt;&gt;"",OR('REP COMMISSION'!$B$3="",T858='REP COMMISSION'!$B$3,W858='REP COMMISSION'!$B$3,Z858='REP COMMISSION'!$B$3)),1,0)</f>
        <v>0</v>
      </c>
      <c r="AX858" s="24" t="n">
        <f aca="false">AX857+IF(AND(C858&lt;&gt;"",OR(F858="LOC - INITIAL",F858="CONSOLIDATION - UPFRONT COMM",F858="REVERSE - TOTAL FUNDING")),1,0)</f>
        <v>0</v>
      </c>
    </row>
    <row r="859" customFormat="false" ht="15" hidden="false" customHeight="false" outlineLevel="0" collapsed="false">
      <c r="A859" s="25" t="str">
        <f aca="false">IF(C859&lt;&gt;"","F"&amp;COUNT($C$4:C859),"")</f>
        <v/>
      </c>
      <c r="B859" s="26" t="str">
        <f aca="false">IF(OR(F859="LOC - INITIAL",F859="CONSOLIDATION - UPFRONT COMM",F859="REVERSE - TOTAL FUNDING"),A859,"")</f>
        <v/>
      </c>
      <c r="C859" s="27"/>
      <c r="D859" s="28"/>
      <c r="E859" s="28"/>
      <c r="F859" s="28"/>
      <c r="G859" s="29"/>
      <c r="H859" s="30"/>
      <c r="I859" s="28"/>
      <c r="J859" s="31" t="str">
        <f aca="false">IF(AND(G859&lt;&gt;"",H859&lt;&gt;""),G859*H859,"")</f>
        <v/>
      </c>
      <c r="K859" s="28"/>
      <c r="L859" s="32"/>
      <c r="M859" s="32"/>
      <c r="N859" s="31" t="n">
        <f aca="false">IF(OR(G859="",M859=""),0,IF(M859&gt;100,M859,G859*IF(M859&gt;1,M859/100,M859)))</f>
        <v>0</v>
      </c>
      <c r="O859" s="31" t="str">
        <f aca="false">IF(G859="","",G859*IF(L859="",0,IF(L859&gt;1,L859/100,L859))+N859)</f>
        <v/>
      </c>
      <c r="P859" s="28"/>
      <c r="Q859" s="33" t="str">
        <f aca="false">IF(P859="","",IFERROR(VLOOKUP(P859,PARTNERS!$A$2:$B$30,2,0),""))</f>
        <v/>
      </c>
      <c r="R859" s="17" t="str">
        <f aca="false">IF(O859="","",IF(OR(P859="",Q859=""),0,(O859-N859)*IF(Q859&gt;1,Q859/100,Q859)))</f>
        <v/>
      </c>
      <c r="S859" s="31" t="str">
        <f aca="false">IF(O859="","",O859-R859)</f>
        <v/>
      </c>
      <c r="T859" s="28"/>
      <c r="U859" s="34" t="str">
        <f aca="false">IF(T859="","",IFERROR(VLOOKUP(T859,REPS!$A$2:$D$40,2,0),""))</f>
        <v/>
      </c>
      <c r="V859" s="31" t="str">
        <f aca="false">IF(O859="","",IF(U859="",0,O859*IF(U859&gt;1,U859/100,U859)))</f>
        <v/>
      </c>
      <c r="W859" s="28"/>
      <c r="X859" s="34" t="str">
        <f aca="false">IF(W859="","",IFERROR(VLOOKUP(W859,REPS!$A$2:$D$40,3,0),""))</f>
        <v/>
      </c>
      <c r="Y859" s="31" t="str">
        <f aca="false">IF(O859="","",IF(X859="",0,O859*IF(X859&gt;1,X859/100,X859)))</f>
        <v/>
      </c>
      <c r="Z859" s="28"/>
      <c r="AA859" s="34" t="str">
        <f aca="false">IF(Z859="","",IFERROR(VLOOKUP(Z859,REPS!$A$2:$D$40,4,0),""))</f>
        <v/>
      </c>
      <c r="AB859" s="31" t="str">
        <f aca="false">IF(O859="","",IF(AA859="",0,O859*IF(AA859&gt;1,AA859/100,AA859)))</f>
        <v/>
      </c>
      <c r="AC859" s="31" t="str">
        <f aca="false">IF(O859="","",V859+Y859+AB859)</f>
        <v/>
      </c>
      <c r="AD859" s="19" t="str">
        <f aca="false">IF(O859="","",O859-R859-AC859)</f>
        <v/>
      </c>
      <c r="AE859" s="20"/>
      <c r="AF859" s="27"/>
      <c r="AG859" s="21" t="n">
        <f aca="false">IF(OR(AE859="",AE859=0),0,AE859*IF(U859="",0,IF(U859&gt;1,U859/100,U859)))</f>
        <v>0</v>
      </c>
      <c r="AH859" s="21" t="n">
        <f aca="false">IF(OR(AE859="",AE859=0),0,AE859*IF(X859="",0,IF(X859&gt;1,X859/100,X859)))</f>
        <v>0</v>
      </c>
      <c r="AI859" s="21" t="n">
        <f aca="false">IF(OR(AE859="",AE859=0),0,AE859*IF(AA859="",0,IF(AA859&gt;1,AA859/100,AA859)))</f>
        <v>0</v>
      </c>
      <c r="AJ859" s="21" t="n">
        <f aca="false">AG859+AH859+AI859</f>
        <v>0</v>
      </c>
      <c r="AK859" s="21" t="n">
        <f aca="false">IF(OR(AE859="",AE859=0),0,AE859-AJ859)</f>
        <v>0</v>
      </c>
      <c r="AL859" s="19" t="str">
        <f aca="false">IF(AD859="","",AD859-AK859)</f>
        <v/>
      </c>
      <c r="AM859" s="26" t="str">
        <f aca="false">IF(C859="","","Waiting for payment")</f>
        <v/>
      </c>
      <c r="AN859" s="27"/>
      <c r="AO859" s="27"/>
      <c r="AP859" s="35" t="str">
        <f aca="false">IF(OR(C859="",I859="",K859=""),"",IF(K859="Monthly",EDATE(C859,ROUND(I859*SETTINGS!$I$8,0)),WORKDAY(C859,ROUND(I859*SETTINGS!$I$8,0))))</f>
        <v/>
      </c>
      <c r="AQ859" s="26" t="str">
        <f aca="true">IF(C859="","",IF(AND(AP859&lt;&gt;"",TODAY()&gt;=AP859),"Refi Ready",IF(TODAY()-C859&gt;=SETTINGS!$I$11,"Prospecting","Performing")))</f>
        <v/>
      </c>
      <c r="AR859" s="35" t="str">
        <f aca="false">IF(OR(C859="",I859="",K859=""),"",IF(K859="Monthly",EDATE(C859,I859),WORKDAY(C859,I859)))</f>
        <v/>
      </c>
      <c r="AS859" s="28"/>
      <c r="AT859" s="36" t="str">
        <f aca="true">IF(C859="","",IF(AM859="Clawed Back","CLAWED",IF(TODAY()&lt;=C859+SETTINGS!$I$2,"⚠ AT RISK","SAFE")))</f>
        <v/>
      </c>
      <c r="AU859" s="28"/>
      <c r="AW859" s="24" t="n">
        <f aca="false">AW858+IF(AND(C859&lt;&gt;"",AO859&lt;&gt;"",OR('REP COMMISSION'!$B$3="",T859='REP COMMISSION'!$B$3,W859='REP COMMISSION'!$B$3,Z859='REP COMMISSION'!$B$3)),1,0)</f>
        <v>0</v>
      </c>
      <c r="AX859" s="24" t="n">
        <f aca="false">AX858+IF(AND(C859&lt;&gt;"",OR(F859="LOC - INITIAL",F859="CONSOLIDATION - UPFRONT COMM",F859="REVERSE - TOTAL FUNDING")),1,0)</f>
        <v>0</v>
      </c>
    </row>
    <row r="860" customFormat="false" ht="15" hidden="false" customHeight="false" outlineLevel="0" collapsed="false">
      <c r="A860" s="8" t="str">
        <f aca="false">IF(C860&lt;&gt;"","F"&amp;COUNT($C$4:C860),"")</f>
        <v/>
      </c>
      <c r="B860" s="9" t="str">
        <f aca="false">IF(OR(F860="LOC - INITIAL",F860="CONSOLIDATION - UPFRONT COMM",F860="REVERSE - TOTAL FUNDING"),A860,"")</f>
        <v/>
      </c>
      <c r="C860" s="10"/>
      <c r="D860" s="11"/>
      <c r="E860" s="11"/>
      <c r="F860" s="11"/>
      <c r="G860" s="12"/>
      <c r="H860" s="13"/>
      <c r="I860" s="11"/>
      <c r="J860" s="14" t="str">
        <f aca="false">IF(AND(G860&lt;&gt;"",H860&lt;&gt;""),G860*H860,"")</f>
        <v/>
      </c>
      <c r="K860" s="11"/>
      <c r="L860" s="15"/>
      <c r="M860" s="15"/>
      <c r="N860" s="14" t="n">
        <f aca="false">IF(OR(G860="",M860=""),0,IF(M860&gt;100,M860,G860*IF(M860&gt;1,M860/100,M860)))</f>
        <v>0</v>
      </c>
      <c r="O860" s="14" t="str">
        <f aca="false">IF(G860="","",G860*IF(L860="",0,IF(L860&gt;1,L860/100,L860))+N860)</f>
        <v/>
      </c>
      <c r="P860" s="11"/>
      <c r="Q860" s="16" t="str">
        <f aca="false">IF(P860="","",IFERROR(VLOOKUP(P860,PARTNERS!$A$2:$B$30,2,0),""))</f>
        <v/>
      </c>
      <c r="R860" s="17" t="str">
        <f aca="false">IF(O860="","",IF(OR(P860="",Q860=""),0,(O860-N860)*IF(Q860&gt;1,Q860/100,Q860)))</f>
        <v/>
      </c>
      <c r="S860" s="14" t="str">
        <f aca="false">IF(O860="","",O860-R860)</f>
        <v/>
      </c>
      <c r="T860" s="11"/>
      <c r="U860" s="18" t="str">
        <f aca="false">IF(T860="","",IFERROR(VLOOKUP(T860,REPS!$A$2:$D$40,2,0),""))</f>
        <v/>
      </c>
      <c r="V860" s="14" t="str">
        <f aca="false">IF(O860="","",IF(U860="",0,O860*IF(U860&gt;1,U860/100,U860)))</f>
        <v/>
      </c>
      <c r="W860" s="11"/>
      <c r="X860" s="18" t="str">
        <f aca="false">IF(W860="","",IFERROR(VLOOKUP(W860,REPS!$A$2:$D$40,3,0),""))</f>
        <v/>
      </c>
      <c r="Y860" s="14" t="str">
        <f aca="false">IF(O860="","",IF(X860="",0,O860*IF(X860&gt;1,X860/100,X860)))</f>
        <v/>
      </c>
      <c r="Z860" s="11"/>
      <c r="AA860" s="18" t="str">
        <f aca="false">IF(Z860="","",IFERROR(VLOOKUP(Z860,REPS!$A$2:$D$40,4,0),""))</f>
        <v/>
      </c>
      <c r="AB860" s="14" t="str">
        <f aca="false">IF(O860="","",IF(AA860="",0,O860*IF(AA860&gt;1,AA860/100,AA860)))</f>
        <v/>
      </c>
      <c r="AC860" s="14" t="str">
        <f aca="false">IF(O860="","",V860+Y860+AB860)</f>
        <v/>
      </c>
      <c r="AD860" s="19" t="str">
        <f aca="false">IF(O860="","",O860-R860-AC860)</f>
        <v/>
      </c>
      <c r="AE860" s="20"/>
      <c r="AF860" s="10"/>
      <c r="AG860" s="21" t="n">
        <f aca="false">IF(OR(AE860="",AE860=0),0,AE860*IF(U860="",0,IF(U860&gt;1,U860/100,U860)))</f>
        <v>0</v>
      </c>
      <c r="AH860" s="21" t="n">
        <f aca="false">IF(OR(AE860="",AE860=0),0,AE860*IF(X860="",0,IF(X860&gt;1,X860/100,X860)))</f>
        <v>0</v>
      </c>
      <c r="AI860" s="21" t="n">
        <f aca="false">IF(OR(AE860="",AE860=0),0,AE860*IF(AA860="",0,IF(AA860&gt;1,AA860/100,AA860)))</f>
        <v>0</v>
      </c>
      <c r="AJ860" s="21" t="n">
        <f aca="false">AG860+AH860+AI860</f>
        <v>0</v>
      </c>
      <c r="AK860" s="21" t="n">
        <f aca="false">IF(OR(AE860="",AE860=0),0,AE860-AJ860)</f>
        <v>0</v>
      </c>
      <c r="AL860" s="19" t="str">
        <f aca="false">IF(AD860="","",AD860-AK860)</f>
        <v/>
      </c>
      <c r="AM860" s="9" t="str">
        <f aca="false">IF(C860="","","Waiting for payment")</f>
        <v/>
      </c>
      <c r="AN860" s="10"/>
      <c r="AO860" s="10"/>
      <c r="AP860" s="22" t="str">
        <f aca="false">IF(OR(C860="",I860="",K860=""),"",IF(K860="Monthly",EDATE(C860,ROUND(I860*SETTINGS!$I$8,0)),WORKDAY(C860,ROUND(I860*SETTINGS!$I$8,0))))</f>
        <v/>
      </c>
      <c r="AQ860" s="9" t="str">
        <f aca="true">IF(C860="","",IF(AND(AP860&lt;&gt;"",TODAY()&gt;=AP860),"Refi Ready",IF(TODAY()-C860&gt;=SETTINGS!$I$11,"Prospecting","Performing")))</f>
        <v/>
      </c>
      <c r="AR860" s="22" t="str">
        <f aca="false">IF(OR(C860="",I860="",K860=""),"",IF(K860="Monthly",EDATE(C860,I860),WORKDAY(C860,I860)))</f>
        <v/>
      </c>
      <c r="AS860" s="11"/>
      <c r="AT860" s="23" t="str">
        <f aca="true">IF(C860="","",IF(AM860="Clawed Back","CLAWED",IF(TODAY()&lt;=C860+SETTINGS!$I$2,"⚠ AT RISK","SAFE")))</f>
        <v/>
      </c>
      <c r="AU860" s="11"/>
      <c r="AW860" s="24" t="n">
        <f aca="false">AW859+IF(AND(C860&lt;&gt;"",AO860&lt;&gt;"",OR('REP COMMISSION'!$B$3="",T860='REP COMMISSION'!$B$3,W860='REP COMMISSION'!$B$3,Z860='REP COMMISSION'!$B$3)),1,0)</f>
        <v>0</v>
      </c>
      <c r="AX860" s="24" t="n">
        <f aca="false">AX859+IF(AND(C860&lt;&gt;"",OR(F860="LOC - INITIAL",F860="CONSOLIDATION - UPFRONT COMM",F860="REVERSE - TOTAL FUNDING")),1,0)</f>
        <v>0</v>
      </c>
    </row>
    <row r="861" customFormat="false" ht="15" hidden="false" customHeight="false" outlineLevel="0" collapsed="false">
      <c r="A861" s="25" t="str">
        <f aca="false">IF(C861&lt;&gt;"","F"&amp;COUNT($C$4:C861),"")</f>
        <v/>
      </c>
      <c r="B861" s="26" t="str">
        <f aca="false">IF(OR(F861="LOC - INITIAL",F861="CONSOLIDATION - UPFRONT COMM",F861="REVERSE - TOTAL FUNDING"),A861,"")</f>
        <v/>
      </c>
      <c r="C861" s="27"/>
      <c r="D861" s="28"/>
      <c r="E861" s="28"/>
      <c r="F861" s="28"/>
      <c r="G861" s="29"/>
      <c r="H861" s="30"/>
      <c r="I861" s="28"/>
      <c r="J861" s="31" t="str">
        <f aca="false">IF(AND(G861&lt;&gt;"",H861&lt;&gt;""),G861*H861,"")</f>
        <v/>
      </c>
      <c r="K861" s="28"/>
      <c r="L861" s="32"/>
      <c r="M861" s="32"/>
      <c r="N861" s="31" t="n">
        <f aca="false">IF(OR(G861="",M861=""),0,IF(M861&gt;100,M861,G861*IF(M861&gt;1,M861/100,M861)))</f>
        <v>0</v>
      </c>
      <c r="O861" s="31" t="str">
        <f aca="false">IF(G861="","",G861*IF(L861="",0,IF(L861&gt;1,L861/100,L861))+N861)</f>
        <v/>
      </c>
      <c r="P861" s="28"/>
      <c r="Q861" s="33" t="str">
        <f aca="false">IF(P861="","",IFERROR(VLOOKUP(P861,PARTNERS!$A$2:$B$30,2,0),""))</f>
        <v/>
      </c>
      <c r="R861" s="17" t="str">
        <f aca="false">IF(O861="","",IF(OR(P861="",Q861=""),0,(O861-N861)*IF(Q861&gt;1,Q861/100,Q861)))</f>
        <v/>
      </c>
      <c r="S861" s="31" t="str">
        <f aca="false">IF(O861="","",O861-R861)</f>
        <v/>
      </c>
      <c r="T861" s="28"/>
      <c r="U861" s="34" t="str">
        <f aca="false">IF(T861="","",IFERROR(VLOOKUP(T861,REPS!$A$2:$D$40,2,0),""))</f>
        <v/>
      </c>
      <c r="V861" s="31" t="str">
        <f aca="false">IF(O861="","",IF(U861="",0,O861*IF(U861&gt;1,U861/100,U861)))</f>
        <v/>
      </c>
      <c r="W861" s="28"/>
      <c r="X861" s="34" t="str">
        <f aca="false">IF(W861="","",IFERROR(VLOOKUP(W861,REPS!$A$2:$D$40,3,0),""))</f>
        <v/>
      </c>
      <c r="Y861" s="31" t="str">
        <f aca="false">IF(O861="","",IF(X861="",0,O861*IF(X861&gt;1,X861/100,X861)))</f>
        <v/>
      </c>
      <c r="Z861" s="28"/>
      <c r="AA861" s="34" t="str">
        <f aca="false">IF(Z861="","",IFERROR(VLOOKUP(Z861,REPS!$A$2:$D$40,4,0),""))</f>
        <v/>
      </c>
      <c r="AB861" s="31" t="str">
        <f aca="false">IF(O861="","",IF(AA861="",0,O861*IF(AA861&gt;1,AA861/100,AA861)))</f>
        <v/>
      </c>
      <c r="AC861" s="31" t="str">
        <f aca="false">IF(O861="","",V861+Y861+AB861)</f>
        <v/>
      </c>
      <c r="AD861" s="19" t="str">
        <f aca="false">IF(O861="","",O861-R861-AC861)</f>
        <v/>
      </c>
      <c r="AE861" s="20"/>
      <c r="AF861" s="27"/>
      <c r="AG861" s="21" t="n">
        <f aca="false">IF(OR(AE861="",AE861=0),0,AE861*IF(U861="",0,IF(U861&gt;1,U861/100,U861)))</f>
        <v>0</v>
      </c>
      <c r="AH861" s="21" t="n">
        <f aca="false">IF(OR(AE861="",AE861=0),0,AE861*IF(X861="",0,IF(X861&gt;1,X861/100,X861)))</f>
        <v>0</v>
      </c>
      <c r="AI861" s="21" t="n">
        <f aca="false">IF(OR(AE861="",AE861=0),0,AE861*IF(AA861="",0,IF(AA861&gt;1,AA861/100,AA861)))</f>
        <v>0</v>
      </c>
      <c r="AJ861" s="21" t="n">
        <f aca="false">AG861+AH861+AI861</f>
        <v>0</v>
      </c>
      <c r="AK861" s="21" t="n">
        <f aca="false">IF(OR(AE861="",AE861=0),0,AE861-AJ861)</f>
        <v>0</v>
      </c>
      <c r="AL861" s="19" t="str">
        <f aca="false">IF(AD861="","",AD861-AK861)</f>
        <v/>
      </c>
      <c r="AM861" s="26" t="str">
        <f aca="false">IF(C861="","","Waiting for payment")</f>
        <v/>
      </c>
      <c r="AN861" s="27"/>
      <c r="AO861" s="27"/>
      <c r="AP861" s="35" t="str">
        <f aca="false">IF(OR(C861="",I861="",K861=""),"",IF(K861="Monthly",EDATE(C861,ROUND(I861*SETTINGS!$I$8,0)),WORKDAY(C861,ROUND(I861*SETTINGS!$I$8,0))))</f>
        <v/>
      </c>
      <c r="AQ861" s="26" t="str">
        <f aca="true">IF(C861="","",IF(AND(AP861&lt;&gt;"",TODAY()&gt;=AP861),"Refi Ready",IF(TODAY()-C861&gt;=SETTINGS!$I$11,"Prospecting","Performing")))</f>
        <v/>
      </c>
      <c r="AR861" s="35" t="str">
        <f aca="false">IF(OR(C861="",I861="",K861=""),"",IF(K861="Monthly",EDATE(C861,I861),WORKDAY(C861,I861)))</f>
        <v/>
      </c>
      <c r="AS861" s="28"/>
      <c r="AT861" s="36" t="str">
        <f aca="true">IF(C861="","",IF(AM861="Clawed Back","CLAWED",IF(TODAY()&lt;=C861+SETTINGS!$I$2,"⚠ AT RISK","SAFE")))</f>
        <v/>
      </c>
      <c r="AU861" s="28"/>
      <c r="AW861" s="24" t="n">
        <f aca="false">AW860+IF(AND(C861&lt;&gt;"",AO861&lt;&gt;"",OR('REP COMMISSION'!$B$3="",T861='REP COMMISSION'!$B$3,W861='REP COMMISSION'!$B$3,Z861='REP COMMISSION'!$B$3)),1,0)</f>
        <v>0</v>
      </c>
      <c r="AX861" s="24" t="n">
        <f aca="false">AX860+IF(AND(C861&lt;&gt;"",OR(F861="LOC - INITIAL",F861="CONSOLIDATION - UPFRONT COMM",F861="REVERSE - TOTAL FUNDING")),1,0)</f>
        <v>0</v>
      </c>
    </row>
    <row r="862" customFormat="false" ht="15" hidden="false" customHeight="false" outlineLevel="0" collapsed="false">
      <c r="A862" s="8" t="str">
        <f aca="false">IF(C862&lt;&gt;"","F"&amp;COUNT($C$4:C862),"")</f>
        <v/>
      </c>
      <c r="B862" s="9" t="str">
        <f aca="false">IF(OR(F862="LOC - INITIAL",F862="CONSOLIDATION - UPFRONT COMM",F862="REVERSE - TOTAL FUNDING"),A862,"")</f>
        <v/>
      </c>
      <c r="C862" s="10"/>
      <c r="D862" s="11"/>
      <c r="E862" s="11"/>
      <c r="F862" s="11"/>
      <c r="G862" s="12"/>
      <c r="H862" s="13"/>
      <c r="I862" s="11"/>
      <c r="J862" s="14" t="str">
        <f aca="false">IF(AND(G862&lt;&gt;"",H862&lt;&gt;""),G862*H862,"")</f>
        <v/>
      </c>
      <c r="K862" s="11"/>
      <c r="L862" s="15"/>
      <c r="M862" s="15"/>
      <c r="N862" s="14" t="n">
        <f aca="false">IF(OR(G862="",M862=""),0,IF(M862&gt;100,M862,G862*IF(M862&gt;1,M862/100,M862)))</f>
        <v>0</v>
      </c>
      <c r="O862" s="14" t="str">
        <f aca="false">IF(G862="","",G862*IF(L862="",0,IF(L862&gt;1,L862/100,L862))+N862)</f>
        <v/>
      </c>
      <c r="P862" s="11"/>
      <c r="Q862" s="16" t="str">
        <f aca="false">IF(P862="","",IFERROR(VLOOKUP(P862,PARTNERS!$A$2:$B$30,2,0),""))</f>
        <v/>
      </c>
      <c r="R862" s="17" t="str">
        <f aca="false">IF(O862="","",IF(OR(P862="",Q862=""),0,(O862-N862)*IF(Q862&gt;1,Q862/100,Q862)))</f>
        <v/>
      </c>
      <c r="S862" s="14" t="str">
        <f aca="false">IF(O862="","",O862-R862)</f>
        <v/>
      </c>
      <c r="T862" s="11"/>
      <c r="U862" s="18" t="str">
        <f aca="false">IF(T862="","",IFERROR(VLOOKUP(T862,REPS!$A$2:$D$40,2,0),""))</f>
        <v/>
      </c>
      <c r="V862" s="14" t="str">
        <f aca="false">IF(O862="","",IF(U862="",0,O862*IF(U862&gt;1,U862/100,U862)))</f>
        <v/>
      </c>
      <c r="W862" s="11"/>
      <c r="X862" s="18" t="str">
        <f aca="false">IF(W862="","",IFERROR(VLOOKUP(W862,REPS!$A$2:$D$40,3,0),""))</f>
        <v/>
      </c>
      <c r="Y862" s="14" t="str">
        <f aca="false">IF(O862="","",IF(X862="",0,O862*IF(X862&gt;1,X862/100,X862)))</f>
        <v/>
      </c>
      <c r="Z862" s="11"/>
      <c r="AA862" s="18" t="str">
        <f aca="false">IF(Z862="","",IFERROR(VLOOKUP(Z862,REPS!$A$2:$D$40,4,0),""))</f>
        <v/>
      </c>
      <c r="AB862" s="14" t="str">
        <f aca="false">IF(O862="","",IF(AA862="",0,O862*IF(AA862&gt;1,AA862/100,AA862)))</f>
        <v/>
      </c>
      <c r="AC862" s="14" t="str">
        <f aca="false">IF(O862="","",V862+Y862+AB862)</f>
        <v/>
      </c>
      <c r="AD862" s="19" t="str">
        <f aca="false">IF(O862="","",O862-R862-AC862)</f>
        <v/>
      </c>
      <c r="AE862" s="20"/>
      <c r="AF862" s="10"/>
      <c r="AG862" s="21" t="n">
        <f aca="false">IF(OR(AE862="",AE862=0),0,AE862*IF(U862="",0,IF(U862&gt;1,U862/100,U862)))</f>
        <v>0</v>
      </c>
      <c r="AH862" s="21" t="n">
        <f aca="false">IF(OR(AE862="",AE862=0),0,AE862*IF(X862="",0,IF(X862&gt;1,X862/100,X862)))</f>
        <v>0</v>
      </c>
      <c r="AI862" s="21" t="n">
        <f aca="false">IF(OR(AE862="",AE862=0),0,AE862*IF(AA862="",0,IF(AA862&gt;1,AA862/100,AA862)))</f>
        <v>0</v>
      </c>
      <c r="AJ862" s="21" t="n">
        <f aca="false">AG862+AH862+AI862</f>
        <v>0</v>
      </c>
      <c r="AK862" s="21" t="n">
        <f aca="false">IF(OR(AE862="",AE862=0),0,AE862-AJ862)</f>
        <v>0</v>
      </c>
      <c r="AL862" s="19" t="str">
        <f aca="false">IF(AD862="","",AD862-AK862)</f>
        <v/>
      </c>
      <c r="AM862" s="9" t="str">
        <f aca="false">IF(C862="","","Waiting for payment")</f>
        <v/>
      </c>
      <c r="AN862" s="10"/>
      <c r="AO862" s="10"/>
      <c r="AP862" s="22" t="str">
        <f aca="false">IF(OR(C862="",I862="",K862=""),"",IF(K862="Monthly",EDATE(C862,ROUND(I862*SETTINGS!$I$8,0)),WORKDAY(C862,ROUND(I862*SETTINGS!$I$8,0))))</f>
        <v/>
      </c>
      <c r="AQ862" s="9" t="str">
        <f aca="true">IF(C862="","",IF(AND(AP862&lt;&gt;"",TODAY()&gt;=AP862),"Refi Ready",IF(TODAY()-C862&gt;=SETTINGS!$I$11,"Prospecting","Performing")))</f>
        <v/>
      </c>
      <c r="AR862" s="22" t="str">
        <f aca="false">IF(OR(C862="",I862="",K862=""),"",IF(K862="Monthly",EDATE(C862,I862),WORKDAY(C862,I862)))</f>
        <v/>
      </c>
      <c r="AS862" s="11"/>
      <c r="AT862" s="23" t="str">
        <f aca="true">IF(C862="","",IF(AM862="Clawed Back","CLAWED",IF(TODAY()&lt;=C862+SETTINGS!$I$2,"⚠ AT RISK","SAFE")))</f>
        <v/>
      </c>
      <c r="AU862" s="11"/>
      <c r="AW862" s="24" t="n">
        <f aca="false">AW861+IF(AND(C862&lt;&gt;"",AO862&lt;&gt;"",OR('REP COMMISSION'!$B$3="",T862='REP COMMISSION'!$B$3,W862='REP COMMISSION'!$B$3,Z862='REP COMMISSION'!$B$3)),1,0)</f>
        <v>0</v>
      </c>
      <c r="AX862" s="24" t="n">
        <f aca="false">AX861+IF(AND(C862&lt;&gt;"",OR(F862="LOC - INITIAL",F862="CONSOLIDATION - UPFRONT COMM",F862="REVERSE - TOTAL FUNDING")),1,0)</f>
        <v>0</v>
      </c>
    </row>
    <row r="863" customFormat="false" ht="15" hidden="false" customHeight="false" outlineLevel="0" collapsed="false">
      <c r="A863" s="25" t="str">
        <f aca="false">IF(C863&lt;&gt;"","F"&amp;COUNT($C$4:C863),"")</f>
        <v/>
      </c>
      <c r="B863" s="26" t="str">
        <f aca="false">IF(OR(F863="LOC - INITIAL",F863="CONSOLIDATION - UPFRONT COMM",F863="REVERSE - TOTAL FUNDING"),A863,"")</f>
        <v/>
      </c>
      <c r="C863" s="27"/>
      <c r="D863" s="28"/>
      <c r="E863" s="28"/>
      <c r="F863" s="28"/>
      <c r="G863" s="29"/>
      <c r="H863" s="30"/>
      <c r="I863" s="28"/>
      <c r="J863" s="31" t="str">
        <f aca="false">IF(AND(G863&lt;&gt;"",H863&lt;&gt;""),G863*H863,"")</f>
        <v/>
      </c>
      <c r="K863" s="28"/>
      <c r="L863" s="32"/>
      <c r="M863" s="32"/>
      <c r="N863" s="31" t="n">
        <f aca="false">IF(OR(G863="",M863=""),0,IF(M863&gt;100,M863,G863*IF(M863&gt;1,M863/100,M863)))</f>
        <v>0</v>
      </c>
      <c r="O863" s="31" t="str">
        <f aca="false">IF(G863="","",G863*IF(L863="",0,IF(L863&gt;1,L863/100,L863))+N863)</f>
        <v/>
      </c>
      <c r="P863" s="28"/>
      <c r="Q863" s="33" t="str">
        <f aca="false">IF(P863="","",IFERROR(VLOOKUP(P863,PARTNERS!$A$2:$B$30,2,0),""))</f>
        <v/>
      </c>
      <c r="R863" s="17" t="str">
        <f aca="false">IF(O863="","",IF(OR(P863="",Q863=""),0,(O863-N863)*IF(Q863&gt;1,Q863/100,Q863)))</f>
        <v/>
      </c>
      <c r="S863" s="31" t="str">
        <f aca="false">IF(O863="","",O863-R863)</f>
        <v/>
      </c>
      <c r="T863" s="28"/>
      <c r="U863" s="34" t="str">
        <f aca="false">IF(T863="","",IFERROR(VLOOKUP(T863,REPS!$A$2:$D$40,2,0),""))</f>
        <v/>
      </c>
      <c r="V863" s="31" t="str">
        <f aca="false">IF(O863="","",IF(U863="",0,O863*IF(U863&gt;1,U863/100,U863)))</f>
        <v/>
      </c>
      <c r="W863" s="28"/>
      <c r="X863" s="34" t="str">
        <f aca="false">IF(W863="","",IFERROR(VLOOKUP(W863,REPS!$A$2:$D$40,3,0),""))</f>
        <v/>
      </c>
      <c r="Y863" s="31" t="str">
        <f aca="false">IF(O863="","",IF(X863="",0,O863*IF(X863&gt;1,X863/100,X863)))</f>
        <v/>
      </c>
      <c r="Z863" s="28"/>
      <c r="AA863" s="34" t="str">
        <f aca="false">IF(Z863="","",IFERROR(VLOOKUP(Z863,REPS!$A$2:$D$40,4,0),""))</f>
        <v/>
      </c>
      <c r="AB863" s="31" t="str">
        <f aca="false">IF(O863="","",IF(AA863="",0,O863*IF(AA863&gt;1,AA863/100,AA863)))</f>
        <v/>
      </c>
      <c r="AC863" s="31" t="str">
        <f aca="false">IF(O863="","",V863+Y863+AB863)</f>
        <v/>
      </c>
      <c r="AD863" s="19" t="str">
        <f aca="false">IF(O863="","",O863-R863-AC863)</f>
        <v/>
      </c>
      <c r="AE863" s="20"/>
      <c r="AF863" s="27"/>
      <c r="AG863" s="21" t="n">
        <f aca="false">IF(OR(AE863="",AE863=0),0,AE863*IF(U863="",0,IF(U863&gt;1,U863/100,U863)))</f>
        <v>0</v>
      </c>
      <c r="AH863" s="21" t="n">
        <f aca="false">IF(OR(AE863="",AE863=0),0,AE863*IF(X863="",0,IF(X863&gt;1,X863/100,X863)))</f>
        <v>0</v>
      </c>
      <c r="AI863" s="21" t="n">
        <f aca="false">IF(OR(AE863="",AE863=0),0,AE863*IF(AA863="",0,IF(AA863&gt;1,AA863/100,AA863)))</f>
        <v>0</v>
      </c>
      <c r="AJ863" s="21" t="n">
        <f aca="false">AG863+AH863+AI863</f>
        <v>0</v>
      </c>
      <c r="AK863" s="21" t="n">
        <f aca="false">IF(OR(AE863="",AE863=0),0,AE863-AJ863)</f>
        <v>0</v>
      </c>
      <c r="AL863" s="19" t="str">
        <f aca="false">IF(AD863="","",AD863-AK863)</f>
        <v/>
      </c>
      <c r="AM863" s="26" t="str">
        <f aca="false">IF(C863="","","Waiting for payment")</f>
        <v/>
      </c>
      <c r="AN863" s="27"/>
      <c r="AO863" s="27"/>
      <c r="AP863" s="35" t="str">
        <f aca="false">IF(OR(C863="",I863="",K863=""),"",IF(K863="Monthly",EDATE(C863,ROUND(I863*SETTINGS!$I$8,0)),WORKDAY(C863,ROUND(I863*SETTINGS!$I$8,0))))</f>
        <v/>
      </c>
      <c r="AQ863" s="26" t="str">
        <f aca="true">IF(C863="","",IF(AND(AP863&lt;&gt;"",TODAY()&gt;=AP863),"Refi Ready",IF(TODAY()-C863&gt;=SETTINGS!$I$11,"Prospecting","Performing")))</f>
        <v/>
      </c>
      <c r="AR863" s="35" t="str">
        <f aca="false">IF(OR(C863="",I863="",K863=""),"",IF(K863="Monthly",EDATE(C863,I863),WORKDAY(C863,I863)))</f>
        <v/>
      </c>
      <c r="AS863" s="28"/>
      <c r="AT863" s="36" t="str">
        <f aca="true">IF(C863="","",IF(AM863="Clawed Back","CLAWED",IF(TODAY()&lt;=C863+SETTINGS!$I$2,"⚠ AT RISK","SAFE")))</f>
        <v/>
      </c>
      <c r="AU863" s="28"/>
      <c r="AW863" s="24" t="n">
        <f aca="false">AW862+IF(AND(C863&lt;&gt;"",AO863&lt;&gt;"",OR('REP COMMISSION'!$B$3="",T863='REP COMMISSION'!$B$3,W863='REP COMMISSION'!$B$3,Z863='REP COMMISSION'!$B$3)),1,0)</f>
        <v>0</v>
      </c>
      <c r="AX863" s="24" t="n">
        <f aca="false">AX862+IF(AND(C863&lt;&gt;"",OR(F863="LOC - INITIAL",F863="CONSOLIDATION - UPFRONT COMM",F863="REVERSE - TOTAL FUNDING")),1,0)</f>
        <v>0</v>
      </c>
    </row>
    <row r="864" customFormat="false" ht="15" hidden="false" customHeight="false" outlineLevel="0" collapsed="false">
      <c r="A864" s="8" t="str">
        <f aca="false">IF(C864&lt;&gt;"","F"&amp;COUNT($C$4:C864),"")</f>
        <v/>
      </c>
      <c r="B864" s="9" t="str">
        <f aca="false">IF(OR(F864="LOC - INITIAL",F864="CONSOLIDATION - UPFRONT COMM",F864="REVERSE - TOTAL FUNDING"),A864,"")</f>
        <v/>
      </c>
      <c r="C864" s="10"/>
      <c r="D864" s="11"/>
      <c r="E864" s="11"/>
      <c r="F864" s="11"/>
      <c r="G864" s="12"/>
      <c r="H864" s="13"/>
      <c r="I864" s="11"/>
      <c r="J864" s="14" t="str">
        <f aca="false">IF(AND(G864&lt;&gt;"",H864&lt;&gt;""),G864*H864,"")</f>
        <v/>
      </c>
      <c r="K864" s="11"/>
      <c r="L864" s="15"/>
      <c r="M864" s="15"/>
      <c r="N864" s="14" t="n">
        <f aca="false">IF(OR(G864="",M864=""),0,IF(M864&gt;100,M864,G864*IF(M864&gt;1,M864/100,M864)))</f>
        <v>0</v>
      </c>
      <c r="O864" s="14" t="str">
        <f aca="false">IF(G864="","",G864*IF(L864="",0,IF(L864&gt;1,L864/100,L864))+N864)</f>
        <v/>
      </c>
      <c r="P864" s="11"/>
      <c r="Q864" s="16" t="str">
        <f aca="false">IF(P864="","",IFERROR(VLOOKUP(P864,PARTNERS!$A$2:$B$30,2,0),""))</f>
        <v/>
      </c>
      <c r="R864" s="17" t="str">
        <f aca="false">IF(O864="","",IF(OR(P864="",Q864=""),0,(O864-N864)*IF(Q864&gt;1,Q864/100,Q864)))</f>
        <v/>
      </c>
      <c r="S864" s="14" t="str">
        <f aca="false">IF(O864="","",O864-R864)</f>
        <v/>
      </c>
      <c r="T864" s="11"/>
      <c r="U864" s="18" t="str">
        <f aca="false">IF(T864="","",IFERROR(VLOOKUP(T864,REPS!$A$2:$D$40,2,0),""))</f>
        <v/>
      </c>
      <c r="V864" s="14" t="str">
        <f aca="false">IF(O864="","",IF(U864="",0,O864*IF(U864&gt;1,U864/100,U864)))</f>
        <v/>
      </c>
      <c r="W864" s="11"/>
      <c r="X864" s="18" t="str">
        <f aca="false">IF(W864="","",IFERROR(VLOOKUP(W864,REPS!$A$2:$D$40,3,0),""))</f>
        <v/>
      </c>
      <c r="Y864" s="14" t="str">
        <f aca="false">IF(O864="","",IF(X864="",0,O864*IF(X864&gt;1,X864/100,X864)))</f>
        <v/>
      </c>
      <c r="Z864" s="11"/>
      <c r="AA864" s="18" t="str">
        <f aca="false">IF(Z864="","",IFERROR(VLOOKUP(Z864,REPS!$A$2:$D$40,4,0),""))</f>
        <v/>
      </c>
      <c r="AB864" s="14" t="str">
        <f aca="false">IF(O864="","",IF(AA864="",0,O864*IF(AA864&gt;1,AA864/100,AA864)))</f>
        <v/>
      </c>
      <c r="AC864" s="14" t="str">
        <f aca="false">IF(O864="","",V864+Y864+AB864)</f>
        <v/>
      </c>
      <c r="AD864" s="19" t="str">
        <f aca="false">IF(O864="","",O864-R864-AC864)</f>
        <v/>
      </c>
      <c r="AE864" s="20"/>
      <c r="AF864" s="10"/>
      <c r="AG864" s="21" t="n">
        <f aca="false">IF(OR(AE864="",AE864=0),0,AE864*IF(U864="",0,IF(U864&gt;1,U864/100,U864)))</f>
        <v>0</v>
      </c>
      <c r="AH864" s="21" t="n">
        <f aca="false">IF(OR(AE864="",AE864=0),0,AE864*IF(X864="",0,IF(X864&gt;1,X864/100,X864)))</f>
        <v>0</v>
      </c>
      <c r="AI864" s="21" t="n">
        <f aca="false">IF(OR(AE864="",AE864=0),0,AE864*IF(AA864="",0,IF(AA864&gt;1,AA864/100,AA864)))</f>
        <v>0</v>
      </c>
      <c r="AJ864" s="21" t="n">
        <f aca="false">AG864+AH864+AI864</f>
        <v>0</v>
      </c>
      <c r="AK864" s="21" t="n">
        <f aca="false">IF(OR(AE864="",AE864=0),0,AE864-AJ864)</f>
        <v>0</v>
      </c>
      <c r="AL864" s="19" t="str">
        <f aca="false">IF(AD864="","",AD864-AK864)</f>
        <v/>
      </c>
      <c r="AM864" s="9" t="str">
        <f aca="false">IF(C864="","","Waiting for payment")</f>
        <v/>
      </c>
      <c r="AN864" s="10"/>
      <c r="AO864" s="10"/>
      <c r="AP864" s="22" t="str">
        <f aca="false">IF(OR(C864="",I864="",K864=""),"",IF(K864="Monthly",EDATE(C864,ROUND(I864*SETTINGS!$I$8,0)),WORKDAY(C864,ROUND(I864*SETTINGS!$I$8,0))))</f>
        <v/>
      </c>
      <c r="AQ864" s="9" t="str">
        <f aca="true">IF(C864="","",IF(AND(AP864&lt;&gt;"",TODAY()&gt;=AP864),"Refi Ready",IF(TODAY()-C864&gt;=SETTINGS!$I$11,"Prospecting","Performing")))</f>
        <v/>
      </c>
      <c r="AR864" s="22" t="str">
        <f aca="false">IF(OR(C864="",I864="",K864=""),"",IF(K864="Monthly",EDATE(C864,I864),WORKDAY(C864,I864)))</f>
        <v/>
      </c>
      <c r="AS864" s="11"/>
      <c r="AT864" s="23" t="str">
        <f aca="true">IF(C864="","",IF(AM864="Clawed Back","CLAWED",IF(TODAY()&lt;=C864+SETTINGS!$I$2,"⚠ AT RISK","SAFE")))</f>
        <v/>
      </c>
      <c r="AU864" s="11"/>
      <c r="AW864" s="24" t="n">
        <f aca="false">AW863+IF(AND(C864&lt;&gt;"",AO864&lt;&gt;"",OR('REP COMMISSION'!$B$3="",T864='REP COMMISSION'!$B$3,W864='REP COMMISSION'!$B$3,Z864='REP COMMISSION'!$B$3)),1,0)</f>
        <v>0</v>
      </c>
      <c r="AX864" s="24" t="n">
        <f aca="false">AX863+IF(AND(C864&lt;&gt;"",OR(F864="LOC - INITIAL",F864="CONSOLIDATION - UPFRONT COMM",F864="REVERSE - TOTAL FUNDING")),1,0)</f>
        <v>0</v>
      </c>
    </row>
    <row r="865" customFormat="false" ht="15" hidden="false" customHeight="false" outlineLevel="0" collapsed="false">
      <c r="A865" s="25" t="str">
        <f aca="false">IF(C865&lt;&gt;"","F"&amp;COUNT($C$4:C865),"")</f>
        <v/>
      </c>
      <c r="B865" s="26" t="str">
        <f aca="false">IF(OR(F865="LOC - INITIAL",F865="CONSOLIDATION - UPFRONT COMM",F865="REVERSE - TOTAL FUNDING"),A865,"")</f>
        <v/>
      </c>
      <c r="C865" s="27"/>
      <c r="D865" s="28"/>
      <c r="E865" s="28"/>
      <c r="F865" s="28"/>
      <c r="G865" s="29"/>
      <c r="H865" s="30"/>
      <c r="I865" s="28"/>
      <c r="J865" s="31" t="str">
        <f aca="false">IF(AND(G865&lt;&gt;"",H865&lt;&gt;""),G865*H865,"")</f>
        <v/>
      </c>
      <c r="K865" s="28"/>
      <c r="L865" s="32"/>
      <c r="M865" s="32"/>
      <c r="N865" s="31" t="n">
        <f aca="false">IF(OR(G865="",M865=""),0,IF(M865&gt;100,M865,G865*IF(M865&gt;1,M865/100,M865)))</f>
        <v>0</v>
      </c>
      <c r="O865" s="31" t="str">
        <f aca="false">IF(G865="","",G865*IF(L865="",0,IF(L865&gt;1,L865/100,L865))+N865)</f>
        <v/>
      </c>
      <c r="P865" s="28"/>
      <c r="Q865" s="33" t="str">
        <f aca="false">IF(P865="","",IFERROR(VLOOKUP(P865,PARTNERS!$A$2:$B$30,2,0),""))</f>
        <v/>
      </c>
      <c r="R865" s="17" t="str">
        <f aca="false">IF(O865="","",IF(OR(P865="",Q865=""),0,(O865-N865)*IF(Q865&gt;1,Q865/100,Q865)))</f>
        <v/>
      </c>
      <c r="S865" s="31" t="str">
        <f aca="false">IF(O865="","",O865-R865)</f>
        <v/>
      </c>
      <c r="T865" s="28"/>
      <c r="U865" s="34" t="str">
        <f aca="false">IF(T865="","",IFERROR(VLOOKUP(T865,REPS!$A$2:$D$40,2,0),""))</f>
        <v/>
      </c>
      <c r="V865" s="31" t="str">
        <f aca="false">IF(O865="","",IF(U865="",0,O865*IF(U865&gt;1,U865/100,U865)))</f>
        <v/>
      </c>
      <c r="W865" s="28"/>
      <c r="X865" s="34" t="str">
        <f aca="false">IF(W865="","",IFERROR(VLOOKUP(W865,REPS!$A$2:$D$40,3,0),""))</f>
        <v/>
      </c>
      <c r="Y865" s="31" t="str">
        <f aca="false">IF(O865="","",IF(X865="",0,O865*IF(X865&gt;1,X865/100,X865)))</f>
        <v/>
      </c>
      <c r="Z865" s="28"/>
      <c r="AA865" s="34" t="str">
        <f aca="false">IF(Z865="","",IFERROR(VLOOKUP(Z865,REPS!$A$2:$D$40,4,0),""))</f>
        <v/>
      </c>
      <c r="AB865" s="31" t="str">
        <f aca="false">IF(O865="","",IF(AA865="",0,O865*IF(AA865&gt;1,AA865/100,AA865)))</f>
        <v/>
      </c>
      <c r="AC865" s="31" t="str">
        <f aca="false">IF(O865="","",V865+Y865+AB865)</f>
        <v/>
      </c>
      <c r="AD865" s="19" t="str">
        <f aca="false">IF(O865="","",O865-R865-AC865)</f>
        <v/>
      </c>
      <c r="AE865" s="20"/>
      <c r="AF865" s="27"/>
      <c r="AG865" s="21" t="n">
        <f aca="false">IF(OR(AE865="",AE865=0),0,AE865*IF(U865="",0,IF(U865&gt;1,U865/100,U865)))</f>
        <v>0</v>
      </c>
      <c r="AH865" s="21" t="n">
        <f aca="false">IF(OR(AE865="",AE865=0),0,AE865*IF(X865="",0,IF(X865&gt;1,X865/100,X865)))</f>
        <v>0</v>
      </c>
      <c r="AI865" s="21" t="n">
        <f aca="false">IF(OR(AE865="",AE865=0),0,AE865*IF(AA865="",0,IF(AA865&gt;1,AA865/100,AA865)))</f>
        <v>0</v>
      </c>
      <c r="AJ865" s="21" t="n">
        <f aca="false">AG865+AH865+AI865</f>
        <v>0</v>
      </c>
      <c r="AK865" s="21" t="n">
        <f aca="false">IF(OR(AE865="",AE865=0),0,AE865-AJ865)</f>
        <v>0</v>
      </c>
      <c r="AL865" s="19" t="str">
        <f aca="false">IF(AD865="","",AD865-AK865)</f>
        <v/>
      </c>
      <c r="AM865" s="26" t="str">
        <f aca="false">IF(C865="","","Waiting for payment")</f>
        <v/>
      </c>
      <c r="AN865" s="27"/>
      <c r="AO865" s="27"/>
      <c r="AP865" s="35" t="str">
        <f aca="false">IF(OR(C865="",I865="",K865=""),"",IF(K865="Monthly",EDATE(C865,ROUND(I865*SETTINGS!$I$8,0)),WORKDAY(C865,ROUND(I865*SETTINGS!$I$8,0))))</f>
        <v/>
      </c>
      <c r="AQ865" s="26" t="str">
        <f aca="true">IF(C865="","",IF(AND(AP865&lt;&gt;"",TODAY()&gt;=AP865),"Refi Ready",IF(TODAY()-C865&gt;=SETTINGS!$I$11,"Prospecting","Performing")))</f>
        <v/>
      </c>
      <c r="AR865" s="35" t="str">
        <f aca="false">IF(OR(C865="",I865="",K865=""),"",IF(K865="Monthly",EDATE(C865,I865),WORKDAY(C865,I865)))</f>
        <v/>
      </c>
      <c r="AS865" s="28"/>
      <c r="AT865" s="36" t="str">
        <f aca="true">IF(C865="","",IF(AM865="Clawed Back","CLAWED",IF(TODAY()&lt;=C865+SETTINGS!$I$2,"⚠ AT RISK","SAFE")))</f>
        <v/>
      </c>
      <c r="AU865" s="28"/>
      <c r="AW865" s="24" t="n">
        <f aca="false">AW864+IF(AND(C865&lt;&gt;"",AO865&lt;&gt;"",OR('REP COMMISSION'!$B$3="",T865='REP COMMISSION'!$B$3,W865='REP COMMISSION'!$B$3,Z865='REP COMMISSION'!$B$3)),1,0)</f>
        <v>0</v>
      </c>
      <c r="AX865" s="24" t="n">
        <f aca="false">AX864+IF(AND(C865&lt;&gt;"",OR(F865="LOC - INITIAL",F865="CONSOLIDATION - UPFRONT COMM",F865="REVERSE - TOTAL FUNDING")),1,0)</f>
        <v>0</v>
      </c>
    </row>
    <row r="866" customFormat="false" ht="15" hidden="false" customHeight="false" outlineLevel="0" collapsed="false">
      <c r="A866" s="8" t="str">
        <f aca="false">IF(C866&lt;&gt;"","F"&amp;COUNT($C$4:C866),"")</f>
        <v/>
      </c>
      <c r="B866" s="9" t="str">
        <f aca="false">IF(OR(F866="LOC - INITIAL",F866="CONSOLIDATION - UPFRONT COMM",F866="REVERSE - TOTAL FUNDING"),A866,"")</f>
        <v/>
      </c>
      <c r="C866" s="10"/>
      <c r="D866" s="11"/>
      <c r="E866" s="11"/>
      <c r="F866" s="11"/>
      <c r="G866" s="12"/>
      <c r="H866" s="13"/>
      <c r="I866" s="11"/>
      <c r="J866" s="14" t="str">
        <f aca="false">IF(AND(G866&lt;&gt;"",H866&lt;&gt;""),G866*H866,"")</f>
        <v/>
      </c>
      <c r="K866" s="11"/>
      <c r="L866" s="15"/>
      <c r="M866" s="15"/>
      <c r="N866" s="14" t="n">
        <f aca="false">IF(OR(G866="",M866=""),0,IF(M866&gt;100,M866,G866*IF(M866&gt;1,M866/100,M866)))</f>
        <v>0</v>
      </c>
      <c r="O866" s="14" t="str">
        <f aca="false">IF(G866="","",G866*IF(L866="",0,IF(L866&gt;1,L866/100,L866))+N866)</f>
        <v/>
      </c>
      <c r="P866" s="11"/>
      <c r="Q866" s="16" t="str">
        <f aca="false">IF(P866="","",IFERROR(VLOOKUP(P866,PARTNERS!$A$2:$B$30,2,0),""))</f>
        <v/>
      </c>
      <c r="R866" s="17" t="str">
        <f aca="false">IF(O866="","",IF(OR(P866="",Q866=""),0,(O866-N866)*IF(Q866&gt;1,Q866/100,Q866)))</f>
        <v/>
      </c>
      <c r="S866" s="14" t="str">
        <f aca="false">IF(O866="","",O866-R866)</f>
        <v/>
      </c>
      <c r="T866" s="11"/>
      <c r="U866" s="18" t="str">
        <f aca="false">IF(T866="","",IFERROR(VLOOKUP(T866,REPS!$A$2:$D$40,2,0),""))</f>
        <v/>
      </c>
      <c r="V866" s="14" t="str">
        <f aca="false">IF(O866="","",IF(U866="",0,O866*IF(U866&gt;1,U866/100,U866)))</f>
        <v/>
      </c>
      <c r="W866" s="11"/>
      <c r="X866" s="18" t="str">
        <f aca="false">IF(W866="","",IFERROR(VLOOKUP(W866,REPS!$A$2:$D$40,3,0),""))</f>
        <v/>
      </c>
      <c r="Y866" s="14" t="str">
        <f aca="false">IF(O866="","",IF(X866="",0,O866*IF(X866&gt;1,X866/100,X866)))</f>
        <v/>
      </c>
      <c r="Z866" s="11"/>
      <c r="AA866" s="18" t="str">
        <f aca="false">IF(Z866="","",IFERROR(VLOOKUP(Z866,REPS!$A$2:$D$40,4,0),""))</f>
        <v/>
      </c>
      <c r="AB866" s="14" t="str">
        <f aca="false">IF(O866="","",IF(AA866="",0,O866*IF(AA866&gt;1,AA866/100,AA866)))</f>
        <v/>
      </c>
      <c r="AC866" s="14" t="str">
        <f aca="false">IF(O866="","",V866+Y866+AB866)</f>
        <v/>
      </c>
      <c r="AD866" s="19" t="str">
        <f aca="false">IF(O866="","",O866-R866-AC866)</f>
        <v/>
      </c>
      <c r="AE866" s="20"/>
      <c r="AF866" s="10"/>
      <c r="AG866" s="21" t="n">
        <f aca="false">IF(OR(AE866="",AE866=0),0,AE866*IF(U866="",0,IF(U866&gt;1,U866/100,U866)))</f>
        <v>0</v>
      </c>
      <c r="AH866" s="21" t="n">
        <f aca="false">IF(OR(AE866="",AE866=0),0,AE866*IF(X866="",0,IF(X866&gt;1,X866/100,X866)))</f>
        <v>0</v>
      </c>
      <c r="AI866" s="21" t="n">
        <f aca="false">IF(OR(AE866="",AE866=0),0,AE866*IF(AA866="",0,IF(AA866&gt;1,AA866/100,AA866)))</f>
        <v>0</v>
      </c>
      <c r="AJ866" s="21" t="n">
        <f aca="false">AG866+AH866+AI866</f>
        <v>0</v>
      </c>
      <c r="AK866" s="21" t="n">
        <f aca="false">IF(OR(AE866="",AE866=0),0,AE866-AJ866)</f>
        <v>0</v>
      </c>
      <c r="AL866" s="19" t="str">
        <f aca="false">IF(AD866="","",AD866-AK866)</f>
        <v/>
      </c>
      <c r="AM866" s="9" t="str">
        <f aca="false">IF(C866="","","Waiting for payment")</f>
        <v/>
      </c>
      <c r="AN866" s="10"/>
      <c r="AO866" s="10"/>
      <c r="AP866" s="22" t="str">
        <f aca="false">IF(OR(C866="",I866="",K866=""),"",IF(K866="Monthly",EDATE(C866,ROUND(I866*SETTINGS!$I$8,0)),WORKDAY(C866,ROUND(I866*SETTINGS!$I$8,0))))</f>
        <v/>
      </c>
      <c r="AQ866" s="9" t="str">
        <f aca="true">IF(C866="","",IF(AND(AP866&lt;&gt;"",TODAY()&gt;=AP866),"Refi Ready",IF(TODAY()-C866&gt;=SETTINGS!$I$11,"Prospecting","Performing")))</f>
        <v/>
      </c>
      <c r="AR866" s="22" t="str">
        <f aca="false">IF(OR(C866="",I866="",K866=""),"",IF(K866="Monthly",EDATE(C866,I866),WORKDAY(C866,I866)))</f>
        <v/>
      </c>
      <c r="AS866" s="11"/>
      <c r="AT866" s="23" t="str">
        <f aca="true">IF(C866="","",IF(AM866="Clawed Back","CLAWED",IF(TODAY()&lt;=C866+SETTINGS!$I$2,"⚠ AT RISK","SAFE")))</f>
        <v/>
      </c>
      <c r="AU866" s="11"/>
      <c r="AW866" s="24" t="n">
        <f aca="false">AW865+IF(AND(C866&lt;&gt;"",AO866&lt;&gt;"",OR('REP COMMISSION'!$B$3="",T866='REP COMMISSION'!$B$3,W866='REP COMMISSION'!$B$3,Z866='REP COMMISSION'!$B$3)),1,0)</f>
        <v>0</v>
      </c>
      <c r="AX866" s="24" t="n">
        <f aca="false">AX865+IF(AND(C866&lt;&gt;"",OR(F866="LOC - INITIAL",F866="CONSOLIDATION - UPFRONT COMM",F866="REVERSE - TOTAL FUNDING")),1,0)</f>
        <v>0</v>
      </c>
    </row>
    <row r="867" customFormat="false" ht="15" hidden="false" customHeight="false" outlineLevel="0" collapsed="false">
      <c r="A867" s="25" t="str">
        <f aca="false">IF(C867&lt;&gt;"","F"&amp;COUNT($C$4:C867),"")</f>
        <v/>
      </c>
      <c r="B867" s="26" t="str">
        <f aca="false">IF(OR(F867="LOC - INITIAL",F867="CONSOLIDATION - UPFRONT COMM",F867="REVERSE - TOTAL FUNDING"),A867,"")</f>
        <v/>
      </c>
      <c r="C867" s="27"/>
      <c r="D867" s="28"/>
      <c r="E867" s="28"/>
      <c r="F867" s="28"/>
      <c r="G867" s="29"/>
      <c r="H867" s="30"/>
      <c r="I867" s="28"/>
      <c r="J867" s="31" t="str">
        <f aca="false">IF(AND(G867&lt;&gt;"",H867&lt;&gt;""),G867*H867,"")</f>
        <v/>
      </c>
      <c r="K867" s="28"/>
      <c r="L867" s="32"/>
      <c r="M867" s="32"/>
      <c r="N867" s="31" t="n">
        <f aca="false">IF(OR(G867="",M867=""),0,IF(M867&gt;100,M867,G867*IF(M867&gt;1,M867/100,M867)))</f>
        <v>0</v>
      </c>
      <c r="O867" s="31" t="str">
        <f aca="false">IF(G867="","",G867*IF(L867="",0,IF(L867&gt;1,L867/100,L867))+N867)</f>
        <v/>
      </c>
      <c r="P867" s="28"/>
      <c r="Q867" s="33" t="str">
        <f aca="false">IF(P867="","",IFERROR(VLOOKUP(P867,PARTNERS!$A$2:$B$30,2,0),""))</f>
        <v/>
      </c>
      <c r="R867" s="17" t="str">
        <f aca="false">IF(O867="","",IF(OR(P867="",Q867=""),0,(O867-N867)*IF(Q867&gt;1,Q867/100,Q867)))</f>
        <v/>
      </c>
      <c r="S867" s="31" t="str">
        <f aca="false">IF(O867="","",O867-R867)</f>
        <v/>
      </c>
      <c r="T867" s="28"/>
      <c r="U867" s="34" t="str">
        <f aca="false">IF(T867="","",IFERROR(VLOOKUP(T867,REPS!$A$2:$D$40,2,0),""))</f>
        <v/>
      </c>
      <c r="V867" s="31" t="str">
        <f aca="false">IF(O867="","",IF(U867="",0,O867*IF(U867&gt;1,U867/100,U867)))</f>
        <v/>
      </c>
      <c r="W867" s="28"/>
      <c r="X867" s="34" t="str">
        <f aca="false">IF(W867="","",IFERROR(VLOOKUP(W867,REPS!$A$2:$D$40,3,0),""))</f>
        <v/>
      </c>
      <c r="Y867" s="31" t="str">
        <f aca="false">IF(O867="","",IF(X867="",0,O867*IF(X867&gt;1,X867/100,X867)))</f>
        <v/>
      </c>
      <c r="Z867" s="28"/>
      <c r="AA867" s="34" t="str">
        <f aca="false">IF(Z867="","",IFERROR(VLOOKUP(Z867,REPS!$A$2:$D$40,4,0),""))</f>
        <v/>
      </c>
      <c r="AB867" s="31" t="str">
        <f aca="false">IF(O867="","",IF(AA867="",0,O867*IF(AA867&gt;1,AA867/100,AA867)))</f>
        <v/>
      </c>
      <c r="AC867" s="31" t="str">
        <f aca="false">IF(O867="","",V867+Y867+AB867)</f>
        <v/>
      </c>
      <c r="AD867" s="19" t="str">
        <f aca="false">IF(O867="","",O867-R867-AC867)</f>
        <v/>
      </c>
      <c r="AE867" s="20"/>
      <c r="AF867" s="27"/>
      <c r="AG867" s="21" t="n">
        <f aca="false">IF(OR(AE867="",AE867=0),0,AE867*IF(U867="",0,IF(U867&gt;1,U867/100,U867)))</f>
        <v>0</v>
      </c>
      <c r="AH867" s="21" t="n">
        <f aca="false">IF(OR(AE867="",AE867=0),0,AE867*IF(X867="",0,IF(X867&gt;1,X867/100,X867)))</f>
        <v>0</v>
      </c>
      <c r="AI867" s="21" t="n">
        <f aca="false">IF(OR(AE867="",AE867=0),0,AE867*IF(AA867="",0,IF(AA867&gt;1,AA867/100,AA867)))</f>
        <v>0</v>
      </c>
      <c r="AJ867" s="21" t="n">
        <f aca="false">AG867+AH867+AI867</f>
        <v>0</v>
      </c>
      <c r="AK867" s="21" t="n">
        <f aca="false">IF(OR(AE867="",AE867=0),0,AE867-AJ867)</f>
        <v>0</v>
      </c>
      <c r="AL867" s="19" t="str">
        <f aca="false">IF(AD867="","",AD867-AK867)</f>
        <v/>
      </c>
      <c r="AM867" s="26" t="str">
        <f aca="false">IF(C867="","","Waiting for payment")</f>
        <v/>
      </c>
      <c r="AN867" s="27"/>
      <c r="AO867" s="27"/>
      <c r="AP867" s="35" t="str">
        <f aca="false">IF(OR(C867="",I867="",K867=""),"",IF(K867="Monthly",EDATE(C867,ROUND(I867*SETTINGS!$I$8,0)),WORKDAY(C867,ROUND(I867*SETTINGS!$I$8,0))))</f>
        <v/>
      </c>
      <c r="AQ867" s="26" t="str">
        <f aca="true">IF(C867="","",IF(AND(AP867&lt;&gt;"",TODAY()&gt;=AP867),"Refi Ready",IF(TODAY()-C867&gt;=SETTINGS!$I$11,"Prospecting","Performing")))</f>
        <v/>
      </c>
      <c r="AR867" s="35" t="str">
        <f aca="false">IF(OR(C867="",I867="",K867=""),"",IF(K867="Monthly",EDATE(C867,I867),WORKDAY(C867,I867)))</f>
        <v/>
      </c>
      <c r="AS867" s="28"/>
      <c r="AT867" s="36" t="str">
        <f aca="true">IF(C867="","",IF(AM867="Clawed Back","CLAWED",IF(TODAY()&lt;=C867+SETTINGS!$I$2,"⚠ AT RISK","SAFE")))</f>
        <v/>
      </c>
      <c r="AU867" s="28"/>
      <c r="AW867" s="24" t="n">
        <f aca="false">AW866+IF(AND(C867&lt;&gt;"",AO867&lt;&gt;"",OR('REP COMMISSION'!$B$3="",T867='REP COMMISSION'!$B$3,W867='REP COMMISSION'!$B$3,Z867='REP COMMISSION'!$B$3)),1,0)</f>
        <v>0</v>
      </c>
      <c r="AX867" s="24" t="n">
        <f aca="false">AX866+IF(AND(C867&lt;&gt;"",OR(F867="LOC - INITIAL",F867="CONSOLIDATION - UPFRONT COMM",F867="REVERSE - TOTAL FUNDING")),1,0)</f>
        <v>0</v>
      </c>
    </row>
    <row r="868" customFormat="false" ht="15" hidden="false" customHeight="false" outlineLevel="0" collapsed="false">
      <c r="A868" s="8" t="str">
        <f aca="false">IF(C868&lt;&gt;"","F"&amp;COUNT($C$4:C868),"")</f>
        <v/>
      </c>
      <c r="B868" s="9" t="str">
        <f aca="false">IF(OR(F868="LOC - INITIAL",F868="CONSOLIDATION - UPFRONT COMM",F868="REVERSE - TOTAL FUNDING"),A868,"")</f>
        <v/>
      </c>
      <c r="C868" s="10"/>
      <c r="D868" s="11"/>
      <c r="E868" s="11"/>
      <c r="F868" s="11"/>
      <c r="G868" s="12"/>
      <c r="H868" s="13"/>
      <c r="I868" s="11"/>
      <c r="J868" s="14" t="str">
        <f aca="false">IF(AND(G868&lt;&gt;"",H868&lt;&gt;""),G868*H868,"")</f>
        <v/>
      </c>
      <c r="K868" s="11"/>
      <c r="L868" s="15"/>
      <c r="M868" s="15"/>
      <c r="N868" s="14" t="n">
        <f aca="false">IF(OR(G868="",M868=""),0,IF(M868&gt;100,M868,G868*IF(M868&gt;1,M868/100,M868)))</f>
        <v>0</v>
      </c>
      <c r="O868" s="14" t="str">
        <f aca="false">IF(G868="","",G868*IF(L868="",0,IF(L868&gt;1,L868/100,L868))+N868)</f>
        <v/>
      </c>
      <c r="P868" s="11"/>
      <c r="Q868" s="16" t="str">
        <f aca="false">IF(P868="","",IFERROR(VLOOKUP(P868,PARTNERS!$A$2:$B$30,2,0),""))</f>
        <v/>
      </c>
      <c r="R868" s="17" t="str">
        <f aca="false">IF(O868="","",IF(OR(P868="",Q868=""),0,(O868-N868)*IF(Q868&gt;1,Q868/100,Q868)))</f>
        <v/>
      </c>
      <c r="S868" s="14" t="str">
        <f aca="false">IF(O868="","",O868-R868)</f>
        <v/>
      </c>
      <c r="T868" s="11"/>
      <c r="U868" s="18" t="str">
        <f aca="false">IF(T868="","",IFERROR(VLOOKUP(T868,REPS!$A$2:$D$40,2,0),""))</f>
        <v/>
      </c>
      <c r="V868" s="14" t="str">
        <f aca="false">IF(O868="","",IF(U868="",0,O868*IF(U868&gt;1,U868/100,U868)))</f>
        <v/>
      </c>
      <c r="W868" s="11"/>
      <c r="X868" s="18" t="str">
        <f aca="false">IF(W868="","",IFERROR(VLOOKUP(W868,REPS!$A$2:$D$40,3,0),""))</f>
        <v/>
      </c>
      <c r="Y868" s="14" t="str">
        <f aca="false">IF(O868="","",IF(X868="",0,O868*IF(X868&gt;1,X868/100,X868)))</f>
        <v/>
      </c>
      <c r="Z868" s="11"/>
      <c r="AA868" s="18" t="str">
        <f aca="false">IF(Z868="","",IFERROR(VLOOKUP(Z868,REPS!$A$2:$D$40,4,0),""))</f>
        <v/>
      </c>
      <c r="AB868" s="14" t="str">
        <f aca="false">IF(O868="","",IF(AA868="",0,O868*IF(AA868&gt;1,AA868/100,AA868)))</f>
        <v/>
      </c>
      <c r="AC868" s="14" t="str">
        <f aca="false">IF(O868="","",V868+Y868+AB868)</f>
        <v/>
      </c>
      <c r="AD868" s="19" t="str">
        <f aca="false">IF(O868="","",O868-R868-AC868)</f>
        <v/>
      </c>
      <c r="AE868" s="20"/>
      <c r="AF868" s="10"/>
      <c r="AG868" s="21" t="n">
        <f aca="false">IF(OR(AE868="",AE868=0),0,AE868*IF(U868="",0,IF(U868&gt;1,U868/100,U868)))</f>
        <v>0</v>
      </c>
      <c r="AH868" s="21" t="n">
        <f aca="false">IF(OR(AE868="",AE868=0),0,AE868*IF(X868="",0,IF(X868&gt;1,X868/100,X868)))</f>
        <v>0</v>
      </c>
      <c r="AI868" s="21" t="n">
        <f aca="false">IF(OR(AE868="",AE868=0),0,AE868*IF(AA868="",0,IF(AA868&gt;1,AA868/100,AA868)))</f>
        <v>0</v>
      </c>
      <c r="AJ868" s="21" t="n">
        <f aca="false">AG868+AH868+AI868</f>
        <v>0</v>
      </c>
      <c r="AK868" s="21" t="n">
        <f aca="false">IF(OR(AE868="",AE868=0),0,AE868-AJ868)</f>
        <v>0</v>
      </c>
      <c r="AL868" s="19" t="str">
        <f aca="false">IF(AD868="","",AD868-AK868)</f>
        <v/>
      </c>
      <c r="AM868" s="9" t="str">
        <f aca="false">IF(C868="","","Waiting for payment")</f>
        <v/>
      </c>
      <c r="AN868" s="10"/>
      <c r="AO868" s="10"/>
      <c r="AP868" s="22" t="str">
        <f aca="false">IF(OR(C868="",I868="",K868=""),"",IF(K868="Monthly",EDATE(C868,ROUND(I868*SETTINGS!$I$8,0)),WORKDAY(C868,ROUND(I868*SETTINGS!$I$8,0))))</f>
        <v/>
      </c>
      <c r="AQ868" s="9" t="str">
        <f aca="true">IF(C868="","",IF(AND(AP868&lt;&gt;"",TODAY()&gt;=AP868),"Refi Ready",IF(TODAY()-C868&gt;=SETTINGS!$I$11,"Prospecting","Performing")))</f>
        <v/>
      </c>
      <c r="AR868" s="22" t="str">
        <f aca="false">IF(OR(C868="",I868="",K868=""),"",IF(K868="Monthly",EDATE(C868,I868),WORKDAY(C868,I868)))</f>
        <v/>
      </c>
      <c r="AS868" s="11"/>
      <c r="AT868" s="23" t="str">
        <f aca="true">IF(C868="","",IF(AM868="Clawed Back","CLAWED",IF(TODAY()&lt;=C868+SETTINGS!$I$2,"⚠ AT RISK","SAFE")))</f>
        <v/>
      </c>
      <c r="AU868" s="11"/>
      <c r="AW868" s="24" t="n">
        <f aca="false">AW867+IF(AND(C868&lt;&gt;"",AO868&lt;&gt;"",OR('REP COMMISSION'!$B$3="",T868='REP COMMISSION'!$B$3,W868='REP COMMISSION'!$B$3,Z868='REP COMMISSION'!$B$3)),1,0)</f>
        <v>0</v>
      </c>
      <c r="AX868" s="24" t="n">
        <f aca="false">AX867+IF(AND(C868&lt;&gt;"",OR(F868="LOC - INITIAL",F868="CONSOLIDATION - UPFRONT COMM",F868="REVERSE - TOTAL FUNDING")),1,0)</f>
        <v>0</v>
      </c>
    </row>
    <row r="869" customFormat="false" ht="15" hidden="false" customHeight="false" outlineLevel="0" collapsed="false">
      <c r="A869" s="25" t="str">
        <f aca="false">IF(C869&lt;&gt;"","F"&amp;COUNT($C$4:C869),"")</f>
        <v/>
      </c>
      <c r="B869" s="26" t="str">
        <f aca="false">IF(OR(F869="LOC - INITIAL",F869="CONSOLIDATION - UPFRONT COMM",F869="REVERSE - TOTAL FUNDING"),A869,"")</f>
        <v/>
      </c>
      <c r="C869" s="27"/>
      <c r="D869" s="28"/>
      <c r="E869" s="28"/>
      <c r="F869" s="28"/>
      <c r="G869" s="29"/>
      <c r="H869" s="30"/>
      <c r="I869" s="28"/>
      <c r="J869" s="31" t="str">
        <f aca="false">IF(AND(G869&lt;&gt;"",H869&lt;&gt;""),G869*H869,"")</f>
        <v/>
      </c>
      <c r="K869" s="28"/>
      <c r="L869" s="32"/>
      <c r="M869" s="32"/>
      <c r="N869" s="31" t="n">
        <f aca="false">IF(OR(G869="",M869=""),0,IF(M869&gt;100,M869,G869*IF(M869&gt;1,M869/100,M869)))</f>
        <v>0</v>
      </c>
      <c r="O869" s="31" t="str">
        <f aca="false">IF(G869="","",G869*IF(L869="",0,IF(L869&gt;1,L869/100,L869))+N869)</f>
        <v/>
      </c>
      <c r="P869" s="28"/>
      <c r="Q869" s="33" t="str">
        <f aca="false">IF(P869="","",IFERROR(VLOOKUP(P869,PARTNERS!$A$2:$B$30,2,0),""))</f>
        <v/>
      </c>
      <c r="R869" s="17" t="str">
        <f aca="false">IF(O869="","",IF(OR(P869="",Q869=""),0,(O869-N869)*IF(Q869&gt;1,Q869/100,Q869)))</f>
        <v/>
      </c>
      <c r="S869" s="31" t="str">
        <f aca="false">IF(O869="","",O869-R869)</f>
        <v/>
      </c>
      <c r="T869" s="28"/>
      <c r="U869" s="34" t="str">
        <f aca="false">IF(T869="","",IFERROR(VLOOKUP(T869,REPS!$A$2:$D$40,2,0),""))</f>
        <v/>
      </c>
      <c r="V869" s="31" t="str">
        <f aca="false">IF(O869="","",IF(U869="",0,O869*IF(U869&gt;1,U869/100,U869)))</f>
        <v/>
      </c>
      <c r="W869" s="28"/>
      <c r="X869" s="34" t="str">
        <f aca="false">IF(W869="","",IFERROR(VLOOKUP(W869,REPS!$A$2:$D$40,3,0),""))</f>
        <v/>
      </c>
      <c r="Y869" s="31" t="str">
        <f aca="false">IF(O869="","",IF(X869="",0,O869*IF(X869&gt;1,X869/100,X869)))</f>
        <v/>
      </c>
      <c r="Z869" s="28"/>
      <c r="AA869" s="34" t="str">
        <f aca="false">IF(Z869="","",IFERROR(VLOOKUP(Z869,REPS!$A$2:$D$40,4,0),""))</f>
        <v/>
      </c>
      <c r="AB869" s="31" t="str">
        <f aca="false">IF(O869="","",IF(AA869="",0,O869*IF(AA869&gt;1,AA869/100,AA869)))</f>
        <v/>
      </c>
      <c r="AC869" s="31" t="str">
        <f aca="false">IF(O869="","",V869+Y869+AB869)</f>
        <v/>
      </c>
      <c r="AD869" s="19" t="str">
        <f aca="false">IF(O869="","",O869-R869-AC869)</f>
        <v/>
      </c>
      <c r="AE869" s="20"/>
      <c r="AF869" s="27"/>
      <c r="AG869" s="21" t="n">
        <f aca="false">IF(OR(AE869="",AE869=0),0,AE869*IF(U869="",0,IF(U869&gt;1,U869/100,U869)))</f>
        <v>0</v>
      </c>
      <c r="AH869" s="21" t="n">
        <f aca="false">IF(OR(AE869="",AE869=0),0,AE869*IF(X869="",0,IF(X869&gt;1,X869/100,X869)))</f>
        <v>0</v>
      </c>
      <c r="AI869" s="21" t="n">
        <f aca="false">IF(OR(AE869="",AE869=0),0,AE869*IF(AA869="",0,IF(AA869&gt;1,AA869/100,AA869)))</f>
        <v>0</v>
      </c>
      <c r="AJ869" s="21" t="n">
        <f aca="false">AG869+AH869+AI869</f>
        <v>0</v>
      </c>
      <c r="AK869" s="21" t="n">
        <f aca="false">IF(OR(AE869="",AE869=0),0,AE869-AJ869)</f>
        <v>0</v>
      </c>
      <c r="AL869" s="19" t="str">
        <f aca="false">IF(AD869="","",AD869-AK869)</f>
        <v/>
      </c>
      <c r="AM869" s="26" t="str">
        <f aca="false">IF(C869="","","Waiting for payment")</f>
        <v/>
      </c>
      <c r="AN869" s="27"/>
      <c r="AO869" s="27"/>
      <c r="AP869" s="35" t="str">
        <f aca="false">IF(OR(C869="",I869="",K869=""),"",IF(K869="Monthly",EDATE(C869,ROUND(I869*SETTINGS!$I$8,0)),WORKDAY(C869,ROUND(I869*SETTINGS!$I$8,0))))</f>
        <v/>
      </c>
      <c r="AQ869" s="26" t="str">
        <f aca="true">IF(C869="","",IF(AND(AP869&lt;&gt;"",TODAY()&gt;=AP869),"Refi Ready",IF(TODAY()-C869&gt;=SETTINGS!$I$11,"Prospecting","Performing")))</f>
        <v/>
      </c>
      <c r="AR869" s="35" t="str">
        <f aca="false">IF(OR(C869="",I869="",K869=""),"",IF(K869="Monthly",EDATE(C869,I869),WORKDAY(C869,I869)))</f>
        <v/>
      </c>
      <c r="AS869" s="28"/>
      <c r="AT869" s="36" t="str">
        <f aca="true">IF(C869="","",IF(AM869="Clawed Back","CLAWED",IF(TODAY()&lt;=C869+SETTINGS!$I$2,"⚠ AT RISK","SAFE")))</f>
        <v/>
      </c>
      <c r="AU869" s="28"/>
      <c r="AW869" s="24" t="n">
        <f aca="false">AW868+IF(AND(C869&lt;&gt;"",AO869&lt;&gt;"",OR('REP COMMISSION'!$B$3="",T869='REP COMMISSION'!$B$3,W869='REP COMMISSION'!$B$3,Z869='REP COMMISSION'!$B$3)),1,0)</f>
        <v>0</v>
      </c>
      <c r="AX869" s="24" t="n">
        <f aca="false">AX868+IF(AND(C869&lt;&gt;"",OR(F869="LOC - INITIAL",F869="CONSOLIDATION - UPFRONT COMM",F869="REVERSE - TOTAL FUNDING")),1,0)</f>
        <v>0</v>
      </c>
    </row>
    <row r="870" customFormat="false" ht="15" hidden="false" customHeight="false" outlineLevel="0" collapsed="false">
      <c r="A870" s="8" t="str">
        <f aca="false">IF(C870&lt;&gt;"","F"&amp;COUNT($C$4:C870),"")</f>
        <v/>
      </c>
      <c r="B870" s="9" t="str">
        <f aca="false">IF(OR(F870="LOC - INITIAL",F870="CONSOLIDATION - UPFRONT COMM",F870="REVERSE - TOTAL FUNDING"),A870,"")</f>
        <v/>
      </c>
      <c r="C870" s="10"/>
      <c r="D870" s="11"/>
      <c r="E870" s="11"/>
      <c r="F870" s="11"/>
      <c r="G870" s="12"/>
      <c r="H870" s="13"/>
      <c r="I870" s="11"/>
      <c r="J870" s="14" t="str">
        <f aca="false">IF(AND(G870&lt;&gt;"",H870&lt;&gt;""),G870*H870,"")</f>
        <v/>
      </c>
      <c r="K870" s="11"/>
      <c r="L870" s="15"/>
      <c r="M870" s="15"/>
      <c r="N870" s="14" t="n">
        <f aca="false">IF(OR(G870="",M870=""),0,IF(M870&gt;100,M870,G870*IF(M870&gt;1,M870/100,M870)))</f>
        <v>0</v>
      </c>
      <c r="O870" s="14" t="str">
        <f aca="false">IF(G870="","",G870*IF(L870="",0,IF(L870&gt;1,L870/100,L870))+N870)</f>
        <v/>
      </c>
      <c r="P870" s="11"/>
      <c r="Q870" s="16" t="str">
        <f aca="false">IF(P870="","",IFERROR(VLOOKUP(P870,PARTNERS!$A$2:$B$30,2,0),""))</f>
        <v/>
      </c>
      <c r="R870" s="17" t="str">
        <f aca="false">IF(O870="","",IF(OR(P870="",Q870=""),0,(O870-N870)*IF(Q870&gt;1,Q870/100,Q870)))</f>
        <v/>
      </c>
      <c r="S870" s="14" t="str">
        <f aca="false">IF(O870="","",O870-R870)</f>
        <v/>
      </c>
      <c r="T870" s="11"/>
      <c r="U870" s="18" t="str">
        <f aca="false">IF(T870="","",IFERROR(VLOOKUP(T870,REPS!$A$2:$D$40,2,0),""))</f>
        <v/>
      </c>
      <c r="V870" s="14" t="str">
        <f aca="false">IF(O870="","",IF(U870="",0,O870*IF(U870&gt;1,U870/100,U870)))</f>
        <v/>
      </c>
      <c r="W870" s="11"/>
      <c r="X870" s="18" t="str">
        <f aca="false">IF(W870="","",IFERROR(VLOOKUP(W870,REPS!$A$2:$D$40,3,0),""))</f>
        <v/>
      </c>
      <c r="Y870" s="14" t="str">
        <f aca="false">IF(O870="","",IF(X870="",0,O870*IF(X870&gt;1,X870/100,X870)))</f>
        <v/>
      </c>
      <c r="Z870" s="11"/>
      <c r="AA870" s="18" t="str">
        <f aca="false">IF(Z870="","",IFERROR(VLOOKUP(Z870,REPS!$A$2:$D$40,4,0),""))</f>
        <v/>
      </c>
      <c r="AB870" s="14" t="str">
        <f aca="false">IF(O870="","",IF(AA870="",0,O870*IF(AA870&gt;1,AA870/100,AA870)))</f>
        <v/>
      </c>
      <c r="AC870" s="14" t="str">
        <f aca="false">IF(O870="","",V870+Y870+AB870)</f>
        <v/>
      </c>
      <c r="AD870" s="19" t="str">
        <f aca="false">IF(O870="","",O870-R870-AC870)</f>
        <v/>
      </c>
      <c r="AE870" s="20"/>
      <c r="AF870" s="10"/>
      <c r="AG870" s="21" t="n">
        <f aca="false">IF(OR(AE870="",AE870=0),0,AE870*IF(U870="",0,IF(U870&gt;1,U870/100,U870)))</f>
        <v>0</v>
      </c>
      <c r="AH870" s="21" t="n">
        <f aca="false">IF(OR(AE870="",AE870=0),0,AE870*IF(X870="",0,IF(X870&gt;1,X870/100,X870)))</f>
        <v>0</v>
      </c>
      <c r="AI870" s="21" t="n">
        <f aca="false">IF(OR(AE870="",AE870=0),0,AE870*IF(AA870="",0,IF(AA870&gt;1,AA870/100,AA870)))</f>
        <v>0</v>
      </c>
      <c r="AJ870" s="21" t="n">
        <f aca="false">AG870+AH870+AI870</f>
        <v>0</v>
      </c>
      <c r="AK870" s="21" t="n">
        <f aca="false">IF(OR(AE870="",AE870=0),0,AE870-AJ870)</f>
        <v>0</v>
      </c>
      <c r="AL870" s="19" t="str">
        <f aca="false">IF(AD870="","",AD870-AK870)</f>
        <v/>
      </c>
      <c r="AM870" s="9" t="str">
        <f aca="false">IF(C870="","","Waiting for payment")</f>
        <v/>
      </c>
      <c r="AN870" s="10"/>
      <c r="AO870" s="10"/>
      <c r="AP870" s="22" t="str">
        <f aca="false">IF(OR(C870="",I870="",K870=""),"",IF(K870="Monthly",EDATE(C870,ROUND(I870*SETTINGS!$I$8,0)),WORKDAY(C870,ROUND(I870*SETTINGS!$I$8,0))))</f>
        <v/>
      </c>
      <c r="AQ870" s="9" t="str">
        <f aca="true">IF(C870="","",IF(AND(AP870&lt;&gt;"",TODAY()&gt;=AP870),"Refi Ready",IF(TODAY()-C870&gt;=SETTINGS!$I$11,"Prospecting","Performing")))</f>
        <v/>
      </c>
      <c r="AR870" s="22" t="str">
        <f aca="false">IF(OR(C870="",I870="",K870=""),"",IF(K870="Monthly",EDATE(C870,I870),WORKDAY(C870,I870)))</f>
        <v/>
      </c>
      <c r="AS870" s="11"/>
      <c r="AT870" s="23" t="str">
        <f aca="true">IF(C870="","",IF(AM870="Clawed Back","CLAWED",IF(TODAY()&lt;=C870+SETTINGS!$I$2,"⚠ AT RISK","SAFE")))</f>
        <v/>
      </c>
      <c r="AU870" s="11"/>
      <c r="AW870" s="24" t="n">
        <f aca="false">AW869+IF(AND(C870&lt;&gt;"",AO870&lt;&gt;"",OR('REP COMMISSION'!$B$3="",T870='REP COMMISSION'!$B$3,W870='REP COMMISSION'!$B$3,Z870='REP COMMISSION'!$B$3)),1,0)</f>
        <v>0</v>
      </c>
      <c r="AX870" s="24" t="n">
        <f aca="false">AX869+IF(AND(C870&lt;&gt;"",OR(F870="LOC - INITIAL",F870="CONSOLIDATION - UPFRONT COMM",F870="REVERSE - TOTAL FUNDING")),1,0)</f>
        <v>0</v>
      </c>
    </row>
    <row r="871" customFormat="false" ht="15" hidden="false" customHeight="false" outlineLevel="0" collapsed="false">
      <c r="A871" s="25" t="str">
        <f aca="false">IF(C871&lt;&gt;"","F"&amp;COUNT($C$4:C871),"")</f>
        <v/>
      </c>
      <c r="B871" s="26" t="str">
        <f aca="false">IF(OR(F871="LOC - INITIAL",F871="CONSOLIDATION - UPFRONT COMM",F871="REVERSE - TOTAL FUNDING"),A871,"")</f>
        <v/>
      </c>
      <c r="C871" s="27"/>
      <c r="D871" s="28"/>
      <c r="E871" s="28"/>
      <c r="F871" s="28"/>
      <c r="G871" s="29"/>
      <c r="H871" s="30"/>
      <c r="I871" s="28"/>
      <c r="J871" s="31" t="str">
        <f aca="false">IF(AND(G871&lt;&gt;"",H871&lt;&gt;""),G871*H871,"")</f>
        <v/>
      </c>
      <c r="K871" s="28"/>
      <c r="L871" s="32"/>
      <c r="M871" s="32"/>
      <c r="N871" s="31" t="n">
        <f aca="false">IF(OR(G871="",M871=""),0,IF(M871&gt;100,M871,G871*IF(M871&gt;1,M871/100,M871)))</f>
        <v>0</v>
      </c>
      <c r="O871" s="31" t="str">
        <f aca="false">IF(G871="","",G871*IF(L871="",0,IF(L871&gt;1,L871/100,L871))+N871)</f>
        <v/>
      </c>
      <c r="P871" s="28"/>
      <c r="Q871" s="33" t="str">
        <f aca="false">IF(P871="","",IFERROR(VLOOKUP(P871,PARTNERS!$A$2:$B$30,2,0),""))</f>
        <v/>
      </c>
      <c r="R871" s="17" t="str">
        <f aca="false">IF(O871="","",IF(OR(P871="",Q871=""),0,(O871-N871)*IF(Q871&gt;1,Q871/100,Q871)))</f>
        <v/>
      </c>
      <c r="S871" s="31" t="str">
        <f aca="false">IF(O871="","",O871-R871)</f>
        <v/>
      </c>
      <c r="T871" s="28"/>
      <c r="U871" s="34" t="str">
        <f aca="false">IF(T871="","",IFERROR(VLOOKUP(T871,REPS!$A$2:$D$40,2,0),""))</f>
        <v/>
      </c>
      <c r="V871" s="31" t="str">
        <f aca="false">IF(O871="","",IF(U871="",0,O871*IF(U871&gt;1,U871/100,U871)))</f>
        <v/>
      </c>
      <c r="W871" s="28"/>
      <c r="X871" s="34" t="str">
        <f aca="false">IF(W871="","",IFERROR(VLOOKUP(W871,REPS!$A$2:$D$40,3,0),""))</f>
        <v/>
      </c>
      <c r="Y871" s="31" t="str">
        <f aca="false">IF(O871="","",IF(X871="",0,O871*IF(X871&gt;1,X871/100,X871)))</f>
        <v/>
      </c>
      <c r="Z871" s="28"/>
      <c r="AA871" s="34" t="str">
        <f aca="false">IF(Z871="","",IFERROR(VLOOKUP(Z871,REPS!$A$2:$D$40,4,0),""))</f>
        <v/>
      </c>
      <c r="AB871" s="31" t="str">
        <f aca="false">IF(O871="","",IF(AA871="",0,O871*IF(AA871&gt;1,AA871/100,AA871)))</f>
        <v/>
      </c>
      <c r="AC871" s="31" t="str">
        <f aca="false">IF(O871="","",V871+Y871+AB871)</f>
        <v/>
      </c>
      <c r="AD871" s="19" t="str">
        <f aca="false">IF(O871="","",O871-R871-AC871)</f>
        <v/>
      </c>
      <c r="AE871" s="20"/>
      <c r="AF871" s="27"/>
      <c r="AG871" s="21" t="n">
        <f aca="false">IF(OR(AE871="",AE871=0),0,AE871*IF(U871="",0,IF(U871&gt;1,U871/100,U871)))</f>
        <v>0</v>
      </c>
      <c r="AH871" s="21" t="n">
        <f aca="false">IF(OR(AE871="",AE871=0),0,AE871*IF(X871="",0,IF(X871&gt;1,X871/100,X871)))</f>
        <v>0</v>
      </c>
      <c r="AI871" s="21" t="n">
        <f aca="false">IF(OR(AE871="",AE871=0),0,AE871*IF(AA871="",0,IF(AA871&gt;1,AA871/100,AA871)))</f>
        <v>0</v>
      </c>
      <c r="AJ871" s="21" t="n">
        <f aca="false">AG871+AH871+AI871</f>
        <v>0</v>
      </c>
      <c r="AK871" s="21" t="n">
        <f aca="false">IF(OR(AE871="",AE871=0),0,AE871-AJ871)</f>
        <v>0</v>
      </c>
      <c r="AL871" s="19" t="str">
        <f aca="false">IF(AD871="","",AD871-AK871)</f>
        <v/>
      </c>
      <c r="AM871" s="26" t="str">
        <f aca="false">IF(C871="","","Waiting for payment")</f>
        <v/>
      </c>
      <c r="AN871" s="27"/>
      <c r="AO871" s="27"/>
      <c r="AP871" s="35" t="str">
        <f aca="false">IF(OR(C871="",I871="",K871=""),"",IF(K871="Monthly",EDATE(C871,ROUND(I871*SETTINGS!$I$8,0)),WORKDAY(C871,ROUND(I871*SETTINGS!$I$8,0))))</f>
        <v/>
      </c>
      <c r="AQ871" s="26" t="str">
        <f aca="true">IF(C871="","",IF(AND(AP871&lt;&gt;"",TODAY()&gt;=AP871),"Refi Ready",IF(TODAY()-C871&gt;=SETTINGS!$I$11,"Prospecting","Performing")))</f>
        <v/>
      </c>
      <c r="AR871" s="35" t="str">
        <f aca="false">IF(OR(C871="",I871="",K871=""),"",IF(K871="Monthly",EDATE(C871,I871),WORKDAY(C871,I871)))</f>
        <v/>
      </c>
      <c r="AS871" s="28"/>
      <c r="AT871" s="36" t="str">
        <f aca="true">IF(C871="","",IF(AM871="Clawed Back","CLAWED",IF(TODAY()&lt;=C871+SETTINGS!$I$2,"⚠ AT RISK","SAFE")))</f>
        <v/>
      </c>
      <c r="AU871" s="28"/>
      <c r="AW871" s="24" t="n">
        <f aca="false">AW870+IF(AND(C871&lt;&gt;"",AO871&lt;&gt;"",OR('REP COMMISSION'!$B$3="",T871='REP COMMISSION'!$B$3,W871='REP COMMISSION'!$B$3,Z871='REP COMMISSION'!$B$3)),1,0)</f>
        <v>0</v>
      </c>
      <c r="AX871" s="24" t="n">
        <f aca="false">AX870+IF(AND(C871&lt;&gt;"",OR(F871="LOC - INITIAL",F871="CONSOLIDATION - UPFRONT COMM",F871="REVERSE - TOTAL FUNDING")),1,0)</f>
        <v>0</v>
      </c>
    </row>
    <row r="872" customFormat="false" ht="15" hidden="false" customHeight="false" outlineLevel="0" collapsed="false">
      <c r="A872" s="8" t="str">
        <f aca="false">IF(C872&lt;&gt;"","F"&amp;COUNT($C$4:C872),"")</f>
        <v/>
      </c>
      <c r="B872" s="9" t="str">
        <f aca="false">IF(OR(F872="LOC - INITIAL",F872="CONSOLIDATION - UPFRONT COMM",F872="REVERSE - TOTAL FUNDING"),A872,"")</f>
        <v/>
      </c>
      <c r="C872" s="10"/>
      <c r="D872" s="11"/>
      <c r="E872" s="11"/>
      <c r="F872" s="11"/>
      <c r="G872" s="12"/>
      <c r="H872" s="13"/>
      <c r="I872" s="11"/>
      <c r="J872" s="14" t="str">
        <f aca="false">IF(AND(G872&lt;&gt;"",H872&lt;&gt;""),G872*H872,"")</f>
        <v/>
      </c>
      <c r="K872" s="11"/>
      <c r="L872" s="15"/>
      <c r="M872" s="15"/>
      <c r="N872" s="14" t="n">
        <f aca="false">IF(OR(G872="",M872=""),0,IF(M872&gt;100,M872,G872*IF(M872&gt;1,M872/100,M872)))</f>
        <v>0</v>
      </c>
      <c r="O872" s="14" t="str">
        <f aca="false">IF(G872="","",G872*IF(L872="",0,IF(L872&gt;1,L872/100,L872))+N872)</f>
        <v/>
      </c>
      <c r="P872" s="11"/>
      <c r="Q872" s="16" t="str">
        <f aca="false">IF(P872="","",IFERROR(VLOOKUP(P872,PARTNERS!$A$2:$B$30,2,0),""))</f>
        <v/>
      </c>
      <c r="R872" s="17" t="str">
        <f aca="false">IF(O872="","",IF(OR(P872="",Q872=""),0,(O872-N872)*IF(Q872&gt;1,Q872/100,Q872)))</f>
        <v/>
      </c>
      <c r="S872" s="14" t="str">
        <f aca="false">IF(O872="","",O872-R872)</f>
        <v/>
      </c>
      <c r="T872" s="11"/>
      <c r="U872" s="18" t="str">
        <f aca="false">IF(T872="","",IFERROR(VLOOKUP(T872,REPS!$A$2:$D$40,2,0),""))</f>
        <v/>
      </c>
      <c r="V872" s="14" t="str">
        <f aca="false">IF(O872="","",IF(U872="",0,O872*IF(U872&gt;1,U872/100,U872)))</f>
        <v/>
      </c>
      <c r="W872" s="11"/>
      <c r="X872" s="18" t="str">
        <f aca="false">IF(W872="","",IFERROR(VLOOKUP(W872,REPS!$A$2:$D$40,3,0),""))</f>
        <v/>
      </c>
      <c r="Y872" s="14" t="str">
        <f aca="false">IF(O872="","",IF(X872="",0,O872*IF(X872&gt;1,X872/100,X872)))</f>
        <v/>
      </c>
      <c r="Z872" s="11"/>
      <c r="AA872" s="18" t="str">
        <f aca="false">IF(Z872="","",IFERROR(VLOOKUP(Z872,REPS!$A$2:$D$40,4,0),""))</f>
        <v/>
      </c>
      <c r="AB872" s="14" t="str">
        <f aca="false">IF(O872="","",IF(AA872="",0,O872*IF(AA872&gt;1,AA872/100,AA872)))</f>
        <v/>
      </c>
      <c r="AC872" s="14" t="str">
        <f aca="false">IF(O872="","",V872+Y872+AB872)</f>
        <v/>
      </c>
      <c r="AD872" s="19" t="str">
        <f aca="false">IF(O872="","",O872-R872-AC872)</f>
        <v/>
      </c>
      <c r="AE872" s="20"/>
      <c r="AF872" s="10"/>
      <c r="AG872" s="21" t="n">
        <f aca="false">IF(OR(AE872="",AE872=0),0,AE872*IF(U872="",0,IF(U872&gt;1,U872/100,U872)))</f>
        <v>0</v>
      </c>
      <c r="AH872" s="21" t="n">
        <f aca="false">IF(OR(AE872="",AE872=0),0,AE872*IF(X872="",0,IF(X872&gt;1,X872/100,X872)))</f>
        <v>0</v>
      </c>
      <c r="AI872" s="21" t="n">
        <f aca="false">IF(OR(AE872="",AE872=0),0,AE872*IF(AA872="",0,IF(AA872&gt;1,AA872/100,AA872)))</f>
        <v>0</v>
      </c>
      <c r="AJ872" s="21" t="n">
        <f aca="false">AG872+AH872+AI872</f>
        <v>0</v>
      </c>
      <c r="AK872" s="21" t="n">
        <f aca="false">IF(OR(AE872="",AE872=0),0,AE872-AJ872)</f>
        <v>0</v>
      </c>
      <c r="AL872" s="19" t="str">
        <f aca="false">IF(AD872="","",AD872-AK872)</f>
        <v/>
      </c>
      <c r="AM872" s="9" t="str">
        <f aca="false">IF(C872="","","Waiting for payment")</f>
        <v/>
      </c>
      <c r="AN872" s="10"/>
      <c r="AO872" s="10"/>
      <c r="AP872" s="22" t="str">
        <f aca="false">IF(OR(C872="",I872="",K872=""),"",IF(K872="Monthly",EDATE(C872,ROUND(I872*SETTINGS!$I$8,0)),WORKDAY(C872,ROUND(I872*SETTINGS!$I$8,0))))</f>
        <v/>
      </c>
      <c r="AQ872" s="9" t="str">
        <f aca="true">IF(C872="","",IF(AND(AP872&lt;&gt;"",TODAY()&gt;=AP872),"Refi Ready",IF(TODAY()-C872&gt;=SETTINGS!$I$11,"Prospecting","Performing")))</f>
        <v/>
      </c>
      <c r="AR872" s="22" t="str">
        <f aca="false">IF(OR(C872="",I872="",K872=""),"",IF(K872="Monthly",EDATE(C872,I872),WORKDAY(C872,I872)))</f>
        <v/>
      </c>
      <c r="AS872" s="11"/>
      <c r="AT872" s="23" t="str">
        <f aca="true">IF(C872="","",IF(AM872="Clawed Back","CLAWED",IF(TODAY()&lt;=C872+SETTINGS!$I$2,"⚠ AT RISK","SAFE")))</f>
        <v/>
      </c>
      <c r="AU872" s="11"/>
      <c r="AW872" s="24" t="n">
        <f aca="false">AW871+IF(AND(C872&lt;&gt;"",AO872&lt;&gt;"",OR('REP COMMISSION'!$B$3="",T872='REP COMMISSION'!$B$3,W872='REP COMMISSION'!$B$3,Z872='REP COMMISSION'!$B$3)),1,0)</f>
        <v>0</v>
      </c>
      <c r="AX872" s="24" t="n">
        <f aca="false">AX871+IF(AND(C872&lt;&gt;"",OR(F872="LOC - INITIAL",F872="CONSOLIDATION - UPFRONT COMM",F872="REVERSE - TOTAL FUNDING")),1,0)</f>
        <v>0</v>
      </c>
    </row>
    <row r="873" customFormat="false" ht="15" hidden="false" customHeight="false" outlineLevel="0" collapsed="false">
      <c r="A873" s="25" t="str">
        <f aca="false">IF(C873&lt;&gt;"","F"&amp;COUNT($C$4:C873),"")</f>
        <v/>
      </c>
      <c r="B873" s="26" t="str">
        <f aca="false">IF(OR(F873="LOC - INITIAL",F873="CONSOLIDATION - UPFRONT COMM",F873="REVERSE - TOTAL FUNDING"),A873,"")</f>
        <v/>
      </c>
      <c r="C873" s="27"/>
      <c r="D873" s="28"/>
      <c r="E873" s="28"/>
      <c r="F873" s="28"/>
      <c r="G873" s="29"/>
      <c r="H873" s="30"/>
      <c r="I873" s="28"/>
      <c r="J873" s="31" t="str">
        <f aca="false">IF(AND(G873&lt;&gt;"",H873&lt;&gt;""),G873*H873,"")</f>
        <v/>
      </c>
      <c r="K873" s="28"/>
      <c r="L873" s="32"/>
      <c r="M873" s="32"/>
      <c r="N873" s="31" t="n">
        <f aca="false">IF(OR(G873="",M873=""),0,IF(M873&gt;100,M873,G873*IF(M873&gt;1,M873/100,M873)))</f>
        <v>0</v>
      </c>
      <c r="O873" s="31" t="str">
        <f aca="false">IF(G873="","",G873*IF(L873="",0,IF(L873&gt;1,L873/100,L873))+N873)</f>
        <v/>
      </c>
      <c r="P873" s="28"/>
      <c r="Q873" s="33" t="str">
        <f aca="false">IF(P873="","",IFERROR(VLOOKUP(P873,PARTNERS!$A$2:$B$30,2,0),""))</f>
        <v/>
      </c>
      <c r="R873" s="17" t="str">
        <f aca="false">IF(O873="","",IF(OR(P873="",Q873=""),0,(O873-N873)*IF(Q873&gt;1,Q873/100,Q873)))</f>
        <v/>
      </c>
      <c r="S873" s="31" t="str">
        <f aca="false">IF(O873="","",O873-R873)</f>
        <v/>
      </c>
      <c r="T873" s="28"/>
      <c r="U873" s="34" t="str">
        <f aca="false">IF(T873="","",IFERROR(VLOOKUP(T873,REPS!$A$2:$D$40,2,0),""))</f>
        <v/>
      </c>
      <c r="V873" s="31" t="str">
        <f aca="false">IF(O873="","",IF(U873="",0,O873*IF(U873&gt;1,U873/100,U873)))</f>
        <v/>
      </c>
      <c r="W873" s="28"/>
      <c r="X873" s="34" t="str">
        <f aca="false">IF(W873="","",IFERROR(VLOOKUP(W873,REPS!$A$2:$D$40,3,0),""))</f>
        <v/>
      </c>
      <c r="Y873" s="31" t="str">
        <f aca="false">IF(O873="","",IF(X873="",0,O873*IF(X873&gt;1,X873/100,X873)))</f>
        <v/>
      </c>
      <c r="Z873" s="28"/>
      <c r="AA873" s="34" t="str">
        <f aca="false">IF(Z873="","",IFERROR(VLOOKUP(Z873,REPS!$A$2:$D$40,4,0),""))</f>
        <v/>
      </c>
      <c r="AB873" s="31" t="str">
        <f aca="false">IF(O873="","",IF(AA873="",0,O873*IF(AA873&gt;1,AA873/100,AA873)))</f>
        <v/>
      </c>
      <c r="AC873" s="31" t="str">
        <f aca="false">IF(O873="","",V873+Y873+AB873)</f>
        <v/>
      </c>
      <c r="AD873" s="19" t="str">
        <f aca="false">IF(O873="","",O873-R873-AC873)</f>
        <v/>
      </c>
      <c r="AE873" s="20"/>
      <c r="AF873" s="27"/>
      <c r="AG873" s="21" t="n">
        <f aca="false">IF(OR(AE873="",AE873=0),0,AE873*IF(U873="",0,IF(U873&gt;1,U873/100,U873)))</f>
        <v>0</v>
      </c>
      <c r="AH873" s="21" t="n">
        <f aca="false">IF(OR(AE873="",AE873=0),0,AE873*IF(X873="",0,IF(X873&gt;1,X873/100,X873)))</f>
        <v>0</v>
      </c>
      <c r="AI873" s="21" t="n">
        <f aca="false">IF(OR(AE873="",AE873=0),0,AE873*IF(AA873="",0,IF(AA873&gt;1,AA873/100,AA873)))</f>
        <v>0</v>
      </c>
      <c r="AJ873" s="21" t="n">
        <f aca="false">AG873+AH873+AI873</f>
        <v>0</v>
      </c>
      <c r="AK873" s="21" t="n">
        <f aca="false">IF(OR(AE873="",AE873=0),0,AE873-AJ873)</f>
        <v>0</v>
      </c>
      <c r="AL873" s="19" t="str">
        <f aca="false">IF(AD873="","",AD873-AK873)</f>
        <v/>
      </c>
      <c r="AM873" s="26" t="str">
        <f aca="false">IF(C873="","","Waiting for payment")</f>
        <v/>
      </c>
      <c r="AN873" s="27"/>
      <c r="AO873" s="27"/>
      <c r="AP873" s="35" t="str">
        <f aca="false">IF(OR(C873="",I873="",K873=""),"",IF(K873="Monthly",EDATE(C873,ROUND(I873*SETTINGS!$I$8,0)),WORKDAY(C873,ROUND(I873*SETTINGS!$I$8,0))))</f>
        <v/>
      </c>
      <c r="AQ873" s="26" t="str">
        <f aca="true">IF(C873="","",IF(AND(AP873&lt;&gt;"",TODAY()&gt;=AP873),"Refi Ready",IF(TODAY()-C873&gt;=SETTINGS!$I$11,"Prospecting","Performing")))</f>
        <v/>
      </c>
      <c r="AR873" s="35" t="str">
        <f aca="false">IF(OR(C873="",I873="",K873=""),"",IF(K873="Monthly",EDATE(C873,I873),WORKDAY(C873,I873)))</f>
        <v/>
      </c>
      <c r="AS873" s="28"/>
      <c r="AT873" s="36" t="str">
        <f aca="true">IF(C873="","",IF(AM873="Clawed Back","CLAWED",IF(TODAY()&lt;=C873+SETTINGS!$I$2,"⚠ AT RISK","SAFE")))</f>
        <v/>
      </c>
      <c r="AU873" s="28"/>
      <c r="AW873" s="24" t="n">
        <f aca="false">AW872+IF(AND(C873&lt;&gt;"",AO873&lt;&gt;"",OR('REP COMMISSION'!$B$3="",T873='REP COMMISSION'!$B$3,W873='REP COMMISSION'!$B$3,Z873='REP COMMISSION'!$B$3)),1,0)</f>
        <v>0</v>
      </c>
      <c r="AX873" s="24" t="n">
        <f aca="false">AX872+IF(AND(C873&lt;&gt;"",OR(F873="LOC - INITIAL",F873="CONSOLIDATION - UPFRONT COMM",F873="REVERSE - TOTAL FUNDING")),1,0)</f>
        <v>0</v>
      </c>
    </row>
    <row r="874" customFormat="false" ht="15" hidden="false" customHeight="false" outlineLevel="0" collapsed="false">
      <c r="A874" s="8" t="str">
        <f aca="false">IF(C874&lt;&gt;"","F"&amp;COUNT($C$4:C874),"")</f>
        <v/>
      </c>
      <c r="B874" s="9" t="str">
        <f aca="false">IF(OR(F874="LOC - INITIAL",F874="CONSOLIDATION - UPFRONT COMM",F874="REVERSE - TOTAL FUNDING"),A874,"")</f>
        <v/>
      </c>
      <c r="C874" s="10"/>
      <c r="D874" s="11"/>
      <c r="E874" s="11"/>
      <c r="F874" s="11"/>
      <c r="G874" s="12"/>
      <c r="H874" s="13"/>
      <c r="I874" s="11"/>
      <c r="J874" s="14" t="str">
        <f aca="false">IF(AND(G874&lt;&gt;"",H874&lt;&gt;""),G874*H874,"")</f>
        <v/>
      </c>
      <c r="K874" s="11"/>
      <c r="L874" s="15"/>
      <c r="M874" s="15"/>
      <c r="N874" s="14" t="n">
        <f aca="false">IF(OR(G874="",M874=""),0,IF(M874&gt;100,M874,G874*IF(M874&gt;1,M874/100,M874)))</f>
        <v>0</v>
      </c>
      <c r="O874" s="14" t="str">
        <f aca="false">IF(G874="","",G874*IF(L874="",0,IF(L874&gt;1,L874/100,L874))+N874)</f>
        <v/>
      </c>
      <c r="P874" s="11"/>
      <c r="Q874" s="16" t="str">
        <f aca="false">IF(P874="","",IFERROR(VLOOKUP(P874,PARTNERS!$A$2:$B$30,2,0),""))</f>
        <v/>
      </c>
      <c r="R874" s="17" t="str">
        <f aca="false">IF(O874="","",IF(OR(P874="",Q874=""),0,(O874-N874)*IF(Q874&gt;1,Q874/100,Q874)))</f>
        <v/>
      </c>
      <c r="S874" s="14" t="str">
        <f aca="false">IF(O874="","",O874-R874)</f>
        <v/>
      </c>
      <c r="T874" s="11"/>
      <c r="U874" s="18" t="str">
        <f aca="false">IF(T874="","",IFERROR(VLOOKUP(T874,REPS!$A$2:$D$40,2,0),""))</f>
        <v/>
      </c>
      <c r="V874" s="14" t="str">
        <f aca="false">IF(O874="","",IF(U874="",0,O874*IF(U874&gt;1,U874/100,U874)))</f>
        <v/>
      </c>
      <c r="W874" s="11"/>
      <c r="X874" s="18" t="str">
        <f aca="false">IF(W874="","",IFERROR(VLOOKUP(W874,REPS!$A$2:$D$40,3,0),""))</f>
        <v/>
      </c>
      <c r="Y874" s="14" t="str">
        <f aca="false">IF(O874="","",IF(X874="",0,O874*IF(X874&gt;1,X874/100,X874)))</f>
        <v/>
      </c>
      <c r="Z874" s="11"/>
      <c r="AA874" s="18" t="str">
        <f aca="false">IF(Z874="","",IFERROR(VLOOKUP(Z874,REPS!$A$2:$D$40,4,0),""))</f>
        <v/>
      </c>
      <c r="AB874" s="14" t="str">
        <f aca="false">IF(O874="","",IF(AA874="",0,O874*IF(AA874&gt;1,AA874/100,AA874)))</f>
        <v/>
      </c>
      <c r="AC874" s="14" t="str">
        <f aca="false">IF(O874="","",V874+Y874+AB874)</f>
        <v/>
      </c>
      <c r="AD874" s="19" t="str">
        <f aca="false">IF(O874="","",O874-R874-AC874)</f>
        <v/>
      </c>
      <c r="AE874" s="20"/>
      <c r="AF874" s="10"/>
      <c r="AG874" s="21" t="n">
        <f aca="false">IF(OR(AE874="",AE874=0),0,AE874*IF(U874="",0,IF(U874&gt;1,U874/100,U874)))</f>
        <v>0</v>
      </c>
      <c r="AH874" s="21" t="n">
        <f aca="false">IF(OR(AE874="",AE874=0),0,AE874*IF(X874="",0,IF(X874&gt;1,X874/100,X874)))</f>
        <v>0</v>
      </c>
      <c r="AI874" s="21" t="n">
        <f aca="false">IF(OR(AE874="",AE874=0),0,AE874*IF(AA874="",0,IF(AA874&gt;1,AA874/100,AA874)))</f>
        <v>0</v>
      </c>
      <c r="AJ874" s="21" t="n">
        <f aca="false">AG874+AH874+AI874</f>
        <v>0</v>
      </c>
      <c r="AK874" s="21" t="n">
        <f aca="false">IF(OR(AE874="",AE874=0),0,AE874-AJ874)</f>
        <v>0</v>
      </c>
      <c r="AL874" s="19" t="str">
        <f aca="false">IF(AD874="","",AD874-AK874)</f>
        <v/>
      </c>
      <c r="AM874" s="9" t="str">
        <f aca="false">IF(C874="","","Waiting for payment")</f>
        <v/>
      </c>
      <c r="AN874" s="10"/>
      <c r="AO874" s="10"/>
      <c r="AP874" s="22" t="str">
        <f aca="false">IF(OR(C874="",I874="",K874=""),"",IF(K874="Monthly",EDATE(C874,ROUND(I874*SETTINGS!$I$8,0)),WORKDAY(C874,ROUND(I874*SETTINGS!$I$8,0))))</f>
        <v/>
      </c>
      <c r="AQ874" s="9" t="str">
        <f aca="true">IF(C874="","",IF(AND(AP874&lt;&gt;"",TODAY()&gt;=AP874),"Refi Ready",IF(TODAY()-C874&gt;=SETTINGS!$I$11,"Prospecting","Performing")))</f>
        <v/>
      </c>
      <c r="AR874" s="22" t="str">
        <f aca="false">IF(OR(C874="",I874="",K874=""),"",IF(K874="Monthly",EDATE(C874,I874),WORKDAY(C874,I874)))</f>
        <v/>
      </c>
      <c r="AS874" s="11"/>
      <c r="AT874" s="23" t="str">
        <f aca="true">IF(C874="","",IF(AM874="Clawed Back","CLAWED",IF(TODAY()&lt;=C874+SETTINGS!$I$2,"⚠ AT RISK","SAFE")))</f>
        <v/>
      </c>
      <c r="AU874" s="11"/>
      <c r="AW874" s="24" t="n">
        <f aca="false">AW873+IF(AND(C874&lt;&gt;"",AO874&lt;&gt;"",OR('REP COMMISSION'!$B$3="",T874='REP COMMISSION'!$B$3,W874='REP COMMISSION'!$B$3,Z874='REP COMMISSION'!$B$3)),1,0)</f>
        <v>0</v>
      </c>
      <c r="AX874" s="24" t="n">
        <f aca="false">AX873+IF(AND(C874&lt;&gt;"",OR(F874="LOC - INITIAL",F874="CONSOLIDATION - UPFRONT COMM",F874="REVERSE - TOTAL FUNDING")),1,0)</f>
        <v>0</v>
      </c>
    </row>
    <row r="875" customFormat="false" ht="15" hidden="false" customHeight="false" outlineLevel="0" collapsed="false">
      <c r="A875" s="25" t="str">
        <f aca="false">IF(C875&lt;&gt;"","F"&amp;COUNT($C$4:C875),"")</f>
        <v/>
      </c>
      <c r="B875" s="26" t="str">
        <f aca="false">IF(OR(F875="LOC - INITIAL",F875="CONSOLIDATION - UPFRONT COMM",F875="REVERSE - TOTAL FUNDING"),A875,"")</f>
        <v/>
      </c>
      <c r="C875" s="27"/>
      <c r="D875" s="28"/>
      <c r="E875" s="28"/>
      <c r="F875" s="28"/>
      <c r="G875" s="29"/>
      <c r="H875" s="30"/>
      <c r="I875" s="28"/>
      <c r="J875" s="31" t="str">
        <f aca="false">IF(AND(G875&lt;&gt;"",H875&lt;&gt;""),G875*H875,"")</f>
        <v/>
      </c>
      <c r="K875" s="28"/>
      <c r="L875" s="32"/>
      <c r="M875" s="32"/>
      <c r="N875" s="31" t="n">
        <f aca="false">IF(OR(G875="",M875=""),0,IF(M875&gt;100,M875,G875*IF(M875&gt;1,M875/100,M875)))</f>
        <v>0</v>
      </c>
      <c r="O875" s="31" t="str">
        <f aca="false">IF(G875="","",G875*IF(L875="",0,IF(L875&gt;1,L875/100,L875))+N875)</f>
        <v/>
      </c>
      <c r="P875" s="28"/>
      <c r="Q875" s="33" t="str">
        <f aca="false">IF(P875="","",IFERROR(VLOOKUP(P875,PARTNERS!$A$2:$B$30,2,0),""))</f>
        <v/>
      </c>
      <c r="R875" s="17" t="str">
        <f aca="false">IF(O875="","",IF(OR(P875="",Q875=""),0,(O875-N875)*IF(Q875&gt;1,Q875/100,Q875)))</f>
        <v/>
      </c>
      <c r="S875" s="31" t="str">
        <f aca="false">IF(O875="","",O875-R875)</f>
        <v/>
      </c>
      <c r="T875" s="28"/>
      <c r="U875" s="34" t="str">
        <f aca="false">IF(T875="","",IFERROR(VLOOKUP(T875,REPS!$A$2:$D$40,2,0),""))</f>
        <v/>
      </c>
      <c r="V875" s="31" t="str">
        <f aca="false">IF(O875="","",IF(U875="",0,O875*IF(U875&gt;1,U875/100,U875)))</f>
        <v/>
      </c>
      <c r="W875" s="28"/>
      <c r="X875" s="34" t="str">
        <f aca="false">IF(W875="","",IFERROR(VLOOKUP(W875,REPS!$A$2:$D$40,3,0),""))</f>
        <v/>
      </c>
      <c r="Y875" s="31" t="str">
        <f aca="false">IF(O875="","",IF(X875="",0,O875*IF(X875&gt;1,X875/100,X875)))</f>
        <v/>
      </c>
      <c r="Z875" s="28"/>
      <c r="AA875" s="34" t="str">
        <f aca="false">IF(Z875="","",IFERROR(VLOOKUP(Z875,REPS!$A$2:$D$40,4,0),""))</f>
        <v/>
      </c>
      <c r="AB875" s="31" t="str">
        <f aca="false">IF(O875="","",IF(AA875="",0,O875*IF(AA875&gt;1,AA875/100,AA875)))</f>
        <v/>
      </c>
      <c r="AC875" s="31" t="str">
        <f aca="false">IF(O875="","",V875+Y875+AB875)</f>
        <v/>
      </c>
      <c r="AD875" s="19" t="str">
        <f aca="false">IF(O875="","",O875-R875-AC875)</f>
        <v/>
      </c>
      <c r="AE875" s="20"/>
      <c r="AF875" s="27"/>
      <c r="AG875" s="21" t="n">
        <f aca="false">IF(OR(AE875="",AE875=0),0,AE875*IF(U875="",0,IF(U875&gt;1,U875/100,U875)))</f>
        <v>0</v>
      </c>
      <c r="AH875" s="21" t="n">
        <f aca="false">IF(OR(AE875="",AE875=0),0,AE875*IF(X875="",0,IF(X875&gt;1,X875/100,X875)))</f>
        <v>0</v>
      </c>
      <c r="AI875" s="21" t="n">
        <f aca="false">IF(OR(AE875="",AE875=0),0,AE875*IF(AA875="",0,IF(AA875&gt;1,AA875/100,AA875)))</f>
        <v>0</v>
      </c>
      <c r="AJ875" s="21" t="n">
        <f aca="false">AG875+AH875+AI875</f>
        <v>0</v>
      </c>
      <c r="AK875" s="21" t="n">
        <f aca="false">IF(OR(AE875="",AE875=0),0,AE875-AJ875)</f>
        <v>0</v>
      </c>
      <c r="AL875" s="19" t="str">
        <f aca="false">IF(AD875="","",AD875-AK875)</f>
        <v/>
      </c>
      <c r="AM875" s="26" t="str">
        <f aca="false">IF(C875="","","Waiting for payment")</f>
        <v/>
      </c>
      <c r="AN875" s="27"/>
      <c r="AO875" s="27"/>
      <c r="AP875" s="35" t="str">
        <f aca="false">IF(OR(C875="",I875="",K875=""),"",IF(K875="Monthly",EDATE(C875,ROUND(I875*SETTINGS!$I$8,0)),WORKDAY(C875,ROUND(I875*SETTINGS!$I$8,0))))</f>
        <v/>
      </c>
      <c r="AQ875" s="26" t="str">
        <f aca="true">IF(C875="","",IF(AND(AP875&lt;&gt;"",TODAY()&gt;=AP875),"Refi Ready",IF(TODAY()-C875&gt;=SETTINGS!$I$11,"Prospecting","Performing")))</f>
        <v/>
      </c>
      <c r="AR875" s="35" t="str">
        <f aca="false">IF(OR(C875="",I875="",K875=""),"",IF(K875="Monthly",EDATE(C875,I875),WORKDAY(C875,I875)))</f>
        <v/>
      </c>
      <c r="AS875" s="28"/>
      <c r="AT875" s="36" t="str">
        <f aca="true">IF(C875="","",IF(AM875="Clawed Back","CLAWED",IF(TODAY()&lt;=C875+SETTINGS!$I$2,"⚠ AT RISK","SAFE")))</f>
        <v/>
      </c>
      <c r="AU875" s="28"/>
      <c r="AW875" s="24" t="n">
        <f aca="false">AW874+IF(AND(C875&lt;&gt;"",AO875&lt;&gt;"",OR('REP COMMISSION'!$B$3="",T875='REP COMMISSION'!$B$3,W875='REP COMMISSION'!$B$3,Z875='REP COMMISSION'!$B$3)),1,0)</f>
        <v>0</v>
      </c>
      <c r="AX875" s="24" t="n">
        <f aca="false">AX874+IF(AND(C875&lt;&gt;"",OR(F875="LOC - INITIAL",F875="CONSOLIDATION - UPFRONT COMM",F875="REVERSE - TOTAL FUNDING")),1,0)</f>
        <v>0</v>
      </c>
    </row>
    <row r="876" customFormat="false" ht="15" hidden="false" customHeight="false" outlineLevel="0" collapsed="false">
      <c r="A876" s="8" t="str">
        <f aca="false">IF(C876&lt;&gt;"","F"&amp;COUNT($C$4:C876),"")</f>
        <v/>
      </c>
      <c r="B876" s="9" t="str">
        <f aca="false">IF(OR(F876="LOC - INITIAL",F876="CONSOLIDATION - UPFRONT COMM",F876="REVERSE - TOTAL FUNDING"),A876,"")</f>
        <v/>
      </c>
      <c r="C876" s="10"/>
      <c r="D876" s="11"/>
      <c r="E876" s="11"/>
      <c r="F876" s="11"/>
      <c r="G876" s="12"/>
      <c r="H876" s="13"/>
      <c r="I876" s="11"/>
      <c r="J876" s="14" t="str">
        <f aca="false">IF(AND(G876&lt;&gt;"",H876&lt;&gt;""),G876*H876,"")</f>
        <v/>
      </c>
      <c r="K876" s="11"/>
      <c r="L876" s="15"/>
      <c r="M876" s="15"/>
      <c r="N876" s="14" t="n">
        <f aca="false">IF(OR(G876="",M876=""),0,IF(M876&gt;100,M876,G876*IF(M876&gt;1,M876/100,M876)))</f>
        <v>0</v>
      </c>
      <c r="O876" s="14" t="str">
        <f aca="false">IF(G876="","",G876*IF(L876="",0,IF(L876&gt;1,L876/100,L876))+N876)</f>
        <v/>
      </c>
      <c r="P876" s="11"/>
      <c r="Q876" s="16" t="str">
        <f aca="false">IF(P876="","",IFERROR(VLOOKUP(P876,PARTNERS!$A$2:$B$30,2,0),""))</f>
        <v/>
      </c>
      <c r="R876" s="17" t="str">
        <f aca="false">IF(O876="","",IF(OR(P876="",Q876=""),0,(O876-N876)*IF(Q876&gt;1,Q876/100,Q876)))</f>
        <v/>
      </c>
      <c r="S876" s="14" t="str">
        <f aca="false">IF(O876="","",O876-R876)</f>
        <v/>
      </c>
      <c r="T876" s="11"/>
      <c r="U876" s="18" t="str">
        <f aca="false">IF(T876="","",IFERROR(VLOOKUP(T876,REPS!$A$2:$D$40,2,0),""))</f>
        <v/>
      </c>
      <c r="V876" s="14" t="str">
        <f aca="false">IF(O876="","",IF(U876="",0,O876*IF(U876&gt;1,U876/100,U876)))</f>
        <v/>
      </c>
      <c r="W876" s="11"/>
      <c r="X876" s="18" t="str">
        <f aca="false">IF(W876="","",IFERROR(VLOOKUP(W876,REPS!$A$2:$D$40,3,0),""))</f>
        <v/>
      </c>
      <c r="Y876" s="14" t="str">
        <f aca="false">IF(O876="","",IF(X876="",0,O876*IF(X876&gt;1,X876/100,X876)))</f>
        <v/>
      </c>
      <c r="Z876" s="11"/>
      <c r="AA876" s="18" t="str">
        <f aca="false">IF(Z876="","",IFERROR(VLOOKUP(Z876,REPS!$A$2:$D$40,4,0),""))</f>
        <v/>
      </c>
      <c r="AB876" s="14" t="str">
        <f aca="false">IF(O876="","",IF(AA876="",0,O876*IF(AA876&gt;1,AA876/100,AA876)))</f>
        <v/>
      </c>
      <c r="AC876" s="14" t="str">
        <f aca="false">IF(O876="","",V876+Y876+AB876)</f>
        <v/>
      </c>
      <c r="AD876" s="19" t="str">
        <f aca="false">IF(O876="","",O876-R876-AC876)</f>
        <v/>
      </c>
      <c r="AE876" s="20"/>
      <c r="AF876" s="10"/>
      <c r="AG876" s="21" t="n">
        <f aca="false">IF(OR(AE876="",AE876=0),0,AE876*IF(U876="",0,IF(U876&gt;1,U876/100,U876)))</f>
        <v>0</v>
      </c>
      <c r="AH876" s="21" t="n">
        <f aca="false">IF(OR(AE876="",AE876=0),0,AE876*IF(X876="",0,IF(X876&gt;1,X876/100,X876)))</f>
        <v>0</v>
      </c>
      <c r="AI876" s="21" t="n">
        <f aca="false">IF(OR(AE876="",AE876=0),0,AE876*IF(AA876="",0,IF(AA876&gt;1,AA876/100,AA876)))</f>
        <v>0</v>
      </c>
      <c r="AJ876" s="21" t="n">
        <f aca="false">AG876+AH876+AI876</f>
        <v>0</v>
      </c>
      <c r="AK876" s="21" t="n">
        <f aca="false">IF(OR(AE876="",AE876=0),0,AE876-AJ876)</f>
        <v>0</v>
      </c>
      <c r="AL876" s="19" t="str">
        <f aca="false">IF(AD876="","",AD876-AK876)</f>
        <v/>
      </c>
      <c r="AM876" s="9" t="str">
        <f aca="false">IF(C876="","","Waiting for payment")</f>
        <v/>
      </c>
      <c r="AN876" s="10"/>
      <c r="AO876" s="10"/>
      <c r="AP876" s="22" t="str">
        <f aca="false">IF(OR(C876="",I876="",K876=""),"",IF(K876="Monthly",EDATE(C876,ROUND(I876*SETTINGS!$I$8,0)),WORKDAY(C876,ROUND(I876*SETTINGS!$I$8,0))))</f>
        <v/>
      </c>
      <c r="AQ876" s="9" t="str">
        <f aca="true">IF(C876="","",IF(AND(AP876&lt;&gt;"",TODAY()&gt;=AP876),"Refi Ready",IF(TODAY()-C876&gt;=SETTINGS!$I$11,"Prospecting","Performing")))</f>
        <v/>
      </c>
      <c r="AR876" s="22" t="str">
        <f aca="false">IF(OR(C876="",I876="",K876=""),"",IF(K876="Monthly",EDATE(C876,I876),WORKDAY(C876,I876)))</f>
        <v/>
      </c>
      <c r="AS876" s="11"/>
      <c r="AT876" s="23" t="str">
        <f aca="true">IF(C876="","",IF(AM876="Clawed Back","CLAWED",IF(TODAY()&lt;=C876+SETTINGS!$I$2,"⚠ AT RISK","SAFE")))</f>
        <v/>
      </c>
      <c r="AU876" s="11"/>
      <c r="AW876" s="24" t="n">
        <f aca="false">AW875+IF(AND(C876&lt;&gt;"",AO876&lt;&gt;"",OR('REP COMMISSION'!$B$3="",T876='REP COMMISSION'!$B$3,W876='REP COMMISSION'!$B$3,Z876='REP COMMISSION'!$B$3)),1,0)</f>
        <v>0</v>
      </c>
      <c r="AX876" s="24" t="n">
        <f aca="false">AX875+IF(AND(C876&lt;&gt;"",OR(F876="LOC - INITIAL",F876="CONSOLIDATION - UPFRONT COMM",F876="REVERSE - TOTAL FUNDING")),1,0)</f>
        <v>0</v>
      </c>
    </row>
    <row r="877" customFormat="false" ht="15" hidden="false" customHeight="false" outlineLevel="0" collapsed="false">
      <c r="A877" s="25" t="str">
        <f aca="false">IF(C877&lt;&gt;"","F"&amp;COUNT($C$4:C877),"")</f>
        <v/>
      </c>
      <c r="B877" s="26" t="str">
        <f aca="false">IF(OR(F877="LOC - INITIAL",F877="CONSOLIDATION - UPFRONT COMM",F877="REVERSE - TOTAL FUNDING"),A877,"")</f>
        <v/>
      </c>
      <c r="C877" s="27"/>
      <c r="D877" s="28"/>
      <c r="E877" s="28"/>
      <c r="F877" s="28"/>
      <c r="G877" s="29"/>
      <c r="H877" s="30"/>
      <c r="I877" s="28"/>
      <c r="J877" s="31" t="str">
        <f aca="false">IF(AND(G877&lt;&gt;"",H877&lt;&gt;""),G877*H877,"")</f>
        <v/>
      </c>
      <c r="K877" s="28"/>
      <c r="L877" s="32"/>
      <c r="M877" s="32"/>
      <c r="N877" s="31" t="n">
        <f aca="false">IF(OR(G877="",M877=""),0,IF(M877&gt;100,M877,G877*IF(M877&gt;1,M877/100,M877)))</f>
        <v>0</v>
      </c>
      <c r="O877" s="31" t="str">
        <f aca="false">IF(G877="","",G877*IF(L877="",0,IF(L877&gt;1,L877/100,L877))+N877)</f>
        <v/>
      </c>
      <c r="P877" s="28"/>
      <c r="Q877" s="33" t="str">
        <f aca="false">IF(P877="","",IFERROR(VLOOKUP(P877,PARTNERS!$A$2:$B$30,2,0),""))</f>
        <v/>
      </c>
      <c r="R877" s="17" t="str">
        <f aca="false">IF(O877="","",IF(OR(P877="",Q877=""),0,(O877-N877)*IF(Q877&gt;1,Q877/100,Q877)))</f>
        <v/>
      </c>
      <c r="S877" s="31" t="str">
        <f aca="false">IF(O877="","",O877-R877)</f>
        <v/>
      </c>
      <c r="T877" s="28"/>
      <c r="U877" s="34" t="str">
        <f aca="false">IF(T877="","",IFERROR(VLOOKUP(T877,REPS!$A$2:$D$40,2,0),""))</f>
        <v/>
      </c>
      <c r="V877" s="31" t="str">
        <f aca="false">IF(O877="","",IF(U877="",0,O877*IF(U877&gt;1,U877/100,U877)))</f>
        <v/>
      </c>
      <c r="W877" s="28"/>
      <c r="X877" s="34" t="str">
        <f aca="false">IF(W877="","",IFERROR(VLOOKUP(W877,REPS!$A$2:$D$40,3,0),""))</f>
        <v/>
      </c>
      <c r="Y877" s="31" t="str">
        <f aca="false">IF(O877="","",IF(X877="",0,O877*IF(X877&gt;1,X877/100,X877)))</f>
        <v/>
      </c>
      <c r="Z877" s="28"/>
      <c r="AA877" s="34" t="str">
        <f aca="false">IF(Z877="","",IFERROR(VLOOKUP(Z877,REPS!$A$2:$D$40,4,0),""))</f>
        <v/>
      </c>
      <c r="AB877" s="31" t="str">
        <f aca="false">IF(O877="","",IF(AA877="",0,O877*IF(AA877&gt;1,AA877/100,AA877)))</f>
        <v/>
      </c>
      <c r="AC877" s="31" t="str">
        <f aca="false">IF(O877="","",V877+Y877+AB877)</f>
        <v/>
      </c>
      <c r="AD877" s="19" t="str">
        <f aca="false">IF(O877="","",O877-R877-AC877)</f>
        <v/>
      </c>
      <c r="AE877" s="20"/>
      <c r="AF877" s="27"/>
      <c r="AG877" s="21" t="n">
        <f aca="false">IF(OR(AE877="",AE877=0),0,AE877*IF(U877="",0,IF(U877&gt;1,U877/100,U877)))</f>
        <v>0</v>
      </c>
      <c r="AH877" s="21" t="n">
        <f aca="false">IF(OR(AE877="",AE877=0),0,AE877*IF(X877="",0,IF(X877&gt;1,X877/100,X877)))</f>
        <v>0</v>
      </c>
      <c r="AI877" s="21" t="n">
        <f aca="false">IF(OR(AE877="",AE877=0),0,AE877*IF(AA877="",0,IF(AA877&gt;1,AA877/100,AA877)))</f>
        <v>0</v>
      </c>
      <c r="AJ877" s="21" t="n">
        <f aca="false">AG877+AH877+AI877</f>
        <v>0</v>
      </c>
      <c r="AK877" s="21" t="n">
        <f aca="false">IF(OR(AE877="",AE877=0),0,AE877-AJ877)</f>
        <v>0</v>
      </c>
      <c r="AL877" s="19" t="str">
        <f aca="false">IF(AD877="","",AD877-AK877)</f>
        <v/>
      </c>
      <c r="AM877" s="26" t="str">
        <f aca="false">IF(C877="","","Waiting for payment")</f>
        <v/>
      </c>
      <c r="AN877" s="27"/>
      <c r="AO877" s="27"/>
      <c r="AP877" s="35" t="str">
        <f aca="false">IF(OR(C877="",I877="",K877=""),"",IF(K877="Monthly",EDATE(C877,ROUND(I877*SETTINGS!$I$8,0)),WORKDAY(C877,ROUND(I877*SETTINGS!$I$8,0))))</f>
        <v/>
      </c>
      <c r="AQ877" s="26" t="str">
        <f aca="true">IF(C877="","",IF(AND(AP877&lt;&gt;"",TODAY()&gt;=AP877),"Refi Ready",IF(TODAY()-C877&gt;=SETTINGS!$I$11,"Prospecting","Performing")))</f>
        <v/>
      </c>
      <c r="AR877" s="35" t="str">
        <f aca="false">IF(OR(C877="",I877="",K877=""),"",IF(K877="Monthly",EDATE(C877,I877),WORKDAY(C877,I877)))</f>
        <v/>
      </c>
      <c r="AS877" s="28"/>
      <c r="AT877" s="36" t="str">
        <f aca="true">IF(C877="","",IF(AM877="Clawed Back","CLAWED",IF(TODAY()&lt;=C877+SETTINGS!$I$2,"⚠ AT RISK","SAFE")))</f>
        <v/>
      </c>
      <c r="AU877" s="28"/>
      <c r="AW877" s="24" t="n">
        <f aca="false">AW876+IF(AND(C877&lt;&gt;"",AO877&lt;&gt;"",OR('REP COMMISSION'!$B$3="",T877='REP COMMISSION'!$B$3,W877='REP COMMISSION'!$B$3,Z877='REP COMMISSION'!$B$3)),1,0)</f>
        <v>0</v>
      </c>
      <c r="AX877" s="24" t="n">
        <f aca="false">AX876+IF(AND(C877&lt;&gt;"",OR(F877="LOC - INITIAL",F877="CONSOLIDATION - UPFRONT COMM",F877="REVERSE - TOTAL FUNDING")),1,0)</f>
        <v>0</v>
      </c>
    </row>
    <row r="878" customFormat="false" ht="15" hidden="false" customHeight="false" outlineLevel="0" collapsed="false">
      <c r="A878" s="8" t="str">
        <f aca="false">IF(C878&lt;&gt;"","F"&amp;COUNT($C$4:C878),"")</f>
        <v/>
      </c>
      <c r="B878" s="9" t="str">
        <f aca="false">IF(OR(F878="LOC - INITIAL",F878="CONSOLIDATION - UPFRONT COMM",F878="REVERSE - TOTAL FUNDING"),A878,"")</f>
        <v/>
      </c>
      <c r="C878" s="10"/>
      <c r="D878" s="11"/>
      <c r="E878" s="11"/>
      <c r="F878" s="11"/>
      <c r="G878" s="12"/>
      <c r="H878" s="13"/>
      <c r="I878" s="11"/>
      <c r="J878" s="14" t="str">
        <f aca="false">IF(AND(G878&lt;&gt;"",H878&lt;&gt;""),G878*H878,"")</f>
        <v/>
      </c>
      <c r="K878" s="11"/>
      <c r="L878" s="15"/>
      <c r="M878" s="15"/>
      <c r="N878" s="14" t="n">
        <f aca="false">IF(OR(G878="",M878=""),0,IF(M878&gt;100,M878,G878*IF(M878&gt;1,M878/100,M878)))</f>
        <v>0</v>
      </c>
      <c r="O878" s="14" t="str">
        <f aca="false">IF(G878="","",G878*IF(L878="",0,IF(L878&gt;1,L878/100,L878))+N878)</f>
        <v/>
      </c>
      <c r="P878" s="11"/>
      <c r="Q878" s="16" t="str">
        <f aca="false">IF(P878="","",IFERROR(VLOOKUP(P878,PARTNERS!$A$2:$B$30,2,0),""))</f>
        <v/>
      </c>
      <c r="R878" s="17" t="str">
        <f aca="false">IF(O878="","",IF(OR(P878="",Q878=""),0,(O878-N878)*IF(Q878&gt;1,Q878/100,Q878)))</f>
        <v/>
      </c>
      <c r="S878" s="14" t="str">
        <f aca="false">IF(O878="","",O878-R878)</f>
        <v/>
      </c>
      <c r="T878" s="11"/>
      <c r="U878" s="18" t="str">
        <f aca="false">IF(T878="","",IFERROR(VLOOKUP(T878,REPS!$A$2:$D$40,2,0),""))</f>
        <v/>
      </c>
      <c r="V878" s="14" t="str">
        <f aca="false">IF(O878="","",IF(U878="",0,O878*IF(U878&gt;1,U878/100,U878)))</f>
        <v/>
      </c>
      <c r="W878" s="11"/>
      <c r="X878" s="18" t="str">
        <f aca="false">IF(W878="","",IFERROR(VLOOKUP(W878,REPS!$A$2:$D$40,3,0),""))</f>
        <v/>
      </c>
      <c r="Y878" s="14" t="str">
        <f aca="false">IF(O878="","",IF(X878="",0,O878*IF(X878&gt;1,X878/100,X878)))</f>
        <v/>
      </c>
      <c r="Z878" s="11"/>
      <c r="AA878" s="18" t="str">
        <f aca="false">IF(Z878="","",IFERROR(VLOOKUP(Z878,REPS!$A$2:$D$40,4,0),""))</f>
        <v/>
      </c>
      <c r="AB878" s="14" t="str">
        <f aca="false">IF(O878="","",IF(AA878="",0,O878*IF(AA878&gt;1,AA878/100,AA878)))</f>
        <v/>
      </c>
      <c r="AC878" s="14" t="str">
        <f aca="false">IF(O878="","",V878+Y878+AB878)</f>
        <v/>
      </c>
      <c r="AD878" s="19" t="str">
        <f aca="false">IF(O878="","",O878-R878-AC878)</f>
        <v/>
      </c>
      <c r="AE878" s="20"/>
      <c r="AF878" s="10"/>
      <c r="AG878" s="21" t="n">
        <f aca="false">IF(OR(AE878="",AE878=0),0,AE878*IF(U878="",0,IF(U878&gt;1,U878/100,U878)))</f>
        <v>0</v>
      </c>
      <c r="AH878" s="21" t="n">
        <f aca="false">IF(OR(AE878="",AE878=0),0,AE878*IF(X878="",0,IF(X878&gt;1,X878/100,X878)))</f>
        <v>0</v>
      </c>
      <c r="AI878" s="21" t="n">
        <f aca="false">IF(OR(AE878="",AE878=0),0,AE878*IF(AA878="",0,IF(AA878&gt;1,AA878/100,AA878)))</f>
        <v>0</v>
      </c>
      <c r="AJ878" s="21" t="n">
        <f aca="false">AG878+AH878+AI878</f>
        <v>0</v>
      </c>
      <c r="AK878" s="21" t="n">
        <f aca="false">IF(OR(AE878="",AE878=0),0,AE878-AJ878)</f>
        <v>0</v>
      </c>
      <c r="AL878" s="19" t="str">
        <f aca="false">IF(AD878="","",AD878-AK878)</f>
        <v/>
      </c>
      <c r="AM878" s="9" t="str">
        <f aca="false">IF(C878="","","Waiting for payment")</f>
        <v/>
      </c>
      <c r="AN878" s="10"/>
      <c r="AO878" s="10"/>
      <c r="AP878" s="22" t="str">
        <f aca="false">IF(OR(C878="",I878="",K878=""),"",IF(K878="Monthly",EDATE(C878,ROUND(I878*SETTINGS!$I$8,0)),WORKDAY(C878,ROUND(I878*SETTINGS!$I$8,0))))</f>
        <v/>
      </c>
      <c r="AQ878" s="9" t="str">
        <f aca="true">IF(C878="","",IF(AND(AP878&lt;&gt;"",TODAY()&gt;=AP878),"Refi Ready",IF(TODAY()-C878&gt;=SETTINGS!$I$11,"Prospecting","Performing")))</f>
        <v/>
      </c>
      <c r="AR878" s="22" t="str">
        <f aca="false">IF(OR(C878="",I878="",K878=""),"",IF(K878="Monthly",EDATE(C878,I878),WORKDAY(C878,I878)))</f>
        <v/>
      </c>
      <c r="AS878" s="11"/>
      <c r="AT878" s="23" t="str">
        <f aca="true">IF(C878="","",IF(AM878="Clawed Back","CLAWED",IF(TODAY()&lt;=C878+SETTINGS!$I$2,"⚠ AT RISK","SAFE")))</f>
        <v/>
      </c>
      <c r="AU878" s="11"/>
      <c r="AW878" s="24" t="n">
        <f aca="false">AW877+IF(AND(C878&lt;&gt;"",AO878&lt;&gt;"",OR('REP COMMISSION'!$B$3="",T878='REP COMMISSION'!$B$3,W878='REP COMMISSION'!$B$3,Z878='REP COMMISSION'!$B$3)),1,0)</f>
        <v>0</v>
      </c>
      <c r="AX878" s="24" t="n">
        <f aca="false">AX877+IF(AND(C878&lt;&gt;"",OR(F878="LOC - INITIAL",F878="CONSOLIDATION - UPFRONT COMM",F878="REVERSE - TOTAL FUNDING")),1,0)</f>
        <v>0</v>
      </c>
    </row>
    <row r="879" customFormat="false" ht="15" hidden="false" customHeight="false" outlineLevel="0" collapsed="false">
      <c r="A879" s="25" t="str">
        <f aca="false">IF(C879&lt;&gt;"","F"&amp;COUNT($C$4:C879),"")</f>
        <v/>
      </c>
      <c r="B879" s="26" t="str">
        <f aca="false">IF(OR(F879="LOC - INITIAL",F879="CONSOLIDATION - UPFRONT COMM",F879="REVERSE - TOTAL FUNDING"),A879,"")</f>
        <v/>
      </c>
      <c r="C879" s="27"/>
      <c r="D879" s="28"/>
      <c r="E879" s="28"/>
      <c r="F879" s="28"/>
      <c r="G879" s="29"/>
      <c r="H879" s="30"/>
      <c r="I879" s="28"/>
      <c r="J879" s="31" t="str">
        <f aca="false">IF(AND(G879&lt;&gt;"",H879&lt;&gt;""),G879*H879,"")</f>
        <v/>
      </c>
      <c r="K879" s="28"/>
      <c r="L879" s="32"/>
      <c r="M879" s="32"/>
      <c r="N879" s="31" t="n">
        <f aca="false">IF(OR(G879="",M879=""),0,IF(M879&gt;100,M879,G879*IF(M879&gt;1,M879/100,M879)))</f>
        <v>0</v>
      </c>
      <c r="O879" s="31" t="str">
        <f aca="false">IF(G879="","",G879*IF(L879="",0,IF(L879&gt;1,L879/100,L879))+N879)</f>
        <v/>
      </c>
      <c r="P879" s="28"/>
      <c r="Q879" s="33" t="str">
        <f aca="false">IF(P879="","",IFERROR(VLOOKUP(P879,PARTNERS!$A$2:$B$30,2,0),""))</f>
        <v/>
      </c>
      <c r="R879" s="17" t="str">
        <f aca="false">IF(O879="","",IF(OR(P879="",Q879=""),0,(O879-N879)*IF(Q879&gt;1,Q879/100,Q879)))</f>
        <v/>
      </c>
      <c r="S879" s="31" t="str">
        <f aca="false">IF(O879="","",O879-R879)</f>
        <v/>
      </c>
      <c r="T879" s="28"/>
      <c r="U879" s="34" t="str">
        <f aca="false">IF(T879="","",IFERROR(VLOOKUP(T879,REPS!$A$2:$D$40,2,0),""))</f>
        <v/>
      </c>
      <c r="V879" s="31" t="str">
        <f aca="false">IF(O879="","",IF(U879="",0,O879*IF(U879&gt;1,U879/100,U879)))</f>
        <v/>
      </c>
      <c r="W879" s="28"/>
      <c r="X879" s="34" t="str">
        <f aca="false">IF(W879="","",IFERROR(VLOOKUP(W879,REPS!$A$2:$D$40,3,0),""))</f>
        <v/>
      </c>
      <c r="Y879" s="31" t="str">
        <f aca="false">IF(O879="","",IF(X879="",0,O879*IF(X879&gt;1,X879/100,X879)))</f>
        <v/>
      </c>
      <c r="Z879" s="28"/>
      <c r="AA879" s="34" t="str">
        <f aca="false">IF(Z879="","",IFERROR(VLOOKUP(Z879,REPS!$A$2:$D$40,4,0),""))</f>
        <v/>
      </c>
      <c r="AB879" s="31" t="str">
        <f aca="false">IF(O879="","",IF(AA879="",0,O879*IF(AA879&gt;1,AA879/100,AA879)))</f>
        <v/>
      </c>
      <c r="AC879" s="31" t="str">
        <f aca="false">IF(O879="","",V879+Y879+AB879)</f>
        <v/>
      </c>
      <c r="AD879" s="19" t="str">
        <f aca="false">IF(O879="","",O879-R879-AC879)</f>
        <v/>
      </c>
      <c r="AE879" s="20"/>
      <c r="AF879" s="27"/>
      <c r="AG879" s="21" t="n">
        <f aca="false">IF(OR(AE879="",AE879=0),0,AE879*IF(U879="",0,IF(U879&gt;1,U879/100,U879)))</f>
        <v>0</v>
      </c>
      <c r="AH879" s="21" t="n">
        <f aca="false">IF(OR(AE879="",AE879=0),0,AE879*IF(X879="",0,IF(X879&gt;1,X879/100,X879)))</f>
        <v>0</v>
      </c>
      <c r="AI879" s="21" t="n">
        <f aca="false">IF(OR(AE879="",AE879=0),0,AE879*IF(AA879="",0,IF(AA879&gt;1,AA879/100,AA879)))</f>
        <v>0</v>
      </c>
      <c r="AJ879" s="21" t="n">
        <f aca="false">AG879+AH879+AI879</f>
        <v>0</v>
      </c>
      <c r="AK879" s="21" t="n">
        <f aca="false">IF(OR(AE879="",AE879=0),0,AE879-AJ879)</f>
        <v>0</v>
      </c>
      <c r="AL879" s="19" t="str">
        <f aca="false">IF(AD879="","",AD879-AK879)</f>
        <v/>
      </c>
      <c r="AM879" s="26" t="str">
        <f aca="false">IF(C879="","","Waiting for payment")</f>
        <v/>
      </c>
      <c r="AN879" s="27"/>
      <c r="AO879" s="27"/>
      <c r="AP879" s="35" t="str">
        <f aca="false">IF(OR(C879="",I879="",K879=""),"",IF(K879="Monthly",EDATE(C879,ROUND(I879*SETTINGS!$I$8,0)),WORKDAY(C879,ROUND(I879*SETTINGS!$I$8,0))))</f>
        <v/>
      </c>
      <c r="AQ879" s="26" t="str">
        <f aca="true">IF(C879="","",IF(AND(AP879&lt;&gt;"",TODAY()&gt;=AP879),"Refi Ready",IF(TODAY()-C879&gt;=SETTINGS!$I$11,"Prospecting","Performing")))</f>
        <v/>
      </c>
      <c r="AR879" s="35" t="str">
        <f aca="false">IF(OR(C879="",I879="",K879=""),"",IF(K879="Monthly",EDATE(C879,I879),WORKDAY(C879,I879)))</f>
        <v/>
      </c>
      <c r="AS879" s="28"/>
      <c r="AT879" s="36" t="str">
        <f aca="true">IF(C879="","",IF(AM879="Clawed Back","CLAWED",IF(TODAY()&lt;=C879+SETTINGS!$I$2,"⚠ AT RISK","SAFE")))</f>
        <v/>
      </c>
      <c r="AU879" s="28"/>
      <c r="AW879" s="24" t="n">
        <f aca="false">AW878+IF(AND(C879&lt;&gt;"",AO879&lt;&gt;"",OR('REP COMMISSION'!$B$3="",T879='REP COMMISSION'!$B$3,W879='REP COMMISSION'!$B$3,Z879='REP COMMISSION'!$B$3)),1,0)</f>
        <v>0</v>
      </c>
      <c r="AX879" s="24" t="n">
        <f aca="false">AX878+IF(AND(C879&lt;&gt;"",OR(F879="LOC - INITIAL",F879="CONSOLIDATION - UPFRONT COMM",F879="REVERSE - TOTAL FUNDING")),1,0)</f>
        <v>0</v>
      </c>
    </row>
    <row r="880" customFormat="false" ht="15" hidden="false" customHeight="false" outlineLevel="0" collapsed="false">
      <c r="A880" s="8" t="str">
        <f aca="false">IF(C880&lt;&gt;"","F"&amp;COUNT($C$4:C880),"")</f>
        <v/>
      </c>
      <c r="B880" s="9" t="str">
        <f aca="false">IF(OR(F880="LOC - INITIAL",F880="CONSOLIDATION - UPFRONT COMM",F880="REVERSE - TOTAL FUNDING"),A880,"")</f>
        <v/>
      </c>
      <c r="C880" s="10"/>
      <c r="D880" s="11"/>
      <c r="E880" s="11"/>
      <c r="F880" s="11"/>
      <c r="G880" s="12"/>
      <c r="H880" s="13"/>
      <c r="I880" s="11"/>
      <c r="J880" s="14" t="str">
        <f aca="false">IF(AND(G880&lt;&gt;"",H880&lt;&gt;""),G880*H880,"")</f>
        <v/>
      </c>
      <c r="K880" s="11"/>
      <c r="L880" s="15"/>
      <c r="M880" s="15"/>
      <c r="N880" s="14" t="n">
        <f aca="false">IF(OR(G880="",M880=""),0,IF(M880&gt;100,M880,G880*IF(M880&gt;1,M880/100,M880)))</f>
        <v>0</v>
      </c>
      <c r="O880" s="14" t="str">
        <f aca="false">IF(G880="","",G880*IF(L880="",0,IF(L880&gt;1,L880/100,L880))+N880)</f>
        <v/>
      </c>
      <c r="P880" s="11"/>
      <c r="Q880" s="16" t="str">
        <f aca="false">IF(P880="","",IFERROR(VLOOKUP(P880,PARTNERS!$A$2:$B$30,2,0),""))</f>
        <v/>
      </c>
      <c r="R880" s="17" t="str">
        <f aca="false">IF(O880="","",IF(OR(P880="",Q880=""),0,(O880-N880)*IF(Q880&gt;1,Q880/100,Q880)))</f>
        <v/>
      </c>
      <c r="S880" s="14" t="str">
        <f aca="false">IF(O880="","",O880-R880)</f>
        <v/>
      </c>
      <c r="T880" s="11"/>
      <c r="U880" s="18" t="str">
        <f aca="false">IF(T880="","",IFERROR(VLOOKUP(T880,REPS!$A$2:$D$40,2,0),""))</f>
        <v/>
      </c>
      <c r="V880" s="14" t="str">
        <f aca="false">IF(O880="","",IF(U880="",0,O880*IF(U880&gt;1,U880/100,U880)))</f>
        <v/>
      </c>
      <c r="W880" s="11"/>
      <c r="X880" s="18" t="str">
        <f aca="false">IF(W880="","",IFERROR(VLOOKUP(W880,REPS!$A$2:$D$40,3,0),""))</f>
        <v/>
      </c>
      <c r="Y880" s="14" t="str">
        <f aca="false">IF(O880="","",IF(X880="",0,O880*IF(X880&gt;1,X880/100,X880)))</f>
        <v/>
      </c>
      <c r="Z880" s="11"/>
      <c r="AA880" s="18" t="str">
        <f aca="false">IF(Z880="","",IFERROR(VLOOKUP(Z880,REPS!$A$2:$D$40,4,0),""))</f>
        <v/>
      </c>
      <c r="AB880" s="14" t="str">
        <f aca="false">IF(O880="","",IF(AA880="",0,O880*IF(AA880&gt;1,AA880/100,AA880)))</f>
        <v/>
      </c>
      <c r="AC880" s="14" t="str">
        <f aca="false">IF(O880="","",V880+Y880+AB880)</f>
        <v/>
      </c>
      <c r="AD880" s="19" t="str">
        <f aca="false">IF(O880="","",O880-R880-AC880)</f>
        <v/>
      </c>
      <c r="AE880" s="20"/>
      <c r="AF880" s="10"/>
      <c r="AG880" s="21" t="n">
        <f aca="false">IF(OR(AE880="",AE880=0),0,AE880*IF(U880="",0,IF(U880&gt;1,U880/100,U880)))</f>
        <v>0</v>
      </c>
      <c r="AH880" s="21" t="n">
        <f aca="false">IF(OR(AE880="",AE880=0),0,AE880*IF(X880="",0,IF(X880&gt;1,X880/100,X880)))</f>
        <v>0</v>
      </c>
      <c r="AI880" s="21" t="n">
        <f aca="false">IF(OR(AE880="",AE880=0),0,AE880*IF(AA880="",0,IF(AA880&gt;1,AA880/100,AA880)))</f>
        <v>0</v>
      </c>
      <c r="AJ880" s="21" t="n">
        <f aca="false">AG880+AH880+AI880</f>
        <v>0</v>
      </c>
      <c r="AK880" s="21" t="n">
        <f aca="false">IF(OR(AE880="",AE880=0),0,AE880-AJ880)</f>
        <v>0</v>
      </c>
      <c r="AL880" s="19" t="str">
        <f aca="false">IF(AD880="","",AD880-AK880)</f>
        <v/>
      </c>
      <c r="AM880" s="9" t="str">
        <f aca="false">IF(C880="","","Waiting for payment")</f>
        <v/>
      </c>
      <c r="AN880" s="10"/>
      <c r="AO880" s="10"/>
      <c r="AP880" s="22" t="str">
        <f aca="false">IF(OR(C880="",I880="",K880=""),"",IF(K880="Monthly",EDATE(C880,ROUND(I880*SETTINGS!$I$8,0)),WORKDAY(C880,ROUND(I880*SETTINGS!$I$8,0))))</f>
        <v/>
      </c>
      <c r="AQ880" s="9" t="str">
        <f aca="true">IF(C880="","",IF(AND(AP880&lt;&gt;"",TODAY()&gt;=AP880),"Refi Ready",IF(TODAY()-C880&gt;=SETTINGS!$I$11,"Prospecting","Performing")))</f>
        <v/>
      </c>
      <c r="AR880" s="22" t="str">
        <f aca="false">IF(OR(C880="",I880="",K880=""),"",IF(K880="Monthly",EDATE(C880,I880),WORKDAY(C880,I880)))</f>
        <v/>
      </c>
      <c r="AS880" s="11"/>
      <c r="AT880" s="23" t="str">
        <f aca="true">IF(C880="","",IF(AM880="Clawed Back","CLAWED",IF(TODAY()&lt;=C880+SETTINGS!$I$2,"⚠ AT RISK","SAFE")))</f>
        <v/>
      </c>
      <c r="AU880" s="11"/>
      <c r="AW880" s="24" t="n">
        <f aca="false">AW879+IF(AND(C880&lt;&gt;"",AO880&lt;&gt;"",OR('REP COMMISSION'!$B$3="",T880='REP COMMISSION'!$B$3,W880='REP COMMISSION'!$B$3,Z880='REP COMMISSION'!$B$3)),1,0)</f>
        <v>0</v>
      </c>
      <c r="AX880" s="24" t="n">
        <f aca="false">AX879+IF(AND(C880&lt;&gt;"",OR(F880="LOC - INITIAL",F880="CONSOLIDATION - UPFRONT COMM",F880="REVERSE - TOTAL FUNDING")),1,0)</f>
        <v>0</v>
      </c>
    </row>
    <row r="881" customFormat="false" ht="15" hidden="false" customHeight="false" outlineLevel="0" collapsed="false">
      <c r="A881" s="25" t="str">
        <f aca="false">IF(C881&lt;&gt;"","F"&amp;COUNT($C$4:C881),"")</f>
        <v/>
      </c>
      <c r="B881" s="26" t="str">
        <f aca="false">IF(OR(F881="LOC - INITIAL",F881="CONSOLIDATION - UPFRONT COMM",F881="REVERSE - TOTAL FUNDING"),A881,"")</f>
        <v/>
      </c>
      <c r="C881" s="27"/>
      <c r="D881" s="28"/>
      <c r="E881" s="28"/>
      <c r="F881" s="28"/>
      <c r="G881" s="29"/>
      <c r="H881" s="30"/>
      <c r="I881" s="28"/>
      <c r="J881" s="31" t="str">
        <f aca="false">IF(AND(G881&lt;&gt;"",H881&lt;&gt;""),G881*H881,"")</f>
        <v/>
      </c>
      <c r="K881" s="28"/>
      <c r="L881" s="32"/>
      <c r="M881" s="32"/>
      <c r="N881" s="31" t="n">
        <f aca="false">IF(OR(G881="",M881=""),0,IF(M881&gt;100,M881,G881*IF(M881&gt;1,M881/100,M881)))</f>
        <v>0</v>
      </c>
      <c r="O881" s="31" t="str">
        <f aca="false">IF(G881="","",G881*IF(L881="",0,IF(L881&gt;1,L881/100,L881))+N881)</f>
        <v/>
      </c>
      <c r="P881" s="28"/>
      <c r="Q881" s="33" t="str">
        <f aca="false">IF(P881="","",IFERROR(VLOOKUP(P881,PARTNERS!$A$2:$B$30,2,0),""))</f>
        <v/>
      </c>
      <c r="R881" s="17" t="str">
        <f aca="false">IF(O881="","",IF(OR(P881="",Q881=""),0,(O881-N881)*IF(Q881&gt;1,Q881/100,Q881)))</f>
        <v/>
      </c>
      <c r="S881" s="31" t="str">
        <f aca="false">IF(O881="","",O881-R881)</f>
        <v/>
      </c>
      <c r="T881" s="28"/>
      <c r="U881" s="34" t="str">
        <f aca="false">IF(T881="","",IFERROR(VLOOKUP(T881,REPS!$A$2:$D$40,2,0),""))</f>
        <v/>
      </c>
      <c r="V881" s="31" t="str">
        <f aca="false">IF(O881="","",IF(U881="",0,O881*IF(U881&gt;1,U881/100,U881)))</f>
        <v/>
      </c>
      <c r="W881" s="28"/>
      <c r="X881" s="34" t="str">
        <f aca="false">IF(W881="","",IFERROR(VLOOKUP(W881,REPS!$A$2:$D$40,3,0),""))</f>
        <v/>
      </c>
      <c r="Y881" s="31" t="str">
        <f aca="false">IF(O881="","",IF(X881="",0,O881*IF(X881&gt;1,X881/100,X881)))</f>
        <v/>
      </c>
      <c r="Z881" s="28"/>
      <c r="AA881" s="34" t="str">
        <f aca="false">IF(Z881="","",IFERROR(VLOOKUP(Z881,REPS!$A$2:$D$40,4,0),""))</f>
        <v/>
      </c>
      <c r="AB881" s="31" t="str">
        <f aca="false">IF(O881="","",IF(AA881="",0,O881*IF(AA881&gt;1,AA881/100,AA881)))</f>
        <v/>
      </c>
      <c r="AC881" s="31" t="str">
        <f aca="false">IF(O881="","",V881+Y881+AB881)</f>
        <v/>
      </c>
      <c r="AD881" s="19" t="str">
        <f aca="false">IF(O881="","",O881-R881-AC881)</f>
        <v/>
      </c>
      <c r="AE881" s="20"/>
      <c r="AF881" s="27"/>
      <c r="AG881" s="21" t="n">
        <f aca="false">IF(OR(AE881="",AE881=0),0,AE881*IF(U881="",0,IF(U881&gt;1,U881/100,U881)))</f>
        <v>0</v>
      </c>
      <c r="AH881" s="21" t="n">
        <f aca="false">IF(OR(AE881="",AE881=0),0,AE881*IF(X881="",0,IF(X881&gt;1,X881/100,X881)))</f>
        <v>0</v>
      </c>
      <c r="AI881" s="21" t="n">
        <f aca="false">IF(OR(AE881="",AE881=0),0,AE881*IF(AA881="",0,IF(AA881&gt;1,AA881/100,AA881)))</f>
        <v>0</v>
      </c>
      <c r="AJ881" s="21" t="n">
        <f aca="false">AG881+AH881+AI881</f>
        <v>0</v>
      </c>
      <c r="AK881" s="21" t="n">
        <f aca="false">IF(OR(AE881="",AE881=0),0,AE881-AJ881)</f>
        <v>0</v>
      </c>
      <c r="AL881" s="19" t="str">
        <f aca="false">IF(AD881="","",AD881-AK881)</f>
        <v/>
      </c>
      <c r="AM881" s="26" t="str">
        <f aca="false">IF(C881="","","Waiting for payment")</f>
        <v/>
      </c>
      <c r="AN881" s="27"/>
      <c r="AO881" s="27"/>
      <c r="AP881" s="35" t="str">
        <f aca="false">IF(OR(C881="",I881="",K881=""),"",IF(K881="Monthly",EDATE(C881,ROUND(I881*SETTINGS!$I$8,0)),WORKDAY(C881,ROUND(I881*SETTINGS!$I$8,0))))</f>
        <v/>
      </c>
      <c r="AQ881" s="26" t="str">
        <f aca="true">IF(C881="","",IF(AND(AP881&lt;&gt;"",TODAY()&gt;=AP881),"Refi Ready",IF(TODAY()-C881&gt;=SETTINGS!$I$11,"Prospecting","Performing")))</f>
        <v/>
      </c>
      <c r="AR881" s="35" t="str">
        <f aca="false">IF(OR(C881="",I881="",K881=""),"",IF(K881="Monthly",EDATE(C881,I881),WORKDAY(C881,I881)))</f>
        <v/>
      </c>
      <c r="AS881" s="28"/>
      <c r="AT881" s="36" t="str">
        <f aca="true">IF(C881="","",IF(AM881="Clawed Back","CLAWED",IF(TODAY()&lt;=C881+SETTINGS!$I$2,"⚠ AT RISK","SAFE")))</f>
        <v/>
      </c>
      <c r="AU881" s="28"/>
      <c r="AW881" s="24" t="n">
        <f aca="false">AW880+IF(AND(C881&lt;&gt;"",AO881&lt;&gt;"",OR('REP COMMISSION'!$B$3="",T881='REP COMMISSION'!$B$3,W881='REP COMMISSION'!$B$3,Z881='REP COMMISSION'!$B$3)),1,0)</f>
        <v>0</v>
      </c>
      <c r="AX881" s="24" t="n">
        <f aca="false">AX880+IF(AND(C881&lt;&gt;"",OR(F881="LOC - INITIAL",F881="CONSOLIDATION - UPFRONT COMM",F881="REVERSE - TOTAL FUNDING")),1,0)</f>
        <v>0</v>
      </c>
    </row>
    <row r="882" customFormat="false" ht="15" hidden="false" customHeight="false" outlineLevel="0" collapsed="false">
      <c r="A882" s="8" t="str">
        <f aca="false">IF(C882&lt;&gt;"","F"&amp;COUNT($C$4:C882),"")</f>
        <v/>
      </c>
      <c r="B882" s="9" t="str">
        <f aca="false">IF(OR(F882="LOC - INITIAL",F882="CONSOLIDATION - UPFRONT COMM",F882="REVERSE - TOTAL FUNDING"),A882,"")</f>
        <v/>
      </c>
      <c r="C882" s="10"/>
      <c r="D882" s="11"/>
      <c r="E882" s="11"/>
      <c r="F882" s="11"/>
      <c r="G882" s="12"/>
      <c r="H882" s="13"/>
      <c r="I882" s="11"/>
      <c r="J882" s="14" t="str">
        <f aca="false">IF(AND(G882&lt;&gt;"",H882&lt;&gt;""),G882*H882,"")</f>
        <v/>
      </c>
      <c r="K882" s="11"/>
      <c r="L882" s="15"/>
      <c r="M882" s="15"/>
      <c r="N882" s="14" t="n">
        <f aca="false">IF(OR(G882="",M882=""),0,IF(M882&gt;100,M882,G882*IF(M882&gt;1,M882/100,M882)))</f>
        <v>0</v>
      </c>
      <c r="O882" s="14" t="str">
        <f aca="false">IF(G882="","",G882*IF(L882="",0,IF(L882&gt;1,L882/100,L882))+N882)</f>
        <v/>
      </c>
      <c r="P882" s="11"/>
      <c r="Q882" s="16" t="str">
        <f aca="false">IF(P882="","",IFERROR(VLOOKUP(P882,PARTNERS!$A$2:$B$30,2,0),""))</f>
        <v/>
      </c>
      <c r="R882" s="17" t="str">
        <f aca="false">IF(O882="","",IF(OR(P882="",Q882=""),0,(O882-N882)*IF(Q882&gt;1,Q882/100,Q882)))</f>
        <v/>
      </c>
      <c r="S882" s="14" t="str">
        <f aca="false">IF(O882="","",O882-R882)</f>
        <v/>
      </c>
      <c r="T882" s="11"/>
      <c r="U882" s="18" t="str">
        <f aca="false">IF(T882="","",IFERROR(VLOOKUP(T882,REPS!$A$2:$D$40,2,0),""))</f>
        <v/>
      </c>
      <c r="V882" s="14" t="str">
        <f aca="false">IF(O882="","",IF(U882="",0,O882*IF(U882&gt;1,U882/100,U882)))</f>
        <v/>
      </c>
      <c r="W882" s="11"/>
      <c r="X882" s="18" t="str">
        <f aca="false">IF(W882="","",IFERROR(VLOOKUP(W882,REPS!$A$2:$D$40,3,0),""))</f>
        <v/>
      </c>
      <c r="Y882" s="14" t="str">
        <f aca="false">IF(O882="","",IF(X882="",0,O882*IF(X882&gt;1,X882/100,X882)))</f>
        <v/>
      </c>
      <c r="Z882" s="11"/>
      <c r="AA882" s="18" t="str">
        <f aca="false">IF(Z882="","",IFERROR(VLOOKUP(Z882,REPS!$A$2:$D$40,4,0),""))</f>
        <v/>
      </c>
      <c r="AB882" s="14" t="str">
        <f aca="false">IF(O882="","",IF(AA882="",0,O882*IF(AA882&gt;1,AA882/100,AA882)))</f>
        <v/>
      </c>
      <c r="AC882" s="14" t="str">
        <f aca="false">IF(O882="","",V882+Y882+AB882)</f>
        <v/>
      </c>
      <c r="AD882" s="19" t="str">
        <f aca="false">IF(O882="","",O882-R882-AC882)</f>
        <v/>
      </c>
      <c r="AE882" s="20"/>
      <c r="AF882" s="10"/>
      <c r="AG882" s="21" t="n">
        <f aca="false">IF(OR(AE882="",AE882=0),0,AE882*IF(U882="",0,IF(U882&gt;1,U882/100,U882)))</f>
        <v>0</v>
      </c>
      <c r="AH882" s="21" t="n">
        <f aca="false">IF(OR(AE882="",AE882=0),0,AE882*IF(X882="",0,IF(X882&gt;1,X882/100,X882)))</f>
        <v>0</v>
      </c>
      <c r="AI882" s="21" t="n">
        <f aca="false">IF(OR(AE882="",AE882=0),0,AE882*IF(AA882="",0,IF(AA882&gt;1,AA882/100,AA882)))</f>
        <v>0</v>
      </c>
      <c r="AJ882" s="21" t="n">
        <f aca="false">AG882+AH882+AI882</f>
        <v>0</v>
      </c>
      <c r="AK882" s="21" t="n">
        <f aca="false">IF(OR(AE882="",AE882=0),0,AE882-AJ882)</f>
        <v>0</v>
      </c>
      <c r="AL882" s="19" t="str">
        <f aca="false">IF(AD882="","",AD882-AK882)</f>
        <v/>
      </c>
      <c r="AM882" s="9" t="str">
        <f aca="false">IF(C882="","","Waiting for payment")</f>
        <v/>
      </c>
      <c r="AN882" s="10"/>
      <c r="AO882" s="10"/>
      <c r="AP882" s="22" t="str">
        <f aca="false">IF(OR(C882="",I882="",K882=""),"",IF(K882="Monthly",EDATE(C882,ROUND(I882*SETTINGS!$I$8,0)),WORKDAY(C882,ROUND(I882*SETTINGS!$I$8,0))))</f>
        <v/>
      </c>
      <c r="AQ882" s="9" t="str">
        <f aca="true">IF(C882="","",IF(AND(AP882&lt;&gt;"",TODAY()&gt;=AP882),"Refi Ready",IF(TODAY()-C882&gt;=SETTINGS!$I$11,"Prospecting","Performing")))</f>
        <v/>
      </c>
      <c r="AR882" s="22" t="str">
        <f aca="false">IF(OR(C882="",I882="",K882=""),"",IF(K882="Monthly",EDATE(C882,I882),WORKDAY(C882,I882)))</f>
        <v/>
      </c>
      <c r="AS882" s="11"/>
      <c r="AT882" s="23" t="str">
        <f aca="true">IF(C882="","",IF(AM882="Clawed Back","CLAWED",IF(TODAY()&lt;=C882+SETTINGS!$I$2,"⚠ AT RISK","SAFE")))</f>
        <v/>
      </c>
      <c r="AU882" s="11"/>
      <c r="AW882" s="24" t="n">
        <f aca="false">AW881+IF(AND(C882&lt;&gt;"",AO882&lt;&gt;"",OR('REP COMMISSION'!$B$3="",T882='REP COMMISSION'!$B$3,W882='REP COMMISSION'!$B$3,Z882='REP COMMISSION'!$B$3)),1,0)</f>
        <v>0</v>
      </c>
      <c r="AX882" s="24" t="n">
        <f aca="false">AX881+IF(AND(C882&lt;&gt;"",OR(F882="LOC - INITIAL",F882="CONSOLIDATION - UPFRONT COMM",F882="REVERSE - TOTAL FUNDING")),1,0)</f>
        <v>0</v>
      </c>
    </row>
    <row r="883" customFormat="false" ht="15" hidden="false" customHeight="false" outlineLevel="0" collapsed="false">
      <c r="A883" s="25" t="str">
        <f aca="false">IF(C883&lt;&gt;"","F"&amp;COUNT($C$4:C883),"")</f>
        <v/>
      </c>
      <c r="B883" s="26" t="str">
        <f aca="false">IF(OR(F883="LOC - INITIAL",F883="CONSOLIDATION - UPFRONT COMM",F883="REVERSE - TOTAL FUNDING"),A883,"")</f>
        <v/>
      </c>
      <c r="C883" s="27"/>
      <c r="D883" s="28"/>
      <c r="E883" s="28"/>
      <c r="F883" s="28"/>
      <c r="G883" s="29"/>
      <c r="H883" s="30"/>
      <c r="I883" s="28"/>
      <c r="J883" s="31" t="str">
        <f aca="false">IF(AND(G883&lt;&gt;"",H883&lt;&gt;""),G883*H883,"")</f>
        <v/>
      </c>
      <c r="K883" s="28"/>
      <c r="L883" s="32"/>
      <c r="M883" s="32"/>
      <c r="N883" s="31" t="n">
        <f aca="false">IF(OR(G883="",M883=""),0,IF(M883&gt;100,M883,G883*IF(M883&gt;1,M883/100,M883)))</f>
        <v>0</v>
      </c>
      <c r="O883" s="31" t="str">
        <f aca="false">IF(G883="","",G883*IF(L883="",0,IF(L883&gt;1,L883/100,L883))+N883)</f>
        <v/>
      </c>
      <c r="P883" s="28"/>
      <c r="Q883" s="33" t="str">
        <f aca="false">IF(P883="","",IFERROR(VLOOKUP(P883,PARTNERS!$A$2:$B$30,2,0),""))</f>
        <v/>
      </c>
      <c r="R883" s="17" t="str">
        <f aca="false">IF(O883="","",IF(OR(P883="",Q883=""),0,(O883-N883)*IF(Q883&gt;1,Q883/100,Q883)))</f>
        <v/>
      </c>
      <c r="S883" s="31" t="str">
        <f aca="false">IF(O883="","",O883-R883)</f>
        <v/>
      </c>
      <c r="T883" s="28"/>
      <c r="U883" s="34" t="str">
        <f aca="false">IF(T883="","",IFERROR(VLOOKUP(T883,REPS!$A$2:$D$40,2,0),""))</f>
        <v/>
      </c>
      <c r="V883" s="31" t="str">
        <f aca="false">IF(O883="","",IF(U883="",0,O883*IF(U883&gt;1,U883/100,U883)))</f>
        <v/>
      </c>
      <c r="W883" s="28"/>
      <c r="X883" s="34" t="str">
        <f aca="false">IF(W883="","",IFERROR(VLOOKUP(W883,REPS!$A$2:$D$40,3,0),""))</f>
        <v/>
      </c>
      <c r="Y883" s="31" t="str">
        <f aca="false">IF(O883="","",IF(X883="",0,O883*IF(X883&gt;1,X883/100,X883)))</f>
        <v/>
      </c>
      <c r="Z883" s="28"/>
      <c r="AA883" s="34" t="str">
        <f aca="false">IF(Z883="","",IFERROR(VLOOKUP(Z883,REPS!$A$2:$D$40,4,0),""))</f>
        <v/>
      </c>
      <c r="AB883" s="31" t="str">
        <f aca="false">IF(O883="","",IF(AA883="",0,O883*IF(AA883&gt;1,AA883/100,AA883)))</f>
        <v/>
      </c>
      <c r="AC883" s="31" t="str">
        <f aca="false">IF(O883="","",V883+Y883+AB883)</f>
        <v/>
      </c>
      <c r="AD883" s="19" t="str">
        <f aca="false">IF(O883="","",O883-R883-AC883)</f>
        <v/>
      </c>
      <c r="AE883" s="20"/>
      <c r="AF883" s="27"/>
      <c r="AG883" s="21" t="n">
        <f aca="false">IF(OR(AE883="",AE883=0),0,AE883*IF(U883="",0,IF(U883&gt;1,U883/100,U883)))</f>
        <v>0</v>
      </c>
      <c r="AH883" s="21" t="n">
        <f aca="false">IF(OR(AE883="",AE883=0),0,AE883*IF(X883="",0,IF(X883&gt;1,X883/100,X883)))</f>
        <v>0</v>
      </c>
      <c r="AI883" s="21" t="n">
        <f aca="false">IF(OR(AE883="",AE883=0),0,AE883*IF(AA883="",0,IF(AA883&gt;1,AA883/100,AA883)))</f>
        <v>0</v>
      </c>
      <c r="AJ883" s="21" t="n">
        <f aca="false">AG883+AH883+AI883</f>
        <v>0</v>
      </c>
      <c r="AK883" s="21" t="n">
        <f aca="false">IF(OR(AE883="",AE883=0),0,AE883-AJ883)</f>
        <v>0</v>
      </c>
      <c r="AL883" s="19" t="str">
        <f aca="false">IF(AD883="","",AD883-AK883)</f>
        <v/>
      </c>
      <c r="AM883" s="26" t="str">
        <f aca="false">IF(C883="","","Waiting for payment")</f>
        <v/>
      </c>
      <c r="AN883" s="27"/>
      <c r="AO883" s="27"/>
      <c r="AP883" s="35" t="str">
        <f aca="false">IF(OR(C883="",I883="",K883=""),"",IF(K883="Monthly",EDATE(C883,ROUND(I883*SETTINGS!$I$8,0)),WORKDAY(C883,ROUND(I883*SETTINGS!$I$8,0))))</f>
        <v/>
      </c>
      <c r="AQ883" s="26" t="str">
        <f aca="true">IF(C883="","",IF(AND(AP883&lt;&gt;"",TODAY()&gt;=AP883),"Refi Ready",IF(TODAY()-C883&gt;=SETTINGS!$I$11,"Prospecting","Performing")))</f>
        <v/>
      </c>
      <c r="AR883" s="35" t="str">
        <f aca="false">IF(OR(C883="",I883="",K883=""),"",IF(K883="Monthly",EDATE(C883,I883),WORKDAY(C883,I883)))</f>
        <v/>
      </c>
      <c r="AS883" s="28"/>
      <c r="AT883" s="36" t="str">
        <f aca="true">IF(C883="","",IF(AM883="Clawed Back","CLAWED",IF(TODAY()&lt;=C883+SETTINGS!$I$2,"⚠ AT RISK","SAFE")))</f>
        <v/>
      </c>
      <c r="AU883" s="28"/>
      <c r="AW883" s="24" t="n">
        <f aca="false">AW882+IF(AND(C883&lt;&gt;"",AO883&lt;&gt;"",OR('REP COMMISSION'!$B$3="",T883='REP COMMISSION'!$B$3,W883='REP COMMISSION'!$B$3,Z883='REP COMMISSION'!$B$3)),1,0)</f>
        <v>0</v>
      </c>
      <c r="AX883" s="24" t="n">
        <f aca="false">AX882+IF(AND(C883&lt;&gt;"",OR(F883="LOC - INITIAL",F883="CONSOLIDATION - UPFRONT COMM",F883="REVERSE - TOTAL FUNDING")),1,0)</f>
        <v>0</v>
      </c>
    </row>
    <row r="884" customFormat="false" ht="15" hidden="false" customHeight="false" outlineLevel="0" collapsed="false">
      <c r="A884" s="8" t="str">
        <f aca="false">IF(C884&lt;&gt;"","F"&amp;COUNT($C$4:C884),"")</f>
        <v/>
      </c>
      <c r="B884" s="9" t="str">
        <f aca="false">IF(OR(F884="LOC - INITIAL",F884="CONSOLIDATION - UPFRONT COMM",F884="REVERSE - TOTAL FUNDING"),A884,"")</f>
        <v/>
      </c>
      <c r="C884" s="10"/>
      <c r="D884" s="11"/>
      <c r="E884" s="11"/>
      <c r="F884" s="11"/>
      <c r="G884" s="12"/>
      <c r="H884" s="13"/>
      <c r="I884" s="11"/>
      <c r="J884" s="14" t="str">
        <f aca="false">IF(AND(G884&lt;&gt;"",H884&lt;&gt;""),G884*H884,"")</f>
        <v/>
      </c>
      <c r="K884" s="11"/>
      <c r="L884" s="15"/>
      <c r="M884" s="15"/>
      <c r="N884" s="14" t="n">
        <f aca="false">IF(OR(G884="",M884=""),0,IF(M884&gt;100,M884,G884*IF(M884&gt;1,M884/100,M884)))</f>
        <v>0</v>
      </c>
      <c r="O884" s="14" t="str">
        <f aca="false">IF(G884="","",G884*IF(L884="",0,IF(L884&gt;1,L884/100,L884))+N884)</f>
        <v/>
      </c>
      <c r="P884" s="11"/>
      <c r="Q884" s="16" t="str">
        <f aca="false">IF(P884="","",IFERROR(VLOOKUP(P884,PARTNERS!$A$2:$B$30,2,0),""))</f>
        <v/>
      </c>
      <c r="R884" s="17" t="str">
        <f aca="false">IF(O884="","",IF(OR(P884="",Q884=""),0,(O884-N884)*IF(Q884&gt;1,Q884/100,Q884)))</f>
        <v/>
      </c>
      <c r="S884" s="14" t="str">
        <f aca="false">IF(O884="","",O884-R884)</f>
        <v/>
      </c>
      <c r="T884" s="11"/>
      <c r="U884" s="18" t="str">
        <f aca="false">IF(T884="","",IFERROR(VLOOKUP(T884,REPS!$A$2:$D$40,2,0),""))</f>
        <v/>
      </c>
      <c r="V884" s="14" t="str">
        <f aca="false">IF(O884="","",IF(U884="",0,O884*IF(U884&gt;1,U884/100,U884)))</f>
        <v/>
      </c>
      <c r="W884" s="11"/>
      <c r="X884" s="18" t="str">
        <f aca="false">IF(W884="","",IFERROR(VLOOKUP(W884,REPS!$A$2:$D$40,3,0),""))</f>
        <v/>
      </c>
      <c r="Y884" s="14" t="str">
        <f aca="false">IF(O884="","",IF(X884="",0,O884*IF(X884&gt;1,X884/100,X884)))</f>
        <v/>
      </c>
      <c r="Z884" s="11"/>
      <c r="AA884" s="18" t="str">
        <f aca="false">IF(Z884="","",IFERROR(VLOOKUP(Z884,REPS!$A$2:$D$40,4,0),""))</f>
        <v/>
      </c>
      <c r="AB884" s="14" t="str">
        <f aca="false">IF(O884="","",IF(AA884="",0,O884*IF(AA884&gt;1,AA884/100,AA884)))</f>
        <v/>
      </c>
      <c r="AC884" s="14" t="str">
        <f aca="false">IF(O884="","",V884+Y884+AB884)</f>
        <v/>
      </c>
      <c r="AD884" s="19" t="str">
        <f aca="false">IF(O884="","",O884-R884-AC884)</f>
        <v/>
      </c>
      <c r="AE884" s="20"/>
      <c r="AF884" s="10"/>
      <c r="AG884" s="21" t="n">
        <f aca="false">IF(OR(AE884="",AE884=0),0,AE884*IF(U884="",0,IF(U884&gt;1,U884/100,U884)))</f>
        <v>0</v>
      </c>
      <c r="AH884" s="21" t="n">
        <f aca="false">IF(OR(AE884="",AE884=0),0,AE884*IF(X884="",0,IF(X884&gt;1,X884/100,X884)))</f>
        <v>0</v>
      </c>
      <c r="AI884" s="21" t="n">
        <f aca="false">IF(OR(AE884="",AE884=0),0,AE884*IF(AA884="",0,IF(AA884&gt;1,AA884/100,AA884)))</f>
        <v>0</v>
      </c>
      <c r="AJ884" s="21" t="n">
        <f aca="false">AG884+AH884+AI884</f>
        <v>0</v>
      </c>
      <c r="AK884" s="21" t="n">
        <f aca="false">IF(OR(AE884="",AE884=0),0,AE884-AJ884)</f>
        <v>0</v>
      </c>
      <c r="AL884" s="19" t="str">
        <f aca="false">IF(AD884="","",AD884-AK884)</f>
        <v/>
      </c>
      <c r="AM884" s="9" t="str">
        <f aca="false">IF(C884="","","Waiting for payment")</f>
        <v/>
      </c>
      <c r="AN884" s="10"/>
      <c r="AO884" s="10"/>
      <c r="AP884" s="22" t="str">
        <f aca="false">IF(OR(C884="",I884="",K884=""),"",IF(K884="Monthly",EDATE(C884,ROUND(I884*SETTINGS!$I$8,0)),WORKDAY(C884,ROUND(I884*SETTINGS!$I$8,0))))</f>
        <v/>
      </c>
      <c r="AQ884" s="9" t="str">
        <f aca="true">IF(C884="","",IF(AND(AP884&lt;&gt;"",TODAY()&gt;=AP884),"Refi Ready",IF(TODAY()-C884&gt;=SETTINGS!$I$11,"Prospecting","Performing")))</f>
        <v/>
      </c>
      <c r="AR884" s="22" t="str">
        <f aca="false">IF(OR(C884="",I884="",K884=""),"",IF(K884="Monthly",EDATE(C884,I884),WORKDAY(C884,I884)))</f>
        <v/>
      </c>
      <c r="AS884" s="11"/>
      <c r="AT884" s="23" t="str">
        <f aca="true">IF(C884="","",IF(AM884="Clawed Back","CLAWED",IF(TODAY()&lt;=C884+SETTINGS!$I$2,"⚠ AT RISK","SAFE")))</f>
        <v/>
      </c>
      <c r="AU884" s="11"/>
      <c r="AW884" s="24" t="n">
        <f aca="false">AW883+IF(AND(C884&lt;&gt;"",AO884&lt;&gt;"",OR('REP COMMISSION'!$B$3="",T884='REP COMMISSION'!$B$3,W884='REP COMMISSION'!$B$3,Z884='REP COMMISSION'!$B$3)),1,0)</f>
        <v>0</v>
      </c>
      <c r="AX884" s="24" t="n">
        <f aca="false">AX883+IF(AND(C884&lt;&gt;"",OR(F884="LOC - INITIAL",F884="CONSOLIDATION - UPFRONT COMM",F884="REVERSE - TOTAL FUNDING")),1,0)</f>
        <v>0</v>
      </c>
    </row>
    <row r="885" customFormat="false" ht="15" hidden="false" customHeight="false" outlineLevel="0" collapsed="false">
      <c r="A885" s="25" t="str">
        <f aca="false">IF(C885&lt;&gt;"","F"&amp;COUNT($C$4:C885),"")</f>
        <v/>
      </c>
      <c r="B885" s="26" t="str">
        <f aca="false">IF(OR(F885="LOC - INITIAL",F885="CONSOLIDATION - UPFRONT COMM",F885="REVERSE - TOTAL FUNDING"),A885,"")</f>
        <v/>
      </c>
      <c r="C885" s="27"/>
      <c r="D885" s="28"/>
      <c r="E885" s="28"/>
      <c r="F885" s="28"/>
      <c r="G885" s="29"/>
      <c r="H885" s="30"/>
      <c r="I885" s="28"/>
      <c r="J885" s="31" t="str">
        <f aca="false">IF(AND(G885&lt;&gt;"",H885&lt;&gt;""),G885*H885,"")</f>
        <v/>
      </c>
      <c r="K885" s="28"/>
      <c r="L885" s="32"/>
      <c r="M885" s="32"/>
      <c r="N885" s="31" t="n">
        <f aca="false">IF(OR(G885="",M885=""),0,IF(M885&gt;100,M885,G885*IF(M885&gt;1,M885/100,M885)))</f>
        <v>0</v>
      </c>
      <c r="O885" s="31" t="str">
        <f aca="false">IF(G885="","",G885*IF(L885="",0,IF(L885&gt;1,L885/100,L885))+N885)</f>
        <v/>
      </c>
      <c r="P885" s="28"/>
      <c r="Q885" s="33" t="str">
        <f aca="false">IF(P885="","",IFERROR(VLOOKUP(P885,PARTNERS!$A$2:$B$30,2,0),""))</f>
        <v/>
      </c>
      <c r="R885" s="17" t="str">
        <f aca="false">IF(O885="","",IF(OR(P885="",Q885=""),0,(O885-N885)*IF(Q885&gt;1,Q885/100,Q885)))</f>
        <v/>
      </c>
      <c r="S885" s="31" t="str">
        <f aca="false">IF(O885="","",O885-R885)</f>
        <v/>
      </c>
      <c r="T885" s="28"/>
      <c r="U885" s="34" t="str">
        <f aca="false">IF(T885="","",IFERROR(VLOOKUP(T885,REPS!$A$2:$D$40,2,0),""))</f>
        <v/>
      </c>
      <c r="V885" s="31" t="str">
        <f aca="false">IF(O885="","",IF(U885="",0,O885*IF(U885&gt;1,U885/100,U885)))</f>
        <v/>
      </c>
      <c r="W885" s="28"/>
      <c r="X885" s="34" t="str">
        <f aca="false">IF(W885="","",IFERROR(VLOOKUP(W885,REPS!$A$2:$D$40,3,0),""))</f>
        <v/>
      </c>
      <c r="Y885" s="31" t="str">
        <f aca="false">IF(O885="","",IF(X885="",0,O885*IF(X885&gt;1,X885/100,X885)))</f>
        <v/>
      </c>
      <c r="Z885" s="28"/>
      <c r="AA885" s="34" t="str">
        <f aca="false">IF(Z885="","",IFERROR(VLOOKUP(Z885,REPS!$A$2:$D$40,4,0),""))</f>
        <v/>
      </c>
      <c r="AB885" s="31" t="str">
        <f aca="false">IF(O885="","",IF(AA885="",0,O885*IF(AA885&gt;1,AA885/100,AA885)))</f>
        <v/>
      </c>
      <c r="AC885" s="31" t="str">
        <f aca="false">IF(O885="","",V885+Y885+AB885)</f>
        <v/>
      </c>
      <c r="AD885" s="19" t="str">
        <f aca="false">IF(O885="","",O885-R885-AC885)</f>
        <v/>
      </c>
      <c r="AE885" s="20"/>
      <c r="AF885" s="27"/>
      <c r="AG885" s="21" t="n">
        <f aca="false">IF(OR(AE885="",AE885=0),0,AE885*IF(U885="",0,IF(U885&gt;1,U885/100,U885)))</f>
        <v>0</v>
      </c>
      <c r="AH885" s="21" t="n">
        <f aca="false">IF(OR(AE885="",AE885=0),0,AE885*IF(X885="",0,IF(X885&gt;1,X885/100,X885)))</f>
        <v>0</v>
      </c>
      <c r="AI885" s="21" t="n">
        <f aca="false">IF(OR(AE885="",AE885=0),0,AE885*IF(AA885="",0,IF(AA885&gt;1,AA885/100,AA885)))</f>
        <v>0</v>
      </c>
      <c r="AJ885" s="21" t="n">
        <f aca="false">AG885+AH885+AI885</f>
        <v>0</v>
      </c>
      <c r="AK885" s="21" t="n">
        <f aca="false">IF(OR(AE885="",AE885=0),0,AE885-AJ885)</f>
        <v>0</v>
      </c>
      <c r="AL885" s="19" t="str">
        <f aca="false">IF(AD885="","",AD885-AK885)</f>
        <v/>
      </c>
      <c r="AM885" s="26" t="str">
        <f aca="false">IF(C885="","","Waiting for payment")</f>
        <v/>
      </c>
      <c r="AN885" s="27"/>
      <c r="AO885" s="27"/>
      <c r="AP885" s="35" t="str">
        <f aca="false">IF(OR(C885="",I885="",K885=""),"",IF(K885="Monthly",EDATE(C885,ROUND(I885*SETTINGS!$I$8,0)),WORKDAY(C885,ROUND(I885*SETTINGS!$I$8,0))))</f>
        <v/>
      </c>
      <c r="AQ885" s="26" t="str">
        <f aca="true">IF(C885="","",IF(AND(AP885&lt;&gt;"",TODAY()&gt;=AP885),"Refi Ready",IF(TODAY()-C885&gt;=SETTINGS!$I$11,"Prospecting","Performing")))</f>
        <v/>
      </c>
      <c r="AR885" s="35" t="str">
        <f aca="false">IF(OR(C885="",I885="",K885=""),"",IF(K885="Monthly",EDATE(C885,I885),WORKDAY(C885,I885)))</f>
        <v/>
      </c>
      <c r="AS885" s="28"/>
      <c r="AT885" s="36" t="str">
        <f aca="true">IF(C885="","",IF(AM885="Clawed Back","CLAWED",IF(TODAY()&lt;=C885+SETTINGS!$I$2,"⚠ AT RISK","SAFE")))</f>
        <v/>
      </c>
      <c r="AU885" s="28"/>
      <c r="AW885" s="24" t="n">
        <f aca="false">AW884+IF(AND(C885&lt;&gt;"",AO885&lt;&gt;"",OR('REP COMMISSION'!$B$3="",T885='REP COMMISSION'!$B$3,W885='REP COMMISSION'!$B$3,Z885='REP COMMISSION'!$B$3)),1,0)</f>
        <v>0</v>
      </c>
      <c r="AX885" s="24" t="n">
        <f aca="false">AX884+IF(AND(C885&lt;&gt;"",OR(F885="LOC - INITIAL",F885="CONSOLIDATION - UPFRONT COMM",F885="REVERSE - TOTAL FUNDING")),1,0)</f>
        <v>0</v>
      </c>
    </row>
    <row r="886" customFormat="false" ht="15" hidden="false" customHeight="false" outlineLevel="0" collapsed="false">
      <c r="A886" s="8" t="str">
        <f aca="false">IF(C886&lt;&gt;"","F"&amp;COUNT($C$4:C886),"")</f>
        <v/>
      </c>
      <c r="B886" s="9" t="str">
        <f aca="false">IF(OR(F886="LOC - INITIAL",F886="CONSOLIDATION - UPFRONT COMM",F886="REVERSE - TOTAL FUNDING"),A886,"")</f>
        <v/>
      </c>
      <c r="C886" s="10"/>
      <c r="D886" s="11"/>
      <c r="E886" s="11"/>
      <c r="F886" s="11"/>
      <c r="G886" s="12"/>
      <c r="H886" s="13"/>
      <c r="I886" s="11"/>
      <c r="J886" s="14" t="str">
        <f aca="false">IF(AND(G886&lt;&gt;"",H886&lt;&gt;""),G886*H886,"")</f>
        <v/>
      </c>
      <c r="K886" s="11"/>
      <c r="L886" s="15"/>
      <c r="M886" s="15"/>
      <c r="N886" s="14" t="n">
        <f aca="false">IF(OR(G886="",M886=""),0,IF(M886&gt;100,M886,G886*IF(M886&gt;1,M886/100,M886)))</f>
        <v>0</v>
      </c>
      <c r="O886" s="14" t="str">
        <f aca="false">IF(G886="","",G886*IF(L886="",0,IF(L886&gt;1,L886/100,L886))+N886)</f>
        <v/>
      </c>
      <c r="P886" s="11"/>
      <c r="Q886" s="16" t="str">
        <f aca="false">IF(P886="","",IFERROR(VLOOKUP(P886,PARTNERS!$A$2:$B$30,2,0),""))</f>
        <v/>
      </c>
      <c r="R886" s="17" t="str">
        <f aca="false">IF(O886="","",IF(OR(P886="",Q886=""),0,(O886-N886)*IF(Q886&gt;1,Q886/100,Q886)))</f>
        <v/>
      </c>
      <c r="S886" s="14" t="str">
        <f aca="false">IF(O886="","",O886-R886)</f>
        <v/>
      </c>
      <c r="T886" s="11"/>
      <c r="U886" s="18" t="str">
        <f aca="false">IF(T886="","",IFERROR(VLOOKUP(T886,REPS!$A$2:$D$40,2,0),""))</f>
        <v/>
      </c>
      <c r="V886" s="14" t="str">
        <f aca="false">IF(O886="","",IF(U886="",0,O886*IF(U886&gt;1,U886/100,U886)))</f>
        <v/>
      </c>
      <c r="W886" s="11"/>
      <c r="X886" s="18" t="str">
        <f aca="false">IF(W886="","",IFERROR(VLOOKUP(W886,REPS!$A$2:$D$40,3,0),""))</f>
        <v/>
      </c>
      <c r="Y886" s="14" t="str">
        <f aca="false">IF(O886="","",IF(X886="",0,O886*IF(X886&gt;1,X886/100,X886)))</f>
        <v/>
      </c>
      <c r="Z886" s="11"/>
      <c r="AA886" s="18" t="str">
        <f aca="false">IF(Z886="","",IFERROR(VLOOKUP(Z886,REPS!$A$2:$D$40,4,0),""))</f>
        <v/>
      </c>
      <c r="AB886" s="14" t="str">
        <f aca="false">IF(O886="","",IF(AA886="",0,O886*IF(AA886&gt;1,AA886/100,AA886)))</f>
        <v/>
      </c>
      <c r="AC886" s="14" t="str">
        <f aca="false">IF(O886="","",V886+Y886+AB886)</f>
        <v/>
      </c>
      <c r="AD886" s="19" t="str">
        <f aca="false">IF(O886="","",O886-R886-AC886)</f>
        <v/>
      </c>
      <c r="AE886" s="20"/>
      <c r="AF886" s="10"/>
      <c r="AG886" s="21" t="n">
        <f aca="false">IF(OR(AE886="",AE886=0),0,AE886*IF(U886="",0,IF(U886&gt;1,U886/100,U886)))</f>
        <v>0</v>
      </c>
      <c r="AH886" s="21" t="n">
        <f aca="false">IF(OR(AE886="",AE886=0),0,AE886*IF(X886="",0,IF(X886&gt;1,X886/100,X886)))</f>
        <v>0</v>
      </c>
      <c r="AI886" s="21" t="n">
        <f aca="false">IF(OR(AE886="",AE886=0),0,AE886*IF(AA886="",0,IF(AA886&gt;1,AA886/100,AA886)))</f>
        <v>0</v>
      </c>
      <c r="AJ886" s="21" t="n">
        <f aca="false">AG886+AH886+AI886</f>
        <v>0</v>
      </c>
      <c r="AK886" s="21" t="n">
        <f aca="false">IF(OR(AE886="",AE886=0),0,AE886-AJ886)</f>
        <v>0</v>
      </c>
      <c r="AL886" s="19" t="str">
        <f aca="false">IF(AD886="","",AD886-AK886)</f>
        <v/>
      </c>
      <c r="AM886" s="9" t="str">
        <f aca="false">IF(C886="","","Waiting for payment")</f>
        <v/>
      </c>
      <c r="AN886" s="10"/>
      <c r="AO886" s="10"/>
      <c r="AP886" s="22" t="str">
        <f aca="false">IF(OR(C886="",I886="",K886=""),"",IF(K886="Monthly",EDATE(C886,ROUND(I886*SETTINGS!$I$8,0)),WORKDAY(C886,ROUND(I886*SETTINGS!$I$8,0))))</f>
        <v/>
      </c>
      <c r="AQ886" s="9" t="str">
        <f aca="true">IF(C886="","",IF(AND(AP886&lt;&gt;"",TODAY()&gt;=AP886),"Refi Ready",IF(TODAY()-C886&gt;=SETTINGS!$I$11,"Prospecting","Performing")))</f>
        <v/>
      </c>
      <c r="AR886" s="22" t="str">
        <f aca="false">IF(OR(C886="",I886="",K886=""),"",IF(K886="Monthly",EDATE(C886,I886),WORKDAY(C886,I886)))</f>
        <v/>
      </c>
      <c r="AS886" s="11"/>
      <c r="AT886" s="23" t="str">
        <f aca="true">IF(C886="","",IF(AM886="Clawed Back","CLAWED",IF(TODAY()&lt;=C886+SETTINGS!$I$2,"⚠ AT RISK","SAFE")))</f>
        <v/>
      </c>
      <c r="AU886" s="11"/>
      <c r="AW886" s="24" t="n">
        <f aca="false">AW885+IF(AND(C886&lt;&gt;"",AO886&lt;&gt;"",OR('REP COMMISSION'!$B$3="",T886='REP COMMISSION'!$B$3,W886='REP COMMISSION'!$B$3,Z886='REP COMMISSION'!$B$3)),1,0)</f>
        <v>0</v>
      </c>
      <c r="AX886" s="24" t="n">
        <f aca="false">AX885+IF(AND(C886&lt;&gt;"",OR(F886="LOC - INITIAL",F886="CONSOLIDATION - UPFRONT COMM",F886="REVERSE - TOTAL FUNDING")),1,0)</f>
        <v>0</v>
      </c>
    </row>
    <row r="887" customFormat="false" ht="15" hidden="false" customHeight="false" outlineLevel="0" collapsed="false">
      <c r="A887" s="25" t="str">
        <f aca="false">IF(C887&lt;&gt;"","F"&amp;COUNT($C$4:C887),"")</f>
        <v/>
      </c>
      <c r="B887" s="26" t="str">
        <f aca="false">IF(OR(F887="LOC - INITIAL",F887="CONSOLIDATION - UPFRONT COMM",F887="REVERSE - TOTAL FUNDING"),A887,"")</f>
        <v/>
      </c>
      <c r="C887" s="27"/>
      <c r="D887" s="28"/>
      <c r="E887" s="28"/>
      <c r="F887" s="28"/>
      <c r="G887" s="29"/>
      <c r="H887" s="30"/>
      <c r="I887" s="28"/>
      <c r="J887" s="31" t="str">
        <f aca="false">IF(AND(G887&lt;&gt;"",H887&lt;&gt;""),G887*H887,"")</f>
        <v/>
      </c>
      <c r="K887" s="28"/>
      <c r="L887" s="32"/>
      <c r="M887" s="32"/>
      <c r="N887" s="31" t="n">
        <f aca="false">IF(OR(G887="",M887=""),0,IF(M887&gt;100,M887,G887*IF(M887&gt;1,M887/100,M887)))</f>
        <v>0</v>
      </c>
      <c r="O887" s="31" t="str">
        <f aca="false">IF(G887="","",G887*IF(L887="",0,IF(L887&gt;1,L887/100,L887))+N887)</f>
        <v/>
      </c>
      <c r="P887" s="28"/>
      <c r="Q887" s="33" t="str">
        <f aca="false">IF(P887="","",IFERROR(VLOOKUP(P887,PARTNERS!$A$2:$B$30,2,0),""))</f>
        <v/>
      </c>
      <c r="R887" s="17" t="str">
        <f aca="false">IF(O887="","",IF(OR(P887="",Q887=""),0,(O887-N887)*IF(Q887&gt;1,Q887/100,Q887)))</f>
        <v/>
      </c>
      <c r="S887" s="31" t="str">
        <f aca="false">IF(O887="","",O887-R887)</f>
        <v/>
      </c>
      <c r="T887" s="28"/>
      <c r="U887" s="34" t="str">
        <f aca="false">IF(T887="","",IFERROR(VLOOKUP(T887,REPS!$A$2:$D$40,2,0),""))</f>
        <v/>
      </c>
      <c r="V887" s="31" t="str">
        <f aca="false">IF(O887="","",IF(U887="",0,O887*IF(U887&gt;1,U887/100,U887)))</f>
        <v/>
      </c>
      <c r="W887" s="28"/>
      <c r="X887" s="34" t="str">
        <f aca="false">IF(W887="","",IFERROR(VLOOKUP(W887,REPS!$A$2:$D$40,3,0),""))</f>
        <v/>
      </c>
      <c r="Y887" s="31" t="str">
        <f aca="false">IF(O887="","",IF(X887="",0,O887*IF(X887&gt;1,X887/100,X887)))</f>
        <v/>
      </c>
      <c r="Z887" s="28"/>
      <c r="AA887" s="34" t="str">
        <f aca="false">IF(Z887="","",IFERROR(VLOOKUP(Z887,REPS!$A$2:$D$40,4,0),""))</f>
        <v/>
      </c>
      <c r="AB887" s="31" t="str">
        <f aca="false">IF(O887="","",IF(AA887="",0,O887*IF(AA887&gt;1,AA887/100,AA887)))</f>
        <v/>
      </c>
      <c r="AC887" s="31" t="str">
        <f aca="false">IF(O887="","",V887+Y887+AB887)</f>
        <v/>
      </c>
      <c r="AD887" s="19" t="str">
        <f aca="false">IF(O887="","",O887-R887-AC887)</f>
        <v/>
      </c>
      <c r="AE887" s="20"/>
      <c r="AF887" s="27"/>
      <c r="AG887" s="21" t="n">
        <f aca="false">IF(OR(AE887="",AE887=0),0,AE887*IF(U887="",0,IF(U887&gt;1,U887/100,U887)))</f>
        <v>0</v>
      </c>
      <c r="AH887" s="21" t="n">
        <f aca="false">IF(OR(AE887="",AE887=0),0,AE887*IF(X887="",0,IF(X887&gt;1,X887/100,X887)))</f>
        <v>0</v>
      </c>
      <c r="AI887" s="21" t="n">
        <f aca="false">IF(OR(AE887="",AE887=0),0,AE887*IF(AA887="",0,IF(AA887&gt;1,AA887/100,AA887)))</f>
        <v>0</v>
      </c>
      <c r="AJ887" s="21" t="n">
        <f aca="false">AG887+AH887+AI887</f>
        <v>0</v>
      </c>
      <c r="AK887" s="21" t="n">
        <f aca="false">IF(OR(AE887="",AE887=0),0,AE887-AJ887)</f>
        <v>0</v>
      </c>
      <c r="AL887" s="19" t="str">
        <f aca="false">IF(AD887="","",AD887-AK887)</f>
        <v/>
      </c>
      <c r="AM887" s="26" t="str">
        <f aca="false">IF(C887="","","Waiting for payment")</f>
        <v/>
      </c>
      <c r="AN887" s="27"/>
      <c r="AO887" s="27"/>
      <c r="AP887" s="35" t="str">
        <f aca="false">IF(OR(C887="",I887="",K887=""),"",IF(K887="Monthly",EDATE(C887,ROUND(I887*SETTINGS!$I$8,0)),WORKDAY(C887,ROUND(I887*SETTINGS!$I$8,0))))</f>
        <v/>
      </c>
      <c r="AQ887" s="26" t="str">
        <f aca="true">IF(C887="","",IF(AND(AP887&lt;&gt;"",TODAY()&gt;=AP887),"Refi Ready",IF(TODAY()-C887&gt;=SETTINGS!$I$11,"Prospecting","Performing")))</f>
        <v/>
      </c>
      <c r="AR887" s="35" t="str">
        <f aca="false">IF(OR(C887="",I887="",K887=""),"",IF(K887="Monthly",EDATE(C887,I887),WORKDAY(C887,I887)))</f>
        <v/>
      </c>
      <c r="AS887" s="28"/>
      <c r="AT887" s="36" t="str">
        <f aca="true">IF(C887="","",IF(AM887="Clawed Back","CLAWED",IF(TODAY()&lt;=C887+SETTINGS!$I$2,"⚠ AT RISK","SAFE")))</f>
        <v/>
      </c>
      <c r="AU887" s="28"/>
      <c r="AW887" s="24" t="n">
        <f aca="false">AW886+IF(AND(C887&lt;&gt;"",AO887&lt;&gt;"",OR('REP COMMISSION'!$B$3="",T887='REP COMMISSION'!$B$3,W887='REP COMMISSION'!$B$3,Z887='REP COMMISSION'!$B$3)),1,0)</f>
        <v>0</v>
      </c>
      <c r="AX887" s="24" t="n">
        <f aca="false">AX886+IF(AND(C887&lt;&gt;"",OR(F887="LOC - INITIAL",F887="CONSOLIDATION - UPFRONT COMM",F887="REVERSE - TOTAL FUNDING")),1,0)</f>
        <v>0</v>
      </c>
    </row>
    <row r="888" customFormat="false" ht="15" hidden="false" customHeight="false" outlineLevel="0" collapsed="false">
      <c r="A888" s="8" t="str">
        <f aca="false">IF(C888&lt;&gt;"","F"&amp;COUNT($C$4:C888),"")</f>
        <v/>
      </c>
      <c r="B888" s="9" t="str">
        <f aca="false">IF(OR(F888="LOC - INITIAL",F888="CONSOLIDATION - UPFRONT COMM",F888="REVERSE - TOTAL FUNDING"),A888,"")</f>
        <v/>
      </c>
      <c r="C888" s="10"/>
      <c r="D888" s="11"/>
      <c r="E888" s="11"/>
      <c r="F888" s="11"/>
      <c r="G888" s="12"/>
      <c r="H888" s="13"/>
      <c r="I888" s="11"/>
      <c r="J888" s="14" t="str">
        <f aca="false">IF(AND(G888&lt;&gt;"",H888&lt;&gt;""),G888*H888,"")</f>
        <v/>
      </c>
      <c r="K888" s="11"/>
      <c r="L888" s="15"/>
      <c r="M888" s="15"/>
      <c r="N888" s="14" t="n">
        <f aca="false">IF(OR(G888="",M888=""),0,IF(M888&gt;100,M888,G888*IF(M888&gt;1,M888/100,M888)))</f>
        <v>0</v>
      </c>
      <c r="O888" s="14" t="str">
        <f aca="false">IF(G888="","",G888*IF(L888="",0,IF(L888&gt;1,L888/100,L888))+N888)</f>
        <v/>
      </c>
      <c r="P888" s="11"/>
      <c r="Q888" s="16" t="str">
        <f aca="false">IF(P888="","",IFERROR(VLOOKUP(P888,PARTNERS!$A$2:$B$30,2,0),""))</f>
        <v/>
      </c>
      <c r="R888" s="17" t="str">
        <f aca="false">IF(O888="","",IF(OR(P888="",Q888=""),0,(O888-N888)*IF(Q888&gt;1,Q888/100,Q888)))</f>
        <v/>
      </c>
      <c r="S888" s="14" t="str">
        <f aca="false">IF(O888="","",O888-R888)</f>
        <v/>
      </c>
      <c r="T888" s="11"/>
      <c r="U888" s="18" t="str">
        <f aca="false">IF(T888="","",IFERROR(VLOOKUP(T888,REPS!$A$2:$D$40,2,0),""))</f>
        <v/>
      </c>
      <c r="V888" s="14" t="str">
        <f aca="false">IF(O888="","",IF(U888="",0,O888*IF(U888&gt;1,U888/100,U888)))</f>
        <v/>
      </c>
      <c r="W888" s="11"/>
      <c r="X888" s="18" t="str">
        <f aca="false">IF(W888="","",IFERROR(VLOOKUP(W888,REPS!$A$2:$D$40,3,0),""))</f>
        <v/>
      </c>
      <c r="Y888" s="14" t="str">
        <f aca="false">IF(O888="","",IF(X888="",0,O888*IF(X888&gt;1,X888/100,X888)))</f>
        <v/>
      </c>
      <c r="Z888" s="11"/>
      <c r="AA888" s="18" t="str">
        <f aca="false">IF(Z888="","",IFERROR(VLOOKUP(Z888,REPS!$A$2:$D$40,4,0),""))</f>
        <v/>
      </c>
      <c r="AB888" s="14" t="str">
        <f aca="false">IF(O888="","",IF(AA888="",0,O888*IF(AA888&gt;1,AA888/100,AA888)))</f>
        <v/>
      </c>
      <c r="AC888" s="14" t="str">
        <f aca="false">IF(O888="","",V888+Y888+AB888)</f>
        <v/>
      </c>
      <c r="AD888" s="19" t="str">
        <f aca="false">IF(O888="","",O888-R888-AC888)</f>
        <v/>
      </c>
      <c r="AE888" s="20"/>
      <c r="AF888" s="10"/>
      <c r="AG888" s="21" t="n">
        <f aca="false">IF(OR(AE888="",AE888=0),0,AE888*IF(U888="",0,IF(U888&gt;1,U888/100,U888)))</f>
        <v>0</v>
      </c>
      <c r="AH888" s="21" t="n">
        <f aca="false">IF(OR(AE888="",AE888=0),0,AE888*IF(X888="",0,IF(X888&gt;1,X888/100,X888)))</f>
        <v>0</v>
      </c>
      <c r="AI888" s="21" t="n">
        <f aca="false">IF(OR(AE888="",AE888=0),0,AE888*IF(AA888="",0,IF(AA888&gt;1,AA888/100,AA888)))</f>
        <v>0</v>
      </c>
      <c r="AJ888" s="21" t="n">
        <f aca="false">AG888+AH888+AI888</f>
        <v>0</v>
      </c>
      <c r="AK888" s="21" t="n">
        <f aca="false">IF(OR(AE888="",AE888=0),0,AE888-AJ888)</f>
        <v>0</v>
      </c>
      <c r="AL888" s="19" t="str">
        <f aca="false">IF(AD888="","",AD888-AK888)</f>
        <v/>
      </c>
      <c r="AM888" s="9" t="str">
        <f aca="false">IF(C888="","","Waiting for payment")</f>
        <v/>
      </c>
      <c r="AN888" s="10"/>
      <c r="AO888" s="10"/>
      <c r="AP888" s="22" t="str">
        <f aca="false">IF(OR(C888="",I888="",K888=""),"",IF(K888="Monthly",EDATE(C888,ROUND(I888*SETTINGS!$I$8,0)),WORKDAY(C888,ROUND(I888*SETTINGS!$I$8,0))))</f>
        <v/>
      </c>
      <c r="AQ888" s="9" t="str">
        <f aca="true">IF(C888="","",IF(AND(AP888&lt;&gt;"",TODAY()&gt;=AP888),"Refi Ready",IF(TODAY()-C888&gt;=SETTINGS!$I$11,"Prospecting","Performing")))</f>
        <v/>
      </c>
      <c r="AR888" s="22" t="str">
        <f aca="false">IF(OR(C888="",I888="",K888=""),"",IF(K888="Monthly",EDATE(C888,I888),WORKDAY(C888,I888)))</f>
        <v/>
      </c>
      <c r="AS888" s="11"/>
      <c r="AT888" s="23" t="str">
        <f aca="true">IF(C888="","",IF(AM888="Clawed Back","CLAWED",IF(TODAY()&lt;=C888+SETTINGS!$I$2,"⚠ AT RISK","SAFE")))</f>
        <v/>
      </c>
      <c r="AU888" s="11"/>
      <c r="AW888" s="24" t="n">
        <f aca="false">AW887+IF(AND(C888&lt;&gt;"",AO888&lt;&gt;"",OR('REP COMMISSION'!$B$3="",T888='REP COMMISSION'!$B$3,W888='REP COMMISSION'!$B$3,Z888='REP COMMISSION'!$B$3)),1,0)</f>
        <v>0</v>
      </c>
      <c r="AX888" s="24" t="n">
        <f aca="false">AX887+IF(AND(C888&lt;&gt;"",OR(F888="LOC - INITIAL",F888="CONSOLIDATION - UPFRONT COMM",F888="REVERSE - TOTAL FUNDING")),1,0)</f>
        <v>0</v>
      </c>
    </row>
    <row r="889" customFormat="false" ht="15" hidden="false" customHeight="false" outlineLevel="0" collapsed="false">
      <c r="A889" s="25" t="str">
        <f aca="false">IF(C889&lt;&gt;"","F"&amp;COUNT($C$4:C889),"")</f>
        <v/>
      </c>
      <c r="B889" s="26" t="str">
        <f aca="false">IF(OR(F889="LOC - INITIAL",F889="CONSOLIDATION - UPFRONT COMM",F889="REVERSE - TOTAL FUNDING"),A889,"")</f>
        <v/>
      </c>
      <c r="C889" s="27"/>
      <c r="D889" s="28"/>
      <c r="E889" s="28"/>
      <c r="F889" s="28"/>
      <c r="G889" s="29"/>
      <c r="H889" s="30"/>
      <c r="I889" s="28"/>
      <c r="J889" s="31" t="str">
        <f aca="false">IF(AND(G889&lt;&gt;"",H889&lt;&gt;""),G889*H889,"")</f>
        <v/>
      </c>
      <c r="K889" s="28"/>
      <c r="L889" s="32"/>
      <c r="M889" s="32"/>
      <c r="N889" s="31" t="n">
        <f aca="false">IF(OR(G889="",M889=""),0,IF(M889&gt;100,M889,G889*IF(M889&gt;1,M889/100,M889)))</f>
        <v>0</v>
      </c>
      <c r="O889" s="31" t="str">
        <f aca="false">IF(G889="","",G889*IF(L889="",0,IF(L889&gt;1,L889/100,L889))+N889)</f>
        <v/>
      </c>
      <c r="P889" s="28"/>
      <c r="Q889" s="33" t="str">
        <f aca="false">IF(P889="","",IFERROR(VLOOKUP(P889,PARTNERS!$A$2:$B$30,2,0),""))</f>
        <v/>
      </c>
      <c r="R889" s="17" t="str">
        <f aca="false">IF(O889="","",IF(OR(P889="",Q889=""),0,(O889-N889)*IF(Q889&gt;1,Q889/100,Q889)))</f>
        <v/>
      </c>
      <c r="S889" s="31" t="str">
        <f aca="false">IF(O889="","",O889-R889)</f>
        <v/>
      </c>
      <c r="T889" s="28"/>
      <c r="U889" s="34" t="str">
        <f aca="false">IF(T889="","",IFERROR(VLOOKUP(T889,REPS!$A$2:$D$40,2,0),""))</f>
        <v/>
      </c>
      <c r="V889" s="31" t="str">
        <f aca="false">IF(O889="","",IF(U889="",0,O889*IF(U889&gt;1,U889/100,U889)))</f>
        <v/>
      </c>
      <c r="W889" s="28"/>
      <c r="X889" s="34" t="str">
        <f aca="false">IF(W889="","",IFERROR(VLOOKUP(W889,REPS!$A$2:$D$40,3,0),""))</f>
        <v/>
      </c>
      <c r="Y889" s="31" t="str">
        <f aca="false">IF(O889="","",IF(X889="",0,O889*IF(X889&gt;1,X889/100,X889)))</f>
        <v/>
      </c>
      <c r="Z889" s="28"/>
      <c r="AA889" s="34" t="str">
        <f aca="false">IF(Z889="","",IFERROR(VLOOKUP(Z889,REPS!$A$2:$D$40,4,0),""))</f>
        <v/>
      </c>
      <c r="AB889" s="31" t="str">
        <f aca="false">IF(O889="","",IF(AA889="",0,O889*IF(AA889&gt;1,AA889/100,AA889)))</f>
        <v/>
      </c>
      <c r="AC889" s="31" t="str">
        <f aca="false">IF(O889="","",V889+Y889+AB889)</f>
        <v/>
      </c>
      <c r="AD889" s="19" t="str">
        <f aca="false">IF(O889="","",O889-R889-AC889)</f>
        <v/>
      </c>
      <c r="AE889" s="20"/>
      <c r="AF889" s="27"/>
      <c r="AG889" s="21" t="n">
        <f aca="false">IF(OR(AE889="",AE889=0),0,AE889*IF(U889="",0,IF(U889&gt;1,U889/100,U889)))</f>
        <v>0</v>
      </c>
      <c r="AH889" s="21" t="n">
        <f aca="false">IF(OR(AE889="",AE889=0),0,AE889*IF(X889="",0,IF(X889&gt;1,X889/100,X889)))</f>
        <v>0</v>
      </c>
      <c r="AI889" s="21" t="n">
        <f aca="false">IF(OR(AE889="",AE889=0),0,AE889*IF(AA889="",0,IF(AA889&gt;1,AA889/100,AA889)))</f>
        <v>0</v>
      </c>
      <c r="AJ889" s="21" t="n">
        <f aca="false">AG889+AH889+AI889</f>
        <v>0</v>
      </c>
      <c r="AK889" s="21" t="n">
        <f aca="false">IF(OR(AE889="",AE889=0),0,AE889-AJ889)</f>
        <v>0</v>
      </c>
      <c r="AL889" s="19" t="str">
        <f aca="false">IF(AD889="","",AD889-AK889)</f>
        <v/>
      </c>
      <c r="AM889" s="26" t="str">
        <f aca="false">IF(C889="","","Waiting for payment")</f>
        <v/>
      </c>
      <c r="AN889" s="27"/>
      <c r="AO889" s="27"/>
      <c r="AP889" s="35" t="str">
        <f aca="false">IF(OR(C889="",I889="",K889=""),"",IF(K889="Monthly",EDATE(C889,ROUND(I889*SETTINGS!$I$8,0)),WORKDAY(C889,ROUND(I889*SETTINGS!$I$8,0))))</f>
        <v/>
      </c>
      <c r="AQ889" s="26" t="str">
        <f aca="true">IF(C889="","",IF(AND(AP889&lt;&gt;"",TODAY()&gt;=AP889),"Refi Ready",IF(TODAY()-C889&gt;=SETTINGS!$I$11,"Prospecting","Performing")))</f>
        <v/>
      </c>
      <c r="AR889" s="35" t="str">
        <f aca="false">IF(OR(C889="",I889="",K889=""),"",IF(K889="Monthly",EDATE(C889,I889),WORKDAY(C889,I889)))</f>
        <v/>
      </c>
      <c r="AS889" s="28"/>
      <c r="AT889" s="36" t="str">
        <f aca="true">IF(C889="","",IF(AM889="Clawed Back","CLAWED",IF(TODAY()&lt;=C889+SETTINGS!$I$2,"⚠ AT RISK","SAFE")))</f>
        <v/>
      </c>
      <c r="AU889" s="28"/>
      <c r="AW889" s="24" t="n">
        <f aca="false">AW888+IF(AND(C889&lt;&gt;"",AO889&lt;&gt;"",OR('REP COMMISSION'!$B$3="",T889='REP COMMISSION'!$B$3,W889='REP COMMISSION'!$B$3,Z889='REP COMMISSION'!$B$3)),1,0)</f>
        <v>0</v>
      </c>
      <c r="AX889" s="24" t="n">
        <f aca="false">AX888+IF(AND(C889&lt;&gt;"",OR(F889="LOC - INITIAL",F889="CONSOLIDATION - UPFRONT COMM",F889="REVERSE - TOTAL FUNDING")),1,0)</f>
        <v>0</v>
      </c>
    </row>
    <row r="890" customFormat="false" ht="15" hidden="false" customHeight="false" outlineLevel="0" collapsed="false">
      <c r="A890" s="8" t="str">
        <f aca="false">IF(C890&lt;&gt;"","F"&amp;COUNT($C$4:C890),"")</f>
        <v/>
      </c>
      <c r="B890" s="9" t="str">
        <f aca="false">IF(OR(F890="LOC - INITIAL",F890="CONSOLIDATION - UPFRONT COMM",F890="REVERSE - TOTAL FUNDING"),A890,"")</f>
        <v/>
      </c>
      <c r="C890" s="10"/>
      <c r="D890" s="11"/>
      <c r="E890" s="11"/>
      <c r="F890" s="11"/>
      <c r="G890" s="12"/>
      <c r="H890" s="13"/>
      <c r="I890" s="11"/>
      <c r="J890" s="14" t="str">
        <f aca="false">IF(AND(G890&lt;&gt;"",H890&lt;&gt;""),G890*H890,"")</f>
        <v/>
      </c>
      <c r="K890" s="11"/>
      <c r="L890" s="15"/>
      <c r="M890" s="15"/>
      <c r="N890" s="14" t="n">
        <f aca="false">IF(OR(G890="",M890=""),0,IF(M890&gt;100,M890,G890*IF(M890&gt;1,M890/100,M890)))</f>
        <v>0</v>
      </c>
      <c r="O890" s="14" t="str">
        <f aca="false">IF(G890="","",G890*IF(L890="",0,IF(L890&gt;1,L890/100,L890))+N890)</f>
        <v/>
      </c>
      <c r="P890" s="11"/>
      <c r="Q890" s="16" t="str">
        <f aca="false">IF(P890="","",IFERROR(VLOOKUP(P890,PARTNERS!$A$2:$B$30,2,0),""))</f>
        <v/>
      </c>
      <c r="R890" s="17" t="str">
        <f aca="false">IF(O890="","",IF(OR(P890="",Q890=""),0,(O890-N890)*IF(Q890&gt;1,Q890/100,Q890)))</f>
        <v/>
      </c>
      <c r="S890" s="14" t="str">
        <f aca="false">IF(O890="","",O890-R890)</f>
        <v/>
      </c>
      <c r="T890" s="11"/>
      <c r="U890" s="18" t="str">
        <f aca="false">IF(T890="","",IFERROR(VLOOKUP(T890,REPS!$A$2:$D$40,2,0),""))</f>
        <v/>
      </c>
      <c r="V890" s="14" t="str">
        <f aca="false">IF(O890="","",IF(U890="",0,O890*IF(U890&gt;1,U890/100,U890)))</f>
        <v/>
      </c>
      <c r="W890" s="11"/>
      <c r="X890" s="18" t="str">
        <f aca="false">IF(W890="","",IFERROR(VLOOKUP(W890,REPS!$A$2:$D$40,3,0),""))</f>
        <v/>
      </c>
      <c r="Y890" s="14" t="str">
        <f aca="false">IF(O890="","",IF(X890="",0,O890*IF(X890&gt;1,X890/100,X890)))</f>
        <v/>
      </c>
      <c r="Z890" s="11"/>
      <c r="AA890" s="18" t="str">
        <f aca="false">IF(Z890="","",IFERROR(VLOOKUP(Z890,REPS!$A$2:$D$40,4,0),""))</f>
        <v/>
      </c>
      <c r="AB890" s="14" t="str">
        <f aca="false">IF(O890="","",IF(AA890="",0,O890*IF(AA890&gt;1,AA890/100,AA890)))</f>
        <v/>
      </c>
      <c r="AC890" s="14" t="str">
        <f aca="false">IF(O890="","",V890+Y890+AB890)</f>
        <v/>
      </c>
      <c r="AD890" s="19" t="str">
        <f aca="false">IF(O890="","",O890-R890-AC890)</f>
        <v/>
      </c>
      <c r="AE890" s="20"/>
      <c r="AF890" s="10"/>
      <c r="AG890" s="21" t="n">
        <f aca="false">IF(OR(AE890="",AE890=0),0,AE890*IF(U890="",0,IF(U890&gt;1,U890/100,U890)))</f>
        <v>0</v>
      </c>
      <c r="AH890" s="21" t="n">
        <f aca="false">IF(OR(AE890="",AE890=0),0,AE890*IF(X890="",0,IF(X890&gt;1,X890/100,X890)))</f>
        <v>0</v>
      </c>
      <c r="AI890" s="21" t="n">
        <f aca="false">IF(OR(AE890="",AE890=0),0,AE890*IF(AA890="",0,IF(AA890&gt;1,AA890/100,AA890)))</f>
        <v>0</v>
      </c>
      <c r="AJ890" s="21" t="n">
        <f aca="false">AG890+AH890+AI890</f>
        <v>0</v>
      </c>
      <c r="AK890" s="21" t="n">
        <f aca="false">IF(OR(AE890="",AE890=0),0,AE890-AJ890)</f>
        <v>0</v>
      </c>
      <c r="AL890" s="19" t="str">
        <f aca="false">IF(AD890="","",AD890-AK890)</f>
        <v/>
      </c>
      <c r="AM890" s="9" t="str">
        <f aca="false">IF(C890="","","Waiting for payment")</f>
        <v/>
      </c>
      <c r="AN890" s="10"/>
      <c r="AO890" s="10"/>
      <c r="AP890" s="22" t="str">
        <f aca="false">IF(OR(C890="",I890="",K890=""),"",IF(K890="Monthly",EDATE(C890,ROUND(I890*SETTINGS!$I$8,0)),WORKDAY(C890,ROUND(I890*SETTINGS!$I$8,0))))</f>
        <v/>
      </c>
      <c r="AQ890" s="9" t="str">
        <f aca="true">IF(C890="","",IF(AND(AP890&lt;&gt;"",TODAY()&gt;=AP890),"Refi Ready",IF(TODAY()-C890&gt;=SETTINGS!$I$11,"Prospecting","Performing")))</f>
        <v/>
      </c>
      <c r="AR890" s="22" t="str">
        <f aca="false">IF(OR(C890="",I890="",K890=""),"",IF(K890="Monthly",EDATE(C890,I890),WORKDAY(C890,I890)))</f>
        <v/>
      </c>
      <c r="AS890" s="11"/>
      <c r="AT890" s="23" t="str">
        <f aca="true">IF(C890="","",IF(AM890="Clawed Back","CLAWED",IF(TODAY()&lt;=C890+SETTINGS!$I$2,"⚠ AT RISK","SAFE")))</f>
        <v/>
      </c>
      <c r="AU890" s="11"/>
      <c r="AW890" s="24" t="n">
        <f aca="false">AW889+IF(AND(C890&lt;&gt;"",AO890&lt;&gt;"",OR('REP COMMISSION'!$B$3="",T890='REP COMMISSION'!$B$3,W890='REP COMMISSION'!$B$3,Z890='REP COMMISSION'!$B$3)),1,0)</f>
        <v>0</v>
      </c>
      <c r="AX890" s="24" t="n">
        <f aca="false">AX889+IF(AND(C890&lt;&gt;"",OR(F890="LOC - INITIAL",F890="CONSOLIDATION - UPFRONT COMM",F890="REVERSE - TOTAL FUNDING")),1,0)</f>
        <v>0</v>
      </c>
    </row>
    <row r="891" customFormat="false" ht="15" hidden="false" customHeight="false" outlineLevel="0" collapsed="false">
      <c r="A891" s="25" t="str">
        <f aca="false">IF(C891&lt;&gt;"","F"&amp;COUNT($C$4:C891),"")</f>
        <v/>
      </c>
      <c r="B891" s="26" t="str">
        <f aca="false">IF(OR(F891="LOC - INITIAL",F891="CONSOLIDATION - UPFRONT COMM",F891="REVERSE - TOTAL FUNDING"),A891,"")</f>
        <v/>
      </c>
      <c r="C891" s="27"/>
      <c r="D891" s="28"/>
      <c r="E891" s="28"/>
      <c r="F891" s="28"/>
      <c r="G891" s="29"/>
      <c r="H891" s="30"/>
      <c r="I891" s="28"/>
      <c r="J891" s="31" t="str">
        <f aca="false">IF(AND(G891&lt;&gt;"",H891&lt;&gt;""),G891*H891,"")</f>
        <v/>
      </c>
      <c r="K891" s="28"/>
      <c r="L891" s="32"/>
      <c r="M891" s="32"/>
      <c r="N891" s="31" t="n">
        <f aca="false">IF(OR(G891="",M891=""),0,IF(M891&gt;100,M891,G891*IF(M891&gt;1,M891/100,M891)))</f>
        <v>0</v>
      </c>
      <c r="O891" s="31" t="str">
        <f aca="false">IF(G891="","",G891*IF(L891="",0,IF(L891&gt;1,L891/100,L891))+N891)</f>
        <v/>
      </c>
      <c r="P891" s="28"/>
      <c r="Q891" s="33" t="str">
        <f aca="false">IF(P891="","",IFERROR(VLOOKUP(P891,PARTNERS!$A$2:$B$30,2,0),""))</f>
        <v/>
      </c>
      <c r="R891" s="17" t="str">
        <f aca="false">IF(O891="","",IF(OR(P891="",Q891=""),0,(O891-N891)*IF(Q891&gt;1,Q891/100,Q891)))</f>
        <v/>
      </c>
      <c r="S891" s="31" t="str">
        <f aca="false">IF(O891="","",O891-R891)</f>
        <v/>
      </c>
      <c r="T891" s="28"/>
      <c r="U891" s="34" t="str">
        <f aca="false">IF(T891="","",IFERROR(VLOOKUP(T891,REPS!$A$2:$D$40,2,0),""))</f>
        <v/>
      </c>
      <c r="V891" s="31" t="str">
        <f aca="false">IF(O891="","",IF(U891="",0,O891*IF(U891&gt;1,U891/100,U891)))</f>
        <v/>
      </c>
      <c r="W891" s="28"/>
      <c r="X891" s="34" t="str">
        <f aca="false">IF(W891="","",IFERROR(VLOOKUP(W891,REPS!$A$2:$D$40,3,0),""))</f>
        <v/>
      </c>
      <c r="Y891" s="31" t="str">
        <f aca="false">IF(O891="","",IF(X891="",0,O891*IF(X891&gt;1,X891/100,X891)))</f>
        <v/>
      </c>
      <c r="Z891" s="28"/>
      <c r="AA891" s="34" t="str">
        <f aca="false">IF(Z891="","",IFERROR(VLOOKUP(Z891,REPS!$A$2:$D$40,4,0),""))</f>
        <v/>
      </c>
      <c r="AB891" s="31" t="str">
        <f aca="false">IF(O891="","",IF(AA891="",0,O891*IF(AA891&gt;1,AA891/100,AA891)))</f>
        <v/>
      </c>
      <c r="AC891" s="31" t="str">
        <f aca="false">IF(O891="","",V891+Y891+AB891)</f>
        <v/>
      </c>
      <c r="AD891" s="19" t="str">
        <f aca="false">IF(O891="","",O891-R891-AC891)</f>
        <v/>
      </c>
      <c r="AE891" s="20"/>
      <c r="AF891" s="27"/>
      <c r="AG891" s="21" t="n">
        <f aca="false">IF(OR(AE891="",AE891=0),0,AE891*IF(U891="",0,IF(U891&gt;1,U891/100,U891)))</f>
        <v>0</v>
      </c>
      <c r="AH891" s="21" t="n">
        <f aca="false">IF(OR(AE891="",AE891=0),0,AE891*IF(X891="",0,IF(X891&gt;1,X891/100,X891)))</f>
        <v>0</v>
      </c>
      <c r="AI891" s="21" t="n">
        <f aca="false">IF(OR(AE891="",AE891=0),0,AE891*IF(AA891="",0,IF(AA891&gt;1,AA891/100,AA891)))</f>
        <v>0</v>
      </c>
      <c r="AJ891" s="21" t="n">
        <f aca="false">AG891+AH891+AI891</f>
        <v>0</v>
      </c>
      <c r="AK891" s="21" t="n">
        <f aca="false">IF(OR(AE891="",AE891=0),0,AE891-AJ891)</f>
        <v>0</v>
      </c>
      <c r="AL891" s="19" t="str">
        <f aca="false">IF(AD891="","",AD891-AK891)</f>
        <v/>
      </c>
      <c r="AM891" s="26" t="str">
        <f aca="false">IF(C891="","","Waiting for payment")</f>
        <v/>
      </c>
      <c r="AN891" s="27"/>
      <c r="AO891" s="27"/>
      <c r="AP891" s="35" t="str">
        <f aca="false">IF(OR(C891="",I891="",K891=""),"",IF(K891="Monthly",EDATE(C891,ROUND(I891*SETTINGS!$I$8,0)),WORKDAY(C891,ROUND(I891*SETTINGS!$I$8,0))))</f>
        <v/>
      </c>
      <c r="AQ891" s="26" t="str">
        <f aca="true">IF(C891="","",IF(AND(AP891&lt;&gt;"",TODAY()&gt;=AP891),"Refi Ready",IF(TODAY()-C891&gt;=SETTINGS!$I$11,"Prospecting","Performing")))</f>
        <v/>
      </c>
      <c r="AR891" s="35" t="str">
        <f aca="false">IF(OR(C891="",I891="",K891=""),"",IF(K891="Monthly",EDATE(C891,I891),WORKDAY(C891,I891)))</f>
        <v/>
      </c>
      <c r="AS891" s="28"/>
      <c r="AT891" s="36" t="str">
        <f aca="true">IF(C891="","",IF(AM891="Clawed Back","CLAWED",IF(TODAY()&lt;=C891+SETTINGS!$I$2,"⚠ AT RISK","SAFE")))</f>
        <v/>
      </c>
      <c r="AU891" s="28"/>
      <c r="AW891" s="24" t="n">
        <f aca="false">AW890+IF(AND(C891&lt;&gt;"",AO891&lt;&gt;"",OR('REP COMMISSION'!$B$3="",T891='REP COMMISSION'!$B$3,W891='REP COMMISSION'!$B$3,Z891='REP COMMISSION'!$B$3)),1,0)</f>
        <v>0</v>
      </c>
      <c r="AX891" s="24" t="n">
        <f aca="false">AX890+IF(AND(C891&lt;&gt;"",OR(F891="LOC - INITIAL",F891="CONSOLIDATION - UPFRONT COMM",F891="REVERSE - TOTAL FUNDING")),1,0)</f>
        <v>0</v>
      </c>
    </row>
    <row r="892" customFormat="false" ht="15" hidden="false" customHeight="false" outlineLevel="0" collapsed="false">
      <c r="A892" s="8" t="str">
        <f aca="false">IF(C892&lt;&gt;"","F"&amp;COUNT($C$4:C892),"")</f>
        <v/>
      </c>
      <c r="B892" s="9" t="str">
        <f aca="false">IF(OR(F892="LOC - INITIAL",F892="CONSOLIDATION - UPFRONT COMM",F892="REVERSE - TOTAL FUNDING"),A892,"")</f>
        <v/>
      </c>
      <c r="C892" s="10"/>
      <c r="D892" s="11"/>
      <c r="E892" s="11"/>
      <c r="F892" s="11"/>
      <c r="G892" s="12"/>
      <c r="H892" s="13"/>
      <c r="I892" s="11"/>
      <c r="J892" s="14" t="str">
        <f aca="false">IF(AND(G892&lt;&gt;"",H892&lt;&gt;""),G892*H892,"")</f>
        <v/>
      </c>
      <c r="K892" s="11"/>
      <c r="L892" s="15"/>
      <c r="M892" s="15"/>
      <c r="N892" s="14" t="n">
        <f aca="false">IF(OR(G892="",M892=""),0,IF(M892&gt;100,M892,G892*IF(M892&gt;1,M892/100,M892)))</f>
        <v>0</v>
      </c>
      <c r="O892" s="14" t="str">
        <f aca="false">IF(G892="","",G892*IF(L892="",0,IF(L892&gt;1,L892/100,L892))+N892)</f>
        <v/>
      </c>
      <c r="P892" s="11"/>
      <c r="Q892" s="16" t="str">
        <f aca="false">IF(P892="","",IFERROR(VLOOKUP(P892,PARTNERS!$A$2:$B$30,2,0),""))</f>
        <v/>
      </c>
      <c r="R892" s="17" t="str">
        <f aca="false">IF(O892="","",IF(OR(P892="",Q892=""),0,(O892-N892)*IF(Q892&gt;1,Q892/100,Q892)))</f>
        <v/>
      </c>
      <c r="S892" s="14" t="str">
        <f aca="false">IF(O892="","",O892-R892)</f>
        <v/>
      </c>
      <c r="T892" s="11"/>
      <c r="U892" s="18" t="str">
        <f aca="false">IF(T892="","",IFERROR(VLOOKUP(T892,REPS!$A$2:$D$40,2,0),""))</f>
        <v/>
      </c>
      <c r="V892" s="14" t="str">
        <f aca="false">IF(O892="","",IF(U892="",0,O892*IF(U892&gt;1,U892/100,U892)))</f>
        <v/>
      </c>
      <c r="W892" s="11"/>
      <c r="X892" s="18" t="str">
        <f aca="false">IF(W892="","",IFERROR(VLOOKUP(W892,REPS!$A$2:$D$40,3,0),""))</f>
        <v/>
      </c>
      <c r="Y892" s="14" t="str">
        <f aca="false">IF(O892="","",IF(X892="",0,O892*IF(X892&gt;1,X892/100,X892)))</f>
        <v/>
      </c>
      <c r="Z892" s="11"/>
      <c r="AA892" s="18" t="str">
        <f aca="false">IF(Z892="","",IFERROR(VLOOKUP(Z892,REPS!$A$2:$D$40,4,0),""))</f>
        <v/>
      </c>
      <c r="AB892" s="14" t="str">
        <f aca="false">IF(O892="","",IF(AA892="",0,O892*IF(AA892&gt;1,AA892/100,AA892)))</f>
        <v/>
      </c>
      <c r="AC892" s="14" t="str">
        <f aca="false">IF(O892="","",V892+Y892+AB892)</f>
        <v/>
      </c>
      <c r="AD892" s="19" t="str">
        <f aca="false">IF(O892="","",O892-R892-AC892)</f>
        <v/>
      </c>
      <c r="AE892" s="20"/>
      <c r="AF892" s="10"/>
      <c r="AG892" s="21" t="n">
        <f aca="false">IF(OR(AE892="",AE892=0),0,AE892*IF(U892="",0,IF(U892&gt;1,U892/100,U892)))</f>
        <v>0</v>
      </c>
      <c r="AH892" s="21" t="n">
        <f aca="false">IF(OR(AE892="",AE892=0),0,AE892*IF(X892="",0,IF(X892&gt;1,X892/100,X892)))</f>
        <v>0</v>
      </c>
      <c r="AI892" s="21" t="n">
        <f aca="false">IF(OR(AE892="",AE892=0),0,AE892*IF(AA892="",0,IF(AA892&gt;1,AA892/100,AA892)))</f>
        <v>0</v>
      </c>
      <c r="AJ892" s="21" t="n">
        <f aca="false">AG892+AH892+AI892</f>
        <v>0</v>
      </c>
      <c r="AK892" s="21" t="n">
        <f aca="false">IF(OR(AE892="",AE892=0),0,AE892-AJ892)</f>
        <v>0</v>
      </c>
      <c r="AL892" s="19" t="str">
        <f aca="false">IF(AD892="","",AD892-AK892)</f>
        <v/>
      </c>
      <c r="AM892" s="9" t="str">
        <f aca="false">IF(C892="","","Waiting for payment")</f>
        <v/>
      </c>
      <c r="AN892" s="10"/>
      <c r="AO892" s="10"/>
      <c r="AP892" s="22" t="str">
        <f aca="false">IF(OR(C892="",I892="",K892=""),"",IF(K892="Monthly",EDATE(C892,ROUND(I892*SETTINGS!$I$8,0)),WORKDAY(C892,ROUND(I892*SETTINGS!$I$8,0))))</f>
        <v/>
      </c>
      <c r="AQ892" s="9" t="str">
        <f aca="true">IF(C892="","",IF(AND(AP892&lt;&gt;"",TODAY()&gt;=AP892),"Refi Ready",IF(TODAY()-C892&gt;=SETTINGS!$I$11,"Prospecting","Performing")))</f>
        <v/>
      </c>
      <c r="AR892" s="22" t="str">
        <f aca="false">IF(OR(C892="",I892="",K892=""),"",IF(K892="Monthly",EDATE(C892,I892),WORKDAY(C892,I892)))</f>
        <v/>
      </c>
      <c r="AS892" s="11"/>
      <c r="AT892" s="23" t="str">
        <f aca="true">IF(C892="","",IF(AM892="Clawed Back","CLAWED",IF(TODAY()&lt;=C892+SETTINGS!$I$2,"⚠ AT RISK","SAFE")))</f>
        <v/>
      </c>
      <c r="AU892" s="11"/>
      <c r="AW892" s="24" t="n">
        <f aca="false">AW891+IF(AND(C892&lt;&gt;"",AO892&lt;&gt;"",OR('REP COMMISSION'!$B$3="",T892='REP COMMISSION'!$B$3,W892='REP COMMISSION'!$B$3,Z892='REP COMMISSION'!$B$3)),1,0)</f>
        <v>0</v>
      </c>
      <c r="AX892" s="24" t="n">
        <f aca="false">AX891+IF(AND(C892&lt;&gt;"",OR(F892="LOC - INITIAL",F892="CONSOLIDATION - UPFRONT COMM",F892="REVERSE - TOTAL FUNDING")),1,0)</f>
        <v>0</v>
      </c>
    </row>
    <row r="893" customFormat="false" ht="15" hidden="false" customHeight="false" outlineLevel="0" collapsed="false">
      <c r="A893" s="25" t="str">
        <f aca="false">IF(C893&lt;&gt;"","F"&amp;COUNT($C$4:C893),"")</f>
        <v/>
      </c>
      <c r="B893" s="26" t="str">
        <f aca="false">IF(OR(F893="LOC - INITIAL",F893="CONSOLIDATION - UPFRONT COMM",F893="REVERSE - TOTAL FUNDING"),A893,"")</f>
        <v/>
      </c>
      <c r="C893" s="27"/>
      <c r="D893" s="28"/>
      <c r="E893" s="28"/>
      <c r="F893" s="28"/>
      <c r="G893" s="29"/>
      <c r="H893" s="30"/>
      <c r="I893" s="28"/>
      <c r="J893" s="31" t="str">
        <f aca="false">IF(AND(G893&lt;&gt;"",H893&lt;&gt;""),G893*H893,"")</f>
        <v/>
      </c>
      <c r="K893" s="28"/>
      <c r="L893" s="32"/>
      <c r="M893" s="32"/>
      <c r="N893" s="31" t="n">
        <f aca="false">IF(OR(G893="",M893=""),0,IF(M893&gt;100,M893,G893*IF(M893&gt;1,M893/100,M893)))</f>
        <v>0</v>
      </c>
      <c r="O893" s="31" t="str">
        <f aca="false">IF(G893="","",G893*IF(L893="",0,IF(L893&gt;1,L893/100,L893))+N893)</f>
        <v/>
      </c>
      <c r="P893" s="28"/>
      <c r="Q893" s="33" t="str">
        <f aca="false">IF(P893="","",IFERROR(VLOOKUP(P893,PARTNERS!$A$2:$B$30,2,0),""))</f>
        <v/>
      </c>
      <c r="R893" s="17" t="str">
        <f aca="false">IF(O893="","",IF(OR(P893="",Q893=""),0,(O893-N893)*IF(Q893&gt;1,Q893/100,Q893)))</f>
        <v/>
      </c>
      <c r="S893" s="31" t="str">
        <f aca="false">IF(O893="","",O893-R893)</f>
        <v/>
      </c>
      <c r="T893" s="28"/>
      <c r="U893" s="34" t="str">
        <f aca="false">IF(T893="","",IFERROR(VLOOKUP(T893,REPS!$A$2:$D$40,2,0),""))</f>
        <v/>
      </c>
      <c r="V893" s="31" t="str">
        <f aca="false">IF(O893="","",IF(U893="",0,O893*IF(U893&gt;1,U893/100,U893)))</f>
        <v/>
      </c>
      <c r="W893" s="28"/>
      <c r="X893" s="34" t="str">
        <f aca="false">IF(W893="","",IFERROR(VLOOKUP(W893,REPS!$A$2:$D$40,3,0),""))</f>
        <v/>
      </c>
      <c r="Y893" s="31" t="str">
        <f aca="false">IF(O893="","",IF(X893="",0,O893*IF(X893&gt;1,X893/100,X893)))</f>
        <v/>
      </c>
      <c r="Z893" s="28"/>
      <c r="AA893" s="34" t="str">
        <f aca="false">IF(Z893="","",IFERROR(VLOOKUP(Z893,REPS!$A$2:$D$40,4,0),""))</f>
        <v/>
      </c>
      <c r="AB893" s="31" t="str">
        <f aca="false">IF(O893="","",IF(AA893="",0,O893*IF(AA893&gt;1,AA893/100,AA893)))</f>
        <v/>
      </c>
      <c r="AC893" s="31" t="str">
        <f aca="false">IF(O893="","",V893+Y893+AB893)</f>
        <v/>
      </c>
      <c r="AD893" s="19" t="str">
        <f aca="false">IF(O893="","",O893-R893-AC893)</f>
        <v/>
      </c>
      <c r="AE893" s="20"/>
      <c r="AF893" s="27"/>
      <c r="AG893" s="21" t="n">
        <f aca="false">IF(OR(AE893="",AE893=0),0,AE893*IF(U893="",0,IF(U893&gt;1,U893/100,U893)))</f>
        <v>0</v>
      </c>
      <c r="AH893" s="21" t="n">
        <f aca="false">IF(OR(AE893="",AE893=0),0,AE893*IF(X893="",0,IF(X893&gt;1,X893/100,X893)))</f>
        <v>0</v>
      </c>
      <c r="AI893" s="21" t="n">
        <f aca="false">IF(OR(AE893="",AE893=0),0,AE893*IF(AA893="",0,IF(AA893&gt;1,AA893/100,AA893)))</f>
        <v>0</v>
      </c>
      <c r="AJ893" s="21" t="n">
        <f aca="false">AG893+AH893+AI893</f>
        <v>0</v>
      </c>
      <c r="AK893" s="21" t="n">
        <f aca="false">IF(OR(AE893="",AE893=0),0,AE893-AJ893)</f>
        <v>0</v>
      </c>
      <c r="AL893" s="19" t="str">
        <f aca="false">IF(AD893="","",AD893-AK893)</f>
        <v/>
      </c>
      <c r="AM893" s="26" t="str">
        <f aca="false">IF(C893="","","Waiting for payment")</f>
        <v/>
      </c>
      <c r="AN893" s="27"/>
      <c r="AO893" s="27"/>
      <c r="AP893" s="35" t="str">
        <f aca="false">IF(OR(C893="",I893="",K893=""),"",IF(K893="Monthly",EDATE(C893,ROUND(I893*SETTINGS!$I$8,0)),WORKDAY(C893,ROUND(I893*SETTINGS!$I$8,0))))</f>
        <v/>
      </c>
      <c r="AQ893" s="26" t="str">
        <f aca="true">IF(C893="","",IF(AND(AP893&lt;&gt;"",TODAY()&gt;=AP893),"Refi Ready",IF(TODAY()-C893&gt;=SETTINGS!$I$11,"Prospecting","Performing")))</f>
        <v/>
      </c>
      <c r="AR893" s="35" t="str">
        <f aca="false">IF(OR(C893="",I893="",K893=""),"",IF(K893="Monthly",EDATE(C893,I893),WORKDAY(C893,I893)))</f>
        <v/>
      </c>
      <c r="AS893" s="28"/>
      <c r="AT893" s="36" t="str">
        <f aca="true">IF(C893="","",IF(AM893="Clawed Back","CLAWED",IF(TODAY()&lt;=C893+SETTINGS!$I$2,"⚠ AT RISK","SAFE")))</f>
        <v/>
      </c>
      <c r="AU893" s="28"/>
      <c r="AW893" s="24" t="n">
        <f aca="false">AW892+IF(AND(C893&lt;&gt;"",AO893&lt;&gt;"",OR('REP COMMISSION'!$B$3="",T893='REP COMMISSION'!$B$3,W893='REP COMMISSION'!$B$3,Z893='REP COMMISSION'!$B$3)),1,0)</f>
        <v>0</v>
      </c>
      <c r="AX893" s="24" t="n">
        <f aca="false">AX892+IF(AND(C893&lt;&gt;"",OR(F893="LOC - INITIAL",F893="CONSOLIDATION - UPFRONT COMM",F893="REVERSE - TOTAL FUNDING")),1,0)</f>
        <v>0</v>
      </c>
    </row>
    <row r="894" customFormat="false" ht="15" hidden="false" customHeight="false" outlineLevel="0" collapsed="false">
      <c r="A894" s="8" t="str">
        <f aca="false">IF(C894&lt;&gt;"","F"&amp;COUNT($C$4:C894),"")</f>
        <v/>
      </c>
      <c r="B894" s="9" t="str">
        <f aca="false">IF(OR(F894="LOC - INITIAL",F894="CONSOLIDATION - UPFRONT COMM",F894="REVERSE - TOTAL FUNDING"),A894,"")</f>
        <v/>
      </c>
      <c r="C894" s="10"/>
      <c r="D894" s="11"/>
      <c r="E894" s="11"/>
      <c r="F894" s="11"/>
      <c r="G894" s="12"/>
      <c r="H894" s="13"/>
      <c r="I894" s="11"/>
      <c r="J894" s="14" t="str">
        <f aca="false">IF(AND(G894&lt;&gt;"",H894&lt;&gt;""),G894*H894,"")</f>
        <v/>
      </c>
      <c r="K894" s="11"/>
      <c r="L894" s="15"/>
      <c r="M894" s="15"/>
      <c r="N894" s="14" t="n">
        <f aca="false">IF(OR(G894="",M894=""),0,IF(M894&gt;100,M894,G894*IF(M894&gt;1,M894/100,M894)))</f>
        <v>0</v>
      </c>
      <c r="O894" s="14" t="str">
        <f aca="false">IF(G894="","",G894*IF(L894="",0,IF(L894&gt;1,L894/100,L894))+N894)</f>
        <v/>
      </c>
      <c r="P894" s="11"/>
      <c r="Q894" s="16" t="str">
        <f aca="false">IF(P894="","",IFERROR(VLOOKUP(P894,PARTNERS!$A$2:$B$30,2,0),""))</f>
        <v/>
      </c>
      <c r="R894" s="17" t="str">
        <f aca="false">IF(O894="","",IF(OR(P894="",Q894=""),0,(O894-N894)*IF(Q894&gt;1,Q894/100,Q894)))</f>
        <v/>
      </c>
      <c r="S894" s="14" t="str">
        <f aca="false">IF(O894="","",O894-R894)</f>
        <v/>
      </c>
      <c r="T894" s="11"/>
      <c r="U894" s="18" t="str">
        <f aca="false">IF(T894="","",IFERROR(VLOOKUP(T894,REPS!$A$2:$D$40,2,0),""))</f>
        <v/>
      </c>
      <c r="V894" s="14" t="str">
        <f aca="false">IF(O894="","",IF(U894="",0,O894*IF(U894&gt;1,U894/100,U894)))</f>
        <v/>
      </c>
      <c r="W894" s="11"/>
      <c r="X894" s="18" t="str">
        <f aca="false">IF(W894="","",IFERROR(VLOOKUP(W894,REPS!$A$2:$D$40,3,0),""))</f>
        <v/>
      </c>
      <c r="Y894" s="14" t="str">
        <f aca="false">IF(O894="","",IF(X894="",0,O894*IF(X894&gt;1,X894/100,X894)))</f>
        <v/>
      </c>
      <c r="Z894" s="11"/>
      <c r="AA894" s="18" t="str">
        <f aca="false">IF(Z894="","",IFERROR(VLOOKUP(Z894,REPS!$A$2:$D$40,4,0),""))</f>
        <v/>
      </c>
      <c r="AB894" s="14" t="str">
        <f aca="false">IF(O894="","",IF(AA894="",0,O894*IF(AA894&gt;1,AA894/100,AA894)))</f>
        <v/>
      </c>
      <c r="AC894" s="14" t="str">
        <f aca="false">IF(O894="","",V894+Y894+AB894)</f>
        <v/>
      </c>
      <c r="AD894" s="19" t="str">
        <f aca="false">IF(O894="","",O894-R894-AC894)</f>
        <v/>
      </c>
      <c r="AE894" s="20"/>
      <c r="AF894" s="10"/>
      <c r="AG894" s="21" t="n">
        <f aca="false">IF(OR(AE894="",AE894=0),0,AE894*IF(U894="",0,IF(U894&gt;1,U894/100,U894)))</f>
        <v>0</v>
      </c>
      <c r="AH894" s="21" t="n">
        <f aca="false">IF(OR(AE894="",AE894=0),0,AE894*IF(X894="",0,IF(X894&gt;1,X894/100,X894)))</f>
        <v>0</v>
      </c>
      <c r="AI894" s="21" t="n">
        <f aca="false">IF(OR(AE894="",AE894=0),0,AE894*IF(AA894="",0,IF(AA894&gt;1,AA894/100,AA894)))</f>
        <v>0</v>
      </c>
      <c r="AJ894" s="21" t="n">
        <f aca="false">AG894+AH894+AI894</f>
        <v>0</v>
      </c>
      <c r="AK894" s="21" t="n">
        <f aca="false">IF(OR(AE894="",AE894=0),0,AE894-AJ894)</f>
        <v>0</v>
      </c>
      <c r="AL894" s="19" t="str">
        <f aca="false">IF(AD894="","",AD894-AK894)</f>
        <v/>
      </c>
      <c r="AM894" s="9" t="str">
        <f aca="false">IF(C894="","","Waiting for payment")</f>
        <v/>
      </c>
      <c r="AN894" s="10"/>
      <c r="AO894" s="10"/>
      <c r="AP894" s="22" t="str">
        <f aca="false">IF(OR(C894="",I894="",K894=""),"",IF(K894="Monthly",EDATE(C894,ROUND(I894*SETTINGS!$I$8,0)),WORKDAY(C894,ROUND(I894*SETTINGS!$I$8,0))))</f>
        <v/>
      </c>
      <c r="AQ894" s="9" t="str">
        <f aca="true">IF(C894="","",IF(AND(AP894&lt;&gt;"",TODAY()&gt;=AP894),"Refi Ready",IF(TODAY()-C894&gt;=SETTINGS!$I$11,"Prospecting","Performing")))</f>
        <v/>
      </c>
      <c r="AR894" s="22" t="str">
        <f aca="false">IF(OR(C894="",I894="",K894=""),"",IF(K894="Monthly",EDATE(C894,I894),WORKDAY(C894,I894)))</f>
        <v/>
      </c>
      <c r="AS894" s="11"/>
      <c r="AT894" s="23" t="str">
        <f aca="true">IF(C894="","",IF(AM894="Clawed Back","CLAWED",IF(TODAY()&lt;=C894+SETTINGS!$I$2,"⚠ AT RISK","SAFE")))</f>
        <v/>
      </c>
      <c r="AU894" s="11"/>
      <c r="AW894" s="24" t="n">
        <f aca="false">AW893+IF(AND(C894&lt;&gt;"",AO894&lt;&gt;"",OR('REP COMMISSION'!$B$3="",T894='REP COMMISSION'!$B$3,W894='REP COMMISSION'!$B$3,Z894='REP COMMISSION'!$B$3)),1,0)</f>
        <v>0</v>
      </c>
      <c r="AX894" s="24" t="n">
        <f aca="false">AX893+IF(AND(C894&lt;&gt;"",OR(F894="LOC - INITIAL",F894="CONSOLIDATION - UPFRONT COMM",F894="REVERSE - TOTAL FUNDING")),1,0)</f>
        <v>0</v>
      </c>
    </row>
    <row r="895" customFormat="false" ht="15" hidden="false" customHeight="false" outlineLevel="0" collapsed="false">
      <c r="A895" s="25" t="str">
        <f aca="false">IF(C895&lt;&gt;"","F"&amp;COUNT($C$4:C895),"")</f>
        <v/>
      </c>
      <c r="B895" s="26" t="str">
        <f aca="false">IF(OR(F895="LOC - INITIAL",F895="CONSOLIDATION - UPFRONT COMM",F895="REVERSE - TOTAL FUNDING"),A895,"")</f>
        <v/>
      </c>
      <c r="C895" s="27"/>
      <c r="D895" s="28"/>
      <c r="E895" s="28"/>
      <c r="F895" s="28"/>
      <c r="G895" s="29"/>
      <c r="H895" s="30"/>
      <c r="I895" s="28"/>
      <c r="J895" s="31" t="str">
        <f aca="false">IF(AND(G895&lt;&gt;"",H895&lt;&gt;""),G895*H895,"")</f>
        <v/>
      </c>
      <c r="K895" s="28"/>
      <c r="L895" s="32"/>
      <c r="M895" s="32"/>
      <c r="N895" s="31" t="n">
        <f aca="false">IF(OR(G895="",M895=""),0,IF(M895&gt;100,M895,G895*IF(M895&gt;1,M895/100,M895)))</f>
        <v>0</v>
      </c>
      <c r="O895" s="31" t="str">
        <f aca="false">IF(G895="","",G895*IF(L895="",0,IF(L895&gt;1,L895/100,L895))+N895)</f>
        <v/>
      </c>
      <c r="P895" s="28"/>
      <c r="Q895" s="33" t="str">
        <f aca="false">IF(P895="","",IFERROR(VLOOKUP(P895,PARTNERS!$A$2:$B$30,2,0),""))</f>
        <v/>
      </c>
      <c r="R895" s="17" t="str">
        <f aca="false">IF(O895="","",IF(OR(P895="",Q895=""),0,(O895-N895)*IF(Q895&gt;1,Q895/100,Q895)))</f>
        <v/>
      </c>
      <c r="S895" s="31" t="str">
        <f aca="false">IF(O895="","",O895-R895)</f>
        <v/>
      </c>
      <c r="T895" s="28"/>
      <c r="U895" s="34" t="str">
        <f aca="false">IF(T895="","",IFERROR(VLOOKUP(T895,REPS!$A$2:$D$40,2,0),""))</f>
        <v/>
      </c>
      <c r="V895" s="31" t="str">
        <f aca="false">IF(O895="","",IF(U895="",0,O895*IF(U895&gt;1,U895/100,U895)))</f>
        <v/>
      </c>
      <c r="W895" s="28"/>
      <c r="X895" s="34" t="str">
        <f aca="false">IF(W895="","",IFERROR(VLOOKUP(W895,REPS!$A$2:$D$40,3,0),""))</f>
        <v/>
      </c>
      <c r="Y895" s="31" t="str">
        <f aca="false">IF(O895="","",IF(X895="",0,O895*IF(X895&gt;1,X895/100,X895)))</f>
        <v/>
      </c>
      <c r="Z895" s="28"/>
      <c r="AA895" s="34" t="str">
        <f aca="false">IF(Z895="","",IFERROR(VLOOKUP(Z895,REPS!$A$2:$D$40,4,0),""))</f>
        <v/>
      </c>
      <c r="AB895" s="31" t="str">
        <f aca="false">IF(O895="","",IF(AA895="",0,O895*IF(AA895&gt;1,AA895/100,AA895)))</f>
        <v/>
      </c>
      <c r="AC895" s="31" t="str">
        <f aca="false">IF(O895="","",V895+Y895+AB895)</f>
        <v/>
      </c>
      <c r="AD895" s="19" t="str">
        <f aca="false">IF(O895="","",O895-R895-AC895)</f>
        <v/>
      </c>
      <c r="AE895" s="20"/>
      <c r="AF895" s="27"/>
      <c r="AG895" s="21" t="n">
        <f aca="false">IF(OR(AE895="",AE895=0),0,AE895*IF(U895="",0,IF(U895&gt;1,U895/100,U895)))</f>
        <v>0</v>
      </c>
      <c r="AH895" s="21" t="n">
        <f aca="false">IF(OR(AE895="",AE895=0),0,AE895*IF(X895="",0,IF(X895&gt;1,X895/100,X895)))</f>
        <v>0</v>
      </c>
      <c r="AI895" s="21" t="n">
        <f aca="false">IF(OR(AE895="",AE895=0),0,AE895*IF(AA895="",0,IF(AA895&gt;1,AA895/100,AA895)))</f>
        <v>0</v>
      </c>
      <c r="AJ895" s="21" t="n">
        <f aca="false">AG895+AH895+AI895</f>
        <v>0</v>
      </c>
      <c r="AK895" s="21" t="n">
        <f aca="false">IF(OR(AE895="",AE895=0),0,AE895-AJ895)</f>
        <v>0</v>
      </c>
      <c r="AL895" s="19" t="str">
        <f aca="false">IF(AD895="","",AD895-AK895)</f>
        <v/>
      </c>
      <c r="AM895" s="26" t="str">
        <f aca="false">IF(C895="","","Waiting for payment")</f>
        <v/>
      </c>
      <c r="AN895" s="27"/>
      <c r="AO895" s="27"/>
      <c r="AP895" s="35" t="str">
        <f aca="false">IF(OR(C895="",I895="",K895=""),"",IF(K895="Monthly",EDATE(C895,ROUND(I895*SETTINGS!$I$8,0)),WORKDAY(C895,ROUND(I895*SETTINGS!$I$8,0))))</f>
        <v/>
      </c>
      <c r="AQ895" s="26" t="str">
        <f aca="true">IF(C895="","",IF(AND(AP895&lt;&gt;"",TODAY()&gt;=AP895),"Refi Ready",IF(TODAY()-C895&gt;=SETTINGS!$I$11,"Prospecting","Performing")))</f>
        <v/>
      </c>
      <c r="AR895" s="35" t="str">
        <f aca="false">IF(OR(C895="",I895="",K895=""),"",IF(K895="Monthly",EDATE(C895,I895),WORKDAY(C895,I895)))</f>
        <v/>
      </c>
      <c r="AS895" s="28"/>
      <c r="AT895" s="36" t="str">
        <f aca="true">IF(C895="","",IF(AM895="Clawed Back","CLAWED",IF(TODAY()&lt;=C895+SETTINGS!$I$2,"⚠ AT RISK","SAFE")))</f>
        <v/>
      </c>
      <c r="AU895" s="28"/>
      <c r="AW895" s="24" t="n">
        <f aca="false">AW894+IF(AND(C895&lt;&gt;"",AO895&lt;&gt;"",OR('REP COMMISSION'!$B$3="",T895='REP COMMISSION'!$B$3,W895='REP COMMISSION'!$B$3,Z895='REP COMMISSION'!$B$3)),1,0)</f>
        <v>0</v>
      </c>
      <c r="AX895" s="24" t="n">
        <f aca="false">AX894+IF(AND(C895&lt;&gt;"",OR(F895="LOC - INITIAL",F895="CONSOLIDATION - UPFRONT COMM",F895="REVERSE - TOTAL FUNDING")),1,0)</f>
        <v>0</v>
      </c>
    </row>
    <row r="896" customFormat="false" ht="15" hidden="false" customHeight="false" outlineLevel="0" collapsed="false">
      <c r="A896" s="8" t="str">
        <f aca="false">IF(C896&lt;&gt;"","F"&amp;COUNT($C$4:C896),"")</f>
        <v/>
      </c>
      <c r="B896" s="9" t="str">
        <f aca="false">IF(OR(F896="LOC - INITIAL",F896="CONSOLIDATION - UPFRONT COMM",F896="REVERSE - TOTAL FUNDING"),A896,"")</f>
        <v/>
      </c>
      <c r="C896" s="10"/>
      <c r="D896" s="11"/>
      <c r="E896" s="11"/>
      <c r="F896" s="11"/>
      <c r="G896" s="12"/>
      <c r="H896" s="13"/>
      <c r="I896" s="11"/>
      <c r="J896" s="14" t="str">
        <f aca="false">IF(AND(G896&lt;&gt;"",H896&lt;&gt;""),G896*H896,"")</f>
        <v/>
      </c>
      <c r="K896" s="11"/>
      <c r="L896" s="15"/>
      <c r="M896" s="15"/>
      <c r="N896" s="14" t="n">
        <f aca="false">IF(OR(G896="",M896=""),0,IF(M896&gt;100,M896,G896*IF(M896&gt;1,M896/100,M896)))</f>
        <v>0</v>
      </c>
      <c r="O896" s="14" t="str">
        <f aca="false">IF(G896="","",G896*IF(L896="",0,IF(L896&gt;1,L896/100,L896))+N896)</f>
        <v/>
      </c>
      <c r="P896" s="11"/>
      <c r="Q896" s="16" t="str">
        <f aca="false">IF(P896="","",IFERROR(VLOOKUP(P896,PARTNERS!$A$2:$B$30,2,0),""))</f>
        <v/>
      </c>
      <c r="R896" s="17" t="str">
        <f aca="false">IF(O896="","",IF(OR(P896="",Q896=""),0,(O896-N896)*IF(Q896&gt;1,Q896/100,Q896)))</f>
        <v/>
      </c>
      <c r="S896" s="14" t="str">
        <f aca="false">IF(O896="","",O896-R896)</f>
        <v/>
      </c>
      <c r="T896" s="11"/>
      <c r="U896" s="18" t="str">
        <f aca="false">IF(T896="","",IFERROR(VLOOKUP(T896,REPS!$A$2:$D$40,2,0),""))</f>
        <v/>
      </c>
      <c r="V896" s="14" t="str">
        <f aca="false">IF(O896="","",IF(U896="",0,O896*IF(U896&gt;1,U896/100,U896)))</f>
        <v/>
      </c>
      <c r="W896" s="11"/>
      <c r="X896" s="18" t="str">
        <f aca="false">IF(W896="","",IFERROR(VLOOKUP(W896,REPS!$A$2:$D$40,3,0),""))</f>
        <v/>
      </c>
      <c r="Y896" s="14" t="str">
        <f aca="false">IF(O896="","",IF(X896="",0,O896*IF(X896&gt;1,X896/100,X896)))</f>
        <v/>
      </c>
      <c r="Z896" s="11"/>
      <c r="AA896" s="18" t="str">
        <f aca="false">IF(Z896="","",IFERROR(VLOOKUP(Z896,REPS!$A$2:$D$40,4,0),""))</f>
        <v/>
      </c>
      <c r="AB896" s="14" t="str">
        <f aca="false">IF(O896="","",IF(AA896="",0,O896*IF(AA896&gt;1,AA896/100,AA896)))</f>
        <v/>
      </c>
      <c r="AC896" s="14" t="str">
        <f aca="false">IF(O896="","",V896+Y896+AB896)</f>
        <v/>
      </c>
      <c r="AD896" s="19" t="str">
        <f aca="false">IF(O896="","",O896-R896-AC896)</f>
        <v/>
      </c>
      <c r="AE896" s="20"/>
      <c r="AF896" s="10"/>
      <c r="AG896" s="21" t="n">
        <f aca="false">IF(OR(AE896="",AE896=0),0,AE896*IF(U896="",0,IF(U896&gt;1,U896/100,U896)))</f>
        <v>0</v>
      </c>
      <c r="AH896" s="21" t="n">
        <f aca="false">IF(OR(AE896="",AE896=0),0,AE896*IF(X896="",0,IF(X896&gt;1,X896/100,X896)))</f>
        <v>0</v>
      </c>
      <c r="AI896" s="21" t="n">
        <f aca="false">IF(OR(AE896="",AE896=0),0,AE896*IF(AA896="",0,IF(AA896&gt;1,AA896/100,AA896)))</f>
        <v>0</v>
      </c>
      <c r="AJ896" s="21" t="n">
        <f aca="false">AG896+AH896+AI896</f>
        <v>0</v>
      </c>
      <c r="AK896" s="21" t="n">
        <f aca="false">IF(OR(AE896="",AE896=0),0,AE896-AJ896)</f>
        <v>0</v>
      </c>
      <c r="AL896" s="19" t="str">
        <f aca="false">IF(AD896="","",AD896-AK896)</f>
        <v/>
      </c>
      <c r="AM896" s="9" t="str">
        <f aca="false">IF(C896="","","Waiting for payment")</f>
        <v/>
      </c>
      <c r="AN896" s="10"/>
      <c r="AO896" s="10"/>
      <c r="AP896" s="22" t="str">
        <f aca="false">IF(OR(C896="",I896="",K896=""),"",IF(K896="Monthly",EDATE(C896,ROUND(I896*SETTINGS!$I$8,0)),WORKDAY(C896,ROUND(I896*SETTINGS!$I$8,0))))</f>
        <v/>
      </c>
      <c r="AQ896" s="9" t="str">
        <f aca="true">IF(C896="","",IF(AND(AP896&lt;&gt;"",TODAY()&gt;=AP896),"Refi Ready",IF(TODAY()-C896&gt;=SETTINGS!$I$11,"Prospecting","Performing")))</f>
        <v/>
      </c>
      <c r="AR896" s="22" t="str">
        <f aca="false">IF(OR(C896="",I896="",K896=""),"",IF(K896="Monthly",EDATE(C896,I896),WORKDAY(C896,I896)))</f>
        <v/>
      </c>
      <c r="AS896" s="11"/>
      <c r="AT896" s="23" t="str">
        <f aca="true">IF(C896="","",IF(AM896="Clawed Back","CLAWED",IF(TODAY()&lt;=C896+SETTINGS!$I$2,"⚠ AT RISK","SAFE")))</f>
        <v/>
      </c>
      <c r="AU896" s="11"/>
      <c r="AW896" s="24" t="n">
        <f aca="false">AW895+IF(AND(C896&lt;&gt;"",AO896&lt;&gt;"",OR('REP COMMISSION'!$B$3="",T896='REP COMMISSION'!$B$3,W896='REP COMMISSION'!$B$3,Z896='REP COMMISSION'!$B$3)),1,0)</f>
        <v>0</v>
      </c>
      <c r="AX896" s="24" t="n">
        <f aca="false">AX895+IF(AND(C896&lt;&gt;"",OR(F896="LOC - INITIAL",F896="CONSOLIDATION - UPFRONT COMM",F896="REVERSE - TOTAL FUNDING")),1,0)</f>
        <v>0</v>
      </c>
    </row>
    <row r="897" customFormat="false" ht="15" hidden="false" customHeight="false" outlineLevel="0" collapsed="false">
      <c r="A897" s="25" t="str">
        <f aca="false">IF(C897&lt;&gt;"","F"&amp;COUNT($C$4:C897),"")</f>
        <v/>
      </c>
      <c r="B897" s="26" t="str">
        <f aca="false">IF(OR(F897="LOC - INITIAL",F897="CONSOLIDATION - UPFRONT COMM",F897="REVERSE - TOTAL FUNDING"),A897,"")</f>
        <v/>
      </c>
      <c r="C897" s="27"/>
      <c r="D897" s="28"/>
      <c r="E897" s="28"/>
      <c r="F897" s="28"/>
      <c r="G897" s="29"/>
      <c r="H897" s="30"/>
      <c r="I897" s="28"/>
      <c r="J897" s="31" t="str">
        <f aca="false">IF(AND(G897&lt;&gt;"",H897&lt;&gt;""),G897*H897,"")</f>
        <v/>
      </c>
      <c r="K897" s="28"/>
      <c r="L897" s="32"/>
      <c r="M897" s="32"/>
      <c r="N897" s="31" t="n">
        <f aca="false">IF(OR(G897="",M897=""),0,IF(M897&gt;100,M897,G897*IF(M897&gt;1,M897/100,M897)))</f>
        <v>0</v>
      </c>
      <c r="O897" s="31" t="str">
        <f aca="false">IF(G897="","",G897*IF(L897="",0,IF(L897&gt;1,L897/100,L897))+N897)</f>
        <v/>
      </c>
      <c r="P897" s="28"/>
      <c r="Q897" s="33" t="str">
        <f aca="false">IF(P897="","",IFERROR(VLOOKUP(P897,PARTNERS!$A$2:$B$30,2,0),""))</f>
        <v/>
      </c>
      <c r="R897" s="17" t="str">
        <f aca="false">IF(O897="","",IF(OR(P897="",Q897=""),0,(O897-N897)*IF(Q897&gt;1,Q897/100,Q897)))</f>
        <v/>
      </c>
      <c r="S897" s="31" t="str">
        <f aca="false">IF(O897="","",O897-R897)</f>
        <v/>
      </c>
      <c r="T897" s="28"/>
      <c r="U897" s="34" t="str">
        <f aca="false">IF(T897="","",IFERROR(VLOOKUP(T897,REPS!$A$2:$D$40,2,0),""))</f>
        <v/>
      </c>
      <c r="V897" s="31" t="str">
        <f aca="false">IF(O897="","",IF(U897="",0,O897*IF(U897&gt;1,U897/100,U897)))</f>
        <v/>
      </c>
      <c r="W897" s="28"/>
      <c r="X897" s="34" t="str">
        <f aca="false">IF(W897="","",IFERROR(VLOOKUP(W897,REPS!$A$2:$D$40,3,0),""))</f>
        <v/>
      </c>
      <c r="Y897" s="31" t="str">
        <f aca="false">IF(O897="","",IF(X897="",0,O897*IF(X897&gt;1,X897/100,X897)))</f>
        <v/>
      </c>
      <c r="Z897" s="28"/>
      <c r="AA897" s="34" t="str">
        <f aca="false">IF(Z897="","",IFERROR(VLOOKUP(Z897,REPS!$A$2:$D$40,4,0),""))</f>
        <v/>
      </c>
      <c r="AB897" s="31" t="str">
        <f aca="false">IF(O897="","",IF(AA897="",0,O897*IF(AA897&gt;1,AA897/100,AA897)))</f>
        <v/>
      </c>
      <c r="AC897" s="31" t="str">
        <f aca="false">IF(O897="","",V897+Y897+AB897)</f>
        <v/>
      </c>
      <c r="AD897" s="19" t="str">
        <f aca="false">IF(O897="","",O897-R897-AC897)</f>
        <v/>
      </c>
      <c r="AE897" s="20"/>
      <c r="AF897" s="27"/>
      <c r="AG897" s="21" t="n">
        <f aca="false">IF(OR(AE897="",AE897=0),0,AE897*IF(U897="",0,IF(U897&gt;1,U897/100,U897)))</f>
        <v>0</v>
      </c>
      <c r="AH897" s="21" t="n">
        <f aca="false">IF(OR(AE897="",AE897=0),0,AE897*IF(X897="",0,IF(X897&gt;1,X897/100,X897)))</f>
        <v>0</v>
      </c>
      <c r="AI897" s="21" t="n">
        <f aca="false">IF(OR(AE897="",AE897=0),0,AE897*IF(AA897="",0,IF(AA897&gt;1,AA897/100,AA897)))</f>
        <v>0</v>
      </c>
      <c r="AJ897" s="21" t="n">
        <f aca="false">AG897+AH897+AI897</f>
        <v>0</v>
      </c>
      <c r="AK897" s="21" t="n">
        <f aca="false">IF(OR(AE897="",AE897=0),0,AE897-AJ897)</f>
        <v>0</v>
      </c>
      <c r="AL897" s="19" t="str">
        <f aca="false">IF(AD897="","",AD897-AK897)</f>
        <v/>
      </c>
      <c r="AM897" s="26" t="str">
        <f aca="false">IF(C897="","","Waiting for payment")</f>
        <v/>
      </c>
      <c r="AN897" s="27"/>
      <c r="AO897" s="27"/>
      <c r="AP897" s="35" t="str">
        <f aca="false">IF(OR(C897="",I897="",K897=""),"",IF(K897="Monthly",EDATE(C897,ROUND(I897*SETTINGS!$I$8,0)),WORKDAY(C897,ROUND(I897*SETTINGS!$I$8,0))))</f>
        <v/>
      </c>
      <c r="AQ897" s="26" t="str">
        <f aca="true">IF(C897="","",IF(AND(AP897&lt;&gt;"",TODAY()&gt;=AP897),"Refi Ready",IF(TODAY()-C897&gt;=SETTINGS!$I$11,"Prospecting","Performing")))</f>
        <v/>
      </c>
      <c r="AR897" s="35" t="str">
        <f aca="false">IF(OR(C897="",I897="",K897=""),"",IF(K897="Monthly",EDATE(C897,I897),WORKDAY(C897,I897)))</f>
        <v/>
      </c>
      <c r="AS897" s="28"/>
      <c r="AT897" s="36" t="str">
        <f aca="true">IF(C897="","",IF(AM897="Clawed Back","CLAWED",IF(TODAY()&lt;=C897+SETTINGS!$I$2,"⚠ AT RISK","SAFE")))</f>
        <v/>
      </c>
      <c r="AU897" s="28"/>
      <c r="AW897" s="24" t="n">
        <f aca="false">AW896+IF(AND(C897&lt;&gt;"",AO897&lt;&gt;"",OR('REP COMMISSION'!$B$3="",T897='REP COMMISSION'!$B$3,W897='REP COMMISSION'!$B$3,Z897='REP COMMISSION'!$B$3)),1,0)</f>
        <v>0</v>
      </c>
      <c r="AX897" s="24" t="n">
        <f aca="false">AX896+IF(AND(C897&lt;&gt;"",OR(F897="LOC - INITIAL",F897="CONSOLIDATION - UPFRONT COMM",F897="REVERSE - TOTAL FUNDING")),1,0)</f>
        <v>0</v>
      </c>
    </row>
    <row r="898" customFormat="false" ht="15" hidden="false" customHeight="false" outlineLevel="0" collapsed="false">
      <c r="A898" s="8" t="str">
        <f aca="false">IF(C898&lt;&gt;"","F"&amp;COUNT($C$4:C898),"")</f>
        <v/>
      </c>
      <c r="B898" s="9" t="str">
        <f aca="false">IF(OR(F898="LOC - INITIAL",F898="CONSOLIDATION - UPFRONT COMM",F898="REVERSE - TOTAL FUNDING"),A898,"")</f>
        <v/>
      </c>
      <c r="C898" s="10"/>
      <c r="D898" s="11"/>
      <c r="E898" s="11"/>
      <c r="F898" s="11"/>
      <c r="G898" s="12"/>
      <c r="H898" s="13"/>
      <c r="I898" s="11"/>
      <c r="J898" s="14" t="str">
        <f aca="false">IF(AND(G898&lt;&gt;"",H898&lt;&gt;""),G898*H898,"")</f>
        <v/>
      </c>
      <c r="K898" s="11"/>
      <c r="L898" s="15"/>
      <c r="M898" s="15"/>
      <c r="N898" s="14" t="n">
        <f aca="false">IF(OR(G898="",M898=""),0,IF(M898&gt;100,M898,G898*IF(M898&gt;1,M898/100,M898)))</f>
        <v>0</v>
      </c>
      <c r="O898" s="14" t="str">
        <f aca="false">IF(G898="","",G898*IF(L898="",0,IF(L898&gt;1,L898/100,L898))+N898)</f>
        <v/>
      </c>
      <c r="P898" s="11"/>
      <c r="Q898" s="16" t="str">
        <f aca="false">IF(P898="","",IFERROR(VLOOKUP(P898,PARTNERS!$A$2:$B$30,2,0),""))</f>
        <v/>
      </c>
      <c r="R898" s="17" t="str">
        <f aca="false">IF(O898="","",IF(OR(P898="",Q898=""),0,(O898-N898)*IF(Q898&gt;1,Q898/100,Q898)))</f>
        <v/>
      </c>
      <c r="S898" s="14" t="str">
        <f aca="false">IF(O898="","",O898-R898)</f>
        <v/>
      </c>
      <c r="T898" s="11"/>
      <c r="U898" s="18" t="str">
        <f aca="false">IF(T898="","",IFERROR(VLOOKUP(T898,REPS!$A$2:$D$40,2,0),""))</f>
        <v/>
      </c>
      <c r="V898" s="14" t="str">
        <f aca="false">IF(O898="","",IF(U898="",0,O898*IF(U898&gt;1,U898/100,U898)))</f>
        <v/>
      </c>
      <c r="W898" s="11"/>
      <c r="X898" s="18" t="str">
        <f aca="false">IF(W898="","",IFERROR(VLOOKUP(W898,REPS!$A$2:$D$40,3,0),""))</f>
        <v/>
      </c>
      <c r="Y898" s="14" t="str">
        <f aca="false">IF(O898="","",IF(X898="",0,O898*IF(X898&gt;1,X898/100,X898)))</f>
        <v/>
      </c>
      <c r="Z898" s="11"/>
      <c r="AA898" s="18" t="str">
        <f aca="false">IF(Z898="","",IFERROR(VLOOKUP(Z898,REPS!$A$2:$D$40,4,0),""))</f>
        <v/>
      </c>
      <c r="AB898" s="14" t="str">
        <f aca="false">IF(O898="","",IF(AA898="",0,O898*IF(AA898&gt;1,AA898/100,AA898)))</f>
        <v/>
      </c>
      <c r="AC898" s="14" t="str">
        <f aca="false">IF(O898="","",V898+Y898+AB898)</f>
        <v/>
      </c>
      <c r="AD898" s="19" t="str">
        <f aca="false">IF(O898="","",O898-R898-AC898)</f>
        <v/>
      </c>
      <c r="AE898" s="20"/>
      <c r="AF898" s="10"/>
      <c r="AG898" s="21" t="n">
        <f aca="false">IF(OR(AE898="",AE898=0),0,AE898*IF(U898="",0,IF(U898&gt;1,U898/100,U898)))</f>
        <v>0</v>
      </c>
      <c r="AH898" s="21" t="n">
        <f aca="false">IF(OR(AE898="",AE898=0),0,AE898*IF(X898="",0,IF(X898&gt;1,X898/100,X898)))</f>
        <v>0</v>
      </c>
      <c r="AI898" s="21" t="n">
        <f aca="false">IF(OR(AE898="",AE898=0),0,AE898*IF(AA898="",0,IF(AA898&gt;1,AA898/100,AA898)))</f>
        <v>0</v>
      </c>
      <c r="AJ898" s="21" t="n">
        <f aca="false">AG898+AH898+AI898</f>
        <v>0</v>
      </c>
      <c r="AK898" s="21" t="n">
        <f aca="false">IF(OR(AE898="",AE898=0),0,AE898-AJ898)</f>
        <v>0</v>
      </c>
      <c r="AL898" s="19" t="str">
        <f aca="false">IF(AD898="","",AD898-AK898)</f>
        <v/>
      </c>
      <c r="AM898" s="9" t="str">
        <f aca="false">IF(C898="","","Waiting for payment")</f>
        <v/>
      </c>
      <c r="AN898" s="10"/>
      <c r="AO898" s="10"/>
      <c r="AP898" s="22" t="str">
        <f aca="false">IF(OR(C898="",I898="",K898=""),"",IF(K898="Monthly",EDATE(C898,ROUND(I898*SETTINGS!$I$8,0)),WORKDAY(C898,ROUND(I898*SETTINGS!$I$8,0))))</f>
        <v/>
      </c>
      <c r="AQ898" s="9" t="str">
        <f aca="true">IF(C898="","",IF(AND(AP898&lt;&gt;"",TODAY()&gt;=AP898),"Refi Ready",IF(TODAY()-C898&gt;=SETTINGS!$I$11,"Prospecting","Performing")))</f>
        <v/>
      </c>
      <c r="AR898" s="22" t="str">
        <f aca="false">IF(OR(C898="",I898="",K898=""),"",IF(K898="Monthly",EDATE(C898,I898),WORKDAY(C898,I898)))</f>
        <v/>
      </c>
      <c r="AS898" s="11"/>
      <c r="AT898" s="23" t="str">
        <f aca="true">IF(C898="","",IF(AM898="Clawed Back","CLAWED",IF(TODAY()&lt;=C898+SETTINGS!$I$2,"⚠ AT RISK","SAFE")))</f>
        <v/>
      </c>
      <c r="AU898" s="11"/>
      <c r="AW898" s="24" t="n">
        <f aca="false">AW897+IF(AND(C898&lt;&gt;"",AO898&lt;&gt;"",OR('REP COMMISSION'!$B$3="",T898='REP COMMISSION'!$B$3,W898='REP COMMISSION'!$B$3,Z898='REP COMMISSION'!$B$3)),1,0)</f>
        <v>0</v>
      </c>
      <c r="AX898" s="24" t="n">
        <f aca="false">AX897+IF(AND(C898&lt;&gt;"",OR(F898="LOC - INITIAL",F898="CONSOLIDATION - UPFRONT COMM",F898="REVERSE - TOTAL FUNDING")),1,0)</f>
        <v>0</v>
      </c>
    </row>
    <row r="899" customFormat="false" ht="15" hidden="false" customHeight="false" outlineLevel="0" collapsed="false">
      <c r="A899" s="25" t="str">
        <f aca="false">IF(C899&lt;&gt;"","F"&amp;COUNT($C$4:C899),"")</f>
        <v/>
      </c>
      <c r="B899" s="26" t="str">
        <f aca="false">IF(OR(F899="LOC - INITIAL",F899="CONSOLIDATION - UPFRONT COMM",F899="REVERSE - TOTAL FUNDING"),A899,"")</f>
        <v/>
      </c>
      <c r="C899" s="27"/>
      <c r="D899" s="28"/>
      <c r="E899" s="28"/>
      <c r="F899" s="28"/>
      <c r="G899" s="29"/>
      <c r="H899" s="30"/>
      <c r="I899" s="28"/>
      <c r="J899" s="31" t="str">
        <f aca="false">IF(AND(G899&lt;&gt;"",H899&lt;&gt;""),G899*H899,"")</f>
        <v/>
      </c>
      <c r="K899" s="28"/>
      <c r="L899" s="32"/>
      <c r="M899" s="32"/>
      <c r="N899" s="31" t="n">
        <f aca="false">IF(OR(G899="",M899=""),0,IF(M899&gt;100,M899,G899*IF(M899&gt;1,M899/100,M899)))</f>
        <v>0</v>
      </c>
      <c r="O899" s="31" t="str">
        <f aca="false">IF(G899="","",G899*IF(L899="",0,IF(L899&gt;1,L899/100,L899))+N899)</f>
        <v/>
      </c>
      <c r="P899" s="28"/>
      <c r="Q899" s="33" t="str">
        <f aca="false">IF(P899="","",IFERROR(VLOOKUP(P899,PARTNERS!$A$2:$B$30,2,0),""))</f>
        <v/>
      </c>
      <c r="R899" s="17" t="str">
        <f aca="false">IF(O899="","",IF(OR(P899="",Q899=""),0,(O899-N899)*IF(Q899&gt;1,Q899/100,Q899)))</f>
        <v/>
      </c>
      <c r="S899" s="31" t="str">
        <f aca="false">IF(O899="","",O899-R899)</f>
        <v/>
      </c>
      <c r="T899" s="28"/>
      <c r="U899" s="34" t="str">
        <f aca="false">IF(T899="","",IFERROR(VLOOKUP(T899,REPS!$A$2:$D$40,2,0),""))</f>
        <v/>
      </c>
      <c r="V899" s="31" t="str">
        <f aca="false">IF(O899="","",IF(U899="",0,O899*IF(U899&gt;1,U899/100,U899)))</f>
        <v/>
      </c>
      <c r="W899" s="28"/>
      <c r="X899" s="34" t="str">
        <f aca="false">IF(W899="","",IFERROR(VLOOKUP(W899,REPS!$A$2:$D$40,3,0),""))</f>
        <v/>
      </c>
      <c r="Y899" s="31" t="str">
        <f aca="false">IF(O899="","",IF(X899="",0,O899*IF(X899&gt;1,X899/100,X899)))</f>
        <v/>
      </c>
      <c r="Z899" s="28"/>
      <c r="AA899" s="34" t="str">
        <f aca="false">IF(Z899="","",IFERROR(VLOOKUP(Z899,REPS!$A$2:$D$40,4,0),""))</f>
        <v/>
      </c>
      <c r="AB899" s="31" t="str">
        <f aca="false">IF(O899="","",IF(AA899="",0,O899*IF(AA899&gt;1,AA899/100,AA899)))</f>
        <v/>
      </c>
      <c r="AC899" s="31" t="str">
        <f aca="false">IF(O899="","",V899+Y899+AB899)</f>
        <v/>
      </c>
      <c r="AD899" s="19" t="str">
        <f aca="false">IF(O899="","",O899-R899-AC899)</f>
        <v/>
      </c>
      <c r="AE899" s="20"/>
      <c r="AF899" s="27"/>
      <c r="AG899" s="21" t="n">
        <f aca="false">IF(OR(AE899="",AE899=0),0,AE899*IF(U899="",0,IF(U899&gt;1,U899/100,U899)))</f>
        <v>0</v>
      </c>
      <c r="AH899" s="21" t="n">
        <f aca="false">IF(OR(AE899="",AE899=0),0,AE899*IF(X899="",0,IF(X899&gt;1,X899/100,X899)))</f>
        <v>0</v>
      </c>
      <c r="AI899" s="21" t="n">
        <f aca="false">IF(OR(AE899="",AE899=0),0,AE899*IF(AA899="",0,IF(AA899&gt;1,AA899/100,AA899)))</f>
        <v>0</v>
      </c>
      <c r="AJ899" s="21" t="n">
        <f aca="false">AG899+AH899+AI899</f>
        <v>0</v>
      </c>
      <c r="AK899" s="21" t="n">
        <f aca="false">IF(OR(AE899="",AE899=0),0,AE899-AJ899)</f>
        <v>0</v>
      </c>
      <c r="AL899" s="19" t="str">
        <f aca="false">IF(AD899="","",AD899-AK899)</f>
        <v/>
      </c>
      <c r="AM899" s="26" t="str">
        <f aca="false">IF(C899="","","Waiting for payment")</f>
        <v/>
      </c>
      <c r="AN899" s="27"/>
      <c r="AO899" s="27"/>
      <c r="AP899" s="35" t="str">
        <f aca="false">IF(OR(C899="",I899="",K899=""),"",IF(K899="Monthly",EDATE(C899,ROUND(I899*SETTINGS!$I$8,0)),WORKDAY(C899,ROUND(I899*SETTINGS!$I$8,0))))</f>
        <v/>
      </c>
      <c r="AQ899" s="26" t="str">
        <f aca="true">IF(C899="","",IF(AND(AP899&lt;&gt;"",TODAY()&gt;=AP899),"Refi Ready",IF(TODAY()-C899&gt;=SETTINGS!$I$11,"Prospecting","Performing")))</f>
        <v/>
      </c>
      <c r="AR899" s="35" t="str">
        <f aca="false">IF(OR(C899="",I899="",K899=""),"",IF(K899="Monthly",EDATE(C899,I899),WORKDAY(C899,I899)))</f>
        <v/>
      </c>
      <c r="AS899" s="28"/>
      <c r="AT899" s="36" t="str">
        <f aca="true">IF(C899="","",IF(AM899="Clawed Back","CLAWED",IF(TODAY()&lt;=C899+SETTINGS!$I$2,"⚠ AT RISK","SAFE")))</f>
        <v/>
      </c>
      <c r="AU899" s="28"/>
      <c r="AW899" s="24" t="n">
        <f aca="false">AW898+IF(AND(C899&lt;&gt;"",AO899&lt;&gt;"",OR('REP COMMISSION'!$B$3="",T899='REP COMMISSION'!$B$3,W899='REP COMMISSION'!$B$3,Z899='REP COMMISSION'!$B$3)),1,0)</f>
        <v>0</v>
      </c>
      <c r="AX899" s="24" t="n">
        <f aca="false">AX898+IF(AND(C899&lt;&gt;"",OR(F899="LOC - INITIAL",F899="CONSOLIDATION - UPFRONT COMM",F899="REVERSE - TOTAL FUNDING")),1,0)</f>
        <v>0</v>
      </c>
    </row>
    <row r="900" customFormat="false" ht="15" hidden="false" customHeight="false" outlineLevel="0" collapsed="false">
      <c r="A900" s="8" t="str">
        <f aca="false">IF(C900&lt;&gt;"","F"&amp;COUNT($C$4:C900),"")</f>
        <v/>
      </c>
      <c r="B900" s="9" t="str">
        <f aca="false">IF(OR(F900="LOC - INITIAL",F900="CONSOLIDATION - UPFRONT COMM",F900="REVERSE - TOTAL FUNDING"),A900,"")</f>
        <v/>
      </c>
      <c r="C900" s="10"/>
      <c r="D900" s="11"/>
      <c r="E900" s="11"/>
      <c r="F900" s="11"/>
      <c r="G900" s="12"/>
      <c r="H900" s="13"/>
      <c r="I900" s="11"/>
      <c r="J900" s="14" t="str">
        <f aca="false">IF(AND(G900&lt;&gt;"",H900&lt;&gt;""),G900*H900,"")</f>
        <v/>
      </c>
      <c r="K900" s="11"/>
      <c r="L900" s="15"/>
      <c r="M900" s="15"/>
      <c r="N900" s="14" t="n">
        <f aca="false">IF(OR(G900="",M900=""),0,IF(M900&gt;100,M900,G900*IF(M900&gt;1,M900/100,M900)))</f>
        <v>0</v>
      </c>
      <c r="O900" s="14" t="str">
        <f aca="false">IF(G900="","",G900*IF(L900="",0,IF(L900&gt;1,L900/100,L900))+N900)</f>
        <v/>
      </c>
      <c r="P900" s="11"/>
      <c r="Q900" s="16" t="str">
        <f aca="false">IF(P900="","",IFERROR(VLOOKUP(P900,PARTNERS!$A$2:$B$30,2,0),""))</f>
        <v/>
      </c>
      <c r="R900" s="17" t="str">
        <f aca="false">IF(O900="","",IF(OR(P900="",Q900=""),0,(O900-N900)*IF(Q900&gt;1,Q900/100,Q900)))</f>
        <v/>
      </c>
      <c r="S900" s="14" t="str">
        <f aca="false">IF(O900="","",O900-R900)</f>
        <v/>
      </c>
      <c r="T900" s="11"/>
      <c r="U900" s="18" t="str">
        <f aca="false">IF(T900="","",IFERROR(VLOOKUP(T900,REPS!$A$2:$D$40,2,0),""))</f>
        <v/>
      </c>
      <c r="V900" s="14" t="str">
        <f aca="false">IF(O900="","",IF(U900="",0,O900*IF(U900&gt;1,U900/100,U900)))</f>
        <v/>
      </c>
      <c r="W900" s="11"/>
      <c r="X900" s="18" t="str">
        <f aca="false">IF(W900="","",IFERROR(VLOOKUP(W900,REPS!$A$2:$D$40,3,0),""))</f>
        <v/>
      </c>
      <c r="Y900" s="14" t="str">
        <f aca="false">IF(O900="","",IF(X900="",0,O900*IF(X900&gt;1,X900/100,X900)))</f>
        <v/>
      </c>
      <c r="Z900" s="11"/>
      <c r="AA900" s="18" t="str">
        <f aca="false">IF(Z900="","",IFERROR(VLOOKUP(Z900,REPS!$A$2:$D$40,4,0),""))</f>
        <v/>
      </c>
      <c r="AB900" s="14" t="str">
        <f aca="false">IF(O900="","",IF(AA900="",0,O900*IF(AA900&gt;1,AA900/100,AA900)))</f>
        <v/>
      </c>
      <c r="AC900" s="14" t="str">
        <f aca="false">IF(O900="","",V900+Y900+AB900)</f>
        <v/>
      </c>
      <c r="AD900" s="19" t="str">
        <f aca="false">IF(O900="","",O900-R900-AC900)</f>
        <v/>
      </c>
      <c r="AE900" s="20"/>
      <c r="AF900" s="10"/>
      <c r="AG900" s="21" t="n">
        <f aca="false">IF(OR(AE900="",AE900=0),0,AE900*IF(U900="",0,IF(U900&gt;1,U900/100,U900)))</f>
        <v>0</v>
      </c>
      <c r="AH900" s="21" t="n">
        <f aca="false">IF(OR(AE900="",AE900=0),0,AE900*IF(X900="",0,IF(X900&gt;1,X900/100,X900)))</f>
        <v>0</v>
      </c>
      <c r="AI900" s="21" t="n">
        <f aca="false">IF(OR(AE900="",AE900=0),0,AE900*IF(AA900="",0,IF(AA900&gt;1,AA900/100,AA900)))</f>
        <v>0</v>
      </c>
      <c r="AJ900" s="21" t="n">
        <f aca="false">AG900+AH900+AI900</f>
        <v>0</v>
      </c>
      <c r="AK900" s="21" t="n">
        <f aca="false">IF(OR(AE900="",AE900=0),0,AE900-AJ900)</f>
        <v>0</v>
      </c>
      <c r="AL900" s="19" t="str">
        <f aca="false">IF(AD900="","",AD900-AK900)</f>
        <v/>
      </c>
      <c r="AM900" s="9" t="str">
        <f aca="false">IF(C900="","","Waiting for payment")</f>
        <v/>
      </c>
      <c r="AN900" s="10"/>
      <c r="AO900" s="10"/>
      <c r="AP900" s="22" t="str">
        <f aca="false">IF(OR(C900="",I900="",K900=""),"",IF(K900="Monthly",EDATE(C900,ROUND(I900*SETTINGS!$I$8,0)),WORKDAY(C900,ROUND(I900*SETTINGS!$I$8,0))))</f>
        <v/>
      </c>
      <c r="AQ900" s="9" t="str">
        <f aca="true">IF(C900="","",IF(AND(AP900&lt;&gt;"",TODAY()&gt;=AP900),"Refi Ready",IF(TODAY()-C900&gt;=SETTINGS!$I$11,"Prospecting","Performing")))</f>
        <v/>
      </c>
      <c r="AR900" s="22" t="str">
        <f aca="false">IF(OR(C900="",I900="",K900=""),"",IF(K900="Monthly",EDATE(C900,I900),WORKDAY(C900,I900)))</f>
        <v/>
      </c>
      <c r="AS900" s="11"/>
      <c r="AT900" s="23" t="str">
        <f aca="true">IF(C900="","",IF(AM900="Clawed Back","CLAWED",IF(TODAY()&lt;=C900+SETTINGS!$I$2,"⚠ AT RISK","SAFE")))</f>
        <v/>
      </c>
      <c r="AU900" s="11"/>
      <c r="AW900" s="24" t="n">
        <f aca="false">AW899+IF(AND(C900&lt;&gt;"",AO900&lt;&gt;"",OR('REP COMMISSION'!$B$3="",T900='REP COMMISSION'!$B$3,W900='REP COMMISSION'!$B$3,Z900='REP COMMISSION'!$B$3)),1,0)</f>
        <v>0</v>
      </c>
      <c r="AX900" s="24" t="n">
        <f aca="false">AX899+IF(AND(C900&lt;&gt;"",OR(F900="LOC - INITIAL",F900="CONSOLIDATION - UPFRONT COMM",F900="REVERSE - TOTAL FUNDING")),1,0)</f>
        <v>0</v>
      </c>
    </row>
    <row r="901" customFormat="false" ht="15" hidden="false" customHeight="false" outlineLevel="0" collapsed="false">
      <c r="A901" s="25" t="str">
        <f aca="false">IF(C901&lt;&gt;"","F"&amp;COUNT($C$4:C901),"")</f>
        <v/>
      </c>
      <c r="B901" s="26" t="str">
        <f aca="false">IF(OR(F901="LOC - INITIAL",F901="CONSOLIDATION - UPFRONT COMM",F901="REVERSE - TOTAL FUNDING"),A901,"")</f>
        <v/>
      </c>
      <c r="C901" s="27"/>
      <c r="D901" s="28"/>
      <c r="E901" s="28"/>
      <c r="F901" s="28"/>
      <c r="G901" s="29"/>
      <c r="H901" s="30"/>
      <c r="I901" s="28"/>
      <c r="J901" s="31" t="str">
        <f aca="false">IF(AND(G901&lt;&gt;"",H901&lt;&gt;""),G901*H901,"")</f>
        <v/>
      </c>
      <c r="K901" s="28"/>
      <c r="L901" s="32"/>
      <c r="M901" s="32"/>
      <c r="N901" s="31" t="n">
        <f aca="false">IF(OR(G901="",M901=""),0,IF(M901&gt;100,M901,G901*IF(M901&gt;1,M901/100,M901)))</f>
        <v>0</v>
      </c>
      <c r="O901" s="31" t="str">
        <f aca="false">IF(G901="","",G901*IF(L901="",0,IF(L901&gt;1,L901/100,L901))+N901)</f>
        <v/>
      </c>
      <c r="P901" s="28"/>
      <c r="Q901" s="33" t="str">
        <f aca="false">IF(P901="","",IFERROR(VLOOKUP(P901,PARTNERS!$A$2:$B$30,2,0),""))</f>
        <v/>
      </c>
      <c r="R901" s="17" t="str">
        <f aca="false">IF(O901="","",IF(OR(P901="",Q901=""),0,(O901-N901)*IF(Q901&gt;1,Q901/100,Q901)))</f>
        <v/>
      </c>
      <c r="S901" s="31" t="str">
        <f aca="false">IF(O901="","",O901-R901)</f>
        <v/>
      </c>
      <c r="T901" s="28"/>
      <c r="U901" s="34" t="str">
        <f aca="false">IF(T901="","",IFERROR(VLOOKUP(T901,REPS!$A$2:$D$40,2,0),""))</f>
        <v/>
      </c>
      <c r="V901" s="31" t="str">
        <f aca="false">IF(O901="","",IF(U901="",0,O901*IF(U901&gt;1,U901/100,U901)))</f>
        <v/>
      </c>
      <c r="W901" s="28"/>
      <c r="X901" s="34" t="str">
        <f aca="false">IF(W901="","",IFERROR(VLOOKUP(W901,REPS!$A$2:$D$40,3,0),""))</f>
        <v/>
      </c>
      <c r="Y901" s="31" t="str">
        <f aca="false">IF(O901="","",IF(X901="",0,O901*IF(X901&gt;1,X901/100,X901)))</f>
        <v/>
      </c>
      <c r="Z901" s="28"/>
      <c r="AA901" s="34" t="str">
        <f aca="false">IF(Z901="","",IFERROR(VLOOKUP(Z901,REPS!$A$2:$D$40,4,0),""))</f>
        <v/>
      </c>
      <c r="AB901" s="31" t="str">
        <f aca="false">IF(O901="","",IF(AA901="",0,O901*IF(AA901&gt;1,AA901/100,AA901)))</f>
        <v/>
      </c>
      <c r="AC901" s="31" t="str">
        <f aca="false">IF(O901="","",V901+Y901+AB901)</f>
        <v/>
      </c>
      <c r="AD901" s="19" t="str">
        <f aca="false">IF(O901="","",O901-R901-AC901)</f>
        <v/>
      </c>
      <c r="AE901" s="20"/>
      <c r="AF901" s="27"/>
      <c r="AG901" s="21" t="n">
        <f aca="false">IF(OR(AE901="",AE901=0),0,AE901*IF(U901="",0,IF(U901&gt;1,U901/100,U901)))</f>
        <v>0</v>
      </c>
      <c r="AH901" s="21" t="n">
        <f aca="false">IF(OR(AE901="",AE901=0),0,AE901*IF(X901="",0,IF(X901&gt;1,X901/100,X901)))</f>
        <v>0</v>
      </c>
      <c r="AI901" s="21" t="n">
        <f aca="false">IF(OR(AE901="",AE901=0),0,AE901*IF(AA901="",0,IF(AA901&gt;1,AA901/100,AA901)))</f>
        <v>0</v>
      </c>
      <c r="AJ901" s="21" t="n">
        <f aca="false">AG901+AH901+AI901</f>
        <v>0</v>
      </c>
      <c r="AK901" s="21" t="n">
        <f aca="false">IF(OR(AE901="",AE901=0),0,AE901-AJ901)</f>
        <v>0</v>
      </c>
      <c r="AL901" s="19" t="str">
        <f aca="false">IF(AD901="","",AD901-AK901)</f>
        <v/>
      </c>
      <c r="AM901" s="26" t="str">
        <f aca="false">IF(C901="","","Waiting for payment")</f>
        <v/>
      </c>
      <c r="AN901" s="27"/>
      <c r="AO901" s="27"/>
      <c r="AP901" s="35" t="str">
        <f aca="false">IF(OR(C901="",I901="",K901=""),"",IF(K901="Monthly",EDATE(C901,ROUND(I901*SETTINGS!$I$8,0)),WORKDAY(C901,ROUND(I901*SETTINGS!$I$8,0))))</f>
        <v/>
      </c>
      <c r="AQ901" s="26" t="str">
        <f aca="true">IF(C901="","",IF(AND(AP901&lt;&gt;"",TODAY()&gt;=AP901),"Refi Ready",IF(TODAY()-C901&gt;=SETTINGS!$I$11,"Prospecting","Performing")))</f>
        <v/>
      </c>
      <c r="AR901" s="35" t="str">
        <f aca="false">IF(OR(C901="",I901="",K901=""),"",IF(K901="Monthly",EDATE(C901,I901),WORKDAY(C901,I901)))</f>
        <v/>
      </c>
      <c r="AS901" s="28"/>
      <c r="AT901" s="36" t="str">
        <f aca="true">IF(C901="","",IF(AM901="Clawed Back","CLAWED",IF(TODAY()&lt;=C901+SETTINGS!$I$2,"⚠ AT RISK","SAFE")))</f>
        <v/>
      </c>
      <c r="AU901" s="28"/>
      <c r="AW901" s="24" t="n">
        <f aca="false">AW900+IF(AND(C901&lt;&gt;"",AO901&lt;&gt;"",OR('REP COMMISSION'!$B$3="",T901='REP COMMISSION'!$B$3,W901='REP COMMISSION'!$B$3,Z901='REP COMMISSION'!$B$3)),1,0)</f>
        <v>0</v>
      </c>
      <c r="AX901" s="24" t="n">
        <f aca="false">AX900+IF(AND(C901&lt;&gt;"",OR(F901="LOC - INITIAL",F901="CONSOLIDATION - UPFRONT COMM",F901="REVERSE - TOTAL FUNDING")),1,0)</f>
        <v>0</v>
      </c>
    </row>
    <row r="902" customFormat="false" ht="15" hidden="false" customHeight="false" outlineLevel="0" collapsed="false">
      <c r="A902" s="8" t="str">
        <f aca="false">IF(C902&lt;&gt;"","F"&amp;COUNT($C$4:C902),"")</f>
        <v/>
      </c>
      <c r="B902" s="9" t="str">
        <f aca="false">IF(OR(F902="LOC - INITIAL",F902="CONSOLIDATION - UPFRONT COMM",F902="REVERSE - TOTAL FUNDING"),A902,"")</f>
        <v/>
      </c>
      <c r="C902" s="10"/>
      <c r="D902" s="11"/>
      <c r="E902" s="11"/>
      <c r="F902" s="11"/>
      <c r="G902" s="12"/>
      <c r="H902" s="13"/>
      <c r="I902" s="11"/>
      <c r="J902" s="14" t="str">
        <f aca="false">IF(AND(G902&lt;&gt;"",H902&lt;&gt;""),G902*H902,"")</f>
        <v/>
      </c>
      <c r="K902" s="11"/>
      <c r="L902" s="15"/>
      <c r="M902" s="15"/>
      <c r="N902" s="14" t="n">
        <f aca="false">IF(OR(G902="",M902=""),0,IF(M902&gt;100,M902,G902*IF(M902&gt;1,M902/100,M902)))</f>
        <v>0</v>
      </c>
      <c r="O902" s="14" t="str">
        <f aca="false">IF(G902="","",G902*IF(L902="",0,IF(L902&gt;1,L902/100,L902))+N902)</f>
        <v/>
      </c>
      <c r="P902" s="11"/>
      <c r="Q902" s="16" t="str">
        <f aca="false">IF(P902="","",IFERROR(VLOOKUP(P902,PARTNERS!$A$2:$B$30,2,0),""))</f>
        <v/>
      </c>
      <c r="R902" s="17" t="str">
        <f aca="false">IF(O902="","",IF(OR(P902="",Q902=""),0,(O902-N902)*IF(Q902&gt;1,Q902/100,Q902)))</f>
        <v/>
      </c>
      <c r="S902" s="14" t="str">
        <f aca="false">IF(O902="","",O902-R902)</f>
        <v/>
      </c>
      <c r="T902" s="11"/>
      <c r="U902" s="18" t="str">
        <f aca="false">IF(T902="","",IFERROR(VLOOKUP(T902,REPS!$A$2:$D$40,2,0),""))</f>
        <v/>
      </c>
      <c r="V902" s="14" t="str">
        <f aca="false">IF(O902="","",IF(U902="",0,O902*IF(U902&gt;1,U902/100,U902)))</f>
        <v/>
      </c>
      <c r="W902" s="11"/>
      <c r="X902" s="18" t="str">
        <f aca="false">IF(W902="","",IFERROR(VLOOKUP(W902,REPS!$A$2:$D$40,3,0),""))</f>
        <v/>
      </c>
      <c r="Y902" s="14" t="str">
        <f aca="false">IF(O902="","",IF(X902="",0,O902*IF(X902&gt;1,X902/100,X902)))</f>
        <v/>
      </c>
      <c r="Z902" s="11"/>
      <c r="AA902" s="18" t="str">
        <f aca="false">IF(Z902="","",IFERROR(VLOOKUP(Z902,REPS!$A$2:$D$40,4,0),""))</f>
        <v/>
      </c>
      <c r="AB902" s="14" t="str">
        <f aca="false">IF(O902="","",IF(AA902="",0,O902*IF(AA902&gt;1,AA902/100,AA902)))</f>
        <v/>
      </c>
      <c r="AC902" s="14" t="str">
        <f aca="false">IF(O902="","",V902+Y902+AB902)</f>
        <v/>
      </c>
      <c r="AD902" s="19" t="str">
        <f aca="false">IF(O902="","",O902-R902-AC902)</f>
        <v/>
      </c>
      <c r="AE902" s="20"/>
      <c r="AF902" s="10"/>
      <c r="AG902" s="21" t="n">
        <f aca="false">IF(OR(AE902="",AE902=0),0,AE902*IF(U902="",0,IF(U902&gt;1,U902/100,U902)))</f>
        <v>0</v>
      </c>
      <c r="AH902" s="21" t="n">
        <f aca="false">IF(OR(AE902="",AE902=0),0,AE902*IF(X902="",0,IF(X902&gt;1,X902/100,X902)))</f>
        <v>0</v>
      </c>
      <c r="AI902" s="21" t="n">
        <f aca="false">IF(OR(AE902="",AE902=0),0,AE902*IF(AA902="",0,IF(AA902&gt;1,AA902/100,AA902)))</f>
        <v>0</v>
      </c>
      <c r="AJ902" s="21" t="n">
        <f aca="false">AG902+AH902+AI902</f>
        <v>0</v>
      </c>
      <c r="AK902" s="21" t="n">
        <f aca="false">IF(OR(AE902="",AE902=0),0,AE902-AJ902)</f>
        <v>0</v>
      </c>
      <c r="AL902" s="19" t="str">
        <f aca="false">IF(AD902="","",AD902-AK902)</f>
        <v/>
      </c>
      <c r="AM902" s="9" t="str">
        <f aca="false">IF(C902="","","Waiting for payment")</f>
        <v/>
      </c>
      <c r="AN902" s="10"/>
      <c r="AO902" s="10"/>
      <c r="AP902" s="22" t="str">
        <f aca="false">IF(OR(C902="",I902="",K902=""),"",IF(K902="Monthly",EDATE(C902,ROUND(I902*SETTINGS!$I$8,0)),WORKDAY(C902,ROUND(I902*SETTINGS!$I$8,0))))</f>
        <v/>
      </c>
      <c r="AQ902" s="9" t="str">
        <f aca="true">IF(C902="","",IF(AND(AP902&lt;&gt;"",TODAY()&gt;=AP902),"Refi Ready",IF(TODAY()-C902&gt;=SETTINGS!$I$11,"Prospecting","Performing")))</f>
        <v/>
      </c>
      <c r="AR902" s="22" t="str">
        <f aca="false">IF(OR(C902="",I902="",K902=""),"",IF(K902="Monthly",EDATE(C902,I902),WORKDAY(C902,I902)))</f>
        <v/>
      </c>
      <c r="AS902" s="11"/>
      <c r="AT902" s="23" t="str">
        <f aca="true">IF(C902="","",IF(AM902="Clawed Back","CLAWED",IF(TODAY()&lt;=C902+SETTINGS!$I$2,"⚠ AT RISK","SAFE")))</f>
        <v/>
      </c>
      <c r="AU902" s="11"/>
      <c r="AW902" s="24" t="n">
        <f aca="false">AW901+IF(AND(C902&lt;&gt;"",AO902&lt;&gt;"",OR('REP COMMISSION'!$B$3="",T902='REP COMMISSION'!$B$3,W902='REP COMMISSION'!$B$3,Z902='REP COMMISSION'!$B$3)),1,0)</f>
        <v>0</v>
      </c>
      <c r="AX902" s="24" t="n">
        <f aca="false">AX901+IF(AND(C902&lt;&gt;"",OR(F902="LOC - INITIAL",F902="CONSOLIDATION - UPFRONT COMM",F902="REVERSE - TOTAL FUNDING")),1,0)</f>
        <v>0</v>
      </c>
    </row>
    <row r="903" customFormat="false" ht="15" hidden="false" customHeight="false" outlineLevel="0" collapsed="false">
      <c r="A903" s="25" t="str">
        <f aca="false">IF(C903&lt;&gt;"","F"&amp;COUNT($C$4:C903),"")</f>
        <v/>
      </c>
      <c r="B903" s="26" t="str">
        <f aca="false">IF(OR(F903="LOC - INITIAL",F903="CONSOLIDATION - UPFRONT COMM",F903="REVERSE - TOTAL FUNDING"),A903,"")</f>
        <v/>
      </c>
      <c r="C903" s="27"/>
      <c r="D903" s="28"/>
      <c r="E903" s="28"/>
      <c r="F903" s="28"/>
      <c r="G903" s="29"/>
      <c r="H903" s="30"/>
      <c r="I903" s="28"/>
      <c r="J903" s="31" t="str">
        <f aca="false">IF(AND(G903&lt;&gt;"",H903&lt;&gt;""),G903*H903,"")</f>
        <v/>
      </c>
      <c r="K903" s="28"/>
      <c r="L903" s="32"/>
      <c r="M903" s="32"/>
      <c r="N903" s="31" t="n">
        <f aca="false">IF(OR(G903="",M903=""),0,IF(M903&gt;100,M903,G903*IF(M903&gt;1,M903/100,M903)))</f>
        <v>0</v>
      </c>
      <c r="O903" s="31" t="str">
        <f aca="false">IF(G903="","",G903*IF(L903="",0,IF(L903&gt;1,L903/100,L903))+N903)</f>
        <v/>
      </c>
      <c r="P903" s="28"/>
      <c r="Q903" s="33" t="str">
        <f aca="false">IF(P903="","",IFERROR(VLOOKUP(P903,PARTNERS!$A$2:$B$30,2,0),""))</f>
        <v/>
      </c>
      <c r="R903" s="17" t="str">
        <f aca="false">IF(O903="","",IF(OR(P903="",Q903=""),0,(O903-N903)*IF(Q903&gt;1,Q903/100,Q903)))</f>
        <v/>
      </c>
      <c r="S903" s="31" t="str">
        <f aca="false">IF(O903="","",O903-R903)</f>
        <v/>
      </c>
      <c r="T903" s="28"/>
      <c r="U903" s="34" t="str">
        <f aca="false">IF(T903="","",IFERROR(VLOOKUP(T903,REPS!$A$2:$D$40,2,0),""))</f>
        <v/>
      </c>
      <c r="V903" s="31" t="str">
        <f aca="false">IF(O903="","",IF(U903="",0,O903*IF(U903&gt;1,U903/100,U903)))</f>
        <v/>
      </c>
      <c r="W903" s="28"/>
      <c r="X903" s="34" t="str">
        <f aca="false">IF(W903="","",IFERROR(VLOOKUP(W903,REPS!$A$2:$D$40,3,0),""))</f>
        <v/>
      </c>
      <c r="Y903" s="31" t="str">
        <f aca="false">IF(O903="","",IF(X903="",0,O903*IF(X903&gt;1,X903/100,X903)))</f>
        <v/>
      </c>
      <c r="Z903" s="28"/>
      <c r="AA903" s="34" t="str">
        <f aca="false">IF(Z903="","",IFERROR(VLOOKUP(Z903,REPS!$A$2:$D$40,4,0),""))</f>
        <v/>
      </c>
      <c r="AB903" s="31" t="str">
        <f aca="false">IF(O903="","",IF(AA903="",0,O903*IF(AA903&gt;1,AA903/100,AA903)))</f>
        <v/>
      </c>
      <c r="AC903" s="31" t="str">
        <f aca="false">IF(O903="","",V903+Y903+AB903)</f>
        <v/>
      </c>
      <c r="AD903" s="19" t="str">
        <f aca="false">IF(O903="","",O903-R903-AC903)</f>
        <v/>
      </c>
      <c r="AE903" s="20"/>
      <c r="AF903" s="27"/>
      <c r="AG903" s="21" t="n">
        <f aca="false">IF(OR(AE903="",AE903=0),0,AE903*IF(U903="",0,IF(U903&gt;1,U903/100,U903)))</f>
        <v>0</v>
      </c>
      <c r="AH903" s="21" t="n">
        <f aca="false">IF(OR(AE903="",AE903=0),0,AE903*IF(X903="",0,IF(X903&gt;1,X903/100,X903)))</f>
        <v>0</v>
      </c>
      <c r="AI903" s="21" t="n">
        <f aca="false">IF(OR(AE903="",AE903=0),0,AE903*IF(AA903="",0,IF(AA903&gt;1,AA903/100,AA903)))</f>
        <v>0</v>
      </c>
      <c r="AJ903" s="21" t="n">
        <f aca="false">AG903+AH903+AI903</f>
        <v>0</v>
      </c>
      <c r="AK903" s="21" t="n">
        <f aca="false">IF(OR(AE903="",AE903=0),0,AE903-AJ903)</f>
        <v>0</v>
      </c>
      <c r="AL903" s="19" t="str">
        <f aca="false">IF(AD903="","",AD903-AK903)</f>
        <v/>
      </c>
      <c r="AM903" s="26" t="str">
        <f aca="false">IF(C903="","","Waiting for payment")</f>
        <v/>
      </c>
      <c r="AN903" s="27"/>
      <c r="AO903" s="27"/>
      <c r="AP903" s="35" t="str">
        <f aca="false">IF(OR(C903="",I903="",K903=""),"",IF(K903="Monthly",EDATE(C903,ROUND(I903*SETTINGS!$I$8,0)),WORKDAY(C903,ROUND(I903*SETTINGS!$I$8,0))))</f>
        <v/>
      </c>
      <c r="AQ903" s="26" t="str">
        <f aca="true">IF(C903="","",IF(AND(AP903&lt;&gt;"",TODAY()&gt;=AP903),"Refi Ready",IF(TODAY()-C903&gt;=SETTINGS!$I$11,"Prospecting","Performing")))</f>
        <v/>
      </c>
      <c r="AR903" s="35" t="str">
        <f aca="false">IF(OR(C903="",I903="",K903=""),"",IF(K903="Monthly",EDATE(C903,I903),WORKDAY(C903,I903)))</f>
        <v/>
      </c>
      <c r="AS903" s="28"/>
      <c r="AT903" s="36" t="str">
        <f aca="true">IF(C903="","",IF(AM903="Clawed Back","CLAWED",IF(TODAY()&lt;=C903+SETTINGS!$I$2,"⚠ AT RISK","SAFE")))</f>
        <v/>
      </c>
      <c r="AU903" s="28"/>
      <c r="AW903" s="24" t="n">
        <f aca="false">AW902+IF(AND(C903&lt;&gt;"",AO903&lt;&gt;"",OR('REP COMMISSION'!$B$3="",T903='REP COMMISSION'!$B$3,W903='REP COMMISSION'!$B$3,Z903='REP COMMISSION'!$B$3)),1,0)</f>
        <v>0</v>
      </c>
      <c r="AX903" s="24" t="n">
        <f aca="false">AX902+IF(AND(C903&lt;&gt;"",OR(F903="LOC - INITIAL",F903="CONSOLIDATION - UPFRONT COMM",F903="REVERSE - TOTAL FUNDING")),1,0)</f>
        <v>0</v>
      </c>
    </row>
    <row r="904" customFormat="false" ht="15" hidden="false" customHeight="false" outlineLevel="0" collapsed="false">
      <c r="A904" s="8" t="str">
        <f aca="false">IF(C904&lt;&gt;"","F"&amp;COUNT($C$4:C904),"")</f>
        <v/>
      </c>
      <c r="B904" s="9" t="str">
        <f aca="false">IF(OR(F904="LOC - INITIAL",F904="CONSOLIDATION - UPFRONT COMM",F904="REVERSE - TOTAL FUNDING"),A904,"")</f>
        <v/>
      </c>
      <c r="C904" s="10"/>
      <c r="D904" s="11"/>
      <c r="E904" s="11"/>
      <c r="F904" s="11"/>
      <c r="G904" s="12"/>
      <c r="H904" s="13"/>
      <c r="I904" s="11"/>
      <c r="J904" s="14" t="str">
        <f aca="false">IF(AND(G904&lt;&gt;"",H904&lt;&gt;""),G904*H904,"")</f>
        <v/>
      </c>
      <c r="K904" s="11"/>
      <c r="L904" s="15"/>
      <c r="M904" s="15"/>
      <c r="N904" s="14" t="n">
        <f aca="false">IF(OR(G904="",M904=""),0,IF(M904&gt;100,M904,G904*IF(M904&gt;1,M904/100,M904)))</f>
        <v>0</v>
      </c>
      <c r="O904" s="14" t="str">
        <f aca="false">IF(G904="","",G904*IF(L904="",0,IF(L904&gt;1,L904/100,L904))+N904)</f>
        <v/>
      </c>
      <c r="P904" s="11"/>
      <c r="Q904" s="16" t="str">
        <f aca="false">IF(P904="","",IFERROR(VLOOKUP(P904,PARTNERS!$A$2:$B$30,2,0),""))</f>
        <v/>
      </c>
      <c r="R904" s="17" t="str">
        <f aca="false">IF(O904="","",IF(OR(P904="",Q904=""),0,(O904-N904)*IF(Q904&gt;1,Q904/100,Q904)))</f>
        <v/>
      </c>
      <c r="S904" s="14" t="str">
        <f aca="false">IF(O904="","",O904-R904)</f>
        <v/>
      </c>
      <c r="T904" s="11"/>
      <c r="U904" s="18" t="str">
        <f aca="false">IF(T904="","",IFERROR(VLOOKUP(T904,REPS!$A$2:$D$40,2,0),""))</f>
        <v/>
      </c>
      <c r="V904" s="14" t="str">
        <f aca="false">IF(O904="","",IF(U904="",0,O904*IF(U904&gt;1,U904/100,U904)))</f>
        <v/>
      </c>
      <c r="W904" s="11"/>
      <c r="X904" s="18" t="str">
        <f aca="false">IF(W904="","",IFERROR(VLOOKUP(W904,REPS!$A$2:$D$40,3,0),""))</f>
        <v/>
      </c>
      <c r="Y904" s="14" t="str">
        <f aca="false">IF(O904="","",IF(X904="",0,O904*IF(X904&gt;1,X904/100,X904)))</f>
        <v/>
      </c>
      <c r="Z904" s="11"/>
      <c r="AA904" s="18" t="str">
        <f aca="false">IF(Z904="","",IFERROR(VLOOKUP(Z904,REPS!$A$2:$D$40,4,0),""))</f>
        <v/>
      </c>
      <c r="AB904" s="14" t="str">
        <f aca="false">IF(O904="","",IF(AA904="",0,O904*IF(AA904&gt;1,AA904/100,AA904)))</f>
        <v/>
      </c>
      <c r="AC904" s="14" t="str">
        <f aca="false">IF(O904="","",V904+Y904+AB904)</f>
        <v/>
      </c>
      <c r="AD904" s="19" t="str">
        <f aca="false">IF(O904="","",O904-R904-AC904)</f>
        <v/>
      </c>
      <c r="AE904" s="20"/>
      <c r="AF904" s="10"/>
      <c r="AG904" s="21" t="n">
        <f aca="false">IF(OR(AE904="",AE904=0),0,AE904*IF(U904="",0,IF(U904&gt;1,U904/100,U904)))</f>
        <v>0</v>
      </c>
      <c r="AH904" s="21" t="n">
        <f aca="false">IF(OR(AE904="",AE904=0),0,AE904*IF(X904="",0,IF(X904&gt;1,X904/100,X904)))</f>
        <v>0</v>
      </c>
      <c r="AI904" s="21" t="n">
        <f aca="false">IF(OR(AE904="",AE904=0),0,AE904*IF(AA904="",0,IF(AA904&gt;1,AA904/100,AA904)))</f>
        <v>0</v>
      </c>
      <c r="AJ904" s="21" t="n">
        <f aca="false">AG904+AH904+AI904</f>
        <v>0</v>
      </c>
      <c r="AK904" s="21" t="n">
        <f aca="false">IF(OR(AE904="",AE904=0),0,AE904-AJ904)</f>
        <v>0</v>
      </c>
      <c r="AL904" s="19" t="str">
        <f aca="false">IF(AD904="","",AD904-AK904)</f>
        <v/>
      </c>
      <c r="AM904" s="9" t="str">
        <f aca="false">IF(C904="","","Waiting for payment")</f>
        <v/>
      </c>
      <c r="AN904" s="10"/>
      <c r="AO904" s="10"/>
      <c r="AP904" s="22" t="str">
        <f aca="false">IF(OR(C904="",I904="",K904=""),"",IF(K904="Monthly",EDATE(C904,ROUND(I904*SETTINGS!$I$8,0)),WORKDAY(C904,ROUND(I904*SETTINGS!$I$8,0))))</f>
        <v/>
      </c>
      <c r="AQ904" s="9" t="str">
        <f aca="true">IF(C904="","",IF(AND(AP904&lt;&gt;"",TODAY()&gt;=AP904),"Refi Ready",IF(TODAY()-C904&gt;=SETTINGS!$I$11,"Prospecting","Performing")))</f>
        <v/>
      </c>
      <c r="AR904" s="22" t="str">
        <f aca="false">IF(OR(C904="",I904="",K904=""),"",IF(K904="Monthly",EDATE(C904,I904),WORKDAY(C904,I904)))</f>
        <v/>
      </c>
      <c r="AS904" s="11"/>
      <c r="AT904" s="23" t="str">
        <f aca="true">IF(C904="","",IF(AM904="Clawed Back","CLAWED",IF(TODAY()&lt;=C904+SETTINGS!$I$2,"⚠ AT RISK","SAFE")))</f>
        <v/>
      </c>
      <c r="AU904" s="11"/>
      <c r="AW904" s="24" t="n">
        <f aca="false">AW903+IF(AND(C904&lt;&gt;"",AO904&lt;&gt;"",OR('REP COMMISSION'!$B$3="",T904='REP COMMISSION'!$B$3,W904='REP COMMISSION'!$B$3,Z904='REP COMMISSION'!$B$3)),1,0)</f>
        <v>0</v>
      </c>
      <c r="AX904" s="24" t="n">
        <f aca="false">AX903+IF(AND(C904&lt;&gt;"",OR(F904="LOC - INITIAL",F904="CONSOLIDATION - UPFRONT COMM",F904="REVERSE - TOTAL FUNDING")),1,0)</f>
        <v>0</v>
      </c>
    </row>
    <row r="905" customFormat="false" ht="15" hidden="false" customHeight="false" outlineLevel="0" collapsed="false">
      <c r="A905" s="25" t="str">
        <f aca="false">IF(C905&lt;&gt;"","F"&amp;COUNT($C$4:C905),"")</f>
        <v/>
      </c>
      <c r="B905" s="26" t="str">
        <f aca="false">IF(OR(F905="LOC - INITIAL",F905="CONSOLIDATION - UPFRONT COMM",F905="REVERSE - TOTAL FUNDING"),A905,"")</f>
        <v/>
      </c>
      <c r="C905" s="27"/>
      <c r="D905" s="28"/>
      <c r="E905" s="28"/>
      <c r="F905" s="28"/>
      <c r="G905" s="29"/>
      <c r="H905" s="30"/>
      <c r="I905" s="28"/>
      <c r="J905" s="31" t="str">
        <f aca="false">IF(AND(G905&lt;&gt;"",H905&lt;&gt;""),G905*H905,"")</f>
        <v/>
      </c>
      <c r="K905" s="28"/>
      <c r="L905" s="32"/>
      <c r="M905" s="32"/>
      <c r="N905" s="31" t="n">
        <f aca="false">IF(OR(G905="",M905=""),0,IF(M905&gt;100,M905,G905*IF(M905&gt;1,M905/100,M905)))</f>
        <v>0</v>
      </c>
      <c r="O905" s="31" t="str">
        <f aca="false">IF(G905="","",G905*IF(L905="",0,IF(L905&gt;1,L905/100,L905))+N905)</f>
        <v/>
      </c>
      <c r="P905" s="28"/>
      <c r="Q905" s="33" t="str">
        <f aca="false">IF(P905="","",IFERROR(VLOOKUP(P905,PARTNERS!$A$2:$B$30,2,0),""))</f>
        <v/>
      </c>
      <c r="R905" s="17" t="str">
        <f aca="false">IF(O905="","",IF(OR(P905="",Q905=""),0,(O905-N905)*IF(Q905&gt;1,Q905/100,Q905)))</f>
        <v/>
      </c>
      <c r="S905" s="31" t="str">
        <f aca="false">IF(O905="","",O905-R905)</f>
        <v/>
      </c>
      <c r="T905" s="28"/>
      <c r="U905" s="34" t="str">
        <f aca="false">IF(T905="","",IFERROR(VLOOKUP(T905,REPS!$A$2:$D$40,2,0),""))</f>
        <v/>
      </c>
      <c r="V905" s="31" t="str">
        <f aca="false">IF(O905="","",IF(U905="",0,O905*IF(U905&gt;1,U905/100,U905)))</f>
        <v/>
      </c>
      <c r="W905" s="28"/>
      <c r="X905" s="34" t="str">
        <f aca="false">IF(W905="","",IFERROR(VLOOKUP(W905,REPS!$A$2:$D$40,3,0),""))</f>
        <v/>
      </c>
      <c r="Y905" s="31" t="str">
        <f aca="false">IF(O905="","",IF(X905="",0,O905*IF(X905&gt;1,X905/100,X905)))</f>
        <v/>
      </c>
      <c r="Z905" s="28"/>
      <c r="AA905" s="34" t="str">
        <f aca="false">IF(Z905="","",IFERROR(VLOOKUP(Z905,REPS!$A$2:$D$40,4,0),""))</f>
        <v/>
      </c>
      <c r="AB905" s="31" t="str">
        <f aca="false">IF(O905="","",IF(AA905="",0,O905*IF(AA905&gt;1,AA905/100,AA905)))</f>
        <v/>
      </c>
      <c r="AC905" s="31" t="str">
        <f aca="false">IF(O905="","",V905+Y905+AB905)</f>
        <v/>
      </c>
      <c r="AD905" s="19" t="str">
        <f aca="false">IF(O905="","",O905-R905-AC905)</f>
        <v/>
      </c>
      <c r="AE905" s="20"/>
      <c r="AF905" s="27"/>
      <c r="AG905" s="21" t="n">
        <f aca="false">IF(OR(AE905="",AE905=0),0,AE905*IF(U905="",0,IF(U905&gt;1,U905/100,U905)))</f>
        <v>0</v>
      </c>
      <c r="AH905" s="21" t="n">
        <f aca="false">IF(OR(AE905="",AE905=0),0,AE905*IF(X905="",0,IF(X905&gt;1,X905/100,X905)))</f>
        <v>0</v>
      </c>
      <c r="AI905" s="21" t="n">
        <f aca="false">IF(OR(AE905="",AE905=0),0,AE905*IF(AA905="",0,IF(AA905&gt;1,AA905/100,AA905)))</f>
        <v>0</v>
      </c>
      <c r="AJ905" s="21" t="n">
        <f aca="false">AG905+AH905+AI905</f>
        <v>0</v>
      </c>
      <c r="AK905" s="21" t="n">
        <f aca="false">IF(OR(AE905="",AE905=0),0,AE905-AJ905)</f>
        <v>0</v>
      </c>
      <c r="AL905" s="19" t="str">
        <f aca="false">IF(AD905="","",AD905-AK905)</f>
        <v/>
      </c>
      <c r="AM905" s="26" t="str">
        <f aca="false">IF(C905="","","Waiting for payment")</f>
        <v/>
      </c>
      <c r="AN905" s="27"/>
      <c r="AO905" s="27"/>
      <c r="AP905" s="35" t="str">
        <f aca="false">IF(OR(C905="",I905="",K905=""),"",IF(K905="Monthly",EDATE(C905,ROUND(I905*SETTINGS!$I$8,0)),WORKDAY(C905,ROUND(I905*SETTINGS!$I$8,0))))</f>
        <v/>
      </c>
      <c r="AQ905" s="26" t="str">
        <f aca="true">IF(C905="","",IF(AND(AP905&lt;&gt;"",TODAY()&gt;=AP905),"Refi Ready",IF(TODAY()-C905&gt;=SETTINGS!$I$11,"Prospecting","Performing")))</f>
        <v/>
      </c>
      <c r="AR905" s="35" t="str">
        <f aca="false">IF(OR(C905="",I905="",K905=""),"",IF(K905="Monthly",EDATE(C905,I905),WORKDAY(C905,I905)))</f>
        <v/>
      </c>
      <c r="AS905" s="28"/>
      <c r="AT905" s="36" t="str">
        <f aca="true">IF(C905="","",IF(AM905="Clawed Back","CLAWED",IF(TODAY()&lt;=C905+SETTINGS!$I$2,"⚠ AT RISK","SAFE")))</f>
        <v/>
      </c>
      <c r="AU905" s="28"/>
      <c r="AW905" s="24" t="n">
        <f aca="false">AW904+IF(AND(C905&lt;&gt;"",AO905&lt;&gt;"",OR('REP COMMISSION'!$B$3="",T905='REP COMMISSION'!$B$3,W905='REP COMMISSION'!$B$3,Z905='REP COMMISSION'!$B$3)),1,0)</f>
        <v>0</v>
      </c>
      <c r="AX905" s="24" t="n">
        <f aca="false">AX904+IF(AND(C905&lt;&gt;"",OR(F905="LOC - INITIAL",F905="CONSOLIDATION - UPFRONT COMM",F905="REVERSE - TOTAL FUNDING")),1,0)</f>
        <v>0</v>
      </c>
    </row>
    <row r="906" customFormat="false" ht="15" hidden="false" customHeight="false" outlineLevel="0" collapsed="false">
      <c r="A906" s="8" t="str">
        <f aca="false">IF(C906&lt;&gt;"","F"&amp;COUNT($C$4:C906),"")</f>
        <v/>
      </c>
      <c r="B906" s="9" t="str">
        <f aca="false">IF(OR(F906="LOC - INITIAL",F906="CONSOLIDATION - UPFRONT COMM",F906="REVERSE - TOTAL FUNDING"),A906,"")</f>
        <v/>
      </c>
      <c r="C906" s="10"/>
      <c r="D906" s="11"/>
      <c r="E906" s="11"/>
      <c r="F906" s="11"/>
      <c r="G906" s="12"/>
      <c r="H906" s="13"/>
      <c r="I906" s="11"/>
      <c r="J906" s="14" t="str">
        <f aca="false">IF(AND(G906&lt;&gt;"",H906&lt;&gt;""),G906*H906,"")</f>
        <v/>
      </c>
      <c r="K906" s="11"/>
      <c r="L906" s="15"/>
      <c r="M906" s="15"/>
      <c r="N906" s="14" t="n">
        <f aca="false">IF(OR(G906="",M906=""),0,IF(M906&gt;100,M906,G906*IF(M906&gt;1,M906/100,M906)))</f>
        <v>0</v>
      </c>
      <c r="O906" s="14" t="str">
        <f aca="false">IF(G906="","",G906*IF(L906="",0,IF(L906&gt;1,L906/100,L906))+N906)</f>
        <v/>
      </c>
      <c r="P906" s="11"/>
      <c r="Q906" s="16" t="str">
        <f aca="false">IF(P906="","",IFERROR(VLOOKUP(P906,PARTNERS!$A$2:$B$30,2,0),""))</f>
        <v/>
      </c>
      <c r="R906" s="17" t="str">
        <f aca="false">IF(O906="","",IF(OR(P906="",Q906=""),0,(O906-N906)*IF(Q906&gt;1,Q906/100,Q906)))</f>
        <v/>
      </c>
      <c r="S906" s="14" t="str">
        <f aca="false">IF(O906="","",O906-R906)</f>
        <v/>
      </c>
      <c r="T906" s="11"/>
      <c r="U906" s="18" t="str">
        <f aca="false">IF(T906="","",IFERROR(VLOOKUP(T906,REPS!$A$2:$D$40,2,0),""))</f>
        <v/>
      </c>
      <c r="V906" s="14" t="str">
        <f aca="false">IF(O906="","",IF(U906="",0,O906*IF(U906&gt;1,U906/100,U906)))</f>
        <v/>
      </c>
      <c r="W906" s="11"/>
      <c r="X906" s="18" t="str">
        <f aca="false">IF(W906="","",IFERROR(VLOOKUP(W906,REPS!$A$2:$D$40,3,0),""))</f>
        <v/>
      </c>
      <c r="Y906" s="14" t="str">
        <f aca="false">IF(O906="","",IF(X906="",0,O906*IF(X906&gt;1,X906/100,X906)))</f>
        <v/>
      </c>
      <c r="Z906" s="11"/>
      <c r="AA906" s="18" t="str">
        <f aca="false">IF(Z906="","",IFERROR(VLOOKUP(Z906,REPS!$A$2:$D$40,4,0),""))</f>
        <v/>
      </c>
      <c r="AB906" s="14" t="str">
        <f aca="false">IF(O906="","",IF(AA906="",0,O906*IF(AA906&gt;1,AA906/100,AA906)))</f>
        <v/>
      </c>
      <c r="AC906" s="14" t="str">
        <f aca="false">IF(O906="","",V906+Y906+AB906)</f>
        <v/>
      </c>
      <c r="AD906" s="19" t="str">
        <f aca="false">IF(O906="","",O906-R906-AC906)</f>
        <v/>
      </c>
      <c r="AE906" s="20"/>
      <c r="AF906" s="10"/>
      <c r="AG906" s="21" t="n">
        <f aca="false">IF(OR(AE906="",AE906=0),0,AE906*IF(U906="",0,IF(U906&gt;1,U906/100,U906)))</f>
        <v>0</v>
      </c>
      <c r="AH906" s="21" t="n">
        <f aca="false">IF(OR(AE906="",AE906=0),0,AE906*IF(X906="",0,IF(X906&gt;1,X906/100,X906)))</f>
        <v>0</v>
      </c>
      <c r="AI906" s="21" t="n">
        <f aca="false">IF(OR(AE906="",AE906=0),0,AE906*IF(AA906="",0,IF(AA906&gt;1,AA906/100,AA906)))</f>
        <v>0</v>
      </c>
      <c r="AJ906" s="21" t="n">
        <f aca="false">AG906+AH906+AI906</f>
        <v>0</v>
      </c>
      <c r="AK906" s="21" t="n">
        <f aca="false">IF(OR(AE906="",AE906=0),0,AE906-AJ906)</f>
        <v>0</v>
      </c>
      <c r="AL906" s="19" t="str">
        <f aca="false">IF(AD906="","",AD906-AK906)</f>
        <v/>
      </c>
      <c r="AM906" s="9" t="str">
        <f aca="false">IF(C906="","","Waiting for payment")</f>
        <v/>
      </c>
      <c r="AN906" s="10"/>
      <c r="AO906" s="10"/>
      <c r="AP906" s="22" t="str">
        <f aca="false">IF(OR(C906="",I906="",K906=""),"",IF(K906="Monthly",EDATE(C906,ROUND(I906*SETTINGS!$I$8,0)),WORKDAY(C906,ROUND(I906*SETTINGS!$I$8,0))))</f>
        <v/>
      </c>
      <c r="AQ906" s="9" t="str">
        <f aca="true">IF(C906="","",IF(AND(AP906&lt;&gt;"",TODAY()&gt;=AP906),"Refi Ready",IF(TODAY()-C906&gt;=SETTINGS!$I$11,"Prospecting","Performing")))</f>
        <v/>
      </c>
      <c r="AR906" s="22" t="str">
        <f aca="false">IF(OR(C906="",I906="",K906=""),"",IF(K906="Monthly",EDATE(C906,I906),WORKDAY(C906,I906)))</f>
        <v/>
      </c>
      <c r="AS906" s="11"/>
      <c r="AT906" s="23" t="str">
        <f aca="true">IF(C906="","",IF(AM906="Clawed Back","CLAWED",IF(TODAY()&lt;=C906+SETTINGS!$I$2,"⚠ AT RISK","SAFE")))</f>
        <v/>
      </c>
      <c r="AU906" s="11"/>
      <c r="AW906" s="24" t="n">
        <f aca="false">AW905+IF(AND(C906&lt;&gt;"",AO906&lt;&gt;"",OR('REP COMMISSION'!$B$3="",T906='REP COMMISSION'!$B$3,W906='REP COMMISSION'!$B$3,Z906='REP COMMISSION'!$B$3)),1,0)</f>
        <v>0</v>
      </c>
      <c r="AX906" s="24" t="n">
        <f aca="false">AX905+IF(AND(C906&lt;&gt;"",OR(F906="LOC - INITIAL",F906="CONSOLIDATION - UPFRONT COMM",F906="REVERSE - TOTAL FUNDING")),1,0)</f>
        <v>0</v>
      </c>
    </row>
    <row r="907" customFormat="false" ht="15" hidden="false" customHeight="false" outlineLevel="0" collapsed="false">
      <c r="A907" s="25" t="str">
        <f aca="false">IF(C907&lt;&gt;"","F"&amp;COUNT($C$4:C907),"")</f>
        <v/>
      </c>
      <c r="B907" s="26" t="str">
        <f aca="false">IF(OR(F907="LOC - INITIAL",F907="CONSOLIDATION - UPFRONT COMM",F907="REVERSE - TOTAL FUNDING"),A907,"")</f>
        <v/>
      </c>
      <c r="C907" s="27"/>
      <c r="D907" s="28"/>
      <c r="E907" s="28"/>
      <c r="F907" s="28"/>
      <c r="G907" s="29"/>
      <c r="H907" s="30"/>
      <c r="I907" s="28"/>
      <c r="J907" s="31" t="str">
        <f aca="false">IF(AND(G907&lt;&gt;"",H907&lt;&gt;""),G907*H907,"")</f>
        <v/>
      </c>
      <c r="K907" s="28"/>
      <c r="L907" s="32"/>
      <c r="M907" s="32"/>
      <c r="N907" s="31" t="n">
        <f aca="false">IF(OR(G907="",M907=""),0,IF(M907&gt;100,M907,G907*IF(M907&gt;1,M907/100,M907)))</f>
        <v>0</v>
      </c>
      <c r="O907" s="31" t="str">
        <f aca="false">IF(G907="","",G907*IF(L907="",0,IF(L907&gt;1,L907/100,L907))+N907)</f>
        <v/>
      </c>
      <c r="P907" s="28"/>
      <c r="Q907" s="33" t="str">
        <f aca="false">IF(P907="","",IFERROR(VLOOKUP(P907,PARTNERS!$A$2:$B$30,2,0),""))</f>
        <v/>
      </c>
      <c r="R907" s="17" t="str">
        <f aca="false">IF(O907="","",IF(OR(P907="",Q907=""),0,(O907-N907)*IF(Q907&gt;1,Q907/100,Q907)))</f>
        <v/>
      </c>
      <c r="S907" s="31" t="str">
        <f aca="false">IF(O907="","",O907-R907)</f>
        <v/>
      </c>
      <c r="T907" s="28"/>
      <c r="U907" s="34" t="str">
        <f aca="false">IF(T907="","",IFERROR(VLOOKUP(T907,REPS!$A$2:$D$40,2,0),""))</f>
        <v/>
      </c>
      <c r="V907" s="31" t="str">
        <f aca="false">IF(O907="","",IF(U907="",0,O907*IF(U907&gt;1,U907/100,U907)))</f>
        <v/>
      </c>
      <c r="W907" s="28"/>
      <c r="X907" s="34" t="str">
        <f aca="false">IF(W907="","",IFERROR(VLOOKUP(W907,REPS!$A$2:$D$40,3,0),""))</f>
        <v/>
      </c>
      <c r="Y907" s="31" t="str">
        <f aca="false">IF(O907="","",IF(X907="",0,O907*IF(X907&gt;1,X907/100,X907)))</f>
        <v/>
      </c>
      <c r="Z907" s="28"/>
      <c r="AA907" s="34" t="str">
        <f aca="false">IF(Z907="","",IFERROR(VLOOKUP(Z907,REPS!$A$2:$D$40,4,0),""))</f>
        <v/>
      </c>
      <c r="AB907" s="31" t="str">
        <f aca="false">IF(O907="","",IF(AA907="",0,O907*IF(AA907&gt;1,AA907/100,AA907)))</f>
        <v/>
      </c>
      <c r="AC907" s="31" t="str">
        <f aca="false">IF(O907="","",V907+Y907+AB907)</f>
        <v/>
      </c>
      <c r="AD907" s="19" t="str">
        <f aca="false">IF(O907="","",O907-R907-AC907)</f>
        <v/>
      </c>
      <c r="AE907" s="20"/>
      <c r="AF907" s="27"/>
      <c r="AG907" s="21" t="n">
        <f aca="false">IF(OR(AE907="",AE907=0),0,AE907*IF(U907="",0,IF(U907&gt;1,U907/100,U907)))</f>
        <v>0</v>
      </c>
      <c r="AH907" s="21" t="n">
        <f aca="false">IF(OR(AE907="",AE907=0),0,AE907*IF(X907="",0,IF(X907&gt;1,X907/100,X907)))</f>
        <v>0</v>
      </c>
      <c r="AI907" s="21" t="n">
        <f aca="false">IF(OR(AE907="",AE907=0),0,AE907*IF(AA907="",0,IF(AA907&gt;1,AA907/100,AA907)))</f>
        <v>0</v>
      </c>
      <c r="AJ907" s="21" t="n">
        <f aca="false">AG907+AH907+AI907</f>
        <v>0</v>
      </c>
      <c r="AK907" s="21" t="n">
        <f aca="false">IF(OR(AE907="",AE907=0),0,AE907-AJ907)</f>
        <v>0</v>
      </c>
      <c r="AL907" s="19" t="str">
        <f aca="false">IF(AD907="","",AD907-AK907)</f>
        <v/>
      </c>
      <c r="AM907" s="26" t="str">
        <f aca="false">IF(C907="","","Waiting for payment")</f>
        <v/>
      </c>
      <c r="AN907" s="27"/>
      <c r="AO907" s="27"/>
      <c r="AP907" s="35" t="str">
        <f aca="false">IF(OR(C907="",I907="",K907=""),"",IF(K907="Monthly",EDATE(C907,ROUND(I907*SETTINGS!$I$8,0)),WORKDAY(C907,ROUND(I907*SETTINGS!$I$8,0))))</f>
        <v/>
      </c>
      <c r="AQ907" s="26" t="str">
        <f aca="true">IF(C907="","",IF(AND(AP907&lt;&gt;"",TODAY()&gt;=AP907),"Refi Ready",IF(TODAY()-C907&gt;=SETTINGS!$I$11,"Prospecting","Performing")))</f>
        <v/>
      </c>
      <c r="AR907" s="35" t="str">
        <f aca="false">IF(OR(C907="",I907="",K907=""),"",IF(K907="Monthly",EDATE(C907,I907),WORKDAY(C907,I907)))</f>
        <v/>
      </c>
      <c r="AS907" s="28"/>
      <c r="AT907" s="36" t="str">
        <f aca="true">IF(C907="","",IF(AM907="Clawed Back","CLAWED",IF(TODAY()&lt;=C907+SETTINGS!$I$2,"⚠ AT RISK","SAFE")))</f>
        <v/>
      </c>
      <c r="AU907" s="28"/>
      <c r="AW907" s="24" t="n">
        <f aca="false">AW906+IF(AND(C907&lt;&gt;"",AO907&lt;&gt;"",OR('REP COMMISSION'!$B$3="",T907='REP COMMISSION'!$B$3,W907='REP COMMISSION'!$B$3,Z907='REP COMMISSION'!$B$3)),1,0)</f>
        <v>0</v>
      </c>
      <c r="AX907" s="24" t="n">
        <f aca="false">AX906+IF(AND(C907&lt;&gt;"",OR(F907="LOC - INITIAL",F907="CONSOLIDATION - UPFRONT COMM",F907="REVERSE - TOTAL FUNDING")),1,0)</f>
        <v>0</v>
      </c>
    </row>
    <row r="908" customFormat="false" ht="15" hidden="false" customHeight="false" outlineLevel="0" collapsed="false">
      <c r="A908" s="8" t="str">
        <f aca="false">IF(C908&lt;&gt;"","F"&amp;COUNT($C$4:C908),"")</f>
        <v/>
      </c>
      <c r="B908" s="9" t="str">
        <f aca="false">IF(OR(F908="LOC - INITIAL",F908="CONSOLIDATION - UPFRONT COMM",F908="REVERSE - TOTAL FUNDING"),A908,"")</f>
        <v/>
      </c>
      <c r="C908" s="10"/>
      <c r="D908" s="11"/>
      <c r="E908" s="11"/>
      <c r="F908" s="11"/>
      <c r="G908" s="12"/>
      <c r="H908" s="13"/>
      <c r="I908" s="11"/>
      <c r="J908" s="14" t="str">
        <f aca="false">IF(AND(G908&lt;&gt;"",H908&lt;&gt;""),G908*H908,"")</f>
        <v/>
      </c>
      <c r="K908" s="11"/>
      <c r="L908" s="15"/>
      <c r="M908" s="15"/>
      <c r="N908" s="14" t="n">
        <f aca="false">IF(OR(G908="",M908=""),0,IF(M908&gt;100,M908,G908*IF(M908&gt;1,M908/100,M908)))</f>
        <v>0</v>
      </c>
      <c r="O908" s="14" t="str">
        <f aca="false">IF(G908="","",G908*IF(L908="",0,IF(L908&gt;1,L908/100,L908))+N908)</f>
        <v/>
      </c>
      <c r="P908" s="11"/>
      <c r="Q908" s="16" t="str">
        <f aca="false">IF(P908="","",IFERROR(VLOOKUP(P908,PARTNERS!$A$2:$B$30,2,0),""))</f>
        <v/>
      </c>
      <c r="R908" s="17" t="str">
        <f aca="false">IF(O908="","",IF(OR(P908="",Q908=""),0,(O908-N908)*IF(Q908&gt;1,Q908/100,Q908)))</f>
        <v/>
      </c>
      <c r="S908" s="14" t="str">
        <f aca="false">IF(O908="","",O908-R908)</f>
        <v/>
      </c>
      <c r="T908" s="11"/>
      <c r="U908" s="18" t="str">
        <f aca="false">IF(T908="","",IFERROR(VLOOKUP(T908,REPS!$A$2:$D$40,2,0),""))</f>
        <v/>
      </c>
      <c r="V908" s="14" t="str">
        <f aca="false">IF(O908="","",IF(U908="",0,O908*IF(U908&gt;1,U908/100,U908)))</f>
        <v/>
      </c>
      <c r="W908" s="11"/>
      <c r="X908" s="18" t="str">
        <f aca="false">IF(W908="","",IFERROR(VLOOKUP(W908,REPS!$A$2:$D$40,3,0),""))</f>
        <v/>
      </c>
      <c r="Y908" s="14" t="str">
        <f aca="false">IF(O908="","",IF(X908="",0,O908*IF(X908&gt;1,X908/100,X908)))</f>
        <v/>
      </c>
      <c r="Z908" s="11"/>
      <c r="AA908" s="18" t="str">
        <f aca="false">IF(Z908="","",IFERROR(VLOOKUP(Z908,REPS!$A$2:$D$40,4,0),""))</f>
        <v/>
      </c>
      <c r="AB908" s="14" t="str">
        <f aca="false">IF(O908="","",IF(AA908="",0,O908*IF(AA908&gt;1,AA908/100,AA908)))</f>
        <v/>
      </c>
      <c r="AC908" s="14" t="str">
        <f aca="false">IF(O908="","",V908+Y908+AB908)</f>
        <v/>
      </c>
      <c r="AD908" s="19" t="str">
        <f aca="false">IF(O908="","",O908-R908-AC908)</f>
        <v/>
      </c>
      <c r="AE908" s="20"/>
      <c r="AF908" s="10"/>
      <c r="AG908" s="21" t="n">
        <f aca="false">IF(OR(AE908="",AE908=0),0,AE908*IF(U908="",0,IF(U908&gt;1,U908/100,U908)))</f>
        <v>0</v>
      </c>
      <c r="AH908" s="21" t="n">
        <f aca="false">IF(OR(AE908="",AE908=0),0,AE908*IF(X908="",0,IF(X908&gt;1,X908/100,X908)))</f>
        <v>0</v>
      </c>
      <c r="AI908" s="21" t="n">
        <f aca="false">IF(OR(AE908="",AE908=0),0,AE908*IF(AA908="",0,IF(AA908&gt;1,AA908/100,AA908)))</f>
        <v>0</v>
      </c>
      <c r="AJ908" s="21" t="n">
        <f aca="false">AG908+AH908+AI908</f>
        <v>0</v>
      </c>
      <c r="AK908" s="21" t="n">
        <f aca="false">IF(OR(AE908="",AE908=0),0,AE908-AJ908)</f>
        <v>0</v>
      </c>
      <c r="AL908" s="19" t="str">
        <f aca="false">IF(AD908="","",AD908-AK908)</f>
        <v/>
      </c>
      <c r="AM908" s="9" t="str">
        <f aca="false">IF(C908="","","Waiting for payment")</f>
        <v/>
      </c>
      <c r="AN908" s="10"/>
      <c r="AO908" s="10"/>
      <c r="AP908" s="22" t="str">
        <f aca="false">IF(OR(C908="",I908="",K908=""),"",IF(K908="Monthly",EDATE(C908,ROUND(I908*SETTINGS!$I$8,0)),WORKDAY(C908,ROUND(I908*SETTINGS!$I$8,0))))</f>
        <v/>
      </c>
      <c r="AQ908" s="9" t="str">
        <f aca="true">IF(C908="","",IF(AND(AP908&lt;&gt;"",TODAY()&gt;=AP908),"Refi Ready",IF(TODAY()-C908&gt;=SETTINGS!$I$11,"Prospecting","Performing")))</f>
        <v/>
      </c>
      <c r="AR908" s="22" t="str">
        <f aca="false">IF(OR(C908="",I908="",K908=""),"",IF(K908="Monthly",EDATE(C908,I908),WORKDAY(C908,I908)))</f>
        <v/>
      </c>
      <c r="AS908" s="11"/>
      <c r="AT908" s="23" t="str">
        <f aca="true">IF(C908="","",IF(AM908="Clawed Back","CLAWED",IF(TODAY()&lt;=C908+SETTINGS!$I$2,"⚠ AT RISK","SAFE")))</f>
        <v/>
      </c>
      <c r="AU908" s="11"/>
      <c r="AW908" s="24" t="n">
        <f aca="false">AW907+IF(AND(C908&lt;&gt;"",AO908&lt;&gt;"",OR('REP COMMISSION'!$B$3="",T908='REP COMMISSION'!$B$3,W908='REP COMMISSION'!$B$3,Z908='REP COMMISSION'!$B$3)),1,0)</f>
        <v>0</v>
      </c>
      <c r="AX908" s="24" t="n">
        <f aca="false">AX907+IF(AND(C908&lt;&gt;"",OR(F908="LOC - INITIAL",F908="CONSOLIDATION - UPFRONT COMM",F908="REVERSE - TOTAL FUNDING")),1,0)</f>
        <v>0</v>
      </c>
    </row>
    <row r="909" customFormat="false" ht="15" hidden="false" customHeight="false" outlineLevel="0" collapsed="false">
      <c r="A909" s="25" t="str">
        <f aca="false">IF(C909&lt;&gt;"","F"&amp;COUNT($C$4:C909),"")</f>
        <v/>
      </c>
      <c r="B909" s="26" t="str">
        <f aca="false">IF(OR(F909="LOC - INITIAL",F909="CONSOLIDATION - UPFRONT COMM",F909="REVERSE - TOTAL FUNDING"),A909,"")</f>
        <v/>
      </c>
      <c r="C909" s="27"/>
      <c r="D909" s="28"/>
      <c r="E909" s="28"/>
      <c r="F909" s="28"/>
      <c r="G909" s="29"/>
      <c r="H909" s="30"/>
      <c r="I909" s="28"/>
      <c r="J909" s="31" t="str">
        <f aca="false">IF(AND(G909&lt;&gt;"",H909&lt;&gt;""),G909*H909,"")</f>
        <v/>
      </c>
      <c r="K909" s="28"/>
      <c r="L909" s="32"/>
      <c r="M909" s="32"/>
      <c r="N909" s="31" t="n">
        <f aca="false">IF(OR(G909="",M909=""),0,IF(M909&gt;100,M909,G909*IF(M909&gt;1,M909/100,M909)))</f>
        <v>0</v>
      </c>
      <c r="O909" s="31" t="str">
        <f aca="false">IF(G909="","",G909*IF(L909="",0,IF(L909&gt;1,L909/100,L909))+N909)</f>
        <v/>
      </c>
      <c r="P909" s="28"/>
      <c r="Q909" s="33" t="str">
        <f aca="false">IF(P909="","",IFERROR(VLOOKUP(P909,PARTNERS!$A$2:$B$30,2,0),""))</f>
        <v/>
      </c>
      <c r="R909" s="17" t="str">
        <f aca="false">IF(O909="","",IF(OR(P909="",Q909=""),0,(O909-N909)*IF(Q909&gt;1,Q909/100,Q909)))</f>
        <v/>
      </c>
      <c r="S909" s="31" t="str">
        <f aca="false">IF(O909="","",O909-R909)</f>
        <v/>
      </c>
      <c r="T909" s="28"/>
      <c r="U909" s="34" t="str">
        <f aca="false">IF(T909="","",IFERROR(VLOOKUP(T909,REPS!$A$2:$D$40,2,0),""))</f>
        <v/>
      </c>
      <c r="V909" s="31" t="str">
        <f aca="false">IF(O909="","",IF(U909="",0,O909*IF(U909&gt;1,U909/100,U909)))</f>
        <v/>
      </c>
      <c r="W909" s="28"/>
      <c r="X909" s="34" t="str">
        <f aca="false">IF(W909="","",IFERROR(VLOOKUP(W909,REPS!$A$2:$D$40,3,0),""))</f>
        <v/>
      </c>
      <c r="Y909" s="31" t="str">
        <f aca="false">IF(O909="","",IF(X909="",0,O909*IF(X909&gt;1,X909/100,X909)))</f>
        <v/>
      </c>
      <c r="Z909" s="28"/>
      <c r="AA909" s="34" t="str">
        <f aca="false">IF(Z909="","",IFERROR(VLOOKUP(Z909,REPS!$A$2:$D$40,4,0),""))</f>
        <v/>
      </c>
      <c r="AB909" s="31" t="str">
        <f aca="false">IF(O909="","",IF(AA909="",0,O909*IF(AA909&gt;1,AA909/100,AA909)))</f>
        <v/>
      </c>
      <c r="AC909" s="31" t="str">
        <f aca="false">IF(O909="","",V909+Y909+AB909)</f>
        <v/>
      </c>
      <c r="AD909" s="19" t="str">
        <f aca="false">IF(O909="","",O909-R909-AC909)</f>
        <v/>
      </c>
      <c r="AE909" s="20"/>
      <c r="AF909" s="27"/>
      <c r="AG909" s="21" t="n">
        <f aca="false">IF(OR(AE909="",AE909=0),0,AE909*IF(U909="",0,IF(U909&gt;1,U909/100,U909)))</f>
        <v>0</v>
      </c>
      <c r="AH909" s="21" t="n">
        <f aca="false">IF(OR(AE909="",AE909=0),0,AE909*IF(X909="",0,IF(X909&gt;1,X909/100,X909)))</f>
        <v>0</v>
      </c>
      <c r="AI909" s="21" t="n">
        <f aca="false">IF(OR(AE909="",AE909=0),0,AE909*IF(AA909="",0,IF(AA909&gt;1,AA909/100,AA909)))</f>
        <v>0</v>
      </c>
      <c r="AJ909" s="21" t="n">
        <f aca="false">AG909+AH909+AI909</f>
        <v>0</v>
      </c>
      <c r="AK909" s="21" t="n">
        <f aca="false">IF(OR(AE909="",AE909=0),0,AE909-AJ909)</f>
        <v>0</v>
      </c>
      <c r="AL909" s="19" t="str">
        <f aca="false">IF(AD909="","",AD909-AK909)</f>
        <v/>
      </c>
      <c r="AM909" s="26" t="str">
        <f aca="false">IF(C909="","","Waiting for payment")</f>
        <v/>
      </c>
      <c r="AN909" s="27"/>
      <c r="AO909" s="27"/>
      <c r="AP909" s="35" t="str">
        <f aca="false">IF(OR(C909="",I909="",K909=""),"",IF(K909="Monthly",EDATE(C909,ROUND(I909*SETTINGS!$I$8,0)),WORKDAY(C909,ROUND(I909*SETTINGS!$I$8,0))))</f>
        <v/>
      </c>
      <c r="AQ909" s="26" t="str">
        <f aca="true">IF(C909="","",IF(AND(AP909&lt;&gt;"",TODAY()&gt;=AP909),"Refi Ready",IF(TODAY()-C909&gt;=SETTINGS!$I$11,"Prospecting","Performing")))</f>
        <v/>
      </c>
      <c r="AR909" s="35" t="str">
        <f aca="false">IF(OR(C909="",I909="",K909=""),"",IF(K909="Monthly",EDATE(C909,I909),WORKDAY(C909,I909)))</f>
        <v/>
      </c>
      <c r="AS909" s="28"/>
      <c r="AT909" s="36" t="str">
        <f aca="true">IF(C909="","",IF(AM909="Clawed Back","CLAWED",IF(TODAY()&lt;=C909+SETTINGS!$I$2,"⚠ AT RISK","SAFE")))</f>
        <v/>
      </c>
      <c r="AU909" s="28"/>
      <c r="AW909" s="24" t="n">
        <f aca="false">AW908+IF(AND(C909&lt;&gt;"",AO909&lt;&gt;"",OR('REP COMMISSION'!$B$3="",T909='REP COMMISSION'!$B$3,W909='REP COMMISSION'!$B$3,Z909='REP COMMISSION'!$B$3)),1,0)</f>
        <v>0</v>
      </c>
      <c r="AX909" s="24" t="n">
        <f aca="false">AX908+IF(AND(C909&lt;&gt;"",OR(F909="LOC - INITIAL",F909="CONSOLIDATION - UPFRONT COMM",F909="REVERSE - TOTAL FUNDING")),1,0)</f>
        <v>0</v>
      </c>
    </row>
    <row r="910" customFormat="false" ht="15" hidden="false" customHeight="false" outlineLevel="0" collapsed="false">
      <c r="A910" s="8" t="str">
        <f aca="false">IF(C910&lt;&gt;"","F"&amp;COUNT($C$4:C910),"")</f>
        <v/>
      </c>
      <c r="B910" s="9" t="str">
        <f aca="false">IF(OR(F910="LOC - INITIAL",F910="CONSOLIDATION - UPFRONT COMM",F910="REVERSE - TOTAL FUNDING"),A910,"")</f>
        <v/>
      </c>
      <c r="C910" s="10"/>
      <c r="D910" s="11"/>
      <c r="E910" s="11"/>
      <c r="F910" s="11"/>
      <c r="G910" s="12"/>
      <c r="H910" s="13"/>
      <c r="I910" s="11"/>
      <c r="J910" s="14" t="str">
        <f aca="false">IF(AND(G910&lt;&gt;"",H910&lt;&gt;""),G910*H910,"")</f>
        <v/>
      </c>
      <c r="K910" s="11"/>
      <c r="L910" s="15"/>
      <c r="M910" s="15"/>
      <c r="N910" s="14" t="n">
        <f aca="false">IF(OR(G910="",M910=""),0,IF(M910&gt;100,M910,G910*IF(M910&gt;1,M910/100,M910)))</f>
        <v>0</v>
      </c>
      <c r="O910" s="14" t="str">
        <f aca="false">IF(G910="","",G910*IF(L910="",0,IF(L910&gt;1,L910/100,L910))+N910)</f>
        <v/>
      </c>
      <c r="P910" s="11"/>
      <c r="Q910" s="16" t="str">
        <f aca="false">IF(P910="","",IFERROR(VLOOKUP(P910,PARTNERS!$A$2:$B$30,2,0),""))</f>
        <v/>
      </c>
      <c r="R910" s="17" t="str">
        <f aca="false">IF(O910="","",IF(OR(P910="",Q910=""),0,(O910-N910)*IF(Q910&gt;1,Q910/100,Q910)))</f>
        <v/>
      </c>
      <c r="S910" s="14" t="str">
        <f aca="false">IF(O910="","",O910-R910)</f>
        <v/>
      </c>
      <c r="T910" s="11"/>
      <c r="U910" s="18" t="str">
        <f aca="false">IF(T910="","",IFERROR(VLOOKUP(T910,REPS!$A$2:$D$40,2,0),""))</f>
        <v/>
      </c>
      <c r="V910" s="14" t="str">
        <f aca="false">IF(O910="","",IF(U910="",0,O910*IF(U910&gt;1,U910/100,U910)))</f>
        <v/>
      </c>
      <c r="W910" s="11"/>
      <c r="X910" s="18" t="str">
        <f aca="false">IF(W910="","",IFERROR(VLOOKUP(W910,REPS!$A$2:$D$40,3,0),""))</f>
        <v/>
      </c>
      <c r="Y910" s="14" t="str">
        <f aca="false">IF(O910="","",IF(X910="",0,O910*IF(X910&gt;1,X910/100,X910)))</f>
        <v/>
      </c>
      <c r="Z910" s="11"/>
      <c r="AA910" s="18" t="str">
        <f aca="false">IF(Z910="","",IFERROR(VLOOKUP(Z910,REPS!$A$2:$D$40,4,0),""))</f>
        <v/>
      </c>
      <c r="AB910" s="14" t="str">
        <f aca="false">IF(O910="","",IF(AA910="",0,O910*IF(AA910&gt;1,AA910/100,AA910)))</f>
        <v/>
      </c>
      <c r="AC910" s="14" t="str">
        <f aca="false">IF(O910="","",V910+Y910+AB910)</f>
        <v/>
      </c>
      <c r="AD910" s="19" t="str">
        <f aca="false">IF(O910="","",O910-R910-AC910)</f>
        <v/>
      </c>
      <c r="AE910" s="20"/>
      <c r="AF910" s="10"/>
      <c r="AG910" s="21" t="n">
        <f aca="false">IF(OR(AE910="",AE910=0),0,AE910*IF(U910="",0,IF(U910&gt;1,U910/100,U910)))</f>
        <v>0</v>
      </c>
      <c r="AH910" s="21" t="n">
        <f aca="false">IF(OR(AE910="",AE910=0),0,AE910*IF(X910="",0,IF(X910&gt;1,X910/100,X910)))</f>
        <v>0</v>
      </c>
      <c r="AI910" s="21" t="n">
        <f aca="false">IF(OR(AE910="",AE910=0),0,AE910*IF(AA910="",0,IF(AA910&gt;1,AA910/100,AA910)))</f>
        <v>0</v>
      </c>
      <c r="AJ910" s="21" t="n">
        <f aca="false">AG910+AH910+AI910</f>
        <v>0</v>
      </c>
      <c r="AK910" s="21" t="n">
        <f aca="false">IF(OR(AE910="",AE910=0),0,AE910-AJ910)</f>
        <v>0</v>
      </c>
      <c r="AL910" s="19" t="str">
        <f aca="false">IF(AD910="","",AD910-AK910)</f>
        <v/>
      </c>
      <c r="AM910" s="9" t="str">
        <f aca="false">IF(C910="","","Waiting for payment")</f>
        <v/>
      </c>
      <c r="AN910" s="10"/>
      <c r="AO910" s="10"/>
      <c r="AP910" s="22" t="str">
        <f aca="false">IF(OR(C910="",I910="",K910=""),"",IF(K910="Monthly",EDATE(C910,ROUND(I910*SETTINGS!$I$8,0)),WORKDAY(C910,ROUND(I910*SETTINGS!$I$8,0))))</f>
        <v/>
      </c>
      <c r="AQ910" s="9" t="str">
        <f aca="true">IF(C910="","",IF(AND(AP910&lt;&gt;"",TODAY()&gt;=AP910),"Refi Ready",IF(TODAY()-C910&gt;=SETTINGS!$I$11,"Prospecting","Performing")))</f>
        <v/>
      </c>
      <c r="AR910" s="22" t="str">
        <f aca="false">IF(OR(C910="",I910="",K910=""),"",IF(K910="Monthly",EDATE(C910,I910),WORKDAY(C910,I910)))</f>
        <v/>
      </c>
      <c r="AS910" s="11"/>
      <c r="AT910" s="23" t="str">
        <f aca="true">IF(C910="","",IF(AM910="Clawed Back","CLAWED",IF(TODAY()&lt;=C910+SETTINGS!$I$2,"⚠ AT RISK","SAFE")))</f>
        <v/>
      </c>
      <c r="AU910" s="11"/>
      <c r="AW910" s="24" t="n">
        <f aca="false">AW909+IF(AND(C910&lt;&gt;"",AO910&lt;&gt;"",OR('REP COMMISSION'!$B$3="",T910='REP COMMISSION'!$B$3,W910='REP COMMISSION'!$B$3,Z910='REP COMMISSION'!$B$3)),1,0)</f>
        <v>0</v>
      </c>
      <c r="AX910" s="24" t="n">
        <f aca="false">AX909+IF(AND(C910&lt;&gt;"",OR(F910="LOC - INITIAL",F910="CONSOLIDATION - UPFRONT COMM",F910="REVERSE - TOTAL FUNDING")),1,0)</f>
        <v>0</v>
      </c>
    </row>
    <row r="911" customFormat="false" ht="15" hidden="false" customHeight="false" outlineLevel="0" collapsed="false">
      <c r="A911" s="25" t="str">
        <f aca="false">IF(C911&lt;&gt;"","F"&amp;COUNT($C$4:C911),"")</f>
        <v/>
      </c>
      <c r="B911" s="26" t="str">
        <f aca="false">IF(OR(F911="LOC - INITIAL",F911="CONSOLIDATION - UPFRONT COMM",F911="REVERSE - TOTAL FUNDING"),A911,"")</f>
        <v/>
      </c>
      <c r="C911" s="27"/>
      <c r="D911" s="28"/>
      <c r="E911" s="28"/>
      <c r="F911" s="28"/>
      <c r="G911" s="29"/>
      <c r="H911" s="30"/>
      <c r="I911" s="28"/>
      <c r="J911" s="31" t="str">
        <f aca="false">IF(AND(G911&lt;&gt;"",H911&lt;&gt;""),G911*H911,"")</f>
        <v/>
      </c>
      <c r="K911" s="28"/>
      <c r="L911" s="32"/>
      <c r="M911" s="32"/>
      <c r="N911" s="31" t="n">
        <f aca="false">IF(OR(G911="",M911=""),0,IF(M911&gt;100,M911,G911*IF(M911&gt;1,M911/100,M911)))</f>
        <v>0</v>
      </c>
      <c r="O911" s="31" t="str">
        <f aca="false">IF(G911="","",G911*IF(L911="",0,IF(L911&gt;1,L911/100,L911))+N911)</f>
        <v/>
      </c>
      <c r="P911" s="28"/>
      <c r="Q911" s="33" t="str">
        <f aca="false">IF(P911="","",IFERROR(VLOOKUP(P911,PARTNERS!$A$2:$B$30,2,0),""))</f>
        <v/>
      </c>
      <c r="R911" s="17" t="str">
        <f aca="false">IF(O911="","",IF(OR(P911="",Q911=""),0,(O911-N911)*IF(Q911&gt;1,Q911/100,Q911)))</f>
        <v/>
      </c>
      <c r="S911" s="31" t="str">
        <f aca="false">IF(O911="","",O911-R911)</f>
        <v/>
      </c>
      <c r="T911" s="28"/>
      <c r="U911" s="34" t="str">
        <f aca="false">IF(T911="","",IFERROR(VLOOKUP(T911,REPS!$A$2:$D$40,2,0),""))</f>
        <v/>
      </c>
      <c r="V911" s="31" t="str">
        <f aca="false">IF(O911="","",IF(U911="",0,O911*IF(U911&gt;1,U911/100,U911)))</f>
        <v/>
      </c>
      <c r="W911" s="28"/>
      <c r="X911" s="34" t="str">
        <f aca="false">IF(W911="","",IFERROR(VLOOKUP(W911,REPS!$A$2:$D$40,3,0),""))</f>
        <v/>
      </c>
      <c r="Y911" s="31" t="str">
        <f aca="false">IF(O911="","",IF(X911="",0,O911*IF(X911&gt;1,X911/100,X911)))</f>
        <v/>
      </c>
      <c r="Z911" s="28"/>
      <c r="AA911" s="34" t="str">
        <f aca="false">IF(Z911="","",IFERROR(VLOOKUP(Z911,REPS!$A$2:$D$40,4,0),""))</f>
        <v/>
      </c>
      <c r="AB911" s="31" t="str">
        <f aca="false">IF(O911="","",IF(AA911="",0,O911*IF(AA911&gt;1,AA911/100,AA911)))</f>
        <v/>
      </c>
      <c r="AC911" s="31" t="str">
        <f aca="false">IF(O911="","",V911+Y911+AB911)</f>
        <v/>
      </c>
      <c r="AD911" s="19" t="str">
        <f aca="false">IF(O911="","",O911-R911-AC911)</f>
        <v/>
      </c>
      <c r="AE911" s="20"/>
      <c r="AF911" s="27"/>
      <c r="AG911" s="21" t="n">
        <f aca="false">IF(OR(AE911="",AE911=0),0,AE911*IF(U911="",0,IF(U911&gt;1,U911/100,U911)))</f>
        <v>0</v>
      </c>
      <c r="AH911" s="21" t="n">
        <f aca="false">IF(OR(AE911="",AE911=0),0,AE911*IF(X911="",0,IF(X911&gt;1,X911/100,X911)))</f>
        <v>0</v>
      </c>
      <c r="AI911" s="21" t="n">
        <f aca="false">IF(OR(AE911="",AE911=0),0,AE911*IF(AA911="",0,IF(AA911&gt;1,AA911/100,AA911)))</f>
        <v>0</v>
      </c>
      <c r="AJ911" s="21" t="n">
        <f aca="false">AG911+AH911+AI911</f>
        <v>0</v>
      </c>
      <c r="AK911" s="21" t="n">
        <f aca="false">IF(OR(AE911="",AE911=0),0,AE911-AJ911)</f>
        <v>0</v>
      </c>
      <c r="AL911" s="19" t="str">
        <f aca="false">IF(AD911="","",AD911-AK911)</f>
        <v/>
      </c>
      <c r="AM911" s="26" t="str">
        <f aca="false">IF(C911="","","Waiting for payment")</f>
        <v/>
      </c>
      <c r="AN911" s="27"/>
      <c r="AO911" s="27"/>
      <c r="AP911" s="35" t="str">
        <f aca="false">IF(OR(C911="",I911="",K911=""),"",IF(K911="Monthly",EDATE(C911,ROUND(I911*SETTINGS!$I$8,0)),WORKDAY(C911,ROUND(I911*SETTINGS!$I$8,0))))</f>
        <v/>
      </c>
      <c r="AQ911" s="26" t="str">
        <f aca="true">IF(C911="","",IF(AND(AP911&lt;&gt;"",TODAY()&gt;=AP911),"Refi Ready",IF(TODAY()-C911&gt;=SETTINGS!$I$11,"Prospecting","Performing")))</f>
        <v/>
      </c>
      <c r="AR911" s="35" t="str">
        <f aca="false">IF(OR(C911="",I911="",K911=""),"",IF(K911="Monthly",EDATE(C911,I911),WORKDAY(C911,I911)))</f>
        <v/>
      </c>
      <c r="AS911" s="28"/>
      <c r="AT911" s="36" t="str">
        <f aca="true">IF(C911="","",IF(AM911="Clawed Back","CLAWED",IF(TODAY()&lt;=C911+SETTINGS!$I$2,"⚠ AT RISK","SAFE")))</f>
        <v/>
      </c>
      <c r="AU911" s="28"/>
      <c r="AW911" s="24" t="n">
        <f aca="false">AW910+IF(AND(C911&lt;&gt;"",AO911&lt;&gt;"",OR('REP COMMISSION'!$B$3="",T911='REP COMMISSION'!$B$3,W911='REP COMMISSION'!$B$3,Z911='REP COMMISSION'!$B$3)),1,0)</f>
        <v>0</v>
      </c>
      <c r="AX911" s="24" t="n">
        <f aca="false">AX910+IF(AND(C911&lt;&gt;"",OR(F911="LOC - INITIAL",F911="CONSOLIDATION - UPFRONT COMM",F911="REVERSE - TOTAL FUNDING")),1,0)</f>
        <v>0</v>
      </c>
    </row>
    <row r="912" customFormat="false" ht="15" hidden="false" customHeight="false" outlineLevel="0" collapsed="false">
      <c r="A912" s="8" t="str">
        <f aca="false">IF(C912&lt;&gt;"","F"&amp;COUNT($C$4:C912),"")</f>
        <v/>
      </c>
      <c r="B912" s="9" t="str">
        <f aca="false">IF(OR(F912="LOC - INITIAL",F912="CONSOLIDATION - UPFRONT COMM",F912="REVERSE - TOTAL FUNDING"),A912,"")</f>
        <v/>
      </c>
      <c r="C912" s="10"/>
      <c r="D912" s="11"/>
      <c r="E912" s="11"/>
      <c r="F912" s="11"/>
      <c r="G912" s="12"/>
      <c r="H912" s="13"/>
      <c r="I912" s="11"/>
      <c r="J912" s="14" t="str">
        <f aca="false">IF(AND(G912&lt;&gt;"",H912&lt;&gt;""),G912*H912,"")</f>
        <v/>
      </c>
      <c r="K912" s="11"/>
      <c r="L912" s="15"/>
      <c r="M912" s="15"/>
      <c r="N912" s="14" t="n">
        <f aca="false">IF(OR(G912="",M912=""),0,IF(M912&gt;100,M912,G912*IF(M912&gt;1,M912/100,M912)))</f>
        <v>0</v>
      </c>
      <c r="O912" s="14" t="str">
        <f aca="false">IF(G912="","",G912*IF(L912="",0,IF(L912&gt;1,L912/100,L912))+N912)</f>
        <v/>
      </c>
      <c r="P912" s="11"/>
      <c r="Q912" s="16" t="str">
        <f aca="false">IF(P912="","",IFERROR(VLOOKUP(P912,PARTNERS!$A$2:$B$30,2,0),""))</f>
        <v/>
      </c>
      <c r="R912" s="17" t="str">
        <f aca="false">IF(O912="","",IF(OR(P912="",Q912=""),0,(O912-N912)*IF(Q912&gt;1,Q912/100,Q912)))</f>
        <v/>
      </c>
      <c r="S912" s="14" t="str">
        <f aca="false">IF(O912="","",O912-R912)</f>
        <v/>
      </c>
      <c r="T912" s="11"/>
      <c r="U912" s="18" t="str">
        <f aca="false">IF(T912="","",IFERROR(VLOOKUP(T912,REPS!$A$2:$D$40,2,0),""))</f>
        <v/>
      </c>
      <c r="V912" s="14" t="str">
        <f aca="false">IF(O912="","",IF(U912="",0,O912*IF(U912&gt;1,U912/100,U912)))</f>
        <v/>
      </c>
      <c r="W912" s="11"/>
      <c r="X912" s="18" t="str">
        <f aca="false">IF(W912="","",IFERROR(VLOOKUP(W912,REPS!$A$2:$D$40,3,0),""))</f>
        <v/>
      </c>
      <c r="Y912" s="14" t="str">
        <f aca="false">IF(O912="","",IF(X912="",0,O912*IF(X912&gt;1,X912/100,X912)))</f>
        <v/>
      </c>
      <c r="Z912" s="11"/>
      <c r="AA912" s="18" t="str">
        <f aca="false">IF(Z912="","",IFERROR(VLOOKUP(Z912,REPS!$A$2:$D$40,4,0),""))</f>
        <v/>
      </c>
      <c r="AB912" s="14" t="str">
        <f aca="false">IF(O912="","",IF(AA912="",0,O912*IF(AA912&gt;1,AA912/100,AA912)))</f>
        <v/>
      </c>
      <c r="AC912" s="14" t="str">
        <f aca="false">IF(O912="","",V912+Y912+AB912)</f>
        <v/>
      </c>
      <c r="AD912" s="19" t="str">
        <f aca="false">IF(O912="","",O912-R912-AC912)</f>
        <v/>
      </c>
      <c r="AE912" s="20"/>
      <c r="AF912" s="10"/>
      <c r="AG912" s="21" t="n">
        <f aca="false">IF(OR(AE912="",AE912=0),0,AE912*IF(U912="",0,IF(U912&gt;1,U912/100,U912)))</f>
        <v>0</v>
      </c>
      <c r="AH912" s="21" t="n">
        <f aca="false">IF(OR(AE912="",AE912=0),0,AE912*IF(X912="",0,IF(X912&gt;1,X912/100,X912)))</f>
        <v>0</v>
      </c>
      <c r="AI912" s="21" t="n">
        <f aca="false">IF(OR(AE912="",AE912=0),0,AE912*IF(AA912="",0,IF(AA912&gt;1,AA912/100,AA912)))</f>
        <v>0</v>
      </c>
      <c r="AJ912" s="21" t="n">
        <f aca="false">AG912+AH912+AI912</f>
        <v>0</v>
      </c>
      <c r="AK912" s="21" t="n">
        <f aca="false">IF(OR(AE912="",AE912=0),0,AE912-AJ912)</f>
        <v>0</v>
      </c>
      <c r="AL912" s="19" t="str">
        <f aca="false">IF(AD912="","",AD912-AK912)</f>
        <v/>
      </c>
      <c r="AM912" s="9" t="str">
        <f aca="false">IF(C912="","","Waiting for payment")</f>
        <v/>
      </c>
      <c r="AN912" s="10"/>
      <c r="AO912" s="10"/>
      <c r="AP912" s="22" t="str">
        <f aca="false">IF(OR(C912="",I912="",K912=""),"",IF(K912="Monthly",EDATE(C912,ROUND(I912*SETTINGS!$I$8,0)),WORKDAY(C912,ROUND(I912*SETTINGS!$I$8,0))))</f>
        <v/>
      </c>
      <c r="AQ912" s="9" t="str">
        <f aca="true">IF(C912="","",IF(AND(AP912&lt;&gt;"",TODAY()&gt;=AP912),"Refi Ready",IF(TODAY()-C912&gt;=SETTINGS!$I$11,"Prospecting","Performing")))</f>
        <v/>
      </c>
      <c r="AR912" s="22" t="str">
        <f aca="false">IF(OR(C912="",I912="",K912=""),"",IF(K912="Monthly",EDATE(C912,I912),WORKDAY(C912,I912)))</f>
        <v/>
      </c>
      <c r="AS912" s="11"/>
      <c r="AT912" s="23" t="str">
        <f aca="true">IF(C912="","",IF(AM912="Clawed Back","CLAWED",IF(TODAY()&lt;=C912+SETTINGS!$I$2,"⚠ AT RISK","SAFE")))</f>
        <v/>
      </c>
      <c r="AU912" s="11"/>
      <c r="AW912" s="24" t="n">
        <f aca="false">AW911+IF(AND(C912&lt;&gt;"",AO912&lt;&gt;"",OR('REP COMMISSION'!$B$3="",T912='REP COMMISSION'!$B$3,W912='REP COMMISSION'!$B$3,Z912='REP COMMISSION'!$B$3)),1,0)</f>
        <v>0</v>
      </c>
      <c r="AX912" s="24" t="n">
        <f aca="false">AX911+IF(AND(C912&lt;&gt;"",OR(F912="LOC - INITIAL",F912="CONSOLIDATION - UPFRONT COMM",F912="REVERSE - TOTAL FUNDING")),1,0)</f>
        <v>0</v>
      </c>
    </row>
    <row r="913" customFormat="false" ht="15" hidden="false" customHeight="false" outlineLevel="0" collapsed="false">
      <c r="A913" s="25" t="str">
        <f aca="false">IF(C913&lt;&gt;"","F"&amp;COUNT($C$4:C913),"")</f>
        <v/>
      </c>
      <c r="B913" s="26" t="str">
        <f aca="false">IF(OR(F913="LOC - INITIAL",F913="CONSOLIDATION - UPFRONT COMM",F913="REVERSE - TOTAL FUNDING"),A913,"")</f>
        <v/>
      </c>
      <c r="C913" s="27"/>
      <c r="D913" s="28"/>
      <c r="E913" s="28"/>
      <c r="F913" s="28"/>
      <c r="G913" s="29"/>
      <c r="H913" s="30"/>
      <c r="I913" s="28"/>
      <c r="J913" s="31" t="str">
        <f aca="false">IF(AND(G913&lt;&gt;"",H913&lt;&gt;""),G913*H913,"")</f>
        <v/>
      </c>
      <c r="K913" s="28"/>
      <c r="L913" s="32"/>
      <c r="M913" s="32"/>
      <c r="N913" s="31" t="n">
        <f aca="false">IF(OR(G913="",M913=""),0,IF(M913&gt;100,M913,G913*IF(M913&gt;1,M913/100,M913)))</f>
        <v>0</v>
      </c>
      <c r="O913" s="31" t="str">
        <f aca="false">IF(G913="","",G913*IF(L913="",0,IF(L913&gt;1,L913/100,L913))+N913)</f>
        <v/>
      </c>
      <c r="P913" s="28"/>
      <c r="Q913" s="33" t="str">
        <f aca="false">IF(P913="","",IFERROR(VLOOKUP(P913,PARTNERS!$A$2:$B$30,2,0),""))</f>
        <v/>
      </c>
      <c r="R913" s="17" t="str">
        <f aca="false">IF(O913="","",IF(OR(P913="",Q913=""),0,(O913-N913)*IF(Q913&gt;1,Q913/100,Q913)))</f>
        <v/>
      </c>
      <c r="S913" s="31" t="str">
        <f aca="false">IF(O913="","",O913-R913)</f>
        <v/>
      </c>
      <c r="T913" s="28"/>
      <c r="U913" s="34" t="str">
        <f aca="false">IF(T913="","",IFERROR(VLOOKUP(T913,REPS!$A$2:$D$40,2,0),""))</f>
        <v/>
      </c>
      <c r="V913" s="31" t="str">
        <f aca="false">IF(O913="","",IF(U913="",0,O913*IF(U913&gt;1,U913/100,U913)))</f>
        <v/>
      </c>
      <c r="W913" s="28"/>
      <c r="X913" s="34" t="str">
        <f aca="false">IF(W913="","",IFERROR(VLOOKUP(W913,REPS!$A$2:$D$40,3,0),""))</f>
        <v/>
      </c>
      <c r="Y913" s="31" t="str">
        <f aca="false">IF(O913="","",IF(X913="",0,O913*IF(X913&gt;1,X913/100,X913)))</f>
        <v/>
      </c>
      <c r="Z913" s="28"/>
      <c r="AA913" s="34" t="str">
        <f aca="false">IF(Z913="","",IFERROR(VLOOKUP(Z913,REPS!$A$2:$D$40,4,0),""))</f>
        <v/>
      </c>
      <c r="AB913" s="31" t="str">
        <f aca="false">IF(O913="","",IF(AA913="",0,O913*IF(AA913&gt;1,AA913/100,AA913)))</f>
        <v/>
      </c>
      <c r="AC913" s="31" t="str">
        <f aca="false">IF(O913="","",V913+Y913+AB913)</f>
        <v/>
      </c>
      <c r="AD913" s="19" t="str">
        <f aca="false">IF(O913="","",O913-R913-AC913)</f>
        <v/>
      </c>
      <c r="AE913" s="20"/>
      <c r="AF913" s="27"/>
      <c r="AG913" s="21" t="n">
        <f aca="false">IF(OR(AE913="",AE913=0),0,AE913*IF(U913="",0,IF(U913&gt;1,U913/100,U913)))</f>
        <v>0</v>
      </c>
      <c r="AH913" s="21" t="n">
        <f aca="false">IF(OR(AE913="",AE913=0),0,AE913*IF(X913="",0,IF(X913&gt;1,X913/100,X913)))</f>
        <v>0</v>
      </c>
      <c r="AI913" s="21" t="n">
        <f aca="false">IF(OR(AE913="",AE913=0),0,AE913*IF(AA913="",0,IF(AA913&gt;1,AA913/100,AA913)))</f>
        <v>0</v>
      </c>
      <c r="AJ913" s="21" t="n">
        <f aca="false">AG913+AH913+AI913</f>
        <v>0</v>
      </c>
      <c r="AK913" s="21" t="n">
        <f aca="false">IF(OR(AE913="",AE913=0),0,AE913-AJ913)</f>
        <v>0</v>
      </c>
      <c r="AL913" s="19" t="str">
        <f aca="false">IF(AD913="","",AD913-AK913)</f>
        <v/>
      </c>
      <c r="AM913" s="26" t="str">
        <f aca="false">IF(C913="","","Waiting for payment")</f>
        <v/>
      </c>
      <c r="AN913" s="27"/>
      <c r="AO913" s="27"/>
      <c r="AP913" s="35" t="str">
        <f aca="false">IF(OR(C913="",I913="",K913=""),"",IF(K913="Monthly",EDATE(C913,ROUND(I913*SETTINGS!$I$8,0)),WORKDAY(C913,ROUND(I913*SETTINGS!$I$8,0))))</f>
        <v/>
      </c>
      <c r="AQ913" s="26" t="str">
        <f aca="true">IF(C913="","",IF(AND(AP913&lt;&gt;"",TODAY()&gt;=AP913),"Refi Ready",IF(TODAY()-C913&gt;=SETTINGS!$I$11,"Prospecting","Performing")))</f>
        <v/>
      </c>
      <c r="AR913" s="35" t="str">
        <f aca="false">IF(OR(C913="",I913="",K913=""),"",IF(K913="Monthly",EDATE(C913,I913),WORKDAY(C913,I913)))</f>
        <v/>
      </c>
      <c r="AS913" s="28"/>
      <c r="AT913" s="36" t="str">
        <f aca="true">IF(C913="","",IF(AM913="Clawed Back","CLAWED",IF(TODAY()&lt;=C913+SETTINGS!$I$2,"⚠ AT RISK","SAFE")))</f>
        <v/>
      </c>
      <c r="AU913" s="28"/>
      <c r="AW913" s="24" t="n">
        <f aca="false">AW912+IF(AND(C913&lt;&gt;"",AO913&lt;&gt;"",OR('REP COMMISSION'!$B$3="",T913='REP COMMISSION'!$B$3,W913='REP COMMISSION'!$B$3,Z913='REP COMMISSION'!$B$3)),1,0)</f>
        <v>0</v>
      </c>
      <c r="AX913" s="24" t="n">
        <f aca="false">AX912+IF(AND(C913&lt;&gt;"",OR(F913="LOC - INITIAL",F913="CONSOLIDATION - UPFRONT COMM",F913="REVERSE - TOTAL FUNDING")),1,0)</f>
        <v>0</v>
      </c>
    </row>
    <row r="914" customFormat="false" ht="15" hidden="false" customHeight="false" outlineLevel="0" collapsed="false">
      <c r="A914" s="8" t="str">
        <f aca="false">IF(C914&lt;&gt;"","F"&amp;COUNT($C$4:C914),"")</f>
        <v/>
      </c>
      <c r="B914" s="9" t="str">
        <f aca="false">IF(OR(F914="LOC - INITIAL",F914="CONSOLIDATION - UPFRONT COMM",F914="REVERSE - TOTAL FUNDING"),A914,"")</f>
        <v/>
      </c>
      <c r="C914" s="10"/>
      <c r="D914" s="11"/>
      <c r="E914" s="11"/>
      <c r="F914" s="11"/>
      <c r="G914" s="12"/>
      <c r="H914" s="13"/>
      <c r="I914" s="11"/>
      <c r="J914" s="14" t="str">
        <f aca="false">IF(AND(G914&lt;&gt;"",H914&lt;&gt;""),G914*H914,"")</f>
        <v/>
      </c>
      <c r="K914" s="11"/>
      <c r="L914" s="15"/>
      <c r="M914" s="15"/>
      <c r="N914" s="14" t="n">
        <f aca="false">IF(OR(G914="",M914=""),0,IF(M914&gt;100,M914,G914*IF(M914&gt;1,M914/100,M914)))</f>
        <v>0</v>
      </c>
      <c r="O914" s="14" t="str">
        <f aca="false">IF(G914="","",G914*IF(L914="",0,IF(L914&gt;1,L914/100,L914))+N914)</f>
        <v/>
      </c>
      <c r="P914" s="11"/>
      <c r="Q914" s="16" t="str">
        <f aca="false">IF(P914="","",IFERROR(VLOOKUP(P914,PARTNERS!$A$2:$B$30,2,0),""))</f>
        <v/>
      </c>
      <c r="R914" s="17" t="str">
        <f aca="false">IF(O914="","",IF(OR(P914="",Q914=""),0,(O914-N914)*IF(Q914&gt;1,Q914/100,Q914)))</f>
        <v/>
      </c>
      <c r="S914" s="14" t="str">
        <f aca="false">IF(O914="","",O914-R914)</f>
        <v/>
      </c>
      <c r="T914" s="11"/>
      <c r="U914" s="18" t="str">
        <f aca="false">IF(T914="","",IFERROR(VLOOKUP(T914,REPS!$A$2:$D$40,2,0),""))</f>
        <v/>
      </c>
      <c r="V914" s="14" t="str">
        <f aca="false">IF(O914="","",IF(U914="",0,O914*IF(U914&gt;1,U914/100,U914)))</f>
        <v/>
      </c>
      <c r="W914" s="11"/>
      <c r="X914" s="18" t="str">
        <f aca="false">IF(W914="","",IFERROR(VLOOKUP(W914,REPS!$A$2:$D$40,3,0),""))</f>
        <v/>
      </c>
      <c r="Y914" s="14" t="str">
        <f aca="false">IF(O914="","",IF(X914="",0,O914*IF(X914&gt;1,X914/100,X914)))</f>
        <v/>
      </c>
      <c r="Z914" s="11"/>
      <c r="AA914" s="18" t="str">
        <f aca="false">IF(Z914="","",IFERROR(VLOOKUP(Z914,REPS!$A$2:$D$40,4,0),""))</f>
        <v/>
      </c>
      <c r="AB914" s="14" t="str">
        <f aca="false">IF(O914="","",IF(AA914="",0,O914*IF(AA914&gt;1,AA914/100,AA914)))</f>
        <v/>
      </c>
      <c r="AC914" s="14" t="str">
        <f aca="false">IF(O914="","",V914+Y914+AB914)</f>
        <v/>
      </c>
      <c r="AD914" s="19" t="str">
        <f aca="false">IF(O914="","",O914-R914-AC914)</f>
        <v/>
      </c>
      <c r="AE914" s="20"/>
      <c r="AF914" s="10"/>
      <c r="AG914" s="21" t="n">
        <f aca="false">IF(OR(AE914="",AE914=0),0,AE914*IF(U914="",0,IF(U914&gt;1,U914/100,U914)))</f>
        <v>0</v>
      </c>
      <c r="AH914" s="21" t="n">
        <f aca="false">IF(OR(AE914="",AE914=0),0,AE914*IF(X914="",0,IF(X914&gt;1,X914/100,X914)))</f>
        <v>0</v>
      </c>
      <c r="AI914" s="21" t="n">
        <f aca="false">IF(OR(AE914="",AE914=0),0,AE914*IF(AA914="",0,IF(AA914&gt;1,AA914/100,AA914)))</f>
        <v>0</v>
      </c>
      <c r="AJ914" s="21" t="n">
        <f aca="false">AG914+AH914+AI914</f>
        <v>0</v>
      </c>
      <c r="AK914" s="21" t="n">
        <f aca="false">IF(OR(AE914="",AE914=0),0,AE914-AJ914)</f>
        <v>0</v>
      </c>
      <c r="AL914" s="19" t="str">
        <f aca="false">IF(AD914="","",AD914-AK914)</f>
        <v/>
      </c>
      <c r="AM914" s="9" t="str">
        <f aca="false">IF(C914="","","Waiting for payment")</f>
        <v/>
      </c>
      <c r="AN914" s="10"/>
      <c r="AO914" s="10"/>
      <c r="AP914" s="22" t="str">
        <f aca="false">IF(OR(C914="",I914="",K914=""),"",IF(K914="Monthly",EDATE(C914,ROUND(I914*SETTINGS!$I$8,0)),WORKDAY(C914,ROUND(I914*SETTINGS!$I$8,0))))</f>
        <v/>
      </c>
      <c r="AQ914" s="9" t="str">
        <f aca="true">IF(C914="","",IF(AND(AP914&lt;&gt;"",TODAY()&gt;=AP914),"Refi Ready",IF(TODAY()-C914&gt;=SETTINGS!$I$11,"Prospecting","Performing")))</f>
        <v/>
      </c>
      <c r="AR914" s="22" t="str">
        <f aca="false">IF(OR(C914="",I914="",K914=""),"",IF(K914="Monthly",EDATE(C914,I914),WORKDAY(C914,I914)))</f>
        <v/>
      </c>
      <c r="AS914" s="11"/>
      <c r="AT914" s="23" t="str">
        <f aca="true">IF(C914="","",IF(AM914="Clawed Back","CLAWED",IF(TODAY()&lt;=C914+SETTINGS!$I$2,"⚠ AT RISK","SAFE")))</f>
        <v/>
      </c>
      <c r="AU914" s="11"/>
      <c r="AW914" s="24" t="n">
        <f aca="false">AW913+IF(AND(C914&lt;&gt;"",AO914&lt;&gt;"",OR('REP COMMISSION'!$B$3="",T914='REP COMMISSION'!$B$3,W914='REP COMMISSION'!$B$3,Z914='REP COMMISSION'!$B$3)),1,0)</f>
        <v>0</v>
      </c>
      <c r="AX914" s="24" t="n">
        <f aca="false">AX913+IF(AND(C914&lt;&gt;"",OR(F914="LOC - INITIAL",F914="CONSOLIDATION - UPFRONT COMM",F914="REVERSE - TOTAL FUNDING")),1,0)</f>
        <v>0</v>
      </c>
    </row>
    <row r="915" customFormat="false" ht="15" hidden="false" customHeight="false" outlineLevel="0" collapsed="false">
      <c r="A915" s="25" t="str">
        <f aca="false">IF(C915&lt;&gt;"","F"&amp;COUNT($C$4:C915),"")</f>
        <v/>
      </c>
      <c r="B915" s="26" t="str">
        <f aca="false">IF(OR(F915="LOC - INITIAL",F915="CONSOLIDATION - UPFRONT COMM",F915="REVERSE - TOTAL FUNDING"),A915,"")</f>
        <v/>
      </c>
      <c r="C915" s="27"/>
      <c r="D915" s="28"/>
      <c r="E915" s="28"/>
      <c r="F915" s="28"/>
      <c r="G915" s="29"/>
      <c r="H915" s="30"/>
      <c r="I915" s="28"/>
      <c r="J915" s="31" t="str">
        <f aca="false">IF(AND(G915&lt;&gt;"",H915&lt;&gt;""),G915*H915,"")</f>
        <v/>
      </c>
      <c r="K915" s="28"/>
      <c r="L915" s="32"/>
      <c r="M915" s="32"/>
      <c r="N915" s="31" t="n">
        <f aca="false">IF(OR(G915="",M915=""),0,IF(M915&gt;100,M915,G915*IF(M915&gt;1,M915/100,M915)))</f>
        <v>0</v>
      </c>
      <c r="O915" s="31" t="str">
        <f aca="false">IF(G915="","",G915*IF(L915="",0,IF(L915&gt;1,L915/100,L915))+N915)</f>
        <v/>
      </c>
      <c r="P915" s="28"/>
      <c r="Q915" s="33" t="str">
        <f aca="false">IF(P915="","",IFERROR(VLOOKUP(P915,PARTNERS!$A$2:$B$30,2,0),""))</f>
        <v/>
      </c>
      <c r="R915" s="17" t="str">
        <f aca="false">IF(O915="","",IF(OR(P915="",Q915=""),0,(O915-N915)*IF(Q915&gt;1,Q915/100,Q915)))</f>
        <v/>
      </c>
      <c r="S915" s="31" t="str">
        <f aca="false">IF(O915="","",O915-R915)</f>
        <v/>
      </c>
      <c r="T915" s="28"/>
      <c r="U915" s="34" t="str">
        <f aca="false">IF(T915="","",IFERROR(VLOOKUP(T915,REPS!$A$2:$D$40,2,0),""))</f>
        <v/>
      </c>
      <c r="V915" s="31" t="str">
        <f aca="false">IF(O915="","",IF(U915="",0,O915*IF(U915&gt;1,U915/100,U915)))</f>
        <v/>
      </c>
      <c r="W915" s="28"/>
      <c r="X915" s="34" t="str">
        <f aca="false">IF(W915="","",IFERROR(VLOOKUP(W915,REPS!$A$2:$D$40,3,0),""))</f>
        <v/>
      </c>
      <c r="Y915" s="31" t="str">
        <f aca="false">IF(O915="","",IF(X915="",0,O915*IF(X915&gt;1,X915/100,X915)))</f>
        <v/>
      </c>
      <c r="Z915" s="28"/>
      <c r="AA915" s="34" t="str">
        <f aca="false">IF(Z915="","",IFERROR(VLOOKUP(Z915,REPS!$A$2:$D$40,4,0),""))</f>
        <v/>
      </c>
      <c r="AB915" s="31" t="str">
        <f aca="false">IF(O915="","",IF(AA915="",0,O915*IF(AA915&gt;1,AA915/100,AA915)))</f>
        <v/>
      </c>
      <c r="AC915" s="31" t="str">
        <f aca="false">IF(O915="","",V915+Y915+AB915)</f>
        <v/>
      </c>
      <c r="AD915" s="19" t="str">
        <f aca="false">IF(O915="","",O915-R915-AC915)</f>
        <v/>
      </c>
      <c r="AE915" s="20"/>
      <c r="AF915" s="27"/>
      <c r="AG915" s="21" t="n">
        <f aca="false">IF(OR(AE915="",AE915=0),0,AE915*IF(U915="",0,IF(U915&gt;1,U915/100,U915)))</f>
        <v>0</v>
      </c>
      <c r="AH915" s="21" t="n">
        <f aca="false">IF(OR(AE915="",AE915=0),0,AE915*IF(X915="",0,IF(X915&gt;1,X915/100,X915)))</f>
        <v>0</v>
      </c>
      <c r="AI915" s="21" t="n">
        <f aca="false">IF(OR(AE915="",AE915=0),0,AE915*IF(AA915="",0,IF(AA915&gt;1,AA915/100,AA915)))</f>
        <v>0</v>
      </c>
      <c r="AJ915" s="21" t="n">
        <f aca="false">AG915+AH915+AI915</f>
        <v>0</v>
      </c>
      <c r="AK915" s="21" t="n">
        <f aca="false">IF(OR(AE915="",AE915=0),0,AE915-AJ915)</f>
        <v>0</v>
      </c>
      <c r="AL915" s="19" t="str">
        <f aca="false">IF(AD915="","",AD915-AK915)</f>
        <v/>
      </c>
      <c r="AM915" s="26" t="str">
        <f aca="false">IF(C915="","","Waiting for payment")</f>
        <v/>
      </c>
      <c r="AN915" s="27"/>
      <c r="AO915" s="27"/>
      <c r="AP915" s="35" t="str">
        <f aca="false">IF(OR(C915="",I915="",K915=""),"",IF(K915="Monthly",EDATE(C915,ROUND(I915*SETTINGS!$I$8,0)),WORKDAY(C915,ROUND(I915*SETTINGS!$I$8,0))))</f>
        <v/>
      </c>
      <c r="AQ915" s="26" t="str">
        <f aca="true">IF(C915="","",IF(AND(AP915&lt;&gt;"",TODAY()&gt;=AP915),"Refi Ready",IF(TODAY()-C915&gt;=SETTINGS!$I$11,"Prospecting","Performing")))</f>
        <v/>
      </c>
      <c r="AR915" s="35" t="str">
        <f aca="false">IF(OR(C915="",I915="",K915=""),"",IF(K915="Monthly",EDATE(C915,I915),WORKDAY(C915,I915)))</f>
        <v/>
      </c>
      <c r="AS915" s="28"/>
      <c r="AT915" s="36" t="str">
        <f aca="true">IF(C915="","",IF(AM915="Clawed Back","CLAWED",IF(TODAY()&lt;=C915+SETTINGS!$I$2,"⚠ AT RISK","SAFE")))</f>
        <v/>
      </c>
      <c r="AU915" s="28"/>
      <c r="AW915" s="24" t="n">
        <f aca="false">AW914+IF(AND(C915&lt;&gt;"",AO915&lt;&gt;"",OR('REP COMMISSION'!$B$3="",T915='REP COMMISSION'!$B$3,W915='REP COMMISSION'!$B$3,Z915='REP COMMISSION'!$B$3)),1,0)</f>
        <v>0</v>
      </c>
      <c r="AX915" s="24" t="n">
        <f aca="false">AX914+IF(AND(C915&lt;&gt;"",OR(F915="LOC - INITIAL",F915="CONSOLIDATION - UPFRONT COMM",F915="REVERSE - TOTAL FUNDING")),1,0)</f>
        <v>0</v>
      </c>
    </row>
    <row r="916" customFormat="false" ht="15" hidden="false" customHeight="false" outlineLevel="0" collapsed="false">
      <c r="A916" s="8" t="str">
        <f aca="false">IF(C916&lt;&gt;"","F"&amp;COUNT($C$4:C916),"")</f>
        <v/>
      </c>
      <c r="B916" s="9" t="str">
        <f aca="false">IF(OR(F916="LOC - INITIAL",F916="CONSOLIDATION - UPFRONT COMM",F916="REVERSE - TOTAL FUNDING"),A916,"")</f>
        <v/>
      </c>
      <c r="C916" s="10"/>
      <c r="D916" s="11"/>
      <c r="E916" s="11"/>
      <c r="F916" s="11"/>
      <c r="G916" s="12"/>
      <c r="H916" s="13"/>
      <c r="I916" s="11"/>
      <c r="J916" s="14" t="str">
        <f aca="false">IF(AND(G916&lt;&gt;"",H916&lt;&gt;""),G916*H916,"")</f>
        <v/>
      </c>
      <c r="K916" s="11"/>
      <c r="L916" s="15"/>
      <c r="M916" s="15"/>
      <c r="N916" s="14" t="n">
        <f aca="false">IF(OR(G916="",M916=""),0,IF(M916&gt;100,M916,G916*IF(M916&gt;1,M916/100,M916)))</f>
        <v>0</v>
      </c>
      <c r="O916" s="14" t="str">
        <f aca="false">IF(G916="","",G916*IF(L916="",0,IF(L916&gt;1,L916/100,L916))+N916)</f>
        <v/>
      </c>
      <c r="P916" s="11"/>
      <c r="Q916" s="16" t="str">
        <f aca="false">IF(P916="","",IFERROR(VLOOKUP(P916,PARTNERS!$A$2:$B$30,2,0),""))</f>
        <v/>
      </c>
      <c r="R916" s="17" t="str">
        <f aca="false">IF(O916="","",IF(OR(P916="",Q916=""),0,(O916-N916)*IF(Q916&gt;1,Q916/100,Q916)))</f>
        <v/>
      </c>
      <c r="S916" s="14" t="str">
        <f aca="false">IF(O916="","",O916-R916)</f>
        <v/>
      </c>
      <c r="T916" s="11"/>
      <c r="U916" s="18" t="str">
        <f aca="false">IF(T916="","",IFERROR(VLOOKUP(T916,REPS!$A$2:$D$40,2,0),""))</f>
        <v/>
      </c>
      <c r="V916" s="14" t="str">
        <f aca="false">IF(O916="","",IF(U916="",0,O916*IF(U916&gt;1,U916/100,U916)))</f>
        <v/>
      </c>
      <c r="W916" s="11"/>
      <c r="X916" s="18" t="str">
        <f aca="false">IF(W916="","",IFERROR(VLOOKUP(W916,REPS!$A$2:$D$40,3,0),""))</f>
        <v/>
      </c>
      <c r="Y916" s="14" t="str">
        <f aca="false">IF(O916="","",IF(X916="",0,O916*IF(X916&gt;1,X916/100,X916)))</f>
        <v/>
      </c>
      <c r="Z916" s="11"/>
      <c r="AA916" s="18" t="str">
        <f aca="false">IF(Z916="","",IFERROR(VLOOKUP(Z916,REPS!$A$2:$D$40,4,0),""))</f>
        <v/>
      </c>
      <c r="AB916" s="14" t="str">
        <f aca="false">IF(O916="","",IF(AA916="",0,O916*IF(AA916&gt;1,AA916/100,AA916)))</f>
        <v/>
      </c>
      <c r="AC916" s="14" t="str">
        <f aca="false">IF(O916="","",V916+Y916+AB916)</f>
        <v/>
      </c>
      <c r="AD916" s="19" t="str">
        <f aca="false">IF(O916="","",O916-R916-AC916)</f>
        <v/>
      </c>
      <c r="AE916" s="20"/>
      <c r="AF916" s="10"/>
      <c r="AG916" s="21" t="n">
        <f aca="false">IF(OR(AE916="",AE916=0),0,AE916*IF(U916="",0,IF(U916&gt;1,U916/100,U916)))</f>
        <v>0</v>
      </c>
      <c r="AH916" s="21" t="n">
        <f aca="false">IF(OR(AE916="",AE916=0),0,AE916*IF(X916="",0,IF(X916&gt;1,X916/100,X916)))</f>
        <v>0</v>
      </c>
      <c r="AI916" s="21" t="n">
        <f aca="false">IF(OR(AE916="",AE916=0),0,AE916*IF(AA916="",0,IF(AA916&gt;1,AA916/100,AA916)))</f>
        <v>0</v>
      </c>
      <c r="AJ916" s="21" t="n">
        <f aca="false">AG916+AH916+AI916</f>
        <v>0</v>
      </c>
      <c r="AK916" s="21" t="n">
        <f aca="false">IF(OR(AE916="",AE916=0),0,AE916-AJ916)</f>
        <v>0</v>
      </c>
      <c r="AL916" s="19" t="str">
        <f aca="false">IF(AD916="","",AD916-AK916)</f>
        <v/>
      </c>
      <c r="AM916" s="9" t="str">
        <f aca="false">IF(C916="","","Waiting for payment")</f>
        <v/>
      </c>
      <c r="AN916" s="10"/>
      <c r="AO916" s="10"/>
      <c r="AP916" s="22" t="str">
        <f aca="false">IF(OR(C916="",I916="",K916=""),"",IF(K916="Monthly",EDATE(C916,ROUND(I916*SETTINGS!$I$8,0)),WORKDAY(C916,ROUND(I916*SETTINGS!$I$8,0))))</f>
        <v/>
      </c>
      <c r="AQ916" s="9" t="str">
        <f aca="true">IF(C916="","",IF(AND(AP916&lt;&gt;"",TODAY()&gt;=AP916),"Refi Ready",IF(TODAY()-C916&gt;=SETTINGS!$I$11,"Prospecting","Performing")))</f>
        <v/>
      </c>
      <c r="AR916" s="22" t="str">
        <f aca="false">IF(OR(C916="",I916="",K916=""),"",IF(K916="Monthly",EDATE(C916,I916),WORKDAY(C916,I916)))</f>
        <v/>
      </c>
      <c r="AS916" s="11"/>
      <c r="AT916" s="23" t="str">
        <f aca="true">IF(C916="","",IF(AM916="Clawed Back","CLAWED",IF(TODAY()&lt;=C916+SETTINGS!$I$2,"⚠ AT RISK","SAFE")))</f>
        <v/>
      </c>
      <c r="AU916" s="11"/>
      <c r="AW916" s="24" t="n">
        <f aca="false">AW915+IF(AND(C916&lt;&gt;"",AO916&lt;&gt;"",OR('REP COMMISSION'!$B$3="",T916='REP COMMISSION'!$B$3,W916='REP COMMISSION'!$B$3,Z916='REP COMMISSION'!$B$3)),1,0)</f>
        <v>0</v>
      </c>
      <c r="AX916" s="24" t="n">
        <f aca="false">AX915+IF(AND(C916&lt;&gt;"",OR(F916="LOC - INITIAL",F916="CONSOLIDATION - UPFRONT COMM",F916="REVERSE - TOTAL FUNDING")),1,0)</f>
        <v>0</v>
      </c>
    </row>
    <row r="917" customFormat="false" ht="15" hidden="false" customHeight="false" outlineLevel="0" collapsed="false">
      <c r="A917" s="25" t="str">
        <f aca="false">IF(C917&lt;&gt;"","F"&amp;COUNT($C$4:C917),"")</f>
        <v/>
      </c>
      <c r="B917" s="26" t="str">
        <f aca="false">IF(OR(F917="LOC - INITIAL",F917="CONSOLIDATION - UPFRONT COMM",F917="REVERSE - TOTAL FUNDING"),A917,"")</f>
        <v/>
      </c>
      <c r="C917" s="27"/>
      <c r="D917" s="28"/>
      <c r="E917" s="28"/>
      <c r="F917" s="28"/>
      <c r="G917" s="29"/>
      <c r="H917" s="30"/>
      <c r="I917" s="28"/>
      <c r="J917" s="31" t="str">
        <f aca="false">IF(AND(G917&lt;&gt;"",H917&lt;&gt;""),G917*H917,"")</f>
        <v/>
      </c>
      <c r="K917" s="28"/>
      <c r="L917" s="32"/>
      <c r="M917" s="32"/>
      <c r="N917" s="31" t="n">
        <f aca="false">IF(OR(G917="",M917=""),0,IF(M917&gt;100,M917,G917*IF(M917&gt;1,M917/100,M917)))</f>
        <v>0</v>
      </c>
      <c r="O917" s="31" t="str">
        <f aca="false">IF(G917="","",G917*IF(L917="",0,IF(L917&gt;1,L917/100,L917))+N917)</f>
        <v/>
      </c>
      <c r="P917" s="28"/>
      <c r="Q917" s="33" t="str">
        <f aca="false">IF(P917="","",IFERROR(VLOOKUP(P917,PARTNERS!$A$2:$B$30,2,0),""))</f>
        <v/>
      </c>
      <c r="R917" s="17" t="str">
        <f aca="false">IF(O917="","",IF(OR(P917="",Q917=""),0,(O917-N917)*IF(Q917&gt;1,Q917/100,Q917)))</f>
        <v/>
      </c>
      <c r="S917" s="31" t="str">
        <f aca="false">IF(O917="","",O917-R917)</f>
        <v/>
      </c>
      <c r="T917" s="28"/>
      <c r="U917" s="34" t="str">
        <f aca="false">IF(T917="","",IFERROR(VLOOKUP(T917,REPS!$A$2:$D$40,2,0),""))</f>
        <v/>
      </c>
      <c r="V917" s="31" t="str">
        <f aca="false">IF(O917="","",IF(U917="",0,O917*IF(U917&gt;1,U917/100,U917)))</f>
        <v/>
      </c>
      <c r="W917" s="28"/>
      <c r="X917" s="34" t="str">
        <f aca="false">IF(W917="","",IFERROR(VLOOKUP(W917,REPS!$A$2:$D$40,3,0),""))</f>
        <v/>
      </c>
      <c r="Y917" s="31" t="str">
        <f aca="false">IF(O917="","",IF(X917="",0,O917*IF(X917&gt;1,X917/100,X917)))</f>
        <v/>
      </c>
      <c r="Z917" s="28"/>
      <c r="AA917" s="34" t="str">
        <f aca="false">IF(Z917="","",IFERROR(VLOOKUP(Z917,REPS!$A$2:$D$40,4,0),""))</f>
        <v/>
      </c>
      <c r="AB917" s="31" t="str">
        <f aca="false">IF(O917="","",IF(AA917="",0,O917*IF(AA917&gt;1,AA917/100,AA917)))</f>
        <v/>
      </c>
      <c r="AC917" s="31" t="str">
        <f aca="false">IF(O917="","",V917+Y917+AB917)</f>
        <v/>
      </c>
      <c r="AD917" s="19" t="str">
        <f aca="false">IF(O917="","",O917-R917-AC917)</f>
        <v/>
      </c>
      <c r="AE917" s="20"/>
      <c r="AF917" s="27"/>
      <c r="AG917" s="21" t="n">
        <f aca="false">IF(OR(AE917="",AE917=0),0,AE917*IF(U917="",0,IF(U917&gt;1,U917/100,U917)))</f>
        <v>0</v>
      </c>
      <c r="AH917" s="21" t="n">
        <f aca="false">IF(OR(AE917="",AE917=0),0,AE917*IF(X917="",0,IF(X917&gt;1,X917/100,X917)))</f>
        <v>0</v>
      </c>
      <c r="AI917" s="21" t="n">
        <f aca="false">IF(OR(AE917="",AE917=0),0,AE917*IF(AA917="",0,IF(AA917&gt;1,AA917/100,AA917)))</f>
        <v>0</v>
      </c>
      <c r="AJ917" s="21" t="n">
        <f aca="false">AG917+AH917+AI917</f>
        <v>0</v>
      </c>
      <c r="AK917" s="21" t="n">
        <f aca="false">IF(OR(AE917="",AE917=0),0,AE917-AJ917)</f>
        <v>0</v>
      </c>
      <c r="AL917" s="19" t="str">
        <f aca="false">IF(AD917="","",AD917-AK917)</f>
        <v/>
      </c>
      <c r="AM917" s="26" t="str">
        <f aca="false">IF(C917="","","Waiting for payment")</f>
        <v/>
      </c>
      <c r="AN917" s="27"/>
      <c r="AO917" s="27"/>
      <c r="AP917" s="35" t="str">
        <f aca="false">IF(OR(C917="",I917="",K917=""),"",IF(K917="Monthly",EDATE(C917,ROUND(I917*SETTINGS!$I$8,0)),WORKDAY(C917,ROUND(I917*SETTINGS!$I$8,0))))</f>
        <v/>
      </c>
      <c r="AQ917" s="26" t="str">
        <f aca="true">IF(C917="","",IF(AND(AP917&lt;&gt;"",TODAY()&gt;=AP917),"Refi Ready",IF(TODAY()-C917&gt;=SETTINGS!$I$11,"Prospecting","Performing")))</f>
        <v/>
      </c>
      <c r="AR917" s="35" t="str">
        <f aca="false">IF(OR(C917="",I917="",K917=""),"",IF(K917="Monthly",EDATE(C917,I917),WORKDAY(C917,I917)))</f>
        <v/>
      </c>
      <c r="AS917" s="28"/>
      <c r="AT917" s="36" t="str">
        <f aca="true">IF(C917="","",IF(AM917="Clawed Back","CLAWED",IF(TODAY()&lt;=C917+SETTINGS!$I$2,"⚠ AT RISK","SAFE")))</f>
        <v/>
      </c>
      <c r="AU917" s="28"/>
      <c r="AW917" s="24" t="n">
        <f aca="false">AW916+IF(AND(C917&lt;&gt;"",AO917&lt;&gt;"",OR('REP COMMISSION'!$B$3="",T917='REP COMMISSION'!$B$3,W917='REP COMMISSION'!$B$3,Z917='REP COMMISSION'!$B$3)),1,0)</f>
        <v>0</v>
      </c>
      <c r="AX917" s="24" t="n">
        <f aca="false">AX916+IF(AND(C917&lt;&gt;"",OR(F917="LOC - INITIAL",F917="CONSOLIDATION - UPFRONT COMM",F917="REVERSE - TOTAL FUNDING")),1,0)</f>
        <v>0</v>
      </c>
    </row>
    <row r="918" customFormat="false" ht="15" hidden="false" customHeight="false" outlineLevel="0" collapsed="false">
      <c r="A918" s="8" t="str">
        <f aca="false">IF(C918&lt;&gt;"","F"&amp;COUNT($C$4:C918),"")</f>
        <v/>
      </c>
      <c r="B918" s="9" t="str">
        <f aca="false">IF(OR(F918="LOC - INITIAL",F918="CONSOLIDATION - UPFRONT COMM",F918="REVERSE - TOTAL FUNDING"),A918,"")</f>
        <v/>
      </c>
      <c r="C918" s="10"/>
      <c r="D918" s="11"/>
      <c r="E918" s="11"/>
      <c r="F918" s="11"/>
      <c r="G918" s="12"/>
      <c r="H918" s="13"/>
      <c r="I918" s="11"/>
      <c r="J918" s="14" t="str">
        <f aca="false">IF(AND(G918&lt;&gt;"",H918&lt;&gt;""),G918*H918,"")</f>
        <v/>
      </c>
      <c r="K918" s="11"/>
      <c r="L918" s="15"/>
      <c r="M918" s="15"/>
      <c r="N918" s="14" t="n">
        <f aca="false">IF(OR(G918="",M918=""),0,IF(M918&gt;100,M918,G918*IF(M918&gt;1,M918/100,M918)))</f>
        <v>0</v>
      </c>
      <c r="O918" s="14" t="str">
        <f aca="false">IF(G918="","",G918*IF(L918="",0,IF(L918&gt;1,L918/100,L918))+N918)</f>
        <v/>
      </c>
      <c r="P918" s="11"/>
      <c r="Q918" s="16" t="str">
        <f aca="false">IF(P918="","",IFERROR(VLOOKUP(P918,PARTNERS!$A$2:$B$30,2,0),""))</f>
        <v/>
      </c>
      <c r="R918" s="17" t="str">
        <f aca="false">IF(O918="","",IF(OR(P918="",Q918=""),0,(O918-N918)*IF(Q918&gt;1,Q918/100,Q918)))</f>
        <v/>
      </c>
      <c r="S918" s="14" t="str">
        <f aca="false">IF(O918="","",O918-R918)</f>
        <v/>
      </c>
      <c r="T918" s="11"/>
      <c r="U918" s="18" t="str">
        <f aca="false">IF(T918="","",IFERROR(VLOOKUP(T918,REPS!$A$2:$D$40,2,0),""))</f>
        <v/>
      </c>
      <c r="V918" s="14" t="str">
        <f aca="false">IF(O918="","",IF(U918="",0,O918*IF(U918&gt;1,U918/100,U918)))</f>
        <v/>
      </c>
      <c r="W918" s="11"/>
      <c r="X918" s="18" t="str">
        <f aca="false">IF(W918="","",IFERROR(VLOOKUP(W918,REPS!$A$2:$D$40,3,0),""))</f>
        <v/>
      </c>
      <c r="Y918" s="14" t="str">
        <f aca="false">IF(O918="","",IF(X918="",0,O918*IF(X918&gt;1,X918/100,X918)))</f>
        <v/>
      </c>
      <c r="Z918" s="11"/>
      <c r="AA918" s="18" t="str">
        <f aca="false">IF(Z918="","",IFERROR(VLOOKUP(Z918,REPS!$A$2:$D$40,4,0),""))</f>
        <v/>
      </c>
      <c r="AB918" s="14" t="str">
        <f aca="false">IF(O918="","",IF(AA918="",0,O918*IF(AA918&gt;1,AA918/100,AA918)))</f>
        <v/>
      </c>
      <c r="AC918" s="14" t="str">
        <f aca="false">IF(O918="","",V918+Y918+AB918)</f>
        <v/>
      </c>
      <c r="AD918" s="19" t="str">
        <f aca="false">IF(O918="","",O918-R918-AC918)</f>
        <v/>
      </c>
      <c r="AE918" s="20"/>
      <c r="AF918" s="10"/>
      <c r="AG918" s="21" t="n">
        <f aca="false">IF(OR(AE918="",AE918=0),0,AE918*IF(U918="",0,IF(U918&gt;1,U918/100,U918)))</f>
        <v>0</v>
      </c>
      <c r="AH918" s="21" t="n">
        <f aca="false">IF(OR(AE918="",AE918=0),0,AE918*IF(X918="",0,IF(X918&gt;1,X918/100,X918)))</f>
        <v>0</v>
      </c>
      <c r="AI918" s="21" t="n">
        <f aca="false">IF(OR(AE918="",AE918=0),0,AE918*IF(AA918="",0,IF(AA918&gt;1,AA918/100,AA918)))</f>
        <v>0</v>
      </c>
      <c r="AJ918" s="21" t="n">
        <f aca="false">AG918+AH918+AI918</f>
        <v>0</v>
      </c>
      <c r="AK918" s="21" t="n">
        <f aca="false">IF(OR(AE918="",AE918=0),0,AE918-AJ918)</f>
        <v>0</v>
      </c>
      <c r="AL918" s="19" t="str">
        <f aca="false">IF(AD918="","",AD918-AK918)</f>
        <v/>
      </c>
      <c r="AM918" s="9" t="str">
        <f aca="false">IF(C918="","","Waiting for payment")</f>
        <v/>
      </c>
      <c r="AN918" s="10"/>
      <c r="AO918" s="10"/>
      <c r="AP918" s="22" t="str">
        <f aca="false">IF(OR(C918="",I918="",K918=""),"",IF(K918="Monthly",EDATE(C918,ROUND(I918*SETTINGS!$I$8,0)),WORKDAY(C918,ROUND(I918*SETTINGS!$I$8,0))))</f>
        <v/>
      </c>
      <c r="AQ918" s="9" t="str">
        <f aca="true">IF(C918="","",IF(AND(AP918&lt;&gt;"",TODAY()&gt;=AP918),"Refi Ready",IF(TODAY()-C918&gt;=SETTINGS!$I$11,"Prospecting","Performing")))</f>
        <v/>
      </c>
      <c r="AR918" s="22" t="str">
        <f aca="false">IF(OR(C918="",I918="",K918=""),"",IF(K918="Monthly",EDATE(C918,I918),WORKDAY(C918,I918)))</f>
        <v/>
      </c>
      <c r="AS918" s="11"/>
      <c r="AT918" s="23" t="str">
        <f aca="true">IF(C918="","",IF(AM918="Clawed Back","CLAWED",IF(TODAY()&lt;=C918+SETTINGS!$I$2,"⚠ AT RISK","SAFE")))</f>
        <v/>
      </c>
      <c r="AU918" s="11"/>
      <c r="AW918" s="24" t="n">
        <f aca="false">AW917+IF(AND(C918&lt;&gt;"",AO918&lt;&gt;"",OR('REP COMMISSION'!$B$3="",T918='REP COMMISSION'!$B$3,W918='REP COMMISSION'!$B$3,Z918='REP COMMISSION'!$B$3)),1,0)</f>
        <v>0</v>
      </c>
      <c r="AX918" s="24" t="n">
        <f aca="false">AX917+IF(AND(C918&lt;&gt;"",OR(F918="LOC - INITIAL",F918="CONSOLIDATION - UPFRONT COMM",F918="REVERSE - TOTAL FUNDING")),1,0)</f>
        <v>0</v>
      </c>
    </row>
    <row r="919" customFormat="false" ht="15" hidden="false" customHeight="false" outlineLevel="0" collapsed="false">
      <c r="A919" s="25" t="str">
        <f aca="false">IF(C919&lt;&gt;"","F"&amp;COUNT($C$4:C919),"")</f>
        <v/>
      </c>
      <c r="B919" s="26" t="str">
        <f aca="false">IF(OR(F919="LOC - INITIAL",F919="CONSOLIDATION - UPFRONT COMM",F919="REVERSE - TOTAL FUNDING"),A919,"")</f>
        <v/>
      </c>
      <c r="C919" s="27"/>
      <c r="D919" s="28"/>
      <c r="E919" s="28"/>
      <c r="F919" s="28"/>
      <c r="G919" s="29"/>
      <c r="H919" s="30"/>
      <c r="I919" s="28"/>
      <c r="J919" s="31" t="str">
        <f aca="false">IF(AND(G919&lt;&gt;"",H919&lt;&gt;""),G919*H919,"")</f>
        <v/>
      </c>
      <c r="K919" s="28"/>
      <c r="L919" s="32"/>
      <c r="M919" s="32"/>
      <c r="N919" s="31" t="n">
        <f aca="false">IF(OR(G919="",M919=""),0,IF(M919&gt;100,M919,G919*IF(M919&gt;1,M919/100,M919)))</f>
        <v>0</v>
      </c>
      <c r="O919" s="31" t="str">
        <f aca="false">IF(G919="","",G919*IF(L919="",0,IF(L919&gt;1,L919/100,L919))+N919)</f>
        <v/>
      </c>
      <c r="P919" s="28"/>
      <c r="Q919" s="33" t="str">
        <f aca="false">IF(P919="","",IFERROR(VLOOKUP(P919,PARTNERS!$A$2:$B$30,2,0),""))</f>
        <v/>
      </c>
      <c r="R919" s="17" t="str">
        <f aca="false">IF(O919="","",IF(OR(P919="",Q919=""),0,(O919-N919)*IF(Q919&gt;1,Q919/100,Q919)))</f>
        <v/>
      </c>
      <c r="S919" s="31" t="str">
        <f aca="false">IF(O919="","",O919-R919)</f>
        <v/>
      </c>
      <c r="T919" s="28"/>
      <c r="U919" s="34" t="str">
        <f aca="false">IF(T919="","",IFERROR(VLOOKUP(T919,REPS!$A$2:$D$40,2,0),""))</f>
        <v/>
      </c>
      <c r="V919" s="31" t="str">
        <f aca="false">IF(O919="","",IF(U919="",0,O919*IF(U919&gt;1,U919/100,U919)))</f>
        <v/>
      </c>
      <c r="W919" s="28"/>
      <c r="X919" s="34" t="str">
        <f aca="false">IF(W919="","",IFERROR(VLOOKUP(W919,REPS!$A$2:$D$40,3,0),""))</f>
        <v/>
      </c>
      <c r="Y919" s="31" t="str">
        <f aca="false">IF(O919="","",IF(X919="",0,O919*IF(X919&gt;1,X919/100,X919)))</f>
        <v/>
      </c>
      <c r="Z919" s="28"/>
      <c r="AA919" s="34" t="str">
        <f aca="false">IF(Z919="","",IFERROR(VLOOKUP(Z919,REPS!$A$2:$D$40,4,0),""))</f>
        <v/>
      </c>
      <c r="AB919" s="31" t="str">
        <f aca="false">IF(O919="","",IF(AA919="",0,O919*IF(AA919&gt;1,AA919/100,AA919)))</f>
        <v/>
      </c>
      <c r="AC919" s="31" t="str">
        <f aca="false">IF(O919="","",V919+Y919+AB919)</f>
        <v/>
      </c>
      <c r="AD919" s="19" t="str">
        <f aca="false">IF(O919="","",O919-R919-AC919)</f>
        <v/>
      </c>
      <c r="AE919" s="20"/>
      <c r="AF919" s="27"/>
      <c r="AG919" s="21" t="n">
        <f aca="false">IF(OR(AE919="",AE919=0),0,AE919*IF(U919="",0,IF(U919&gt;1,U919/100,U919)))</f>
        <v>0</v>
      </c>
      <c r="AH919" s="21" t="n">
        <f aca="false">IF(OR(AE919="",AE919=0),0,AE919*IF(X919="",0,IF(X919&gt;1,X919/100,X919)))</f>
        <v>0</v>
      </c>
      <c r="AI919" s="21" t="n">
        <f aca="false">IF(OR(AE919="",AE919=0),0,AE919*IF(AA919="",0,IF(AA919&gt;1,AA919/100,AA919)))</f>
        <v>0</v>
      </c>
      <c r="AJ919" s="21" t="n">
        <f aca="false">AG919+AH919+AI919</f>
        <v>0</v>
      </c>
      <c r="AK919" s="21" t="n">
        <f aca="false">IF(OR(AE919="",AE919=0),0,AE919-AJ919)</f>
        <v>0</v>
      </c>
      <c r="AL919" s="19" t="str">
        <f aca="false">IF(AD919="","",AD919-AK919)</f>
        <v/>
      </c>
      <c r="AM919" s="26" t="str">
        <f aca="false">IF(C919="","","Waiting for payment")</f>
        <v/>
      </c>
      <c r="AN919" s="27"/>
      <c r="AO919" s="27"/>
      <c r="AP919" s="35" t="str">
        <f aca="false">IF(OR(C919="",I919="",K919=""),"",IF(K919="Monthly",EDATE(C919,ROUND(I919*SETTINGS!$I$8,0)),WORKDAY(C919,ROUND(I919*SETTINGS!$I$8,0))))</f>
        <v/>
      </c>
      <c r="AQ919" s="26" t="str">
        <f aca="true">IF(C919="","",IF(AND(AP919&lt;&gt;"",TODAY()&gt;=AP919),"Refi Ready",IF(TODAY()-C919&gt;=SETTINGS!$I$11,"Prospecting","Performing")))</f>
        <v/>
      </c>
      <c r="AR919" s="35" t="str">
        <f aca="false">IF(OR(C919="",I919="",K919=""),"",IF(K919="Monthly",EDATE(C919,I919),WORKDAY(C919,I919)))</f>
        <v/>
      </c>
      <c r="AS919" s="28"/>
      <c r="AT919" s="36" t="str">
        <f aca="true">IF(C919="","",IF(AM919="Clawed Back","CLAWED",IF(TODAY()&lt;=C919+SETTINGS!$I$2,"⚠ AT RISK","SAFE")))</f>
        <v/>
      </c>
      <c r="AU919" s="28"/>
      <c r="AW919" s="24" t="n">
        <f aca="false">AW918+IF(AND(C919&lt;&gt;"",AO919&lt;&gt;"",OR('REP COMMISSION'!$B$3="",T919='REP COMMISSION'!$B$3,W919='REP COMMISSION'!$B$3,Z919='REP COMMISSION'!$B$3)),1,0)</f>
        <v>0</v>
      </c>
      <c r="AX919" s="24" t="n">
        <f aca="false">AX918+IF(AND(C919&lt;&gt;"",OR(F919="LOC - INITIAL",F919="CONSOLIDATION - UPFRONT COMM",F919="REVERSE - TOTAL FUNDING")),1,0)</f>
        <v>0</v>
      </c>
    </row>
    <row r="920" customFormat="false" ht="18" hidden="false" customHeight="true" outlineLevel="0" collapsed="false">
      <c r="A920" s="37" t="s">
        <v>65</v>
      </c>
      <c r="B920" s="38"/>
      <c r="C920" s="38"/>
      <c r="D920" s="37" t="str">
        <f aca="false">COUNT(C820:C919)&amp;" units"</f>
        <v>0 units</v>
      </c>
      <c r="E920" s="38"/>
      <c r="F920" s="38"/>
      <c r="G920" s="39" t="n">
        <f aca="false">SUM(G820:G919)</f>
        <v>0</v>
      </c>
      <c r="H920" s="38"/>
      <c r="I920" s="38"/>
      <c r="J920" s="38"/>
      <c r="K920" s="38"/>
      <c r="L920" s="38"/>
      <c r="M920" s="38"/>
      <c r="N920" s="39" t="n">
        <f aca="false">SUM(N820:N919)</f>
        <v>0</v>
      </c>
      <c r="O920" s="39" t="n">
        <f aca="false">SUM(O820:O919)</f>
        <v>0</v>
      </c>
      <c r="P920" s="38"/>
      <c r="Q920" s="38"/>
      <c r="R920" s="39" t="n">
        <f aca="false">SUM(R820:R919)</f>
        <v>0</v>
      </c>
      <c r="S920" s="39" t="n">
        <f aca="false">SUM(S820:S919)</f>
        <v>0</v>
      </c>
      <c r="T920" s="38"/>
      <c r="U920" s="38"/>
      <c r="V920" s="38"/>
      <c r="W920" s="38"/>
      <c r="X920" s="38"/>
      <c r="Y920" s="38"/>
      <c r="Z920" s="38"/>
      <c r="AA920" s="38"/>
      <c r="AB920" s="38"/>
      <c r="AC920" s="39" t="n">
        <f aca="false">SUM(AC820:AC919)</f>
        <v>0</v>
      </c>
      <c r="AD920" s="39" t="n">
        <f aca="false">SUM(AD820:AD919)</f>
        <v>0</v>
      </c>
      <c r="AE920" s="39" t="n">
        <f aca="false">SUM(AE820:AE919)</f>
        <v>0</v>
      </c>
      <c r="AF920" s="38"/>
      <c r="AG920" s="38"/>
      <c r="AH920" s="38"/>
      <c r="AI920" s="38"/>
      <c r="AJ920" s="39" t="n">
        <f aca="false">SUM(AJ820:AJ919)</f>
        <v>0</v>
      </c>
      <c r="AK920" s="39" t="n">
        <f aca="false">SUM(AK820:AK919)</f>
        <v>0</v>
      </c>
      <c r="AL920" s="39" t="n">
        <f aca="false">SUM(AL820:AL919)</f>
        <v>0</v>
      </c>
      <c r="AM920" s="38"/>
      <c r="AN920" s="38"/>
      <c r="AO920" s="38"/>
      <c r="AP920" s="38"/>
      <c r="AQ920" s="38"/>
      <c r="AR920" s="38"/>
      <c r="AS920" s="38"/>
      <c r="AT920" s="38"/>
      <c r="AU920" s="38"/>
      <c r="AW920" s="24" t="n">
        <f aca="false">AW919</f>
        <v>0</v>
      </c>
      <c r="AX920" s="24" t="n">
        <f aca="false">AX919</f>
        <v>0</v>
      </c>
    </row>
  </sheetData>
  <sheetProtection sheet="true" formatColumns="false" formatRows="false" insertRows="false"/>
  <conditionalFormatting sqref="C4:C103">
    <cfRule type="expression" priority="2" aboveAverage="0" equalAverage="0" bottom="0" percent="0" rank="0" text="" dxfId="0">
      <formula>AND($C4&lt;&gt;"",OR(MONTH($C4)&lt;&gt;4,YEAR($C4)&lt;&gt;2026))</formula>
    </cfRule>
  </conditionalFormatting>
  <conditionalFormatting sqref="C106:C205">
    <cfRule type="expression" priority="3" aboveAverage="0" equalAverage="0" bottom="0" percent="0" rank="0" text="" dxfId="0">
      <formula>AND($C106&lt;&gt;"",OR(MONTH($C106)&lt;&gt;5,YEAR($C106)&lt;&gt;2026))</formula>
    </cfRule>
  </conditionalFormatting>
  <conditionalFormatting sqref="C208:C307">
    <cfRule type="expression" priority="4" aboveAverage="0" equalAverage="0" bottom="0" percent="0" rank="0" text="" dxfId="0">
      <formula>AND($C208&lt;&gt;"",OR(MONTH($C208)&lt;&gt;6,YEAR($C208)&lt;&gt;2026))</formula>
    </cfRule>
  </conditionalFormatting>
  <conditionalFormatting sqref="C310:C409">
    <cfRule type="expression" priority="5" aboveAverage="0" equalAverage="0" bottom="0" percent="0" rank="0" text="" dxfId="0">
      <formula>AND($C310&lt;&gt;"",OR(MONTH($C310)&lt;&gt;7,YEAR($C310)&lt;&gt;2026))</formula>
    </cfRule>
  </conditionalFormatting>
  <conditionalFormatting sqref="C412:C511">
    <cfRule type="expression" priority="6" aboveAverage="0" equalAverage="0" bottom="0" percent="0" rank="0" text="" dxfId="0">
      <formula>AND($C412&lt;&gt;"",OR(MONTH($C412)&lt;&gt;8,YEAR($C412)&lt;&gt;2026))</formula>
    </cfRule>
  </conditionalFormatting>
  <conditionalFormatting sqref="C514:C613">
    <cfRule type="expression" priority="7" aboveAverage="0" equalAverage="0" bottom="0" percent="0" rank="0" text="" dxfId="0">
      <formula>AND($C514&lt;&gt;"",OR(MONTH($C514)&lt;&gt;9,YEAR($C514)&lt;&gt;2026))</formula>
    </cfRule>
  </conditionalFormatting>
  <conditionalFormatting sqref="C616:C715">
    <cfRule type="expression" priority="8" aboveAverage="0" equalAverage="0" bottom="0" percent="0" rank="0" text="" dxfId="0">
      <formula>AND($C616&lt;&gt;"",OR(MONTH($C616)&lt;&gt;10,YEAR($C616)&lt;&gt;2026))</formula>
    </cfRule>
  </conditionalFormatting>
  <conditionalFormatting sqref="C718:C817">
    <cfRule type="expression" priority="9" aboveAverage="0" equalAverage="0" bottom="0" percent="0" rank="0" text="" dxfId="0">
      <formula>AND($C718&lt;&gt;"",OR(MONTH($C718)&lt;&gt;11,YEAR($C718)&lt;&gt;2026))</formula>
    </cfRule>
  </conditionalFormatting>
  <conditionalFormatting sqref="C820:C919">
    <cfRule type="expression" priority="10" aboveAverage="0" equalAverage="0" bottom="0" percent="0" rank="0" text="" dxfId="0">
      <formula>AND($C820&lt;&gt;"",OR(MONTH($C820)&lt;&gt;12,YEAR($C820)&lt;&gt;2026))</formula>
    </cfRule>
  </conditionalFormatting>
  <conditionalFormatting sqref="AD4:AD920">
    <cfRule type="cellIs" priority="11" operator="lessThan" aboveAverage="0" equalAverage="0" bottom="0" percent="0" rank="0" text="" dxfId="0">
      <formula>0</formula>
    </cfRule>
  </conditionalFormatting>
  <conditionalFormatting sqref="AL4:AL920">
    <cfRule type="cellIs" priority="12" operator="lessThan" aboveAverage="0" equalAverage="0" bottom="0" percent="0" rank="0" text="" dxfId="0">
      <formula>0</formula>
    </cfRule>
  </conditionalFormatting>
  <conditionalFormatting sqref="AM4:AM920">
    <cfRule type="expression" priority="13" aboveAverage="0" equalAverage="0" bottom="0" percent="0" rank="0" text="" dxfId="1">
      <formula>$AM4="YES - Paid In Full"</formula>
    </cfRule>
    <cfRule type="expression" priority="14" aboveAverage="0" equalAverage="0" bottom="0" percent="0" rank="0" text="" dxfId="2">
      <formula>$AM4="Clawed Back"</formula>
    </cfRule>
    <cfRule type="expression" priority="15" aboveAverage="0" equalAverage="0" bottom="0" percent="0" rank="0" text="" dxfId="3">
      <formula>$AM4="NO - Never got paid"</formula>
    </cfRule>
    <cfRule type="expression" priority="16" aboveAverage="0" equalAverage="0" bottom="0" percent="0" rank="0" text="" dxfId="0">
      <formula>AND($C4&lt;&gt;"",TODAY()-$C4&gt;SETTINGS!$I$5)</formula>
    </cfRule>
    <cfRule type="expression" priority="17" aboveAverage="0" equalAverage="0" bottom="0" percent="0" rank="0" text="" dxfId="4">
      <formula>AND($C4&lt;&gt;"",OR($AM4="Waiting for payment",$AM4="Invoice Sent",$AM4="Partially Paid",$AM4=""))</formula>
    </cfRule>
  </conditionalFormatting>
  <conditionalFormatting sqref="AP4:AP920">
    <cfRule type="expression" priority="18" aboveAverage="0" equalAverage="0" bottom="0" percent="0" rank="0" text="" dxfId="4">
      <formula>AND($AP4&lt;&gt;"",TODAY()&gt;=$AP4,$AM4&lt;&gt;"Clawed Back",$AQ4&lt;&gt;"Refinanced",$AQ4&lt;&gt;"Default",$AQ4&lt;&gt;"Paid In Full")</formula>
    </cfRule>
  </conditionalFormatting>
  <conditionalFormatting sqref="AQ4:AQ920">
    <cfRule type="expression" priority="19" aboveAverage="0" equalAverage="0" bottom="0" percent="0" rank="0" text="" dxfId="1">
      <formula>$AQ4="Performing"</formula>
    </cfRule>
    <cfRule type="expression" priority="20" aboveAverage="0" equalAverage="0" bottom="0" percent="0" rank="0" text="" dxfId="5">
      <formula>$AQ4="Refi Ready"</formula>
    </cfRule>
    <cfRule type="expression" priority="21" aboveAverage="0" equalAverage="0" bottom="0" percent="0" rank="0" text="" dxfId="0">
      <formula>$AQ4="Default"</formula>
    </cfRule>
    <cfRule type="expression" priority="22" aboveAverage="0" equalAverage="0" bottom="0" percent="0" rank="0" text="" dxfId="6">
      <formula>$AQ4="Refinanced"</formula>
    </cfRule>
    <cfRule type="expression" priority="23" aboveAverage="0" equalAverage="0" bottom="0" percent="0" rank="0" text="" dxfId="3">
      <formula>$AQ4="Paid In Full"</formula>
    </cfRule>
    <cfRule type="expression" priority="24" aboveAverage="0" equalAverage="0" bottom="0" percent="0" rank="0" text="" dxfId="4">
      <formula>$AQ4="Prospecting"</formula>
    </cfRule>
  </conditionalFormatting>
  <conditionalFormatting sqref="AT4:AT920">
    <cfRule type="expression" priority="25" aboveAverage="0" equalAverage="0" bottom="0" percent="0" rank="0" text="" dxfId="7">
      <formula>$AT4="⚠ AT RISK"</formula>
    </cfRule>
  </conditionalFormatting>
  <conditionalFormatting sqref="AO4:AO920">
    <cfRule type="expression" priority="26" aboveAverage="0" equalAverage="0" bottom="0" percent="0" rank="0" text="" dxfId="1">
      <formula>AND($C4&lt;&gt;"",$AO4&lt;&gt;"")</formula>
    </cfRule>
    <cfRule type="expression" priority="27" aboveAverage="0" equalAverage="0" bottom="0" percent="0" rank="0" text="" dxfId="4">
      <formula>AND($C4&lt;&gt;"",$AO4="",$AM4="YES - Paid In Full")</formula>
    </cfRule>
  </conditionalFormatting>
  <dataValidations count="9">
    <dataValidation allowBlank="true" errorStyle="stop" operator="between" showDropDown="false" showErrorMessage="false" showInputMessage="false" sqref="F3:F920" type="list">
      <formula1>SETTINGS!$B$2:$B$100</formula1>
      <formula2>0</formula2>
    </dataValidation>
    <dataValidation allowBlank="true" errorStyle="stop" operator="between" showDropDown="false" showErrorMessage="false" showInputMessage="false" sqref="K3:K920" type="list">
      <formula1>SETTINGS!$C$2:$C$100</formula1>
      <formula2>0</formula2>
    </dataValidation>
    <dataValidation allowBlank="true" errorStyle="stop" operator="between" showDropDown="false" showErrorMessage="false" showInputMessage="false" sqref="AM3:AM920" type="list">
      <formula1>SETTINGS!$D$2:$D$100</formula1>
      <formula2>0</formula2>
    </dataValidation>
    <dataValidation allowBlank="true" errorStyle="stop" operator="between" showDropDown="false" showErrorMessage="false" showInputMessage="false" sqref="E3:E920" type="list">
      <formula1>SETTINGS!$E$2:$E$100</formula1>
      <formula2>0</formula2>
    </dataValidation>
    <dataValidation allowBlank="true" errorStyle="stop" operator="between" showDropDown="false" showErrorMessage="false" showInputMessage="false" sqref="AQ3:AQ920" type="list">
      <formula1>SETTINGS!$F$2:$F$100</formula1>
      <formula2>0</formula2>
    </dataValidation>
    <dataValidation allowBlank="true" errorStyle="stop" operator="between" showDropDown="false" showErrorMessage="false" showInputMessage="false" sqref="P3:P920" type="list">
      <formula1>PARTNERS!$A$2:$A$30</formula1>
      <formula2>0</formula2>
    </dataValidation>
    <dataValidation allowBlank="true" errorStyle="stop" operator="between" showDropDown="false" showErrorMessage="false" showInputMessage="false" sqref="T3:T920" type="list">
      <formula1>REPS!$O$2:$O$40</formula1>
      <formula2>0</formula2>
    </dataValidation>
    <dataValidation allowBlank="true" errorStyle="stop" operator="between" showDropDown="false" showErrorMessage="false" showInputMessage="false" sqref="W3:W920" type="list">
      <formula1>REPS!$O$2:$O$40</formula1>
      <formula2>0</formula2>
    </dataValidation>
    <dataValidation allowBlank="true" errorStyle="stop" operator="between" showDropDown="false" showErrorMessage="false" showInputMessage="false" sqref="Z3:Z920" type="list">
      <formula1>REPS!$O$2:$O$40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20" min="19" style="0" width="14"/>
    <col collapsed="false" customWidth="true" hidden="true" outlineLevel="0" max="21" min="21" style="0" width="8"/>
    <col collapsed="false" customWidth="true" hidden="false" outlineLevel="0" max="22" min="22" style="0" width="11"/>
    <col collapsed="false" customWidth="true" hidden="false" outlineLevel="0" max="23" min="23" style="0" width="14"/>
    <col collapsed="false" customWidth="true" hidden="true" outlineLevel="0" max="24" min="24" style="0" width="8"/>
    <col collapsed="false" customWidth="true" hidden="false" outlineLevel="0" max="25" min="25" style="0" width="11"/>
    <col collapsed="false" customWidth="true" hidden="false" outlineLevel="0" max="26" min="26" style="0" width="14"/>
    <col collapsed="false" customWidth="true" hidden="true" outlineLevel="0" max="27" min="27" style="0" width="8"/>
    <col collapsed="false" customWidth="true" hidden="false" outlineLevel="0" max="28" min="28" style="0" width="11"/>
    <col collapsed="false" customWidth="true" hidden="false" outlineLevel="0" max="30" min="29" style="0" width="14"/>
    <col collapsed="false" customWidth="true" hidden="true" outlineLevel="1" max="32" min="31" style="0" width="11"/>
    <col collapsed="false" customWidth="true" hidden="true" outlineLevel="1" max="35" min="33" style="0" width="10"/>
    <col collapsed="false" customWidth="true" hidden="true" outlineLevel="1" max="37" min="36" style="0" width="11"/>
    <col collapsed="false" customWidth="true" hidden="true" outlineLevel="1" max="38" min="38" style="0" width="15"/>
    <col collapsed="false" customWidth="true" hidden="false" outlineLevel="0" max="39" min="39" style="0" width="18"/>
    <col collapsed="false" customWidth="true" hidden="false" outlineLevel="0" max="41" min="40" style="0" width="12"/>
    <col collapsed="false" customWidth="true" hidden="false" outlineLevel="0" max="43" min="42" style="0" width="13"/>
    <col collapsed="false" customWidth="true" hidden="false" outlineLevel="0" max="44" min="44" style="0" width="12"/>
    <col collapsed="false" customWidth="true" hidden="false" outlineLevel="0" max="45" min="45" style="0" width="30"/>
    <col collapsed="false" customWidth="true" hidden="false" outlineLevel="0" max="46" min="46" style="0" width="11"/>
    <col collapsed="false" customWidth="true" hidden="false" outlineLevel="0" max="47" min="47" style="0" width="14"/>
    <col collapsed="false" customWidth="true" hidden="true" outlineLevel="0" max="50" min="49" style="0" width="13"/>
  </cols>
  <sheetData>
    <row r="1" customFormat="false" ht="24" hidden="false" customHeight="true" outlineLevel="0" collapsed="false">
      <c r="A1" s="1" t="s">
        <v>66</v>
      </c>
      <c r="B1" s="2"/>
      <c r="C1" s="2"/>
      <c r="D1" s="3" t="str">
        <f aca="false">SUM(COUNT(C4:C103),COUNT(C106:C205),COUNT(C208:C307),COUNT(C310:C409),COUNT(C412:C511),COUNT(C514:C613),COUNT(C616:C715),COUNT(C718:C817),COUNT(C820:C919),COUNT(C922:C1021),COUNT(C1024:C1123),COUNT(C1126:C1225))&amp;" units"</f>
        <v>0 units</v>
      </c>
      <c r="E1" s="2"/>
      <c r="F1" s="2"/>
      <c r="G1" s="4" t="n">
        <f aca="false">G104+G206+G308+G410+G512+G614+G716+G818+G920+G1022+G1124+G1226</f>
        <v>0</v>
      </c>
      <c r="H1" s="2"/>
      <c r="I1" s="2"/>
      <c r="J1" s="2"/>
      <c r="K1" s="2"/>
      <c r="L1" s="2"/>
      <c r="M1" s="2"/>
      <c r="N1" s="4" t="n">
        <f aca="false">N104+N206+N308+N410+N512+N614+N716+N818+N920+N1022+N1124+N1226</f>
        <v>0</v>
      </c>
      <c r="O1" s="4" t="n">
        <f aca="false">O104+O206+O308+O410+O512+O614+O716+O818+O920+O1022+O1124+O1226</f>
        <v>0</v>
      </c>
      <c r="P1" s="2"/>
      <c r="Q1" s="2"/>
      <c r="R1" s="4" t="n">
        <f aca="false">R104+R206+R308+R410+R512+R614+R716+R818+R920+R1022+R1124+R1226</f>
        <v>0</v>
      </c>
      <c r="S1" s="4" t="n">
        <f aca="false">S104+S206+S308+S410+S512+S614+S716+S818+S920+S1022+S1124+S1226</f>
        <v>0</v>
      </c>
      <c r="T1" s="2"/>
      <c r="U1" s="2"/>
      <c r="V1" s="2"/>
      <c r="W1" s="2"/>
      <c r="X1" s="2"/>
      <c r="Y1" s="2"/>
      <c r="Z1" s="2"/>
      <c r="AA1" s="2"/>
      <c r="AB1" s="2"/>
      <c r="AC1" s="4" t="n">
        <f aca="false">AC104+AC206+AC308+AC410+AC512+AC614+AC716+AC818+AC920+AC1022+AC1124+AC1226</f>
        <v>0</v>
      </c>
      <c r="AD1" s="4" t="n">
        <f aca="false">AD104+AD206+AD308+AD410+AD512+AD614+AD716+AD818+AD920+AD1022+AD1124+AD1226</f>
        <v>0</v>
      </c>
      <c r="AE1" s="4" t="n">
        <f aca="false">AE104+AE206+AE308+AE410+AE512+AE614+AE716+AE818+AE920+AE1022+AE1124+AE1226</f>
        <v>0</v>
      </c>
      <c r="AF1" s="2"/>
      <c r="AG1" s="2"/>
      <c r="AH1" s="2"/>
      <c r="AI1" s="2"/>
      <c r="AJ1" s="4" t="n">
        <f aca="false">AJ104+AJ206+AJ308+AJ410+AJ512+AJ614+AJ716+AJ818+AJ920+AJ1022+AJ1124+AJ1226</f>
        <v>0</v>
      </c>
      <c r="AK1" s="4" t="n">
        <f aca="false">AK104+AK206+AK308+AK410+AK512+AK614+AK716+AK818+AK920+AK1022+AK1124+AK1226</f>
        <v>0</v>
      </c>
      <c r="AL1" s="4" t="n">
        <f aca="false">AL104+AL206+AL308+AL410+AL512+AL614+AL716+AL818+AL920+AL1022+AL1124+AL1226</f>
        <v>0</v>
      </c>
      <c r="AM1" s="2"/>
      <c r="AN1" s="2"/>
      <c r="AO1" s="2"/>
      <c r="AP1" s="2"/>
      <c r="AQ1" s="2"/>
      <c r="AR1" s="2"/>
      <c r="AS1" s="2"/>
      <c r="AT1" s="2"/>
      <c r="AU1" s="2"/>
    </row>
    <row r="2" customFormat="false" ht="42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</row>
    <row r="3" customFormat="false" ht="19.5" hidden="false" customHeight="true" outlineLevel="0" collapsed="false">
      <c r="A3" s="6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W3" s="0" t="n">
        <v>0</v>
      </c>
      <c r="AX3" s="0" t="n">
        <v>0</v>
      </c>
    </row>
    <row r="4" customFormat="false" ht="15" hidden="false" customHeight="false" outlineLevel="0" collapsed="false">
      <c r="A4" s="8" t="str">
        <f aca="false">IF(C4&lt;&gt;"","F27-"&amp;COUNT($C$4:C4),"")</f>
        <v/>
      </c>
      <c r="B4" s="9" t="str">
        <f aca="false">IF(OR(F4="LOC - INITIAL",F4="CONSOLIDATION - UPFRONT COMM",F4="REVERSE - TOTAL FUNDING"),A4,"")</f>
        <v/>
      </c>
      <c r="C4" s="10"/>
      <c r="D4" s="11"/>
      <c r="E4" s="11"/>
      <c r="F4" s="11"/>
      <c r="G4" s="12"/>
      <c r="H4" s="13"/>
      <c r="I4" s="11"/>
      <c r="J4" s="14" t="str">
        <f aca="false">IF(AND(G4&lt;&gt;"",H4&lt;&gt;""),G4*H4,"")</f>
        <v/>
      </c>
      <c r="K4" s="11"/>
      <c r="L4" s="15"/>
      <c r="M4" s="15"/>
      <c r="N4" s="14" t="n">
        <f aca="false">IF(OR(G4="",M4=""),0,IF(M4&gt;100,M4,G4*IF(M4&gt;1,M4/100,M4)))</f>
        <v>0</v>
      </c>
      <c r="O4" s="14" t="str">
        <f aca="false">IF(G4="","",G4*IF(L4="",0,IF(L4&gt;1,L4/100,L4))+N4)</f>
        <v/>
      </c>
      <c r="P4" s="11"/>
      <c r="Q4" s="16" t="str">
        <f aca="false">IF(P4="","",IFERROR(VLOOKUP(P4,PARTNERS!$A$2:$B$30,2,0),""))</f>
        <v/>
      </c>
      <c r="R4" s="17" t="str">
        <f aca="false">IF(O4="","",IF(OR(P4="",Q4=""),0,(O4-N4)*IF(Q4&gt;1,Q4/100,Q4)))</f>
        <v/>
      </c>
      <c r="S4" s="14" t="str">
        <f aca="false">IF(O4="","",O4-R4)</f>
        <v/>
      </c>
      <c r="T4" s="11"/>
      <c r="U4" s="18" t="str">
        <f aca="false">IF(T4="","",IFERROR(VLOOKUP(T4,REPS!$A$2:$D$40,2,0),""))</f>
        <v/>
      </c>
      <c r="V4" s="14" t="str">
        <f aca="false">IF(O4="","",IF(U4="",0,O4*IF(U4&gt;1,U4/100,U4)))</f>
        <v/>
      </c>
      <c r="W4" s="11"/>
      <c r="X4" s="18" t="str">
        <f aca="false">IF(W4="","",IFERROR(VLOOKUP(W4,REPS!$A$2:$D$40,3,0),""))</f>
        <v/>
      </c>
      <c r="Y4" s="14" t="str">
        <f aca="false">IF(O4="","",IF(X4="",0,O4*IF(X4&gt;1,X4/100,X4)))</f>
        <v/>
      </c>
      <c r="Z4" s="11"/>
      <c r="AA4" s="18" t="str">
        <f aca="false">IF(Z4="","",IFERROR(VLOOKUP(Z4,REPS!$A$2:$D$40,4,0),""))</f>
        <v/>
      </c>
      <c r="AB4" s="14" t="str">
        <f aca="false">IF(O4="","",IF(AA4="",0,O4*IF(AA4&gt;1,AA4/100,AA4)))</f>
        <v/>
      </c>
      <c r="AC4" s="14" t="str">
        <f aca="false">IF(O4="","",V4+Y4+AB4)</f>
        <v/>
      </c>
      <c r="AD4" s="19" t="str">
        <f aca="false">IF(O4="","",O4-R4-AC4)</f>
        <v/>
      </c>
      <c r="AE4" s="20"/>
      <c r="AF4" s="10"/>
      <c r="AG4" s="21" t="n">
        <f aca="false">IF(OR(AE4="",AE4=0),0,AE4*IF(U4="",0,IF(U4&gt;1,U4/100,U4)))</f>
        <v>0</v>
      </c>
      <c r="AH4" s="21" t="n">
        <f aca="false">IF(OR(AE4="",AE4=0),0,AE4*IF(X4="",0,IF(X4&gt;1,X4/100,X4)))</f>
        <v>0</v>
      </c>
      <c r="AI4" s="21" t="n">
        <f aca="false">IF(OR(AE4="",AE4=0),0,AE4*IF(AA4="",0,IF(AA4&gt;1,AA4/100,AA4)))</f>
        <v>0</v>
      </c>
      <c r="AJ4" s="21" t="n">
        <f aca="false">AG4+AH4+AI4</f>
        <v>0</v>
      </c>
      <c r="AK4" s="21" t="n">
        <f aca="false">IF(OR(AE4="",AE4=0),0,AE4-AJ4)</f>
        <v>0</v>
      </c>
      <c r="AL4" s="19" t="str">
        <f aca="false">IF(AD4="","",AD4-AK4)</f>
        <v/>
      </c>
      <c r="AM4" s="9" t="str">
        <f aca="false">IF(C4="","","Waiting for payment")</f>
        <v/>
      </c>
      <c r="AN4" s="10"/>
      <c r="AO4" s="10"/>
      <c r="AP4" s="22" t="str">
        <f aca="false">IF(OR(C4="",I4="",K4=""),"",IF(K4="Monthly",EDATE(C4,ROUND(I4*SETTINGS!$I$8,0)),WORKDAY(C4,ROUND(I4*SETTINGS!$I$8,0))))</f>
        <v/>
      </c>
      <c r="AQ4" s="9" t="str">
        <f aca="true">IF(C4="","",IF(AND(AP4&lt;&gt;"",TODAY()&gt;=AP4),"Refi Ready",IF(TODAY()-C4&gt;=SETTINGS!$I$11,"Prospecting","Performing")))</f>
        <v/>
      </c>
      <c r="AR4" s="22" t="str">
        <f aca="false">IF(OR(C4="",I4="",K4=""),"",IF(K4="Monthly",EDATE(C4,I4),WORKDAY(C4,I4)))</f>
        <v/>
      </c>
      <c r="AS4" s="11"/>
      <c r="AT4" s="23" t="str">
        <f aca="true">IF(C4="","",IF(AM4="Clawed Back","CLAWED",IF(TODAY()&lt;=C4+SETTINGS!$I$2,"⚠ AT RISK","SAFE")))</f>
        <v/>
      </c>
      <c r="AU4" s="11"/>
      <c r="AW4" s="24" t="n">
        <f aca="false">AW3+IF(AND(C4&lt;&gt;"",AO4&lt;&gt;"",OR('REP COMMISSION'!$B$3="",T4='REP COMMISSION'!$B$3,W4='REP COMMISSION'!$B$3,Z4='REP COMMISSION'!$B$3)),1,0)</f>
        <v>0</v>
      </c>
      <c r="AX4" s="24" t="n">
        <f aca="false">AX3+IF(AND(C4&lt;&gt;"",OR(F4="LOC - INITIAL",F4="CONSOLIDATION - UPFRONT COMM",F4="REVERSE - TOTAL FUNDING")),1,0)</f>
        <v>0</v>
      </c>
    </row>
    <row r="5" customFormat="false" ht="15" hidden="false" customHeight="false" outlineLevel="0" collapsed="false">
      <c r="A5" s="25" t="str">
        <f aca="false">IF(C5&lt;&gt;"","F27-"&amp;COUNT($C$4:C5),"")</f>
        <v/>
      </c>
      <c r="B5" s="26" t="str">
        <f aca="false">IF(OR(F5="LOC - INITIAL",F5="CONSOLIDATION - UPFRONT COMM",F5="REVERSE - TOTAL FUNDING"),A5,"")</f>
        <v/>
      </c>
      <c r="C5" s="27"/>
      <c r="D5" s="28"/>
      <c r="E5" s="28"/>
      <c r="F5" s="28"/>
      <c r="G5" s="29"/>
      <c r="H5" s="30"/>
      <c r="I5" s="28"/>
      <c r="J5" s="31" t="str">
        <f aca="false">IF(AND(G5&lt;&gt;"",H5&lt;&gt;""),G5*H5,"")</f>
        <v/>
      </c>
      <c r="K5" s="28"/>
      <c r="L5" s="32"/>
      <c r="M5" s="32"/>
      <c r="N5" s="31" t="n">
        <f aca="false">IF(OR(G5="",M5=""),0,IF(M5&gt;100,M5,G5*IF(M5&gt;1,M5/100,M5)))</f>
        <v>0</v>
      </c>
      <c r="O5" s="31" t="str">
        <f aca="false">IF(G5="","",G5*IF(L5="",0,IF(L5&gt;1,L5/100,L5))+N5)</f>
        <v/>
      </c>
      <c r="P5" s="28"/>
      <c r="Q5" s="33" t="str">
        <f aca="false">IF(P5="","",IFERROR(VLOOKUP(P5,PARTNERS!$A$2:$B$30,2,0),""))</f>
        <v/>
      </c>
      <c r="R5" s="17" t="str">
        <f aca="false">IF(O5="","",IF(OR(P5="",Q5=""),0,(O5-N5)*IF(Q5&gt;1,Q5/100,Q5)))</f>
        <v/>
      </c>
      <c r="S5" s="31" t="str">
        <f aca="false">IF(O5="","",O5-R5)</f>
        <v/>
      </c>
      <c r="T5" s="28"/>
      <c r="U5" s="34" t="str">
        <f aca="false">IF(T5="","",IFERROR(VLOOKUP(T5,REPS!$A$2:$D$40,2,0),""))</f>
        <v/>
      </c>
      <c r="V5" s="31" t="str">
        <f aca="false">IF(O5="","",IF(U5="",0,O5*IF(U5&gt;1,U5/100,U5)))</f>
        <v/>
      </c>
      <c r="W5" s="28"/>
      <c r="X5" s="34" t="str">
        <f aca="false">IF(W5="","",IFERROR(VLOOKUP(W5,REPS!$A$2:$D$40,3,0),""))</f>
        <v/>
      </c>
      <c r="Y5" s="31" t="str">
        <f aca="false">IF(O5="","",IF(X5="",0,O5*IF(X5&gt;1,X5/100,X5)))</f>
        <v/>
      </c>
      <c r="Z5" s="28"/>
      <c r="AA5" s="34" t="str">
        <f aca="false">IF(Z5="","",IFERROR(VLOOKUP(Z5,REPS!$A$2:$D$40,4,0),""))</f>
        <v/>
      </c>
      <c r="AB5" s="31" t="str">
        <f aca="false">IF(O5="","",IF(AA5="",0,O5*IF(AA5&gt;1,AA5/100,AA5)))</f>
        <v/>
      </c>
      <c r="AC5" s="31" t="str">
        <f aca="false">IF(O5="","",V5+Y5+AB5)</f>
        <v/>
      </c>
      <c r="AD5" s="19" t="str">
        <f aca="false">IF(O5="","",O5-R5-AC5)</f>
        <v/>
      </c>
      <c r="AE5" s="20"/>
      <c r="AF5" s="27"/>
      <c r="AG5" s="21" t="n">
        <f aca="false">IF(OR(AE5="",AE5=0),0,AE5*IF(U5="",0,IF(U5&gt;1,U5/100,U5)))</f>
        <v>0</v>
      </c>
      <c r="AH5" s="21" t="n">
        <f aca="false">IF(OR(AE5="",AE5=0),0,AE5*IF(X5="",0,IF(X5&gt;1,X5/100,X5)))</f>
        <v>0</v>
      </c>
      <c r="AI5" s="21" t="n">
        <f aca="false">IF(OR(AE5="",AE5=0),0,AE5*IF(AA5="",0,IF(AA5&gt;1,AA5/100,AA5)))</f>
        <v>0</v>
      </c>
      <c r="AJ5" s="21" t="n">
        <f aca="false">AG5+AH5+AI5</f>
        <v>0</v>
      </c>
      <c r="AK5" s="21" t="n">
        <f aca="false">IF(OR(AE5="",AE5=0),0,AE5-AJ5)</f>
        <v>0</v>
      </c>
      <c r="AL5" s="19" t="str">
        <f aca="false">IF(AD5="","",AD5-AK5)</f>
        <v/>
      </c>
      <c r="AM5" s="26" t="str">
        <f aca="false">IF(C5="","","Waiting for payment")</f>
        <v/>
      </c>
      <c r="AN5" s="27"/>
      <c r="AO5" s="27"/>
      <c r="AP5" s="35" t="str">
        <f aca="false">IF(OR(C5="",I5="",K5=""),"",IF(K5="Monthly",EDATE(C5,ROUND(I5*SETTINGS!$I$8,0)),WORKDAY(C5,ROUND(I5*SETTINGS!$I$8,0))))</f>
        <v/>
      </c>
      <c r="AQ5" s="26" t="str">
        <f aca="true">IF(C5="","",IF(AND(AP5&lt;&gt;"",TODAY()&gt;=AP5),"Refi Ready",IF(TODAY()-C5&gt;=SETTINGS!$I$11,"Prospecting","Performing")))</f>
        <v/>
      </c>
      <c r="AR5" s="35" t="str">
        <f aca="false">IF(OR(C5="",I5="",K5=""),"",IF(K5="Monthly",EDATE(C5,I5),WORKDAY(C5,I5)))</f>
        <v/>
      </c>
      <c r="AS5" s="28"/>
      <c r="AT5" s="36" t="str">
        <f aca="true">IF(C5="","",IF(AM5="Clawed Back","CLAWED",IF(TODAY()&lt;=C5+SETTINGS!$I$2,"⚠ AT RISK","SAFE")))</f>
        <v/>
      </c>
      <c r="AU5" s="28"/>
      <c r="AW5" s="24" t="n">
        <f aca="false">AW4+IF(AND(C5&lt;&gt;"",AO5&lt;&gt;"",OR('REP COMMISSION'!$B$3="",T5='REP COMMISSION'!$B$3,W5='REP COMMISSION'!$B$3,Z5='REP COMMISSION'!$B$3)),1,0)</f>
        <v>0</v>
      </c>
      <c r="AX5" s="24" t="n">
        <f aca="false">AX4+IF(AND(C5&lt;&gt;"",OR(F5="LOC - INITIAL",F5="CONSOLIDATION - UPFRONT COMM",F5="REVERSE - TOTAL FUNDING")),1,0)</f>
        <v>0</v>
      </c>
    </row>
    <row r="6" customFormat="false" ht="15" hidden="false" customHeight="false" outlineLevel="0" collapsed="false">
      <c r="A6" s="8" t="str">
        <f aca="false">IF(C6&lt;&gt;"","F27-"&amp;COUNT($C$4:C6),"")</f>
        <v/>
      </c>
      <c r="B6" s="9" t="str">
        <f aca="false">IF(OR(F6="LOC - INITIAL",F6="CONSOLIDATION - UPFRONT COMM",F6="REVERSE - TOTAL FUNDING"),A6,"")</f>
        <v/>
      </c>
      <c r="C6" s="10"/>
      <c r="D6" s="11"/>
      <c r="E6" s="11"/>
      <c r="F6" s="11"/>
      <c r="G6" s="12"/>
      <c r="H6" s="13"/>
      <c r="I6" s="11"/>
      <c r="J6" s="14" t="str">
        <f aca="false">IF(AND(G6&lt;&gt;"",H6&lt;&gt;""),G6*H6,"")</f>
        <v/>
      </c>
      <c r="K6" s="11"/>
      <c r="L6" s="15"/>
      <c r="M6" s="15"/>
      <c r="N6" s="14" t="n">
        <f aca="false">IF(OR(G6="",M6=""),0,IF(M6&gt;100,M6,G6*IF(M6&gt;1,M6/100,M6)))</f>
        <v>0</v>
      </c>
      <c r="O6" s="14" t="str">
        <f aca="false">IF(G6="","",G6*IF(L6="",0,IF(L6&gt;1,L6/100,L6))+N6)</f>
        <v/>
      </c>
      <c r="P6" s="11"/>
      <c r="Q6" s="16" t="str">
        <f aca="false">IF(P6="","",IFERROR(VLOOKUP(P6,PARTNERS!$A$2:$B$30,2,0),""))</f>
        <v/>
      </c>
      <c r="R6" s="17" t="str">
        <f aca="false">IF(O6="","",IF(OR(P6="",Q6=""),0,(O6-N6)*IF(Q6&gt;1,Q6/100,Q6)))</f>
        <v/>
      </c>
      <c r="S6" s="14" t="str">
        <f aca="false">IF(O6="","",O6-R6)</f>
        <v/>
      </c>
      <c r="T6" s="11"/>
      <c r="U6" s="18" t="str">
        <f aca="false">IF(T6="","",IFERROR(VLOOKUP(T6,REPS!$A$2:$D$40,2,0),""))</f>
        <v/>
      </c>
      <c r="V6" s="14" t="str">
        <f aca="false">IF(O6="","",IF(U6="",0,O6*IF(U6&gt;1,U6/100,U6)))</f>
        <v/>
      </c>
      <c r="W6" s="11"/>
      <c r="X6" s="18" t="str">
        <f aca="false">IF(W6="","",IFERROR(VLOOKUP(W6,REPS!$A$2:$D$40,3,0),""))</f>
        <v/>
      </c>
      <c r="Y6" s="14" t="str">
        <f aca="false">IF(O6="","",IF(X6="",0,O6*IF(X6&gt;1,X6/100,X6)))</f>
        <v/>
      </c>
      <c r="Z6" s="11"/>
      <c r="AA6" s="18" t="str">
        <f aca="false">IF(Z6="","",IFERROR(VLOOKUP(Z6,REPS!$A$2:$D$40,4,0),""))</f>
        <v/>
      </c>
      <c r="AB6" s="14" t="str">
        <f aca="false">IF(O6="","",IF(AA6="",0,O6*IF(AA6&gt;1,AA6/100,AA6)))</f>
        <v/>
      </c>
      <c r="AC6" s="14" t="str">
        <f aca="false">IF(O6="","",V6+Y6+AB6)</f>
        <v/>
      </c>
      <c r="AD6" s="19" t="str">
        <f aca="false">IF(O6="","",O6-R6-AC6)</f>
        <v/>
      </c>
      <c r="AE6" s="20"/>
      <c r="AF6" s="10"/>
      <c r="AG6" s="21" t="n">
        <f aca="false">IF(OR(AE6="",AE6=0),0,AE6*IF(U6="",0,IF(U6&gt;1,U6/100,U6)))</f>
        <v>0</v>
      </c>
      <c r="AH6" s="21" t="n">
        <f aca="false">IF(OR(AE6="",AE6=0),0,AE6*IF(X6="",0,IF(X6&gt;1,X6/100,X6)))</f>
        <v>0</v>
      </c>
      <c r="AI6" s="21" t="n">
        <f aca="false">IF(OR(AE6="",AE6=0),0,AE6*IF(AA6="",0,IF(AA6&gt;1,AA6/100,AA6)))</f>
        <v>0</v>
      </c>
      <c r="AJ6" s="21" t="n">
        <f aca="false">AG6+AH6+AI6</f>
        <v>0</v>
      </c>
      <c r="AK6" s="21" t="n">
        <f aca="false">IF(OR(AE6="",AE6=0),0,AE6-AJ6)</f>
        <v>0</v>
      </c>
      <c r="AL6" s="19" t="str">
        <f aca="false">IF(AD6="","",AD6-AK6)</f>
        <v/>
      </c>
      <c r="AM6" s="9" t="str">
        <f aca="false">IF(C6="","","Waiting for payment")</f>
        <v/>
      </c>
      <c r="AN6" s="10"/>
      <c r="AO6" s="10"/>
      <c r="AP6" s="22" t="str">
        <f aca="false">IF(OR(C6="",I6="",K6=""),"",IF(K6="Monthly",EDATE(C6,ROUND(I6*SETTINGS!$I$8,0)),WORKDAY(C6,ROUND(I6*SETTINGS!$I$8,0))))</f>
        <v/>
      </c>
      <c r="AQ6" s="9" t="str">
        <f aca="true">IF(C6="","",IF(AND(AP6&lt;&gt;"",TODAY()&gt;=AP6),"Refi Ready",IF(TODAY()-C6&gt;=SETTINGS!$I$11,"Prospecting","Performing")))</f>
        <v/>
      </c>
      <c r="AR6" s="22" t="str">
        <f aca="false">IF(OR(C6="",I6="",K6=""),"",IF(K6="Monthly",EDATE(C6,I6),WORKDAY(C6,I6)))</f>
        <v/>
      </c>
      <c r="AS6" s="11"/>
      <c r="AT6" s="23" t="str">
        <f aca="true">IF(C6="","",IF(AM6="Clawed Back","CLAWED",IF(TODAY()&lt;=C6+SETTINGS!$I$2,"⚠ AT RISK","SAFE")))</f>
        <v/>
      </c>
      <c r="AU6" s="11"/>
      <c r="AW6" s="24" t="n">
        <f aca="false">AW5+IF(AND(C6&lt;&gt;"",AO6&lt;&gt;"",OR('REP COMMISSION'!$B$3="",T6='REP COMMISSION'!$B$3,W6='REP COMMISSION'!$B$3,Z6='REP COMMISSION'!$B$3)),1,0)</f>
        <v>0</v>
      </c>
      <c r="AX6" s="24" t="n">
        <f aca="false">AX5+IF(AND(C6&lt;&gt;"",OR(F6="LOC - INITIAL",F6="CONSOLIDATION - UPFRONT COMM",F6="REVERSE - TOTAL FUNDING")),1,0)</f>
        <v>0</v>
      </c>
    </row>
    <row r="7" customFormat="false" ht="15" hidden="false" customHeight="false" outlineLevel="0" collapsed="false">
      <c r="A7" s="25" t="str">
        <f aca="false">IF(C7&lt;&gt;"","F27-"&amp;COUNT($C$4:C7),"")</f>
        <v/>
      </c>
      <c r="B7" s="26" t="str">
        <f aca="false">IF(OR(F7="LOC - INITIAL",F7="CONSOLIDATION - UPFRONT COMM",F7="REVERSE - TOTAL FUNDING"),A7,"")</f>
        <v/>
      </c>
      <c r="C7" s="27"/>
      <c r="D7" s="28"/>
      <c r="E7" s="28"/>
      <c r="F7" s="28"/>
      <c r="G7" s="29"/>
      <c r="H7" s="30"/>
      <c r="I7" s="28"/>
      <c r="J7" s="31" t="str">
        <f aca="false">IF(AND(G7&lt;&gt;"",H7&lt;&gt;""),G7*H7,"")</f>
        <v/>
      </c>
      <c r="K7" s="28"/>
      <c r="L7" s="32"/>
      <c r="M7" s="32"/>
      <c r="N7" s="31" t="n">
        <f aca="false">IF(OR(G7="",M7=""),0,IF(M7&gt;100,M7,G7*IF(M7&gt;1,M7/100,M7)))</f>
        <v>0</v>
      </c>
      <c r="O7" s="31" t="str">
        <f aca="false">IF(G7="","",G7*IF(L7="",0,IF(L7&gt;1,L7/100,L7))+N7)</f>
        <v/>
      </c>
      <c r="P7" s="28"/>
      <c r="Q7" s="33" t="str">
        <f aca="false">IF(P7="","",IFERROR(VLOOKUP(P7,PARTNERS!$A$2:$B$30,2,0),""))</f>
        <v/>
      </c>
      <c r="R7" s="17" t="str">
        <f aca="false">IF(O7="","",IF(OR(P7="",Q7=""),0,(O7-N7)*IF(Q7&gt;1,Q7/100,Q7)))</f>
        <v/>
      </c>
      <c r="S7" s="31" t="str">
        <f aca="false">IF(O7="","",O7-R7)</f>
        <v/>
      </c>
      <c r="T7" s="28"/>
      <c r="U7" s="34" t="str">
        <f aca="false">IF(T7="","",IFERROR(VLOOKUP(T7,REPS!$A$2:$D$40,2,0),""))</f>
        <v/>
      </c>
      <c r="V7" s="31" t="str">
        <f aca="false">IF(O7="","",IF(U7="",0,O7*IF(U7&gt;1,U7/100,U7)))</f>
        <v/>
      </c>
      <c r="W7" s="28"/>
      <c r="X7" s="34" t="str">
        <f aca="false">IF(W7="","",IFERROR(VLOOKUP(W7,REPS!$A$2:$D$40,3,0),""))</f>
        <v/>
      </c>
      <c r="Y7" s="31" t="str">
        <f aca="false">IF(O7="","",IF(X7="",0,O7*IF(X7&gt;1,X7/100,X7)))</f>
        <v/>
      </c>
      <c r="Z7" s="28"/>
      <c r="AA7" s="34" t="str">
        <f aca="false">IF(Z7="","",IFERROR(VLOOKUP(Z7,REPS!$A$2:$D$40,4,0),""))</f>
        <v/>
      </c>
      <c r="AB7" s="31" t="str">
        <f aca="false">IF(O7="","",IF(AA7="",0,O7*IF(AA7&gt;1,AA7/100,AA7)))</f>
        <v/>
      </c>
      <c r="AC7" s="31" t="str">
        <f aca="false">IF(O7="","",V7+Y7+AB7)</f>
        <v/>
      </c>
      <c r="AD7" s="19" t="str">
        <f aca="false">IF(O7="","",O7-R7-AC7)</f>
        <v/>
      </c>
      <c r="AE7" s="20"/>
      <c r="AF7" s="27"/>
      <c r="AG7" s="21" t="n">
        <f aca="false">IF(OR(AE7="",AE7=0),0,AE7*IF(U7="",0,IF(U7&gt;1,U7/100,U7)))</f>
        <v>0</v>
      </c>
      <c r="AH7" s="21" t="n">
        <f aca="false">IF(OR(AE7="",AE7=0),0,AE7*IF(X7="",0,IF(X7&gt;1,X7/100,X7)))</f>
        <v>0</v>
      </c>
      <c r="AI7" s="21" t="n">
        <f aca="false">IF(OR(AE7="",AE7=0),0,AE7*IF(AA7="",0,IF(AA7&gt;1,AA7/100,AA7)))</f>
        <v>0</v>
      </c>
      <c r="AJ7" s="21" t="n">
        <f aca="false">AG7+AH7+AI7</f>
        <v>0</v>
      </c>
      <c r="AK7" s="21" t="n">
        <f aca="false">IF(OR(AE7="",AE7=0),0,AE7-AJ7)</f>
        <v>0</v>
      </c>
      <c r="AL7" s="19" t="str">
        <f aca="false">IF(AD7="","",AD7-AK7)</f>
        <v/>
      </c>
      <c r="AM7" s="26" t="str">
        <f aca="false">IF(C7="","","Waiting for payment")</f>
        <v/>
      </c>
      <c r="AN7" s="27"/>
      <c r="AO7" s="27"/>
      <c r="AP7" s="35" t="str">
        <f aca="false">IF(OR(C7="",I7="",K7=""),"",IF(K7="Monthly",EDATE(C7,ROUND(I7*SETTINGS!$I$8,0)),WORKDAY(C7,ROUND(I7*SETTINGS!$I$8,0))))</f>
        <v/>
      </c>
      <c r="AQ7" s="26" t="str">
        <f aca="true">IF(C7="","",IF(AND(AP7&lt;&gt;"",TODAY()&gt;=AP7),"Refi Ready",IF(TODAY()-C7&gt;=SETTINGS!$I$11,"Prospecting","Performing")))</f>
        <v/>
      </c>
      <c r="AR7" s="35" t="str">
        <f aca="false">IF(OR(C7="",I7="",K7=""),"",IF(K7="Monthly",EDATE(C7,I7),WORKDAY(C7,I7)))</f>
        <v/>
      </c>
      <c r="AS7" s="28"/>
      <c r="AT7" s="36" t="str">
        <f aca="true">IF(C7="","",IF(AM7="Clawed Back","CLAWED",IF(TODAY()&lt;=C7+SETTINGS!$I$2,"⚠ AT RISK","SAFE")))</f>
        <v/>
      </c>
      <c r="AU7" s="28"/>
      <c r="AW7" s="24" t="n">
        <f aca="false">AW6+IF(AND(C7&lt;&gt;"",AO7&lt;&gt;"",OR('REP COMMISSION'!$B$3="",T7='REP COMMISSION'!$B$3,W7='REP COMMISSION'!$B$3,Z7='REP COMMISSION'!$B$3)),1,0)</f>
        <v>0</v>
      </c>
      <c r="AX7" s="24" t="n">
        <f aca="false">AX6+IF(AND(C7&lt;&gt;"",OR(F7="LOC - INITIAL",F7="CONSOLIDATION - UPFRONT COMM",F7="REVERSE - TOTAL FUNDING")),1,0)</f>
        <v>0</v>
      </c>
    </row>
    <row r="8" customFormat="false" ht="15" hidden="false" customHeight="false" outlineLevel="0" collapsed="false">
      <c r="A8" s="8" t="str">
        <f aca="false">IF(C8&lt;&gt;"","F27-"&amp;COUNT($C$4:C8),"")</f>
        <v/>
      </c>
      <c r="B8" s="9" t="str">
        <f aca="false">IF(OR(F8="LOC - INITIAL",F8="CONSOLIDATION - UPFRONT COMM",F8="REVERSE - TOTAL FUNDING"),A8,"")</f>
        <v/>
      </c>
      <c r="C8" s="10"/>
      <c r="D8" s="11"/>
      <c r="E8" s="11"/>
      <c r="F8" s="11"/>
      <c r="G8" s="12"/>
      <c r="H8" s="13"/>
      <c r="I8" s="11"/>
      <c r="J8" s="14" t="str">
        <f aca="false">IF(AND(G8&lt;&gt;"",H8&lt;&gt;""),G8*H8,"")</f>
        <v/>
      </c>
      <c r="K8" s="11"/>
      <c r="L8" s="15"/>
      <c r="M8" s="15"/>
      <c r="N8" s="14" t="n">
        <f aca="false">IF(OR(G8="",M8=""),0,IF(M8&gt;100,M8,G8*IF(M8&gt;1,M8/100,M8)))</f>
        <v>0</v>
      </c>
      <c r="O8" s="14" t="str">
        <f aca="false">IF(G8="","",G8*IF(L8="",0,IF(L8&gt;1,L8/100,L8))+N8)</f>
        <v/>
      </c>
      <c r="P8" s="11"/>
      <c r="Q8" s="16" t="str">
        <f aca="false">IF(P8="","",IFERROR(VLOOKUP(P8,PARTNERS!$A$2:$B$30,2,0),""))</f>
        <v/>
      </c>
      <c r="R8" s="17" t="str">
        <f aca="false">IF(O8="","",IF(OR(P8="",Q8=""),0,(O8-N8)*IF(Q8&gt;1,Q8/100,Q8)))</f>
        <v/>
      </c>
      <c r="S8" s="14" t="str">
        <f aca="false">IF(O8="","",O8-R8)</f>
        <v/>
      </c>
      <c r="T8" s="11"/>
      <c r="U8" s="18" t="str">
        <f aca="false">IF(T8="","",IFERROR(VLOOKUP(T8,REPS!$A$2:$D$40,2,0),""))</f>
        <v/>
      </c>
      <c r="V8" s="14" t="str">
        <f aca="false">IF(O8="","",IF(U8="",0,O8*IF(U8&gt;1,U8/100,U8)))</f>
        <v/>
      </c>
      <c r="W8" s="11"/>
      <c r="X8" s="18" t="str">
        <f aca="false">IF(W8="","",IFERROR(VLOOKUP(W8,REPS!$A$2:$D$40,3,0),""))</f>
        <v/>
      </c>
      <c r="Y8" s="14" t="str">
        <f aca="false">IF(O8="","",IF(X8="",0,O8*IF(X8&gt;1,X8/100,X8)))</f>
        <v/>
      </c>
      <c r="Z8" s="11"/>
      <c r="AA8" s="18" t="str">
        <f aca="false">IF(Z8="","",IFERROR(VLOOKUP(Z8,REPS!$A$2:$D$40,4,0),""))</f>
        <v/>
      </c>
      <c r="AB8" s="14" t="str">
        <f aca="false">IF(O8="","",IF(AA8="",0,O8*IF(AA8&gt;1,AA8/100,AA8)))</f>
        <v/>
      </c>
      <c r="AC8" s="14" t="str">
        <f aca="false">IF(O8="","",V8+Y8+AB8)</f>
        <v/>
      </c>
      <c r="AD8" s="19" t="str">
        <f aca="false">IF(O8="","",O8-R8-AC8)</f>
        <v/>
      </c>
      <c r="AE8" s="20"/>
      <c r="AF8" s="10"/>
      <c r="AG8" s="21" t="n">
        <f aca="false">IF(OR(AE8="",AE8=0),0,AE8*IF(U8="",0,IF(U8&gt;1,U8/100,U8)))</f>
        <v>0</v>
      </c>
      <c r="AH8" s="21" t="n">
        <f aca="false">IF(OR(AE8="",AE8=0),0,AE8*IF(X8="",0,IF(X8&gt;1,X8/100,X8)))</f>
        <v>0</v>
      </c>
      <c r="AI8" s="21" t="n">
        <f aca="false">IF(OR(AE8="",AE8=0),0,AE8*IF(AA8="",0,IF(AA8&gt;1,AA8/100,AA8)))</f>
        <v>0</v>
      </c>
      <c r="AJ8" s="21" t="n">
        <f aca="false">AG8+AH8+AI8</f>
        <v>0</v>
      </c>
      <c r="AK8" s="21" t="n">
        <f aca="false">IF(OR(AE8="",AE8=0),0,AE8-AJ8)</f>
        <v>0</v>
      </c>
      <c r="AL8" s="19" t="str">
        <f aca="false">IF(AD8="","",AD8-AK8)</f>
        <v/>
      </c>
      <c r="AM8" s="9" t="str">
        <f aca="false">IF(C8="","","Waiting for payment")</f>
        <v/>
      </c>
      <c r="AN8" s="10"/>
      <c r="AO8" s="10"/>
      <c r="AP8" s="22" t="str">
        <f aca="false">IF(OR(C8="",I8="",K8=""),"",IF(K8="Monthly",EDATE(C8,ROUND(I8*SETTINGS!$I$8,0)),WORKDAY(C8,ROUND(I8*SETTINGS!$I$8,0))))</f>
        <v/>
      </c>
      <c r="AQ8" s="9" t="str">
        <f aca="true">IF(C8="","",IF(AND(AP8&lt;&gt;"",TODAY()&gt;=AP8),"Refi Ready",IF(TODAY()-C8&gt;=SETTINGS!$I$11,"Prospecting","Performing")))</f>
        <v/>
      </c>
      <c r="AR8" s="22" t="str">
        <f aca="false">IF(OR(C8="",I8="",K8=""),"",IF(K8="Monthly",EDATE(C8,I8),WORKDAY(C8,I8)))</f>
        <v/>
      </c>
      <c r="AS8" s="11"/>
      <c r="AT8" s="23" t="str">
        <f aca="true">IF(C8="","",IF(AM8="Clawed Back","CLAWED",IF(TODAY()&lt;=C8+SETTINGS!$I$2,"⚠ AT RISK","SAFE")))</f>
        <v/>
      </c>
      <c r="AU8" s="11"/>
      <c r="AW8" s="24" t="n">
        <f aca="false">AW7+IF(AND(C8&lt;&gt;"",AO8&lt;&gt;"",OR('REP COMMISSION'!$B$3="",T8='REP COMMISSION'!$B$3,W8='REP COMMISSION'!$B$3,Z8='REP COMMISSION'!$B$3)),1,0)</f>
        <v>0</v>
      </c>
      <c r="AX8" s="24" t="n">
        <f aca="false">AX7+IF(AND(C8&lt;&gt;"",OR(F8="LOC - INITIAL",F8="CONSOLIDATION - UPFRONT COMM",F8="REVERSE - TOTAL FUNDING")),1,0)</f>
        <v>0</v>
      </c>
    </row>
    <row r="9" customFormat="false" ht="15" hidden="false" customHeight="false" outlineLevel="0" collapsed="false">
      <c r="A9" s="25" t="str">
        <f aca="false">IF(C9&lt;&gt;"","F27-"&amp;COUNT($C$4:C9),"")</f>
        <v/>
      </c>
      <c r="B9" s="26" t="str">
        <f aca="false">IF(OR(F9="LOC - INITIAL",F9="CONSOLIDATION - UPFRONT COMM",F9="REVERSE - TOTAL FUNDING"),A9,"")</f>
        <v/>
      </c>
      <c r="C9" s="27"/>
      <c r="D9" s="28"/>
      <c r="E9" s="28"/>
      <c r="F9" s="28"/>
      <c r="G9" s="29"/>
      <c r="H9" s="30"/>
      <c r="I9" s="28"/>
      <c r="J9" s="31" t="str">
        <f aca="false">IF(AND(G9&lt;&gt;"",H9&lt;&gt;""),G9*H9,"")</f>
        <v/>
      </c>
      <c r="K9" s="28"/>
      <c r="L9" s="32"/>
      <c r="M9" s="32"/>
      <c r="N9" s="31" t="n">
        <f aca="false">IF(OR(G9="",M9=""),0,IF(M9&gt;100,M9,G9*IF(M9&gt;1,M9/100,M9)))</f>
        <v>0</v>
      </c>
      <c r="O9" s="31" t="str">
        <f aca="false">IF(G9="","",G9*IF(L9="",0,IF(L9&gt;1,L9/100,L9))+N9)</f>
        <v/>
      </c>
      <c r="P9" s="28"/>
      <c r="Q9" s="33" t="str">
        <f aca="false">IF(P9="","",IFERROR(VLOOKUP(P9,PARTNERS!$A$2:$B$30,2,0),""))</f>
        <v/>
      </c>
      <c r="R9" s="17" t="str">
        <f aca="false">IF(O9="","",IF(OR(P9="",Q9=""),0,(O9-N9)*IF(Q9&gt;1,Q9/100,Q9)))</f>
        <v/>
      </c>
      <c r="S9" s="31" t="str">
        <f aca="false">IF(O9="","",O9-R9)</f>
        <v/>
      </c>
      <c r="T9" s="28"/>
      <c r="U9" s="34" t="str">
        <f aca="false">IF(T9="","",IFERROR(VLOOKUP(T9,REPS!$A$2:$D$40,2,0),""))</f>
        <v/>
      </c>
      <c r="V9" s="31" t="str">
        <f aca="false">IF(O9="","",IF(U9="",0,O9*IF(U9&gt;1,U9/100,U9)))</f>
        <v/>
      </c>
      <c r="W9" s="28"/>
      <c r="X9" s="34" t="str">
        <f aca="false">IF(W9="","",IFERROR(VLOOKUP(W9,REPS!$A$2:$D$40,3,0),""))</f>
        <v/>
      </c>
      <c r="Y9" s="31" t="str">
        <f aca="false">IF(O9="","",IF(X9="",0,O9*IF(X9&gt;1,X9/100,X9)))</f>
        <v/>
      </c>
      <c r="Z9" s="28"/>
      <c r="AA9" s="34" t="str">
        <f aca="false">IF(Z9="","",IFERROR(VLOOKUP(Z9,REPS!$A$2:$D$40,4,0),""))</f>
        <v/>
      </c>
      <c r="AB9" s="31" t="str">
        <f aca="false">IF(O9="","",IF(AA9="",0,O9*IF(AA9&gt;1,AA9/100,AA9)))</f>
        <v/>
      </c>
      <c r="AC9" s="31" t="str">
        <f aca="false">IF(O9="","",V9+Y9+AB9)</f>
        <v/>
      </c>
      <c r="AD9" s="19" t="str">
        <f aca="false">IF(O9="","",O9-R9-AC9)</f>
        <v/>
      </c>
      <c r="AE9" s="20"/>
      <c r="AF9" s="27"/>
      <c r="AG9" s="21" t="n">
        <f aca="false">IF(OR(AE9="",AE9=0),0,AE9*IF(U9="",0,IF(U9&gt;1,U9/100,U9)))</f>
        <v>0</v>
      </c>
      <c r="AH9" s="21" t="n">
        <f aca="false">IF(OR(AE9="",AE9=0),0,AE9*IF(X9="",0,IF(X9&gt;1,X9/100,X9)))</f>
        <v>0</v>
      </c>
      <c r="AI9" s="21" t="n">
        <f aca="false">IF(OR(AE9="",AE9=0),0,AE9*IF(AA9="",0,IF(AA9&gt;1,AA9/100,AA9)))</f>
        <v>0</v>
      </c>
      <c r="AJ9" s="21" t="n">
        <f aca="false">AG9+AH9+AI9</f>
        <v>0</v>
      </c>
      <c r="AK9" s="21" t="n">
        <f aca="false">IF(OR(AE9="",AE9=0),0,AE9-AJ9)</f>
        <v>0</v>
      </c>
      <c r="AL9" s="19" t="str">
        <f aca="false">IF(AD9="","",AD9-AK9)</f>
        <v/>
      </c>
      <c r="AM9" s="26" t="str">
        <f aca="false">IF(C9="","","Waiting for payment")</f>
        <v/>
      </c>
      <c r="AN9" s="27"/>
      <c r="AO9" s="27"/>
      <c r="AP9" s="35" t="str">
        <f aca="false">IF(OR(C9="",I9="",K9=""),"",IF(K9="Monthly",EDATE(C9,ROUND(I9*SETTINGS!$I$8,0)),WORKDAY(C9,ROUND(I9*SETTINGS!$I$8,0))))</f>
        <v/>
      </c>
      <c r="AQ9" s="26" t="str">
        <f aca="true">IF(C9="","",IF(AND(AP9&lt;&gt;"",TODAY()&gt;=AP9),"Refi Ready",IF(TODAY()-C9&gt;=SETTINGS!$I$11,"Prospecting","Performing")))</f>
        <v/>
      </c>
      <c r="AR9" s="35" t="str">
        <f aca="false">IF(OR(C9="",I9="",K9=""),"",IF(K9="Monthly",EDATE(C9,I9),WORKDAY(C9,I9)))</f>
        <v/>
      </c>
      <c r="AS9" s="28"/>
      <c r="AT9" s="36" t="str">
        <f aca="true">IF(C9="","",IF(AM9="Clawed Back","CLAWED",IF(TODAY()&lt;=C9+SETTINGS!$I$2,"⚠ AT RISK","SAFE")))</f>
        <v/>
      </c>
      <c r="AU9" s="28"/>
      <c r="AW9" s="24" t="n">
        <f aca="false">AW8+IF(AND(C9&lt;&gt;"",AO9&lt;&gt;"",OR('REP COMMISSION'!$B$3="",T9='REP COMMISSION'!$B$3,W9='REP COMMISSION'!$B$3,Z9='REP COMMISSION'!$B$3)),1,0)</f>
        <v>0</v>
      </c>
      <c r="AX9" s="24" t="n">
        <f aca="false">AX8+IF(AND(C9&lt;&gt;"",OR(F9="LOC - INITIAL",F9="CONSOLIDATION - UPFRONT COMM",F9="REVERSE - TOTAL FUNDING")),1,0)</f>
        <v>0</v>
      </c>
    </row>
    <row r="10" customFormat="false" ht="15" hidden="false" customHeight="false" outlineLevel="0" collapsed="false">
      <c r="A10" s="8" t="str">
        <f aca="false">IF(C10&lt;&gt;"","F27-"&amp;COUNT($C$4:C10),"")</f>
        <v/>
      </c>
      <c r="B10" s="9" t="str">
        <f aca="false">IF(OR(F10="LOC - INITIAL",F10="CONSOLIDATION - UPFRONT COMM",F10="REVERSE - TOTAL FUNDING"),A10,"")</f>
        <v/>
      </c>
      <c r="C10" s="10"/>
      <c r="D10" s="11"/>
      <c r="E10" s="11"/>
      <c r="F10" s="11"/>
      <c r="G10" s="12"/>
      <c r="H10" s="13"/>
      <c r="I10" s="11"/>
      <c r="J10" s="14" t="str">
        <f aca="false">IF(AND(G10&lt;&gt;"",H10&lt;&gt;""),G10*H10,"")</f>
        <v/>
      </c>
      <c r="K10" s="11"/>
      <c r="L10" s="15"/>
      <c r="M10" s="15"/>
      <c r="N10" s="14" t="n">
        <f aca="false">IF(OR(G10="",M10=""),0,IF(M10&gt;100,M10,G10*IF(M10&gt;1,M10/100,M10)))</f>
        <v>0</v>
      </c>
      <c r="O10" s="14" t="str">
        <f aca="false">IF(G10="","",G10*IF(L10="",0,IF(L10&gt;1,L10/100,L10))+N10)</f>
        <v/>
      </c>
      <c r="P10" s="11"/>
      <c r="Q10" s="16" t="str">
        <f aca="false">IF(P10="","",IFERROR(VLOOKUP(P10,PARTNERS!$A$2:$B$30,2,0),""))</f>
        <v/>
      </c>
      <c r="R10" s="17" t="str">
        <f aca="false">IF(O10="","",IF(OR(P10="",Q10=""),0,(O10-N10)*IF(Q10&gt;1,Q10/100,Q10)))</f>
        <v/>
      </c>
      <c r="S10" s="14" t="str">
        <f aca="false">IF(O10="","",O10-R10)</f>
        <v/>
      </c>
      <c r="T10" s="11"/>
      <c r="U10" s="18" t="str">
        <f aca="false">IF(T10="","",IFERROR(VLOOKUP(T10,REPS!$A$2:$D$40,2,0),""))</f>
        <v/>
      </c>
      <c r="V10" s="14" t="str">
        <f aca="false">IF(O10="","",IF(U10="",0,O10*IF(U10&gt;1,U10/100,U10)))</f>
        <v/>
      </c>
      <c r="W10" s="11"/>
      <c r="X10" s="18" t="str">
        <f aca="false">IF(W10="","",IFERROR(VLOOKUP(W10,REPS!$A$2:$D$40,3,0),""))</f>
        <v/>
      </c>
      <c r="Y10" s="14" t="str">
        <f aca="false">IF(O10="","",IF(X10="",0,O10*IF(X10&gt;1,X10/100,X10)))</f>
        <v/>
      </c>
      <c r="Z10" s="11"/>
      <c r="AA10" s="18" t="str">
        <f aca="false">IF(Z10="","",IFERROR(VLOOKUP(Z10,REPS!$A$2:$D$40,4,0),""))</f>
        <v/>
      </c>
      <c r="AB10" s="14" t="str">
        <f aca="false">IF(O10="","",IF(AA10="",0,O10*IF(AA10&gt;1,AA10/100,AA10)))</f>
        <v/>
      </c>
      <c r="AC10" s="14" t="str">
        <f aca="false">IF(O10="","",V10+Y10+AB10)</f>
        <v/>
      </c>
      <c r="AD10" s="19" t="str">
        <f aca="false">IF(O10="","",O10-R10-AC10)</f>
        <v/>
      </c>
      <c r="AE10" s="20"/>
      <c r="AF10" s="10"/>
      <c r="AG10" s="21" t="n">
        <f aca="false">IF(OR(AE10="",AE10=0),0,AE10*IF(U10="",0,IF(U10&gt;1,U10/100,U10)))</f>
        <v>0</v>
      </c>
      <c r="AH10" s="21" t="n">
        <f aca="false">IF(OR(AE10="",AE10=0),0,AE10*IF(X10="",0,IF(X10&gt;1,X10/100,X10)))</f>
        <v>0</v>
      </c>
      <c r="AI10" s="21" t="n">
        <f aca="false">IF(OR(AE10="",AE10=0),0,AE10*IF(AA10="",0,IF(AA10&gt;1,AA10/100,AA10)))</f>
        <v>0</v>
      </c>
      <c r="AJ10" s="21" t="n">
        <f aca="false">AG10+AH10+AI10</f>
        <v>0</v>
      </c>
      <c r="AK10" s="21" t="n">
        <f aca="false">IF(OR(AE10="",AE10=0),0,AE10-AJ10)</f>
        <v>0</v>
      </c>
      <c r="AL10" s="19" t="str">
        <f aca="false">IF(AD10="","",AD10-AK10)</f>
        <v/>
      </c>
      <c r="AM10" s="9" t="str">
        <f aca="false">IF(C10="","","Waiting for payment")</f>
        <v/>
      </c>
      <c r="AN10" s="10"/>
      <c r="AO10" s="10"/>
      <c r="AP10" s="22" t="str">
        <f aca="false">IF(OR(C10="",I10="",K10=""),"",IF(K10="Monthly",EDATE(C10,ROUND(I10*SETTINGS!$I$8,0)),WORKDAY(C10,ROUND(I10*SETTINGS!$I$8,0))))</f>
        <v/>
      </c>
      <c r="AQ10" s="9" t="str">
        <f aca="true">IF(C10="","",IF(AND(AP10&lt;&gt;"",TODAY()&gt;=AP10),"Refi Ready",IF(TODAY()-C10&gt;=SETTINGS!$I$11,"Prospecting","Performing")))</f>
        <v/>
      </c>
      <c r="AR10" s="22" t="str">
        <f aca="false">IF(OR(C10="",I10="",K10=""),"",IF(K10="Monthly",EDATE(C10,I10),WORKDAY(C10,I10)))</f>
        <v/>
      </c>
      <c r="AS10" s="11"/>
      <c r="AT10" s="23" t="str">
        <f aca="true">IF(C10="","",IF(AM10="Clawed Back","CLAWED",IF(TODAY()&lt;=C10+SETTINGS!$I$2,"⚠ AT RISK","SAFE")))</f>
        <v/>
      </c>
      <c r="AU10" s="11"/>
      <c r="AW10" s="24" t="n">
        <f aca="false">AW9+IF(AND(C10&lt;&gt;"",AO10&lt;&gt;"",OR('REP COMMISSION'!$B$3="",T10='REP COMMISSION'!$B$3,W10='REP COMMISSION'!$B$3,Z10='REP COMMISSION'!$B$3)),1,0)</f>
        <v>0</v>
      </c>
      <c r="AX10" s="24" t="n">
        <f aca="false">AX9+IF(AND(C10&lt;&gt;"",OR(F10="LOC - INITIAL",F10="CONSOLIDATION - UPFRONT COMM",F10="REVERSE - TOTAL FUNDING")),1,0)</f>
        <v>0</v>
      </c>
    </row>
    <row r="11" customFormat="false" ht="15" hidden="false" customHeight="false" outlineLevel="0" collapsed="false">
      <c r="A11" s="25" t="str">
        <f aca="false">IF(C11&lt;&gt;"","F27-"&amp;COUNT($C$4:C11),"")</f>
        <v/>
      </c>
      <c r="B11" s="26" t="str">
        <f aca="false">IF(OR(F11="LOC - INITIAL",F11="CONSOLIDATION - UPFRONT COMM",F11="REVERSE - TOTAL FUNDING"),A11,"")</f>
        <v/>
      </c>
      <c r="C11" s="27"/>
      <c r="D11" s="28"/>
      <c r="E11" s="28"/>
      <c r="F11" s="28"/>
      <c r="G11" s="29"/>
      <c r="H11" s="30"/>
      <c r="I11" s="28"/>
      <c r="J11" s="31" t="str">
        <f aca="false">IF(AND(G11&lt;&gt;"",H11&lt;&gt;""),G11*H11,"")</f>
        <v/>
      </c>
      <c r="K11" s="28"/>
      <c r="L11" s="32"/>
      <c r="M11" s="32"/>
      <c r="N11" s="31" t="n">
        <f aca="false">IF(OR(G11="",M11=""),0,IF(M11&gt;100,M11,G11*IF(M11&gt;1,M11/100,M11)))</f>
        <v>0</v>
      </c>
      <c r="O11" s="31" t="str">
        <f aca="false">IF(G11="","",G11*IF(L11="",0,IF(L11&gt;1,L11/100,L11))+N11)</f>
        <v/>
      </c>
      <c r="P11" s="28"/>
      <c r="Q11" s="33" t="str">
        <f aca="false">IF(P11="","",IFERROR(VLOOKUP(P11,PARTNERS!$A$2:$B$30,2,0),""))</f>
        <v/>
      </c>
      <c r="R11" s="17" t="str">
        <f aca="false">IF(O11="","",IF(OR(P11="",Q11=""),0,(O11-N11)*IF(Q11&gt;1,Q11/100,Q11)))</f>
        <v/>
      </c>
      <c r="S11" s="31" t="str">
        <f aca="false">IF(O11="","",O11-R11)</f>
        <v/>
      </c>
      <c r="T11" s="28"/>
      <c r="U11" s="34" t="str">
        <f aca="false">IF(T11="","",IFERROR(VLOOKUP(T11,REPS!$A$2:$D$40,2,0),""))</f>
        <v/>
      </c>
      <c r="V11" s="31" t="str">
        <f aca="false">IF(O11="","",IF(U11="",0,O11*IF(U11&gt;1,U11/100,U11)))</f>
        <v/>
      </c>
      <c r="W11" s="28"/>
      <c r="X11" s="34" t="str">
        <f aca="false">IF(W11="","",IFERROR(VLOOKUP(W11,REPS!$A$2:$D$40,3,0),""))</f>
        <v/>
      </c>
      <c r="Y11" s="31" t="str">
        <f aca="false">IF(O11="","",IF(X11="",0,O11*IF(X11&gt;1,X11/100,X11)))</f>
        <v/>
      </c>
      <c r="Z11" s="28"/>
      <c r="AA11" s="34" t="str">
        <f aca="false">IF(Z11="","",IFERROR(VLOOKUP(Z11,REPS!$A$2:$D$40,4,0),""))</f>
        <v/>
      </c>
      <c r="AB11" s="31" t="str">
        <f aca="false">IF(O11="","",IF(AA11="",0,O11*IF(AA11&gt;1,AA11/100,AA11)))</f>
        <v/>
      </c>
      <c r="AC11" s="31" t="str">
        <f aca="false">IF(O11="","",V11+Y11+AB11)</f>
        <v/>
      </c>
      <c r="AD11" s="19" t="str">
        <f aca="false">IF(O11="","",O11-R11-AC11)</f>
        <v/>
      </c>
      <c r="AE11" s="20"/>
      <c r="AF11" s="27"/>
      <c r="AG11" s="21" t="n">
        <f aca="false">IF(OR(AE11="",AE11=0),0,AE11*IF(U11="",0,IF(U11&gt;1,U11/100,U11)))</f>
        <v>0</v>
      </c>
      <c r="AH11" s="21" t="n">
        <f aca="false">IF(OR(AE11="",AE11=0),0,AE11*IF(X11="",0,IF(X11&gt;1,X11/100,X11)))</f>
        <v>0</v>
      </c>
      <c r="AI11" s="21" t="n">
        <f aca="false">IF(OR(AE11="",AE11=0),0,AE11*IF(AA11="",0,IF(AA11&gt;1,AA11/100,AA11)))</f>
        <v>0</v>
      </c>
      <c r="AJ11" s="21" t="n">
        <f aca="false">AG11+AH11+AI11</f>
        <v>0</v>
      </c>
      <c r="AK11" s="21" t="n">
        <f aca="false">IF(OR(AE11="",AE11=0),0,AE11-AJ11)</f>
        <v>0</v>
      </c>
      <c r="AL11" s="19" t="str">
        <f aca="false">IF(AD11="","",AD11-AK11)</f>
        <v/>
      </c>
      <c r="AM11" s="26" t="str">
        <f aca="false">IF(C11="","","Waiting for payment")</f>
        <v/>
      </c>
      <c r="AN11" s="27"/>
      <c r="AO11" s="27"/>
      <c r="AP11" s="35" t="str">
        <f aca="false">IF(OR(C11="",I11="",K11=""),"",IF(K11="Monthly",EDATE(C11,ROUND(I11*SETTINGS!$I$8,0)),WORKDAY(C11,ROUND(I11*SETTINGS!$I$8,0))))</f>
        <v/>
      </c>
      <c r="AQ11" s="26" t="str">
        <f aca="true">IF(C11="","",IF(AND(AP11&lt;&gt;"",TODAY()&gt;=AP11),"Refi Ready",IF(TODAY()-C11&gt;=SETTINGS!$I$11,"Prospecting","Performing")))</f>
        <v/>
      </c>
      <c r="AR11" s="35" t="str">
        <f aca="false">IF(OR(C11="",I11="",K11=""),"",IF(K11="Monthly",EDATE(C11,I11),WORKDAY(C11,I11)))</f>
        <v/>
      </c>
      <c r="AS11" s="28"/>
      <c r="AT11" s="36" t="str">
        <f aca="true">IF(C11="","",IF(AM11="Clawed Back","CLAWED",IF(TODAY()&lt;=C11+SETTINGS!$I$2,"⚠ AT RISK","SAFE")))</f>
        <v/>
      </c>
      <c r="AU11" s="28"/>
      <c r="AW11" s="24" t="n">
        <f aca="false">AW10+IF(AND(C11&lt;&gt;"",AO11&lt;&gt;"",OR('REP COMMISSION'!$B$3="",T11='REP COMMISSION'!$B$3,W11='REP COMMISSION'!$B$3,Z11='REP COMMISSION'!$B$3)),1,0)</f>
        <v>0</v>
      </c>
      <c r="AX11" s="24" t="n">
        <f aca="false">AX10+IF(AND(C11&lt;&gt;"",OR(F11="LOC - INITIAL",F11="CONSOLIDATION - UPFRONT COMM",F11="REVERSE - TOTAL FUNDING")),1,0)</f>
        <v>0</v>
      </c>
    </row>
    <row r="12" customFormat="false" ht="15" hidden="false" customHeight="false" outlineLevel="0" collapsed="false">
      <c r="A12" s="8" t="str">
        <f aca="false">IF(C12&lt;&gt;"","F27-"&amp;COUNT($C$4:C12),"")</f>
        <v/>
      </c>
      <c r="B12" s="9" t="str">
        <f aca="false">IF(OR(F12="LOC - INITIAL",F12="CONSOLIDATION - UPFRONT COMM",F12="REVERSE - TOTAL FUNDING"),A12,"")</f>
        <v/>
      </c>
      <c r="C12" s="10"/>
      <c r="D12" s="11"/>
      <c r="E12" s="11"/>
      <c r="F12" s="11"/>
      <c r="G12" s="12"/>
      <c r="H12" s="13"/>
      <c r="I12" s="11"/>
      <c r="J12" s="14" t="str">
        <f aca="false">IF(AND(G12&lt;&gt;"",H12&lt;&gt;""),G12*H12,"")</f>
        <v/>
      </c>
      <c r="K12" s="11"/>
      <c r="L12" s="15"/>
      <c r="M12" s="15"/>
      <c r="N12" s="14" t="n">
        <f aca="false">IF(OR(G12="",M12=""),0,IF(M12&gt;100,M12,G12*IF(M12&gt;1,M12/100,M12)))</f>
        <v>0</v>
      </c>
      <c r="O12" s="14" t="str">
        <f aca="false">IF(G12="","",G12*IF(L12="",0,IF(L12&gt;1,L12/100,L12))+N12)</f>
        <v/>
      </c>
      <c r="P12" s="11"/>
      <c r="Q12" s="16" t="str">
        <f aca="false">IF(P12="","",IFERROR(VLOOKUP(P12,PARTNERS!$A$2:$B$30,2,0),""))</f>
        <v/>
      </c>
      <c r="R12" s="17" t="str">
        <f aca="false">IF(O12="","",IF(OR(P12="",Q12=""),0,(O12-N12)*IF(Q12&gt;1,Q12/100,Q12)))</f>
        <v/>
      </c>
      <c r="S12" s="14" t="str">
        <f aca="false">IF(O12="","",O12-R12)</f>
        <v/>
      </c>
      <c r="T12" s="11"/>
      <c r="U12" s="18" t="str">
        <f aca="false">IF(T12="","",IFERROR(VLOOKUP(T12,REPS!$A$2:$D$40,2,0),""))</f>
        <v/>
      </c>
      <c r="V12" s="14" t="str">
        <f aca="false">IF(O12="","",IF(U12="",0,O12*IF(U12&gt;1,U12/100,U12)))</f>
        <v/>
      </c>
      <c r="W12" s="11"/>
      <c r="X12" s="18" t="str">
        <f aca="false">IF(W12="","",IFERROR(VLOOKUP(W12,REPS!$A$2:$D$40,3,0),""))</f>
        <v/>
      </c>
      <c r="Y12" s="14" t="str">
        <f aca="false">IF(O12="","",IF(X12="",0,O12*IF(X12&gt;1,X12/100,X12)))</f>
        <v/>
      </c>
      <c r="Z12" s="11"/>
      <c r="AA12" s="18" t="str">
        <f aca="false">IF(Z12="","",IFERROR(VLOOKUP(Z12,REPS!$A$2:$D$40,4,0),""))</f>
        <v/>
      </c>
      <c r="AB12" s="14" t="str">
        <f aca="false">IF(O12="","",IF(AA12="",0,O12*IF(AA12&gt;1,AA12/100,AA12)))</f>
        <v/>
      </c>
      <c r="AC12" s="14" t="str">
        <f aca="false">IF(O12="","",V12+Y12+AB12)</f>
        <v/>
      </c>
      <c r="AD12" s="19" t="str">
        <f aca="false">IF(O12="","",O12-R12-AC12)</f>
        <v/>
      </c>
      <c r="AE12" s="20"/>
      <c r="AF12" s="10"/>
      <c r="AG12" s="21" t="n">
        <f aca="false">IF(OR(AE12="",AE12=0),0,AE12*IF(U12="",0,IF(U12&gt;1,U12/100,U12)))</f>
        <v>0</v>
      </c>
      <c r="AH12" s="21" t="n">
        <f aca="false">IF(OR(AE12="",AE12=0),0,AE12*IF(X12="",0,IF(X12&gt;1,X12/100,X12)))</f>
        <v>0</v>
      </c>
      <c r="AI12" s="21" t="n">
        <f aca="false">IF(OR(AE12="",AE12=0),0,AE12*IF(AA12="",0,IF(AA12&gt;1,AA12/100,AA12)))</f>
        <v>0</v>
      </c>
      <c r="AJ12" s="21" t="n">
        <f aca="false">AG12+AH12+AI12</f>
        <v>0</v>
      </c>
      <c r="AK12" s="21" t="n">
        <f aca="false">IF(OR(AE12="",AE12=0),0,AE12-AJ12)</f>
        <v>0</v>
      </c>
      <c r="AL12" s="19" t="str">
        <f aca="false">IF(AD12="","",AD12-AK12)</f>
        <v/>
      </c>
      <c r="AM12" s="9" t="str">
        <f aca="false">IF(C12="","","Waiting for payment")</f>
        <v/>
      </c>
      <c r="AN12" s="10"/>
      <c r="AO12" s="10"/>
      <c r="AP12" s="22" t="str">
        <f aca="false">IF(OR(C12="",I12="",K12=""),"",IF(K12="Monthly",EDATE(C12,ROUND(I12*SETTINGS!$I$8,0)),WORKDAY(C12,ROUND(I12*SETTINGS!$I$8,0))))</f>
        <v/>
      </c>
      <c r="AQ12" s="9" t="str">
        <f aca="true">IF(C12="","",IF(AND(AP12&lt;&gt;"",TODAY()&gt;=AP12),"Refi Ready",IF(TODAY()-C12&gt;=SETTINGS!$I$11,"Prospecting","Performing")))</f>
        <v/>
      </c>
      <c r="AR12" s="22" t="str">
        <f aca="false">IF(OR(C12="",I12="",K12=""),"",IF(K12="Monthly",EDATE(C12,I12),WORKDAY(C12,I12)))</f>
        <v/>
      </c>
      <c r="AS12" s="11"/>
      <c r="AT12" s="23" t="str">
        <f aca="true">IF(C12="","",IF(AM12="Clawed Back","CLAWED",IF(TODAY()&lt;=C12+SETTINGS!$I$2,"⚠ AT RISK","SAFE")))</f>
        <v/>
      </c>
      <c r="AU12" s="11"/>
      <c r="AW12" s="24" t="n">
        <f aca="false">AW11+IF(AND(C12&lt;&gt;"",AO12&lt;&gt;"",OR('REP COMMISSION'!$B$3="",T12='REP COMMISSION'!$B$3,W12='REP COMMISSION'!$B$3,Z12='REP COMMISSION'!$B$3)),1,0)</f>
        <v>0</v>
      </c>
      <c r="AX12" s="24" t="n">
        <f aca="false">AX11+IF(AND(C12&lt;&gt;"",OR(F12="LOC - INITIAL",F12="CONSOLIDATION - UPFRONT COMM",F12="REVERSE - TOTAL FUNDING")),1,0)</f>
        <v>0</v>
      </c>
    </row>
    <row r="13" customFormat="false" ht="15" hidden="false" customHeight="false" outlineLevel="0" collapsed="false">
      <c r="A13" s="25" t="str">
        <f aca="false">IF(C13&lt;&gt;"","F27-"&amp;COUNT($C$4:C13),"")</f>
        <v/>
      </c>
      <c r="B13" s="26" t="str">
        <f aca="false">IF(OR(F13="LOC - INITIAL",F13="CONSOLIDATION - UPFRONT COMM",F13="REVERSE - TOTAL FUNDING"),A13,"")</f>
        <v/>
      </c>
      <c r="C13" s="27"/>
      <c r="D13" s="28"/>
      <c r="E13" s="28"/>
      <c r="F13" s="28"/>
      <c r="G13" s="29"/>
      <c r="H13" s="30"/>
      <c r="I13" s="28"/>
      <c r="J13" s="31" t="str">
        <f aca="false">IF(AND(G13&lt;&gt;"",H13&lt;&gt;""),G13*H13,"")</f>
        <v/>
      </c>
      <c r="K13" s="28"/>
      <c r="L13" s="32"/>
      <c r="M13" s="32"/>
      <c r="N13" s="31" t="n">
        <f aca="false">IF(OR(G13="",M13=""),0,IF(M13&gt;100,M13,G13*IF(M13&gt;1,M13/100,M13)))</f>
        <v>0</v>
      </c>
      <c r="O13" s="31" t="str">
        <f aca="false">IF(G13="","",G13*IF(L13="",0,IF(L13&gt;1,L13/100,L13))+N13)</f>
        <v/>
      </c>
      <c r="P13" s="28"/>
      <c r="Q13" s="33" t="str">
        <f aca="false">IF(P13="","",IFERROR(VLOOKUP(P13,PARTNERS!$A$2:$B$30,2,0),""))</f>
        <v/>
      </c>
      <c r="R13" s="17" t="str">
        <f aca="false">IF(O13="","",IF(OR(P13="",Q13=""),0,(O13-N13)*IF(Q13&gt;1,Q13/100,Q13)))</f>
        <v/>
      </c>
      <c r="S13" s="31" t="str">
        <f aca="false">IF(O13="","",O13-R13)</f>
        <v/>
      </c>
      <c r="T13" s="28"/>
      <c r="U13" s="34" t="str">
        <f aca="false">IF(T13="","",IFERROR(VLOOKUP(T13,REPS!$A$2:$D$40,2,0),""))</f>
        <v/>
      </c>
      <c r="V13" s="31" t="str">
        <f aca="false">IF(O13="","",IF(U13="",0,O13*IF(U13&gt;1,U13/100,U13)))</f>
        <v/>
      </c>
      <c r="W13" s="28"/>
      <c r="X13" s="34" t="str">
        <f aca="false">IF(W13="","",IFERROR(VLOOKUP(W13,REPS!$A$2:$D$40,3,0),""))</f>
        <v/>
      </c>
      <c r="Y13" s="31" t="str">
        <f aca="false">IF(O13="","",IF(X13="",0,O13*IF(X13&gt;1,X13/100,X13)))</f>
        <v/>
      </c>
      <c r="Z13" s="28"/>
      <c r="AA13" s="34" t="str">
        <f aca="false">IF(Z13="","",IFERROR(VLOOKUP(Z13,REPS!$A$2:$D$40,4,0),""))</f>
        <v/>
      </c>
      <c r="AB13" s="31" t="str">
        <f aca="false">IF(O13="","",IF(AA13="",0,O13*IF(AA13&gt;1,AA13/100,AA13)))</f>
        <v/>
      </c>
      <c r="AC13" s="31" t="str">
        <f aca="false">IF(O13="","",V13+Y13+AB13)</f>
        <v/>
      </c>
      <c r="AD13" s="19" t="str">
        <f aca="false">IF(O13="","",O13-R13-AC13)</f>
        <v/>
      </c>
      <c r="AE13" s="20"/>
      <c r="AF13" s="27"/>
      <c r="AG13" s="21" t="n">
        <f aca="false">IF(OR(AE13="",AE13=0),0,AE13*IF(U13="",0,IF(U13&gt;1,U13/100,U13)))</f>
        <v>0</v>
      </c>
      <c r="AH13" s="21" t="n">
        <f aca="false">IF(OR(AE13="",AE13=0),0,AE13*IF(X13="",0,IF(X13&gt;1,X13/100,X13)))</f>
        <v>0</v>
      </c>
      <c r="AI13" s="21" t="n">
        <f aca="false">IF(OR(AE13="",AE13=0),0,AE13*IF(AA13="",0,IF(AA13&gt;1,AA13/100,AA13)))</f>
        <v>0</v>
      </c>
      <c r="AJ13" s="21" t="n">
        <f aca="false">AG13+AH13+AI13</f>
        <v>0</v>
      </c>
      <c r="AK13" s="21" t="n">
        <f aca="false">IF(OR(AE13="",AE13=0),0,AE13-AJ13)</f>
        <v>0</v>
      </c>
      <c r="AL13" s="19" t="str">
        <f aca="false">IF(AD13="","",AD13-AK13)</f>
        <v/>
      </c>
      <c r="AM13" s="26" t="str">
        <f aca="false">IF(C13="","","Waiting for payment")</f>
        <v/>
      </c>
      <c r="AN13" s="27"/>
      <c r="AO13" s="27"/>
      <c r="AP13" s="35" t="str">
        <f aca="false">IF(OR(C13="",I13="",K13=""),"",IF(K13="Monthly",EDATE(C13,ROUND(I13*SETTINGS!$I$8,0)),WORKDAY(C13,ROUND(I13*SETTINGS!$I$8,0))))</f>
        <v/>
      </c>
      <c r="AQ13" s="26" t="str">
        <f aca="true">IF(C13="","",IF(AND(AP13&lt;&gt;"",TODAY()&gt;=AP13),"Refi Ready",IF(TODAY()-C13&gt;=SETTINGS!$I$11,"Prospecting","Performing")))</f>
        <v/>
      </c>
      <c r="AR13" s="35" t="str">
        <f aca="false">IF(OR(C13="",I13="",K13=""),"",IF(K13="Monthly",EDATE(C13,I13),WORKDAY(C13,I13)))</f>
        <v/>
      </c>
      <c r="AS13" s="28"/>
      <c r="AT13" s="36" t="str">
        <f aca="true">IF(C13="","",IF(AM13="Clawed Back","CLAWED",IF(TODAY()&lt;=C13+SETTINGS!$I$2,"⚠ AT RISK","SAFE")))</f>
        <v/>
      </c>
      <c r="AU13" s="28"/>
      <c r="AW13" s="24" t="n">
        <f aca="false">AW12+IF(AND(C13&lt;&gt;"",AO13&lt;&gt;"",OR('REP COMMISSION'!$B$3="",T13='REP COMMISSION'!$B$3,W13='REP COMMISSION'!$B$3,Z13='REP COMMISSION'!$B$3)),1,0)</f>
        <v>0</v>
      </c>
      <c r="AX13" s="24" t="n">
        <f aca="false">AX12+IF(AND(C13&lt;&gt;"",OR(F13="LOC - INITIAL",F13="CONSOLIDATION - UPFRONT COMM",F13="REVERSE - TOTAL FUNDING")),1,0)</f>
        <v>0</v>
      </c>
    </row>
    <row r="14" customFormat="false" ht="15" hidden="false" customHeight="false" outlineLevel="0" collapsed="false">
      <c r="A14" s="8" t="str">
        <f aca="false">IF(C14&lt;&gt;"","F27-"&amp;COUNT($C$4:C14),"")</f>
        <v/>
      </c>
      <c r="B14" s="9" t="str">
        <f aca="false">IF(OR(F14="LOC - INITIAL",F14="CONSOLIDATION - UPFRONT COMM",F14="REVERSE - TOTAL FUNDING"),A14,"")</f>
        <v/>
      </c>
      <c r="C14" s="10"/>
      <c r="D14" s="11"/>
      <c r="E14" s="11"/>
      <c r="F14" s="11"/>
      <c r="G14" s="12"/>
      <c r="H14" s="13"/>
      <c r="I14" s="11"/>
      <c r="J14" s="14" t="str">
        <f aca="false">IF(AND(G14&lt;&gt;"",H14&lt;&gt;""),G14*H14,"")</f>
        <v/>
      </c>
      <c r="K14" s="11"/>
      <c r="L14" s="15"/>
      <c r="M14" s="15"/>
      <c r="N14" s="14" t="n">
        <f aca="false">IF(OR(G14="",M14=""),0,IF(M14&gt;100,M14,G14*IF(M14&gt;1,M14/100,M14)))</f>
        <v>0</v>
      </c>
      <c r="O14" s="14" t="str">
        <f aca="false">IF(G14="","",G14*IF(L14="",0,IF(L14&gt;1,L14/100,L14))+N14)</f>
        <v/>
      </c>
      <c r="P14" s="11"/>
      <c r="Q14" s="16" t="str">
        <f aca="false">IF(P14="","",IFERROR(VLOOKUP(P14,PARTNERS!$A$2:$B$30,2,0),""))</f>
        <v/>
      </c>
      <c r="R14" s="17" t="str">
        <f aca="false">IF(O14="","",IF(OR(P14="",Q14=""),0,(O14-N14)*IF(Q14&gt;1,Q14/100,Q14)))</f>
        <v/>
      </c>
      <c r="S14" s="14" t="str">
        <f aca="false">IF(O14="","",O14-R14)</f>
        <v/>
      </c>
      <c r="T14" s="11"/>
      <c r="U14" s="18" t="str">
        <f aca="false">IF(T14="","",IFERROR(VLOOKUP(T14,REPS!$A$2:$D$40,2,0),""))</f>
        <v/>
      </c>
      <c r="V14" s="14" t="str">
        <f aca="false">IF(O14="","",IF(U14="",0,O14*IF(U14&gt;1,U14/100,U14)))</f>
        <v/>
      </c>
      <c r="W14" s="11"/>
      <c r="X14" s="18" t="str">
        <f aca="false">IF(W14="","",IFERROR(VLOOKUP(W14,REPS!$A$2:$D$40,3,0),""))</f>
        <v/>
      </c>
      <c r="Y14" s="14" t="str">
        <f aca="false">IF(O14="","",IF(X14="",0,O14*IF(X14&gt;1,X14/100,X14)))</f>
        <v/>
      </c>
      <c r="Z14" s="11"/>
      <c r="AA14" s="18" t="str">
        <f aca="false">IF(Z14="","",IFERROR(VLOOKUP(Z14,REPS!$A$2:$D$40,4,0),""))</f>
        <v/>
      </c>
      <c r="AB14" s="14" t="str">
        <f aca="false">IF(O14="","",IF(AA14="",0,O14*IF(AA14&gt;1,AA14/100,AA14)))</f>
        <v/>
      </c>
      <c r="AC14" s="14" t="str">
        <f aca="false">IF(O14="","",V14+Y14+AB14)</f>
        <v/>
      </c>
      <c r="AD14" s="19" t="str">
        <f aca="false">IF(O14="","",O14-R14-AC14)</f>
        <v/>
      </c>
      <c r="AE14" s="20"/>
      <c r="AF14" s="10"/>
      <c r="AG14" s="21" t="n">
        <f aca="false">IF(OR(AE14="",AE14=0),0,AE14*IF(U14="",0,IF(U14&gt;1,U14/100,U14)))</f>
        <v>0</v>
      </c>
      <c r="AH14" s="21" t="n">
        <f aca="false">IF(OR(AE14="",AE14=0),0,AE14*IF(X14="",0,IF(X14&gt;1,X14/100,X14)))</f>
        <v>0</v>
      </c>
      <c r="AI14" s="21" t="n">
        <f aca="false">IF(OR(AE14="",AE14=0),0,AE14*IF(AA14="",0,IF(AA14&gt;1,AA14/100,AA14)))</f>
        <v>0</v>
      </c>
      <c r="AJ14" s="21" t="n">
        <f aca="false">AG14+AH14+AI14</f>
        <v>0</v>
      </c>
      <c r="AK14" s="21" t="n">
        <f aca="false">IF(OR(AE14="",AE14=0),0,AE14-AJ14)</f>
        <v>0</v>
      </c>
      <c r="AL14" s="19" t="str">
        <f aca="false">IF(AD14="","",AD14-AK14)</f>
        <v/>
      </c>
      <c r="AM14" s="9" t="str">
        <f aca="false">IF(C14="","","Waiting for payment")</f>
        <v/>
      </c>
      <c r="AN14" s="10"/>
      <c r="AO14" s="10"/>
      <c r="AP14" s="22" t="str">
        <f aca="false">IF(OR(C14="",I14="",K14=""),"",IF(K14="Monthly",EDATE(C14,ROUND(I14*SETTINGS!$I$8,0)),WORKDAY(C14,ROUND(I14*SETTINGS!$I$8,0))))</f>
        <v/>
      </c>
      <c r="AQ14" s="9" t="str">
        <f aca="true">IF(C14="","",IF(AND(AP14&lt;&gt;"",TODAY()&gt;=AP14),"Refi Ready",IF(TODAY()-C14&gt;=SETTINGS!$I$11,"Prospecting","Performing")))</f>
        <v/>
      </c>
      <c r="AR14" s="22" t="str">
        <f aca="false">IF(OR(C14="",I14="",K14=""),"",IF(K14="Monthly",EDATE(C14,I14),WORKDAY(C14,I14)))</f>
        <v/>
      </c>
      <c r="AS14" s="11"/>
      <c r="AT14" s="23" t="str">
        <f aca="true">IF(C14="","",IF(AM14="Clawed Back","CLAWED",IF(TODAY()&lt;=C14+SETTINGS!$I$2,"⚠ AT RISK","SAFE")))</f>
        <v/>
      </c>
      <c r="AU14" s="11"/>
      <c r="AW14" s="24" t="n">
        <f aca="false">AW13+IF(AND(C14&lt;&gt;"",AO14&lt;&gt;"",OR('REP COMMISSION'!$B$3="",T14='REP COMMISSION'!$B$3,W14='REP COMMISSION'!$B$3,Z14='REP COMMISSION'!$B$3)),1,0)</f>
        <v>0</v>
      </c>
      <c r="AX14" s="24" t="n">
        <f aca="false">AX13+IF(AND(C14&lt;&gt;"",OR(F14="LOC - INITIAL",F14="CONSOLIDATION - UPFRONT COMM",F14="REVERSE - TOTAL FUNDING")),1,0)</f>
        <v>0</v>
      </c>
    </row>
    <row r="15" customFormat="false" ht="15" hidden="false" customHeight="false" outlineLevel="0" collapsed="false">
      <c r="A15" s="25" t="str">
        <f aca="false">IF(C15&lt;&gt;"","F27-"&amp;COUNT($C$4:C15),"")</f>
        <v/>
      </c>
      <c r="B15" s="26" t="str">
        <f aca="false">IF(OR(F15="LOC - INITIAL",F15="CONSOLIDATION - UPFRONT COMM",F15="REVERSE - TOTAL FUNDING"),A15,"")</f>
        <v/>
      </c>
      <c r="C15" s="27"/>
      <c r="D15" s="28"/>
      <c r="E15" s="28"/>
      <c r="F15" s="28"/>
      <c r="G15" s="29"/>
      <c r="H15" s="30"/>
      <c r="I15" s="28"/>
      <c r="J15" s="31" t="str">
        <f aca="false">IF(AND(G15&lt;&gt;"",H15&lt;&gt;""),G15*H15,"")</f>
        <v/>
      </c>
      <c r="K15" s="28"/>
      <c r="L15" s="32"/>
      <c r="M15" s="32"/>
      <c r="N15" s="31" t="n">
        <f aca="false">IF(OR(G15="",M15=""),0,IF(M15&gt;100,M15,G15*IF(M15&gt;1,M15/100,M15)))</f>
        <v>0</v>
      </c>
      <c r="O15" s="31" t="str">
        <f aca="false">IF(G15="","",G15*IF(L15="",0,IF(L15&gt;1,L15/100,L15))+N15)</f>
        <v/>
      </c>
      <c r="P15" s="28"/>
      <c r="Q15" s="33" t="str">
        <f aca="false">IF(P15="","",IFERROR(VLOOKUP(P15,PARTNERS!$A$2:$B$30,2,0),""))</f>
        <v/>
      </c>
      <c r="R15" s="17" t="str">
        <f aca="false">IF(O15="","",IF(OR(P15="",Q15=""),0,(O15-N15)*IF(Q15&gt;1,Q15/100,Q15)))</f>
        <v/>
      </c>
      <c r="S15" s="31" t="str">
        <f aca="false">IF(O15="","",O15-R15)</f>
        <v/>
      </c>
      <c r="T15" s="28"/>
      <c r="U15" s="34" t="str">
        <f aca="false">IF(T15="","",IFERROR(VLOOKUP(T15,REPS!$A$2:$D$40,2,0),""))</f>
        <v/>
      </c>
      <c r="V15" s="31" t="str">
        <f aca="false">IF(O15="","",IF(U15="",0,O15*IF(U15&gt;1,U15/100,U15)))</f>
        <v/>
      </c>
      <c r="W15" s="28"/>
      <c r="X15" s="34" t="str">
        <f aca="false">IF(W15="","",IFERROR(VLOOKUP(W15,REPS!$A$2:$D$40,3,0),""))</f>
        <v/>
      </c>
      <c r="Y15" s="31" t="str">
        <f aca="false">IF(O15="","",IF(X15="",0,O15*IF(X15&gt;1,X15/100,X15)))</f>
        <v/>
      </c>
      <c r="Z15" s="28"/>
      <c r="AA15" s="34" t="str">
        <f aca="false">IF(Z15="","",IFERROR(VLOOKUP(Z15,REPS!$A$2:$D$40,4,0),""))</f>
        <v/>
      </c>
      <c r="AB15" s="31" t="str">
        <f aca="false">IF(O15="","",IF(AA15="",0,O15*IF(AA15&gt;1,AA15/100,AA15)))</f>
        <v/>
      </c>
      <c r="AC15" s="31" t="str">
        <f aca="false">IF(O15="","",V15+Y15+AB15)</f>
        <v/>
      </c>
      <c r="AD15" s="19" t="str">
        <f aca="false">IF(O15="","",O15-R15-AC15)</f>
        <v/>
      </c>
      <c r="AE15" s="20"/>
      <c r="AF15" s="27"/>
      <c r="AG15" s="21" t="n">
        <f aca="false">IF(OR(AE15="",AE15=0),0,AE15*IF(U15="",0,IF(U15&gt;1,U15/100,U15)))</f>
        <v>0</v>
      </c>
      <c r="AH15" s="21" t="n">
        <f aca="false">IF(OR(AE15="",AE15=0),0,AE15*IF(X15="",0,IF(X15&gt;1,X15/100,X15)))</f>
        <v>0</v>
      </c>
      <c r="AI15" s="21" t="n">
        <f aca="false">IF(OR(AE15="",AE15=0),0,AE15*IF(AA15="",0,IF(AA15&gt;1,AA15/100,AA15)))</f>
        <v>0</v>
      </c>
      <c r="AJ15" s="21" t="n">
        <f aca="false">AG15+AH15+AI15</f>
        <v>0</v>
      </c>
      <c r="AK15" s="21" t="n">
        <f aca="false">IF(OR(AE15="",AE15=0),0,AE15-AJ15)</f>
        <v>0</v>
      </c>
      <c r="AL15" s="19" t="str">
        <f aca="false">IF(AD15="","",AD15-AK15)</f>
        <v/>
      </c>
      <c r="AM15" s="26" t="str">
        <f aca="false">IF(C15="","","Waiting for payment")</f>
        <v/>
      </c>
      <c r="AN15" s="27"/>
      <c r="AO15" s="27"/>
      <c r="AP15" s="35" t="str">
        <f aca="false">IF(OR(C15="",I15="",K15=""),"",IF(K15="Monthly",EDATE(C15,ROUND(I15*SETTINGS!$I$8,0)),WORKDAY(C15,ROUND(I15*SETTINGS!$I$8,0))))</f>
        <v/>
      </c>
      <c r="AQ15" s="26" t="str">
        <f aca="true">IF(C15="","",IF(AND(AP15&lt;&gt;"",TODAY()&gt;=AP15),"Refi Ready",IF(TODAY()-C15&gt;=SETTINGS!$I$11,"Prospecting","Performing")))</f>
        <v/>
      </c>
      <c r="AR15" s="35" t="str">
        <f aca="false">IF(OR(C15="",I15="",K15=""),"",IF(K15="Monthly",EDATE(C15,I15),WORKDAY(C15,I15)))</f>
        <v/>
      </c>
      <c r="AS15" s="28"/>
      <c r="AT15" s="36" t="str">
        <f aca="true">IF(C15="","",IF(AM15="Clawed Back","CLAWED",IF(TODAY()&lt;=C15+SETTINGS!$I$2,"⚠ AT RISK","SAFE")))</f>
        <v/>
      </c>
      <c r="AU15" s="28"/>
      <c r="AW15" s="24" t="n">
        <f aca="false">AW14+IF(AND(C15&lt;&gt;"",AO15&lt;&gt;"",OR('REP COMMISSION'!$B$3="",T15='REP COMMISSION'!$B$3,W15='REP COMMISSION'!$B$3,Z15='REP COMMISSION'!$B$3)),1,0)</f>
        <v>0</v>
      </c>
      <c r="AX15" s="24" t="n">
        <f aca="false">AX14+IF(AND(C15&lt;&gt;"",OR(F15="LOC - INITIAL",F15="CONSOLIDATION - UPFRONT COMM",F15="REVERSE - TOTAL FUNDING")),1,0)</f>
        <v>0</v>
      </c>
    </row>
    <row r="16" customFormat="false" ht="15" hidden="false" customHeight="false" outlineLevel="0" collapsed="false">
      <c r="A16" s="8" t="str">
        <f aca="false">IF(C16&lt;&gt;"","F27-"&amp;COUNT($C$4:C16),"")</f>
        <v/>
      </c>
      <c r="B16" s="9" t="str">
        <f aca="false">IF(OR(F16="LOC - INITIAL",F16="CONSOLIDATION - UPFRONT COMM",F16="REVERSE - TOTAL FUNDING"),A16,"")</f>
        <v/>
      </c>
      <c r="C16" s="10"/>
      <c r="D16" s="11"/>
      <c r="E16" s="11"/>
      <c r="F16" s="11"/>
      <c r="G16" s="12"/>
      <c r="H16" s="13"/>
      <c r="I16" s="11"/>
      <c r="J16" s="14" t="str">
        <f aca="false">IF(AND(G16&lt;&gt;"",H16&lt;&gt;""),G16*H16,"")</f>
        <v/>
      </c>
      <c r="K16" s="11"/>
      <c r="L16" s="15"/>
      <c r="M16" s="15"/>
      <c r="N16" s="14" t="n">
        <f aca="false">IF(OR(G16="",M16=""),0,IF(M16&gt;100,M16,G16*IF(M16&gt;1,M16/100,M16)))</f>
        <v>0</v>
      </c>
      <c r="O16" s="14" t="str">
        <f aca="false">IF(G16="","",G16*IF(L16="",0,IF(L16&gt;1,L16/100,L16))+N16)</f>
        <v/>
      </c>
      <c r="P16" s="11"/>
      <c r="Q16" s="16" t="str">
        <f aca="false">IF(P16="","",IFERROR(VLOOKUP(P16,PARTNERS!$A$2:$B$30,2,0),""))</f>
        <v/>
      </c>
      <c r="R16" s="17" t="str">
        <f aca="false">IF(O16="","",IF(OR(P16="",Q16=""),0,(O16-N16)*IF(Q16&gt;1,Q16/100,Q16)))</f>
        <v/>
      </c>
      <c r="S16" s="14" t="str">
        <f aca="false">IF(O16="","",O16-R16)</f>
        <v/>
      </c>
      <c r="T16" s="11"/>
      <c r="U16" s="18" t="str">
        <f aca="false">IF(T16="","",IFERROR(VLOOKUP(T16,REPS!$A$2:$D$40,2,0),""))</f>
        <v/>
      </c>
      <c r="V16" s="14" t="str">
        <f aca="false">IF(O16="","",IF(U16="",0,O16*IF(U16&gt;1,U16/100,U16)))</f>
        <v/>
      </c>
      <c r="W16" s="11"/>
      <c r="X16" s="18" t="str">
        <f aca="false">IF(W16="","",IFERROR(VLOOKUP(W16,REPS!$A$2:$D$40,3,0),""))</f>
        <v/>
      </c>
      <c r="Y16" s="14" t="str">
        <f aca="false">IF(O16="","",IF(X16="",0,O16*IF(X16&gt;1,X16/100,X16)))</f>
        <v/>
      </c>
      <c r="Z16" s="11"/>
      <c r="AA16" s="18" t="str">
        <f aca="false">IF(Z16="","",IFERROR(VLOOKUP(Z16,REPS!$A$2:$D$40,4,0),""))</f>
        <v/>
      </c>
      <c r="AB16" s="14" t="str">
        <f aca="false">IF(O16="","",IF(AA16="",0,O16*IF(AA16&gt;1,AA16/100,AA16)))</f>
        <v/>
      </c>
      <c r="AC16" s="14" t="str">
        <f aca="false">IF(O16="","",V16+Y16+AB16)</f>
        <v/>
      </c>
      <c r="AD16" s="19" t="str">
        <f aca="false">IF(O16="","",O16-R16-AC16)</f>
        <v/>
      </c>
      <c r="AE16" s="20"/>
      <c r="AF16" s="10"/>
      <c r="AG16" s="21" t="n">
        <f aca="false">IF(OR(AE16="",AE16=0),0,AE16*IF(U16="",0,IF(U16&gt;1,U16/100,U16)))</f>
        <v>0</v>
      </c>
      <c r="AH16" s="21" t="n">
        <f aca="false">IF(OR(AE16="",AE16=0),0,AE16*IF(X16="",0,IF(X16&gt;1,X16/100,X16)))</f>
        <v>0</v>
      </c>
      <c r="AI16" s="21" t="n">
        <f aca="false">IF(OR(AE16="",AE16=0),0,AE16*IF(AA16="",0,IF(AA16&gt;1,AA16/100,AA16)))</f>
        <v>0</v>
      </c>
      <c r="AJ16" s="21" t="n">
        <f aca="false">AG16+AH16+AI16</f>
        <v>0</v>
      </c>
      <c r="AK16" s="21" t="n">
        <f aca="false">IF(OR(AE16="",AE16=0),0,AE16-AJ16)</f>
        <v>0</v>
      </c>
      <c r="AL16" s="19" t="str">
        <f aca="false">IF(AD16="","",AD16-AK16)</f>
        <v/>
      </c>
      <c r="AM16" s="9" t="str">
        <f aca="false">IF(C16="","","Waiting for payment")</f>
        <v/>
      </c>
      <c r="AN16" s="10"/>
      <c r="AO16" s="10"/>
      <c r="AP16" s="22" t="str">
        <f aca="false">IF(OR(C16="",I16="",K16=""),"",IF(K16="Monthly",EDATE(C16,ROUND(I16*SETTINGS!$I$8,0)),WORKDAY(C16,ROUND(I16*SETTINGS!$I$8,0))))</f>
        <v/>
      </c>
      <c r="AQ16" s="9" t="str">
        <f aca="true">IF(C16="","",IF(AND(AP16&lt;&gt;"",TODAY()&gt;=AP16),"Refi Ready",IF(TODAY()-C16&gt;=SETTINGS!$I$11,"Prospecting","Performing")))</f>
        <v/>
      </c>
      <c r="AR16" s="22" t="str">
        <f aca="false">IF(OR(C16="",I16="",K16=""),"",IF(K16="Monthly",EDATE(C16,I16),WORKDAY(C16,I16)))</f>
        <v/>
      </c>
      <c r="AS16" s="11"/>
      <c r="AT16" s="23" t="str">
        <f aca="true">IF(C16="","",IF(AM16="Clawed Back","CLAWED",IF(TODAY()&lt;=C16+SETTINGS!$I$2,"⚠ AT RISK","SAFE")))</f>
        <v/>
      </c>
      <c r="AU16" s="11"/>
      <c r="AW16" s="24" t="n">
        <f aca="false">AW15+IF(AND(C16&lt;&gt;"",AO16&lt;&gt;"",OR('REP COMMISSION'!$B$3="",T16='REP COMMISSION'!$B$3,W16='REP COMMISSION'!$B$3,Z16='REP COMMISSION'!$B$3)),1,0)</f>
        <v>0</v>
      </c>
      <c r="AX16" s="24" t="n">
        <f aca="false">AX15+IF(AND(C16&lt;&gt;"",OR(F16="LOC - INITIAL",F16="CONSOLIDATION - UPFRONT COMM",F16="REVERSE - TOTAL FUNDING")),1,0)</f>
        <v>0</v>
      </c>
    </row>
    <row r="17" customFormat="false" ht="15" hidden="false" customHeight="false" outlineLevel="0" collapsed="false">
      <c r="A17" s="25" t="str">
        <f aca="false">IF(C17&lt;&gt;"","F27-"&amp;COUNT($C$4:C17),"")</f>
        <v/>
      </c>
      <c r="B17" s="26" t="str">
        <f aca="false">IF(OR(F17="LOC - INITIAL",F17="CONSOLIDATION - UPFRONT COMM",F17="REVERSE - TOTAL FUNDING"),A17,"")</f>
        <v/>
      </c>
      <c r="C17" s="27"/>
      <c r="D17" s="28"/>
      <c r="E17" s="28"/>
      <c r="F17" s="28"/>
      <c r="G17" s="29"/>
      <c r="H17" s="30"/>
      <c r="I17" s="28"/>
      <c r="J17" s="31" t="str">
        <f aca="false">IF(AND(G17&lt;&gt;"",H17&lt;&gt;""),G17*H17,"")</f>
        <v/>
      </c>
      <c r="K17" s="28"/>
      <c r="L17" s="32"/>
      <c r="M17" s="32"/>
      <c r="N17" s="31" t="n">
        <f aca="false">IF(OR(G17="",M17=""),0,IF(M17&gt;100,M17,G17*IF(M17&gt;1,M17/100,M17)))</f>
        <v>0</v>
      </c>
      <c r="O17" s="31" t="str">
        <f aca="false">IF(G17="","",G17*IF(L17="",0,IF(L17&gt;1,L17/100,L17))+N17)</f>
        <v/>
      </c>
      <c r="P17" s="28"/>
      <c r="Q17" s="33" t="str">
        <f aca="false">IF(P17="","",IFERROR(VLOOKUP(P17,PARTNERS!$A$2:$B$30,2,0),""))</f>
        <v/>
      </c>
      <c r="R17" s="17" t="str">
        <f aca="false">IF(O17="","",IF(OR(P17="",Q17=""),0,(O17-N17)*IF(Q17&gt;1,Q17/100,Q17)))</f>
        <v/>
      </c>
      <c r="S17" s="31" t="str">
        <f aca="false">IF(O17="","",O17-R17)</f>
        <v/>
      </c>
      <c r="T17" s="28"/>
      <c r="U17" s="34" t="str">
        <f aca="false">IF(T17="","",IFERROR(VLOOKUP(T17,REPS!$A$2:$D$40,2,0),""))</f>
        <v/>
      </c>
      <c r="V17" s="31" t="str">
        <f aca="false">IF(O17="","",IF(U17="",0,O17*IF(U17&gt;1,U17/100,U17)))</f>
        <v/>
      </c>
      <c r="W17" s="28"/>
      <c r="X17" s="34" t="str">
        <f aca="false">IF(W17="","",IFERROR(VLOOKUP(W17,REPS!$A$2:$D$40,3,0),""))</f>
        <v/>
      </c>
      <c r="Y17" s="31" t="str">
        <f aca="false">IF(O17="","",IF(X17="",0,O17*IF(X17&gt;1,X17/100,X17)))</f>
        <v/>
      </c>
      <c r="Z17" s="28"/>
      <c r="AA17" s="34" t="str">
        <f aca="false">IF(Z17="","",IFERROR(VLOOKUP(Z17,REPS!$A$2:$D$40,4,0),""))</f>
        <v/>
      </c>
      <c r="AB17" s="31" t="str">
        <f aca="false">IF(O17="","",IF(AA17="",0,O17*IF(AA17&gt;1,AA17/100,AA17)))</f>
        <v/>
      </c>
      <c r="AC17" s="31" t="str">
        <f aca="false">IF(O17="","",V17+Y17+AB17)</f>
        <v/>
      </c>
      <c r="AD17" s="19" t="str">
        <f aca="false">IF(O17="","",O17-R17-AC17)</f>
        <v/>
      </c>
      <c r="AE17" s="20"/>
      <c r="AF17" s="27"/>
      <c r="AG17" s="21" t="n">
        <f aca="false">IF(OR(AE17="",AE17=0),0,AE17*IF(U17="",0,IF(U17&gt;1,U17/100,U17)))</f>
        <v>0</v>
      </c>
      <c r="AH17" s="21" t="n">
        <f aca="false">IF(OR(AE17="",AE17=0),0,AE17*IF(X17="",0,IF(X17&gt;1,X17/100,X17)))</f>
        <v>0</v>
      </c>
      <c r="AI17" s="21" t="n">
        <f aca="false">IF(OR(AE17="",AE17=0),0,AE17*IF(AA17="",0,IF(AA17&gt;1,AA17/100,AA17)))</f>
        <v>0</v>
      </c>
      <c r="AJ17" s="21" t="n">
        <f aca="false">AG17+AH17+AI17</f>
        <v>0</v>
      </c>
      <c r="AK17" s="21" t="n">
        <f aca="false">IF(OR(AE17="",AE17=0),0,AE17-AJ17)</f>
        <v>0</v>
      </c>
      <c r="AL17" s="19" t="str">
        <f aca="false">IF(AD17="","",AD17-AK17)</f>
        <v/>
      </c>
      <c r="AM17" s="26" t="str">
        <f aca="false">IF(C17="","","Waiting for payment")</f>
        <v/>
      </c>
      <c r="AN17" s="27"/>
      <c r="AO17" s="27"/>
      <c r="AP17" s="35" t="str">
        <f aca="false">IF(OR(C17="",I17="",K17=""),"",IF(K17="Monthly",EDATE(C17,ROUND(I17*SETTINGS!$I$8,0)),WORKDAY(C17,ROUND(I17*SETTINGS!$I$8,0))))</f>
        <v/>
      </c>
      <c r="AQ17" s="26" t="str">
        <f aca="true">IF(C17="","",IF(AND(AP17&lt;&gt;"",TODAY()&gt;=AP17),"Refi Ready",IF(TODAY()-C17&gt;=SETTINGS!$I$11,"Prospecting","Performing")))</f>
        <v/>
      </c>
      <c r="AR17" s="35" t="str">
        <f aca="false">IF(OR(C17="",I17="",K17=""),"",IF(K17="Monthly",EDATE(C17,I17),WORKDAY(C17,I17)))</f>
        <v/>
      </c>
      <c r="AS17" s="28"/>
      <c r="AT17" s="36" t="str">
        <f aca="true">IF(C17="","",IF(AM17="Clawed Back","CLAWED",IF(TODAY()&lt;=C17+SETTINGS!$I$2,"⚠ AT RISK","SAFE")))</f>
        <v/>
      </c>
      <c r="AU17" s="28"/>
      <c r="AW17" s="24" t="n">
        <f aca="false">AW16+IF(AND(C17&lt;&gt;"",AO17&lt;&gt;"",OR('REP COMMISSION'!$B$3="",T17='REP COMMISSION'!$B$3,W17='REP COMMISSION'!$B$3,Z17='REP COMMISSION'!$B$3)),1,0)</f>
        <v>0</v>
      </c>
      <c r="AX17" s="24" t="n">
        <f aca="false">AX16+IF(AND(C17&lt;&gt;"",OR(F17="LOC - INITIAL",F17="CONSOLIDATION - UPFRONT COMM",F17="REVERSE - TOTAL FUNDING")),1,0)</f>
        <v>0</v>
      </c>
    </row>
    <row r="18" customFormat="false" ht="15" hidden="false" customHeight="false" outlineLevel="0" collapsed="false">
      <c r="A18" s="8" t="str">
        <f aca="false">IF(C18&lt;&gt;"","F27-"&amp;COUNT($C$4:C18),"")</f>
        <v/>
      </c>
      <c r="B18" s="9" t="str">
        <f aca="false">IF(OR(F18="LOC - INITIAL",F18="CONSOLIDATION - UPFRONT COMM",F18="REVERSE - TOTAL FUNDING"),A18,"")</f>
        <v/>
      </c>
      <c r="C18" s="10"/>
      <c r="D18" s="11"/>
      <c r="E18" s="11"/>
      <c r="F18" s="11"/>
      <c r="G18" s="12"/>
      <c r="H18" s="13"/>
      <c r="I18" s="11"/>
      <c r="J18" s="14" t="str">
        <f aca="false">IF(AND(G18&lt;&gt;"",H18&lt;&gt;""),G18*H18,"")</f>
        <v/>
      </c>
      <c r="K18" s="11"/>
      <c r="L18" s="15"/>
      <c r="M18" s="15"/>
      <c r="N18" s="14" t="n">
        <f aca="false">IF(OR(G18="",M18=""),0,IF(M18&gt;100,M18,G18*IF(M18&gt;1,M18/100,M18)))</f>
        <v>0</v>
      </c>
      <c r="O18" s="14" t="str">
        <f aca="false">IF(G18="","",G18*IF(L18="",0,IF(L18&gt;1,L18/100,L18))+N18)</f>
        <v/>
      </c>
      <c r="P18" s="11"/>
      <c r="Q18" s="16" t="str">
        <f aca="false">IF(P18="","",IFERROR(VLOOKUP(P18,PARTNERS!$A$2:$B$30,2,0),""))</f>
        <v/>
      </c>
      <c r="R18" s="17" t="str">
        <f aca="false">IF(O18="","",IF(OR(P18="",Q18=""),0,(O18-N18)*IF(Q18&gt;1,Q18/100,Q18)))</f>
        <v/>
      </c>
      <c r="S18" s="14" t="str">
        <f aca="false">IF(O18="","",O18-R18)</f>
        <v/>
      </c>
      <c r="T18" s="11"/>
      <c r="U18" s="18" t="str">
        <f aca="false">IF(T18="","",IFERROR(VLOOKUP(T18,REPS!$A$2:$D$40,2,0),""))</f>
        <v/>
      </c>
      <c r="V18" s="14" t="str">
        <f aca="false">IF(O18="","",IF(U18="",0,O18*IF(U18&gt;1,U18/100,U18)))</f>
        <v/>
      </c>
      <c r="W18" s="11"/>
      <c r="X18" s="18" t="str">
        <f aca="false">IF(W18="","",IFERROR(VLOOKUP(W18,REPS!$A$2:$D$40,3,0),""))</f>
        <v/>
      </c>
      <c r="Y18" s="14" t="str">
        <f aca="false">IF(O18="","",IF(X18="",0,O18*IF(X18&gt;1,X18/100,X18)))</f>
        <v/>
      </c>
      <c r="Z18" s="11"/>
      <c r="AA18" s="18" t="str">
        <f aca="false">IF(Z18="","",IFERROR(VLOOKUP(Z18,REPS!$A$2:$D$40,4,0),""))</f>
        <v/>
      </c>
      <c r="AB18" s="14" t="str">
        <f aca="false">IF(O18="","",IF(AA18="",0,O18*IF(AA18&gt;1,AA18/100,AA18)))</f>
        <v/>
      </c>
      <c r="AC18" s="14" t="str">
        <f aca="false">IF(O18="","",V18+Y18+AB18)</f>
        <v/>
      </c>
      <c r="AD18" s="19" t="str">
        <f aca="false">IF(O18="","",O18-R18-AC18)</f>
        <v/>
      </c>
      <c r="AE18" s="20"/>
      <c r="AF18" s="10"/>
      <c r="AG18" s="21" t="n">
        <f aca="false">IF(OR(AE18="",AE18=0),0,AE18*IF(U18="",0,IF(U18&gt;1,U18/100,U18)))</f>
        <v>0</v>
      </c>
      <c r="AH18" s="21" t="n">
        <f aca="false">IF(OR(AE18="",AE18=0),0,AE18*IF(X18="",0,IF(X18&gt;1,X18/100,X18)))</f>
        <v>0</v>
      </c>
      <c r="AI18" s="21" t="n">
        <f aca="false">IF(OR(AE18="",AE18=0),0,AE18*IF(AA18="",0,IF(AA18&gt;1,AA18/100,AA18)))</f>
        <v>0</v>
      </c>
      <c r="AJ18" s="21" t="n">
        <f aca="false">AG18+AH18+AI18</f>
        <v>0</v>
      </c>
      <c r="AK18" s="21" t="n">
        <f aca="false">IF(OR(AE18="",AE18=0),0,AE18-AJ18)</f>
        <v>0</v>
      </c>
      <c r="AL18" s="19" t="str">
        <f aca="false">IF(AD18="","",AD18-AK18)</f>
        <v/>
      </c>
      <c r="AM18" s="9" t="str">
        <f aca="false">IF(C18="","","Waiting for payment")</f>
        <v/>
      </c>
      <c r="AN18" s="10"/>
      <c r="AO18" s="10"/>
      <c r="AP18" s="22" t="str">
        <f aca="false">IF(OR(C18="",I18="",K18=""),"",IF(K18="Monthly",EDATE(C18,ROUND(I18*SETTINGS!$I$8,0)),WORKDAY(C18,ROUND(I18*SETTINGS!$I$8,0))))</f>
        <v/>
      </c>
      <c r="AQ18" s="9" t="str">
        <f aca="true">IF(C18="","",IF(AND(AP18&lt;&gt;"",TODAY()&gt;=AP18),"Refi Ready",IF(TODAY()-C18&gt;=SETTINGS!$I$11,"Prospecting","Performing")))</f>
        <v/>
      </c>
      <c r="AR18" s="22" t="str">
        <f aca="false">IF(OR(C18="",I18="",K18=""),"",IF(K18="Monthly",EDATE(C18,I18),WORKDAY(C18,I18)))</f>
        <v/>
      </c>
      <c r="AS18" s="11"/>
      <c r="AT18" s="23" t="str">
        <f aca="true">IF(C18="","",IF(AM18="Clawed Back","CLAWED",IF(TODAY()&lt;=C18+SETTINGS!$I$2,"⚠ AT RISK","SAFE")))</f>
        <v/>
      </c>
      <c r="AU18" s="11"/>
      <c r="AW18" s="24" t="n">
        <f aca="false">AW17+IF(AND(C18&lt;&gt;"",AO18&lt;&gt;"",OR('REP COMMISSION'!$B$3="",T18='REP COMMISSION'!$B$3,W18='REP COMMISSION'!$B$3,Z18='REP COMMISSION'!$B$3)),1,0)</f>
        <v>0</v>
      </c>
      <c r="AX18" s="24" t="n">
        <f aca="false">AX17+IF(AND(C18&lt;&gt;"",OR(F18="LOC - INITIAL",F18="CONSOLIDATION - UPFRONT COMM",F18="REVERSE - TOTAL FUNDING")),1,0)</f>
        <v>0</v>
      </c>
    </row>
    <row r="19" customFormat="false" ht="15" hidden="false" customHeight="false" outlineLevel="0" collapsed="false">
      <c r="A19" s="25" t="str">
        <f aca="false">IF(C19&lt;&gt;"","F27-"&amp;COUNT($C$4:C19),"")</f>
        <v/>
      </c>
      <c r="B19" s="26" t="str">
        <f aca="false">IF(OR(F19="LOC - INITIAL",F19="CONSOLIDATION - UPFRONT COMM",F19="REVERSE - TOTAL FUNDING"),A19,"")</f>
        <v/>
      </c>
      <c r="C19" s="27"/>
      <c r="D19" s="28"/>
      <c r="E19" s="28"/>
      <c r="F19" s="28"/>
      <c r="G19" s="29"/>
      <c r="H19" s="30"/>
      <c r="I19" s="28"/>
      <c r="J19" s="31" t="str">
        <f aca="false">IF(AND(G19&lt;&gt;"",H19&lt;&gt;""),G19*H19,"")</f>
        <v/>
      </c>
      <c r="K19" s="28"/>
      <c r="L19" s="32"/>
      <c r="M19" s="32"/>
      <c r="N19" s="31" t="n">
        <f aca="false">IF(OR(G19="",M19=""),0,IF(M19&gt;100,M19,G19*IF(M19&gt;1,M19/100,M19)))</f>
        <v>0</v>
      </c>
      <c r="O19" s="31" t="str">
        <f aca="false">IF(G19="","",G19*IF(L19="",0,IF(L19&gt;1,L19/100,L19))+N19)</f>
        <v/>
      </c>
      <c r="P19" s="28"/>
      <c r="Q19" s="33" t="str">
        <f aca="false">IF(P19="","",IFERROR(VLOOKUP(P19,PARTNERS!$A$2:$B$30,2,0),""))</f>
        <v/>
      </c>
      <c r="R19" s="17" t="str">
        <f aca="false">IF(O19="","",IF(OR(P19="",Q19=""),0,(O19-N19)*IF(Q19&gt;1,Q19/100,Q19)))</f>
        <v/>
      </c>
      <c r="S19" s="31" t="str">
        <f aca="false">IF(O19="","",O19-R19)</f>
        <v/>
      </c>
      <c r="T19" s="28"/>
      <c r="U19" s="34" t="str">
        <f aca="false">IF(T19="","",IFERROR(VLOOKUP(T19,REPS!$A$2:$D$40,2,0),""))</f>
        <v/>
      </c>
      <c r="V19" s="31" t="str">
        <f aca="false">IF(O19="","",IF(U19="",0,O19*IF(U19&gt;1,U19/100,U19)))</f>
        <v/>
      </c>
      <c r="W19" s="28"/>
      <c r="X19" s="34" t="str">
        <f aca="false">IF(W19="","",IFERROR(VLOOKUP(W19,REPS!$A$2:$D$40,3,0),""))</f>
        <v/>
      </c>
      <c r="Y19" s="31" t="str">
        <f aca="false">IF(O19="","",IF(X19="",0,O19*IF(X19&gt;1,X19/100,X19)))</f>
        <v/>
      </c>
      <c r="Z19" s="28"/>
      <c r="AA19" s="34" t="str">
        <f aca="false">IF(Z19="","",IFERROR(VLOOKUP(Z19,REPS!$A$2:$D$40,4,0),""))</f>
        <v/>
      </c>
      <c r="AB19" s="31" t="str">
        <f aca="false">IF(O19="","",IF(AA19="",0,O19*IF(AA19&gt;1,AA19/100,AA19)))</f>
        <v/>
      </c>
      <c r="AC19" s="31" t="str">
        <f aca="false">IF(O19="","",V19+Y19+AB19)</f>
        <v/>
      </c>
      <c r="AD19" s="19" t="str">
        <f aca="false">IF(O19="","",O19-R19-AC19)</f>
        <v/>
      </c>
      <c r="AE19" s="20"/>
      <c r="AF19" s="27"/>
      <c r="AG19" s="21" t="n">
        <f aca="false">IF(OR(AE19="",AE19=0),0,AE19*IF(U19="",0,IF(U19&gt;1,U19/100,U19)))</f>
        <v>0</v>
      </c>
      <c r="AH19" s="21" t="n">
        <f aca="false">IF(OR(AE19="",AE19=0),0,AE19*IF(X19="",0,IF(X19&gt;1,X19/100,X19)))</f>
        <v>0</v>
      </c>
      <c r="AI19" s="21" t="n">
        <f aca="false">IF(OR(AE19="",AE19=0),0,AE19*IF(AA19="",0,IF(AA19&gt;1,AA19/100,AA19)))</f>
        <v>0</v>
      </c>
      <c r="AJ19" s="21" t="n">
        <f aca="false">AG19+AH19+AI19</f>
        <v>0</v>
      </c>
      <c r="AK19" s="21" t="n">
        <f aca="false">IF(OR(AE19="",AE19=0),0,AE19-AJ19)</f>
        <v>0</v>
      </c>
      <c r="AL19" s="19" t="str">
        <f aca="false">IF(AD19="","",AD19-AK19)</f>
        <v/>
      </c>
      <c r="AM19" s="26" t="str">
        <f aca="false">IF(C19="","","Waiting for payment")</f>
        <v/>
      </c>
      <c r="AN19" s="27"/>
      <c r="AO19" s="27"/>
      <c r="AP19" s="35" t="str">
        <f aca="false">IF(OR(C19="",I19="",K19=""),"",IF(K19="Monthly",EDATE(C19,ROUND(I19*SETTINGS!$I$8,0)),WORKDAY(C19,ROUND(I19*SETTINGS!$I$8,0))))</f>
        <v/>
      </c>
      <c r="AQ19" s="26" t="str">
        <f aca="true">IF(C19="","",IF(AND(AP19&lt;&gt;"",TODAY()&gt;=AP19),"Refi Ready",IF(TODAY()-C19&gt;=SETTINGS!$I$11,"Prospecting","Performing")))</f>
        <v/>
      </c>
      <c r="AR19" s="35" t="str">
        <f aca="false">IF(OR(C19="",I19="",K19=""),"",IF(K19="Monthly",EDATE(C19,I19),WORKDAY(C19,I19)))</f>
        <v/>
      </c>
      <c r="AS19" s="28"/>
      <c r="AT19" s="36" t="str">
        <f aca="true">IF(C19="","",IF(AM19="Clawed Back","CLAWED",IF(TODAY()&lt;=C19+SETTINGS!$I$2,"⚠ AT RISK","SAFE")))</f>
        <v/>
      </c>
      <c r="AU19" s="28"/>
      <c r="AW19" s="24" t="n">
        <f aca="false">AW18+IF(AND(C19&lt;&gt;"",AO19&lt;&gt;"",OR('REP COMMISSION'!$B$3="",T19='REP COMMISSION'!$B$3,W19='REP COMMISSION'!$B$3,Z19='REP COMMISSION'!$B$3)),1,0)</f>
        <v>0</v>
      </c>
      <c r="AX19" s="24" t="n">
        <f aca="false">AX18+IF(AND(C19&lt;&gt;"",OR(F19="LOC - INITIAL",F19="CONSOLIDATION - UPFRONT COMM",F19="REVERSE - TOTAL FUNDING")),1,0)</f>
        <v>0</v>
      </c>
    </row>
    <row r="20" customFormat="false" ht="15" hidden="false" customHeight="false" outlineLevel="0" collapsed="false">
      <c r="A20" s="8" t="str">
        <f aca="false">IF(C20&lt;&gt;"","F27-"&amp;COUNT($C$4:C20),"")</f>
        <v/>
      </c>
      <c r="B20" s="9" t="str">
        <f aca="false">IF(OR(F20="LOC - INITIAL",F20="CONSOLIDATION - UPFRONT COMM",F20="REVERSE - TOTAL FUNDING"),A20,"")</f>
        <v/>
      </c>
      <c r="C20" s="10"/>
      <c r="D20" s="11"/>
      <c r="E20" s="11"/>
      <c r="F20" s="11"/>
      <c r="G20" s="12"/>
      <c r="H20" s="13"/>
      <c r="I20" s="11"/>
      <c r="J20" s="14" t="str">
        <f aca="false">IF(AND(G20&lt;&gt;"",H20&lt;&gt;""),G20*H20,"")</f>
        <v/>
      </c>
      <c r="K20" s="11"/>
      <c r="L20" s="15"/>
      <c r="M20" s="15"/>
      <c r="N20" s="14" t="n">
        <f aca="false">IF(OR(G20="",M20=""),0,IF(M20&gt;100,M20,G20*IF(M20&gt;1,M20/100,M20)))</f>
        <v>0</v>
      </c>
      <c r="O20" s="14" t="str">
        <f aca="false">IF(G20="","",G20*IF(L20="",0,IF(L20&gt;1,L20/100,L20))+N20)</f>
        <v/>
      </c>
      <c r="P20" s="11"/>
      <c r="Q20" s="16" t="str">
        <f aca="false">IF(P20="","",IFERROR(VLOOKUP(P20,PARTNERS!$A$2:$B$30,2,0),""))</f>
        <v/>
      </c>
      <c r="R20" s="17" t="str">
        <f aca="false">IF(O20="","",IF(OR(P20="",Q20=""),0,(O20-N20)*IF(Q20&gt;1,Q20/100,Q20)))</f>
        <v/>
      </c>
      <c r="S20" s="14" t="str">
        <f aca="false">IF(O20="","",O20-R20)</f>
        <v/>
      </c>
      <c r="T20" s="11"/>
      <c r="U20" s="18" t="str">
        <f aca="false">IF(T20="","",IFERROR(VLOOKUP(T20,REPS!$A$2:$D$40,2,0),""))</f>
        <v/>
      </c>
      <c r="V20" s="14" t="str">
        <f aca="false">IF(O20="","",IF(U20="",0,O20*IF(U20&gt;1,U20/100,U20)))</f>
        <v/>
      </c>
      <c r="W20" s="11"/>
      <c r="X20" s="18" t="str">
        <f aca="false">IF(W20="","",IFERROR(VLOOKUP(W20,REPS!$A$2:$D$40,3,0),""))</f>
        <v/>
      </c>
      <c r="Y20" s="14" t="str">
        <f aca="false">IF(O20="","",IF(X20="",0,O20*IF(X20&gt;1,X20/100,X20)))</f>
        <v/>
      </c>
      <c r="Z20" s="11"/>
      <c r="AA20" s="18" t="str">
        <f aca="false">IF(Z20="","",IFERROR(VLOOKUP(Z20,REPS!$A$2:$D$40,4,0),""))</f>
        <v/>
      </c>
      <c r="AB20" s="14" t="str">
        <f aca="false">IF(O20="","",IF(AA20="",0,O20*IF(AA20&gt;1,AA20/100,AA20)))</f>
        <v/>
      </c>
      <c r="AC20" s="14" t="str">
        <f aca="false">IF(O20="","",V20+Y20+AB20)</f>
        <v/>
      </c>
      <c r="AD20" s="19" t="str">
        <f aca="false">IF(O20="","",O20-R20-AC20)</f>
        <v/>
      </c>
      <c r="AE20" s="20"/>
      <c r="AF20" s="10"/>
      <c r="AG20" s="21" t="n">
        <f aca="false">IF(OR(AE20="",AE20=0),0,AE20*IF(U20="",0,IF(U20&gt;1,U20/100,U20)))</f>
        <v>0</v>
      </c>
      <c r="AH20" s="21" t="n">
        <f aca="false">IF(OR(AE20="",AE20=0),0,AE20*IF(X20="",0,IF(X20&gt;1,X20/100,X20)))</f>
        <v>0</v>
      </c>
      <c r="AI20" s="21" t="n">
        <f aca="false">IF(OR(AE20="",AE20=0),0,AE20*IF(AA20="",0,IF(AA20&gt;1,AA20/100,AA20)))</f>
        <v>0</v>
      </c>
      <c r="AJ20" s="21" t="n">
        <f aca="false">AG20+AH20+AI20</f>
        <v>0</v>
      </c>
      <c r="AK20" s="21" t="n">
        <f aca="false">IF(OR(AE20="",AE20=0),0,AE20-AJ20)</f>
        <v>0</v>
      </c>
      <c r="AL20" s="19" t="str">
        <f aca="false">IF(AD20="","",AD20-AK20)</f>
        <v/>
      </c>
      <c r="AM20" s="9" t="str">
        <f aca="false">IF(C20="","","Waiting for payment")</f>
        <v/>
      </c>
      <c r="AN20" s="10"/>
      <c r="AO20" s="10"/>
      <c r="AP20" s="22" t="str">
        <f aca="false">IF(OR(C20="",I20="",K20=""),"",IF(K20="Monthly",EDATE(C20,ROUND(I20*SETTINGS!$I$8,0)),WORKDAY(C20,ROUND(I20*SETTINGS!$I$8,0))))</f>
        <v/>
      </c>
      <c r="AQ20" s="9" t="str">
        <f aca="true">IF(C20="","",IF(AND(AP20&lt;&gt;"",TODAY()&gt;=AP20),"Refi Ready",IF(TODAY()-C20&gt;=SETTINGS!$I$11,"Prospecting","Performing")))</f>
        <v/>
      </c>
      <c r="AR20" s="22" t="str">
        <f aca="false">IF(OR(C20="",I20="",K20=""),"",IF(K20="Monthly",EDATE(C20,I20),WORKDAY(C20,I20)))</f>
        <v/>
      </c>
      <c r="AS20" s="11"/>
      <c r="AT20" s="23" t="str">
        <f aca="true">IF(C20="","",IF(AM20="Clawed Back","CLAWED",IF(TODAY()&lt;=C20+SETTINGS!$I$2,"⚠ AT RISK","SAFE")))</f>
        <v/>
      </c>
      <c r="AU20" s="11"/>
      <c r="AW20" s="24" t="n">
        <f aca="false">AW19+IF(AND(C20&lt;&gt;"",AO20&lt;&gt;"",OR('REP COMMISSION'!$B$3="",T20='REP COMMISSION'!$B$3,W20='REP COMMISSION'!$B$3,Z20='REP COMMISSION'!$B$3)),1,0)</f>
        <v>0</v>
      </c>
      <c r="AX20" s="24" t="n">
        <f aca="false">AX19+IF(AND(C20&lt;&gt;"",OR(F20="LOC - INITIAL",F20="CONSOLIDATION - UPFRONT COMM",F20="REVERSE - TOTAL FUNDING")),1,0)</f>
        <v>0</v>
      </c>
    </row>
    <row r="21" customFormat="false" ht="15" hidden="false" customHeight="false" outlineLevel="0" collapsed="false">
      <c r="A21" s="25" t="str">
        <f aca="false">IF(C21&lt;&gt;"","F27-"&amp;COUNT($C$4:C21),"")</f>
        <v/>
      </c>
      <c r="B21" s="26" t="str">
        <f aca="false">IF(OR(F21="LOC - INITIAL",F21="CONSOLIDATION - UPFRONT COMM",F21="REVERSE - TOTAL FUNDING"),A21,"")</f>
        <v/>
      </c>
      <c r="C21" s="27"/>
      <c r="D21" s="28"/>
      <c r="E21" s="28"/>
      <c r="F21" s="28"/>
      <c r="G21" s="29"/>
      <c r="H21" s="30"/>
      <c r="I21" s="28"/>
      <c r="J21" s="31" t="str">
        <f aca="false">IF(AND(G21&lt;&gt;"",H21&lt;&gt;""),G21*H21,"")</f>
        <v/>
      </c>
      <c r="K21" s="28"/>
      <c r="L21" s="32"/>
      <c r="M21" s="32"/>
      <c r="N21" s="31" t="n">
        <f aca="false">IF(OR(G21="",M21=""),0,IF(M21&gt;100,M21,G21*IF(M21&gt;1,M21/100,M21)))</f>
        <v>0</v>
      </c>
      <c r="O21" s="31" t="str">
        <f aca="false">IF(G21="","",G21*IF(L21="",0,IF(L21&gt;1,L21/100,L21))+N21)</f>
        <v/>
      </c>
      <c r="P21" s="28"/>
      <c r="Q21" s="33" t="str">
        <f aca="false">IF(P21="","",IFERROR(VLOOKUP(P21,PARTNERS!$A$2:$B$30,2,0),""))</f>
        <v/>
      </c>
      <c r="R21" s="17" t="str">
        <f aca="false">IF(O21="","",IF(OR(P21="",Q21=""),0,(O21-N21)*IF(Q21&gt;1,Q21/100,Q21)))</f>
        <v/>
      </c>
      <c r="S21" s="31" t="str">
        <f aca="false">IF(O21="","",O21-R21)</f>
        <v/>
      </c>
      <c r="T21" s="28"/>
      <c r="U21" s="34" t="str">
        <f aca="false">IF(T21="","",IFERROR(VLOOKUP(T21,REPS!$A$2:$D$40,2,0),""))</f>
        <v/>
      </c>
      <c r="V21" s="31" t="str">
        <f aca="false">IF(O21="","",IF(U21="",0,O21*IF(U21&gt;1,U21/100,U21)))</f>
        <v/>
      </c>
      <c r="W21" s="28"/>
      <c r="X21" s="34" t="str">
        <f aca="false">IF(W21="","",IFERROR(VLOOKUP(W21,REPS!$A$2:$D$40,3,0),""))</f>
        <v/>
      </c>
      <c r="Y21" s="31" t="str">
        <f aca="false">IF(O21="","",IF(X21="",0,O21*IF(X21&gt;1,X21/100,X21)))</f>
        <v/>
      </c>
      <c r="Z21" s="28"/>
      <c r="AA21" s="34" t="str">
        <f aca="false">IF(Z21="","",IFERROR(VLOOKUP(Z21,REPS!$A$2:$D$40,4,0),""))</f>
        <v/>
      </c>
      <c r="AB21" s="31" t="str">
        <f aca="false">IF(O21="","",IF(AA21="",0,O21*IF(AA21&gt;1,AA21/100,AA21)))</f>
        <v/>
      </c>
      <c r="AC21" s="31" t="str">
        <f aca="false">IF(O21="","",V21+Y21+AB21)</f>
        <v/>
      </c>
      <c r="AD21" s="19" t="str">
        <f aca="false">IF(O21="","",O21-R21-AC21)</f>
        <v/>
      </c>
      <c r="AE21" s="20"/>
      <c r="AF21" s="27"/>
      <c r="AG21" s="21" t="n">
        <f aca="false">IF(OR(AE21="",AE21=0),0,AE21*IF(U21="",0,IF(U21&gt;1,U21/100,U21)))</f>
        <v>0</v>
      </c>
      <c r="AH21" s="21" t="n">
        <f aca="false">IF(OR(AE21="",AE21=0),0,AE21*IF(X21="",0,IF(X21&gt;1,X21/100,X21)))</f>
        <v>0</v>
      </c>
      <c r="AI21" s="21" t="n">
        <f aca="false">IF(OR(AE21="",AE21=0),0,AE21*IF(AA21="",0,IF(AA21&gt;1,AA21/100,AA21)))</f>
        <v>0</v>
      </c>
      <c r="AJ21" s="21" t="n">
        <f aca="false">AG21+AH21+AI21</f>
        <v>0</v>
      </c>
      <c r="AK21" s="21" t="n">
        <f aca="false">IF(OR(AE21="",AE21=0),0,AE21-AJ21)</f>
        <v>0</v>
      </c>
      <c r="AL21" s="19" t="str">
        <f aca="false">IF(AD21="","",AD21-AK21)</f>
        <v/>
      </c>
      <c r="AM21" s="26" t="str">
        <f aca="false">IF(C21="","","Waiting for payment")</f>
        <v/>
      </c>
      <c r="AN21" s="27"/>
      <c r="AO21" s="27"/>
      <c r="AP21" s="35" t="str">
        <f aca="false">IF(OR(C21="",I21="",K21=""),"",IF(K21="Monthly",EDATE(C21,ROUND(I21*SETTINGS!$I$8,0)),WORKDAY(C21,ROUND(I21*SETTINGS!$I$8,0))))</f>
        <v/>
      </c>
      <c r="AQ21" s="26" t="str">
        <f aca="true">IF(C21="","",IF(AND(AP21&lt;&gt;"",TODAY()&gt;=AP21),"Refi Ready",IF(TODAY()-C21&gt;=SETTINGS!$I$11,"Prospecting","Performing")))</f>
        <v/>
      </c>
      <c r="AR21" s="35" t="str">
        <f aca="false">IF(OR(C21="",I21="",K21=""),"",IF(K21="Monthly",EDATE(C21,I21),WORKDAY(C21,I21)))</f>
        <v/>
      </c>
      <c r="AS21" s="28"/>
      <c r="AT21" s="36" t="str">
        <f aca="true">IF(C21="","",IF(AM21="Clawed Back","CLAWED",IF(TODAY()&lt;=C21+SETTINGS!$I$2,"⚠ AT RISK","SAFE")))</f>
        <v/>
      </c>
      <c r="AU21" s="28"/>
      <c r="AW21" s="24" t="n">
        <f aca="false">AW20+IF(AND(C21&lt;&gt;"",AO21&lt;&gt;"",OR('REP COMMISSION'!$B$3="",T21='REP COMMISSION'!$B$3,W21='REP COMMISSION'!$B$3,Z21='REP COMMISSION'!$B$3)),1,0)</f>
        <v>0</v>
      </c>
      <c r="AX21" s="24" t="n">
        <f aca="false">AX20+IF(AND(C21&lt;&gt;"",OR(F21="LOC - INITIAL",F21="CONSOLIDATION - UPFRONT COMM",F21="REVERSE - TOTAL FUNDING")),1,0)</f>
        <v>0</v>
      </c>
    </row>
    <row r="22" customFormat="false" ht="15" hidden="false" customHeight="false" outlineLevel="0" collapsed="false">
      <c r="A22" s="8" t="str">
        <f aca="false">IF(C22&lt;&gt;"","F27-"&amp;COUNT($C$4:C22),"")</f>
        <v/>
      </c>
      <c r="B22" s="9" t="str">
        <f aca="false">IF(OR(F22="LOC - INITIAL",F22="CONSOLIDATION - UPFRONT COMM",F22="REVERSE - TOTAL FUNDING"),A22,"")</f>
        <v/>
      </c>
      <c r="C22" s="10"/>
      <c r="D22" s="11"/>
      <c r="E22" s="11"/>
      <c r="F22" s="11"/>
      <c r="G22" s="12"/>
      <c r="H22" s="13"/>
      <c r="I22" s="11"/>
      <c r="J22" s="14" t="str">
        <f aca="false">IF(AND(G22&lt;&gt;"",H22&lt;&gt;""),G22*H22,"")</f>
        <v/>
      </c>
      <c r="K22" s="11"/>
      <c r="L22" s="15"/>
      <c r="M22" s="15"/>
      <c r="N22" s="14" t="n">
        <f aca="false">IF(OR(G22="",M22=""),0,IF(M22&gt;100,M22,G22*IF(M22&gt;1,M22/100,M22)))</f>
        <v>0</v>
      </c>
      <c r="O22" s="14" t="str">
        <f aca="false">IF(G22="","",G22*IF(L22="",0,IF(L22&gt;1,L22/100,L22))+N22)</f>
        <v/>
      </c>
      <c r="P22" s="11"/>
      <c r="Q22" s="16" t="str">
        <f aca="false">IF(P22="","",IFERROR(VLOOKUP(P22,PARTNERS!$A$2:$B$30,2,0),""))</f>
        <v/>
      </c>
      <c r="R22" s="17" t="str">
        <f aca="false">IF(O22="","",IF(OR(P22="",Q22=""),0,(O22-N22)*IF(Q22&gt;1,Q22/100,Q22)))</f>
        <v/>
      </c>
      <c r="S22" s="14" t="str">
        <f aca="false">IF(O22="","",O22-R22)</f>
        <v/>
      </c>
      <c r="T22" s="11"/>
      <c r="U22" s="18" t="str">
        <f aca="false">IF(T22="","",IFERROR(VLOOKUP(T22,REPS!$A$2:$D$40,2,0),""))</f>
        <v/>
      </c>
      <c r="V22" s="14" t="str">
        <f aca="false">IF(O22="","",IF(U22="",0,O22*IF(U22&gt;1,U22/100,U22)))</f>
        <v/>
      </c>
      <c r="W22" s="11"/>
      <c r="X22" s="18" t="str">
        <f aca="false">IF(W22="","",IFERROR(VLOOKUP(W22,REPS!$A$2:$D$40,3,0),""))</f>
        <v/>
      </c>
      <c r="Y22" s="14" t="str">
        <f aca="false">IF(O22="","",IF(X22="",0,O22*IF(X22&gt;1,X22/100,X22)))</f>
        <v/>
      </c>
      <c r="Z22" s="11"/>
      <c r="AA22" s="18" t="str">
        <f aca="false">IF(Z22="","",IFERROR(VLOOKUP(Z22,REPS!$A$2:$D$40,4,0),""))</f>
        <v/>
      </c>
      <c r="AB22" s="14" t="str">
        <f aca="false">IF(O22="","",IF(AA22="",0,O22*IF(AA22&gt;1,AA22/100,AA22)))</f>
        <v/>
      </c>
      <c r="AC22" s="14" t="str">
        <f aca="false">IF(O22="","",V22+Y22+AB22)</f>
        <v/>
      </c>
      <c r="AD22" s="19" t="str">
        <f aca="false">IF(O22="","",O22-R22-AC22)</f>
        <v/>
      </c>
      <c r="AE22" s="20"/>
      <c r="AF22" s="10"/>
      <c r="AG22" s="21" t="n">
        <f aca="false">IF(OR(AE22="",AE22=0),0,AE22*IF(U22="",0,IF(U22&gt;1,U22/100,U22)))</f>
        <v>0</v>
      </c>
      <c r="AH22" s="21" t="n">
        <f aca="false">IF(OR(AE22="",AE22=0),0,AE22*IF(X22="",0,IF(X22&gt;1,X22/100,X22)))</f>
        <v>0</v>
      </c>
      <c r="AI22" s="21" t="n">
        <f aca="false">IF(OR(AE22="",AE22=0),0,AE22*IF(AA22="",0,IF(AA22&gt;1,AA22/100,AA22)))</f>
        <v>0</v>
      </c>
      <c r="AJ22" s="21" t="n">
        <f aca="false">AG22+AH22+AI22</f>
        <v>0</v>
      </c>
      <c r="AK22" s="21" t="n">
        <f aca="false">IF(OR(AE22="",AE22=0),0,AE22-AJ22)</f>
        <v>0</v>
      </c>
      <c r="AL22" s="19" t="str">
        <f aca="false">IF(AD22="","",AD22-AK22)</f>
        <v/>
      </c>
      <c r="AM22" s="9" t="str">
        <f aca="false">IF(C22="","","Waiting for payment")</f>
        <v/>
      </c>
      <c r="AN22" s="10"/>
      <c r="AO22" s="10"/>
      <c r="AP22" s="22" t="str">
        <f aca="false">IF(OR(C22="",I22="",K22=""),"",IF(K22="Monthly",EDATE(C22,ROUND(I22*SETTINGS!$I$8,0)),WORKDAY(C22,ROUND(I22*SETTINGS!$I$8,0))))</f>
        <v/>
      </c>
      <c r="AQ22" s="9" t="str">
        <f aca="true">IF(C22="","",IF(AND(AP22&lt;&gt;"",TODAY()&gt;=AP22),"Refi Ready",IF(TODAY()-C22&gt;=SETTINGS!$I$11,"Prospecting","Performing")))</f>
        <v/>
      </c>
      <c r="AR22" s="22" t="str">
        <f aca="false">IF(OR(C22="",I22="",K22=""),"",IF(K22="Monthly",EDATE(C22,I22),WORKDAY(C22,I22)))</f>
        <v/>
      </c>
      <c r="AS22" s="11"/>
      <c r="AT22" s="23" t="str">
        <f aca="true">IF(C22="","",IF(AM22="Clawed Back","CLAWED",IF(TODAY()&lt;=C22+SETTINGS!$I$2,"⚠ AT RISK","SAFE")))</f>
        <v/>
      </c>
      <c r="AU22" s="11"/>
      <c r="AW22" s="24" t="n">
        <f aca="false">AW21+IF(AND(C22&lt;&gt;"",AO22&lt;&gt;"",OR('REP COMMISSION'!$B$3="",T22='REP COMMISSION'!$B$3,W22='REP COMMISSION'!$B$3,Z22='REP COMMISSION'!$B$3)),1,0)</f>
        <v>0</v>
      </c>
      <c r="AX22" s="24" t="n">
        <f aca="false">AX21+IF(AND(C22&lt;&gt;"",OR(F22="LOC - INITIAL",F22="CONSOLIDATION - UPFRONT COMM",F22="REVERSE - TOTAL FUNDING")),1,0)</f>
        <v>0</v>
      </c>
    </row>
    <row r="23" customFormat="false" ht="15" hidden="false" customHeight="false" outlineLevel="0" collapsed="false">
      <c r="A23" s="25" t="str">
        <f aca="false">IF(C23&lt;&gt;"","F27-"&amp;COUNT($C$4:C23),"")</f>
        <v/>
      </c>
      <c r="B23" s="26" t="str">
        <f aca="false">IF(OR(F23="LOC - INITIAL",F23="CONSOLIDATION - UPFRONT COMM",F23="REVERSE - TOTAL FUNDING"),A23,"")</f>
        <v/>
      </c>
      <c r="C23" s="27"/>
      <c r="D23" s="28"/>
      <c r="E23" s="28"/>
      <c r="F23" s="28"/>
      <c r="G23" s="29"/>
      <c r="H23" s="30"/>
      <c r="I23" s="28"/>
      <c r="J23" s="31" t="str">
        <f aca="false">IF(AND(G23&lt;&gt;"",H23&lt;&gt;""),G23*H23,"")</f>
        <v/>
      </c>
      <c r="K23" s="28"/>
      <c r="L23" s="32"/>
      <c r="M23" s="32"/>
      <c r="N23" s="31" t="n">
        <f aca="false">IF(OR(G23="",M23=""),0,IF(M23&gt;100,M23,G23*IF(M23&gt;1,M23/100,M23)))</f>
        <v>0</v>
      </c>
      <c r="O23" s="31" t="str">
        <f aca="false">IF(G23="","",G23*IF(L23="",0,IF(L23&gt;1,L23/100,L23))+N23)</f>
        <v/>
      </c>
      <c r="P23" s="28"/>
      <c r="Q23" s="33" t="str">
        <f aca="false">IF(P23="","",IFERROR(VLOOKUP(P23,PARTNERS!$A$2:$B$30,2,0),""))</f>
        <v/>
      </c>
      <c r="R23" s="17" t="str">
        <f aca="false">IF(O23="","",IF(OR(P23="",Q23=""),0,(O23-N23)*IF(Q23&gt;1,Q23/100,Q23)))</f>
        <v/>
      </c>
      <c r="S23" s="31" t="str">
        <f aca="false">IF(O23="","",O23-R23)</f>
        <v/>
      </c>
      <c r="T23" s="28"/>
      <c r="U23" s="34" t="str">
        <f aca="false">IF(T23="","",IFERROR(VLOOKUP(T23,REPS!$A$2:$D$40,2,0),""))</f>
        <v/>
      </c>
      <c r="V23" s="31" t="str">
        <f aca="false">IF(O23="","",IF(U23="",0,O23*IF(U23&gt;1,U23/100,U23)))</f>
        <v/>
      </c>
      <c r="W23" s="28"/>
      <c r="X23" s="34" t="str">
        <f aca="false">IF(W23="","",IFERROR(VLOOKUP(W23,REPS!$A$2:$D$40,3,0),""))</f>
        <v/>
      </c>
      <c r="Y23" s="31" t="str">
        <f aca="false">IF(O23="","",IF(X23="",0,O23*IF(X23&gt;1,X23/100,X23)))</f>
        <v/>
      </c>
      <c r="Z23" s="28"/>
      <c r="AA23" s="34" t="str">
        <f aca="false">IF(Z23="","",IFERROR(VLOOKUP(Z23,REPS!$A$2:$D$40,4,0),""))</f>
        <v/>
      </c>
      <c r="AB23" s="31" t="str">
        <f aca="false">IF(O23="","",IF(AA23="",0,O23*IF(AA23&gt;1,AA23/100,AA23)))</f>
        <v/>
      </c>
      <c r="AC23" s="31" t="str">
        <f aca="false">IF(O23="","",V23+Y23+AB23)</f>
        <v/>
      </c>
      <c r="AD23" s="19" t="str">
        <f aca="false">IF(O23="","",O23-R23-AC23)</f>
        <v/>
      </c>
      <c r="AE23" s="20"/>
      <c r="AF23" s="27"/>
      <c r="AG23" s="21" t="n">
        <f aca="false">IF(OR(AE23="",AE23=0),0,AE23*IF(U23="",0,IF(U23&gt;1,U23/100,U23)))</f>
        <v>0</v>
      </c>
      <c r="AH23" s="21" t="n">
        <f aca="false">IF(OR(AE23="",AE23=0),0,AE23*IF(X23="",0,IF(X23&gt;1,X23/100,X23)))</f>
        <v>0</v>
      </c>
      <c r="AI23" s="21" t="n">
        <f aca="false">IF(OR(AE23="",AE23=0),0,AE23*IF(AA23="",0,IF(AA23&gt;1,AA23/100,AA23)))</f>
        <v>0</v>
      </c>
      <c r="AJ23" s="21" t="n">
        <f aca="false">AG23+AH23+AI23</f>
        <v>0</v>
      </c>
      <c r="AK23" s="21" t="n">
        <f aca="false">IF(OR(AE23="",AE23=0),0,AE23-AJ23)</f>
        <v>0</v>
      </c>
      <c r="AL23" s="19" t="str">
        <f aca="false">IF(AD23="","",AD23-AK23)</f>
        <v/>
      </c>
      <c r="AM23" s="26" t="str">
        <f aca="false">IF(C23="","","Waiting for payment")</f>
        <v/>
      </c>
      <c r="AN23" s="27"/>
      <c r="AO23" s="27"/>
      <c r="AP23" s="35" t="str">
        <f aca="false">IF(OR(C23="",I23="",K23=""),"",IF(K23="Monthly",EDATE(C23,ROUND(I23*SETTINGS!$I$8,0)),WORKDAY(C23,ROUND(I23*SETTINGS!$I$8,0))))</f>
        <v/>
      </c>
      <c r="AQ23" s="26" t="str">
        <f aca="true">IF(C23="","",IF(AND(AP23&lt;&gt;"",TODAY()&gt;=AP23),"Refi Ready",IF(TODAY()-C23&gt;=SETTINGS!$I$11,"Prospecting","Performing")))</f>
        <v/>
      </c>
      <c r="AR23" s="35" t="str">
        <f aca="false">IF(OR(C23="",I23="",K23=""),"",IF(K23="Monthly",EDATE(C23,I23),WORKDAY(C23,I23)))</f>
        <v/>
      </c>
      <c r="AS23" s="28"/>
      <c r="AT23" s="36" t="str">
        <f aca="true">IF(C23="","",IF(AM23="Clawed Back","CLAWED",IF(TODAY()&lt;=C23+SETTINGS!$I$2,"⚠ AT RISK","SAFE")))</f>
        <v/>
      </c>
      <c r="AU23" s="28"/>
      <c r="AW23" s="24" t="n">
        <f aca="false">AW22+IF(AND(C23&lt;&gt;"",AO23&lt;&gt;"",OR('REP COMMISSION'!$B$3="",T23='REP COMMISSION'!$B$3,W23='REP COMMISSION'!$B$3,Z23='REP COMMISSION'!$B$3)),1,0)</f>
        <v>0</v>
      </c>
      <c r="AX23" s="24" t="n">
        <f aca="false">AX22+IF(AND(C23&lt;&gt;"",OR(F23="LOC - INITIAL",F23="CONSOLIDATION - UPFRONT COMM",F23="REVERSE - TOTAL FUNDING")),1,0)</f>
        <v>0</v>
      </c>
    </row>
    <row r="24" customFormat="false" ht="15" hidden="false" customHeight="false" outlineLevel="0" collapsed="false">
      <c r="A24" s="8" t="str">
        <f aca="false">IF(C24&lt;&gt;"","F27-"&amp;COUNT($C$4:C24),"")</f>
        <v/>
      </c>
      <c r="B24" s="9" t="str">
        <f aca="false">IF(OR(F24="LOC - INITIAL",F24="CONSOLIDATION - UPFRONT COMM",F24="REVERSE - TOTAL FUNDING"),A24,"")</f>
        <v/>
      </c>
      <c r="C24" s="10"/>
      <c r="D24" s="11"/>
      <c r="E24" s="11"/>
      <c r="F24" s="11"/>
      <c r="G24" s="12"/>
      <c r="H24" s="13"/>
      <c r="I24" s="11"/>
      <c r="J24" s="14" t="str">
        <f aca="false">IF(AND(G24&lt;&gt;"",H24&lt;&gt;""),G24*H24,"")</f>
        <v/>
      </c>
      <c r="K24" s="11"/>
      <c r="L24" s="15"/>
      <c r="M24" s="15"/>
      <c r="N24" s="14" t="n">
        <f aca="false">IF(OR(G24="",M24=""),0,IF(M24&gt;100,M24,G24*IF(M24&gt;1,M24/100,M24)))</f>
        <v>0</v>
      </c>
      <c r="O24" s="14" t="str">
        <f aca="false">IF(G24="","",G24*IF(L24="",0,IF(L24&gt;1,L24/100,L24))+N24)</f>
        <v/>
      </c>
      <c r="P24" s="11"/>
      <c r="Q24" s="16" t="str">
        <f aca="false">IF(P24="","",IFERROR(VLOOKUP(P24,PARTNERS!$A$2:$B$30,2,0),""))</f>
        <v/>
      </c>
      <c r="R24" s="17" t="str">
        <f aca="false">IF(O24="","",IF(OR(P24="",Q24=""),0,(O24-N24)*IF(Q24&gt;1,Q24/100,Q24)))</f>
        <v/>
      </c>
      <c r="S24" s="14" t="str">
        <f aca="false">IF(O24="","",O24-R24)</f>
        <v/>
      </c>
      <c r="T24" s="11"/>
      <c r="U24" s="18" t="str">
        <f aca="false">IF(T24="","",IFERROR(VLOOKUP(T24,REPS!$A$2:$D$40,2,0),""))</f>
        <v/>
      </c>
      <c r="V24" s="14" t="str">
        <f aca="false">IF(O24="","",IF(U24="",0,O24*IF(U24&gt;1,U24/100,U24)))</f>
        <v/>
      </c>
      <c r="W24" s="11"/>
      <c r="X24" s="18" t="str">
        <f aca="false">IF(W24="","",IFERROR(VLOOKUP(W24,REPS!$A$2:$D$40,3,0),""))</f>
        <v/>
      </c>
      <c r="Y24" s="14" t="str">
        <f aca="false">IF(O24="","",IF(X24="",0,O24*IF(X24&gt;1,X24/100,X24)))</f>
        <v/>
      </c>
      <c r="Z24" s="11"/>
      <c r="AA24" s="18" t="str">
        <f aca="false">IF(Z24="","",IFERROR(VLOOKUP(Z24,REPS!$A$2:$D$40,4,0),""))</f>
        <v/>
      </c>
      <c r="AB24" s="14" t="str">
        <f aca="false">IF(O24="","",IF(AA24="",0,O24*IF(AA24&gt;1,AA24/100,AA24)))</f>
        <v/>
      </c>
      <c r="AC24" s="14" t="str">
        <f aca="false">IF(O24="","",V24+Y24+AB24)</f>
        <v/>
      </c>
      <c r="AD24" s="19" t="str">
        <f aca="false">IF(O24="","",O24-R24-AC24)</f>
        <v/>
      </c>
      <c r="AE24" s="20"/>
      <c r="AF24" s="10"/>
      <c r="AG24" s="21" t="n">
        <f aca="false">IF(OR(AE24="",AE24=0),0,AE24*IF(U24="",0,IF(U24&gt;1,U24/100,U24)))</f>
        <v>0</v>
      </c>
      <c r="AH24" s="21" t="n">
        <f aca="false">IF(OR(AE24="",AE24=0),0,AE24*IF(X24="",0,IF(X24&gt;1,X24/100,X24)))</f>
        <v>0</v>
      </c>
      <c r="AI24" s="21" t="n">
        <f aca="false">IF(OR(AE24="",AE24=0),0,AE24*IF(AA24="",0,IF(AA24&gt;1,AA24/100,AA24)))</f>
        <v>0</v>
      </c>
      <c r="AJ24" s="21" t="n">
        <f aca="false">AG24+AH24+AI24</f>
        <v>0</v>
      </c>
      <c r="AK24" s="21" t="n">
        <f aca="false">IF(OR(AE24="",AE24=0),0,AE24-AJ24)</f>
        <v>0</v>
      </c>
      <c r="AL24" s="19" t="str">
        <f aca="false">IF(AD24="","",AD24-AK24)</f>
        <v/>
      </c>
      <c r="AM24" s="9" t="str">
        <f aca="false">IF(C24="","","Waiting for payment")</f>
        <v/>
      </c>
      <c r="AN24" s="10"/>
      <c r="AO24" s="10"/>
      <c r="AP24" s="22" t="str">
        <f aca="false">IF(OR(C24="",I24="",K24=""),"",IF(K24="Monthly",EDATE(C24,ROUND(I24*SETTINGS!$I$8,0)),WORKDAY(C24,ROUND(I24*SETTINGS!$I$8,0))))</f>
        <v/>
      </c>
      <c r="AQ24" s="9" t="str">
        <f aca="true">IF(C24="","",IF(AND(AP24&lt;&gt;"",TODAY()&gt;=AP24),"Refi Ready",IF(TODAY()-C24&gt;=SETTINGS!$I$11,"Prospecting","Performing")))</f>
        <v/>
      </c>
      <c r="AR24" s="22" t="str">
        <f aca="false">IF(OR(C24="",I24="",K24=""),"",IF(K24="Monthly",EDATE(C24,I24),WORKDAY(C24,I24)))</f>
        <v/>
      </c>
      <c r="AS24" s="11"/>
      <c r="AT24" s="23" t="str">
        <f aca="true">IF(C24="","",IF(AM24="Clawed Back","CLAWED",IF(TODAY()&lt;=C24+SETTINGS!$I$2,"⚠ AT RISK","SAFE")))</f>
        <v/>
      </c>
      <c r="AU24" s="11"/>
      <c r="AW24" s="24" t="n">
        <f aca="false">AW23+IF(AND(C24&lt;&gt;"",AO24&lt;&gt;"",OR('REP COMMISSION'!$B$3="",T24='REP COMMISSION'!$B$3,W24='REP COMMISSION'!$B$3,Z24='REP COMMISSION'!$B$3)),1,0)</f>
        <v>0</v>
      </c>
      <c r="AX24" s="24" t="n">
        <f aca="false">AX23+IF(AND(C24&lt;&gt;"",OR(F24="LOC - INITIAL",F24="CONSOLIDATION - UPFRONT COMM",F24="REVERSE - TOTAL FUNDING")),1,0)</f>
        <v>0</v>
      </c>
    </row>
    <row r="25" customFormat="false" ht="15" hidden="false" customHeight="false" outlineLevel="0" collapsed="false">
      <c r="A25" s="25" t="str">
        <f aca="false">IF(C25&lt;&gt;"","F27-"&amp;COUNT($C$4:C25),"")</f>
        <v/>
      </c>
      <c r="B25" s="26" t="str">
        <f aca="false">IF(OR(F25="LOC - INITIAL",F25="CONSOLIDATION - UPFRONT COMM",F25="REVERSE - TOTAL FUNDING"),A25,"")</f>
        <v/>
      </c>
      <c r="C25" s="27"/>
      <c r="D25" s="28"/>
      <c r="E25" s="28"/>
      <c r="F25" s="28"/>
      <c r="G25" s="29"/>
      <c r="H25" s="30"/>
      <c r="I25" s="28"/>
      <c r="J25" s="31" t="str">
        <f aca="false">IF(AND(G25&lt;&gt;"",H25&lt;&gt;""),G25*H25,"")</f>
        <v/>
      </c>
      <c r="K25" s="28"/>
      <c r="L25" s="32"/>
      <c r="M25" s="32"/>
      <c r="N25" s="31" t="n">
        <f aca="false">IF(OR(G25="",M25=""),0,IF(M25&gt;100,M25,G25*IF(M25&gt;1,M25/100,M25)))</f>
        <v>0</v>
      </c>
      <c r="O25" s="31" t="str">
        <f aca="false">IF(G25="","",G25*IF(L25="",0,IF(L25&gt;1,L25/100,L25))+N25)</f>
        <v/>
      </c>
      <c r="P25" s="28"/>
      <c r="Q25" s="33" t="str">
        <f aca="false">IF(P25="","",IFERROR(VLOOKUP(P25,PARTNERS!$A$2:$B$30,2,0),""))</f>
        <v/>
      </c>
      <c r="R25" s="17" t="str">
        <f aca="false">IF(O25="","",IF(OR(P25="",Q25=""),0,(O25-N25)*IF(Q25&gt;1,Q25/100,Q25)))</f>
        <v/>
      </c>
      <c r="S25" s="31" t="str">
        <f aca="false">IF(O25="","",O25-R25)</f>
        <v/>
      </c>
      <c r="T25" s="28"/>
      <c r="U25" s="34" t="str">
        <f aca="false">IF(T25="","",IFERROR(VLOOKUP(T25,REPS!$A$2:$D$40,2,0),""))</f>
        <v/>
      </c>
      <c r="V25" s="31" t="str">
        <f aca="false">IF(O25="","",IF(U25="",0,O25*IF(U25&gt;1,U25/100,U25)))</f>
        <v/>
      </c>
      <c r="W25" s="28"/>
      <c r="X25" s="34" t="str">
        <f aca="false">IF(W25="","",IFERROR(VLOOKUP(W25,REPS!$A$2:$D$40,3,0),""))</f>
        <v/>
      </c>
      <c r="Y25" s="31" t="str">
        <f aca="false">IF(O25="","",IF(X25="",0,O25*IF(X25&gt;1,X25/100,X25)))</f>
        <v/>
      </c>
      <c r="Z25" s="28"/>
      <c r="AA25" s="34" t="str">
        <f aca="false">IF(Z25="","",IFERROR(VLOOKUP(Z25,REPS!$A$2:$D$40,4,0),""))</f>
        <v/>
      </c>
      <c r="AB25" s="31" t="str">
        <f aca="false">IF(O25="","",IF(AA25="",0,O25*IF(AA25&gt;1,AA25/100,AA25)))</f>
        <v/>
      </c>
      <c r="AC25" s="31" t="str">
        <f aca="false">IF(O25="","",V25+Y25+AB25)</f>
        <v/>
      </c>
      <c r="AD25" s="19" t="str">
        <f aca="false">IF(O25="","",O25-R25-AC25)</f>
        <v/>
      </c>
      <c r="AE25" s="20"/>
      <c r="AF25" s="27"/>
      <c r="AG25" s="21" t="n">
        <f aca="false">IF(OR(AE25="",AE25=0),0,AE25*IF(U25="",0,IF(U25&gt;1,U25/100,U25)))</f>
        <v>0</v>
      </c>
      <c r="AH25" s="21" t="n">
        <f aca="false">IF(OR(AE25="",AE25=0),0,AE25*IF(X25="",0,IF(X25&gt;1,X25/100,X25)))</f>
        <v>0</v>
      </c>
      <c r="AI25" s="21" t="n">
        <f aca="false">IF(OR(AE25="",AE25=0),0,AE25*IF(AA25="",0,IF(AA25&gt;1,AA25/100,AA25)))</f>
        <v>0</v>
      </c>
      <c r="AJ25" s="21" t="n">
        <f aca="false">AG25+AH25+AI25</f>
        <v>0</v>
      </c>
      <c r="AK25" s="21" t="n">
        <f aca="false">IF(OR(AE25="",AE25=0),0,AE25-AJ25)</f>
        <v>0</v>
      </c>
      <c r="AL25" s="19" t="str">
        <f aca="false">IF(AD25="","",AD25-AK25)</f>
        <v/>
      </c>
      <c r="AM25" s="26" t="str">
        <f aca="false">IF(C25="","","Waiting for payment")</f>
        <v/>
      </c>
      <c r="AN25" s="27"/>
      <c r="AO25" s="27"/>
      <c r="AP25" s="35" t="str">
        <f aca="false">IF(OR(C25="",I25="",K25=""),"",IF(K25="Monthly",EDATE(C25,ROUND(I25*SETTINGS!$I$8,0)),WORKDAY(C25,ROUND(I25*SETTINGS!$I$8,0))))</f>
        <v/>
      </c>
      <c r="AQ25" s="26" t="str">
        <f aca="true">IF(C25="","",IF(AND(AP25&lt;&gt;"",TODAY()&gt;=AP25),"Refi Ready",IF(TODAY()-C25&gt;=SETTINGS!$I$11,"Prospecting","Performing")))</f>
        <v/>
      </c>
      <c r="AR25" s="35" t="str">
        <f aca="false">IF(OR(C25="",I25="",K25=""),"",IF(K25="Monthly",EDATE(C25,I25),WORKDAY(C25,I25)))</f>
        <v/>
      </c>
      <c r="AS25" s="28"/>
      <c r="AT25" s="36" t="str">
        <f aca="true">IF(C25="","",IF(AM25="Clawed Back","CLAWED",IF(TODAY()&lt;=C25+SETTINGS!$I$2,"⚠ AT RISK","SAFE")))</f>
        <v/>
      </c>
      <c r="AU25" s="28"/>
      <c r="AW25" s="24" t="n">
        <f aca="false">AW24+IF(AND(C25&lt;&gt;"",AO25&lt;&gt;"",OR('REP COMMISSION'!$B$3="",T25='REP COMMISSION'!$B$3,W25='REP COMMISSION'!$B$3,Z25='REP COMMISSION'!$B$3)),1,0)</f>
        <v>0</v>
      </c>
      <c r="AX25" s="24" t="n">
        <f aca="false">AX24+IF(AND(C25&lt;&gt;"",OR(F25="LOC - INITIAL",F25="CONSOLIDATION - UPFRONT COMM",F25="REVERSE - TOTAL FUNDING")),1,0)</f>
        <v>0</v>
      </c>
    </row>
    <row r="26" customFormat="false" ht="15" hidden="false" customHeight="false" outlineLevel="0" collapsed="false">
      <c r="A26" s="8" t="str">
        <f aca="false">IF(C26&lt;&gt;"","F27-"&amp;COUNT($C$4:C26),"")</f>
        <v/>
      </c>
      <c r="B26" s="9" t="str">
        <f aca="false">IF(OR(F26="LOC - INITIAL",F26="CONSOLIDATION - UPFRONT COMM",F26="REVERSE - TOTAL FUNDING"),A26,"")</f>
        <v/>
      </c>
      <c r="C26" s="10"/>
      <c r="D26" s="11"/>
      <c r="E26" s="11"/>
      <c r="F26" s="11"/>
      <c r="G26" s="12"/>
      <c r="H26" s="13"/>
      <c r="I26" s="11"/>
      <c r="J26" s="14" t="str">
        <f aca="false">IF(AND(G26&lt;&gt;"",H26&lt;&gt;""),G26*H26,"")</f>
        <v/>
      </c>
      <c r="K26" s="11"/>
      <c r="L26" s="15"/>
      <c r="M26" s="15"/>
      <c r="N26" s="14" t="n">
        <f aca="false">IF(OR(G26="",M26=""),0,IF(M26&gt;100,M26,G26*IF(M26&gt;1,M26/100,M26)))</f>
        <v>0</v>
      </c>
      <c r="O26" s="14" t="str">
        <f aca="false">IF(G26="","",G26*IF(L26="",0,IF(L26&gt;1,L26/100,L26))+N26)</f>
        <v/>
      </c>
      <c r="P26" s="11"/>
      <c r="Q26" s="16" t="str">
        <f aca="false">IF(P26="","",IFERROR(VLOOKUP(P26,PARTNERS!$A$2:$B$30,2,0),""))</f>
        <v/>
      </c>
      <c r="R26" s="17" t="str">
        <f aca="false">IF(O26="","",IF(OR(P26="",Q26=""),0,(O26-N26)*IF(Q26&gt;1,Q26/100,Q26)))</f>
        <v/>
      </c>
      <c r="S26" s="14" t="str">
        <f aca="false">IF(O26="","",O26-R26)</f>
        <v/>
      </c>
      <c r="T26" s="11"/>
      <c r="U26" s="18" t="str">
        <f aca="false">IF(T26="","",IFERROR(VLOOKUP(T26,REPS!$A$2:$D$40,2,0),""))</f>
        <v/>
      </c>
      <c r="V26" s="14" t="str">
        <f aca="false">IF(O26="","",IF(U26="",0,O26*IF(U26&gt;1,U26/100,U26)))</f>
        <v/>
      </c>
      <c r="W26" s="11"/>
      <c r="X26" s="18" t="str">
        <f aca="false">IF(W26="","",IFERROR(VLOOKUP(W26,REPS!$A$2:$D$40,3,0),""))</f>
        <v/>
      </c>
      <c r="Y26" s="14" t="str">
        <f aca="false">IF(O26="","",IF(X26="",0,O26*IF(X26&gt;1,X26/100,X26)))</f>
        <v/>
      </c>
      <c r="Z26" s="11"/>
      <c r="AA26" s="18" t="str">
        <f aca="false">IF(Z26="","",IFERROR(VLOOKUP(Z26,REPS!$A$2:$D$40,4,0),""))</f>
        <v/>
      </c>
      <c r="AB26" s="14" t="str">
        <f aca="false">IF(O26="","",IF(AA26="",0,O26*IF(AA26&gt;1,AA26/100,AA26)))</f>
        <v/>
      </c>
      <c r="AC26" s="14" t="str">
        <f aca="false">IF(O26="","",V26+Y26+AB26)</f>
        <v/>
      </c>
      <c r="AD26" s="19" t="str">
        <f aca="false">IF(O26="","",O26-R26-AC26)</f>
        <v/>
      </c>
      <c r="AE26" s="20"/>
      <c r="AF26" s="10"/>
      <c r="AG26" s="21" t="n">
        <f aca="false">IF(OR(AE26="",AE26=0),0,AE26*IF(U26="",0,IF(U26&gt;1,U26/100,U26)))</f>
        <v>0</v>
      </c>
      <c r="AH26" s="21" t="n">
        <f aca="false">IF(OR(AE26="",AE26=0),0,AE26*IF(X26="",0,IF(X26&gt;1,X26/100,X26)))</f>
        <v>0</v>
      </c>
      <c r="AI26" s="21" t="n">
        <f aca="false">IF(OR(AE26="",AE26=0),0,AE26*IF(AA26="",0,IF(AA26&gt;1,AA26/100,AA26)))</f>
        <v>0</v>
      </c>
      <c r="AJ26" s="21" t="n">
        <f aca="false">AG26+AH26+AI26</f>
        <v>0</v>
      </c>
      <c r="AK26" s="21" t="n">
        <f aca="false">IF(OR(AE26="",AE26=0),0,AE26-AJ26)</f>
        <v>0</v>
      </c>
      <c r="AL26" s="19" t="str">
        <f aca="false">IF(AD26="","",AD26-AK26)</f>
        <v/>
      </c>
      <c r="AM26" s="9" t="str">
        <f aca="false">IF(C26="","","Waiting for payment")</f>
        <v/>
      </c>
      <c r="AN26" s="10"/>
      <c r="AO26" s="10"/>
      <c r="AP26" s="22" t="str">
        <f aca="false">IF(OR(C26="",I26="",K26=""),"",IF(K26="Monthly",EDATE(C26,ROUND(I26*SETTINGS!$I$8,0)),WORKDAY(C26,ROUND(I26*SETTINGS!$I$8,0))))</f>
        <v/>
      </c>
      <c r="AQ26" s="9" t="str">
        <f aca="true">IF(C26="","",IF(AND(AP26&lt;&gt;"",TODAY()&gt;=AP26),"Refi Ready",IF(TODAY()-C26&gt;=SETTINGS!$I$11,"Prospecting","Performing")))</f>
        <v/>
      </c>
      <c r="AR26" s="22" t="str">
        <f aca="false">IF(OR(C26="",I26="",K26=""),"",IF(K26="Monthly",EDATE(C26,I26),WORKDAY(C26,I26)))</f>
        <v/>
      </c>
      <c r="AS26" s="11"/>
      <c r="AT26" s="23" t="str">
        <f aca="true">IF(C26="","",IF(AM26="Clawed Back","CLAWED",IF(TODAY()&lt;=C26+SETTINGS!$I$2,"⚠ AT RISK","SAFE")))</f>
        <v/>
      </c>
      <c r="AU26" s="11"/>
      <c r="AW26" s="24" t="n">
        <f aca="false">AW25+IF(AND(C26&lt;&gt;"",AO26&lt;&gt;"",OR('REP COMMISSION'!$B$3="",T26='REP COMMISSION'!$B$3,W26='REP COMMISSION'!$B$3,Z26='REP COMMISSION'!$B$3)),1,0)</f>
        <v>0</v>
      </c>
      <c r="AX26" s="24" t="n">
        <f aca="false">AX25+IF(AND(C26&lt;&gt;"",OR(F26="LOC - INITIAL",F26="CONSOLIDATION - UPFRONT COMM",F26="REVERSE - TOTAL FUNDING")),1,0)</f>
        <v>0</v>
      </c>
    </row>
    <row r="27" customFormat="false" ht="15" hidden="false" customHeight="false" outlineLevel="0" collapsed="false">
      <c r="A27" s="25" t="str">
        <f aca="false">IF(C27&lt;&gt;"","F27-"&amp;COUNT($C$4:C27),"")</f>
        <v/>
      </c>
      <c r="B27" s="26" t="str">
        <f aca="false">IF(OR(F27="LOC - INITIAL",F27="CONSOLIDATION - UPFRONT COMM",F27="REVERSE - TOTAL FUNDING"),A27,"")</f>
        <v/>
      </c>
      <c r="C27" s="27"/>
      <c r="D27" s="28"/>
      <c r="E27" s="28"/>
      <c r="F27" s="28"/>
      <c r="G27" s="29"/>
      <c r="H27" s="30"/>
      <c r="I27" s="28"/>
      <c r="J27" s="31" t="str">
        <f aca="false">IF(AND(G27&lt;&gt;"",H27&lt;&gt;""),G27*H27,"")</f>
        <v/>
      </c>
      <c r="K27" s="28"/>
      <c r="L27" s="32"/>
      <c r="M27" s="32"/>
      <c r="N27" s="31" t="n">
        <f aca="false">IF(OR(G27="",M27=""),0,IF(M27&gt;100,M27,G27*IF(M27&gt;1,M27/100,M27)))</f>
        <v>0</v>
      </c>
      <c r="O27" s="31" t="str">
        <f aca="false">IF(G27="","",G27*IF(L27="",0,IF(L27&gt;1,L27/100,L27))+N27)</f>
        <v/>
      </c>
      <c r="P27" s="28"/>
      <c r="Q27" s="33" t="str">
        <f aca="false">IF(P27="","",IFERROR(VLOOKUP(P27,PARTNERS!$A$2:$B$30,2,0),""))</f>
        <v/>
      </c>
      <c r="R27" s="17" t="str">
        <f aca="false">IF(O27="","",IF(OR(P27="",Q27=""),0,(O27-N27)*IF(Q27&gt;1,Q27/100,Q27)))</f>
        <v/>
      </c>
      <c r="S27" s="31" t="str">
        <f aca="false">IF(O27="","",O27-R27)</f>
        <v/>
      </c>
      <c r="T27" s="28"/>
      <c r="U27" s="34" t="str">
        <f aca="false">IF(T27="","",IFERROR(VLOOKUP(T27,REPS!$A$2:$D$40,2,0),""))</f>
        <v/>
      </c>
      <c r="V27" s="31" t="str">
        <f aca="false">IF(O27="","",IF(U27="",0,O27*IF(U27&gt;1,U27/100,U27)))</f>
        <v/>
      </c>
      <c r="W27" s="28"/>
      <c r="X27" s="34" t="str">
        <f aca="false">IF(W27="","",IFERROR(VLOOKUP(W27,REPS!$A$2:$D$40,3,0),""))</f>
        <v/>
      </c>
      <c r="Y27" s="31" t="str">
        <f aca="false">IF(O27="","",IF(X27="",0,O27*IF(X27&gt;1,X27/100,X27)))</f>
        <v/>
      </c>
      <c r="Z27" s="28"/>
      <c r="AA27" s="34" t="str">
        <f aca="false">IF(Z27="","",IFERROR(VLOOKUP(Z27,REPS!$A$2:$D$40,4,0),""))</f>
        <v/>
      </c>
      <c r="AB27" s="31" t="str">
        <f aca="false">IF(O27="","",IF(AA27="",0,O27*IF(AA27&gt;1,AA27/100,AA27)))</f>
        <v/>
      </c>
      <c r="AC27" s="31" t="str">
        <f aca="false">IF(O27="","",V27+Y27+AB27)</f>
        <v/>
      </c>
      <c r="AD27" s="19" t="str">
        <f aca="false">IF(O27="","",O27-R27-AC27)</f>
        <v/>
      </c>
      <c r="AE27" s="20"/>
      <c r="AF27" s="27"/>
      <c r="AG27" s="21" t="n">
        <f aca="false">IF(OR(AE27="",AE27=0),0,AE27*IF(U27="",0,IF(U27&gt;1,U27/100,U27)))</f>
        <v>0</v>
      </c>
      <c r="AH27" s="21" t="n">
        <f aca="false">IF(OR(AE27="",AE27=0),0,AE27*IF(X27="",0,IF(X27&gt;1,X27/100,X27)))</f>
        <v>0</v>
      </c>
      <c r="AI27" s="21" t="n">
        <f aca="false">IF(OR(AE27="",AE27=0),0,AE27*IF(AA27="",0,IF(AA27&gt;1,AA27/100,AA27)))</f>
        <v>0</v>
      </c>
      <c r="AJ27" s="21" t="n">
        <f aca="false">AG27+AH27+AI27</f>
        <v>0</v>
      </c>
      <c r="AK27" s="21" t="n">
        <f aca="false">IF(OR(AE27="",AE27=0),0,AE27-AJ27)</f>
        <v>0</v>
      </c>
      <c r="AL27" s="19" t="str">
        <f aca="false">IF(AD27="","",AD27-AK27)</f>
        <v/>
      </c>
      <c r="AM27" s="26" t="str">
        <f aca="false">IF(C27="","","Waiting for payment")</f>
        <v/>
      </c>
      <c r="AN27" s="27"/>
      <c r="AO27" s="27"/>
      <c r="AP27" s="35" t="str">
        <f aca="false">IF(OR(C27="",I27="",K27=""),"",IF(K27="Monthly",EDATE(C27,ROUND(I27*SETTINGS!$I$8,0)),WORKDAY(C27,ROUND(I27*SETTINGS!$I$8,0))))</f>
        <v/>
      </c>
      <c r="AQ27" s="26" t="str">
        <f aca="true">IF(C27="","",IF(AND(AP27&lt;&gt;"",TODAY()&gt;=AP27),"Refi Ready",IF(TODAY()-C27&gt;=SETTINGS!$I$11,"Prospecting","Performing")))</f>
        <v/>
      </c>
      <c r="AR27" s="35" t="str">
        <f aca="false">IF(OR(C27="",I27="",K27=""),"",IF(K27="Monthly",EDATE(C27,I27),WORKDAY(C27,I27)))</f>
        <v/>
      </c>
      <c r="AS27" s="28"/>
      <c r="AT27" s="36" t="str">
        <f aca="true">IF(C27="","",IF(AM27="Clawed Back","CLAWED",IF(TODAY()&lt;=C27+SETTINGS!$I$2,"⚠ AT RISK","SAFE")))</f>
        <v/>
      </c>
      <c r="AU27" s="28"/>
      <c r="AW27" s="24" t="n">
        <f aca="false">AW26+IF(AND(C27&lt;&gt;"",AO27&lt;&gt;"",OR('REP COMMISSION'!$B$3="",T27='REP COMMISSION'!$B$3,W27='REP COMMISSION'!$B$3,Z27='REP COMMISSION'!$B$3)),1,0)</f>
        <v>0</v>
      </c>
      <c r="AX27" s="24" t="n">
        <f aca="false">AX26+IF(AND(C27&lt;&gt;"",OR(F27="LOC - INITIAL",F27="CONSOLIDATION - UPFRONT COMM",F27="REVERSE - TOTAL FUNDING")),1,0)</f>
        <v>0</v>
      </c>
    </row>
    <row r="28" customFormat="false" ht="15" hidden="false" customHeight="false" outlineLevel="0" collapsed="false">
      <c r="A28" s="8" t="str">
        <f aca="false">IF(C28&lt;&gt;"","F27-"&amp;COUNT($C$4:C28),"")</f>
        <v/>
      </c>
      <c r="B28" s="9" t="str">
        <f aca="false">IF(OR(F28="LOC - INITIAL",F28="CONSOLIDATION - UPFRONT COMM",F28="REVERSE - TOTAL FUNDING"),A28,"")</f>
        <v/>
      </c>
      <c r="C28" s="10"/>
      <c r="D28" s="11"/>
      <c r="E28" s="11"/>
      <c r="F28" s="11"/>
      <c r="G28" s="12"/>
      <c r="H28" s="13"/>
      <c r="I28" s="11"/>
      <c r="J28" s="14" t="str">
        <f aca="false">IF(AND(G28&lt;&gt;"",H28&lt;&gt;""),G28*H28,"")</f>
        <v/>
      </c>
      <c r="K28" s="11"/>
      <c r="L28" s="15"/>
      <c r="M28" s="15"/>
      <c r="N28" s="14" t="n">
        <f aca="false">IF(OR(G28="",M28=""),0,IF(M28&gt;100,M28,G28*IF(M28&gt;1,M28/100,M28)))</f>
        <v>0</v>
      </c>
      <c r="O28" s="14" t="str">
        <f aca="false">IF(G28="","",G28*IF(L28="",0,IF(L28&gt;1,L28/100,L28))+N28)</f>
        <v/>
      </c>
      <c r="P28" s="11"/>
      <c r="Q28" s="16" t="str">
        <f aca="false">IF(P28="","",IFERROR(VLOOKUP(P28,PARTNERS!$A$2:$B$30,2,0),""))</f>
        <v/>
      </c>
      <c r="R28" s="17" t="str">
        <f aca="false">IF(O28="","",IF(OR(P28="",Q28=""),0,(O28-N28)*IF(Q28&gt;1,Q28/100,Q28)))</f>
        <v/>
      </c>
      <c r="S28" s="14" t="str">
        <f aca="false">IF(O28="","",O28-R28)</f>
        <v/>
      </c>
      <c r="T28" s="11"/>
      <c r="U28" s="18" t="str">
        <f aca="false">IF(T28="","",IFERROR(VLOOKUP(T28,REPS!$A$2:$D$40,2,0),""))</f>
        <v/>
      </c>
      <c r="V28" s="14" t="str">
        <f aca="false">IF(O28="","",IF(U28="",0,O28*IF(U28&gt;1,U28/100,U28)))</f>
        <v/>
      </c>
      <c r="W28" s="11"/>
      <c r="X28" s="18" t="str">
        <f aca="false">IF(W28="","",IFERROR(VLOOKUP(W28,REPS!$A$2:$D$40,3,0),""))</f>
        <v/>
      </c>
      <c r="Y28" s="14" t="str">
        <f aca="false">IF(O28="","",IF(X28="",0,O28*IF(X28&gt;1,X28/100,X28)))</f>
        <v/>
      </c>
      <c r="Z28" s="11"/>
      <c r="AA28" s="18" t="str">
        <f aca="false">IF(Z28="","",IFERROR(VLOOKUP(Z28,REPS!$A$2:$D$40,4,0),""))</f>
        <v/>
      </c>
      <c r="AB28" s="14" t="str">
        <f aca="false">IF(O28="","",IF(AA28="",0,O28*IF(AA28&gt;1,AA28/100,AA28)))</f>
        <v/>
      </c>
      <c r="AC28" s="14" t="str">
        <f aca="false">IF(O28="","",V28+Y28+AB28)</f>
        <v/>
      </c>
      <c r="AD28" s="19" t="str">
        <f aca="false">IF(O28="","",O28-R28-AC28)</f>
        <v/>
      </c>
      <c r="AE28" s="20"/>
      <c r="AF28" s="10"/>
      <c r="AG28" s="21" t="n">
        <f aca="false">IF(OR(AE28="",AE28=0),0,AE28*IF(U28="",0,IF(U28&gt;1,U28/100,U28)))</f>
        <v>0</v>
      </c>
      <c r="AH28" s="21" t="n">
        <f aca="false">IF(OR(AE28="",AE28=0),0,AE28*IF(X28="",0,IF(X28&gt;1,X28/100,X28)))</f>
        <v>0</v>
      </c>
      <c r="AI28" s="21" t="n">
        <f aca="false">IF(OR(AE28="",AE28=0),0,AE28*IF(AA28="",0,IF(AA28&gt;1,AA28/100,AA28)))</f>
        <v>0</v>
      </c>
      <c r="AJ28" s="21" t="n">
        <f aca="false">AG28+AH28+AI28</f>
        <v>0</v>
      </c>
      <c r="AK28" s="21" t="n">
        <f aca="false">IF(OR(AE28="",AE28=0),0,AE28-AJ28)</f>
        <v>0</v>
      </c>
      <c r="AL28" s="19" t="str">
        <f aca="false">IF(AD28="","",AD28-AK28)</f>
        <v/>
      </c>
      <c r="AM28" s="9" t="str">
        <f aca="false">IF(C28="","","Waiting for payment")</f>
        <v/>
      </c>
      <c r="AN28" s="10"/>
      <c r="AO28" s="10"/>
      <c r="AP28" s="22" t="str">
        <f aca="false">IF(OR(C28="",I28="",K28=""),"",IF(K28="Monthly",EDATE(C28,ROUND(I28*SETTINGS!$I$8,0)),WORKDAY(C28,ROUND(I28*SETTINGS!$I$8,0))))</f>
        <v/>
      </c>
      <c r="AQ28" s="9" t="str">
        <f aca="true">IF(C28="","",IF(AND(AP28&lt;&gt;"",TODAY()&gt;=AP28),"Refi Ready",IF(TODAY()-C28&gt;=SETTINGS!$I$11,"Prospecting","Performing")))</f>
        <v/>
      </c>
      <c r="AR28" s="22" t="str">
        <f aca="false">IF(OR(C28="",I28="",K28=""),"",IF(K28="Monthly",EDATE(C28,I28),WORKDAY(C28,I28)))</f>
        <v/>
      </c>
      <c r="AS28" s="11"/>
      <c r="AT28" s="23" t="str">
        <f aca="true">IF(C28="","",IF(AM28="Clawed Back","CLAWED",IF(TODAY()&lt;=C28+SETTINGS!$I$2,"⚠ AT RISK","SAFE")))</f>
        <v/>
      </c>
      <c r="AU28" s="11"/>
      <c r="AW28" s="24" t="n">
        <f aca="false">AW27+IF(AND(C28&lt;&gt;"",AO28&lt;&gt;"",OR('REP COMMISSION'!$B$3="",T28='REP COMMISSION'!$B$3,W28='REP COMMISSION'!$B$3,Z28='REP COMMISSION'!$B$3)),1,0)</f>
        <v>0</v>
      </c>
      <c r="AX28" s="24" t="n">
        <f aca="false">AX27+IF(AND(C28&lt;&gt;"",OR(F28="LOC - INITIAL",F28="CONSOLIDATION - UPFRONT COMM",F28="REVERSE - TOTAL FUNDING")),1,0)</f>
        <v>0</v>
      </c>
    </row>
    <row r="29" customFormat="false" ht="15" hidden="false" customHeight="false" outlineLevel="0" collapsed="false">
      <c r="A29" s="25" t="str">
        <f aca="false">IF(C29&lt;&gt;"","F27-"&amp;COUNT($C$4:C29),"")</f>
        <v/>
      </c>
      <c r="B29" s="26" t="str">
        <f aca="false">IF(OR(F29="LOC - INITIAL",F29="CONSOLIDATION - UPFRONT COMM",F29="REVERSE - TOTAL FUNDING"),A29,"")</f>
        <v/>
      </c>
      <c r="C29" s="27"/>
      <c r="D29" s="28"/>
      <c r="E29" s="28"/>
      <c r="F29" s="28"/>
      <c r="G29" s="29"/>
      <c r="H29" s="30"/>
      <c r="I29" s="28"/>
      <c r="J29" s="31" t="str">
        <f aca="false">IF(AND(G29&lt;&gt;"",H29&lt;&gt;""),G29*H29,"")</f>
        <v/>
      </c>
      <c r="K29" s="28"/>
      <c r="L29" s="32"/>
      <c r="M29" s="32"/>
      <c r="N29" s="31" t="n">
        <f aca="false">IF(OR(G29="",M29=""),0,IF(M29&gt;100,M29,G29*IF(M29&gt;1,M29/100,M29)))</f>
        <v>0</v>
      </c>
      <c r="O29" s="31" t="str">
        <f aca="false">IF(G29="","",G29*IF(L29="",0,IF(L29&gt;1,L29/100,L29))+N29)</f>
        <v/>
      </c>
      <c r="P29" s="28"/>
      <c r="Q29" s="33" t="str">
        <f aca="false">IF(P29="","",IFERROR(VLOOKUP(P29,PARTNERS!$A$2:$B$30,2,0),""))</f>
        <v/>
      </c>
      <c r="R29" s="17" t="str">
        <f aca="false">IF(O29="","",IF(OR(P29="",Q29=""),0,(O29-N29)*IF(Q29&gt;1,Q29/100,Q29)))</f>
        <v/>
      </c>
      <c r="S29" s="31" t="str">
        <f aca="false">IF(O29="","",O29-R29)</f>
        <v/>
      </c>
      <c r="T29" s="28"/>
      <c r="U29" s="34" t="str">
        <f aca="false">IF(T29="","",IFERROR(VLOOKUP(T29,REPS!$A$2:$D$40,2,0),""))</f>
        <v/>
      </c>
      <c r="V29" s="31" t="str">
        <f aca="false">IF(O29="","",IF(U29="",0,O29*IF(U29&gt;1,U29/100,U29)))</f>
        <v/>
      </c>
      <c r="W29" s="28"/>
      <c r="X29" s="34" t="str">
        <f aca="false">IF(W29="","",IFERROR(VLOOKUP(W29,REPS!$A$2:$D$40,3,0),""))</f>
        <v/>
      </c>
      <c r="Y29" s="31" t="str">
        <f aca="false">IF(O29="","",IF(X29="",0,O29*IF(X29&gt;1,X29/100,X29)))</f>
        <v/>
      </c>
      <c r="Z29" s="28"/>
      <c r="AA29" s="34" t="str">
        <f aca="false">IF(Z29="","",IFERROR(VLOOKUP(Z29,REPS!$A$2:$D$40,4,0),""))</f>
        <v/>
      </c>
      <c r="AB29" s="31" t="str">
        <f aca="false">IF(O29="","",IF(AA29="",0,O29*IF(AA29&gt;1,AA29/100,AA29)))</f>
        <v/>
      </c>
      <c r="AC29" s="31" t="str">
        <f aca="false">IF(O29="","",V29+Y29+AB29)</f>
        <v/>
      </c>
      <c r="AD29" s="19" t="str">
        <f aca="false">IF(O29="","",O29-R29-AC29)</f>
        <v/>
      </c>
      <c r="AE29" s="20"/>
      <c r="AF29" s="27"/>
      <c r="AG29" s="21" t="n">
        <f aca="false">IF(OR(AE29="",AE29=0),0,AE29*IF(U29="",0,IF(U29&gt;1,U29/100,U29)))</f>
        <v>0</v>
      </c>
      <c r="AH29" s="21" t="n">
        <f aca="false">IF(OR(AE29="",AE29=0),0,AE29*IF(X29="",0,IF(X29&gt;1,X29/100,X29)))</f>
        <v>0</v>
      </c>
      <c r="AI29" s="21" t="n">
        <f aca="false">IF(OR(AE29="",AE29=0),0,AE29*IF(AA29="",0,IF(AA29&gt;1,AA29/100,AA29)))</f>
        <v>0</v>
      </c>
      <c r="AJ29" s="21" t="n">
        <f aca="false">AG29+AH29+AI29</f>
        <v>0</v>
      </c>
      <c r="AK29" s="21" t="n">
        <f aca="false">IF(OR(AE29="",AE29=0),0,AE29-AJ29)</f>
        <v>0</v>
      </c>
      <c r="AL29" s="19" t="str">
        <f aca="false">IF(AD29="","",AD29-AK29)</f>
        <v/>
      </c>
      <c r="AM29" s="26" t="str">
        <f aca="false">IF(C29="","","Waiting for payment")</f>
        <v/>
      </c>
      <c r="AN29" s="27"/>
      <c r="AO29" s="27"/>
      <c r="AP29" s="35" t="str">
        <f aca="false">IF(OR(C29="",I29="",K29=""),"",IF(K29="Monthly",EDATE(C29,ROUND(I29*SETTINGS!$I$8,0)),WORKDAY(C29,ROUND(I29*SETTINGS!$I$8,0))))</f>
        <v/>
      </c>
      <c r="AQ29" s="26" t="str">
        <f aca="true">IF(C29="","",IF(AND(AP29&lt;&gt;"",TODAY()&gt;=AP29),"Refi Ready",IF(TODAY()-C29&gt;=SETTINGS!$I$11,"Prospecting","Performing")))</f>
        <v/>
      </c>
      <c r="AR29" s="35" t="str">
        <f aca="false">IF(OR(C29="",I29="",K29=""),"",IF(K29="Monthly",EDATE(C29,I29),WORKDAY(C29,I29)))</f>
        <v/>
      </c>
      <c r="AS29" s="28"/>
      <c r="AT29" s="36" t="str">
        <f aca="true">IF(C29="","",IF(AM29="Clawed Back","CLAWED",IF(TODAY()&lt;=C29+SETTINGS!$I$2,"⚠ AT RISK","SAFE")))</f>
        <v/>
      </c>
      <c r="AU29" s="28"/>
      <c r="AW29" s="24" t="n">
        <f aca="false">AW28+IF(AND(C29&lt;&gt;"",AO29&lt;&gt;"",OR('REP COMMISSION'!$B$3="",T29='REP COMMISSION'!$B$3,W29='REP COMMISSION'!$B$3,Z29='REP COMMISSION'!$B$3)),1,0)</f>
        <v>0</v>
      </c>
      <c r="AX29" s="24" t="n">
        <f aca="false">AX28+IF(AND(C29&lt;&gt;"",OR(F29="LOC - INITIAL",F29="CONSOLIDATION - UPFRONT COMM",F29="REVERSE - TOTAL FUNDING")),1,0)</f>
        <v>0</v>
      </c>
    </row>
    <row r="30" customFormat="false" ht="15" hidden="false" customHeight="false" outlineLevel="0" collapsed="false">
      <c r="A30" s="8" t="str">
        <f aca="false">IF(C30&lt;&gt;"","F27-"&amp;COUNT($C$4:C30),"")</f>
        <v/>
      </c>
      <c r="B30" s="9" t="str">
        <f aca="false">IF(OR(F30="LOC - INITIAL",F30="CONSOLIDATION - UPFRONT COMM",F30="REVERSE - TOTAL FUNDING"),A30,"")</f>
        <v/>
      </c>
      <c r="C30" s="10"/>
      <c r="D30" s="11"/>
      <c r="E30" s="11"/>
      <c r="F30" s="11"/>
      <c r="G30" s="12"/>
      <c r="H30" s="13"/>
      <c r="I30" s="11"/>
      <c r="J30" s="14" t="str">
        <f aca="false">IF(AND(G30&lt;&gt;"",H30&lt;&gt;""),G30*H30,"")</f>
        <v/>
      </c>
      <c r="K30" s="11"/>
      <c r="L30" s="15"/>
      <c r="M30" s="15"/>
      <c r="N30" s="14" t="n">
        <f aca="false">IF(OR(G30="",M30=""),0,IF(M30&gt;100,M30,G30*IF(M30&gt;1,M30/100,M30)))</f>
        <v>0</v>
      </c>
      <c r="O30" s="14" t="str">
        <f aca="false">IF(G30="","",G30*IF(L30="",0,IF(L30&gt;1,L30/100,L30))+N30)</f>
        <v/>
      </c>
      <c r="P30" s="11"/>
      <c r="Q30" s="16" t="str">
        <f aca="false">IF(P30="","",IFERROR(VLOOKUP(P30,PARTNERS!$A$2:$B$30,2,0),""))</f>
        <v/>
      </c>
      <c r="R30" s="17" t="str">
        <f aca="false">IF(O30="","",IF(OR(P30="",Q30=""),0,(O30-N30)*IF(Q30&gt;1,Q30/100,Q30)))</f>
        <v/>
      </c>
      <c r="S30" s="14" t="str">
        <f aca="false">IF(O30="","",O30-R30)</f>
        <v/>
      </c>
      <c r="T30" s="11"/>
      <c r="U30" s="18" t="str">
        <f aca="false">IF(T30="","",IFERROR(VLOOKUP(T30,REPS!$A$2:$D$40,2,0),""))</f>
        <v/>
      </c>
      <c r="V30" s="14" t="str">
        <f aca="false">IF(O30="","",IF(U30="",0,O30*IF(U30&gt;1,U30/100,U30)))</f>
        <v/>
      </c>
      <c r="W30" s="11"/>
      <c r="X30" s="18" t="str">
        <f aca="false">IF(W30="","",IFERROR(VLOOKUP(W30,REPS!$A$2:$D$40,3,0),""))</f>
        <v/>
      </c>
      <c r="Y30" s="14" t="str">
        <f aca="false">IF(O30="","",IF(X30="",0,O30*IF(X30&gt;1,X30/100,X30)))</f>
        <v/>
      </c>
      <c r="Z30" s="11"/>
      <c r="AA30" s="18" t="str">
        <f aca="false">IF(Z30="","",IFERROR(VLOOKUP(Z30,REPS!$A$2:$D$40,4,0),""))</f>
        <v/>
      </c>
      <c r="AB30" s="14" t="str">
        <f aca="false">IF(O30="","",IF(AA30="",0,O30*IF(AA30&gt;1,AA30/100,AA30)))</f>
        <v/>
      </c>
      <c r="AC30" s="14" t="str">
        <f aca="false">IF(O30="","",V30+Y30+AB30)</f>
        <v/>
      </c>
      <c r="AD30" s="19" t="str">
        <f aca="false">IF(O30="","",O30-R30-AC30)</f>
        <v/>
      </c>
      <c r="AE30" s="20"/>
      <c r="AF30" s="10"/>
      <c r="AG30" s="21" t="n">
        <f aca="false">IF(OR(AE30="",AE30=0),0,AE30*IF(U30="",0,IF(U30&gt;1,U30/100,U30)))</f>
        <v>0</v>
      </c>
      <c r="AH30" s="21" t="n">
        <f aca="false">IF(OR(AE30="",AE30=0),0,AE30*IF(X30="",0,IF(X30&gt;1,X30/100,X30)))</f>
        <v>0</v>
      </c>
      <c r="AI30" s="21" t="n">
        <f aca="false">IF(OR(AE30="",AE30=0),0,AE30*IF(AA30="",0,IF(AA30&gt;1,AA30/100,AA30)))</f>
        <v>0</v>
      </c>
      <c r="AJ30" s="21" t="n">
        <f aca="false">AG30+AH30+AI30</f>
        <v>0</v>
      </c>
      <c r="AK30" s="21" t="n">
        <f aca="false">IF(OR(AE30="",AE30=0),0,AE30-AJ30)</f>
        <v>0</v>
      </c>
      <c r="AL30" s="19" t="str">
        <f aca="false">IF(AD30="","",AD30-AK30)</f>
        <v/>
      </c>
      <c r="AM30" s="9" t="str">
        <f aca="false">IF(C30="","","Waiting for payment")</f>
        <v/>
      </c>
      <c r="AN30" s="10"/>
      <c r="AO30" s="10"/>
      <c r="AP30" s="22" t="str">
        <f aca="false">IF(OR(C30="",I30="",K30=""),"",IF(K30="Monthly",EDATE(C30,ROUND(I30*SETTINGS!$I$8,0)),WORKDAY(C30,ROUND(I30*SETTINGS!$I$8,0))))</f>
        <v/>
      </c>
      <c r="AQ30" s="9" t="str">
        <f aca="true">IF(C30="","",IF(AND(AP30&lt;&gt;"",TODAY()&gt;=AP30),"Refi Ready",IF(TODAY()-C30&gt;=SETTINGS!$I$11,"Prospecting","Performing")))</f>
        <v/>
      </c>
      <c r="AR30" s="22" t="str">
        <f aca="false">IF(OR(C30="",I30="",K30=""),"",IF(K30="Monthly",EDATE(C30,I30),WORKDAY(C30,I30)))</f>
        <v/>
      </c>
      <c r="AS30" s="11"/>
      <c r="AT30" s="23" t="str">
        <f aca="true">IF(C30="","",IF(AM30="Clawed Back","CLAWED",IF(TODAY()&lt;=C30+SETTINGS!$I$2,"⚠ AT RISK","SAFE")))</f>
        <v/>
      </c>
      <c r="AU30" s="11"/>
      <c r="AW30" s="24" t="n">
        <f aca="false">AW29+IF(AND(C30&lt;&gt;"",AO30&lt;&gt;"",OR('REP COMMISSION'!$B$3="",T30='REP COMMISSION'!$B$3,W30='REP COMMISSION'!$B$3,Z30='REP COMMISSION'!$B$3)),1,0)</f>
        <v>0</v>
      </c>
      <c r="AX30" s="24" t="n">
        <f aca="false">AX29+IF(AND(C30&lt;&gt;"",OR(F30="LOC - INITIAL",F30="CONSOLIDATION - UPFRONT COMM",F30="REVERSE - TOTAL FUNDING")),1,0)</f>
        <v>0</v>
      </c>
    </row>
    <row r="31" customFormat="false" ht="15" hidden="false" customHeight="false" outlineLevel="0" collapsed="false">
      <c r="A31" s="25" t="str">
        <f aca="false">IF(C31&lt;&gt;"","F27-"&amp;COUNT($C$4:C31),"")</f>
        <v/>
      </c>
      <c r="B31" s="26" t="str">
        <f aca="false">IF(OR(F31="LOC - INITIAL",F31="CONSOLIDATION - UPFRONT COMM",F31="REVERSE - TOTAL FUNDING"),A31,"")</f>
        <v/>
      </c>
      <c r="C31" s="27"/>
      <c r="D31" s="28"/>
      <c r="E31" s="28"/>
      <c r="F31" s="28"/>
      <c r="G31" s="29"/>
      <c r="H31" s="30"/>
      <c r="I31" s="28"/>
      <c r="J31" s="31" t="str">
        <f aca="false">IF(AND(G31&lt;&gt;"",H31&lt;&gt;""),G31*H31,"")</f>
        <v/>
      </c>
      <c r="K31" s="28"/>
      <c r="L31" s="32"/>
      <c r="M31" s="32"/>
      <c r="N31" s="31" t="n">
        <f aca="false">IF(OR(G31="",M31=""),0,IF(M31&gt;100,M31,G31*IF(M31&gt;1,M31/100,M31)))</f>
        <v>0</v>
      </c>
      <c r="O31" s="31" t="str">
        <f aca="false">IF(G31="","",G31*IF(L31="",0,IF(L31&gt;1,L31/100,L31))+N31)</f>
        <v/>
      </c>
      <c r="P31" s="28"/>
      <c r="Q31" s="33" t="str">
        <f aca="false">IF(P31="","",IFERROR(VLOOKUP(P31,PARTNERS!$A$2:$B$30,2,0),""))</f>
        <v/>
      </c>
      <c r="R31" s="17" t="str">
        <f aca="false">IF(O31="","",IF(OR(P31="",Q31=""),0,(O31-N31)*IF(Q31&gt;1,Q31/100,Q31)))</f>
        <v/>
      </c>
      <c r="S31" s="31" t="str">
        <f aca="false">IF(O31="","",O31-R31)</f>
        <v/>
      </c>
      <c r="T31" s="28"/>
      <c r="U31" s="34" t="str">
        <f aca="false">IF(T31="","",IFERROR(VLOOKUP(T31,REPS!$A$2:$D$40,2,0),""))</f>
        <v/>
      </c>
      <c r="V31" s="31" t="str">
        <f aca="false">IF(O31="","",IF(U31="",0,O31*IF(U31&gt;1,U31/100,U31)))</f>
        <v/>
      </c>
      <c r="W31" s="28"/>
      <c r="X31" s="34" t="str">
        <f aca="false">IF(W31="","",IFERROR(VLOOKUP(W31,REPS!$A$2:$D$40,3,0),""))</f>
        <v/>
      </c>
      <c r="Y31" s="31" t="str">
        <f aca="false">IF(O31="","",IF(X31="",0,O31*IF(X31&gt;1,X31/100,X31)))</f>
        <v/>
      </c>
      <c r="Z31" s="28"/>
      <c r="AA31" s="34" t="str">
        <f aca="false">IF(Z31="","",IFERROR(VLOOKUP(Z31,REPS!$A$2:$D$40,4,0),""))</f>
        <v/>
      </c>
      <c r="AB31" s="31" t="str">
        <f aca="false">IF(O31="","",IF(AA31="",0,O31*IF(AA31&gt;1,AA31/100,AA31)))</f>
        <v/>
      </c>
      <c r="AC31" s="31" t="str">
        <f aca="false">IF(O31="","",V31+Y31+AB31)</f>
        <v/>
      </c>
      <c r="AD31" s="19" t="str">
        <f aca="false">IF(O31="","",O31-R31-AC31)</f>
        <v/>
      </c>
      <c r="AE31" s="20"/>
      <c r="AF31" s="27"/>
      <c r="AG31" s="21" t="n">
        <f aca="false">IF(OR(AE31="",AE31=0),0,AE31*IF(U31="",0,IF(U31&gt;1,U31/100,U31)))</f>
        <v>0</v>
      </c>
      <c r="AH31" s="21" t="n">
        <f aca="false">IF(OR(AE31="",AE31=0),0,AE31*IF(X31="",0,IF(X31&gt;1,X31/100,X31)))</f>
        <v>0</v>
      </c>
      <c r="AI31" s="21" t="n">
        <f aca="false">IF(OR(AE31="",AE31=0),0,AE31*IF(AA31="",0,IF(AA31&gt;1,AA31/100,AA31)))</f>
        <v>0</v>
      </c>
      <c r="AJ31" s="21" t="n">
        <f aca="false">AG31+AH31+AI31</f>
        <v>0</v>
      </c>
      <c r="AK31" s="21" t="n">
        <f aca="false">IF(OR(AE31="",AE31=0),0,AE31-AJ31)</f>
        <v>0</v>
      </c>
      <c r="AL31" s="19" t="str">
        <f aca="false">IF(AD31="","",AD31-AK31)</f>
        <v/>
      </c>
      <c r="AM31" s="26" t="str">
        <f aca="false">IF(C31="","","Waiting for payment")</f>
        <v/>
      </c>
      <c r="AN31" s="27"/>
      <c r="AO31" s="27"/>
      <c r="AP31" s="35" t="str">
        <f aca="false">IF(OR(C31="",I31="",K31=""),"",IF(K31="Monthly",EDATE(C31,ROUND(I31*SETTINGS!$I$8,0)),WORKDAY(C31,ROUND(I31*SETTINGS!$I$8,0))))</f>
        <v/>
      </c>
      <c r="AQ31" s="26" t="str">
        <f aca="true">IF(C31="","",IF(AND(AP31&lt;&gt;"",TODAY()&gt;=AP31),"Refi Ready",IF(TODAY()-C31&gt;=SETTINGS!$I$11,"Prospecting","Performing")))</f>
        <v/>
      </c>
      <c r="AR31" s="35" t="str">
        <f aca="false">IF(OR(C31="",I31="",K31=""),"",IF(K31="Monthly",EDATE(C31,I31),WORKDAY(C31,I31)))</f>
        <v/>
      </c>
      <c r="AS31" s="28"/>
      <c r="AT31" s="36" t="str">
        <f aca="true">IF(C31="","",IF(AM31="Clawed Back","CLAWED",IF(TODAY()&lt;=C31+SETTINGS!$I$2,"⚠ AT RISK","SAFE")))</f>
        <v/>
      </c>
      <c r="AU31" s="28"/>
      <c r="AW31" s="24" t="n">
        <f aca="false">AW30+IF(AND(C31&lt;&gt;"",AO31&lt;&gt;"",OR('REP COMMISSION'!$B$3="",T31='REP COMMISSION'!$B$3,W31='REP COMMISSION'!$B$3,Z31='REP COMMISSION'!$B$3)),1,0)</f>
        <v>0</v>
      </c>
      <c r="AX31" s="24" t="n">
        <f aca="false">AX30+IF(AND(C31&lt;&gt;"",OR(F31="LOC - INITIAL",F31="CONSOLIDATION - UPFRONT COMM",F31="REVERSE - TOTAL FUNDING")),1,0)</f>
        <v>0</v>
      </c>
    </row>
    <row r="32" customFormat="false" ht="15" hidden="false" customHeight="false" outlineLevel="0" collapsed="false">
      <c r="A32" s="8" t="str">
        <f aca="false">IF(C32&lt;&gt;"","F27-"&amp;COUNT($C$4:C32),"")</f>
        <v/>
      </c>
      <c r="B32" s="9" t="str">
        <f aca="false">IF(OR(F32="LOC - INITIAL",F32="CONSOLIDATION - UPFRONT COMM",F32="REVERSE - TOTAL FUNDING"),A32,"")</f>
        <v/>
      </c>
      <c r="C32" s="10"/>
      <c r="D32" s="11"/>
      <c r="E32" s="11"/>
      <c r="F32" s="11"/>
      <c r="G32" s="12"/>
      <c r="H32" s="13"/>
      <c r="I32" s="11"/>
      <c r="J32" s="14" t="str">
        <f aca="false">IF(AND(G32&lt;&gt;"",H32&lt;&gt;""),G32*H32,"")</f>
        <v/>
      </c>
      <c r="K32" s="11"/>
      <c r="L32" s="15"/>
      <c r="M32" s="15"/>
      <c r="N32" s="14" t="n">
        <f aca="false">IF(OR(G32="",M32=""),0,IF(M32&gt;100,M32,G32*IF(M32&gt;1,M32/100,M32)))</f>
        <v>0</v>
      </c>
      <c r="O32" s="14" t="str">
        <f aca="false">IF(G32="","",G32*IF(L32="",0,IF(L32&gt;1,L32/100,L32))+N32)</f>
        <v/>
      </c>
      <c r="P32" s="11"/>
      <c r="Q32" s="16" t="str">
        <f aca="false">IF(P32="","",IFERROR(VLOOKUP(P32,PARTNERS!$A$2:$B$30,2,0),""))</f>
        <v/>
      </c>
      <c r="R32" s="17" t="str">
        <f aca="false">IF(O32="","",IF(OR(P32="",Q32=""),0,(O32-N32)*IF(Q32&gt;1,Q32/100,Q32)))</f>
        <v/>
      </c>
      <c r="S32" s="14" t="str">
        <f aca="false">IF(O32="","",O32-R32)</f>
        <v/>
      </c>
      <c r="T32" s="11"/>
      <c r="U32" s="18" t="str">
        <f aca="false">IF(T32="","",IFERROR(VLOOKUP(T32,REPS!$A$2:$D$40,2,0),""))</f>
        <v/>
      </c>
      <c r="V32" s="14" t="str">
        <f aca="false">IF(O32="","",IF(U32="",0,O32*IF(U32&gt;1,U32/100,U32)))</f>
        <v/>
      </c>
      <c r="W32" s="11"/>
      <c r="X32" s="18" t="str">
        <f aca="false">IF(W32="","",IFERROR(VLOOKUP(W32,REPS!$A$2:$D$40,3,0),""))</f>
        <v/>
      </c>
      <c r="Y32" s="14" t="str">
        <f aca="false">IF(O32="","",IF(X32="",0,O32*IF(X32&gt;1,X32/100,X32)))</f>
        <v/>
      </c>
      <c r="Z32" s="11"/>
      <c r="AA32" s="18" t="str">
        <f aca="false">IF(Z32="","",IFERROR(VLOOKUP(Z32,REPS!$A$2:$D$40,4,0),""))</f>
        <v/>
      </c>
      <c r="AB32" s="14" t="str">
        <f aca="false">IF(O32="","",IF(AA32="",0,O32*IF(AA32&gt;1,AA32/100,AA32)))</f>
        <v/>
      </c>
      <c r="AC32" s="14" t="str">
        <f aca="false">IF(O32="","",V32+Y32+AB32)</f>
        <v/>
      </c>
      <c r="AD32" s="19" t="str">
        <f aca="false">IF(O32="","",O32-R32-AC32)</f>
        <v/>
      </c>
      <c r="AE32" s="20"/>
      <c r="AF32" s="10"/>
      <c r="AG32" s="21" t="n">
        <f aca="false">IF(OR(AE32="",AE32=0),0,AE32*IF(U32="",0,IF(U32&gt;1,U32/100,U32)))</f>
        <v>0</v>
      </c>
      <c r="AH32" s="21" t="n">
        <f aca="false">IF(OR(AE32="",AE32=0),0,AE32*IF(X32="",0,IF(X32&gt;1,X32/100,X32)))</f>
        <v>0</v>
      </c>
      <c r="AI32" s="21" t="n">
        <f aca="false">IF(OR(AE32="",AE32=0),0,AE32*IF(AA32="",0,IF(AA32&gt;1,AA32/100,AA32)))</f>
        <v>0</v>
      </c>
      <c r="AJ32" s="21" t="n">
        <f aca="false">AG32+AH32+AI32</f>
        <v>0</v>
      </c>
      <c r="AK32" s="21" t="n">
        <f aca="false">IF(OR(AE32="",AE32=0),0,AE32-AJ32)</f>
        <v>0</v>
      </c>
      <c r="AL32" s="19" t="str">
        <f aca="false">IF(AD32="","",AD32-AK32)</f>
        <v/>
      </c>
      <c r="AM32" s="9" t="str">
        <f aca="false">IF(C32="","","Waiting for payment")</f>
        <v/>
      </c>
      <c r="AN32" s="10"/>
      <c r="AO32" s="10"/>
      <c r="AP32" s="22" t="str">
        <f aca="false">IF(OR(C32="",I32="",K32=""),"",IF(K32="Monthly",EDATE(C32,ROUND(I32*SETTINGS!$I$8,0)),WORKDAY(C32,ROUND(I32*SETTINGS!$I$8,0))))</f>
        <v/>
      </c>
      <c r="AQ32" s="9" t="str">
        <f aca="true">IF(C32="","",IF(AND(AP32&lt;&gt;"",TODAY()&gt;=AP32),"Refi Ready",IF(TODAY()-C32&gt;=SETTINGS!$I$11,"Prospecting","Performing")))</f>
        <v/>
      </c>
      <c r="AR32" s="22" t="str">
        <f aca="false">IF(OR(C32="",I32="",K32=""),"",IF(K32="Monthly",EDATE(C32,I32),WORKDAY(C32,I32)))</f>
        <v/>
      </c>
      <c r="AS32" s="11"/>
      <c r="AT32" s="23" t="str">
        <f aca="true">IF(C32="","",IF(AM32="Clawed Back","CLAWED",IF(TODAY()&lt;=C32+SETTINGS!$I$2,"⚠ AT RISK","SAFE")))</f>
        <v/>
      </c>
      <c r="AU32" s="11"/>
      <c r="AW32" s="24" t="n">
        <f aca="false">AW31+IF(AND(C32&lt;&gt;"",AO32&lt;&gt;"",OR('REP COMMISSION'!$B$3="",T32='REP COMMISSION'!$B$3,W32='REP COMMISSION'!$B$3,Z32='REP COMMISSION'!$B$3)),1,0)</f>
        <v>0</v>
      </c>
      <c r="AX32" s="24" t="n">
        <f aca="false">AX31+IF(AND(C32&lt;&gt;"",OR(F32="LOC - INITIAL",F32="CONSOLIDATION - UPFRONT COMM",F32="REVERSE - TOTAL FUNDING")),1,0)</f>
        <v>0</v>
      </c>
    </row>
    <row r="33" customFormat="false" ht="15" hidden="false" customHeight="false" outlineLevel="0" collapsed="false">
      <c r="A33" s="25" t="str">
        <f aca="false">IF(C33&lt;&gt;"","F27-"&amp;COUNT($C$4:C33),"")</f>
        <v/>
      </c>
      <c r="B33" s="26" t="str">
        <f aca="false">IF(OR(F33="LOC - INITIAL",F33="CONSOLIDATION - UPFRONT COMM",F33="REVERSE - TOTAL FUNDING"),A33,"")</f>
        <v/>
      </c>
      <c r="C33" s="27"/>
      <c r="D33" s="28"/>
      <c r="E33" s="28"/>
      <c r="F33" s="28"/>
      <c r="G33" s="29"/>
      <c r="H33" s="30"/>
      <c r="I33" s="28"/>
      <c r="J33" s="31" t="str">
        <f aca="false">IF(AND(G33&lt;&gt;"",H33&lt;&gt;""),G33*H33,"")</f>
        <v/>
      </c>
      <c r="K33" s="28"/>
      <c r="L33" s="32"/>
      <c r="M33" s="32"/>
      <c r="N33" s="31" t="n">
        <f aca="false">IF(OR(G33="",M33=""),0,IF(M33&gt;100,M33,G33*IF(M33&gt;1,M33/100,M33)))</f>
        <v>0</v>
      </c>
      <c r="O33" s="31" t="str">
        <f aca="false">IF(G33="","",G33*IF(L33="",0,IF(L33&gt;1,L33/100,L33))+N33)</f>
        <v/>
      </c>
      <c r="P33" s="28"/>
      <c r="Q33" s="33" t="str">
        <f aca="false">IF(P33="","",IFERROR(VLOOKUP(P33,PARTNERS!$A$2:$B$30,2,0),""))</f>
        <v/>
      </c>
      <c r="R33" s="17" t="str">
        <f aca="false">IF(O33="","",IF(OR(P33="",Q33=""),0,(O33-N33)*IF(Q33&gt;1,Q33/100,Q33)))</f>
        <v/>
      </c>
      <c r="S33" s="31" t="str">
        <f aca="false">IF(O33="","",O33-R33)</f>
        <v/>
      </c>
      <c r="T33" s="28"/>
      <c r="U33" s="34" t="str">
        <f aca="false">IF(T33="","",IFERROR(VLOOKUP(T33,REPS!$A$2:$D$40,2,0),""))</f>
        <v/>
      </c>
      <c r="V33" s="31" t="str">
        <f aca="false">IF(O33="","",IF(U33="",0,O33*IF(U33&gt;1,U33/100,U33)))</f>
        <v/>
      </c>
      <c r="W33" s="28"/>
      <c r="X33" s="34" t="str">
        <f aca="false">IF(W33="","",IFERROR(VLOOKUP(W33,REPS!$A$2:$D$40,3,0),""))</f>
        <v/>
      </c>
      <c r="Y33" s="31" t="str">
        <f aca="false">IF(O33="","",IF(X33="",0,O33*IF(X33&gt;1,X33/100,X33)))</f>
        <v/>
      </c>
      <c r="Z33" s="28"/>
      <c r="AA33" s="34" t="str">
        <f aca="false">IF(Z33="","",IFERROR(VLOOKUP(Z33,REPS!$A$2:$D$40,4,0),""))</f>
        <v/>
      </c>
      <c r="AB33" s="31" t="str">
        <f aca="false">IF(O33="","",IF(AA33="",0,O33*IF(AA33&gt;1,AA33/100,AA33)))</f>
        <v/>
      </c>
      <c r="AC33" s="31" t="str">
        <f aca="false">IF(O33="","",V33+Y33+AB33)</f>
        <v/>
      </c>
      <c r="AD33" s="19" t="str">
        <f aca="false">IF(O33="","",O33-R33-AC33)</f>
        <v/>
      </c>
      <c r="AE33" s="20"/>
      <c r="AF33" s="27"/>
      <c r="AG33" s="21" t="n">
        <f aca="false">IF(OR(AE33="",AE33=0),0,AE33*IF(U33="",0,IF(U33&gt;1,U33/100,U33)))</f>
        <v>0</v>
      </c>
      <c r="AH33" s="21" t="n">
        <f aca="false">IF(OR(AE33="",AE33=0),0,AE33*IF(X33="",0,IF(X33&gt;1,X33/100,X33)))</f>
        <v>0</v>
      </c>
      <c r="AI33" s="21" t="n">
        <f aca="false">IF(OR(AE33="",AE33=0),0,AE33*IF(AA33="",0,IF(AA33&gt;1,AA33/100,AA33)))</f>
        <v>0</v>
      </c>
      <c r="AJ33" s="21" t="n">
        <f aca="false">AG33+AH33+AI33</f>
        <v>0</v>
      </c>
      <c r="AK33" s="21" t="n">
        <f aca="false">IF(OR(AE33="",AE33=0),0,AE33-AJ33)</f>
        <v>0</v>
      </c>
      <c r="AL33" s="19" t="str">
        <f aca="false">IF(AD33="","",AD33-AK33)</f>
        <v/>
      </c>
      <c r="AM33" s="26" t="str">
        <f aca="false">IF(C33="","","Waiting for payment")</f>
        <v/>
      </c>
      <c r="AN33" s="27"/>
      <c r="AO33" s="27"/>
      <c r="AP33" s="35" t="str">
        <f aca="false">IF(OR(C33="",I33="",K33=""),"",IF(K33="Monthly",EDATE(C33,ROUND(I33*SETTINGS!$I$8,0)),WORKDAY(C33,ROUND(I33*SETTINGS!$I$8,0))))</f>
        <v/>
      </c>
      <c r="AQ33" s="26" t="str">
        <f aca="true">IF(C33="","",IF(AND(AP33&lt;&gt;"",TODAY()&gt;=AP33),"Refi Ready",IF(TODAY()-C33&gt;=SETTINGS!$I$11,"Prospecting","Performing")))</f>
        <v/>
      </c>
      <c r="AR33" s="35" t="str">
        <f aca="false">IF(OR(C33="",I33="",K33=""),"",IF(K33="Monthly",EDATE(C33,I33),WORKDAY(C33,I33)))</f>
        <v/>
      </c>
      <c r="AS33" s="28"/>
      <c r="AT33" s="36" t="str">
        <f aca="true">IF(C33="","",IF(AM33="Clawed Back","CLAWED",IF(TODAY()&lt;=C33+SETTINGS!$I$2,"⚠ AT RISK","SAFE")))</f>
        <v/>
      </c>
      <c r="AU33" s="28"/>
      <c r="AW33" s="24" t="n">
        <f aca="false">AW32+IF(AND(C33&lt;&gt;"",AO33&lt;&gt;"",OR('REP COMMISSION'!$B$3="",T33='REP COMMISSION'!$B$3,W33='REP COMMISSION'!$B$3,Z33='REP COMMISSION'!$B$3)),1,0)</f>
        <v>0</v>
      </c>
      <c r="AX33" s="24" t="n">
        <f aca="false">AX32+IF(AND(C33&lt;&gt;"",OR(F33="LOC - INITIAL",F33="CONSOLIDATION - UPFRONT COMM",F33="REVERSE - TOTAL FUNDING")),1,0)</f>
        <v>0</v>
      </c>
    </row>
    <row r="34" customFormat="false" ht="15" hidden="false" customHeight="false" outlineLevel="0" collapsed="false">
      <c r="A34" s="8" t="str">
        <f aca="false">IF(C34&lt;&gt;"","F27-"&amp;COUNT($C$4:C34),"")</f>
        <v/>
      </c>
      <c r="B34" s="9" t="str">
        <f aca="false">IF(OR(F34="LOC - INITIAL",F34="CONSOLIDATION - UPFRONT COMM",F34="REVERSE - TOTAL FUNDING"),A34,"")</f>
        <v/>
      </c>
      <c r="C34" s="10"/>
      <c r="D34" s="11"/>
      <c r="E34" s="11"/>
      <c r="F34" s="11"/>
      <c r="G34" s="12"/>
      <c r="H34" s="13"/>
      <c r="I34" s="11"/>
      <c r="J34" s="14" t="str">
        <f aca="false">IF(AND(G34&lt;&gt;"",H34&lt;&gt;""),G34*H34,"")</f>
        <v/>
      </c>
      <c r="K34" s="11"/>
      <c r="L34" s="15"/>
      <c r="M34" s="15"/>
      <c r="N34" s="14" t="n">
        <f aca="false">IF(OR(G34="",M34=""),0,IF(M34&gt;100,M34,G34*IF(M34&gt;1,M34/100,M34)))</f>
        <v>0</v>
      </c>
      <c r="O34" s="14" t="str">
        <f aca="false">IF(G34="","",G34*IF(L34="",0,IF(L34&gt;1,L34/100,L34))+N34)</f>
        <v/>
      </c>
      <c r="P34" s="11"/>
      <c r="Q34" s="16" t="str">
        <f aca="false">IF(P34="","",IFERROR(VLOOKUP(P34,PARTNERS!$A$2:$B$30,2,0),""))</f>
        <v/>
      </c>
      <c r="R34" s="17" t="str">
        <f aca="false">IF(O34="","",IF(OR(P34="",Q34=""),0,(O34-N34)*IF(Q34&gt;1,Q34/100,Q34)))</f>
        <v/>
      </c>
      <c r="S34" s="14" t="str">
        <f aca="false">IF(O34="","",O34-R34)</f>
        <v/>
      </c>
      <c r="T34" s="11"/>
      <c r="U34" s="18" t="str">
        <f aca="false">IF(T34="","",IFERROR(VLOOKUP(T34,REPS!$A$2:$D$40,2,0),""))</f>
        <v/>
      </c>
      <c r="V34" s="14" t="str">
        <f aca="false">IF(O34="","",IF(U34="",0,O34*IF(U34&gt;1,U34/100,U34)))</f>
        <v/>
      </c>
      <c r="W34" s="11"/>
      <c r="X34" s="18" t="str">
        <f aca="false">IF(W34="","",IFERROR(VLOOKUP(W34,REPS!$A$2:$D$40,3,0),""))</f>
        <v/>
      </c>
      <c r="Y34" s="14" t="str">
        <f aca="false">IF(O34="","",IF(X34="",0,O34*IF(X34&gt;1,X34/100,X34)))</f>
        <v/>
      </c>
      <c r="Z34" s="11"/>
      <c r="AA34" s="18" t="str">
        <f aca="false">IF(Z34="","",IFERROR(VLOOKUP(Z34,REPS!$A$2:$D$40,4,0),""))</f>
        <v/>
      </c>
      <c r="AB34" s="14" t="str">
        <f aca="false">IF(O34="","",IF(AA34="",0,O34*IF(AA34&gt;1,AA34/100,AA34)))</f>
        <v/>
      </c>
      <c r="AC34" s="14" t="str">
        <f aca="false">IF(O34="","",V34+Y34+AB34)</f>
        <v/>
      </c>
      <c r="AD34" s="19" t="str">
        <f aca="false">IF(O34="","",O34-R34-AC34)</f>
        <v/>
      </c>
      <c r="AE34" s="20"/>
      <c r="AF34" s="10"/>
      <c r="AG34" s="21" t="n">
        <f aca="false">IF(OR(AE34="",AE34=0),0,AE34*IF(U34="",0,IF(U34&gt;1,U34/100,U34)))</f>
        <v>0</v>
      </c>
      <c r="AH34" s="21" t="n">
        <f aca="false">IF(OR(AE34="",AE34=0),0,AE34*IF(X34="",0,IF(X34&gt;1,X34/100,X34)))</f>
        <v>0</v>
      </c>
      <c r="AI34" s="21" t="n">
        <f aca="false">IF(OR(AE34="",AE34=0),0,AE34*IF(AA34="",0,IF(AA34&gt;1,AA34/100,AA34)))</f>
        <v>0</v>
      </c>
      <c r="AJ34" s="21" t="n">
        <f aca="false">AG34+AH34+AI34</f>
        <v>0</v>
      </c>
      <c r="AK34" s="21" t="n">
        <f aca="false">IF(OR(AE34="",AE34=0),0,AE34-AJ34)</f>
        <v>0</v>
      </c>
      <c r="AL34" s="19" t="str">
        <f aca="false">IF(AD34="","",AD34-AK34)</f>
        <v/>
      </c>
      <c r="AM34" s="9" t="str">
        <f aca="false">IF(C34="","","Waiting for payment")</f>
        <v/>
      </c>
      <c r="AN34" s="10"/>
      <c r="AO34" s="10"/>
      <c r="AP34" s="22" t="str">
        <f aca="false">IF(OR(C34="",I34="",K34=""),"",IF(K34="Monthly",EDATE(C34,ROUND(I34*SETTINGS!$I$8,0)),WORKDAY(C34,ROUND(I34*SETTINGS!$I$8,0))))</f>
        <v/>
      </c>
      <c r="AQ34" s="9" t="str">
        <f aca="true">IF(C34="","",IF(AND(AP34&lt;&gt;"",TODAY()&gt;=AP34),"Refi Ready",IF(TODAY()-C34&gt;=SETTINGS!$I$11,"Prospecting","Performing")))</f>
        <v/>
      </c>
      <c r="AR34" s="22" t="str">
        <f aca="false">IF(OR(C34="",I34="",K34=""),"",IF(K34="Monthly",EDATE(C34,I34),WORKDAY(C34,I34)))</f>
        <v/>
      </c>
      <c r="AS34" s="11"/>
      <c r="AT34" s="23" t="str">
        <f aca="true">IF(C34="","",IF(AM34="Clawed Back","CLAWED",IF(TODAY()&lt;=C34+SETTINGS!$I$2,"⚠ AT RISK","SAFE")))</f>
        <v/>
      </c>
      <c r="AU34" s="11"/>
      <c r="AW34" s="24" t="n">
        <f aca="false">AW33+IF(AND(C34&lt;&gt;"",AO34&lt;&gt;"",OR('REP COMMISSION'!$B$3="",T34='REP COMMISSION'!$B$3,W34='REP COMMISSION'!$B$3,Z34='REP COMMISSION'!$B$3)),1,0)</f>
        <v>0</v>
      </c>
      <c r="AX34" s="24" t="n">
        <f aca="false">AX33+IF(AND(C34&lt;&gt;"",OR(F34="LOC - INITIAL",F34="CONSOLIDATION - UPFRONT COMM",F34="REVERSE - TOTAL FUNDING")),1,0)</f>
        <v>0</v>
      </c>
    </row>
    <row r="35" customFormat="false" ht="15" hidden="false" customHeight="false" outlineLevel="0" collapsed="false">
      <c r="A35" s="25" t="str">
        <f aca="false">IF(C35&lt;&gt;"","F27-"&amp;COUNT($C$4:C35),"")</f>
        <v/>
      </c>
      <c r="B35" s="26" t="str">
        <f aca="false">IF(OR(F35="LOC - INITIAL",F35="CONSOLIDATION - UPFRONT COMM",F35="REVERSE - TOTAL FUNDING"),A35,"")</f>
        <v/>
      </c>
      <c r="C35" s="27"/>
      <c r="D35" s="28"/>
      <c r="E35" s="28"/>
      <c r="F35" s="28"/>
      <c r="G35" s="29"/>
      <c r="H35" s="30"/>
      <c r="I35" s="28"/>
      <c r="J35" s="31" t="str">
        <f aca="false">IF(AND(G35&lt;&gt;"",H35&lt;&gt;""),G35*H35,"")</f>
        <v/>
      </c>
      <c r="K35" s="28"/>
      <c r="L35" s="32"/>
      <c r="M35" s="32"/>
      <c r="N35" s="31" t="n">
        <f aca="false">IF(OR(G35="",M35=""),0,IF(M35&gt;100,M35,G35*IF(M35&gt;1,M35/100,M35)))</f>
        <v>0</v>
      </c>
      <c r="O35" s="31" t="str">
        <f aca="false">IF(G35="","",G35*IF(L35="",0,IF(L35&gt;1,L35/100,L35))+N35)</f>
        <v/>
      </c>
      <c r="P35" s="28"/>
      <c r="Q35" s="33" t="str">
        <f aca="false">IF(P35="","",IFERROR(VLOOKUP(P35,PARTNERS!$A$2:$B$30,2,0),""))</f>
        <v/>
      </c>
      <c r="R35" s="17" t="str">
        <f aca="false">IF(O35="","",IF(OR(P35="",Q35=""),0,(O35-N35)*IF(Q35&gt;1,Q35/100,Q35)))</f>
        <v/>
      </c>
      <c r="S35" s="31" t="str">
        <f aca="false">IF(O35="","",O35-R35)</f>
        <v/>
      </c>
      <c r="T35" s="28"/>
      <c r="U35" s="34" t="str">
        <f aca="false">IF(T35="","",IFERROR(VLOOKUP(T35,REPS!$A$2:$D$40,2,0),""))</f>
        <v/>
      </c>
      <c r="V35" s="31" t="str">
        <f aca="false">IF(O35="","",IF(U35="",0,O35*IF(U35&gt;1,U35/100,U35)))</f>
        <v/>
      </c>
      <c r="W35" s="28"/>
      <c r="X35" s="34" t="str">
        <f aca="false">IF(W35="","",IFERROR(VLOOKUP(W35,REPS!$A$2:$D$40,3,0),""))</f>
        <v/>
      </c>
      <c r="Y35" s="31" t="str">
        <f aca="false">IF(O35="","",IF(X35="",0,O35*IF(X35&gt;1,X35/100,X35)))</f>
        <v/>
      </c>
      <c r="Z35" s="28"/>
      <c r="AA35" s="34" t="str">
        <f aca="false">IF(Z35="","",IFERROR(VLOOKUP(Z35,REPS!$A$2:$D$40,4,0),""))</f>
        <v/>
      </c>
      <c r="AB35" s="31" t="str">
        <f aca="false">IF(O35="","",IF(AA35="",0,O35*IF(AA35&gt;1,AA35/100,AA35)))</f>
        <v/>
      </c>
      <c r="AC35" s="31" t="str">
        <f aca="false">IF(O35="","",V35+Y35+AB35)</f>
        <v/>
      </c>
      <c r="AD35" s="19" t="str">
        <f aca="false">IF(O35="","",O35-R35-AC35)</f>
        <v/>
      </c>
      <c r="AE35" s="20"/>
      <c r="AF35" s="27"/>
      <c r="AG35" s="21" t="n">
        <f aca="false">IF(OR(AE35="",AE35=0),0,AE35*IF(U35="",0,IF(U35&gt;1,U35/100,U35)))</f>
        <v>0</v>
      </c>
      <c r="AH35" s="21" t="n">
        <f aca="false">IF(OR(AE35="",AE35=0),0,AE35*IF(X35="",0,IF(X35&gt;1,X35/100,X35)))</f>
        <v>0</v>
      </c>
      <c r="AI35" s="21" t="n">
        <f aca="false">IF(OR(AE35="",AE35=0),0,AE35*IF(AA35="",0,IF(AA35&gt;1,AA35/100,AA35)))</f>
        <v>0</v>
      </c>
      <c r="AJ35" s="21" t="n">
        <f aca="false">AG35+AH35+AI35</f>
        <v>0</v>
      </c>
      <c r="AK35" s="21" t="n">
        <f aca="false">IF(OR(AE35="",AE35=0),0,AE35-AJ35)</f>
        <v>0</v>
      </c>
      <c r="AL35" s="19" t="str">
        <f aca="false">IF(AD35="","",AD35-AK35)</f>
        <v/>
      </c>
      <c r="AM35" s="26" t="str">
        <f aca="false">IF(C35="","","Waiting for payment")</f>
        <v/>
      </c>
      <c r="AN35" s="27"/>
      <c r="AO35" s="27"/>
      <c r="AP35" s="35" t="str">
        <f aca="false">IF(OR(C35="",I35="",K35=""),"",IF(K35="Monthly",EDATE(C35,ROUND(I35*SETTINGS!$I$8,0)),WORKDAY(C35,ROUND(I35*SETTINGS!$I$8,0))))</f>
        <v/>
      </c>
      <c r="AQ35" s="26" t="str">
        <f aca="true">IF(C35="","",IF(AND(AP35&lt;&gt;"",TODAY()&gt;=AP35),"Refi Ready",IF(TODAY()-C35&gt;=SETTINGS!$I$11,"Prospecting","Performing")))</f>
        <v/>
      </c>
      <c r="AR35" s="35" t="str">
        <f aca="false">IF(OR(C35="",I35="",K35=""),"",IF(K35="Monthly",EDATE(C35,I35),WORKDAY(C35,I35)))</f>
        <v/>
      </c>
      <c r="AS35" s="28"/>
      <c r="AT35" s="36" t="str">
        <f aca="true">IF(C35="","",IF(AM35="Clawed Back","CLAWED",IF(TODAY()&lt;=C35+SETTINGS!$I$2,"⚠ AT RISK","SAFE")))</f>
        <v/>
      </c>
      <c r="AU35" s="28"/>
      <c r="AW35" s="24" t="n">
        <f aca="false">AW34+IF(AND(C35&lt;&gt;"",AO35&lt;&gt;"",OR('REP COMMISSION'!$B$3="",T35='REP COMMISSION'!$B$3,W35='REP COMMISSION'!$B$3,Z35='REP COMMISSION'!$B$3)),1,0)</f>
        <v>0</v>
      </c>
      <c r="AX35" s="24" t="n">
        <f aca="false">AX34+IF(AND(C35&lt;&gt;"",OR(F35="LOC - INITIAL",F35="CONSOLIDATION - UPFRONT COMM",F35="REVERSE - TOTAL FUNDING")),1,0)</f>
        <v>0</v>
      </c>
    </row>
    <row r="36" customFormat="false" ht="15" hidden="false" customHeight="false" outlineLevel="0" collapsed="false">
      <c r="A36" s="8" t="str">
        <f aca="false">IF(C36&lt;&gt;"","F27-"&amp;COUNT($C$4:C36),"")</f>
        <v/>
      </c>
      <c r="B36" s="9" t="str">
        <f aca="false">IF(OR(F36="LOC - INITIAL",F36="CONSOLIDATION - UPFRONT COMM",F36="REVERSE - TOTAL FUNDING"),A36,"")</f>
        <v/>
      </c>
      <c r="C36" s="10"/>
      <c r="D36" s="11"/>
      <c r="E36" s="11"/>
      <c r="F36" s="11"/>
      <c r="G36" s="12"/>
      <c r="H36" s="13"/>
      <c r="I36" s="11"/>
      <c r="J36" s="14" t="str">
        <f aca="false">IF(AND(G36&lt;&gt;"",H36&lt;&gt;""),G36*H36,"")</f>
        <v/>
      </c>
      <c r="K36" s="11"/>
      <c r="L36" s="15"/>
      <c r="M36" s="15"/>
      <c r="N36" s="14" t="n">
        <f aca="false">IF(OR(G36="",M36=""),0,IF(M36&gt;100,M36,G36*IF(M36&gt;1,M36/100,M36)))</f>
        <v>0</v>
      </c>
      <c r="O36" s="14" t="str">
        <f aca="false">IF(G36="","",G36*IF(L36="",0,IF(L36&gt;1,L36/100,L36))+N36)</f>
        <v/>
      </c>
      <c r="P36" s="11"/>
      <c r="Q36" s="16" t="str">
        <f aca="false">IF(P36="","",IFERROR(VLOOKUP(P36,PARTNERS!$A$2:$B$30,2,0),""))</f>
        <v/>
      </c>
      <c r="R36" s="17" t="str">
        <f aca="false">IF(O36="","",IF(OR(P36="",Q36=""),0,(O36-N36)*IF(Q36&gt;1,Q36/100,Q36)))</f>
        <v/>
      </c>
      <c r="S36" s="14" t="str">
        <f aca="false">IF(O36="","",O36-R36)</f>
        <v/>
      </c>
      <c r="T36" s="11"/>
      <c r="U36" s="18" t="str">
        <f aca="false">IF(T36="","",IFERROR(VLOOKUP(T36,REPS!$A$2:$D$40,2,0),""))</f>
        <v/>
      </c>
      <c r="V36" s="14" t="str">
        <f aca="false">IF(O36="","",IF(U36="",0,O36*IF(U36&gt;1,U36/100,U36)))</f>
        <v/>
      </c>
      <c r="W36" s="11"/>
      <c r="X36" s="18" t="str">
        <f aca="false">IF(W36="","",IFERROR(VLOOKUP(W36,REPS!$A$2:$D$40,3,0),""))</f>
        <v/>
      </c>
      <c r="Y36" s="14" t="str">
        <f aca="false">IF(O36="","",IF(X36="",0,O36*IF(X36&gt;1,X36/100,X36)))</f>
        <v/>
      </c>
      <c r="Z36" s="11"/>
      <c r="AA36" s="18" t="str">
        <f aca="false">IF(Z36="","",IFERROR(VLOOKUP(Z36,REPS!$A$2:$D$40,4,0),""))</f>
        <v/>
      </c>
      <c r="AB36" s="14" t="str">
        <f aca="false">IF(O36="","",IF(AA36="",0,O36*IF(AA36&gt;1,AA36/100,AA36)))</f>
        <v/>
      </c>
      <c r="AC36" s="14" t="str">
        <f aca="false">IF(O36="","",V36+Y36+AB36)</f>
        <v/>
      </c>
      <c r="AD36" s="19" t="str">
        <f aca="false">IF(O36="","",O36-R36-AC36)</f>
        <v/>
      </c>
      <c r="AE36" s="20"/>
      <c r="AF36" s="10"/>
      <c r="AG36" s="21" t="n">
        <f aca="false">IF(OR(AE36="",AE36=0),0,AE36*IF(U36="",0,IF(U36&gt;1,U36/100,U36)))</f>
        <v>0</v>
      </c>
      <c r="AH36" s="21" t="n">
        <f aca="false">IF(OR(AE36="",AE36=0),0,AE36*IF(X36="",0,IF(X36&gt;1,X36/100,X36)))</f>
        <v>0</v>
      </c>
      <c r="AI36" s="21" t="n">
        <f aca="false">IF(OR(AE36="",AE36=0),0,AE36*IF(AA36="",0,IF(AA36&gt;1,AA36/100,AA36)))</f>
        <v>0</v>
      </c>
      <c r="AJ36" s="21" t="n">
        <f aca="false">AG36+AH36+AI36</f>
        <v>0</v>
      </c>
      <c r="AK36" s="21" t="n">
        <f aca="false">IF(OR(AE36="",AE36=0),0,AE36-AJ36)</f>
        <v>0</v>
      </c>
      <c r="AL36" s="19" t="str">
        <f aca="false">IF(AD36="","",AD36-AK36)</f>
        <v/>
      </c>
      <c r="AM36" s="9" t="str">
        <f aca="false">IF(C36="","","Waiting for payment")</f>
        <v/>
      </c>
      <c r="AN36" s="10"/>
      <c r="AO36" s="10"/>
      <c r="AP36" s="22" t="str">
        <f aca="false">IF(OR(C36="",I36="",K36=""),"",IF(K36="Monthly",EDATE(C36,ROUND(I36*SETTINGS!$I$8,0)),WORKDAY(C36,ROUND(I36*SETTINGS!$I$8,0))))</f>
        <v/>
      </c>
      <c r="AQ36" s="9" t="str">
        <f aca="true">IF(C36="","",IF(AND(AP36&lt;&gt;"",TODAY()&gt;=AP36),"Refi Ready",IF(TODAY()-C36&gt;=SETTINGS!$I$11,"Prospecting","Performing")))</f>
        <v/>
      </c>
      <c r="AR36" s="22" t="str">
        <f aca="false">IF(OR(C36="",I36="",K36=""),"",IF(K36="Monthly",EDATE(C36,I36),WORKDAY(C36,I36)))</f>
        <v/>
      </c>
      <c r="AS36" s="11"/>
      <c r="AT36" s="23" t="str">
        <f aca="true">IF(C36="","",IF(AM36="Clawed Back","CLAWED",IF(TODAY()&lt;=C36+SETTINGS!$I$2,"⚠ AT RISK","SAFE")))</f>
        <v/>
      </c>
      <c r="AU36" s="11"/>
      <c r="AW36" s="24" t="n">
        <f aca="false">AW35+IF(AND(C36&lt;&gt;"",AO36&lt;&gt;"",OR('REP COMMISSION'!$B$3="",T36='REP COMMISSION'!$B$3,W36='REP COMMISSION'!$B$3,Z36='REP COMMISSION'!$B$3)),1,0)</f>
        <v>0</v>
      </c>
      <c r="AX36" s="24" t="n">
        <f aca="false">AX35+IF(AND(C36&lt;&gt;"",OR(F36="LOC - INITIAL",F36="CONSOLIDATION - UPFRONT COMM",F36="REVERSE - TOTAL FUNDING")),1,0)</f>
        <v>0</v>
      </c>
    </row>
    <row r="37" customFormat="false" ht="15" hidden="false" customHeight="false" outlineLevel="0" collapsed="false">
      <c r="A37" s="25" t="str">
        <f aca="false">IF(C37&lt;&gt;"","F27-"&amp;COUNT($C$4:C37),"")</f>
        <v/>
      </c>
      <c r="B37" s="26" t="str">
        <f aca="false">IF(OR(F37="LOC - INITIAL",F37="CONSOLIDATION - UPFRONT COMM",F37="REVERSE - TOTAL FUNDING"),A37,"")</f>
        <v/>
      </c>
      <c r="C37" s="27"/>
      <c r="D37" s="28"/>
      <c r="E37" s="28"/>
      <c r="F37" s="28"/>
      <c r="G37" s="29"/>
      <c r="H37" s="30"/>
      <c r="I37" s="28"/>
      <c r="J37" s="31" t="str">
        <f aca="false">IF(AND(G37&lt;&gt;"",H37&lt;&gt;""),G37*H37,"")</f>
        <v/>
      </c>
      <c r="K37" s="28"/>
      <c r="L37" s="32"/>
      <c r="M37" s="32"/>
      <c r="N37" s="31" t="n">
        <f aca="false">IF(OR(G37="",M37=""),0,IF(M37&gt;100,M37,G37*IF(M37&gt;1,M37/100,M37)))</f>
        <v>0</v>
      </c>
      <c r="O37" s="31" t="str">
        <f aca="false">IF(G37="","",G37*IF(L37="",0,IF(L37&gt;1,L37/100,L37))+N37)</f>
        <v/>
      </c>
      <c r="P37" s="28"/>
      <c r="Q37" s="33" t="str">
        <f aca="false">IF(P37="","",IFERROR(VLOOKUP(P37,PARTNERS!$A$2:$B$30,2,0),""))</f>
        <v/>
      </c>
      <c r="R37" s="17" t="str">
        <f aca="false">IF(O37="","",IF(OR(P37="",Q37=""),0,(O37-N37)*IF(Q37&gt;1,Q37/100,Q37)))</f>
        <v/>
      </c>
      <c r="S37" s="31" t="str">
        <f aca="false">IF(O37="","",O37-R37)</f>
        <v/>
      </c>
      <c r="T37" s="28"/>
      <c r="U37" s="34" t="str">
        <f aca="false">IF(T37="","",IFERROR(VLOOKUP(T37,REPS!$A$2:$D$40,2,0),""))</f>
        <v/>
      </c>
      <c r="V37" s="31" t="str">
        <f aca="false">IF(O37="","",IF(U37="",0,O37*IF(U37&gt;1,U37/100,U37)))</f>
        <v/>
      </c>
      <c r="W37" s="28"/>
      <c r="X37" s="34" t="str">
        <f aca="false">IF(W37="","",IFERROR(VLOOKUP(W37,REPS!$A$2:$D$40,3,0),""))</f>
        <v/>
      </c>
      <c r="Y37" s="31" t="str">
        <f aca="false">IF(O37="","",IF(X37="",0,O37*IF(X37&gt;1,X37/100,X37)))</f>
        <v/>
      </c>
      <c r="Z37" s="28"/>
      <c r="AA37" s="34" t="str">
        <f aca="false">IF(Z37="","",IFERROR(VLOOKUP(Z37,REPS!$A$2:$D$40,4,0),""))</f>
        <v/>
      </c>
      <c r="AB37" s="31" t="str">
        <f aca="false">IF(O37="","",IF(AA37="",0,O37*IF(AA37&gt;1,AA37/100,AA37)))</f>
        <v/>
      </c>
      <c r="AC37" s="31" t="str">
        <f aca="false">IF(O37="","",V37+Y37+AB37)</f>
        <v/>
      </c>
      <c r="AD37" s="19" t="str">
        <f aca="false">IF(O37="","",O37-R37-AC37)</f>
        <v/>
      </c>
      <c r="AE37" s="20"/>
      <c r="AF37" s="27"/>
      <c r="AG37" s="21" t="n">
        <f aca="false">IF(OR(AE37="",AE37=0),0,AE37*IF(U37="",0,IF(U37&gt;1,U37/100,U37)))</f>
        <v>0</v>
      </c>
      <c r="AH37" s="21" t="n">
        <f aca="false">IF(OR(AE37="",AE37=0),0,AE37*IF(X37="",0,IF(X37&gt;1,X37/100,X37)))</f>
        <v>0</v>
      </c>
      <c r="AI37" s="21" t="n">
        <f aca="false">IF(OR(AE37="",AE37=0),0,AE37*IF(AA37="",0,IF(AA37&gt;1,AA37/100,AA37)))</f>
        <v>0</v>
      </c>
      <c r="AJ37" s="21" t="n">
        <f aca="false">AG37+AH37+AI37</f>
        <v>0</v>
      </c>
      <c r="AK37" s="21" t="n">
        <f aca="false">IF(OR(AE37="",AE37=0),0,AE37-AJ37)</f>
        <v>0</v>
      </c>
      <c r="AL37" s="19" t="str">
        <f aca="false">IF(AD37="","",AD37-AK37)</f>
        <v/>
      </c>
      <c r="AM37" s="26" t="str">
        <f aca="false">IF(C37="","","Waiting for payment")</f>
        <v/>
      </c>
      <c r="AN37" s="27"/>
      <c r="AO37" s="27"/>
      <c r="AP37" s="35" t="str">
        <f aca="false">IF(OR(C37="",I37="",K37=""),"",IF(K37="Monthly",EDATE(C37,ROUND(I37*SETTINGS!$I$8,0)),WORKDAY(C37,ROUND(I37*SETTINGS!$I$8,0))))</f>
        <v/>
      </c>
      <c r="AQ37" s="26" t="str">
        <f aca="true">IF(C37="","",IF(AND(AP37&lt;&gt;"",TODAY()&gt;=AP37),"Refi Ready",IF(TODAY()-C37&gt;=SETTINGS!$I$11,"Prospecting","Performing")))</f>
        <v/>
      </c>
      <c r="AR37" s="35" t="str">
        <f aca="false">IF(OR(C37="",I37="",K37=""),"",IF(K37="Monthly",EDATE(C37,I37),WORKDAY(C37,I37)))</f>
        <v/>
      </c>
      <c r="AS37" s="28"/>
      <c r="AT37" s="36" t="str">
        <f aca="true">IF(C37="","",IF(AM37="Clawed Back","CLAWED",IF(TODAY()&lt;=C37+SETTINGS!$I$2,"⚠ AT RISK","SAFE")))</f>
        <v/>
      </c>
      <c r="AU37" s="28"/>
      <c r="AW37" s="24" t="n">
        <f aca="false">AW36+IF(AND(C37&lt;&gt;"",AO37&lt;&gt;"",OR('REP COMMISSION'!$B$3="",T37='REP COMMISSION'!$B$3,W37='REP COMMISSION'!$B$3,Z37='REP COMMISSION'!$B$3)),1,0)</f>
        <v>0</v>
      </c>
      <c r="AX37" s="24" t="n">
        <f aca="false">AX36+IF(AND(C37&lt;&gt;"",OR(F37="LOC - INITIAL",F37="CONSOLIDATION - UPFRONT COMM",F37="REVERSE - TOTAL FUNDING")),1,0)</f>
        <v>0</v>
      </c>
    </row>
    <row r="38" customFormat="false" ht="15" hidden="false" customHeight="false" outlineLevel="0" collapsed="false">
      <c r="A38" s="8" t="str">
        <f aca="false">IF(C38&lt;&gt;"","F27-"&amp;COUNT($C$4:C38),"")</f>
        <v/>
      </c>
      <c r="B38" s="9" t="str">
        <f aca="false">IF(OR(F38="LOC - INITIAL",F38="CONSOLIDATION - UPFRONT COMM",F38="REVERSE - TOTAL FUNDING"),A38,"")</f>
        <v/>
      </c>
      <c r="C38" s="10"/>
      <c r="D38" s="11"/>
      <c r="E38" s="11"/>
      <c r="F38" s="11"/>
      <c r="G38" s="12"/>
      <c r="H38" s="13"/>
      <c r="I38" s="11"/>
      <c r="J38" s="14" t="str">
        <f aca="false">IF(AND(G38&lt;&gt;"",H38&lt;&gt;""),G38*H38,"")</f>
        <v/>
      </c>
      <c r="K38" s="11"/>
      <c r="L38" s="15"/>
      <c r="M38" s="15"/>
      <c r="N38" s="14" t="n">
        <f aca="false">IF(OR(G38="",M38=""),0,IF(M38&gt;100,M38,G38*IF(M38&gt;1,M38/100,M38)))</f>
        <v>0</v>
      </c>
      <c r="O38" s="14" t="str">
        <f aca="false">IF(G38="","",G38*IF(L38="",0,IF(L38&gt;1,L38/100,L38))+N38)</f>
        <v/>
      </c>
      <c r="P38" s="11"/>
      <c r="Q38" s="16" t="str">
        <f aca="false">IF(P38="","",IFERROR(VLOOKUP(P38,PARTNERS!$A$2:$B$30,2,0),""))</f>
        <v/>
      </c>
      <c r="R38" s="17" t="str">
        <f aca="false">IF(O38="","",IF(OR(P38="",Q38=""),0,(O38-N38)*IF(Q38&gt;1,Q38/100,Q38)))</f>
        <v/>
      </c>
      <c r="S38" s="14" t="str">
        <f aca="false">IF(O38="","",O38-R38)</f>
        <v/>
      </c>
      <c r="T38" s="11"/>
      <c r="U38" s="18" t="str">
        <f aca="false">IF(T38="","",IFERROR(VLOOKUP(T38,REPS!$A$2:$D$40,2,0),""))</f>
        <v/>
      </c>
      <c r="V38" s="14" t="str">
        <f aca="false">IF(O38="","",IF(U38="",0,O38*IF(U38&gt;1,U38/100,U38)))</f>
        <v/>
      </c>
      <c r="W38" s="11"/>
      <c r="X38" s="18" t="str">
        <f aca="false">IF(W38="","",IFERROR(VLOOKUP(W38,REPS!$A$2:$D$40,3,0),""))</f>
        <v/>
      </c>
      <c r="Y38" s="14" t="str">
        <f aca="false">IF(O38="","",IF(X38="",0,O38*IF(X38&gt;1,X38/100,X38)))</f>
        <v/>
      </c>
      <c r="Z38" s="11"/>
      <c r="AA38" s="18" t="str">
        <f aca="false">IF(Z38="","",IFERROR(VLOOKUP(Z38,REPS!$A$2:$D$40,4,0),""))</f>
        <v/>
      </c>
      <c r="AB38" s="14" t="str">
        <f aca="false">IF(O38="","",IF(AA38="",0,O38*IF(AA38&gt;1,AA38/100,AA38)))</f>
        <v/>
      </c>
      <c r="AC38" s="14" t="str">
        <f aca="false">IF(O38="","",V38+Y38+AB38)</f>
        <v/>
      </c>
      <c r="AD38" s="19" t="str">
        <f aca="false">IF(O38="","",O38-R38-AC38)</f>
        <v/>
      </c>
      <c r="AE38" s="20"/>
      <c r="AF38" s="10"/>
      <c r="AG38" s="21" t="n">
        <f aca="false">IF(OR(AE38="",AE38=0),0,AE38*IF(U38="",0,IF(U38&gt;1,U38/100,U38)))</f>
        <v>0</v>
      </c>
      <c r="AH38" s="21" t="n">
        <f aca="false">IF(OR(AE38="",AE38=0),0,AE38*IF(X38="",0,IF(X38&gt;1,X38/100,X38)))</f>
        <v>0</v>
      </c>
      <c r="AI38" s="21" t="n">
        <f aca="false">IF(OR(AE38="",AE38=0),0,AE38*IF(AA38="",0,IF(AA38&gt;1,AA38/100,AA38)))</f>
        <v>0</v>
      </c>
      <c r="AJ38" s="21" t="n">
        <f aca="false">AG38+AH38+AI38</f>
        <v>0</v>
      </c>
      <c r="AK38" s="21" t="n">
        <f aca="false">IF(OR(AE38="",AE38=0),0,AE38-AJ38)</f>
        <v>0</v>
      </c>
      <c r="AL38" s="19" t="str">
        <f aca="false">IF(AD38="","",AD38-AK38)</f>
        <v/>
      </c>
      <c r="AM38" s="9" t="str">
        <f aca="false">IF(C38="","","Waiting for payment")</f>
        <v/>
      </c>
      <c r="AN38" s="10"/>
      <c r="AO38" s="10"/>
      <c r="AP38" s="22" t="str">
        <f aca="false">IF(OR(C38="",I38="",K38=""),"",IF(K38="Monthly",EDATE(C38,ROUND(I38*SETTINGS!$I$8,0)),WORKDAY(C38,ROUND(I38*SETTINGS!$I$8,0))))</f>
        <v/>
      </c>
      <c r="AQ38" s="9" t="str">
        <f aca="true">IF(C38="","",IF(AND(AP38&lt;&gt;"",TODAY()&gt;=AP38),"Refi Ready",IF(TODAY()-C38&gt;=SETTINGS!$I$11,"Prospecting","Performing")))</f>
        <v/>
      </c>
      <c r="AR38" s="22" t="str">
        <f aca="false">IF(OR(C38="",I38="",K38=""),"",IF(K38="Monthly",EDATE(C38,I38),WORKDAY(C38,I38)))</f>
        <v/>
      </c>
      <c r="AS38" s="11"/>
      <c r="AT38" s="23" t="str">
        <f aca="true">IF(C38="","",IF(AM38="Clawed Back","CLAWED",IF(TODAY()&lt;=C38+SETTINGS!$I$2,"⚠ AT RISK","SAFE")))</f>
        <v/>
      </c>
      <c r="AU38" s="11"/>
      <c r="AW38" s="24" t="n">
        <f aca="false">AW37+IF(AND(C38&lt;&gt;"",AO38&lt;&gt;"",OR('REP COMMISSION'!$B$3="",T38='REP COMMISSION'!$B$3,W38='REP COMMISSION'!$B$3,Z38='REP COMMISSION'!$B$3)),1,0)</f>
        <v>0</v>
      </c>
      <c r="AX38" s="24" t="n">
        <f aca="false">AX37+IF(AND(C38&lt;&gt;"",OR(F38="LOC - INITIAL",F38="CONSOLIDATION - UPFRONT COMM",F38="REVERSE - TOTAL FUNDING")),1,0)</f>
        <v>0</v>
      </c>
    </row>
    <row r="39" customFormat="false" ht="15" hidden="false" customHeight="false" outlineLevel="0" collapsed="false">
      <c r="A39" s="25" t="str">
        <f aca="false">IF(C39&lt;&gt;"","F27-"&amp;COUNT($C$4:C39),"")</f>
        <v/>
      </c>
      <c r="B39" s="26" t="str">
        <f aca="false">IF(OR(F39="LOC - INITIAL",F39="CONSOLIDATION - UPFRONT COMM",F39="REVERSE - TOTAL FUNDING"),A39,"")</f>
        <v/>
      </c>
      <c r="C39" s="27"/>
      <c r="D39" s="28"/>
      <c r="E39" s="28"/>
      <c r="F39" s="28"/>
      <c r="G39" s="29"/>
      <c r="H39" s="30"/>
      <c r="I39" s="28"/>
      <c r="J39" s="31" t="str">
        <f aca="false">IF(AND(G39&lt;&gt;"",H39&lt;&gt;""),G39*H39,"")</f>
        <v/>
      </c>
      <c r="K39" s="28"/>
      <c r="L39" s="32"/>
      <c r="M39" s="32"/>
      <c r="N39" s="31" t="n">
        <f aca="false">IF(OR(G39="",M39=""),0,IF(M39&gt;100,M39,G39*IF(M39&gt;1,M39/100,M39)))</f>
        <v>0</v>
      </c>
      <c r="O39" s="31" t="str">
        <f aca="false">IF(G39="","",G39*IF(L39="",0,IF(L39&gt;1,L39/100,L39))+N39)</f>
        <v/>
      </c>
      <c r="P39" s="28"/>
      <c r="Q39" s="33" t="str">
        <f aca="false">IF(P39="","",IFERROR(VLOOKUP(P39,PARTNERS!$A$2:$B$30,2,0),""))</f>
        <v/>
      </c>
      <c r="R39" s="17" t="str">
        <f aca="false">IF(O39="","",IF(OR(P39="",Q39=""),0,(O39-N39)*IF(Q39&gt;1,Q39/100,Q39)))</f>
        <v/>
      </c>
      <c r="S39" s="31" t="str">
        <f aca="false">IF(O39="","",O39-R39)</f>
        <v/>
      </c>
      <c r="T39" s="28"/>
      <c r="U39" s="34" t="str">
        <f aca="false">IF(T39="","",IFERROR(VLOOKUP(T39,REPS!$A$2:$D$40,2,0),""))</f>
        <v/>
      </c>
      <c r="V39" s="31" t="str">
        <f aca="false">IF(O39="","",IF(U39="",0,O39*IF(U39&gt;1,U39/100,U39)))</f>
        <v/>
      </c>
      <c r="W39" s="28"/>
      <c r="X39" s="34" t="str">
        <f aca="false">IF(W39="","",IFERROR(VLOOKUP(W39,REPS!$A$2:$D$40,3,0),""))</f>
        <v/>
      </c>
      <c r="Y39" s="31" t="str">
        <f aca="false">IF(O39="","",IF(X39="",0,O39*IF(X39&gt;1,X39/100,X39)))</f>
        <v/>
      </c>
      <c r="Z39" s="28"/>
      <c r="AA39" s="34" t="str">
        <f aca="false">IF(Z39="","",IFERROR(VLOOKUP(Z39,REPS!$A$2:$D$40,4,0),""))</f>
        <v/>
      </c>
      <c r="AB39" s="31" t="str">
        <f aca="false">IF(O39="","",IF(AA39="",0,O39*IF(AA39&gt;1,AA39/100,AA39)))</f>
        <v/>
      </c>
      <c r="AC39" s="31" t="str">
        <f aca="false">IF(O39="","",V39+Y39+AB39)</f>
        <v/>
      </c>
      <c r="AD39" s="19" t="str">
        <f aca="false">IF(O39="","",O39-R39-AC39)</f>
        <v/>
      </c>
      <c r="AE39" s="20"/>
      <c r="AF39" s="27"/>
      <c r="AG39" s="21" t="n">
        <f aca="false">IF(OR(AE39="",AE39=0),0,AE39*IF(U39="",0,IF(U39&gt;1,U39/100,U39)))</f>
        <v>0</v>
      </c>
      <c r="AH39" s="21" t="n">
        <f aca="false">IF(OR(AE39="",AE39=0),0,AE39*IF(X39="",0,IF(X39&gt;1,X39/100,X39)))</f>
        <v>0</v>
      </c>
      <c r="AI39" s="21" t="n">
        <f aca="false">IF(OR(AE39="",AE39=0),0,AE39*IF(AA39="",0,IF(AA39&gt;1,AA39/100,AA39)))</f>
        <v>0</v>
      </c>
      <c r="AJ39" s="21" t="n">
        <f aca="false">AG39+AH39+AI39</f>
        <v>0</v>
      </c>
      <c r="AK39" s="21" t="n">
        <f aca="false">IF(OR(AE39="",AE39=0),0,AE39-AJ39)</f>
        <v>0</v>
      </c>
      <c r="AL39" s="19" t="str">
        <f aca="false">IF(AD39="","",AD39-AK39)</f>
        <v/>
      </c>
      <c r="AM39" s="26" t="str">
        <f aca="false">IF(C39="","","Waiting for payment")</f>
        <v/>
      </c>
      <c r="AN39" s="27"/>
      <c r="AO39" s="27"/>
      <c r="AP39" s="35" t="str">
        <f aca="false">IF(OR(C39="",I39="",K39=""),"",IF(K39="Monthly",EDATE(C39,ROUND(I39*SETTINGS!$I$8,0)),WORKDAY(C39,ROUND(I39*SETTINGS!$I$8,0))))</f>
        <v/>
      </c>
      <c r="AQ39" s="26" t="str">
        <f aca="true">IF(C39="","",IF(AND(AP39&lt;&gt;"",TODAY()&gt;=AP39),"Refi Ready",IF(TODAY()-C39&gt;=SETTINGS!$I$11,"Prospecting","Performing")))</f>
        <v/>
      </c>
      <c r="AR39" s="35" t="str">
        <f aca="false">IF(OR(C39="",I39="",K39=""),"",IF(K39="Monthly",EDATE(C39,I39),WORKDAY(C39,I39)))</f>
        <v/>
      </c>
      <c r="AS39" s="28"/>
      <c r="AT39" s="36" t="str">
        <f aca="true">IF(C39="","",IF(AM39="Clawed Back","CLAWED",IF(TODAY()&lt;=C39+SETTINGS!$I$2,"⚠ AT RISK","SAFE")))</f>
        <v/>
      </c>
      <c r="AU39" s="28"/>
      <c r="AW39" s="24" t="n">
        <f aca="false">AW38+IF(AND(C39&lt;&gt;"",AO39&lt;&gt;"",OR('REP COMMISSION'!$B$3="",T39='REP COMMISSION'!$B$3,W39='REP COMMISSION'!$B$3,Z39='REP COMMISSION'!$B$3)),1,0)</f>
        <v>0</v>
      </c>
      <c r="AX39" s="24" t="n">
        <f aca="false">AX38+IF(AND(C39&lt;&gt;"",OR(F39="LOC - INITIAL",F39="CONSOLIDATION - UPFRONT COMM",F39="REVERSE - TOTAL FUNDING")),1,0)</f>
        <v>0</v>
      </c>
    </row>
    <row r="40" customFormat="false" ht="15" hidden="false" customHeight="false" outlineLevel="0" collapsed="false">
      <c r="A40" s="8" t="str">
        <f aca="false">IF(C40&lt;&gt;"","F27-"&amp;COUNT($C$4:C40),"")</f>
        <v/>
      </c>
      <c r="B40" s="9" t="str">
        <f aca="false">IF(OR(F40="LOC - INITIAL",F40="CONSOLIDATION - UPFRONT COMM",F40="REVERSE - TOTAL FUNDING"),A40,"")</f>
        <v/>
      </c>
      <c r="C40" s="10"/>
      <c r="D40" s="11"/>
      <c r="E40" s="11"/>
      <c r="F40" s="11"/>
      <c r="G40" s="12"/>
      <c r="H40" s="13"/>
      <c r="I40" s="11"/>
      <c r="J40" s="14" t="str">
        <f aca="false">IF(AND(G40&lt;&gt;"",H40&lt;&gt;""),G40*H40,"")</f>
        <v/>
      </c>
      <c r="K40" s="11"/>
      <c r="L40" s="15"/>
      <c r="M40" s="15"/>
      <c r="N40" s="14" t="n">
        <f aca="false">IF(OR(G40="",M40=""),0,IF(M40&gt;100,M40,G40*IF(M40&gt;1,M40/100,M40)))</f>
        <v>0</v>
      </c>
      <c r="O40" s="14" t="str">
        <f aca="false">IF(G40="","",G40*IF(L40="",0,IF(L40&gt;1,L40/100,L40))+N40)</f>
        <v/>
      </c>
      <c r="P40" s="11"/>
      <c r="Q40" s="16" t="str">
        <f aca="false">IF(P40="","",IFERROR(VLOOKUP(P40,PARTNERS!$A$2:$B$30,2,0),""))</f>
        <v/>
      </c>
      <c r="R40" s="17" t="str">
        <f aca="false">IF(O40="","",IF(OR(P40="",Q40=""),0,(O40-N40)*IF(Q40&gt;1,Q40/100,Q40)))</f>
        <v/>
      </c>
      <c r="S40" s="14" t="str">
        <f aca="false">IF(O40="","",O40-R40)</f>
        <v/>
      </c>
      <c r="T40" s="11"/>
      <c r="U40" s="18" t="str">
        <f aca="false">IF(T40="","",IFERROR(VLOOKUP(T40,REPS!$A$2:$D$40,2,0),""))</f>
        <v/>
      </c>
      <c r="V40" s="14" t="str">
        <f aca="false">IF(O40="","",IF(U40="",0,O40*IF(U40&gt;1,U40/100,U40)))</f>
        <v/>
      </c>
      <c r="W40" s="11"/>
      <c r="X40" s="18" t="str">
        <f aca="false">IF(W40="","",IFERROR(VLOOKUP(W40,REPS!$A$2:$D$40,3,0),""))</f>
        <v/>
      </c>
      <c r="Y40" s="14" t="str">
        <f aca="false">IF(O40="","",IF(X40="",0,O40*IF(X40&gt;1,X40/100,X40)))</f>
        <v/>
      </c>
      <c r="Z40" s="11"/>
      <c r="AA40" s="18" t="str">
        <f aca="false">IF(Z40="","",IFERROR(VLOOKUP(Z40,REPS!$A$2:$D$40,4,0),""))</f>
        <v/>
      </c>
      <c r="AB40" s="14" t="str">
        <f aca="false">IF(O40="","",IF(AA40="",0,O40*IF(AA40&gt;1,AA40/100,AA40)))</f>
        <v/>
      </c>
      <c r="AC40" s="14" t="str">
        <f aca="false">IF(O40="","",V40+Y40+AB40)</f>
        <v/>
      </c>
      <c r="AD40" s="19" t="str">
        <f aca="false">IF(O40="","",O40-R40-AC40)</f>
        <v/>
      </c>
      <c r="AE40" s="20"/>
      <c r="AF40" s="10"/>
      <c r="AG40" s="21" t="n">
        <f aca="false">IF(OR(AE40="",AE40=0),0,AE40*IF(U40="",0,IF(U40&gt;1,U40/100,U40)))</f>
        <v>0</v>
      </c>
      <c r="AH40" s="21" t="n">
        <f aca="false">IF(OR(AE40="",AE40=0),0,AE40*IF(X40="",0,IF(X40&gt;1,X40/100,X40)))</f>
        <v>0</v>
      </c>
      <c r="AI40" s="21" t="n">
        <f aca="false">IF(OR(AE40="",AE40=0),0,AE40*IF(AA40="",0,IF(AA40&gt;1,AA40/100,AA40)))</f>
        <v>0</v>
      </c>
      <c r="AJ40" s="21" t="n">
        <f aca="false">AG40+AH40+AI40</f>
        <v>0</v>
      </c>
      <c r="AK40" s="21" t="n">
        <f aca="false">IF(OR(AE40="",AE40=0),0,AE40-AJ40)</f>
        <v>0</v>
      </c>
      <c r="AL40" s="19" t="str">
        <f aca="false">IF(AD40="","",AD40-AK40)</f>
        <v/>
      </c>
      <c r="AM40" s="9" t="str">
        <f aca="false">IF(C40="","","Waiting for payment")</f>
        <v/>
      </c>
      <c r="AN40" s="10"/>
      <c r="AO40" s="10"/>
      <c r="AP40" s="22" t="str">
        <f aca="false">IF(OR(C40="",I40="",K40=""),"",IF(K40="Monthly",EDATE(C40,ROUND(I40*SETTINGS!$I$8,0)),WORKDAY(C40,ROUND(I40*SETTINGS!$I$8,0))))</f>
        <v/>
      </c>
      <c r="AQ40" s="9" t="str">
        <f aca="true">IF(C40="","",IF(AND(AP40&lt;&gt;"",TODAY()&gt;=AP40),"Refi Ready",IF(TODAY()-C40&gt;=SETTINGS!$I$11,"Prospecting","Performing")))</f>
        <v/>
      </c>
      <c r="AR40" s="22" t="str">
        <f aca="false">IF(OR(C40="",I40="",K40=""),"",IF(K40="Monthly",EDATE(C40,I40),WORKDAY(C40,I40)))</f>
        <v/>
      </c>
      <c r="AS40" s="11"/>
      <c r="AT40" s="23" t="str">
        <f aca="true">IF(C40="","",IF(AM40="Clawed Back","CLAWED",IF(TODAY()&lt;=C40+SETTINGS!$I$2,"⚠ AT RISK","SAFE")))</f>
        <v/>
      </c>
      <c r="AU40" s="11"/>
      <c r="AW40" s="24" t="n">
        <f aca="false">AW39+IF(AND(C40&lt;&gt;"",AO40&lt;&gt;"",OR('REP COMMISSION'!$B$3="",T40='REP COMMISSION'!$B$3,W40='REP COMMISSION'!$B$3,Z40='REP COMMISSION'!$B$3)),1,0)</f>
        <v>0</v>
      </c>
      <c r="AX40" s="24" t="n">
        <f aca="false">AX39+IF(AND(C40&lt;&gt;"",OR(F40="LOC - INITIAL",F40="CONSOLIDATION - UPFRONT COMM",F40="REVERSE - TOTAL FUNDING")),1,0)</f>
        <v>0</v>
      </c>
    </row>
    <row r="41" customFormat="false" ht="15" hidden="false" customHeight="false" outlineLevel="0" collapsed="false">
      <c r="A41" s="25" t="str">
        <f aca="false">IF(C41&lt;&gt;"","F27-"&amp;COUNT($C$4:C41),"")</f>
        <v/>
      </c>
      <c r="B41" s="26" t="str">
        <f aca="false">IF(OR(F41="LOC - INITIAL",F41="CONSOLIDATION - UPFRONT COMM",F41="REVERSE - TOTAL FUNDING"),A41,"")</f>
        <v/>
      </c>
      <c r="C41" s="27"/>
      <c r="D41" s="28"/>
      <c r="E41" s="28"/>
      <c r="F41" s="28"/>
      <c r="G41" s="29"/>
      <c r="H41" s="30"/>
      <c r="I41" s="28"/>
      <c r="J41" s="31" t="str">
        <f aca="false">IF(AND(G41&lt;&gt;"",H41&lt;&gt;""),G41*H41,"")</f>
        <v/>
      </c>
      <c r="K41" s="28"/>
      <c r="L41" s="32"/>
      <c r="M41" s="32"/>
      <c r="N41" s="31" t="n">
        <f aca="false">IF(OR(G41="",M41=""),0,IF(M41&gt;100,M41,G41*IF(M41&gt;1,M41/100,M41)))</f>
        <v>0</v>
      </c>
      <c r="O41" s="31" t="str">
        <f aca="false">IF(G41="","",G41*IF(L41="",0,IF(L41&gt;1,L41/100,L41))+N41)</f>
        <v/>
      </c>
      <c r="P41" s="28"/>
      <c r="Q41" s="33" t="str">
        <f aca="false">IF(P41="","",IFERROR(VLOOKUP(P41,PARTNERS!$A$2:$B$30,2,0),""))</f>
        <v/>
      </c>
      <c r="R41" s="17" t="str">
        <f aca="false">IF(O41="","",IF(OR(P41="",Q41=""),0,(O41-N41)*IF(Q41&gt;1,Q41/100,Q41)))</f>
        <v/>
      </c>
      <c r="S41" s="31" t="str">
        <f aca="false">IF(O41="","",O41-R41)</f>
        <v/>
      </c>
      <c r="T41" s="28"/>
      <c r="U41" s="34" t="str">
        <f aca="false">IF(T41="","",IFERROR(VLOOKUP(T41,REPS!$A$2:$D$40,2,0),""))</f>
        <v/>
      </c>
      <c r="V41" s="31" t="str">
        <f aca="false">IF(O41="","",IF(U41="",0,O41*IF(U41&gt;1,U41/100,U41)))</f>
        <v/>
      </c>
      <c r="W41" s="28"/>
      <c r="X41" s="34" t="str">
        <f aca="false">IF(W41="","",IFERROR(VLOOKUP(W41,REPS!$A$2:$D$40,3,0),""))</f>
        <v/>
      </c>
      <c r="Y41" s="31" t="str">
        <f aca="false">IF(O41="","",IF(X41="",0,O41*IF(X41&gt;1,X41/100,X41)))</f>
        <v/>
      </c>
      <c r="Z41" s="28"/>
      <c r="AA41" s="34" t="str">
        <f aca="false">IF(Z41="","",IFERROR(VLOOKUP(Z41,REPS!$A$2:$D$40,4,0),""))</f>
        <v/>
      </c>
      <c r="AB41" s="31" t="str">
        <f aca="false">IF(O41="","",IF(AA41="",0,O41*IF(AA41&gt;1,AA41/100,AA41)))</f>
        <v/>
      </c>
      <c r="AC41" s="31" t="str">
        <f aca="false">IF(O41="","",V41+Y41+AB41)</f>
        <v/>
      </c>
      <c r="AD41" s="19" t="str">
        <f aca="false">IF(O41="","",O41-R41-AC41)</f>
        <v/>
      </c>
      <c r="AE41" s="20"/>
      <c r="AF41" s="27"/>
      <c r="AG41" s="21" t="n">
        <f aca="false">IF(OR(AE41="",AE41=0),0,AE41*IF(U41="",0,IF(U41&gt;1,U41/100,U41)))</f>
        <v>0</v>
      </c>
      <c r="AH41" s="21" t="n">
        <f aca="false">IF(OR(AE41="",AE41=0),0,AE41*IF(X41="",0,IF(X41&gt;1,X41/100,X41)))</f>
        <v>0</v>
      </c>
      <c r="AI41" s="21" t="n">
        <f aca="false">IF(OR(AE41="",AE41=0),0,AE41*IF(AA41="",0,IF(AA41&gt;1,AA41/100,AA41)))</f>
        <v>0</v>
      </c>
      <c r="AJ41" s="21" t="n">
        <f aca="false">AG41+AH41+AI41</f>
        <v>0</v>
      </c>
      <c r="AK41" s="21" t="n">
        <f aca="false">IF(OR(AE41="",AE41=0),0,AE41-AJ41)</f>
        <v>0</v>
      </c>
      <c r="AL41" s="19" t="str">
        <f aca="false">IF(AD41="","",AD41-AK41)</f>
        <v/>
      </c>
      <c r="AM41" s="26" t="str">
        <f aca="false">IF(C41="","","Waiting for payment")</f>
        <v/>
      </c>
      <c r="AN41" s="27"/>
      <c r="AO41" s="27"/>
      <c r="AP41" s="35" t="str">
        <f aca="false">IF(OR(C41="",I41="",K41=""),"",IF(K41="Monthly",EDATE(C41,ROUND(I41*SETTINGS!$I$8,0)),WORKDAY(C41,ROUND(I41*SETTINGS!$I$8,0))))</f>
        <v/>
      </c>
      <c r="AQ41" s="26" t="str">
        <f aca="true">IF(C41="","",IF(AND(AP41&lt;&gt;"",TODAY()&gt;=AP41),"Refi Ready",IF(TODAY()-C41&gt;=SETTINGS!$I$11,"Prospecting","Performing")))</f>
        <v/>
      </c>
      <c r="AR41" s="35" t="str">
        <f aca="false">IF(OR(C41="",I41="",K41=""),"",IF(K41="Monthly",EDATE(C41,I41),WORKDAY(C41,I41)))</f>
        <v/>
      </c>
      <c r="AS41" s="28"/>
      <c r="AT41" s="36" t="str">
        <f aca="true">IF(C41="","",IF(AM41="Clawed Back","CLAWED",IF(TODAY()&lt;=C41+SETTINGS!$I$2,"⚠ AT RISK","SAFE")))</f>
        <v/>
      </c>
      <c r="AU41" s="28"/>
      <c r="AW41" s="24" t="n">
        <f aca="false">AW40+IF(AND(C41&lt;&gt;"",AO41&lt;&gt;"",OR('REP COMMISSION'!$B$3="",T41='REP COMMISSION'!$B$3,W41='REP COMMISSION'!$B$3,Z41='REP COMMISSION'!$B$3)),1,0)</f>
        <v>0</v>
      </c>
      <c r="AX41" s="24" t="n">
        <f aca="false">AX40+IF(AND(C41&lt;&gt;"",OR(F41="LOC - INITIAL",F41="CONSOLIDATION - UPFRONT COMM",F41="REVERSE - TOTAL FUNDING")),1,0)</f>
        <v>0</v>
      </c>
    </row>
    <row r="42" customFormat="false" ht="15" hidden="false" customHeight="false" outlineLevel="0" collapsed="false">
      <c r="A42" s="8" t="str">
        <f aca="false">IF(C42&lt;&gt;"","F27-"&amp;COUNT($C$4:C42),"")</f>
        <v/>
      </c>
      <c r="B42" s="9" t="str">
        <f aca="false">IF(OR(F42="LOC - INITIAL",F42="CONSOLIDATION - UPFRONT COMM",F42="REVERSE - TOTAL FUNDING"),A42,"")</f>
        <v/>
      </c>
      <c r="C42" s="10"/>
      <c r="D42" s="11"/>
      <c r="E42" s="11"/>
      <c r="F42" s="11"/>
      <c r="G42" s="12"/>
      <c r="H42" s="13"/>
      <c r="I42" s="11"/>
      <c r="J42" s="14" t="str">
        <f aca="false">IF(AND(G42&lt;&gt;"",H42&lt;&gt;""),G42*H42,"")</f>
        <v/>
      </c>
      <c r="K42" s="11"/>
      <c r="L42" s="15"/>
      <c r="M42" s="15"/>
      <c r="N42" s="14" t="n">
        <f aca="false">IF(OR(G42="",M42=""),0,IF(M42&gt;100,M42,G42*IF(M42&gt;1,M42/100,M42)))</f>
        <v>0</v>
      </c>
      <c r="O42" s="14" t="str">
        <f aca="false">IF(G42="","",G42*IF(L42="",0,IF(L42&gt;1,L42/100,L42))+N42)</f>
        <v/>
      </c>
      <c r="P42" s="11"/>
      <c r="Q42" s="16" t="str">
        <f aca="false">IF(P42="","",IFERROR(VLOOKUP(P42,PARTNERS!$A$2:$B$30,2,0),""))</f>
        <v/>
      </c>
      <c r="R42" s="17" t="str">
        <f aca="false">IF(O42="","",IF(OR(P42="",Q42=""),0,(O42-N42)*IF(Q42&gt;1,Q42/100,Q42)))</f>
        <v/>
      </c>
      <c r="S42" s="14" t="str">
        <f aca="false">IF(O42="","",O42-R42)</f>
        <v/>
      </c>
      <c r="T42" s="11"/>
      <c r="U42" s="18" t="str">
        <f aca="false">IF(T42="","",IFERROR(VLOOKUP(T42,REPS!$A$2:$D$40,2,0),""))</f>
        <v/>
      </c>
      <c r="V42" s="14" t="str">
        <f aca="false">IF(O42="","",IF(U42="",0,O42*IF(U42&gt;1,U42/100,U42)))</f>
        <v/>
      </c>
      <c r="W42" s="11"/>
      <c r="X42" s="18" t="str">
        <f aca="false">IF(W42="","",IFERROR(VLOOKUP(W42,REPS!$A$2:$D$40,3,0),""))</f>
        <v/>
      </c>
      <c r="Y42" s="14" t="str">
        <f aca="false">IF(O42="","",IF(X42="",0,O42*IF(X42&gt;1,X42/100,X42)))</f>
        <v/>
      </c>
      <c r="Z42" s="11"/>
      <c r="AA42" s="18" t="str">
        <f aca="false">IF(Z42="","",IFERROR(VLOOKUP(Z42,REPS!$A$2:$D$40,4,0),""))</f>
        <v/>
      </c>
      <c r="AB42" s="14" t="str">
        <f aca="false">IF(O42="","",IF(AA42="",0,O42*IF(AA42&gt;1,AA42/100,AA42)))</f>
        <v/>
      </c>
      <c r="AC42" s="14" t="str">
        <f aca="false">IF(O42="","",V42+Y42+AB42)</f>
        <v/>
      </c>
      <c r="AD42" s="19" t="str">
        <f aca="false">IF(O42="","",O42-R42-AC42)</f>
        <v/>
      </c>
      <c r="AE42" s="20"/>
      <c r="AF42" s="10"/>
      <c r="AG42" s="21" t="n">
        <f aca="false">IF(OR(AE42="",AE42=0),0,AE42*IF(U42="",0,IF(U42&gt;1,U42/100,U42)))</f>
        <v>0</v>
      </c>
      <c r="AH42" s="21" t="n">
        <f aca="false">IF(OR(AE42="",AE42=0),0,AE42*IF(X42="",0,IF(X42&gt;1,X42/100,X42)))</f>
        <v>0</v>
      </c>
      <c r="AI42" s="21" t="n">
        <f aca="false">IF(OR(AE42="",AE42=0),0,AE42*IF(AA42="",0,IF(AA42&gt;1,AA42/100,AA42)))</f>
        <v>0</v>
      </c>
      <c r="AJ42" s="21" t="n">
        <f aca="false">AG42+AH42+AI42</f>
        <v>0</v>
      </c>
      <c r="AK42" s="21" t="n">
        <f aca="false">IF(OR(AE42="",AE42=0),0,AE42-AJ42)</f>
        <v>0</v>
      </c>
      <c r="AL42" s="19" t="str">
        <f aca="false">IF(AD42="","",AD42-AK42)</f>
        <v/>
      </c>
      <c r="AM42" s="9" t="str">
        <f aca="false">IF(C42="","","Waiting for payment")</f>
        <v/>
      </c>
      <c r="AN42" s="10"/>
      <c r="AO42" s="10"/>
      <c r="AP42" s="22" t="str">
        <f aca="false">IF(OR(C42="",I42="",K42=""),"",IF(K42="Monthly",EDATE(C42,ROUND(I42*SETTINGS!$I$8,0)),WORKDAY(C42,ROUND(I42*SETTINGS!$I$8,0))))</f>
        <v/>
      </c>
      <c r="AQ42" s="9" t="str">
        <f aca="true">IF(C42="","",IF(AND(AP42&lt;&gt;"",TODAY()&gt;=AP42),"Refi Ready",IF(TODAY()-C42&gt;=SETTINGS!$I$11,"Prospecting","Performing")))</f>
        <v/>
      </c>
      <c r="AR42" s="22" t="str">
        <f aca="false">IF(OR(C42="",I42="",K42=""),"",IF(K42="Monthly",EDATE(C42,I42),WORKDAY(C42,I42)))</f>
        <v/>
      </c>
      <c r="AS42" s="11"/>
      <c r="AT42" s="23" t="str">
        <f aca="true">IF(C42="","",IF(AM42="Clawed Back","CLAWED",IF(TODAY()&lt;=C42+SETTINGS!$I$2,"⚠ AT RISK","SAFE")))</f>
        <v/>
      </c>
      <c r="AU42" s="11"/>
      <c r="AW42" s="24" t="n">
        <f aca="false">AW41+IF(AND(C42&lt;&gt;"",AO42&lt;&gt;"",OR('REP COMMISSION'!$B$3="",T42='REP COMMISSION'!$B$3,W42='REP COMMISSION'!$B$3,Z42='REP COMMISSION'!$B$3)),1,0)</f>
        <v>0</v>
      </c>
      <c r="AX42" s="24" t="n">
        <f aca="false">AX41+IF(AND(C42&lt;&gt;"",OR(F42="LOC - INITIAL",F42="CONSOLIDATION - UPFRONT COMM",F42="REVERSE - TOTAL FUNDING")),1,0)</f>
        <v>0</v>
      </c>
    </row>
    <row r="43" customFormat="false" ht="15" hidden="false" customHeight="false" outlineLevel="0" collapsed="false">
      <c r="A43" s="25" t="str">
        <f aca="false">IF(C43&lt;&gt;"","F27-"&amp;COUNT($C$4:C43),"")</f>
        <v/>
      </c>
      <c r="B43" s="26" t="str">
        <f aca="false">IF(OR(F43="LOC - INITIAL",F43="CONSOLIDATION - UPFRONT COMM",F43="REVERSE - TOTAL FUNDING"),A43,"")</f>
        <v/>
      </c>
      <c r="C43" s="27"/>
      <c r="D43" s="28"/>
      <c r="E43" s="28"/>
      <c r="F43" s="28"/>
      <c r="G43" s="29"/>
      <c r="H43" s="30"/>
      <c r="I43" s="28"/>
      <c r="J43" s="31" t="str">
        <f aca="false">IF(AND(G43&lt;&gt;"",H43&lt;&gt;""),G43*H43,"")</f>
        <v/>
      </c>
      <c r="K43" s="28"/>
      <c r="L43" s="32"/>
      <c r="M43" s="32"/>
      <c r="N43" s="31" t="n">
        <f aca="false">IF(OR(G43="",M43=""),0,IF(M43&gt;100,M43,G43*IF(M43&gt;1,M43/100,M43)))</f>
        <v>0</v>
      </c>
      <c r="O43" s="31" t="str">
        <f aca="false">IF(G43="","",G43*IF(L43="",0,IF(L43&gt;1,L43/100,L43))+N43)</f>
        <v/>
      </c>
      <c r="P43" s="28"/>
      <c r="Q43" s="33" t="str">
        <f aca="false">IF(P43="","",IFERROR(VLOOKUP(P43,PARTNERS!$A$2:$B$30,2,0),""))</f>
        <v/>
      </c>
      <c r="R43" s="17" t="str">
        <f aca="false">IF(O43="","",IF(OR(P43="",Q43=""),0,(O43-N43)*IF(Q43&gt;1,Q43/100,Q43)))</f>
        <v/>
      </c>
      <c r="S43" s="31" t="str">
        <f aca="false">IF(O43="","",O43-R43)</f>
        <v/>
      </c>
      <c r="T43" s="28"/>
      <c r="U43" s="34" t="str">
        <f aca="false">IF(T43="","",IFERROR(VLOOKUP(T43,REPS!$A$2:$D$40,2,0),""))</f>
        <v/>
      </c>
      <c r="V43" s="31" t="str">
        <f aca="false">IF(O43="","",IF(U43="",0,O43*IF(U43&gt;1,U43/100,U43)))</f>
        <v/>
      </c>
      <c r="W43" s="28"/>
      <c r="X43" s="34" t="str">
        <f aca="false">IF(W43="","",IFERROR(VLOOKUP(W43,REPS!$A$2:$D$40,3,0),""))</f>
        <v/>
      </c>
      <c r="Y43" s="31" t="str">
        <f aca="false">IF(O43="","",IF(X43="",0,O43*IF(X43&gt;1,X43/100,X43)))</f>
        <v/>
      </c>
      <c r="Z43" s="28"/>
      <c r="AA43" s="34" t="str">
        <f aca="false">IF(Z43="","",IFERROR(VLOOKUP(Z43,REPS!$A$2:$D$40,4,0),""))</f>
        <v/>
      </c>
      <c r="AB43" s="31" t="str">
        <f aca="false">IF(O43="","",IF(AA43="",0,O43*IF(AA43&gt;1,AA43/100,AA43)))</f>
        <v/>
      </c>
      <c r="AC43" s="31" t="str">
        <f aca="false">IF(O43="","",V43+Y43+AB43)</f>
        <v/>
      </c>
      <c r="AD43" s="19" t="str">
        <f aca="false">IF(O43="","",O43-R43-AC43)</f>
        <v/>
      </c>
      <c r="AE43" s="20"/>
      <c r="AF43" s="27"/>
      <c r="AG43" s="21" t="n">
        <f aca="false">IF(OR(AE43="",AE43=0),0,AE43*IF(U43="",0,IF(U43&gt;1,U43/100,U43)))</f>
        <v>0</v>
      </c>
      <c r="AH43" s="21" t="n">
        <f aca="false">IF(OR(AE43="",AE43=0),0,AE43*IF(X43="",0,IF(X43&gt;1,X43/100,X43)))</f>
        <v>0</v>
      </c>
      <c r="AI43" s="21" t="n">
        <f aca="false">IF(OR(AE43="",AE43=0),0,AE43*IF(AA43="",0,IF(AA43&gt;1,AA43/100,AA43)))</f>
        <v>0</v>
      </c>
      <c r="AJ43" s="21" t="n">
        <f aca="false">AG43+AH43+AI43</f>
        <v>0</v>
      </c>
      <c r="AK43" s="21" t="n">
        <f aca="false">IF(OR(AE43="",AE43=0),0,AE43-AJ43)</f>
        <v>0</v>
      </c>
      <c r="AL43" s="19" t="str">
        <f aca="false">IF(AD43="","",AD43-AK43)</f>
        <v/>
      </c>
      <c r="AM43" s="26" t="str">
        <f aca="false">IF(C43="","","Waiting for payment")</f>
        <v/>
      </c>
      <c r="AN43" s="27"/>
      <c r="AO43" s="27"/>
      <c r="AP43" s="35" t="str">
        <f aca="false">IF(OR(C43="",I43="",K43=""),"",IF(K43="Monthly",EDATE(C43,ROUND(I43*SETTINGS!$I$8,0)),WORKDAY(C43,ROUND(I43*SETTINGS!$I$8,0))))</f>
        <v/>
      </c>
      <c r="AQ43" s="26" t="str">
        <f aca="true">IF(C43="","",IF(AND(AP43&lt;&gt;"",TODAY()&gt;=AP43),"Refi Ready",IF(TODAY()-C43&gt;=SETTINGS!$I$11,"Prospecting","Performing")))</f>
        <v/>
      </c>
      <c r="AR43" s="35" t="str">
        <f aca="false">IF(OR(C43="",I43="",K43=""),"",IF(K43="Monthly",EDATE(C43,I43),WORKDAY(C43,I43)))</f>
        <v/>
      </c>
      <c r="AS43" s="28"/>
      <c r="AT43" s="36" t="str">
        <f aca="true">IF(C43="","",IF(AM43="Clawed Back","CLAWED",IF(TODAY()&lt;=C43+SETTINGS!$I$2,"⚠ AT RISK","SAFE")))</f>
        <v/>
      </c>
      <c r="AU43" s="28"/>
      <c r="AW43" s="24" t="n">
        <f aca="false">AW42+IF(AND(C43&lt;&gt;"",AO43&lt;&gt;"",OR('REP COMMISSION'!$B$3="",T43='REP COMMISSION'!$B$3,W43='REP COMMISSION'!$B$3,Z43='REP COMMISSION'!$B$3)),1,0)</f>
        <v>0</v>
      </c>
      <c r="AX43" s="24" t="n">
        <f aca="false">AX42+IF(AND(C43&lt;&gt;"",OR(F43="LOC - INITIAL",F43="CONSOLIDATION - UPFRONT COMM",F43="REVERSE - TOTAL FUNDING")),1,0)</f>
        <v>0</v>
      </c>
    </row>
    <row r="44" customFormat="false" ht="15" hidden="false" customHeight="false" outlineLevel="0" collapsed="false">
      <c r="A44" s="8" t="str">
        <f aca="false">IF(C44&lt;&gt;"","F27-"&amp;COUNT($C$4:C44),"")</f>
        <v/>
      </c>
      <c r="B44" s="9" t="str">
        <f aca="false">IF(OR(F44="LOC - INITIAL",F44="CONSOLIDATION - UPFRONT COMM",F44="REVERSE - TOTAL FUNDING"),A44,"")</f>
        <v/>
      </c>
      <c r="C44" s="10"/>
      <c r="D44" s="11"/>
      <c r="E44" s="11"/>
      <c r="F44" s="11"/>
      <c r="G44" s="12"/>
      <c r="H44" s="13"/>
      <c r="I44" s="11"/>
      <c r="J44" s="14" t="str">
        <f aca="false">IF(AND(G44&lt;&gt;"",H44&lt;&gt;""),G44*H44,"")</f>
        <v/>
      </c>
      <c r="K44" s="11"/>
      <c r="L44" s="15"/>
      <c r="M44" s="15"/>
      <c r="N44" s="14" t="n">
        <f aca="false">IF(OR(G44="",M44=""),0,IF(M44&gt;100,M44,G44*IF(M44&gt;1,M44/100,M44)))</f>
        <v>0</v>
      </c>
      <c r="O44" s="14" t="str">
        <f aca="false">IF(G44="","",G44*IF(L44="",0,IF(L44&gt;1,L44/100,L44))+N44)</f>
        <v/>
      </c>
      <c r="P44" s="11"/>
      <c r="Q44" s="16" t="str">
        <f aca="false">IF(P44="","",IFERROR(VLOOKUP(P44,PARTNERS!$A$2:$B$30,2,0),""))</f>
        <v/>
      </c>
      <c r="R44" s="17" t="str">
        <f aca="false">IF(O44="","",IF(OR(P44="",Q44=""),0,(O44-N44)*IF(Q44&gt;1,Q44/100,Q44)))</f>
        <v/>
      </c>
      <c r="S44" s="14" t="str">
        <f aca="false">IF(O44="","",O44-R44)</f>
        <v/>
      </c>
      <c r="T44" s="11"/>
      <c r="U44" s="18" t="str">
        <f aca="false">IF(T44="","",IFERROR(VLOOKUP(T44,REPS!$A$2:$D$40,2,0),""))</f>
        <v/>
      </c>
      <c r="V44" s="14" t="str">
        <f aca="false">IF(O44="","",IF(U44="",0,O44*IF(U44&gt;1,U44/100,U44)))</f>
        <v/>
      </c>
      <c r="W44" s="11"/>
      <c r="X44" s="18" t="str">
        <f aca="false">IF(W44="","",IFERROR(VLOOKUP(W44,REPS!$A$2:$D$40,3,0),""))</f>
        <v/>
      </c>
      <c r="Y44" s="14" t="str">
        <f aca="false">IF(O44="","",IF(X44="",0,O44*IF(X44&gt;1,X44/100,X44)))</f>
        <v/>
      </c>
      <c r="Z44" s="11"/>
      <c r="AA44" s="18" t="str">
        <f aca="false">IF(Z44="","",IFERROR(VLOOKUP(Z44,REPS!$A$2:$D$40,4,0),""))</f>
        <v/>
      </c>
      <c r="AB44" s="14" t="str">
        <f aca="false">IF(O44="","",IF(AA44="",0,O44*IF(AA44&gt;1,AA44/100,AA44)))</f>
        <v/>
      </c>
      <c r="AC44" s="14" t="str">
        <f aca="false">IF(O44="","",V44+Y44+AB44)</f>
        <v/>
      </c>
      <c r="AD44" s="19" t="str">
        <f aca="false">IF(O44="","",O44-R44-AC44)</f>
        <v/>
      </c>
      <c r="AE44" s="20"/>
      <c r="AF44" s="10"/>
      <c r="AG44" s="21" t="n">
        <f aca="false">IF(OR(AE44="",AE44=0),0,AE44*IF(U44="",0,IF(U44&gt;1,U44/100,U44)))</f>
        <v>0</v>
      </c>
      <c r="AH44" s="21" t="n">
        <f aca="false">IF(OR(AE44="",AE44=0),0,AE44*IF(X44="",0,IF(X44&gt;1,X44/100,X44)))</f>
        <v>0</v>
      </c>
      <c r="AI44" s="21" t="n">
        <f aca="false">IF(OR(AE44="",AE44=0),0,AE44*IF(AA44="",0,IF(AA44&gt;1,AA44/100,AA44)))</f>
        <v>0</v>
      </c>
      <c r="AJ44" s="21" t="n">
        <f aca="false">AG44+AH44+AI44</f>
        <v>0</v>
      </c>
      <c r="AK44" s="21" t="n">
        <f aca="false">IF(OR(AE44="",AE44=0),0,AE44-AJ44)</f>
        <v>0</v>
      </c>
      <c r="AL44" s="19" t="str">
        <f aca="false">IF(AD44="","",AD44-AK44)</f>
        <v/>
      </c>
      <c r="AM44" s="9" t="str">
        <f aca="false">IF(C44="","","Waiting for payment")</f>
        <v/>
      </c>
      <c r="AN44" s="10"/>
      <c r="AO44" s="10"/>
      <c r="AP44" s="22" t="str">
        <f aca="false">IF(OR(C44="",I44="",K44=""),"",IF(K44="Monthly",EDATE(C44,ROUND(I44*SETTINGS!$I$8,0)),WORKDAY(C44,ROUND(I44*SETTINGS!$I$8,0))))</f>
        <v/>
      </c>
      <c r="AQ44" s="9" t="str">
        <f aca="true">IF(C44="","",IF(AND(AP44&lt;&gt;"",TODAY()&gt;=AP44),"Refi Ready",IF(TODAY()-C44&gt;=SETTINGS!$I$11,"Prospecting","Performing")))</f>
        <v/>
      </c>
      <c r="AR44" s="22" t="str">
        <f aca="false">IF(OR(C44="",I44="",K44=""),"",IF(K44="Monthly",EDATE(C44,I44),WORKDAY(C44,I44)))</f>
        <v/>
      </c>
      <c r="AS44" s="11"/>
      <c r="AT44" s="23" t="str">
        <f aca="true">IF(C44="","",IF(AM44="Clawed Back","CLAWED",IF(TODAY()&lt;=C44+SETTINGS!$I$2,"⚠ AT RISK","SAFE")))</f>
        <v/>
      </c>
      <c r="AU44" s="11"/>
      <c r="AW44" s="24" t="n">
        <f aca="false">AW43+IF(AND(C44&lt;&gt;"",AO44&lt;&gt;"",OR('REP COMMISSION'!$B$3="",T44='REP COMMISSION'!$B$3,W44='REP COMMISSION'!$B$3,Z44='REP COMMISSION'!$B$3)),1,0)</f>
        <v>0</v>
      </c>
      <c r="AX44" s="24" t="n">
        <f aca="false">AX43+IF(AND(C44&lt;&gt;"",OR(F44="LOC - INITIAL",F44="CONSOLIDATION - UPFRONT COMM",F44="REVERSE - TOTAL FUNDING")),1,0)</f>
        <v>0</v>
      </c>
    </row>
    <row r="45" customFormat="false" ht="15" hidden="false" customHeight="false" outlineLevel="0" collapsed="false">
      <c r="A45" s="25" t="str">
        <f aca="false">IF(C45&lt;&gt;"","F27-"&amp;COUNT($C$4:C45),"")</f>
        <v/>
      </c>
      <c r="B45" s="26" t="str">
        <f aca="false">IF(OR(F45="LOC - INITIAL",F45="CONSOLIDATION - UPFRONT COMM",F45="REVERSE - TOTAL FUNDING"),A45,"")</f>
        <v/>
      </c>
      <c r="C45" s="27"/>
      <c r="D45" s="28"/>
      <c r="E45" s="28"/>
      <c r="F45" s="28"/>
      <c r="G45" s="29"/>
      <c r="H45" s="30"/>
      <c r="I45" s="28"/>
      <c r="J45" s="31" t="str">
        <f aca="false">IF(AND(G45&lt;&gt;"",H45&lt;&gt;""),G45*H45,"")</f>
        <v/>
      </c>
      <c r="K45" s="28"/>
      <c r="L45" s="32"/>
      <c r="M45" s="32"/>
      <c r="N45" s="31" t="n">
        <f aca="false">IF(OR(G45="",M45=""),0,IF(M45&gt;100,M45,G45*IF(M45&gt;1,M45/100,M45)))</f>
        <v>0</v>
      </c>
      <c r="O45" s="31" t="str">
        <f aca="false">IF(G45="","",G45*IF(L45="",0,IF(L45&gt;1,L45/100,L45))+N45)</f>
        <v/>
      </c>
      <c r="P45" s="28"/>
      <c r="Q45" s="33" t="str">
        <f aca="false">IF(P45="","",IFERROR(VLOOKUP(P45,PARTNERS!$A$2:$B$30,2,0),""))</f>
        <v/>
      </c>
      <c r="R45" s="17" t="str">
        <f aca="false">IF(O45="","",IF(OR(P45="",Q45=""),0,(O45-N45)*IF(Q45&gt;1,Q45/100,Q45)))</f>
        <v/>
      </c>
      <c r="S45" s="31" t="str">
        <f aca="false">IF(O45="","",O45-R45)</f>
        <v/>
      </c>
      <c r="T45" s="28"/>
      <c r="U45" s="34" t="str">
        <f aca="false">IF(T45="","",IFERROR(VLOOKUP(T45,REPS!$A$2:$D$40,2,0),""))</f>
        <v/>
      </c>
      <c r="V45" s="31" t="str">
        <f aca="false">IF(O45="","",IF(U45="",0,O45*IF(U45&gt;1,U45/100,U45)))</f>
        <v/>
      </c>
      <c r="W45" s="28"/>
      <c r="X45" s="34" t="str">
        <f aca="false">IF(W45="","",IFERROR(VLOOKUP(W45,REPS!$A$2:$D$40,3,0),""))</f>
        <v/>
      </c>
      <c r="Y45" s="31" t="str">
        <f aca="false">IF(O45="","",IF(X45="",0,O45*IF(X45&gt;1,X45/100,X45)))</f>
        <v/>
      </c>
      <c r="Z45" s="28"/>
      <c r="AA45" s="34" t="str">
        <f aca="false">IF(Z45="","",IFERROR(VLOOKUP(Z45,REPS!$A$2:$D$40,4,0),""))</f>
        <v/>
      </c>
      <c r="AB45" s="31" t="str">
        <f aca="false">IF(O45="","",IF(AA45="",0,O45*IF(AA45&gt;1,AA45/100,AA45)))</f>
        <v/>
      </c>
      <c r="AC45" s="31" t="str">
        <f aca="false">IF(O45="","",V45+Y45+AB45)</f>
        <v/>
      </c>
      <c r="AD45" s="19" t="str">
        <f aca="false">IF(O45="","",O45-R45-AC45)</f>
        <v/>
      </c>
      <c r="AE45" s="20"/>
      <c r="AF45" s="27"/>
      <c r="AG45" s="21" t="n">
        <f aca="false">IF(OR(AE45="",AE45=0),0,AE45*IF(U45="",0,IF(U45&gt;1,U45/100,U45)))</f>
        <v>0</v>
      </c>
      <c r="AH45" s="21" t="n">
        <f aca="false">IF(OR(AE45="",AE45=0),0,AE45*IF(X45="",0,IF(X45&gt;1,X45/100,X45)))</f>
        <v>0</v>
      </c>
      <c r="AI45" s="21" t="n">
        <f aca="false">IF(OR(AE45="",AE45=0),0,AE45*IF(AA45="",0,IF(AA45&gt;1,AA45/100,AA45)))</f>
        <v>0</v>
      </c>
      <c r="AJ45" s="21" t="n">
        <f aca="false">AG45+AH45+AI45</f>
        <v>0</v>
      </c>
      <c r="AK45" s="21" t="n">
        <f aca="false">IF(OR(AE45="",AE45=0),0,AE45-AJ45)</f>
        <v>0</v>
      </c>
      <c r="AL45" s="19" t="str">
        <f aca="false">IF(AD45="","",AD45-AK45)</f>
        <v/>
      </c>
      <c r="AM45" s="26" t="str">
        <f aca="false">IF(C45="","","Waiting for payment")</f>
        <v/>
      </c>
      <c r="AN45" s="27"/>
      <c r="AO45" s="27"/>
      <c r="AP45" s="35" t="str">
        <f aca="false">IF(OR(C45="",I45="",K45=""),"",IF(K45="Monthly",EDATE(C45,ROUND(I45*SETTINGS!$I$8,0)),WORKDAY(C45,ROUND(I45*SETTINGS!$I$8,0))))</f>
        <v/>
      </c>
      <c r="AQ45" s="26" t="str">
        <f aca="true">IF(C45="","",IF(AND(AP45&lt;&gt;"",TODAY()&gt;=AP45),"Refi Ready",IF(TODAY()-C45&gt;=SETTINGS!$I$11,"Prospecting","Performing")))</f>
        <v/>
      </c>
      <c r="AR45" s="35" t="str">
        <f aca="false">IF(OR(C45="",I45="",K45=""),"",IF(K45="Monthly",EDATE(C45,I45),WORKDAY(C45,I45)))</f>
        <v/>
      </c>
      <c r="AS45" s="28"/>
      <c r="AT45" s="36" t="str">
        <f aca="true">IF(C45="","",IF(AM45="Clawed Back","CLAWED",IF(TODAY()&lt;=C45+SETTINGS!$I$2,"⚠ AT RISK","SAFE")))</f>
        <v/>
      </c>
      <c r="AU45" s="28"/>
      <c r="AW45" s="24" t="n">
        <f aca="false">AW44+IF(AND(C45&lt;&gt;"",AO45&lt;&gt;"",OR('REP COMMISSION'!$B$3="",T45='REP COMMISSION'!$B$3,W45='REP COMMISSION'!$B$3,Z45='REP COMMISSION'!$B$3)),1,0)</f>
        <v>0</v>
      </c>
      <c r="AX45" s="24" t="n">
        <f aca="false">AX44+IF(AND(C45&lt;&gt;"",OR(F45="LOC - INITIAL",F45="CONSOLIDATION - UPFRONT COMM",F45="REVERSE - TOTAL FUNDING")),1,0)</f>
        <v>0</v>
      </c>
    </row>
    <row r="46" customFormat="false" ht="15" hidden="false" customHeight="false" outlineLevel="0" collapsed="false">
      <c r="A46" s="8" t="str">
        <f aca="false">IF(C46&lt;&gt;"","F27-"&amp;COUNT($C$4:C46),"")</f>
        <v/>
      </c>
      <c r="B46" s="9" t="str">
        <f aca="false">IF(OR(F46="LOC - INITIAL",F46="CONSOLIDATION - UPFRONT COMM",F46="REVERSE - TOTAL FUNDING"),A46,"")</f>
        <v/>
      </c>
      <c r="C46" s="10"/>
      <c r="D46" s="11"/>
      <c r="E46" s="11"/>
      <c r="F46" s="11"/>
      <c r="G46" s="12"/>
      <c r="H46" s="13"/>
      <c r="I46" s="11"/>
      <c r="J46" s="14" t="str">
        <f aca="false">IF(AND(G46&lt;&gt;"",H46&lt;&gt;""),G46*H46,"")</f>
        <v/>
      </c>
      <c r="K46" s="11"/>
      <c r="L46" s="15"/>
      <c r="M46" s="15"/>
      <c r="N46" s="14" t="n">
        <f aca="false">IF(OR(G46="",M46=""),0,IF(M46&gt;100,M46,G46*IF(M46&gt;1,M46/100,M46)))</f>
        <v>0</v>
      </c>
      <c r="O46" s="14" t="str">
        <f aca="false">IF(G46="","",G46*IF(L46="",0,IF(L46&gt;1,L46/100,L46))+N46)</f>
        <v/>
      </c>
      <c r="P46" s="11"/>
      <c r="Q46" s="16" t="str">
        <f aca="false">IF(P46="","",IFERROR(VLOOKUP(P46,PARTNERS!$A$2:$B$30,2,0),""))</f>
        <v/>
      </c>
      <c r="R46" s="17" t="str">
        <f aca="false">IF(O46="","",IF(OR(P46="",Q46=""),0,(O46-N46)*IF(Q46&gt;1,Q46/100,Q46)))</f>
        <v/>
      </c>
      <c r="S46" s="14" t="str">
        <f aca="false">IF(O46="","",O46-R46)</f>
        <v/>
      </c>
      <c r="T46" s="11"/>
      <c r="U46" s="18" t="str">
        <f aca="false">IF(T46="","",IFERROR(VLOOKUP(T46,REPS!$A$2:$D$40,2,0),""))</f>
        <v/>
      </c>
      <c r="V46" s="14" t="str">
        <f aca="false">IF(O46="","",IF(U46="",0,O46*IF(U46&gt;1,U46/100,U46)))</f>
        <v/>
      </c>
      <c r="W46" s="11"/>
      <c r="X46" s="18" t="str">
        <f aca="false">IF(W46="","",IFERROR(VLOOKUP(W46,REPS!$A$2:$D$40,3,0),""))</f>
        <v/>
      </c>
      <c r="Y46" s="14" t="str">
        <f aca="false">IF(O46="","",IF(X46="",0,O46*IF(X46&gt;1,X46/100,X46)))</f>
        <v/>
      </c>
      <c r="Z46" s="11"/>
      <c r="AA46" s="18" t="str">
        <f aca="false">IF(Z46="","",IFERROR(VLOOKUP(Z46,REPS!$A$2:$D$40,4,0),""))</f>
        <v/>
      </c>
      <c r="AB46" s="14" t="str">
        <f aca="false">IF(O46="","",IF(AA46="",0,O46*IF(AA46&gt;1,AA46/100,AA46)))</f>
        <v/>
      </c>
      <c r="AC46" s="14" t="str">
        <f aca="false">IF(O46="","",V46+Y46+AB46)</f>
        <v/>
      </c>
      <c r="AD46" s="19" t="str">
        <f aca="false">IF(O46="","",O46-R46-AC46)</f>
        <v/>
      </c>
      <c r="AE46" s="20"/>
      <c r="AF46" s="10"/>
      <c r="AG46" s="21" t="n">
        <f aca="false">IF(OR(AE46="",AE46=0),0,AE46*IF(U46="",0,IF(U46&gt;1,U46/100,U46)))</f>
        <v>0</v>
      </c>
      <c r="AH46" s="21" t="n">
        <f aca="false">IF(OR(AE46="",AE46=0),0,AE46*IF(X46="",0,IF(X46&gt;1,X46/100,X46)))</f>
        <v>0</v>
      </c>
      <c r="AI46" s="21" t="n">
        <f aca="false">IF(OR(AE46="",AE46=0),0,AE46*IF(AA46="",0,IF(AA46&gt;1,AA46/100,AA46)))</f>
        <v>0</v>
      </c>
      <c r="AJ46" s="21" t="n">
        <f aca="false">AG46+AH46+AI46</f>
        <v>0</v>
      </c>
      <c r="AK46" s="21" t="n">
        <f aca="false">IF(OR(AE46="",AE46=0),0,AE46-AJ46)</f>
        <v>0</v>
      </c>
      <c r="AL46" s="19" t="str">
        <f aca="false">IF(AD46="","",AD46-AK46)</f>
        <v/>
      </c>
      <c r="AM46" s="9" t="str">
        <f aca="false">IF(C46="","","Waiting for payment")</f>
        <v/>
      </c>
      <c r="AN46" s="10"/>
      <c r="AO46" s="10"/>
      <c r="AP46" s="22" t="str">
        <f aca="false">IF(OR(C46="",I46="",K46=""),"",IF(K46="Monthly",EDATE(C46,ROUND(I46*SETTINGS!$I$8,0)),WORKDAY(C46,ROUND(I46*SETTINGS!$I$8,0))))</f>
        <v/>
      </c>
      <c r="AQ46" s="9" t="str">
        <f aca="true">IF(C46="","",IF(AND(AP46&lt;&gt;"",TODAY()&gt;=AP46),"Refi Ready",IF(TODAY()-C46&gt;=SETTINGS!$I$11,"Prospecting","Performing")))</f>
        <v/>
      </c>
      <c r="AR46" s="22" t="str">
        <f aca="false">IF(OR(C46="",I46="",K46=""),"",IF(K46="Monthly",EDATE(C46,I46),WORKDAY(C46,I46)))</f>
        <v/>
      </c>
      <c r="AS46" s="11"/>
      <c r="AT46" s="23" t="str">
        <f aca="true">IF(C46="","",IF(AM46="Clawed Back","CLAWED",IF(TODAY()&lt;=C46+SETTINGS!$I$2,"⚠ AT RISK","SAFE")))</f>
        <v/>
      </c>
      <c r="AU46" s="11"/>
      <c r="AW46" s="24" t="n">
        <f aca="false">AW45+IF(AND(C46&lt;&gt;"",AO46&lt;&gt;"",OR('REP COMMISSION'!$B$3="",T46='REP COMMISSION'!$B$3,W46='REP COMMISSION'!$B$3,Z46='REP COMMISSION'!$B$3)),1,0)</f>
        <v>0</v>
      </c>
      <c r="AX46" s="24" t="n">
        <f aca="false">AX45+IF(AND(C46&lt;&gt;"",OR(F46="LOC - INITIAL",F46="CONSOLIDATION - UPFRONT COMM",F46="REVERSE - TOTAL FUNDING")),1,0)</f>
        <v>0</v>
      </c>
    </row>
    <row r="47" customFormat="false" ht="15" hidden="false" customHeight="false" outlineLevel="0" collapsed="false">
      <c r="A47" s="25" t="str">
        <f aca="false">IF(C47&lt;&gt;"","F27-"&amp;COUNT($C$4:C47),"")</f>
        <v/>
      </c>
      <c r="B47" s="26" t="str">
        <f aca="false">IF(OR(F47="LOC - INITIAL",F47="CONSOLIDATION - UPFRONT COMM",F47="REVERSE - TOTAL FUNDING"),A47,"")</f>
        <v/>
      </c>
      <c r="C47" s="27"/>
      <c r="D47" s="28"/>
      <c r="E47" s="28"/>
      <c r="F47" s="28"/>
      <c r="G47" s="29"/>
      <c r="H47" s="30"/>
      <c r="I47" s="28"/>
      <c r="J47" s="31" t="str">
        <f aca="false">IF(AND(G47&lt;&gt;"",H47&lt;&gt;""),G47*H47,"")</f>
        <v/>
      </c>
      <c r="K47" s="28"/>
      <c r="L47" s="32"/>
      <c r="M47" s="32"/>
      <c r="N47" s="31" t="n">
        <f aca="false">IF(OR(G47="",M47=""),0,IF(M47&gt;100,M47,G47*IF(M47&gt;1,M47/100,M47)))</f>
        <v>0</v>
      </c>
      <c r="O47" s="31" t="str">
        <f aca="false">IF(G47="","",G47*IF(L47="",0,IF(L47&gt;1,L47/100,L47))+N47)</f>
        <v/>
      </c>
      <c r="P47" s="28"/>
      <c r="Q47" s="33" t="str">
        <f aca="false">IF(P47="","",IFERROR(VLOOKUP(P47,PARTNERS!$A$2:$B$30,2,0),""))</f>
        <v/>
      </c>
      <c r="R47" s="17" t="str">
        <f aca="false">IF(O47="","",IF(OR(P47="",Q47=""),0,(O47-N47)*IF(Q47&gt;1,Q47/100,Q47)))</f>
        <v/>
      </c>
      <c r="S47" s="31" t="str">
        <f aca="false">IF(O47="","",O47-R47)</f>
        <v/>
      </c>
      <c r="T47" s="28"/>
      <c r="U47" s="34" t="str">
        <f aca="false">IF(T47="","",IFERROR(VLOOKUP(T47,REPS!$A$2:$D$40,2,0),""))</f>
        <v/>
      </c>
      <c r="V47" s="31" t="str">
        <f aca="false">IF(O47="","",IF(U47="",0,O47*IF(U47&gt;1,U47/100,U47)))</f>
        <v/>
      </c>
      <c r="W47" s="28"/>
      <c r="X47" s="34" t="str">
        <f aca="false">IF(W47="","",IFERROR(VLOOKUP(W47,REPS!$A$2:$D$40,3,0),""))</f>
        <v/>
      </c>
      <c r="Y47" s="31" t="str">
        <f aca="false">IF(O47="","",IF(X47="",0,O47*IF(X47&gt;1,X47/100,X47)))</f>
        <v/>
      </c>
      <c r="Z47" s="28"/>
      <c r="AA47" s="34" t="str">
        <f aca="false">IF(Z47="","",IFERROR(VLOOKUP(Z47,REPS!$A$2:$D$40,4,0),""))</f>
        <v/>
      </c>
      <c r="AB47" s="31" t="str">
        <f aca="false">IF(O47="","",IF(AA47="",0,O47*IF(AA47&gt;1,AA47/100,AA47)))</f>
        <v/>
      </c>
      <c r="AC47" s="31" t="str">
        <f aca="false">IF(O47="","",V47+Y47+AB47)</f>
        <v/>
      </c>
      <c r="AD47" s="19" t="str">
        <f aca="false">IF(O47="","",O47-R47-AC47)</f>
        <v/>
      </c>
      <c r="AE47" s="20"/>
      <c r="AF47" s="27"/>
      <c r="AG47" s="21" t="n">
        <f aca="false">IF(OR(AE47="",AE47=0),0,AE47*IF(U47="",0,IF(U47&gt;1,U47/100,U47)))</f>
        <v>0</v>
      </c>
      <c r="AH47" s="21" t="n">
        <f aca="false">IF(OR(AE47="",AE47=0),0,AE47*IF(X47="",0,IF(X47&gt;1,X47/100,X47)))</f>
        <v>0</v>
      </c>
      <c r="AI47" s="21" t="n">
        <f aca="false">IF(OR(AE47="",AE47=0),0,AE47*IF(AA47="",0,IF(AA47&gt;1,AA47/100,AA47)))</f>
        <v>0</v>
      </c>
      <c r="AJ47" s="21" t="n">
        <f aca="false">AG47+AH47+AI47</f>
        <v>0</v>
      </c>
      <c r="AK47" s="21" t="n">
        <f aca="false">IF(OR(AE47="",AE47=0),0,AE47-AJ47)</f>
        <v>0</v>
      </c>
      <c r="AL47" s="19" t="str">
        <f aca="false">IF(AD47="","",AD47-AK47)</f>
        <v/>
      </c>
      <c r="AM47" s="26" t="str">
        <f aca="false">IF(C47="","","Waiting for payment")</f>
        <v/>
      </c>
      <c r="AN47" s="27"/>
      <c r="AO47" s="27"/>
      <c r="AP47" s="35" t="str">
        <f aca="false">IF(OR(C47="",I47="",K47=""),"",IF(K47="Monthly",EDATE(C47,ROUND(I47*SETTINGS!$I$8,0)),WORKDAY(C47,ROUND(I47*SETTINGS!$I$8,0))))</f>
        <v/>
      </c>
      <c r="AQ47" s="26" t="str">
        <f aca="true">IF(C47="","",IF(AND(AP47&lt;&gt;"",TODAY()&gt;=AP47),"Refi Ready",IF(TODAY()-C47&gt;=SETTINGS!$I$11,"Prospecting","Performing")))</f>
        <v/>
      </c>
      <c r="AR47" s="35" t="str">
        <f aca="false">IF(OR(C47="",I47="",K47=""),"",IF(K47="Monthly",EDATE(C47,I47),WORKDAY(C47,I47)))</f>
        <v/>
      </c>
      <c r="AS47" s="28"/>
      <c r="AT47" s="36" t="str">
        <f aca="true">IF(C47="","",IF(AM47="Clawed Back","CLAWED",IF(TODAY()&lt;=C47+SETTINGS!$I$2,"⚠ AT RISK","SAFE")))</f>
        <v/>
      </c>
      <c r="AU47" s="28"/>
      <c r="AW47" s="24" t="n">
        <f aca="false">AW46+IF(AND(C47&lt;&gt;"",AO47&lt;&gt;"",OR('REP COMMISSION'!$B$3="",T47='REP COMMISSION'!$B$3,W47='REP COMMISSION'!$B$3,Z47='REP COMMISSION'!$B$3)),1,0)</f>
        <v>0</v>
      </c>
      <c r="AX47" s="24" t="n">
        <f aca="false">AX46+IF(AND(C47&lt;&gt;"",OR(F47="LOC - INITIAL",F47="CONSOLIDATION - UPFRONT COMM",F47="REVERSE - TOTAL FUNDING")),1,0)</f>
        <v>0</v>
      </c>
    </row>
    <row r="48" customFormat="false" ht="15" hidden="false" customHeight="false" outlineLevel="0" collapsed="false">
      <c r="A48" s="8" t="str">
        <f aca="false">IF(C48&lt;&gt;"","F27-"&amp;COUNT($C$4:C48),"")</f>
        <v/>
      </c>
      <c r="B48" s="9" t="str">
        <f aca="false">IF(OR(F48="LOC - INITIAL",F48="CONSOLIDATION - UPFRONT COMM",F48="REVERSE - TOTAL FUNDING"),A48,"")</f>
        <v/>
      </c>
      <c r="C48" s="10"/>
      <c r="D48" s="11"/>
      <c r="E48" s="11"/>
      <c r="F48" s="11"/>
      <c r="G48" s="12"/>
      <c r="H48" s="13"/>
      <c r="I48" s="11"/>
      <c r="J48" s="14" t="str">
        <f aca="false">IF(AND(G48&lt;&gt;"",H48&lt;&gt;""),G48*H48,"")</f>
        <v/>
      </c>
      <c r="K48" s="11"/>
      <c r="L48" s="15"/>
      <c r="M48" s="15"/>
      <c r="N48" s="14" t="n">
        <f aca="false">IF(OR(G48="",M48=""),0,IF(M48&gt;100,M48,G48*IF(M48&gt;1,M48/100,M48)))</f>
        <v>0</v>
      </c>
      <c r="O48" s="14" t="str">
        <f aca="false">IF(G48="","",G48*IF(L48="",0,IF(L48&gt;1,L48/100,L48))+N48)</f>
        <v/>
      </c>
      <c r="P48" s="11"/>
      <c r="Q48" s="16" t="str">
        <f aca="false">IF(P48="","",IFERROR(VLOOKUP(P48,PARTNERS!$A$2:$B$30,2,0),""))</f>
        <v/>
      </c>
      <c r="R48" s="17" t="str">
        <f aca="false">IF(O48="","",IF(OR(P48="",Q48=""),0,(O48-N48)*IF(Q48&gt;1,Q48/100,Q48)))</f>
        <v/>
      </c>
      <c r="S48" s="14" t="str">
        <f aca="false">IF(O48="","",O48-R48)</f>
        <v/>
      </c>
      <c r="T48" s="11"/>
      <c r="U48" s="18" t="str">
        <f aca="false">IF(T48="","",IFERROR(VLOOKUP(T48,REPS!$A$2:$D$40,2,0),""))</f>
        <v/>
      </c>
      <c r="V48" s="14" t="str">
        <f aca="false">IF(O48="","",IF(U48="",0,O48*IF(U48&gt;1,U48/100,U48)))</f>
        <v/>
      </c>
      <c r="W48" s="11"/>
      <c r="X48" s="18" t="str">
        <f aca="false">IF(W48="","",IFERROR(VLOOKUP(W48,REPS!$A$2:$D$40,3,0),""))</f>
        <v/>
      </c>
      <c r="Y48" s="14" t="str">
        <f aca="false">IF(O48="","",IF(X48="",0,O48*IF(X48&gt;1,X48/100,X48)))</f>
        <v/>
      </c>
      <c r="Z48" s="11"/>
      <c r="AA48" s="18" t="str">
        <f aca="false">IF(Z48="","",IFERROR(VLOOKUP(Z48,REPS!$A$2:$D$40,4,0),""))</f>
        <v/>
      </c>
      <c r="AB48" s="14" t="str">
        <f aca="false">IF(O48="","",IF(AA48="",0,O48*IF(AA48&gt;1,AA48/100,AA48)))</f>
        <v/>
      </c>
      <c r="AC48" s="14" t="str">
        <f aca="false">IF(O48="","",V48+Y48+AB48)</f>
        <v/>
      </c>
      <c r="AD48" s="19" t="str">
        <f aca="false">IF(O48="","",O48-R48-AC48)</f>
        <v/>
      </c>
      <c r="AE48" s="20"/>
      <c r="AF48" s="10"/>
      <c r="AG48" s="21" t="n">
        <f aca="false">IF(OR(AE48="",AE48=0),0,AE48*IF(U48="",0,IF(U48&gt;1,U48/100,U48)))</f>
        <v>0</v>
      </c>
      <c r="AH48" s="21" t="n">
        <f aca="false">IF(OR(AE48="",AE48=0),0,AE48*IF(X48="",0,IF(X48&gt;1,X48/100,X48)))</f>
        <v>0</v>
      </c>
      <c r="AI48" s="21" t="n">
        <f aca="false">IF(OR(AE48="",AE48=0),0,AE48*IF(AA48="",0,IF(AA48&gt;1,AA48/100,AA48)))</f>
        <v>0</v>
      </c>
      <c r="AJ48" s="21" t="n">
        <f aca="false">AG48+AH48+AI48</f>
        <v>0</v>
      </c>
      <c r="AK48" s="21" t="n">
        <f aca="false">IF(OR(AE48="",AE48=0),0,AE48-AJ48)</f>
        <v>0</v>
      </c>
      <c r="AL48" s="19" t="str">
        <f aca="false">IF(AD48="","",AD48-AK48)</f>
        <v/>
      </c>
      <c r="AM48" s="9" t="str">
        <f aca="false">IF(C48="","","Waiting for payment")</f>
        <v/>
      </c>
      <c r="AN48" s="10"/>
      <c r="AO48" s="10"/>
      <c r="AP48" s="22" t="str">
        <f aca="false">IF(OR(C48="",I48="",K48=""),"",IF(K48="Monthly",EDATE(C48,ROUND(I48*SETTINGS!$I$8,0)),WORKDAY(C48,ROUND(I48*SETTINGS!$I$8,0))))</f>
        <v/>
      </c>
      <c r="AQ48" s="9" t="str">
        <f aca="true">IF(C48="","",IF(AND(AP48&lt;&gt;"",TODAY()&gt;=AP48),"Refi Ready",IF(TODAY()-C48&gt;=SETTINGS!$I$11,"Prospecting","Performing")))</f>
        <v/>
      </c>
      <c r="AR48" s="22" t="str">
        <f aca="false">IF(OR(C48="",I48="",K48=""),"",IF(K48="Monthly",EDATE(C48,I48),WORKDAY(C48,I48)))</f>
        <v/>
      </c>
      <c r="AS48" s="11"/>
      <c r="AT48" s="23" t="str">
        <f aca="true">IF(C48="","",IF(AM48="Clawed Back","CLAWED",IF(TODAY()&lt;=C48+SETTINGS!$I$2,"⚠ AT RISK","SAFE")))</f>
        <v/>
      </c>
      <c r="AU48" s="11"/>
      <c r="AW48" s="24" t="n">
        <f aca="false">AW47+IF(AND(C48&lt;&gt;"",AO48&lt;&gt;"",OR('REP COMMISSION'!$B$3="",T48='REP COMMISSION'!$B$3,W48='REP COMMISSION'!$B$3,Z48='REP COMMISSION'!$B$3)),1,0)</f>
        <v>0</v>
      </c>
      <c r="AX48" s="24" t="n">
        <f aca="false">AX47+IF(AND(C48&lt;&gt;"",OR(F48="LOC - INITIAL",F48="CONSOLIDATION - UPFRONT COMM",F48="REVERSE - TOTAL FUNDING")),1,0)</f>
        <v>0</v>
      </c>
    </row>
    <row r="49" customFormat="false" ht="15" hidden="false" customHeight="false" outlineLevel="0" collapsed="false">
      <c r="A49" s="25" t="str">
        <f aca="false">IF(C49&lt;&gt;"","F27-"&amp;COUNT($C$4:C49),"")</f>
        <v/>
      </c>
      <c r="B49" s="26" t="str">
        <f aca="false">IF(OR(F49="LOC - INITIAL",F49="CONSOLIDATION - UPFRONT COMM",F49="REVERSE - TOTAL FUNDING"),A49,"")</f>
        <v/>
      </c>
      <c r="C49" s="27"/>
      <c r="D49" s="28"/>
      <c r="E49" s="28"/>
      <c r="F49" s="28"/>
      <c r="G49" s="29"/>
      <c r="H49" s="30"/>
      <c r="I49" s="28"/>
      <c r="J49" s="31" t="str">
        <f aca="false">IF(AND(G49&lt;&gt;"",H49&lt;&gt;""),G49*H49,"")</f>
        <v/>
      </c>
      <c r="K49" s="28"/>
      <c r="L49" s="32"/>
      <c r="M49" s="32"/>
      <c r="N49" s="31" t="n">
        <f aca="false">IF(OR(G49="",M49=""),0,IF(M49&gt;100,M49,G49*IF(M49&gt;1,M49/100,M49)))</f>
        <v>0</v>
      </c>
      <c r="O49" s="31" t="str">
        <f aca="false">IF(G49="","",G49*IF(L49="",0,IF(L49&gt;1,L49/100,L49))+N49)</f>
        <v/>
      </c>
      <c r="P49" s="28"/>
      <c r="Q49" s="33" t="str">
        <f aca="false">IF(P49="","",IFERROR(VLOOKUP(P49,PARTNERS!$A$2:$B$30,2,0),""))</f>
        <v/>
      </c>
      <c r="R49" s="17" t="str">
        <f aca="false">IF(O49="","",IF(OR(P49="",Q49=""),0,(O49-N49)*IF(Q49&gt;1,Q49/100,Q49)))</f>
        <v/>
      </c>
      <c r="S49" s="31" t="str">
        <f aca="false">IF(O49="","",O49-R49)</f>
        <v/>
      </c>
      <c r="T49" s="28"/>
      <c r="U49" s="34" t="str">
        <f aca="false">IF(T49="","",IFERROR(VLOOKUP(T49,REPS!$A$2:$D$40,2,0),""))</f>
        <v/>
      </c>
      <c r="V49" s="31" t="str">
        <f aca="false">IF(O49="","",IF(U49="",0,O49*IF(U49&gt;1,U49/100,U49)))</f>
        <v/>
      </c>
      <c r="W49" s="28"/>
      <c r="X49" s="34" t="str">
        <f aca="false">IF(W49="","",IFERROR(VLOOKUP(W49,REPS!$A$2:$D$40,3,0),""))</f>
        <v/>
      </c>
      <c r="Y49" s="31" t="str">
        <f aca="false">IF(O49="","",IF(X49="",0,O49*IF(X49&gt;1,X49/100,X49)))</f>
        <v/>
      </c>
      <c r="Z49" s="28"/>
      <c r="AA49" s="34" t="str">
        <f aca="false">IF(Z49="","",IFERROR(VLOOKUP(Z49,REPS!$A$2:$D$40,4,0),""))</f>
        <v/>
      </c>
      <c r="AB49" s="31" t="str">
        <f aca="false">IF(O49="","",IF(AA49="",0,O49*IF(AA49&gt;1,AA49/100,AA49)))</f>
        <v/>
      </c>
      <c r="AC49" s="31" t="str">
        <f aca="false">IF(O49="","",V49+Y49+AB49)</f>
        <v/>
      </c>
      <c r="AD49" s="19" t="str">
        <f aca="false">IF(O49="","",O49-R49-AC49)</f>
        <v/>
      </c>
      <c r="AE49" s="20"/>
      <c r="AF49" s="27"/>
      <c r="AG49" s="21" t="n">
        <f aca="false">IF(OR(AE49="",AE49=0),0,AE49*IF(U49="",0,IF(U49&gt;1,U49/100,U49)))</f>
        <v>0</v>
      </c>
      <c r="AH49" s="21" t="n">
        <f aca="false">IF(OR(AE49="",AE49=0),0,AE49*IF(X49="",0,IF(X49&gt;1,X49/100,X49)))</f>
        <v>0</v>
      </c>
      <c r="AI49" s="21" t="n">
        <f aca="false">IF(OR(AE49="",AE49=0),0,AE49*IF(AA49="",0,IF(AA49&gt;1,AA49/100,AA49)))</f>
        <v>0</v>
      </c>
      <c r="AJ49" s="21" t="n">
        <f aca="false">AG49+AH49+AI49</f>
        <v>0</v>
      </c>
      <c r="AK49" s="21" t="n">
        <f aca="false">IF(OR(AE49="",AE49=0),0,AE49-AJ49)</f>
        <v>0</v>
      </c>
      <c r="AL49" s="19" t="str">
        <f aca="false">IF(AD49="","",AD49-AK49)</f>
        <v/>
      </c>
      <c r="AM49" s="26" t="str">
        <f aca="false">IF(C49="","","Waiting for payment")</f>
        <v/>
      </c>
      <c r="AN49" s="27"/>
      <c r="AO49" s="27"/>
      <c r="AP49" s="35" t="str">
        <f aca="false">IF(OR(C49="",I49="",K49=""),"",IF(K49="Monthly",EDATE(C49,ROUND(I49*SETTINGS!$I$8,0)),WORKDAY(C49,ROUND(I49*SETTINGS!$I$8,0))))</f>
        <v/>
      </c>
      <c r="AQ49" s="26" t="str">
        <f aca="true">IF(C49="","",IF(AND(AP49&lt;&gt;"",TODAY()&gt;=AP49),"Refi Ready",IF(TODAY()-C49&gt;=SETTINGS!$I$11,"Prospecting","Performing")))</f>
        <v/>
      </c>
      <c r="AR49" s="35" t="str">
        <f aca="false">IF(OR(C49="",I49="",K49=""),"",IF(K49="Monthly",EDATE(C49,I49),WORKDAY(C49,I49)))</f>
        <v/>
      </c>
      <c r="AS49" s="28"/>
      <c r="AT49" s="36" t="str">
        <f aca="true">IF(C49="","",IF(AM49="Clawed Back","CLAWED",IF(TODAY()&lt;=C49+SETTINGS!$I$2,"⚠ AT RISK","SAFE")))</f>
        <v/>
      </c>
      <c r="AU49" s="28"/>
      <c r="AW49" s="24" t="n">
        <f aca="false">AW48+IF(AND(C49&lt;&gt;"",AO49&lt;&gt;"",OR('REP COMMISSION'!$B$3="",T49='REP COMMISSION'!$B$3,W49='REP COMMISSION'!$B$3,Z49='REP COMMISSION'!$B$3)),1,0)</f>
        <v>0</v>
      </c>
      <c r="AX49" s="24" t="n">
        <f aca="false">AX48+IF(AND(C49&lt;&gt;"",OR(F49="LOC - INITIAL",F49="CONSOLIDATION - UPFRONT COMM",F49="REVERSE - TOTAL FUNDING")),1,0)</f>
        <v>0</v>
      </c>
    </row>
    <row r="50" customFormat="false" ht="15" hidden="false" customHeight="false" outlineLevel="0" collapsed="false">
      <c r="A50" s="8" t="str">
        <f aca="false">IF(C50&lt;&gt;"","F27-"&amp;COUNT($C$4:C50),"")</f>
        <v/>
      </c>
      <c r="B50" s="9" t="str">
        <f aca="false">IF(OR(F50="LOC - INITIAL",F50="CONSOLIDATION - UPFRONT COMM",F50="REVERSE - TOTAL FUNDING"),A50,"")</f>
        <v/>
      </c>
      <c r="C50" s="10"/>
      <c r="D50" s="11"/>
      <c r="E50" s="11"/>
      <c r="F50" s="11"/>
      <c r="G50" s="12"/>
      <c r="H50" s="13"/>
      <c r="I50" s="11"/>
      <c r="J50" s="14" t="str">
        <f aca="false">IF(AND(G50&lt;&gt;"",H50&lt;&gt;""),G50*H50,"")</f>
        <v/>
      </c>
      <c r="K50" s="11"/>
      <c r="L50" s="15"/>
      <c r="M50" s="15"/>
      <c r="N50" s="14" t="n">
        <f aca="false">IF(OR(G50="",M50=""),0,IF(M50&gt;100,M50,G50*IF(M50&gt;1,M50/100,M50)))</f>
        <v>0</v>
      </c>
      <c r="O50" s="14" t="str">
        <f aca="false">IF(G50="","",G50*IF(L50="",0,IF(L50&gt;1,L50/100,L50))+N50)</f>
        <v/>
      </c>
      <c r="P50" s="11"/>
      <c r="Q50" s="16" t="str">
        <f aca="false">IF(P50="","",IFERROR(VLOOKUP(P50,PARTNERS!$A$2:$B$30,2,0),""))</f>
        <v/>
      </c>
      <c r="R50" s="17" t="str">
        <f aca="false">IF(O50="","",IF(OR(P50="",Q50=""),0,(O50-N50)*IF(Q50&gt;1,Q50/100,Q50)))</f>
        <v/>
      </c>
      <c r="S50" s="14" t="str">
        <f aca="false">IF(O50="","",O50-R50)</f>
        <v/>
      </c>
      <c r="T50" s="11"/>
      <c r="U50" s="18" t="str">
        <f aca="false">IF(T50="","",IFERROR(VLOOKUP(T50,REPS!$A$2:$D$40,2,0),""))</f>
        <v/>
      </c>
      <c r="V50" s="14" t="str">
        <f aca="false">IF(O50="","",IF(U50="",0,O50*IF(U50&gt;1,U50/100,U50)))</f>
        <v/>
      </c>
      <c r="W50" s="11"/>
      <c r="X50" s="18" t="str">
        <f aca="false">IF(W50="","",IFERROR(VLOOKUP(W50,REPS!$A$2:$D$40,3,0),""))</f>
        <v/>
      </c>
      <c r="Y50" s="14" t="str">
        <f aca="false">IF(O50="","",IF(X50="",0,O50*IF(X50&gt;1,X50/100,X50)))</f>
        <v/>
      </c>
      <c r="Z50" s="11"/>
      <c r="AA50" s="18" t="str">
        <f aca="false">IF(Z50="","",IFERROR(VLOOKUP(Z50,REPS!$A$2:$D$40,4,0),""))</f>
        <v/>
      </c>
      <c r="AB50" s="14" t="str">
        <f aca="false">IF(O50="","",IF(AA50="",0,O50*IF(AA50&gt;1,AA50/100,AA50)))</f>
        <v/>
      </c>
      <c r="AC50" s="14" t="str">
        <f aca="false">IF(O50="","",V50+Y50+AB50)</f>
        <v/>
      </c>
      <c r="AD50" s="19" t="str">
        <f aca="false">IF(O50="","",O50-R50-AC50)</f>
        <v/>
      </c>
      <c r="AE50" s="20"/>
      <c r="AF50" s="10"/>
      <c r="AG50" s="21" t="n">
        <f aca="false">IF(OR(AE50="",AE50=0),0,AE50*IF(U50="",0,IF(U50&gt;1,U50/100,U50)))</f>
        <v>0</v>
      </c>
      <c r="AH50" s="21" t="n">
        <f aca="false">IF(OR(AE50="",AE50=0),0,AE50*IF(X50="",0,IF(X50&gt;1,X50/100,X50)))</f>
        <v>0</v>
      </c>
      <c r="AI50" s="21" t="n">
        <f aca="false">IF(OR(AE50="",AE50=0),0,AE50*IF(AA50="",0,IF(AA50&gt;1,AA50/100,AA50)))</f>
        <v>0</v>
      </c>
      <c r="AJ50" s="21" t="n">
        <f aca="false">AG50+AH50+AI50</f>
        <v>0</v>
      </c>
      <c r="AK50" s="21" t="n">
        <f aca="false">IF(OR(AE50="",AE50=0),0,AE50-AJ50)</f>
        <v>0</v>
      </c>
      <c r="AL50" s="19" t="str">
        <f aca="false">IF(AD50="","",AD50-AK50)</f>
        <v/>
      </c>
      <c r="AM50" s="9" t="str">
        <f aca="false">IF(C50="","","Waiting for payment")</f>
        <v/>
      </c>
      <c r="AN50" s="10"/>
      <c r="AO50" s="10"/>
      <c r="AP50" s="22" t="str">
        <f aca="false">IF(OR(C50="",I50="",K50=""),"",IF(K50="Monthly",EDATE(C50,ROUND(I50*SETTINGS!$I$8,0)),WORKDAY(C50,ROUND(I50*SETTINGS!$I$8,0))))</f>
        <v/>
      </c>
      <c r="AQ50" s="9" t="str">
        <f aca="true">IF(C50="","",IF(AND(AP50&lt;&gt;"",TODAY()&gt;=AP50),"Refi Ready",IF(TODAY()-C50&gt;=SETTINGS!$I$11,"Prospecting","Performing")))</f>
        <v/>
      </c>
      <c r="AR50" s="22" t="str">
        <f aca="false">IF(OR(C50="",I50="",K50=""),"",IF(K50="Monthly",EDATE(C50,I50),WORKDAY(C50,I50)))</f>
        <v/>
      </c>
      <c r="AS50" s="11"/>
      <c r="AT50" s="23" t="str">
        <f aca="true">IF(C50="","",IF(AM50="Clawed Back","CLAWED",IF(TODAY()&lt;=C50+SETTINGS!$I$2,"⚠ AT RISK","SAFE")))</f>
        <v/>
      </c>
      <c r="AU50" s="11"/>
      <c r="AW50" s="24" t="n">
        <f aca="false">AW49+IF(AND(C50&lt;&gt;"",AO50&lt;&gt;"",OR('REP COMMISSION'!$B$3="",T50='REP COMMISSION'!$B$3,W50='REP COMMISSION'!$B$3,Z50='REP COMMISSION'!$B$3)),1,0)</f>
        <v>0</v>
      </c>
      <c r="AX50" s="24" t="n">
        <f aca="false">AX49+IF(AND(C50&lt;&gt;"",OR(F50="LOC - INITIAL",F50="CONSOLIDATION - UPFRONT COMM",F50="REVERSE - TOTAL FUNDING")),1,0)</f>
        <v>0</v>
      </c>
    </row>
    <row r="51" customFormat="false" ht="15" hidden="false" customHeight="false" outlineLevel="0" collapsed="false">
      <c r="A51" s="25" t="str">
        <f aca="false">IF(C51&lt;&gt;"","F27-"&amp;COUNT($C$4:C51),"")</f>
        <v/>
      </c>
      <c r="B51" s="26" t="str">
        <f aca="false">IF(OR(F51="LOC - INITIAL",F51="CONSOLIDATION - UPFRONT COMM",F51="REVERSE - TOTAL FUNDING"),A51,"")</f>
        <v/>
      </c>
      <c r="C51" s="27"/>
      <c r="D51" s="28"/>
      <c r="E51" s="28"/>
      <c r="F51" s="28"/>
      <c r="G51" s="29"/>
      <c r="H51" s="30"/>
      <c r="I51" s="28"/>
      <c r="J51" s="31" t="str">
        <f aca="false">IF(AND(G51&lt;&gt;"",H51&lt;&gt;""),G51*H51,"")</f>
        <v/>
      </c>
      <c r="K51" s="28"/>
      <c r="L51" s="32"/>
      <c r="M51" s="32"/>
      <c r="N51" s="31" t="n">
        <f aca="false">IF(OR(G51="",M51=""),0,IF(M51&gt;100,M51,G51*IF(M51&gt;1,M51/100,M51)))</f>
        <v>0</v>
      </c>
      <c r="O51" s="31" t="str">
        <f aca="false">IF(G51="","",G51*IF(L51="",0,IF(L51&gt;1,L51/100,L51))+N51)</f>
        <v/>
      </c>
      <c r="P51" s="28"/>
      <c r="Q51" s="33" t="str">
        <f aca="false">IF(P51="","",IFERROR(VLOOKUP(P51,PARTNERS!$A$2:$B$30,2,0),""))</f>
        <v/>
      </c>
      <c r="R51" s="17" t="str">
        <f aca="false">IF(O51="","",IF(OR(P51="",Q51=""),0,(O51-N51)*IF(Q51&gt;1,Q51/100,Q51)))</f>
        <v/>
      </c>
      <c r="S51" s="31" t="str">
        <f aca="false">IF(O51="","",O51-R51)</f>
        <v/>
      </c>
      <c r="T51" s="28"/>
      <c r="U51" s="34" t="str">
        <f aca="false">IF(T51="","",IFERROR(VLOOKUP(T51,REPS!$A$2:$D$40,2,0),""))</f>
        <v/>
      </c>
      <c r="V51" s="31" t="str">
        <f aca="false">IF(O51="","",IF(U51="",0,O51*IF(U51&gt;1,U51/100,U51)))</f>
        <v/>
      </c>
      <c r="W51" s="28"/>
      <c r="X51" s="34" t="str">
        <f aca="false">IF(W51="","",IFERROR(VLOOKUP(W51,REPS!$A$2:$D$40,3,0),""))</f>
        <v/>
      </c>
      <c r="Y51" s="31" t="str">
        <f aca="false">IF(O51="","",IF(X51="",0,O51*IF(X51&gt;1,X51/100,X51)))</f>
        <v/>
      </c>
      <c r="Z51" s="28"/>
      <c r="AA51" s="34" t="str">
        <f aca="false">IF(Z51="","",IFERROR(VLOOKUP(Z51,REPS!$A$2:$D$40,4,0),""))</f>
        <v/>
      </c>
      <c r="AB51" s="31" t="str">
        <f aca="false">IF(O51="","",IF(AA51="",0,O51*IF(AA51&gt;1,AA51/100,AA51)))</f>
        <v/>
      </c>
      <c r="AC51" s="31" t="str">
        <f aca="false">IF(O51="","",V51+Y51+AB51)</f>
        <v/>
      </c>
      <c r="AD51" s="19" t="str">
        <f aca="false">IF(O51="","",O51-R51-AC51)</f>
        <v/>
      </c>
      <c r="AE51" s="20"/>
      <c r="AF51" s="27"/>
      <c r="AG51" s="21" t="n">
        <f aca="false">IF(OR(AE51="",AE51=0),0,AE51*IF(U51="",0,IF(U51&gt;1,U51/100,U51)))</f>
        <v>0</v>
      </c>
      <c r="AH51" s="21" t="n">
        <f aca="false">IF(OR(AE51="",AE51=0),0,AE51*IF(X51="",0,IF(X51&gt;1,X51/100,X51)))</f>
        <v>0</v>
      </c>
      <c r="AI51" s="21" t="n">
        <f aca="false">IF(OR(AE51="",AE51=0),0,AE51*IF(AA51="",0,IF(AA51&gt;1,AA51/100,AA51)))</f>
        <v>0</v>
      </c>
      <c r="AJ51" s="21" t="n">
        <f aca="false">AG51+AH51+AI51</f>
        <v>0</v>
      </c>
      <c r="AK51" s="21" t="n">
        <f aca="false">IF(OR(AE51="",AE51=0),0,AE51-AJ51)</f>
        <v>0</v>
      </c>
      <c r="AL51" s="19" t="str">
        <f aca="false">IF(AD51="","",AD51-AK51)</f>
        <v/>
      </c>
      <c r="AM51" s="26" t="str">
        <f aca="false">IF(C51="","","Waiting for payment")</f>
        <v/>
      </c>
      <c r="AN51" s="27"/>
      <c r="AO51" s="27"/>
      <c r="AP51" s="35" t="str">
        <f aca="false">IF(OR(C51="",I51="",K51=""),"",IF(K51="Monthly",EDATE(C51,ROUND(I51*SETTINGS!$I$8,0)),WORKDAY(C51,ROUND(I51*SETTINGS!$I$8,0))))</f>
        <v/>
      </c>
      <c r="AQ51" s="26" t="str">
        <f aca="true">IF(C51="","",IF(AND(AP51&lt;&gt;"",TODAY()&gt;=AP51),"Refi Ready",IF(TODAY()-C51&gt;=SETTINGS!$I$11,"Prospecting","Performing")))</f>
        <v/>
      </c>
      <c r="AR51" s="35" t="str">
        <f aca="false">IF(OR(C51="",I51="",K51=""),"",IF(K51="Monthly",EDATE(C51,I51),WORKDAY(C51,I51)))</f>
        <v/>
      </c>
      <c r="AS51" s="28"/>
      <c r="AT51" s="36" t="str">
        <f aca="true">IF(C51="","",IF(AM51="Clawed Back","CLAWED",IF(TODAY()&lt;=C51+SETTINGS!$I$2,"⚠ AT RISK","SAFE")))</f>
        <v/>
      </c>
      <c r="AU51" s="28"/>
      <c r="AW51" s="24" t="n">
        <f aca="false">AW50+IF(AND(C51&lt;&gt;"",AO51&lt;&gt;"",OR('REP COMMISSION'!$B$3="",T51='REP COMMISSION'!$B$3,W51='REP COMMISSION'!$B$3,Z51='REP COMMISSION'!$B$3)),1,0)</f>
        <v>0</v>
      </c>
      <c r="AX51" s="24" t="n">
        <f aca="false">AX50+IF(AND(C51&lt;&gt;"",OR(F51="LOC - INITIAL",F51="CONSOLIDATION - UPFRONT COMM",F51="REVERSE - TOTAL FUNDING")),1,0)</f>
        <v>0</v>
      </c>
    </row>
    <row r="52" customFormat="false" ht="15" hidden="false" customHeight="false" outlineLevel="0" collapsed="false">
      <c r="A52" s="8" t="str">
        <f aca="false">IF(C52&lt;&gt;"","F27-"&amp;COUNT($C$4:C52),"")</f>
        <v/>
      </c>
      <c r="B52" s="9" t="str">
        <f aca="false">IF(OR(F52="LOC - INITIAL",F52="CONSOLIDATION - UPFRONT COMM",F52="REVERSE - TOTAL FUNDING"),A52,"")</f>
        <v/>
      </c>
      <c r="C52" s="10"/>
      <c r="D52" s="11"/>
      <c r="E52" s="11"/>
      <c r="F52" s="11"/>
      <c r="G52" s="12"/>
      <c r="H52" s="13"/>
      <c r="I52" s="11"/>
      <c r="J52" s="14" t="str">
        <f aca="false">IF(AND(G52&lt;&gt;"",H52&lt;&gt;""),G52*H52,"")</f>
        <v/>
      </c>
      <c r="K52" s="11"/>
      <c r="L52" s="15"/>
      <c r="M52" s="15"/>
      <c r="N52" s="14" t="n">
        <f aca="false">IF(OR(G52="",M52=""),0,IF(M52&gt;100,M52,G52*IF(M52&gt;1,M52/100,M52)))</f>
        <v>0</v>
      </c>
      <c r="O52" s="14" t="str">
        <f aca="false">IF(G52="","",G52*IF(L52="",0,IF(L52&gt;1,L52/100,L52))+N52)</f>
        <v/>
      </c>
      <c r="P52" s="11"/>
      <c r="Q52" s="16" t="str">
        <f aca="false">IF(P52="","",IFERROR(VLOOKUP(P52,PARTNERS!$A$2:$B$30,2,0),""))</f>
        <v/>
      </c>
      <c r="R52" s="17" t="str">
        <f aca="false">IF(O52="","",IF(OR(P52="",Q52=""),0,(O52-N52)*IF(Q52&gt;1,Q52/100,Q52)))</f>
        <v/>
      </c>
      <c r="S52" s="14" t="str">
        <f aca="false">IF(O52="","",O52-R52)</f>
        <v/>
      </c>
      <c r="T52" s="11"/>
      <c r="U52" s="18" t="str">
        <f aca="false">IF(T52="","",IFERROR(VLOOKUP(T52,REPS!$A$2:$D$40,2,0),""))</f>
        <v/>
      </c>
      <c r="V52" s="14" t="str">
        <f aca="false">IF(O52="","",IF(U52="",0,O52*IF(U52&gt;1,U52/100,U52)))</f>
        <v/>
      </c>
      <c r="W52" s="11"/>
      <c r="X52" s="18" t="str">
        <f aca="false">IF(W52="","",IFERROR(VLOOKUP(W52,REPS!$A$2:$D$40,3,0),""))</f>
        <v/>
      </c>
      <c r="Y52" s="14" t="str">
        <f aca="false">IF(O52="","",IF(X52="",0,O52*IF(X52&gt;1,X52/100,X52)))</f>
        <v/>
      </c>
      <c r="Z52" s="11"/>
      <c r="AA52" s="18" t="str">
        <f aca="false">IF(Z52="","",IFERROR(VLOOKUP(Z52,REPS!$A$2:$D$40,4,0),""))</f>
        <v/>
      </c>
      <c r="AB52" s="14" t="str">
        <f aca="false">IF(O52="","",IF(AA52="",0,O52*IF(AA52&gt;1,AA52/100,AA52)))</f>
        <v/>
      </c>
      <c r="AC52" s="14" t="str">
        <f aca="false">IF(O52="","",V52+Y52+AB52)</f>
        <v/>
      </c>
      <c r="AD52" s="19" t="str">
        <f aca="false">IF(O52="","",O52-R52-AC52)</f>
        <v/>
      </c>
      <c r="AE52" s="20"/>
      <c r="AF52" s="10"/>
      <c r="AG52" s="21" t="n">
        <f aca="false">IF(OR(AE52="",AE52=0),0,AE52*IF(U52="",0,IF(U52&gt;1,U52/100,U52)))</f>
        <v>0</v>
      </c>
      <c r="AH52" s="21" t="n">
        <f aca="false">IF(OR(AE52="",AE52=0),0,AE52*IF(X52="",0,IF(X52&gt;1,X52/100,X52)))</f>
        <v>0</v>
      </c>
      <c r="AI52" s="21" t="n">
        <f aca="false">IF(OR(AE52="",AE52=0),0,AE52*IF(AA52="",0,IF(AA52&gt;1,AA52/100,AA52)))</f>
        <v>0</v>
      </c>
      <c r="AJ52" s="21" t="n">
        <f aca="false">AG52+AH52+AI52</f>
        <v>0</v>
      </c>
      <c r="AK52" s="21" t="n">
        <f aca="false">IF(OR(AE52="",AE52=0),0,AE52-AJ52)</f>
        <v>0</v>
      </c>
      <c r="AL52" s="19" t="str">
        <f aca="false">IF(AD52="","",AD52-AK52)</f>
        <v/>
      </c>
      <c r="AM52" s="9" t="str">
        <f aca="false">IF(C52="","","Waiting for payment")</f>
        <v/>
      </c>
      <c r="AN52" s="10"/>
      <c r="AO52" s="10"/>
      <c r="AP52" s="22" t="str">
        <f aca="false">IF(OR(C52="",I52="",K52=""),"",IF(K52="Monthly",EDATE(C52,ROUND(I52*SETTINGS!$I$8,0)),WORKDAY(C52,ROUND(I52*SETTINGS!$I$8,0))))</f>
        <v/>
      </c>
      <c r="AQ52" s="9" t="str">
        <f aca="true">IF(C52="","",IF(AND(AP52&lt;&gt;"",TODAY()&gt;=AP52),"Refi Ready",IF(TODAY()-C52&gt;=SETTINGS!$I$11,"Prospecting","Performing")))</f>
        <v/>
      </c>
      <c r="AR52" s="22" t="str">
        <f aca="false">IF(OR(C52="",I52="",K52=""),"",IF(K52="Monthly",EDATE(C52,I52),WORKDAY(C52,I52)))</f>
        <v/>
      </c>
      <c r="AS52" s="11"/>
      <c r="AT52" s="23" t="str">
        <f aca="true">IF(C52="","",IF(AM52="Clawed Back","CLAWED",IF(TODAY()&lt;=C52+SETTINGS!$I$2,"⚠ AT RISK","SAFE")))</f>
        <v/>
      </c>
      <c r="AU52" s="11"/>
      <c r="AW52" s="24" t="n">
        <f aca="false">AW51+IF(AND(C52&lt;&gt;"",AO52&lt;&gt;"",OR('REP COMMISSION'!$B$3="",T52='REP COMMISSION'!$B$3,W52='REP COMMISSION'!$B$3,Z52='REP COMMISSION'!$B$3)),1,0)</f>
        <v>0</v>
      </c>
      <c r="AX52" s="24" t="n">
        <f aca="false">AX51+IF(AND(C52&lt;&gt;"",OR(F52="LOC - INITIAL",F52="CONSOLIDATION - UPFRONT COMM",F52="REVERSE - TOTAL FUNDING")),1,0)</f>
        <v>0</v>
      </c>
    </row>
    <row r="53" customFormat="false" ht="15" hidden="false" customHeight="false" outlineLevel="0" collapsed="false">
      <c r="A53" s="25" t="str">
        <f aca="false">IF(C53&lt;&gt;"","F27-"&amp;COUNT($C$4:C53),"")</f>
        <v/>
      </c>
      <c r="B53" s="26" t="str">
        <f aca="false">IF(OR(F53="LOC - INITIAL",F53="CONSOLIDATION - UPFRONT COMM",F53="REVERSE - TOTAL FUNDING"),A53,"")</f>
        <v/>
      </c>
      <c r="C53" s="27"/>
      <c r="D53" s="28"/>
      <c r="E53" s="28"/>
      <c r="F53" s="28"/>
      <c r="G53" s="29"/>
      <c r="H53" s="30"/>
      <c r="I53" s="28"/>
      <c r="J53" s="31" t="str">
        <f aca="false">IF(AND(G53&lt;&gt;"",H53&lt;&gt;""),G53*H53,"")</f>
        <v/>
      </c>
      <c r="K53" s="28"/>
      <c r="L53" s="32"/>
      <c r="M53" s="32"/>
      <c r="N53" s="31" t="n">
        <f aca="false">IF(OR(G53="",M53=""),0,IF(M53&gt;100,M53,G53*IF(M53&gt;1,M53/100,M53)))</f>
        <v>0</v>
      </c>
      <c r="O53" s="31" t="str">
        <f aca="false">IF(G53="","",G53*IF(L53="",0,IF(L53&gt;1,L53/100,L53))+N53)</f>
        <v/>
      </c>
      <c r="P53" s="28"/>
      <c r="Q53" s="33" t="str">
        <f aca="false">IF(P53="","",IFERROR(VLOOKUP(P53,PARTNERS!$A$2:$B$30,2,0),""))</f>
        <v/>
      </c>
      <c r="R53" s="17" t="str">
        <f aca="false">IF(O53="","",IF(OR(P53="",Q53=""),0,(O53-N53)*IF(Q53&gt;1,Q53/100,Q53)))</f>
        <v/>
      </c>
      <c r="S53" s="31" t="str">
        <f aca="false">IF(O53="","",O53-R53)</f>
        <v/>
      </c>
      <c r="T53" s="28"/>
      <c r="U53" s="34" t="str">
        <f aca="false">IF(T53="","",IFERROR(VLOOKUP(T53,REPS!$A$2:$D$40,2,0),""))</f>
        <v/>
      </c>
      <c r="V53" s="31" t="str">
        <f aca="false">IF(O53="","",IF(U53="",0,O53*IF(U53&gt;1,U53/100,U53)))</f>
        <v/>
      </c>
      <c r="W53" s="28"/>
      <c r="X53" s="34" t="str">
        <f aca="false">IF(W53="","",IFERROR(VLOOKUP(W53,REPS!$A$2:$D$40,3,0),""))</f>
        <v/>
      </c>
      <c r="Y53" s="31" t="str">
        <f aca="false">IF(O53="","",IF(X53="",0,O53*IF(X53&gt;1,X53/100,X53)))</f>
        <v/>
      </c>
      <c r="Z53" s="28"/>
      <c r="AA53" s="34" t="str">
        <f aca="false">IF(Z53="","",IFERROR(VLOOKUP(Z53,REPS!$A$2:$D$40,4,0),""))</f>
        <v/>
      </c>
      <c r="AB53" s="31" t="str">
        <f aca="false">IF(O53="","",IF(AA53="",0,O53*IF(AA53&gt;1,AA53/100,AA53)))</f>
        <v/>
      </c>
      <c r="AC53" s="31" t="str">
        <f aca="false">IF(O53="","",V53+Y53+AB53)</f>
        <v/>
      </c>
      <c r="AD53" s="19" t="str">
        <f aca="false">IF(O53="","",O53-R53-AC53)</f>
        <v/>
      </c>
      <c r="AE53" s="20"/>
      <c r="AF53" s="27"/>
      <c r="AG53" s="21" t="n">
        <f aca="false">IF(OR(AE53="",AE53=0),0,AE53*IF(U53="",0,IF(U53&gt;1,U53/100,U53)))</f>
        <v>0</v>
      </c>
      <c r="AH53" s="21" t="n">
        <f aca="false">IF(OR(AE53="",AE53=0),0,AE53*IF(X53="",0,IF(X53&gt;1,X53/100,X53)))</f>
        <v>0</v>
      </c>
      <c r="AI53" s="21" t="n">
        <f aca="false">IF(OR(AE53="",AE53=0),0,AE53*IF(AA53="",0,IF(AA53&gt;1,AA53/100,AA53)))</f>
        <v>0</v>
      </c>
      <c r="AJ53" s="21" t="n">
        <f aca="false">AG53+AH53+AI53</f>
        <v>0</v>
      </c>
      <c r="AK53" s="21" t="n">
        <f aca="false">IF(OR(AE53="",AE53=0),0,AE53-AJ53)</f>
        <v>0</v>
      </c>
      <c r="AL53" s="19" t="str">
        <f aca="false">IF(AD53="","",AD53-AK53)</f>
        <v/>
      </c>
      <c r="AM53" s="26" t="str">
        <f aca="false">IF(C53="","","Waiting for payment")</f>
        <v/>
      </c>
      <c r="AN53" s="27"/>
      <c r="AO53" s="27"/>
      <c r="AP53" s="35" t="str">
        <f aca="false">IF(OR(C53="",I53="",K53=""),"",IF(K53="Monthly",EDATE(C53,ROUND(I53*SETTINGS!$I$8,0)),WORKDAY(C53,ROUND(I53*SETTINGS!$I$8,0))))</f>
        <v/>
      </c>
      <c r="AQ53" s="26" t="str">
        <f aca="true">IF(C53="","",IF(AND(AP53&lt;&gt;"",TODAY()&gt;=AP53),"Refi Ready",IF(TODAY()-C53&gt;=SETTINGS!$I$11,"Prospecting","Performing")))</f>
        <v/>
      </c>
      <c r="AR53" s="35" t="str">
        <f aca="false">IF(OR(C53="",I53="",K53=""),"",IF(K53="Monthly",EDATE(C53,I53),WORKDAY(C53,I53)))</f>
        <v/>
      </c>
      <c r="AS53" s="28"/>
      <c r="AT53" s="36" t="str">
        <f aca="true">IF(C53="","",IF(AM53="Clawed Back","CLAWED",IF(TODAY()&lt;=C53+SETTINGS!$I$2,"⚠ AT RISK","SAFE")))</f>
        <v/>
      </c>
      <c r="AU53" s="28"/>
      <c r="AW53" s="24" t="n">
        <f aca="false">AW52+IF(AND(C53&lt;&gt;"",AO53&lt;&gt;"",OR('REP COMMISSION'!$B$3="",T53='REP COMMISSION'!$B$3,W53='REP COMMISSION'!$B$3,Z53='REP COMMISSION'!$B$3)),1,0)</f>
        <v>0</v>
      </c>
      <c r="AX53" s="24" t="n">
        <f aca="false">AX52+IF(AND(C53&lt;&gt;"",OR(F53="LOC - INITIAL",F53="CONSOLIDATION - UPFRONT COMM",F53="REVERSE - TOTAL FUNDING")),1,0)</f>
        <v>0</v>
      </c>
    </row>
    <row r="54" customFormat="false" ht="15" hidden="false" customHeight="false" outlineLevel="0" collapsed="false">
      <c r="A54" s="8" t="str">
        <f aca="false">IF(C54&lt;&gt;"","F27-"&amp;COUNT($C$4:C54),"")</f>
        <v/>
      </c>
      <c r="B54" s="9" t="str">
        <f aca="false">IF(OR(F54="LOC - INITIAL",F54="CONSOLIDATION - UPFRONT COMM",F54="REVERSE - TOTAL FUNDING"),A54,"")</f>
        <v/>
      </c>
      <c r="C54" s="10"/>
      <c r="D54" s="11"/>
      <c r="E54" s="11"/>
      <c r="F54" s="11"/>
      <c r="G54" s="12"/>
      <c r="H54" s="13"/>
      <c r="I54" s="11"/>
      <c r="J54" s="14" t="str">
        <f aca="false">IF(AND(G54&lt;&gt;"",H54&lt;&gt;""),G54*H54,"")</f>
        <v/>
      </c>
      <c r="K54" s="11"/>
      <c r="L54" s="15"/>
      <c r="M54" s="15"/>
      <c r="N54" s="14" t="n">
        <f aca="false">IF(OR(G54="",M54=""),0,IF(M54&gt;100,M54,G54*IF(M54&gt;1,M54/100,M54)))</f>
        <v>0</v>
      </c>
      <c r="O54" s="14" t="str">
        <f aca="false">IF(G54="","",G54*IF(L54="",0,IF(L54&gt;1,L54/100,L54))+N54)</f>
        <v/>
      </c>
      <c r="P54" s="11"/>
      <c r="Q54" s="16" t="str">
        <f aca="false">IF(P54="","",IFERROR(VLOOKUP(P54,PARTNERS!$A$2:$B$30,2,0),""))</f>
        <v/>
      </c>
      <c r="R54" s="17" t="str">
        <f aca="false">IF(O54="","",IF(OR(P54="",Q54=""),0,(O54-N54)*IF(Q54&gt;1,Q54/100,Q54)))</f>
        <v/>
      </c>
      <c r="S54" s="14" t="str">
        <f aca="false">IF(O54="","",O54-R54)</f>
        <v/>
      </c>
      <c r="T54" s="11"/>
      <c r="U54" s="18" t="str">
        <f aca="false">IF(T54="","",IFERROR(VLOOKUP(T54,REPS!$A$2:$D$40,2,0),""))</f>
        <v/>
      </c>
      <c r="V54" s="14" t="str">
        <f aca="false">IF(O54="","",IF(U54="",0,O54*IF(U54&gt;1,U54/100,U54)))</f>
        <v/>
      </c>
      <c r="W54" s="11"/>
      <c r="X54" s="18" t="str">
        <f aca="false">IF(W54="","",IFERROR(VLOOKUP(W54,REPS!$A$2:$D$40,3,0),""))</f>
        <v/>
      </c>
      <c r="Y54" s="14" t="str">
        <f aca="false">IF(O54="","",IF(X54="",0,O54*IF(X54&gt;1,X54/100,X54)))</f>
        <v/>
      </c>
      <c r="Z54" s="11"/>
      <c r="AA54" s="18" t="str">
        <f aca="false">IF(Z54="","",IFERROR(VLOOKUP(Z54,REPS!$A$2:$D$40,4,0),""))</f>
        <v/>
      </c>
      <c r="AB54" s="14" t="str">
        <f aca="false">IF(O54="","",IF(AA54="",0,O54*IF(AA54&gt;1,AA54/100,AA54)))</f>
        <v/>
      </c>
      <c r="AC54" s="14" t="str">
        <f aca="false">IF(O54="","",V54+Y54+AB54)</f>
        <v/>
      </c>
      <c r="AD54" s="19" t="str">
        <f aca="false">IF(O54="","",O54-R54-AC54)</f>
        <v/>
      </c>
      <c r="AE54" s="20"/>
      <c r="AF54" s="10"/>
      <c r="AG54" s="21" t="n">
        <f aca="false">IF(OR(AE54="",AE54=0),0,AE54*IF(U54="",0,IF(U54&gt;1,U54/100,U54)))</f>
        <v>0</v>
      </c>
      <c r="AH54" s="21" t="n">
        <f aca="false">IF(OR(AE54="",AE54=0),0,AE54*IF(X54="",0,IF(X54&gt;1,X54/100,X54)))</f>
        <v>0</v>
      </c>
      <c r="AI54" s="21" t="n">
        <f aca="false">IF(OR(AE54="",AE54=0),0,AE54*IF(AA54="",0,IF(AA54&gt;1,AA54/100,AA54)))</f>
        <v>0</v>
      </c>
      <c r="AJ54" s="21" t="n">
        <f aca="false">AG54+AH54+AI54</f>
        <v>0</v>
      </c>
      <c r="AK54" s="21" t="n">
        <f aca="false">IF(OR(AE54="",AE54=0),0,AE54-AJ54)</f>
        <v>0</v>
      </c>
      <c r="AL54" s="19" t="str">
        <f aca="false">IF(AD54="","",AD54-AK54)</f>
        <v/>
      </c>
      <c r="AM54" s="9" t="str">
        <f aca="false">IF(C54="","","Waiting for payment")</f>
        <v/>
      </c>
      <c r="AN54" s="10"/>
      <c r="AO54" s="10"/>
      <c r="AP54" s="22" t="str">
        <f aca="false">IF(OR(C54="",I54="",K54=""),"",IF(K54="Monthly",EDATE(C54,ROUND(I54*SETTINGS!$I$8,0)),WORKDAY(C54,ROUND(I54*SETTINGS!$I$8,0))))</f>
        <v/>
      </c>
      <c r="AQ54" s="9" t="str">
        <f aca="true">IF(C54="","",IF(AND(AP54&lt;&gt;"",TODAY()&gt;=AP54),"Refi Ready",IF(TODAY()-C54&gt;=SETTINGS!$I$11,"Prospecting","Performing")))</f>
        <v/>
      </c>
      <c r="AR54" s="22" t="str">
        <f aca="false">IF(OR(C54="",I54="",K54=""),"",IF(K54="Monthly",EDATE(C54,I54),WORKDAY(C54,I54)))</f>
        <v/>
      </c>
      <c r="AS54" s="11"/>
      <c r="AT54" s="23" t="str">
        <f aca="true">IF(C54="","",IF(AM54="Clawed Back","CLAWED",IF(TODAY()&lt;=C54+SETTINGS!$I$2,"⚠ AT RISK","SAFE")))</f>
        <v/>
      </c>
      <c r="AU54" s="11"/>
      <c r="AW54" s="24" t="n">
        <f aca="false">AW53+IF(AND(C54&lt;&gt;"",AO54&lt;&gt;"",OR('REP COMMISSION'!$B$3="",T54='REP COMMISSION'!$B$3,W54='REP COMMISSION'!$B$3,Z54='REP COMMISSION'!$B$3)),1,0)</f>
        <v>0</v>
      </c>
      <c r="AX54" s="24" t="n">
        <f aca="false">AX53+IF(AND(C54&lt;&gt;"",OR(F54="LOC - INITIAL",F54="CONSOLIDATION - UPFRONT COMM",F54="REVERSE - TOTAL FUNDING")),1,0)</f>
        <v>0</v>
      </c>
    </row>
    <row r="55" customFormat="false" ht="15" hidden="false" customHeight="false" outlineLevel="0" collapsed="false">
      <c r="A55" s="25" t="str">
        <f aca="false">IF(C55&lt;&gt;"","F27-"&amp;COUNT($C$4:C55),"")</f>
        <v/>
      </c>
      <c r="B55" s="26" t="str">
        <f aca="false">IF(OR(F55="LOC - INITIAL",F55="CONSOLIDATION - UPFRONT COMM",F55="REVERSE - TOTAL FUNDING"),A55,"")</f>
        <v/>
      </c>
      <c r="C55" s="27"/>
      <c r="D55" s="28"/>
      <c r="E55" s="28"/>
      <c r="F55" s="28"/>
      <c r="G55" s="29"/>
      <c r="H55" s="30"/>
      <c r="I55" s="28"/>
      <c r="J55" s="31" t="str">
        <f aca="false">IF(AND(G55&lt;&gt;"",H55&lt;&gt;""),G55*H55,"")</f>
        <v/>
      </c>
      <c r="K55" s="28"/>
      <c r="L55" s="32"/>
      <c r="M55" s="32"/>
      <c r="N55" s="31" t="n">
        <f aca="false">IF(OR(G55="",M55=""),0,IF(M55&gt;100,M55,G55*IF(M55&gt;1,M55/100,M55)))</f>
        <v>0</v>
      </c>
      <c r="O55" s="31" t="str">
        <f aca="false">IF(G55="","",G55*IF(L55="",0,IF(L55&gt;1,L55/100,L55))+N55)</f>
        <v/>
      </c>
      <c r="P55" s="28"/>
      <c r="Q55" s="33" t="str">
        <f aca="false">IF(P55="","",IFERROR(VLOOKUP(P55,PARTNERS!$A$2:$B$30,2,0),""))</f>
        <v/>
      </c>
      <c r="R55" s="17" t="str">
        <f aca="false">IF(O55="","",IF(OR(P55="",Q55=""),0,(O55-N55)*IF(Q55&gt;1,Q55/100,Q55)))</f>
        <v/>
      </c>
      <c r="S55" s="31" t="str">
        <f aca="false">IF(O55="","",O55-R55)</f>
        <v/>
      </c>
      <c r="T55" s="28"/>
      <c r="U55" s="34" t="str">
        <f aca="false">IF(T55="","",IFERROR(VLOOKUP(T55,REPS!$A$2:$D$40,2,0),""))</f>
        <v/>
      </c>
      <c r="V55" s="31" t="str">
        <f aca="false">IF(O55="","",IF(U55="",0,O55*IF(U55&gt;1,U55/100,U55)))</f>
        <v/>
      </c>
      <c r="W55" s="28"/>
      <c r="X55" s="34" t="str">
        <f aca="false">IF(W55="","",IFERROR(VLOOKUP(W55,REPS!$A$2:$D$40,3,0),""))</f>
        <v/>
      </c>
      <c r="Y55" s="31" t="str">
        <f aca="false">IF(O55="","",IF(X55="",0,O55*IF(X55&gt;1,X55/100,X55)))</f>
        <v/>
      </c>
      <c r="Z55" s="28"/>
      <c r="AA55" s="34" t="str">
        <f aca="false">IF(Z55="","",IFERROR(VLOOKUP(Z55,REPS!$A$2:$D$40,4,0),""))</f>
        <v/>
      </c>
      <c r="AB55" s="31" t="str">
        <f aca="false">IF(O55="","",IF(AA55="",0,O55*IF(AA55&gt;1,AA55/100,AA55)))</f>
        <v/>
      </c>
      <c r="AC55" s="31" t="str">
        <f aca="false">IF(O55="","",V55+Y55+AB55)</f>
        <v/>
      </c>
      <c r="AD55" s="19" t="str">
        <f aca="false">IF(O55="","",O55-R55-AC55)</f>
        <v/>
      </c>
      <c r="AE55" s="20"/>
      <c r="AF55" s="27"/>
      <c r="AG55" s="21" t="n">
        <f aca="false">IF(OR(AE55="",AE55=0),0,AE55*IF(U55="",0,IF(U55&gt;1,U55/100,U55)))</f>
        <v>0</v>
      </c>
      <c r="AH55" s="21" t="n">
        <f aca="false">IF(OR(AE55="",AE55=0),0,AE55*IF(X55="",0,IF(X55&gt;1,X55/100,X55)))</f>
        <v>0</v>
      </c>
      <c r="AI55" s="21" t="n">
        <f aca="false">IF(OR(AE55="",AE55=0),0,AE55*IF(AA55="",0,IF(AA55&gt;1,AA55/100,AA55)))</f>
        <v>0</v>
      </c>
      <c r="AJ55" s="21" t="n">
        <f aca="false">AG55+AH55+AI55</f>
        <v>0</v>
      </c>
      <c r="AK55" s="21" t="n">
        <f aca="false">IF(OR(AE55="",AE55=0),0,AE55-AJ55)</f>
        <v>0</v>
      </c>
      <c r="AL55" s="19" t="str">
        <f aca="false">IF(AD55="","",AD55-AK55)</f>
        <v/>
      </c>
      <c r="AM55" s="26" t="str">
        <f aca="false">IF(C55="","","Waiting for payment")</f>
        <v/>
      </c>
      <c r="AN55" s="27"/>
      <c r="AO55" s="27"/>
      <c r="AP55" s="35" t="str">
        <f aca="false">IF(OR(C55="",I55="",K55=""),"",IF(K55="Monthly",EDATE(C55,ROUND(I55*SETTINGS!$I$8,0)),WORKDAY(C55,ROUND(I55*SETTINGS!$I$8,0))))</f>
        <v/>
      </c>
      <c r="AQ55" s="26" t="str">
        <f aca="true">IF(C55="","",IF(AND(AP55&lt;&gt;"",TODAY()&gt;=AP55),"Refi Ready",IF(TODAY()-C55&gt;=SETTINGS!$I$11,"Prospecting","Performing")))</f>
        <v/>
      </c>
      <c r="AR55" s="35" t="str">
        <f aca="false">IF(OR(C55="",I55="",K55=""),"",IF(K55="Monthly",EDATE(C55,I55),WORKDAY(C55,I55)))</f>
        <v/>
      </c>
      <c r="AS55" s="28"/>
      <c r="AT55" s="36" t="str">
        <f aca="true">IF(C55="","",IF(AM55="Clawed Back","CLAWED",IF(TODAY()&lt;=C55+SETTINGS!$I$2,"⚠ AT RISK","SAFE")))</f>
        <v/>
      </c>
      <c r="AU55" s="28"/>
      <c r="AW55" s="24" t="n">
        <f aca="false">AW54+IF(AND(C55&lt;&gt;"",AO55&lt;&gt;"",OR('REP COMMISSION'!$B$3="",T55='REP COMMISSION'!$B$3,W55='REP COMMISSION'!$B$3,Z55='REP COMMISSION'!$B$3)),1,0)</f>
        <v>0</v>
      </c>
      <c r="AX55" s="24" t="n">
        <f aca="false">AX54+IF(AND(C55&lt;&gt;"",OR(F55="LOC - INITIAL",F55="CONSOLIDATION - UPFRONT COMM",F55="REVERSE - TOTAL FUNDING")),1,0)</f>
        <v>0</v>
      </c>
    </row>
    <row r="56" customFormat="false" ht="15" hidden="false" customHeight="false" outlineLevel="0" collapsed="false">
      <c r="A56" s="8" t="str">
        <f aca="false">IF(C56&lt;&gt;"","F27-"&amp;COUNT($C$4:C56),"")</f>
        <v/>
      </c>
      <c r="B56" s="9" t="str">
        <f aca="false">IF(OR(F56="LOC - INITIAL",F56="CONSOLIDATION - UPFRONT COMM",F56="REVERSE - TOTAL FUNDING"),A56,"")</f>
        <v/>
      </c>
      <c r="C56" s="10"/>
      <c r="D56" s="11"/>
      <c r="E56" s="11"/>
      <c r="F56" s="11"/>
      <c r="G56" s="12"/>
      <c r="H56" s="13"/>
      <c r="I56" s="11"/>
      <c r="J56" s="14" t="str">
        <f aca="false">IF(AND(G56&lt;&gt;"",H56&lt;&gt;""),G56*H56,"")</f>
        <v/>
      </c>
      <c r="K56" s="11"/>
      <c r="L56" s="15"/>
      <c r="M56" s="15"/>
      <c r="N56" s="14" t="n">
        <f aca="false">IF(OR(G56="",M56=""),0,IF(M56&gt;100,M56,G56*IF(M56&gt;1,M56/100,M56)))</f>
        <v>0</v>
      </c>
      <c r="O56" s="14" t="str">
        <f aca="false">IF(G56="","",G56*IF(L56="",0,IF(L56&gt;1,L56/100,L56))+N56)</f>
        <v/>
      </c>
      <c r="P56" s="11"/>
      <c r="Q56" s="16" t="str">
        <f aca="false">IF(P56="","",IFERROR(VLOOKUP(P56,PARTNERS!$A$2:$B$30,2,0),""))</f>
        <v/>
      </c>
      <c r="R56" s="17" t="str">
        <f aca="false">IF(O56="","",IF(OR(P56="",Q56=""),0,(O56-N56)*IF(Q56&gt;1,Q56/100,Q56)))</f>
        <v/>
      </c>
      <c r="S56" s="14" t="str">
        <f aca="false">IF(O56="","",O56-R56)</f>
        <v/>
      </c>
      <c r="T56" s="11"/>
      <c r="U56" s="18" t="str">
        <f aca="false">IF(T56="","",IFERROR(VLOOKUP(T56,REPS!$A$2:$D$40,2,0),""))</f>
        <v/>
      </c>
      <c r="V56" s="14" t="str">
        <f aca="false">IF(O56="","",IF(U56="",0,O56*IF(U56&gt;1,U56/100,U56)))</f>
        <v/>
      </c>
      <c r="W56" s="11"/>
      <c r="X56" s="18" t="str">
        <f aca="false">IF(W56="","",IFERROR(VLOOKUP(W56,REPS!$A$2:$D$40,3,0),""))</f>
        <v/>
      </c>
      <c r="Y56" s="14" t="str">
        <f aca="false">IF(O56="","",IF(X56="",0,O56*IF(X56&gt;1,X56/100,X56)))</f>
        <v/>
      </c>
      <c r="Z56" s="11"/>
      <c r="AA56" s="18" t="str">
        <f aca="false">IF(Z56="","",IFERROR(VLOOKUP(Z56,REPS!$A$2:$D$40,4,0),""))</f>
        <v/>
      </c>
      <c r="AB56" s="14" t="str">
        <f aca="false">IF(O56="","",IF(AA56="",0,O56*IF(AA56&gt;1,AA56/100,AA56)))</f>
        <v/>
      </c>
      <c r="AC56" s="14" t="str">
        <f aca="false">IF(O56="","",V56+Y56+AB56)</f>
        <v/>
      </c>
      <c r="AD56" s="19" t="str">
        <f aca="false">IF(O56="","",O56-R56-AC56)</f>
        <v/>
      </c>
      <c r="AE56" s="20"/>
      <c r="AF56" s="10"/>
      <c r="AG56" s="21" t="n">
        <f aca="false">IF(OR(AE56="",AE56=0),0,AE56*IF(U56="",0,IF(U56&gt;1,U56/100,U56)))</f>
        <v>0</v>
      </c>
      <c r="AH56" s="21" t="n">
        <f aca="false">IF(OR(AE56="",AE56=0),0,AE56*IF(X56="",0,IF(X56&gt;1,X56/100,X56)))</f>
        <v>0</v>
      </c>
      <c r="AI56" s="21" t="n">
        <f aca="false">IF(OR(AE56="",AE56=0),0,AE56*IF(AA56="",0,IF(AA56&gt;1,AA56/100,AA56)))</f>
        <v>0</v>
      </c>
      <c r="AJ56" s="21" t="n">
        <f aca="false">AG56+AH56+AI56</f>
        <v>0</v>
      </c>
      <c r="AK56" s="21" t="n">
        <f aca="false">IF(OR(AE56="",AE56=0),0,AE56-AJ56)</f>
        <v>0</v>
      </c>
      <c r="AL56" s="19" t="str">
        <f aca="false">IF(AD56="","",AD56-AK56)</f>
        <v/>
      </c>
      <c r="AM56" s="9" t="str">
        <f aca="false">IF(C56="","","Waiting for payment")</f>
        <v/>
      </c>
      <c r="AN56" s="10"/>
      <c r="AO56" s="10"/>
      <c r="AP56" s="22" t="str">
        <f aca="false">IF(OR(C56="",I56="",K56=""),"",IF(K56="Monthly",EDATE(C56,ROUND(I56*SETTINGS!$I$8,0)),WORKDAY(C56,ROUND(I56*SETTINGS!$I$8,0))))</f>
        <v/>
      </c>
      <c r="AQ56" s="9" t="str">
        <f aca="true">IF(C56="","",IF(AND(AP56&lt;&gt;"",TODAY()&gt;=AP56),"Refi Ready",IF(TODAY()-C56&gt;=SETTINGS!$I$11,"Prospecting","Performing")))</f>
        <v/>
      </c>
      <c r="AR56" s="22" t="str">
        <f aca="false">IF(OR(C56="",I56="",K56=""),"",IF(K56="Monthly",EDATE(C56,I56),WORKDAY(C56,I56)))</f>
        <v/>
      </c>
      <c r="AS56" s="11"/>
      <c r="AT56" s="23" t="str">
        <f aca="true">IF(C56="","",IF(AM56="Clawed Back","CLAWED",IF(TODAY()&lt;=C56+SETTINGS!$I$2,"⚠ AT RISK","SAFE")))</f>
        <v/>
      </c>
      <c r="AU56" s="11"/>
      <c r="AW56" s="24" t="n">
        <f aca="false">AW55+IF(AND(C56&lt;&gt;"",AO56&lt;&gt;"",OR('REP COMMISSION'!$B$3="",T56='REP COMMISSION'!$B$3,W56='REP COMMISSION'!$B$3,Z56='REP COMMISSION'!$B$3)),1,0)</f>
        <v>0</v>
      </c>
      <c r="AX56" s="24" t="n">
        <f aca="false">AX55+IF(AND(C56&lt;&gt;"",OR(F56="LOC - INITIAL",F56="CONSOLIDATION - UPFRONT COMM",F56="REVERSE - TOTAL FUNDING")),1,0)</f>
        <v>0</v>
      </c>
    </row>
    <row r="57" customFormat="false" ht="15" hidden="false" customHeight="false" outlineLevel="0" collapsed="false">
      <c r="A57" s="25" t="str">
        <f aca="false">IF(C57&lt;&gt;"","F27-"&amp;COUNT($C$4:C57),"")</f>
        <v/>
      </c>
      <c r="B57" s="26" t="str">
        <f aca="false">IF(OR(F57="LOC - INITIAL",F57="CONSOLIDATION - UPFRONT COMM",F57="REVERSE - TOTAL FUNDING"),A57,"")</f>
        <v/>
      </c>
      <c r="C57" s="27"/>
      <c r="D57" s="28"/>
      <c r="E57" s="28"/>
      <c r="F57" s="28"/>
      <c r="G57" s="29"/>
      <c r="H57" s="30"/>
      <c r="I57" s="28"/>
      <c r="J57" s="31" t="str">
        <f aca="false">IF(AND(G57&lt;&gt;"",H57&lt;&gt;""),G57*H57,"")</f>
        <v/>
      </c>
      <c r="K57" s="28"/>
      <c r="L57" s="32"/>
      <c r="M57" s="32"/>
      <c r="N57" s="31" t="n">
        <f aca="false">IF(OR(G57="",M57=""),0,IF(M57&gt;100,M57,G57*IF(M57&gt;1,M57/100,M57)))</f>
        <v>0</v>
      </c>
      <c r="O57" s="31" t="str">
        <f aca="false">IF(G57="","",G57*IF(L57="",0,IF(L57&gt;1,L57/100,L57))+N57)</f>
        <v/>
      </c>
      <c r="P57" s="28"/>
      <c r="Q57" s="33" t="str">
        <f aca="false">IF(P57="","",IFERROR(VLOOKUP(P57,PARTNERS!$A$2:$B$30,2,0),""))</f>
        <v/>
      </c>
      <c r="R57" s="17" t="str">
        <f aca="false">IF(O57="","",IF(OR(P57="",Q57=""),0,(O57-N57)*IF(Q57&gt;1,Q57/100,Q57)))</f>
        <v/>
      </c>
      <c r="S57" s="31" t="str">
        <f aca="false">IF(O57="","",O57-R57)</f>
        <v/>
      </c>
      <c r="T57" s="28"/>
      <c r="U57" s="34" t="str">
        <f aca="false">IF(T57="","",IFERROR(VLOOKUP(T57,REPS!$A$2:$D$40,2,0),""))</f>
        <v/>
      </c>
      <c r="V57" s="31" t="str">
        <f aca="false">IF(O57="","",IF(U57="",0,O57*IF(U57&gt;1,U57/100,U57)))</f>
        <v/>
      </c>
      <c r="W57" s="28"/>
      <c r="X57" s="34" t="str">
        <f aca="false">IF(W57="","",IFERROR(VLOOKUP(W57,REPS!$A$2:$D$40,3,0),""))</f>
        <v/>
      </c>
      <c r="Y57" s="31" t="str">
        <f aca="false">IF(O57="","",IF(X57="",0,O57*IF(X57&gt;1,X57/100,X57)))</f>
        <v/>
      </c>
      <c r="Z57" s="28"/>
      <c r="AA57" s="34" t="str">
        <f aca="false">IF(Z57="","",IFERROR(VLOOKUP(Z57,REPS!$A$2:$D$40,4,0),""))</f>
        <v/>
      </c>
      <c r="AB57" s="31" t="str">
        <f aca="false">IF(O57="","",IF(AA57="",0,O57*IF(AA57&gt;1,AA57/100,AA57)))</f>
        <v/>
      </c>
      <c r="AC57" s="31" t="str">
        <f aca="false">IF(O57="","",V57+Y57+AB57)</f>
        <v/>
      </c>
      <c r="AD57" s="19" t="str">
        <f aca="false">IF(O57="","",O57-R57-AC57)</f>
        <v/>
      </c>
      <c r="AE57" s="20"/>
      <c r="AF57" s="27"/>
      <c r="AG57" s="21" t="n">
        <f aca="false">IF(OR(AE57="",AE57=0),0,AE57*IF(U57="",0,IF(U57&gt;1,U57/100,U57)))</f>
        <v>0</v>
      </c>
      <c r="AH57" s="21" t="n">
        <f aca="false">IF(OR(AE57="",AE57=0),0,AE57*IF(X57="",0,IF(X57&gt;1,X57/100,X57)))</f>
        <v>0</v>
      </c>
      <c r="AI57" s="21" t="n">
        <f aca="false">IF(OR(AE57="",AE57=0),0,AE57*IF(AA57="",0,IF(AA57&gt;1,AA57/100,AA57)))</f>
        <v>0</v>
      </c>
      <c r="AJ57" s="21" t="n">
        <f aca="false">AG57+AH57+AI57</f>
        <v>0</v>
      </c>
      <c r="AK57" s="21" t="n">
        <f aca="false">IF(OR(AE57="",AE57=0),0,AE57-AJ57)</f>
        <v>0</v>
      </c>
      <c r="AL57" s="19" t="str">
        <f aca="false">IF(AD57="","",AD57-AK57)</f>
        <v/>
      </c>
      <c r="AM57" s="26" t="str">
        <f aca="false">IF(C57="","","Waiting for payment")</f>
        <v/>
      </c>
      <c r="AN57" s="27"/>
      <c r="AO57" s="27"/>
      <c r="AP57" s="35" t="str">
        <f aca="false">IF(OR(C57="",I57="",K57=""),"",IF(K57="Monthly",EDATE(C57,ROUND(I57*SETTINGS!$I$8,0)),WORKDAY(C57,ROUND(I57*SETTINGS!$I$8,0))))</f>
        <v/>
      </c>
      <c r="AQ57" s="26" t="str">
        <f aca="true">IF(C57="","",IF(AND(AP57&lt;&gt;"",TODAY()&gt;=AP57),"Refi Ready",IF(TODAY()-C57&gt;=SETTINGS!$I$11,"Prospecting","Performing")))</f>
        <v/>
      </c>
      <c r="AR57" s="35" t="str">
        <f aca="false">IF(OR(C57="",I57="",K57=""),"",IF(K57="Monthly",EDATE(C57,I57),WORKDAY(C57,I57)))</f>
        <v/>
      </c>
      <c r="AS57" s="28"/>
      <c r="AT57" s="36" t="str">
        <f aca="true">IF(C57="","",IF(AM57="Clawed Back","CLAWED",IF(TODAY()&lt;=C57+SETTINGS!$I$2,"⚠ AT RISK","SAFE")))</f>
        <v/>
      </c>
      <c r="AU57" s="28"/>
      <c r="AW57" s="24" t="n">
        <f aca="false">AW56+IF(AND(C57&lt;&gt;"",AO57&lt;&gt;"",OR('REP COMMISSION'!$B$3="",T57='REP COMMISSION'!$B$3,W57='REP COMMISSION'!$B$3,Z57='REP COMMISSION'!$B$3)),1,0)</f>
        <v>0</v>
      </c>
      <c r="AX57" s="24" t="n">
        <f aca="false">AX56+IF(AND(C57&lt;&gt;"",OR(F57="LOC - INITIAL",F57="CONSOLIDATION - UPFRONT COMM",F57="REVERSE - TOTAL FUNDING")),1,0)</f>
        <v>0</v>
      </c>
    </row>
    <row r="58" customFormat="false" ht="15" hidden="false" customHeight="false" outlineLevel="0" collapsed="false">
      <c r="A58" s="8" t="str">
        <f aca="false">IF(C58&lt;&gt;"","F27-"&amp;COUNT($C$4:C58),"")</f>
        <v/>
      </c>
      <c r="B58" s="9" t="str">
        <f aca="false">IF(OR(F58="LOC - INITIAL",F58="CONSOLIDATION - UPFRONT COMM",F58="REVERSE - TOTAL FUNDING"),A58,"")</f>
        <v/>
      </c>
      <c r="C58" s="10"/>
      <c r="D58" s="11"/>
      <c r="E58" s="11"/>
      <c r="F58" s="11"/>
      <c r="G58" s="12"/>
      <c r="H58" s="13"/>
      <c r="I58" s="11"/>
      <c r="J58" s="14" t="str">
        <f aca="false">IF(AND(G58&lt;&gt;"",H58&lt;&gt;""),G58*H58,"")</f>
        <v/>
      </c>
      <c r="K58" s="11"/>
      <c r="L58" s="15"/>
      <c r="M58" s="15"/>
      <c r="N58" s="14" t="n">
        <f aca="false">IF(OR(G58="",M58=""),0,IF(M58&gt;100,M58,G58*IF(M58&gt;1,M58/100,M58)))</f>
        <v>0</v>
      </c>
      <c r="O58" s="14" t="str">
        <f aca="false">IF(G58="","",G58*IF(L58="",0,IF(L58&gt;1,L58/100,L58))+N58)</f>
        <v/>
      </c>
      <c r="P58" s="11"/>
      <c r="Q58" s="16" t="str">
        <f aca="false">IF(P58="","",IFERROR(VLOOKUP(P58,PARTNERS!$A$2:$B$30,2,0),""))</f>
        <v/>
      </c>
      <c r="R58" s="17" t="str">
        <f aca="false">IF(O58="","",IF(OR(P58="",Q58=""),0,(O58-N58)*IF(Q58&gt;1,Q58/100,Q58)))</f>
        <v/>
      </c>
      <c r="S58" s="14" t="str">
        <f aca="false">IF(O58="","",O58-R58)</f>
        <v/>
      </c>
      <c r="T58" s="11"/>
      <c r="U58" s="18" t="str">
        <f aca="false">IF(T58="","",IFERROR(VLOOKUP(T58,REPS!$A$2:$D$40,2,0),""))</f>
        <v/>
      </c>
      <c r="V58" s="14" t="str">
        <f aca="false">IF(O58="","",IF(U58="",0,O58*IF(U58&gt;1,U58/100,U58)))</f>
        <v/>
      </c>
      <c r="W58" s="11"/>
      <c r="X58" s="18" t="str">
        <f aca="false">IF(W58="","",IFERROR(VLOOKUP(W58,REPS!$A$2:$D$40,3,0),""))</f>
        <v/>
      </c>
      <c r="Y58" s="14" t="str">
        <f aca="false">IF(O58="","",IF(X58="",0,O58*IF(X58&gt;1,X58/100,X58)))</f>
        <v/>
      </c>
      <c r="Z58" s="11"/>
      <c r="AA58" s="18" t="str">
        <f aca="false">IF(Z58="","",IFERROR(VLOOKUP(Z58,REPS!$A$2:$D$40,4,0),""))</f>
        <v/>
      </c>
      <c r="AB58" s="14" t="str">
        <f aca="false">IF(O58="","",IF(AA58="",0,O58*IF(AA58&gt;1,AA58/100,AA58)))</f>
        <v/>
      </c>
      <c r="AC58" s="14" t="str">
        <f aca="false">IF(O58="","",V58+Y58+AB58)</f>
        <v/>
      </c>
      <c r="AD58" s="19" t="str">
        <f aca="false">IF(O58="","",O58-R58-AC58)</f>
        <v/>
      </c>
      <c r="AE58" s="20"/>
      <c r="AF58" s="10"/>
      <c r="AG58" s="21" t="n">
        <f aca="false">IF(OR(AE58="",AE58=0),0,AE58*IF(U58="",0,IF(U58&gt;1,U58/100,U58)))</f>
        <v>0</v>
      </c>
      <c r="AH58" s="21" t="n">
        <f aca="false">IF(OR(AE58="",AE58=0),0,AE58*IF(X58="",0,IF(X58&gt;1,X58/100,X58)))</f>
        <v>0</v>
      </c>
      <c r="AI58" s="21" t="n">
        <f aca="false">IF(OR(AE58="",AE58=0),0,AE58*IF(AA58="",0,IF(AA58&gt;1,AA58/100,AA58)))</f>
        <v>0</v>
      </c>
      <c r="AJ58" s="21" t="n">
        <f aca="false">AG58+AH58+AI58</f>
        <v>0</v>
      </c>
      <c r="AK58" s="21" t="n">
        <f aca="false">IF(OR(AE58="",AE58=0),0,AE58-AJ58)</f>
        <v>0</v>
      </c>
      <c r="AL58" s="19" t="str">
        <f aca="false">IF(AD58="","",AD58-AK58)</f>
        <v/>
      </c>
      <c r="AM58" s="9" t="str">
        <f aca="false">IF(C58="","","Waiting for payment")</f>
        <v/>
      </c>
      <c r="AN58" s="10"/>
      <c r="AO58" s="10"/>
      <c r="AP58" s="22" t="str">
        <f aca="false">IF(OR(C58="",I58="",K58=""),"",IF(K58="Monthly",EDATE(C58,ROUND(I58*SETTINGS!$I$8,0)),WORKDAY(C58,ROUND(I58*SETTINGS!$I$8,0))))</f>
        <v/>
      </c>
      <c r="AQ58" s="9" t="str">
        <f aca="true">IF(C58="","",IF(AND(AP58&lt;&gt;"",TODAY()&gt;=AP58),"Refi Ready",IF(TODAY()-C58&gt;=SETTINGS!$I$11,"Prospecting","Performing")))</f>
        <v/>
      </c>
      <c r="AR58" s="22" t="str">
        <f aca="false">IF(OR(C58="",I58="",K58=""),"",IF(K58="Monthly",EDATE(C58,I58),WORKDAY(C58,I58)))</f>
        <v/>
      </c>
      <c r="AS58" s="11"/>
      <c r="AT58" s="23" t="str">
        <f aca="true">IF(C58="","",IF(AM58="Clawed Back","CLAWED",IF(TODAY()&lt;=C58+SETTINGS!$I$2,"⚠ AT RISK","SAFE")))</f>
        <v/>
      </c>
      <c r="AU58" s="11"/>
      <c r="AW58" s="24" t="n">
        <f aca="false">AW57+IF(AND(C58&lt;&gt;"",AO58&lt;&gt;"",OR('REP COMMISSION'!$B$3="",T58='REP COMMISSION'!$B$3,W58='REP COMMISSION'!$B$3,Z58='REP COMMISSION'!$B$3)),1,0)</f>
        <v>0</v>
      </c>
      <c r="AX58" s="24" t="n">
        <f aca="false">AX57+IF(AND(C58&lt;&gt;"",OR(F58="LOC - INITIAL",F58="CONSOLIDATION - UPFRONT COMM",F58="REVERSE - TOTAL FUNDING")),1,0)</f>
        <v>0</v>
      </c>
    </row>
    <row r="59" customFormat="false" ht="15" hidden="false" customHeight="false" outlineLevel="0" collapsed="false">
      <c r="A59" s="25" t="str">
        <f aca="false">IF(C59&lt;&gt;"","F27-"&amp;COUNT($C$4:C59),"")</f>
        <v/>
      </c>
      <c r="B59" s="26" t="str">
        <f aca="false">IF(OR(F59="LOC - INITIAL",F59="CONSOLIDATION - UPFRONT COMM",F59="REVERSE - TOTAL FUNDING"),A59,"")</f>
        <v/>
      </c>
      <c r="C59" s="27"/>
      <c r="D59" s="28"/>
      <c r="E59" s="28"/>
      <c r="F59" s="28"/>
      <c r="G59" s="29"/>
      <c r="H59" s="30"/>
      <c r="I59" s="28"/>
      <c r="J59" s="31" t="str">
        <f aca="false">IF(AND(G59&lt;&gt;"",H59&lt;&gt;""),G59*H59,"")</f>
        <v/>
      </c>
      <c r="K59" s="28"/>
      <c r="L59" s="32"/>
      <c r="M59" s="32"/>
      <c r="N59" s="31" t="n">
        <f aca="false">IF(OR(G59="",M59=""),0,IF(M59&gt;100,M59,G59*IF(M59&gt;1,M59/100,M59)))</f>
        <v>0</v>
      </c>
      <c r="O59" s="31" t="str">
        <f aca="false">IF(G59="","",G59*IF(L59="",0,IF(L59&gt;1,L59/100,L59))+N59)</f>
        <v/>
      </c>
      <c r="P59" s="28"/>
      <c r="Q59" s="33" t="str">
        <f aca="false">IF(P59="","",IFERROR(VLOOKUP(P59,PARTNERS!$A$2:$B$30,2,0),""))</f>
        <v/>
      </c>
      <c r="R59" s="17" t="str">
        <f aca="false">IF(O59="","",IF(OR(P59="",Q59=""),0,(O59-N59)*IF(Q59&gt;1,Q59/100,Q59)))</f>
        <v/>
      </c>
      <c r="S59" s="31" t="str">
        <f aca="false">IF(O59="","",O59-R59)</f>
        <v/>
      </c>
      <c r="T59" s="28"/>
      <c r="U59" s="34" t="str">
        <f aca="false">IF(T59="","",IFERROR(VLOOKUP(T59,REPS!$A$2:$D$40,2,0),""))</f>
        <v/>
      </c>
      <c r="V59" s="31" t="str">
        <f aca="false">IF(O59="","",IF(U59="",0,O59*IF(U59&gt;1,U59/100,U59)))</f>
        <v/>
      </c>
      <c r="W59" s="28"/>
      <c r="X59" s="34" t="str">
        <f aca="false">IF(W59="","",IFERROR(VLOOKUP(W59,REPS!$A$2:$D$40,3,0),""))</f>
        <v/>
      </c>
      <c r="Y59" s="31" t="str">
        <f aca="false">IF(O59="","",IF(X59="",0,O59*IF(X59&gt;1,X59/100,X59)))</f>
        <v/>
      </c>
      <c r="Z59" s="28"/>
      <c r="AA59" s="34" t="str">
        <f aca="false">IF(Z59="","",IFERROR(VLOOKUP(Z59,REPS!$A$2:$D$40,4,0),""))</f>
        <v/>
      </c>
      <c r="AB59" s="31" t="str">
        <f aca="false">IF(O59="","",IF(AA59="",0,O59*IF(AA59&gt;1,AA59/100,AA59)))</f>
        <v/>
      </c>
      <c r="AC59" s="31" t="str">
        <f aca="false">IF(O59="","",V59+Y59+AB59)</f>
        <v/>
      </c>
      <c r="AD59" s="19" t="str">
        <f aca="false">IF(O59="","",O59-R59-AC59)</f>
        <v/>
      </c>
      <c r="AE59" s="20"/>
      <c r="AF59" s="27"/>
      <c r="AG59" s="21" t="n">
        <f aca="false">IF(OR(AE59="",AE59=0),0,AE59*IF(U59="",0,IF(U59&gt;1,U59/100,U59)))</f>
        <v>0</v>
      </c>
      <c r="AH59" s="21" t="n">
        <f aca="false">IF(OR(AE59="",AE59=0),0,AE59*IF(X59="",0,IF(X59&gt;1,X59/100,X59)))</f>
        <v>0</v>
      </c>
      <c r="AI59" s="21" t="n">
        <f aca="false">IF(OR(AE59="",AE59=0),0,AE59*IF(AA59="",0,IF(AA59&gt;1,AA59/100,AA59)))</f>
        <v>0</v>
      </c>
      <c r="AJ59" s="21" t="n">
        <f aca="false">AG59+AH59+AI59</f>
        <v>0</v>
      </c>
      <c r="AK59" s="21" t="n">
        <f aca="false">IF(OR(AE59="",AE59=0),0,AE59-AJ59)</f>
        <v>0</v>
      </c>
      <c r="AL59" s="19" t="str">
        <f aca="false">IF(AD59="","",AD59-AK59)</f>
        <v/>
      </c>
      <c r="AM59" s="26" t="str">
        <f aca="false">IF(C59="","","Waiting for payment")</f>
        <v/>
      </c>
      <c r="AN59" s="27"/>
      <c r="AO59" s="27"/>
      <c r="AP59" s="35" t="str">
        <f aca="false">IF(OR(C59="",I59="",K59=""),"",IF(K59="Monthly",EDATE(C59,ROUND(I59*SETTINGS!$I$8,0)),WORKDAY(C59,ROUND(I59*SETTINGS!$I$8,0))))</f>
        <v/>
      </c>
      <c r="AQ59" s="26" t="str">
        <f aca="true">IF(C59="","",IF(AND(AP59&lt;&gt;"",TODAY()&gt;=AP59),"Refi Ready",IF(TODAY()-C59&gt;=SETTINGS!$I$11,"Prospecting","Performing")))</f>
        <v/>
      </c>
      <c r="AR59" s="35" t="str">
        <f aca="false">IF(OR(C59="",I59="",K59=""),"",IF(K59="Monthly",EDATE(C59,I59),WORKDAY(C59,I59)))</f>
        <v/>
      </c>
      <c r="AS59" s="28"/>
      <c r="AT59" s="36" t="str">
        <f aca="true">IF(C59="","",IF(AM59="Clawed Back","CLAWED",IF(TODAY()&lt;=C59+SETTINGS!$I$2,"⚠ AT RISK","SAFE")))</f>
        <v/>
      </c>
      <c r="AU59" s="28"/>
      <c r="AW59" s="24" t="n">
        <f aca="false">AW58+IF(AND(C59&lt;&gt;"",AO59&lt;&gt;"",OR('REP COMMISSION'!$B$3="",T59='REP COMMISSION'!$B$3,W59='REP COMMISSION'!$B$3,Z59='REP COMMISSION'!$B$3)),1,0)</f>
        <v>0</v>
      </c>
      <c r="AX59" s="24" t="n">
        <f aca="false">AX58+IF(AND(C59&lt;&gt;"",OR(F59="LOC - INITIAL",F59="CONSOLIDATION - UPFRONT COMM",F59="REVERSE - TOTAL FUNDING")),1,0)</f>
        <v>0</v>
      </c>
    </row>
    <row r="60" customFormat="false" ht="15" hidden="false" customHeight="false" outlineLevel="0" collapsed="false">
      <c r="A60" s="8" t="str">
        <f aca="false">IF(C60&lt;&gt;"","F27-"&amp;COUNT($C$4:C60),"")</f>
        <v/>
      </c>
      <c r="B60" s="9" t="str">
        <f aca="false">IF(OR(F60="LOC - INITIAL",F60="CONSOLIDATION - UPFRONT COMM",F60="REVERSE - TOTAL FUNDING"),A60,"")</f>
        <v/>
      </c>
      <c r="C60" s="10"/>
      <c r="D60" s="11"/>
      <c r="E60" s="11"/>
      <c r="F60" s="11"/>
      <c r="G60" s="12"/>
      <c r="H60" s="13"/>
      <c r="I60" s="11"/>
      <c r="J60" s="14" t="str">
        <f aca="false">IF(AND(G60&lt;&gt;"",H60&lt;&gt;""),G60*H60,"")</f>
        <v/>
      </c>
      <c r="K60" s="11"/>
      <c r="L60" s="15"/>
      <c r="M60" s="15"/>
      <c r="N60" s="14" t="n">
        <f aca="false">IF(OR(G60="",M60=""),0,IF(M60&gt;100,M60,G60*IF(M60&gt;1,M60/100,M60)))</f>
        <v>0</v>
      </c>
      <c r="O60" s="14" t="str">
        <f aca="false">IF(G60="","",G60*IF(L60="",0,IF(L60&gt;1,L60/100,L60))+N60)</f>
        <v/>
      </c>
      <c r="P60" s="11"/>
      <c r="Q60" s="16" t="str">
        <f aca="false">IF(P60="","",IFERROR(VLOOKUP(P60,PARTNERS!$A$2:$B$30,2,0),""))</f>
        <v/>
      </c>
      <c r="R60" s="17" t="str">
        <f aca="false">IF(O60="","",IF(OR(P60="",Q60=""),0,(O60-N60)*IF(Q60&gt;1,Q60/100,Q60)))</f>
        <v/>
      </c>
      <c r="S60" s="14" t="str">
        <f aca="false">IF(O60="","",O60-R60)</f>
        <v/>
      </c>
      <c r="T60" s="11"/>
      <c r="U60" s="18" t="str">
        <f aca="false">IF(T60="","",IFERROR(VLOOKUP(T60,REPS!$A$2:$D$40,2,0),""))</f>
        <v/>
      </c>
      <c r="V60" s="14" t="str">
        <f aca="false">IF(O60="","",IF(U60="",0,O60*IF(U60&gt;1,U60/100,U60)))</f>
        <v/>
      </c>
      <c r="W60" s="11"/>
      <c r="X60" s="18" t="str">
        <f aca="false">IF(W60="","",IFERROR(VLOOKUP(W60,REPS!$A$2:$D$40,3,0),""))</f>
        <v/>
      </c>
      <c r="Y60" s="14" t="str">
        <f aca="false">IF(O60="","",IF(X60="",0,O60*IF(X60&gt;1,X60/100,X60)))</f>
        <v/>
      </c>
      <c r="Z60" s="11"/>
      <c r="AA60" s="18" t="str">
        <f aca="false">IF(Z60="","",IFERROR(VLOOKUP(Z60,REPS!$A$2:$D$40,4,0),""))</f>
        <v/>
      </c>
      <c r="AB60" s="14" t="str">
        <f aca="false">IF(O60="","",IF(AA60="",0,O60*IF(AA60&gt;1,AA60/100,AA60)))</f>
        <v/>
      </c>
      <c r="AC60" s="14" t="str">
        <f aca="false">IF(O60="","",V60+Y60+AB60)</f>
        <v/>
      </c>
      <c r="AD60" s="19" t="str">
        <f aca="false">IF(O60="","",O60-R60-AC60)</f>
        <v/>
      </c>
      <c r="AE60" s="20"/>
      <c r="AF60" s="10"/>
      <c r="AG60" s="21" t="n">
        <f aca="false">IF(OR(AE60="",AE60=0),0,AE60*IF(U60="",0,IF(U60&gt;1,U60/100,U60)))</f>
        <v>0</v>
      </c>
      <c r="AH60" s="21" t="n">
        <f aca="false">IF(OR(AE60="",AE60=0),0,AE60*IF(X60="",0,IF(X60&gt;1,X60/100,X60)))</f>
        <v>0</v>
      </c>
      <c r="AI60" s="21" t="n">
        <f aca="false">IF(OR(AE60="",AE60=0),0,AE60*IF(AA60="",0,IF(AA60&gt;1,AA60/100,AA60)))</f>
        <v>0</v>
      </c>
      <c r="AJ60" s="21" t="n">
        <f aca="false">AG60+AH60+AI60</f>
        <v>0</v>
      </c>
      <c r="AK60" s="21" t="n">
        <f aca="false">IF(OR(AE60="",AE60=0),0,AE60-AJ60)</f>
        <v>0</v>
      </c>
      <c r="AL60" s="19" t="str">
        <f aca="false">IF(AD60="","",AD60-AK60)</f>
        <v/>
      </c>
      <c r="AM60" s="9" t="str">
        <f aca="false">IF(C60="","","Waiting for payment")</f>
        <v/>
      </c>
      <c r="AN60" s="10"/>
      <c r="AO60" s="10"/>
      <c r="AP60" s="22" t="str">
        <f aca="false">IF(OR(C60="",I60="",K60=""),"",IF(K60="Monthly",EDATE(C60,ROUND(I60*SETTINGS!$I$8,0)),WORKDAY(C60,ROUND(I60*SETTINGS!$I$8,0))))</f>
        <v/>
      </c>
      <c r="AQ60" s="9" t="str">
        <f aca="true">IF(C60="","",IF(AND(AP60&lt;&gt;"",TODAY()&gt;=AP60),"Refi Ready",IF(TODAY()-C60&gt;=SETTINGS!$I$11,"Prospecting","Performing")))</f>
        <v/>
      </c>
      <c r="AR60" s="22" t="str">
        <f aca="false">IF(OR(C60="",I60="",K60=""),"",IF(K60="Monthly",EDATE(C60,I60),WORKDAY(C60,I60)))</f>
        <v/>
      </c>
      <c r="AS60" s="11"/>
      <c r="AT60" s="23" t="str">
        <f aca="true">IF(C60="","",IF(AM60="Clawed Back","CLAWED",IF(TODAY()&lt;=C60+SETTINGS!$I$2,"⚠ AT RISK","SAFE")))</f>
        <v/>
      </c>
      <c r="AU60" s="11"/>
      <c r="AW60" s="24" t="n">
        <f aca="false">AW59+IF(AND(C60&lt;&gt;"",AO60&lt;&gt;"",OR('REP COMMISSION'!$B$3="",T60='REP COMMISSION'!$B$3,W60='REP COMMISSION'!$B$3,Z60='REP COMMISSION'!$B$3)),1,0)</f>
        <v>0</v>
      </c>
      <c r="AX60" s="24" t="n">
        <f aca="false">AX59+IF(AND(C60&lt;&gt;"",OR(F60="LOC - INITIAL",F60="CONSOLIDATION - UPFRONT COMM",F60="REVERSE - TOTAL FUNDING")),1,0)</f>
        <v>0</v>
      </c>
    </row>
    <row r="61" customFormat="false" ht="15" hidden="false" customHeight="false" outlineLevel="0" collapsed="false">
      <c r="A61" s="25" t="str">
        <f aca="false">IF(C61&lt;&gt;"","F27-"&amp;COUNT($C$4:C61),"")</f>
        <v/>
      </c>
      <c r="B61" s="26" t="str">
        <f aca="false">IF(OR(F61="LOC - INITIAL",F61="CONSOLIDATION - UPFRONT COMM",F61="REVERSE - TOTAL FUNDING"),A61,"")</f>
        <v/>
      </c>
      <c r="C61" s="27"/>
      <c r="D61" s="28"/>
      <c r="E61" s="28"/>
      <c r="F61" s="28"/>
      <c r="G61" s="29"/>
      <c r="H61" s="30"/>
      <c r="I61" s="28"/>
      <c r="J61" s="31" t="str">
        <f aca="false">IF(AND(G61&lt;&gt;"",H61&lt;&gt;""),G61*H61,"")</f>
        <v/>
      </c>
      <c r="K61" s="28"/>
      <c r="L61" s="32"/>
      <c r="M61" s="32"/>
      <c r="N61" s="31" t="n">
        <f aca="false">IF(OR(G61="",M61=""),0,IF(M61&gt;100,M61,G61*IF(M61&gt;1,M61/100,M61)))</f>
        <v>0</v>
      </c>
      <c r="O61" s="31" t="str">
        <f aca="false">IF(G61="","",G61*IF(L61="",0,IF(L61&gt;1,L61/100,L61))+N61)</f>
        <v/>
      </c>
      <c r="P61" s="28"/>
      <c r="Q61" s="33" t="str">
        <f aca="false">IF(P61="","",IFERROR(VLOOKUP(P61,PARTNERS!$A$2:$B$30,2,0),""))</f>
        <v/>
      </c>
      <c r="R61" s="17" t="str">
        <f aca="false">IF(O61="","",IF(OR(P61="",Q61=""),0,(O61-N61)*IF(Q61&gt;1,Q61/100,Q61)))</f>
        <v/>
      </c>
      <c r="S61" s="31" t="str">
        <f aca="false">IF(O61="","",O61-R61)</f>
        <v/>
      </c>
      <c r="T61" s="28"/>
      <c r="U61" s="34" t="str">
        <f aca="false">IF(T61="","",IFERROR(VLOOKUP(T61,REPS!$A$2:$D$40,2,0),""))</f>
        <v/>
      </c>
      <c r="V61" s="31" t="str">
        <f aca="false">IF(O61="","",IF(U61="",0,O61*IF(U61&gt;1,U61/100,U61)))</f>
        <v/>
      </c>
      <c r="W61" s="28"/>
      <c r="X61" s="34" t="str">
        <f aca="false">IF(W61="","",IFERROR(VLOOKUP(W61,REPS!$A$2:$D$40,3,0),""))</f>
        <v/>
      </c>
      <c r="Y61" s="31" t="str">
        <f aca="false">IF(O61="","",IF(X61="",0,O61*IF(X61&gt;1,X61/100,X61)))</f>
        <v/>
      </c>
      <c r="Z61" s="28"/>
      <c r="AA61" s="34" t="str">
        <f aca="false">IF(Z61="","",IFERROR(VLOOKUP(Z61,REPS!$A$2:$D$40,4,0),""))</f>
        <v/>
      </c>
      <c r="AB61" s="31" t="str">
        <f aca="false">IF(O61="","",IF(AA61="",0,O61*IF(AA61&gt;1,AA61/100,AA61)))</f>
        <v/>
      </c>
      <c r="AC61" s="31" t="str">
        <f aca="false">IF(O61="","",V61+Y61+AB61)</f>
        <v/>
      </c>
      <c r="AD61" s="19" t="str">
        <f aca="false">IF(O61="","",O61-R61-AC61)</f>
        <v/>
      </c>
      <c r="AE61" s="20"/>
      <c r="AF61" s="27"/>
      <c r="AG61" s="21" t="n">
        <f aca="false">IF(OR(AE61="",AE61=0),0,AE61*IF(U61="",0,IF(U61&gt;1,U61/100,U61)))</f>
        <v>0</v>
      </c>
      <c r="AH61" s="21" t="n">
        <f aca="false">IF(OR(AE61="",AE61=0),0,AE61*IF(X61="",0,IF(X61&gt;1,X61/100,X61)))</f>
        <v>0</v>
      </c>
      <c r="AI61" s="21" t="n">
        <f aca="false">IF(OR(AE61="",AE61=0),0,AE61*IF(AA61="",0,IF(AA61&gt;1,AA61/100,AA61)))</f>
        <v>0</v>
      </c>
      <c r="AJ61" s="21" t="n">
        <f aca="false">AG61+AH61+AI61</f>
        <v>0</v>
      </c>
      <c r="AK61" s="21" t="n">
        <f aca="false">IF(OR(AE61="",AE61=0),0,AE61-AJ61)</f>
        <v>0</v>
      </c>
      <c r="AL61" s="19" t="str">
        <f aca="false">IF(AD61="","",AD61-AK61)</f>
        <v/>
      </c>
      <c r="AM61" s="26" t="str">
        <f aca="false">IF(C61="","","Waiting for payment")</f>
        <v/>
      </c>
      <c r="AN61" s="27"/>
      <c r="AO61" s="27"/>
      <c r="AP61" s="35" t="str">
        <f aca="false">IF(OR(C61="",I61="",K61=""),"",IF(K61="Monthly",EDATE(C61,ROUND(I61*SETTINGS!$I$8,0)),WORKDAY(C61,ROUND(I61*SETTINGS!$I$8,0))))</f>
        <v/>
      </c>
      <c r="AQ61" s="26" t="str">
        <f aca="true">IF(C61="","",IF(AND(AP61&lt;&gt;"",TODAY()&gt;=AP61),"Refi Ready",IF(TODAY()-C61&gt;=SETTINGS!$I$11,"Prospecting","Performing")))</f>
        <v/>
      </c>
      <c r="AR61" s="35" t="str">
        <f aca="false">IF(OR(C61="",I61="",K61=""),"",IF(K61="Monthly",EDATE(C61,I61),WORKDAY(C61,I61)))</f>
        <v/>
      </c>
      <c r="AS61" s="28"/>
      <c r="AT61" s="36" t="str">
        <f aca="true">IF(C61="","",IF(AM61="Clawed Back","CLAWED",IF(TODAY()&lt;=C61+SETTINGS!$I$2,"⚠ AT RISK","SAFE")))</f>
        <v/>
      </c>
      <c r="AU61" s="28"/>
      <c r="AW61" s="24" t="n">
        <f aca="false">AW60+IF(AND(C61&lt;&gt;"",AO61&lt;&gt;"",OR('REP COMMISSION'!$B$3="",T61='REP COMMISSION'!$B$3,W61='REP COMMISSION'!$B$3,Z61='REP COMMISSION'!$B$3)),1,0)</f>
        <v>0</v>
      </c>
      <c r="AX61" s="24" t="n">
        <f aca="false">AX60+IF(AND(C61&lt;&gt;"",OR(F61="LOC - INITIAL",F61="CONSOLIDATION - UPFRONT COMM",F61="REVERSE - TOTAL FUNDING")),1,0)</f>
        <v>0</v>
      </c>
    </row>
    <row r="62" customFormat="false" ht="15" hidden="false" customHeight="false" outlineLevel="0" collapsed="false">
      <c r="A62" s="8" t="str">
        <f aca="false">IF(C62&lt;&gt;"","F27-"&amp;COUNT($C$4:C62),"")</f>
        <v/>
      </c>
      <c r="B62" s="9" t="str">
        <f aca="false">IF(OR(F62="LOC - INITIAL",F62="CONSOLIDATION - UPFRONT COMM",F62="REVERSE - TOTAL FUNDING"),A62,"")</f>
        <v/>
      </c>
      <c r="C62" s="10"/>
      <c r="D62" s="11"/>
      <c r="E62" s="11"/>
      <c r="F62" s="11"/>
      <c r="G62" s="12"/>
      <c r="H62" s="13"/>
      <c r="I62" s="11"/>
      <c r="J62" s="14" t="str">
        <f aca="false">IF(AND(G62&lt;&gt;"",H62&lt;&gt;""),G62*H62,"")</f>
        <v/>
      </c>
      <c r="K62" s="11"/>
      <c r="L62" s="15"/>
      <c r="M62" s="15"/>
      <c r="N62" s="14" t="n">
        <f aca="false">IF(OR(G62="",M62=""),0,IF(M62&gt;100,M62,G62*IF(M62&gt;1,M62/100,M62)))</f>
        <v>0</v>
      </c>
      <c r="O62" s="14" t="str">
        <f aca="false">IF(G62="","",G62*IF(L62="",0,IF(L62&gt;1,L62/100,L62))+N62)</f>
        <v/>
      </c>
      <c r="P62" s="11"/>
      <c r="Q62" s="16" t="str">
        <f aca="false">IF(P62="","",IFERROR(VLOOKUP(P62,PARTNERS!$A$2:$B$30,2,0),""))</f>
        <v/>
      </c>
      <c r="R62" s="17" t="str">
        <f aca="false">IF(O62="","",IF(OR(P62="",Q62=""),0,(O62-N62)*IF(Q62&gt;1,Q62/100,Q62)))</f>
        <v/>
      </c>
      <c r="S62" s="14" t="str">
        <f aca="false">IF(O62="","",O62-R62)</f>
        <v/>
      </c>
      <c r="T62" s="11"/>
      <c r="U62" s="18" t="str">
        <f aca="false">IF(T62="","",IFERROR(VLOOKUP(T62,REPS!$A$2:$D$40,2,0),""))</f>
        <v/>
      </c>
      <c r="V62" s="14" t="str">
        <f aca="false">IF(O62="","",IF(U62="",0,O62*IF(U62&gt;1,U62/100,U62)))</f>
        <v/>
      </c>
      <c r="W62" s="11"/>
      <c r="X62" s="18" t="str">
        <f aca="false">IF(W62="","",IFERROR(VLOOKUP(W62,REPS!$A$2:$D$40,3,0),""))</f>
        <v/>
      </c>
      <c r="Y62" s="14" t="str">
        <f aca="false">IF(O62="","",IF(X62="",0,O62*IF(X62&gt;1,X62/100,X62)))</f>
        <v/>
      </c>
      <c r="Z62" s="11"/>
      <c r="AA62" s="18" t="str">
        <f aca="false">IF(Z62="","",IFERROR(VLOOKUP(Z62,REPS!$A$2:$D$40,4,0),""))</f>
        <v/>
      </c>
      <c r="AB62" s="14" t="str">
        <f aca="false">IF(O62="","",IF(AA62="",0,O62*IF(AA62&gt;1,AA62/100,AA62)))</f>
        <v/>
      </c>
      <c r="AC62" s="14" t="str">
        <f aca="false">IF(O62="","",V62+Y62+AB62)</f>
        <v/>
      </c>
      <c r="AD62" s="19" t="str">
        <f aca="false">IF(O62="","",O62-R62-AC62)</f>
        <v/>
      </c>
      <c r="AE62" s="20"/>
      <c r="AF62" s="10"/>
      <c r="AG62" s="21" t="n">
        <f aca="false">IF(OR(AE62="",AE62=0),0,AE62*IF(U62="",0,IF(U62&gt;1,U62/100,U62)))</f>
        <v>0</v>
      </c>
      <c r="AH62" s="21" t="n">
        <f aca="false">IF(OR(AE62="",AE62=0),0,AE62*IF(X62="",0,IF(X62&gt;1,X62/100,X62)))</f>
        <v>0</v>
      </c>
      <c r="AI62" s="21" t="n">
        <f aca="false">IF(OR(AE62="",AE62=0),0,AE62*IF(AA62="",0,IF(AA62&gt;1,AA62/100,AA62)))</f>
        <v>0</v>
      </c>
      <c r="AJ62" s="21" t="n">
        <f aca="false">AG62+AH62+AI62</f>
        <v>0</v>
      </c>
      <c r="AK62" s="21" t="n">
        <f aca="false">IF(OR(AE62="",AE62=0),0,AE62-AJ62)</f>
        <v>0</v>
      </c>
      <c r="AL62" s="19" t="str">
        <f aca="false">IF(AD62="","",AD62-AK62)</f>
        <v/>
      </c>
      <c r="AM62" s="9" t="str">
        <f aca="false">IF(C62="","","Waiting for payment")</f>
        <v/>
      </c>
      <c r="AN62" s="10"/>
      <c r="AO62" s="10"/>
      <c r="AP62" s="22" t="str">
        <f aca="false">IF(OR(C62="",I62="",K62=""),"",IF(K62="Monthly",EDATE(C62,ROUND(I62*SETTINGS!$I$8,0)),WORKDAY(C62,ROUND(I62*SETTINGS!$I$8,0))))</f>
        <v/>
      </c>
      <c r="AQ62" s="9" t="str">
        <f aca="true">IF(C62="","",IF(AND(AP62&lt;&gt;"",TODAY()&gt;=AP62),"Refi Ready",IF(TODAY()-C62&gt;=SETTINGS!$I$11,"Prospecting","Performing")))</f>
        <v/>
      </c>
      <c r="AR62" s="22" t="str">
        <f aca="false">IF(OR(C62="",I62="",K62=""),"",IF(K62="Monthly",EDATE(C62,I62),WORKDAY(C62,I62)))</f>
        <v/>
      </c>
      <c r="AS62" s="11"/>
      <c r="AT62" s="23" t="str">
        <f aca="true">IF(C62="","",IF(AM62="Clawed Back","CLAWED",IF(TODAY()&lt;=C62+SETTINGS!$I$2,"⚠ AT RISK","SAFE")))</f>
        <v/>
      </c>
      <c r="AU62" s="11"/>
      <c r="AW62" s="24" t="n">
        <f aca="false">AW61+IF(AND(C62&lt;&gt;"",AO62&lt;&gt;"",OR('REP COMMISSION'!$B$3="",T62='REP COMMISSION'!$B$3,W62='REP COMMISSION'!$B$3,Z62='REP COMMISSION'!$B$3)),1,0)</f>
        <v>0</v>
      </c>
      <c r="AX62" s="24" t="n">
        <f aca="false">AX61+IF(AND(C62&lt;&gt;"",OR(F62="LOC - INITIAL",F62="CONSOLIDATION - UPFRONT COMM",F62="REVERSE - TOTAL FUNDING")),1,0)</f>
        <v>0</v>
      </c>
    </row>
    <row r="63" customFormat="false" ht="15" hidden="false" customHeight="false" outlineLevel="0" collapsed="false">
      <c r="A63" s="25" t="str">
        <f aca="false">IF(C63&lt;&gt;"","F27-"&amp;COUNT($C$4:C63),"")</f>
        <v/>
      </c>
      <c r="B63" s="26" t="str">
        <f aca="false">IF(OR(F63="LOC - INITIAL",F63="CONSOLIDATION - UPFRONT COMM",F63="REVERSE - TOTAL FUNDING"),A63,"")</f>
        <v/>
      </c>
      <c r="C63" s="27"/>
      <c r="D63" s="28"/>
      <c r="E63" s="28"/>
      <c r="F63" s="28"/>
      <c r="G63" s="29"/>
      <c r="H63" s="30"/>
      <c r="I63" s="28"/>
      <c r="J63" s="31" t="str">
        <f aca="false">IF(AND(G63&lt;&gt;"",H63&lt;&gt;""),G63*H63,"")</f>
        <v/>
      </c>
      <c r="K63" s="28"/>
      <c r="L63" s="32"/>
      <c r="M63" s="32"/>
      <c r="N63" s="31" t="n">
        <f aca="false">IF(OR(G63="",M63=""),0,IF(M63&gt;100,M63,G63*IF(M63&gt;1,M63/100,M63)))</f>
        <v>0</v>
      </c>
      <c r="O63" s="31" t="str">
        <f aca="false">IF(G63="","",G63*IF(L63="",0,IF(L63&gt;1,L63/100,L63))+N63)</f>
        <v/>
      </c>
      <c r="P63" s="28"/>
      <c r="Q63" s="33" t="str">
        <f aca="false">IF(P63="","",IFERROR(VLOOKUP(P63,PARTNERS!$A$2:$B$30,2,0),""))</f>
        <v/>
      </c>
      <c r="R63" s="17" t="str">
        <f aca="false">IF(O63="","",IF(OR(P63="",Q63=""),0,(O63-N63)*IF(Q63&gt;1,Q63/100,Q63)))</f>
        <v/>
      </c>
      <c r="S63" s="31" t="str">
        <f aca="false">IF(O63="","",O63-R63)</f>
        <v/>
      </c>
      <c r="T63" s="28"/>
      <c r="U63" s="34" t="str">
        <f aca="false">IF(T63="","",IFERROR(VLOOKUP(T63,REPS!$A$2:$D$40,2,0),""))</f>
        <v/>
      </c>
      <c r="V63" s="31" t="str">
        <f aca="false">IF(O63="","",IF(U63="",0,O63*IF(U63&gt;1,U63/100,U63)))</f>
        <v/>
      </c>
      <c r="W63" s="28"/>
      <c r="X63" s="34" t="str">
        <f aca="false">IF(W63="","",IFERROR(VLOOKUP(W63,REPS!$A$2:$D$40,3,0),""))</f>
        <v/>
      </c>
      <c r="Y63" s="31" t="str">
        <f aca="false">IF(O63="","",IF(X63="",0,O63*IF(X63&gt;1,X63/100,X63)))</f>
        <v/>
      </c>
      <c r="Z63" s="28"/>
      <c r="AA63" s="34" t="str">
        <f aca="false">IF(Z63="","",IFERROR(VLOOKUP(Z63,REPS!$A$2:$D$40,4,0),""))</f>
        <v/>
      </c>
      <c r="AB63" s="31" t="str">
        <f aca="false">IF(O63="","",IF(AA63="",0,O63*IF(AA63&gt;1,AA63/100,AA63)))</f>
        <v/>
      </c>
      <c r="AC63" s="31" t="str">
        <f aca="false">IF(O63="","",V63+Y63+AB63)</f>
        <v/>
      </c>
      <c r="AD63" s="19" t="str">
        <f aca="false">IF(O63="","",O63-R63-AC63)</f>
        <v/>
      </c>
      <c r="AE63" s="20"/>
      <c r="AF63" s="27"/>
      <c r="AG63" s="21" t="n">
        <f aca="false">IF(OR(AE63="",AE63=0),0,AE63*IF(U63="",0,IF(U63&gt;1,U63/100,U63)))</f>
        <v>0</v>
      </c>
      <c r="AH63" s="21" t="n">
        <f aca="false">IF(OR(AE63="",AE63=0),0,AE63*IF(X63="",0,IF(X63&gt;1,X63/100,X63)))</f>
        <v>0</v>
      </c>
      <c r="AI63" s="21" t="n">
        <f aca="false">IF(OR(AE63="",AE63=0),0,AE63*IF(AA63="",0,IF(AA63&gt;1,AA63/100,AA63)))</f>
        <v>0</v>
      </c>
      <c r="AJ63" s="21" t="n">
        <f aca="false">AG63+AH63+AI63</f>
        <v>0</v>
      </c>
      <c r="AK63" s="21" t="n">
        <f aca="false">IF(OR(AE63="",AE63=0),0,AE63-AJ63)</f>
        <v>0</v>
      </c>
      <c r="AL63" s="19" t="str">
        <f aca="false">IF(AD63="","",AD63-AK63)</f>
        <v/>
      </c>
      <c r="AM63" s="26" t="str">
        <f aca="false">IF(C63="","","Waiting for payment")</f>
        <v/>
      </c>
      <c r="AN63" s="27"/>
      <c r="AO63" s="27"/>
      <c r="AP63" s="35" t="str">
        <f aca="false">IF(OR(C63="",I63="",K63=""),"",IF(K63="Monthly",EDATE(C63,ROUND(I63*SETTINGS!$I$8,0)),WORKDAY(C63,ROUND(I63*SETTINGS!$I$8,0))))</f>
        <v/>
      </c>
      <c r="AQ63" s="26" t="str">
        <f aca="true">IF(C63="","",IF(AND(AP63&lt;&gt;"",TODAY()&gt;=AP63),"Refi Ready",IF(TODAY()-C63&gt;=SETTINGS!$I$11,"Prospecting","Performing")))</f>
        <v/>
      </c>
      <c r="AR63" s="35" t="str">
        <f aca="false">IF(OR(C63="",I63="",K63=""),"",IF(K63="Monthly",EDATE(C63,I63),WORKDAY(C63,I63)))</f>
        <v/>
      </c>
      <c r="AS63" s="28"/>
      <c r="AT63" s="36" t="str">
        <f aca="true">IF(C63="","",IF(AM63="Clawed Back","CLAWED",IF(TODAY()&lt;=C63+SETTINGS!$I$2,"⚠ AT RISK","SAFE")))</f>
        <v/>
      </c>
      <c r="AU63" s="28"/>
      <c r="AW63" s="24" t="n">
        <f aca="false">AW62+IF(AND(C63&lt;&gt;"",AO63&lt;&gt;"",OR('REP COMMISSION'!$B$3="",T63='REP COMMISSION'!$B$3,W63='REP COMMISSION'!$B$3,Z63='REP COMMISSION'!$B$3)),1,0)</f>
        <v>0</v>
      </c>
      <c r="AX63" s="24" t="n">
        <f aca="false">AX62+IF(AND(C63&lt;&gt;"",OR(F63="LOC - INITIAL",F63="CONSOLIDATION - UPFRONT COMM",F63="REVERSE - TOTAL FUNDING")),1,0)</f>
        <v>0</v>
      </c>
    </row>
    <row r="64" customFormat="false" ht="15" hidden="false" customHeight="false" outlineLevel="0" collapsed="false">
      <c r="A64" s="8" t="str">
        <f aca="false">IF(C64&lt;&gt;"","F27-"&amp;COUNT($C$4:C64),"")</f>
        <v/>
      </c>
      <c r="B64" s="9" t="str">
        <f aca="false">IF(OR(F64="LOC - INITIAL",F64="CONSOLIDATION - UPFRONT COMM",F64="REVERSE - TOTAL FUNDING"),A64,"")</f>
        <v/>
      </c>
      <c r="C64" s="10"/>
      <c r="D64" s="11"/>
      <c r="E64" s="11"/>
      <c r="F64" s="11"/>
      <c r="G64" s="12"/>
      <c r="H64" s="13"/>
      <c r="I64" s="11"/>
      <c r="J64" s="14" t="str">
        <f aca="false">IF(AND(G64&lt;&gt;"",H64&lt;&gt;""),G64*H64,"")</f>
        <v/>
      </c>
      <c r="K64" s="11"/>
      <c r="L64" s="15"/>
      <c r="M64" s="15"/>
      <c r="N64" s="14" t="n">
        <f aca="false">IF(OR(G64="",M64=""),0,IF(M64&gt;100,M64,G64*IF(M64&gt;1,M64/100,M64)))</f>
        <v>0</v>
      </c>
      <c r="O64" s="14" t="str">
        <f aca="false">IF(G64="","",G64*IF(L64="",0,IF(L64&gt;1,L64/100,L64))+N64)</f>
        <v/>
      </c>
      <c r="P64" s="11"/>
      <c r="Q64" s="16" t="str">
        <f aca="false">IF(P64="","",IFERROR(VLOOKUP(P64,PARTNERS!$A$2:$B$30,2,0),""))</f>
        <v/>
      </c>
      <c r="R64" s="17" t="str">
        <f aca="false">IF(O64="","",IF(OR(P64="",Q64=""),0,(O64-N64)*IF(Q64&gt;1,Q64/100,Q64)))</f>
        <v/>
      </c>
      <c r="S64" s="14" t="str">
        <f aca="false">IF(O64="","",O64-R64)</f>
        <v/>
      </c>
      <c r="T64" s="11"/>
      <c r="U64" s="18" t="str">
        <f aca="false">IF(T64="","",IFERROR(VLOOKUP(T64,REPS!$A$2:$D$40,2,0),""))</f>
        <v/>
      </c>
      <c r="V64" s="14" t="str">
        <f aca="false">IF(O64="","",IF(U64="",0,O64*IF(U64&gt;1,U64/100,U64)))</f>
        <v/>
      </c>
      <c r="W64" s="11"/>
      <c r="X64" s="18" t="str">
        <f aca="false">IF(W64="","",IFERROR(VLOOKUP(W64,REPS!$A$2:$D$40,3,0),""))</f>
        <v/>
      </c>
      <c r="Y64" s="14" t="str">
        <f aca="false">IF(O64="","",IF(X64="",0,O64*IF(X64&gt;1,X64/100,X64)))</f>
        <v/>
      </c>
      <c r="Z64" s="11"/>
      <c r="AA64" s="18" t="str">
        <f aca="false">IF(Z64="","",IFERROR(VLOOKUP(Z64,REPS!$A$2:$D$40,4,0),""))</f>
        <v/>
      </c>
      <c r="AB64" s="14" t="str">
        <f aca="false">IF(O64="","",IF(AA64="",0,O64*IF(AA64&gt;1,AA64/100,AA64)))</f>
        <v/>
      </c>
      <c r="AC64" s="14" t="str">
        <f aca="false">IF(O64="","",V64+Y64+AB64)</f>
        <v/>
      </c>
      <c r="AD64" s="19" t="str">
        <f aca="false">IF(O64="","",O64-R64-AC64)</f>
        <v/>
      </c>
      <c r="AE64" s="20"/>
      <c r="AF64" s="10"/>
      <c r="AG64" s="21" t="n">
        <f aca="false">IF(OR(AE64="",AE64=0),0,AE64*IF(U64="",0,IF(U64&gt;1,U64/100,U64)))</f>
        <v>0</v>
      </c>
      <c r="AH64" s="21" t="n">
        <f aca="false">IF(OR(AE64="",AE64=0),0,AE64*IF(X64="",0,IF(X64&gt;1,X64/100,X64)))</f>
        <v>0</v>
      </c>
      <c r="AI64" s="21" t="n">
        <f aca="false">IF(OR(AE64="",AE64=0),0,AE64*IF(AA64="",0,IF(AA64&gt;1,AA64/100,AA64)))</f>
        <v>0</v>
      </c>
      <c r="AJ64" s="21" t="n">
        <f aca="false">AG64+AH64+AI64</f>
        <v>0</v>
      </c>
      <c r="AK64" s="21" t="n">
        <f aca="false">IF(OR(AE64="",AE64=0),0,AE64-AJ64)</f>
        <v>0</v>
      </c>
      <c r="AL64" s="19" t="str">
        <f aca="false">IF(AD64="","",AD64-AK64)</f>
        <v/>
      </c>
      <c r="AM64" s="9" t="str">
        <f aca="false">IF(C64="","","Waiting for payment")</f>
        <v/>
      </c>
      <c r="AN64" s="10"/>
      <c r="AO64" s="10"/>
      <c r="AP64" s="22" t="str">
        <f aca="false">IF(OR(C64="",I64="",K64=""),"",IF(K64="Monthly",EDATE(C64,ROUND(I64*SETTINGS!$I$8,0)),WORKDAY(C64,ROUND(I64*SETTINGS!$I$8,0))))</f>
        <v/>
      </c>
      <c r="AQ64" s="9" t="str">
        <f aca="true">IF(C64="","",IF(AND(AP64&lt;&gt;"",TODAY()&gt;=AP64),"Refi Ready",IF(TODAY()-C64&gt;=SETTINGS!$I$11,"Prospecting","Performing")))</f>
        <v/>
      </c>
      <c r="AR64" s="22" t="str">
        <f aca="false">IF(OR(C64="",I64="",K64=""),"",IF(K64="Monthly",EDATE(C64,I64),WORKDAY(C64,I64)))</f>
        <v/>
      </c>
      <c r="AS64" s="11"/>
      <c r="AT64" s="23" t="str">
        <f aca="true">IF(C64="","",IF(AM64="Clawed Back","CLAWED",IF(TODAY()&lt;=C64+SETTINGS!$I$2,"⚠ AT RISK","SAFE")))</f>
        <v/>
      </c>
      <c r="AU64" s="11"/>
      <c r="AW64" s="24" t="n">
        <f aca="false">AW63+IF(AND(C64&lt;&gt;"",AO64&lt;&gt;"",OR('REP COMMISSION'!$B$3="",T64='REP COMMISSION'!$B$3,W64='REP COMMISSION'!$B$3,Z64='REP COMMISSION'!$B$3)),1,0)</f>
        <v>0</v>
      </c>
      <c r="AX64" s="24" t="n">
        <f aca="false">AX63+IF(AND(C64&lt;&gt;"",OR(F64="LOC - INITIAL",F64="CONSOLIDATION - UPFRONT COMM",F64="REVERSE - TOTAL FUNDING")),1,0)</f>
        <v>0</v>
      </c>
    </row>
    <row r="65" customFormat="false" ht="15" hidden="false" customHeight="false" outlineLevel="0" collapsed="false">
      <c r="A65" s="25" t="str">
        <f aca="false">IF(C65&lt;&gt;"","F27-"&amp;COUNT($C$4:C65),"")</f>
        <v/>
      </c>
      <c r="B65" s="26" t="str">
        <f aca="false">IF(OR(F65="LOC - INITIAL",F65="CONSOLIDATION - UPFRONT COMM",F65="REVERSE - TOTAL FUNDING"),A65,"")</f>
        <v/>
      </c>
      <c r="C65" s="27"/>
      <c r="D65" s="28"/>
      <c r="E65" s="28"/>
      <c r="F65" s="28"/>
      <c r="G65" s="29"/>
      <c r="H65" s="30"/>
      <c r="I65" s="28"/>
      <c r="J65" s="31" t="str">
        <f aca="false">IF(AND(G65&lt;&gt;"",H65&lt;&gt;""),G65*H65,"")</f>
        <v/>
      </c>
      <c r="K65" s="28"/>
      <c r="L65" s="32"/>
      <c r="M65" s="32"/>
      <c r="N65" s="31" t="n">
        <f aca="false">IF(OR(G65="",M65=""),0,IF(M65&gt;100,M65,G65*IF(M65&gt;1,M65/100,M65)))</f>
        <v>0</v>
      </c>
      <c r="O65" s="31" t="str">
        <f aca="false">IF(G65="","",G65*IF(L65="",0,IF(L65&gt;1,L65/100,L65))+N65)</f>
        <v/>
      </c>
      <c r="P65" s="28"/>
      <c r="Q65" s="33" t="str">
        <f aca="false">IF(P65="","",IFERROR(VLOOKUP(P65,PARTNERS!$A$2:$B$30,2,0),""))</f>
        <v/>
      </c>
      <c r="R65" s="17" t="str">
        <f aca="false">IF(O65="","",IF(OR(P65="",Q65=""),0,(O65-N65)*IF(Q65&gt;1,Q65/100,Q65)))</f>
        <v/>
      </c>
      <c r="S65" s="31" t="str">
        <f aca="false">IF(O65="","",O65-R65)</f>
        <v/>
      </c>
      <c r="T65" s="28"/>
      <c r="U65" s="34" t="str">
        <f aca="false">IF(T65="","",IFERROR(VLOOKUP(T65,REPS!$A$2:$D$40,2,0),""))</f>
        <v/>
      </c>
      <c r="V65" s="31" t="str">
        <f aca="false">IF(O65="","",IF(U65="",0,O65*IF(U65&gt;1,U65/100,U65)))</f>
        <v/>
      </c>
      <c r="W65" s="28"/>
      <c r="X65" s="34" t="str">
        <f aca="false">IF(W65="","",IFERROR(VLOOKUP(W65,REPS!$A$2:$D$40,3,0),""))</f>
        <v/>
      </c>
      <c r="Y65" s="31" t="str">
        <f aca="false">IF(O65="","",IF(X65="",0,O65*IF(X65&gt;1,X65/100,X65)))</f>
        <v/>
      </c>
      <c r="Z65" s="28"/>
      <c r="AA65" s="34" t="str">
        <f aca="false">IF(Z65="","",IFERROR(VLOOKUP(Z65,REPS!$A$2:$D$40,4,0),""))</f>
        <v/>
      </c>
      <c r="AB65" s="31" t="str">
        <f aca="false">IF(O65="","",IF(AA65="",0,O65*IF(AA65&gt;1,AA65/100,AA65)))</f>
        <v/>
      </c>
      <c r="AC65" s="31" t="str">
        <f aca="false">IF(O65="","",V65+Y65+AB65)</f>
        <v/>
      </c>
      <c r="AD65" s="19" t="str">
        <f aca="false">IF(O65="","",O65-R65-AC65)</f>
        <v/>
      </c>
      <c r="AE65" s="20"/>
      <c r="AF65" s="27"/>
      <c r="AG65" s="21" t="n">
        <f aca="false">IF(OR(AE65="",AE65=0),0,AE65*IF(U65="",0,IF(U65&gt;1,U65/100,U65)))</f>
        <v>0</v>
      </c>
      <c r="AH65" s="21" t="n">
        <f aca="false">IF(OR(AE65="",AE65=0),0,AE65*IF(X65="",0,IF(X65&gt;1,X65/100,X65)))</f>
        <v>0</v>
      </c>
      <c r="AI65" s="21" t="n">
        <f aca="false">IF(OR(AE65="",AE65=0),0,AE65*IF(AA65="",0,IF(AA65&gt;1,AA65/100,AA65)))</f>
        <v>0</v>
      </c>
      <c r="AJ65" s="21" t="n">
        <f aca="false">AG65+AH65+AI65</f>
        <v>0</v>
      </c>
      <c r="AK65" s="21" t="n">
        <f aca="false">IF(OR(AE65="",AE65=0),0,AE65-AJ65)</f>
        <v>0</v>
      </c>
      <c r="AL65" s="19" t="str">
        <f aca="false">IF(AD65="","",AD65-AK65)</f>
        <v/>
      </c>
      <c r="AM65" s="26" t="str">
        <f aca="false">IF(C65="","","Waiting for payment")</f>
        <v/>
      </c>
      <c r="AN65" s="27"/>
      <c r="AO65" s="27"/>
      <c r="AP65" s="35" t="str">
        <f aca="false">IF(OR(C65="",I65="",K65=""),"",IF(K65="Monthly",EDATE(C65,ROUND(I65*SETTINGS!$I$8,0)),WORKDAY(C65,ROUND(I65*SETTINGS!$I$8,0))))</f>
        <v/>
      </c>
      <c r="AQ65" s="26" t="str">
        <f aca="true">IF(C65="","",IF(AND(AP65&lt;&gt;"",TODAY()&gt;=AP65),"Refi Ready",IF(TODAY()-C65&gt;=SETTINGS!$I$11,"Prospecting","Performing")))</f>
        <v/>
      </c>
      <c r="AR65" s="35" t="str">
        <f aca="false">IF(OR(C65="",I65="",K65=""),"",IF(K65="Monthly",EDATE(C65,I65),WORKDAY(C65,I65)))</f>
        <v/>
      </c>
      <c r="AS65" s="28"/>
      <c r="AT65" s="36" t="str">
        <f aca="true">IF(C65="","",IF(AM65="Clawed Back","CLAWED",IF(TODAY()&lt;=C65+SETTINGS!$I$2,"⚠ AT RISK","SAFE")))</f>
        <v/>
      </c>
      <c r="AU65" s="28"/>
      <c r="AW65" s="24" t="n">
        <f aca="false">AW64+IF(AND(C65&lt;&gt;"",AO65&lt;&gt;"",OR('REP COMMISSION'!$B$3="",T65='REP COMMISSION'!$B$3,W65='REP COMMISSION'!$B$3,Z65='REP COMMISSION'!$B$3)),1,0)</f>
        <v>0</v>
      </c>
      <c r="AX65" s="24" t="n">
        <f aca="false">AX64+IF(AND(C65&lt;&gt;"",OR(F65="LOC - INITIAL",F65="CONSOLIDATION - UPFRONT COMM",F65="REVERSE - TOTAL FUNDING")),1,0)</f>
        <v>0</v>
      </c>
    </row>
    <row r="66" customFormat="false" ht="15" hidden="false" customHeight="false" outlineLevel="0" collapsed="false">
      <c r="A66" s="8" t="str">
        <f aca="false">IF(C66&lt;&gt;"","F27-"&amp;COUNT($C$4:C66),"")</f>
        <v/>
      </c>
      <c r="B66" s="9" t="str">
        <f aca="false">IF(OR(F66="LOC - INITIAL",F66="CONSOLIDATION - UPFRONT COMM",F66="REVERSE - TOTAL FUNDING"),A66,"")</f>
        <v/>
      </c>
      <c r="C66" s="10"/>
      <c r="D66" s="11"/>
      <c r="E66" s="11"/>
      <c r="F66" s="11"/>
      <c r="G66" s="12"/>
      <c r="H66" s="13"/>
      <c r="I66" s="11"/>
      <c r="J66" s="14" t="str">
        <f aca="false">IF(AND(G66&lt;&gt;"",H66&lt;&gt;""),G66*H66,"")</f>
        <v/>
      </c>
      <c r="K66" s="11"/>
      <c r="L66" s="15"/>
      <c r="M66" s="15"/>
      <c r="N66" s="14" t="n">
        <f aca="false">IF(OR(G66="",M66=""),0,IF(M66&gt;100,M66,G66*IF(M66&gt;1,M66/100,M66)))</f>
        <v>0</v>
      </c>
      <c r="O66" s="14" t="str">
        <f aca="false">IF(G66="","",G66*IF(L66="",0,IF(L66&gt;1,L66/100,L66))+N66)</f>
        <v/>
      </c>
      <c r="P66" s="11"/>
      <c r="Q66" s="16" t="str">
        <f aca="false">IF(P66="","",IFERROR(VLOOKUP(P66,PARTNERS!$A$2:$B$30,2,0),""))</f>
        <v/>
      </c>
      <c r="R66" s="17" t="str">
        <f aca="false">IF(O66="","",IF(OR(P66="",Q66=""),0,(O66-N66)*IF(Q66&gt;1,Q66/100,Q66)))</f>
        <v/>
      </c>
      <c r="S66" s="14" t="str">
        <f aca="false">IF(O66="","",O66-R66)</f>
        <v/>
      </c>
      <c r="T66" s="11"/>
      <c r="U66" s="18" t="str">
        <f aca="false">IF(T66="","",IFERROR(VLOOKUP(T66,REPS!$A$2:$D$40,2,0),""))</f>
        <v/>
      </c>
      <c r="V66" s="14" t="str">
        <f aca="false">IF(O66="","",IF(U66="",0,O66*IF(U66&gt;1,U66/100,U66)))</f>
        <v/>
      </c>
      <c r="W66" s="11"/>
      <c r="X66" s="18" t="str">
        <f aca="false">IF(W66="","",IFERROR(VLOOKUP(W66,REPS!$A$2:$D$40,3,0),""))</f>
        <v/>
      </c>
      <c r="Y66" s="14" t="str">
        <f aca="false">IF(O66="","",IF(X66="",0,O66*IF(X66&gt;1,X66/100,X66)))</f>
        <v/>
      </c>
      <c r="Z66" s="11"/>
      <c r="AA66" s="18" t="str">
        <f aca="false">IF(Z66="","",IFERROR(VLOOKUP(Z66,REPS!$A$2:$D$40,4,0),""))</f>
        <v/>
      </c>
      <c r="AB66" s="14" t="str">
        <f aca="false">IF(O66="","",IF(AA66="",0,O66*IF(AA66&gt;1,AA66/100,AA66)))</f>
        <v/>
      </c>
      <c r="AC66" s="14" t="str">
        <f aca="false">IF(O66="","",V66+Y66+AB66)</f>
        <v/>
      </c>
      <c r="AD66" s="19" t="str">
        <f aca="false">IF(O66="","",O66-R66-AC66)</f>
        <v/>
      </c>
      <c r="AE66" s="20"/>
      <c r="AF66" s="10"/>
      <c r="AG66" s="21" t="n">
        <f aca="false">IF(OR(AE66="",AE66=0),0,AE66*IF(U66="",0,IF(U66&gt;1,U66/100,U66)))</f>
        <v>0</v>
      </c>
      <c r="AH66" s="21" t="n">
        <f aca="false">IF(OR(AE66="",AE66=0),0,AE66*IF(X66="",0,IF(X66&gt;1,X66/100,X66)))</f>
        <v>0</v>
      </c>
      <c r="AI66" s="21" t="n">
        <f aca="false">IF(OR(AE66="",AE66=0),0,AE66*IF(AA66="",0,IF(AA66&gt;1,AA66/100,AA66)))</f>
        <v>0</v>
      </c>
      <c r="AJ66" s="21" t="n">
        <f aca="false">AG66+AH66+AI66</f>
        <v>0</v>
      </c>
      <c r="AK66" s="21" t="n">
        <f aca="false">IF(OR(AE66="",AE66=0),0,AE66-AJ66)</f>
        <v>0</v>
      </c>
      <c r="AL66" s="19" t="str">
        <f aca="false">IF(AD66="","",AD66-AK66)</f>
        <v/>
      </c>
      <c r="AM66" s="9" t="str">
        <f aca="false">IF(C66="","","Waiting for payment")</f>
        <v/>
      </c>
      <c r="AN66" s="10"/>
      <c r="AO66" s="10"/>
      <c r="AP66" s="22" t="str">
        <f aca="false">IF(OR(C66="",I66="",K66=""),"",IF(K66="Monthly",EDATE(C66,ROUND(I66*SETTINGS!$I$8,0)),WORKDAY(C66,ROUND(I66*SETTINGS!$I$8,0))))</f>
        <v/>
      </c>
      <c r="AQ66" s="9" t="str">
        <f aca="true">IF(C66="","",IF(AND(AP66&lt;&gt;"",TODAY()&gt;=AP66),"Refi Ready",IF(TODAY()-C66&gt;=SETTINGS!$I$11,"Prospecting","Performing")))</f>
        <v/>
      </c>
      <c r="AR66" s="22" t="str">
        <f aca="false">IF(OR(C66="",I66="",K66=""),"",IF(K66="Monthly",EDATE(C66,I66),WORKDAY(C66,I66)))</f>
        <v/>
      </c>
      <c r="AS66" s="11"/>
      <c r="AT66" s="23" t="str">
        <f aca="true">IF(C66="","",IF(AM66="Clawed Back","CLAWED",IF(TODAY()&lt;=C66+SETTINGS!$I$2,"⚠ AT RISK","SAFE")))</f>
        <v/>
      </c>
      <c r="AU66" s="11"/>
      <c r="AW66" s="24" t="n">
        <f aca="false">AW65+IF(AND(C66&lt;&gt;"",AO66&lt;&gt;"",OR('REP COMMISSION'!$B$3="",T66='REP COMMISSION'!$B$3,W66='REP COMMISSION'!$B$3,Z66='REP COMMISSION'!$B$3)),1,0)</f>
        <v>0</v>
      </c>
      <c r="AX66" s="24" t="n">
        <f aca="false">AX65+IF(AND(C66&lt;&gt;"",OR(F66="LOC - INITIAL",F66="CONSOLIDATION - UPFRONT COMM",F66="REVERSE - TOTAL FUNDING")),1,0)</f>
        <v>0</v>
      </c>
    </row>
    <row r="67" customFormat="false" ht="15" hidden="false" customHeight="false" outlineLevel="0" collapsed="false">
      <c r="A67" s="25" t="str">
        <f aca="false">IF(C67&lt;&gt;"","F27-"&amp;COUNT($C$4:C67),"")</f>
        <v/>
      </c>
      <c r="B67" s="26" t="str">
        <f aca="false">IF(OR(F67="LOC - INITIAL",F67="CONSOLIDATION - UPFRONT COMM",F67="REVERSE - TOTAL FUNDING"),A67,"")</f>
        <v/>
      </c>
      <c r="C67" s="27"/>
      <c r="D67" s="28"/>
      <c r="E67" s="28"/>
      <c r="F67" s="28"/>
      <c r="G67" s="29"/>
      <c r="H67" s="30"/>
      <c r="I67" s="28"/>
      <c r="J67" s="31" t="str">
        <f aca="false">IF(AND(G67&lt;&gt;"",H67&lt;&gt;""),G67*H67,"")</f>
        <v/>
      </c>
      <c r="K67" s="28"/>
      <c r="L67" s="32"/>
      <c r="M67" s="32"/>
      <c r="N67" s="31" t="n">
        <f aca="false">IF(OR(G67="",M67=""),0,IF(M67&gt;100,M67,G67*IF(M67&gt;1,M67/100,M67)))</f>
        <v>0</v>
      </c>
      <c r="O67" s="31" t="str">
        <f aca="false">IF(G67="","",G67*IF(L67="",0,IF(L67&gt;1,L67/100,L67))+N67)</f>
        <v/>
      </c>
      <c r="P67" s="28"/>
      <c r="Q67" s="33" t="str">
        <f aca="false">IF(P67="","",IFERROR(VLOOKUP(P67,PARTNERS!$A$2:$B$30,2,0),""))</f>
        <v/>
      </c>
      <c r="R67" s="17" t="str">
        <f aca="false">IF(O67="","",IF(OR(P67="",Q67=""),0,(O67-N67)*IF(Q67&gt;1,Q67/100,Q67)))</f>
        <v/>
      </c>
      <c r="S67" s="31" t="str">
        <f aca="false">IF(O67="","",O67-R67)</f>
        <v/>
      </c>
      <c r="T67" s="28"/>
      <c r="U67" s="34" t="str">
        <f aca="false">IF(T67="","",IFERROR(VLOOKUP(T67,REPS!$A$2:$D$40,2,0),""))</f>
        <v/>
      </c>
      <c r="V67" s="31" t="str">
        <f aca="false">IF(O67="","",IF(U67="",0,O67*IF(U67&gt;1,U67/100,U67)))</f>
        <v/>
      </c>
      <c r="W67" s="28"/>
      <c r="X67" s="34" t="str">
        <f aca="false">IF(W67="","",IFERROR(VLOOKUP(W67,REPS!$A$2:$D$40,3,0),""))</f>
        <v/>
      </c>
      <c r="Y67" s="31" t="str">
        <f aca="false">IF(O67="","",IF(X67="",0,O67*IF(X67&gt;1,X67/100,X67)))</f>
        <v/>
      </c>
      <c r="Z67" s="28"/>
      <c r="AA67" s="34" t="str">
        <f aca="false">IF(Z67="","",IFERROR(VLOOKUP(Z67,REPS!$A$2:$D$40,4,0),""))</f>
        <v/>
      </c>
      <c r="AB67" s="31" t="str">
        <f aca="false">IF(O67="","",IF(AA67="",0,O67*IF(AA67&gt;1,AA67/100,AA67)))</f>
        <v/>
      </c>
      <c r="AC67" s="31" t="str">
        <f aca="false">IF(O67="","",V67+Y67+AB67)</f>
        <v/>
      </c>
      <c r="AD67" s="19" t="str">
        <f aca="false">IF(O67="","",O67-R67-AC67)</f>
        <v/>
      </c>
      <c r="AE67" s="20"/>
      <c r="AF67" s="27"/>
      <c r="AG67" s="21" t="n">
        <f aca="false">IF(OR(AE67="",AE67=0),0,AE67*IF(U67="",0,IF(U67&gt;1,U67/100,U67)))</f>
        <v>0</v>
      </c>
      <c r="AH67" s="21" t="n">
        <f aca="false">IF(OR(AE67="",AE67=0),0,AE67*IF(X67="",0,IF(X67&gt;1,X67/100,X67)))</f>
        <v>0</v>
      </c>
      <c r="AI67" s="21" t="n">
        <f aca="false">IF(OR(AE67="",AE67=0),0,AE67*IF(AA67="",0,IF(AA67&gt;1,AA67/100,AA67)))</f>
        <v>0</v>
      </c>
      <c r="AJ67" s="21" t="n">
        <f aca="false">AG67+AH67+AI67</f>
        <v>0</v>
      </c>
      <c r="AK67" s="21" t="n">
        <f aca="false">IF(OR(AE67="",AE67=0),0,AE67-AJ67)</f>
        <v>0</v>
      </c>
      <c r="AL67" s="19" t="str">
        <f aca="false">IF(AD67="","",AD67-AK67)</f>
        <v/>
      </c>
      <c r="AM67" s="26" t="str">
        <f aca="false">IF(C67="","","Waiting for payment")</f>
        <v/>
      </c>
      <c r="AN67" s="27"/>
      <c r="AO67" s="27"/>
      <c r="AP67" s="35" t="str">
        <f aca="false">IF(OR(C67="",I67="",K67=""),"",IF(K67="Monthly",EDATE(C67,ROUND(I67*SETTINGS!$I$8,0)),WORKDAY(C67,ROUND(I67*SETTINGS!$I$8,0))))</f>
        <v/>
      </c>
      <c r="AQ67" s="26" t="str">
        <f aca="true">IF(C67="","",IF(AND(AP67&lt;&gt;"",TODAY()&gt;=AP67),"Refi Ready",IF(TODAY()-C67&gt;=SETTINGS!$I$11,"Prospecting","Performing")))</f>
        <v/>
      </c>
      <c r="AR67" s="35" t="str">
        <f aca="false">IF(OR(C67="",I67="",K67=""),"",IF(K67="Monthly",EDATE(C67,I67),WORKDAY(C67,I67)))</f>
        <v/>
      </c>
      <c r="AS67" s="28"/>
      <c r="AT67" s="36" t="str">
        <f aca="true">IF(C67="","",IF(AM67="Clawed Back","CLAWED",IF(TODAY()&lt;=C67+SETTINGS!$I$2,"⚠ AT RISK","SAFE")))</f>
        <v/>
      </c>
      <c r="AU67" s="28"/>
      <c r="AW67" s="24" t="n">
        <f aca="false">AW66+IF(AND(C67&lt;&gt;"",AO67&lt;&gt;"",OR('REP COMMISSION'!$B$3="",T67='REP COMMISSION'!$B$3,W67='REP COMMISSION'!$B$3,Z67='REP COMMISSION'!$B$3)),1,0)</f>
        <v>0</v>
      </c>
      <c r="AX67" s="24" t="n">
        <f aca="false">AX66+IF(AND(C67&lt;&gt;"",OR(F67="LOC - INITIAL",F67="CONSOLIDATION - UPFRONT COMM",F67="REVERSE - TOTAL FUNDING")),1,0)</f>
        <v>0</v>
      </c>
    </row>
    <row r="68" customFormat="false" ht="15" hidden="false" customHeight="false" outlineLevel="0" collapsed="false">
      <c r="A68" s="8" t="str">
        <f aca="false">IF(C68&lt;&gt;"","F27-"&amp;COUNT($C$4:C68),"")</f>
        <v/>
      </c>
      <c r="B68" s="9" t="str">
        <f aca="false">IF(OR(F68="LOC - INITIAL",F68="CONSOLIDATION - UPFRONT COMM",F68="REVERSE - TOTAL FUNDING"),A68,"")</f>
        <v/>
      </c>
      <c r="C68" s="10"/>
      <c r="D68" s="11"/>
      <c r="E68" s="11"/>
      <c r="F68" s="11"/>
      <c r="G68" s="12"/>
      <c r="H68" s="13"/>
      <c r="I68" s="11"/>
      <c r="J68" s="14" t="str">
        <f aca="false">IF(AND(G68&lt;&gt;"",H68&lt;&gt;""),G68*H68,"")</f>
        <v/>
      </c>
      <c r="K68" s="11"/>
      <c r="L68" s="15"/>
      <c r="M68" s="15"/>
      <c r="N68" s="14" t="n">
        <f aca="false">IF(OR(G68="",M68=""),0,IF(M68&gt;100,M68,G68*IF(M68&gt;1,M68/100,M68)))</f>
        <v>0</v>
      </c>
      <c r="O68" s="14" t="str">
        <f aca="false">IF(G68="","",G68*IF(L68="",0,IF(L68&gt;1,L68/100,L68))+N68)</f>
        <v/>
      </c>
      <c r="P68" s="11"/>
      <c r="Q68" s="16" t="str">
        <f aca="false">IF(P68="","",IFERROR(VLOOKUP(P68,PARTNERS!$A$2:$B$30,2,0),""))</f>
        <v/>
      </c>
      <c r="R68" s="17" t="str">
        <f aca="false">IF(O68="","",IF(OR(P68="",Q68=""),0,(O68-N68)*IF(Q68&gt;1,Q68/100,Q68)))</f>
        <v/>
      </c>
      <c r="S68" s="14" t="str">
        <f aca="false">IF(O68="","",O68-R68)</f>
        <v/>
      </c>
      <c r="T68" s="11"/>
      <c r="U68" s="18" t="str">
        <f aca="false">IF(T68="","",IFERROR(VLOOKUP(T68,REPS!$A$2:$D$40,2,0),""))</f>
        <v/>
      </c>
      <c r="V68" s="14" t="str">
        <f aca="false">IF(O68="","",IF(U68="",0,O68*IF(U68&gt;1,U68/100,U68)))</f>
        <v/>
      </c>
      <c r="W68" s="11"/>
      <c r="X68" s="18" t="str">
        <f aca="false">IF(W68="","",IFERROR(VLOOKUP(W68,REPS!$A$2:$D$40,3,0),""))</f>
        <v/>
      </c>
      <c r="Y68" s="14" t="str">
        <f aca="false">IF(O68="","",IF(X68="",0,O68*IF(X68&gt;1,X68/100,X68)))</f>
        <v/>
      </c>
      <c r="Z68" s="11"/>
      <c r="AA68" s="18" t="str">
        <f aca="false">IF(Z68="","",IFERROR(VLOOKUP(Z68,REPS!$A$2:$D$40,4,0),""))</f>
        <v/>
      </c>
      <c r="AB68" s="14" t="str">
        <f aca="false">IF(O68="","",IF(AA68="",0,O68*IF(AA68&gt;1,AA68/100,AA68)))</f>
        <v/>
      </c>
      <c r="AC68" s="14" t="str">
        <f aca="false">IF(O68="","",V68+Y68+AB68)</f>
        <v/>
      </c>
      <c r="AD68" s="19" t="str">
        <f aca="false">IF(O68="","",O68-R68-AC68)</f>
        <v/>
      </c>
      <c r="AE68" s="20"/>
      <c r="AF68" s="10"/>
      <c r="AG68" s="21" t="n">
        <f aca="false">IF(OR(AE68="",AE68=0),0,AE68*IF(U68="",0,IF(U68&gt;1,U68/100,U68)))</f>
        <v>0</v>
      </c>
      <c r="AH68" s="21" t="n">
        <f aca="false">IF(OR(AE68="",AE68=0),0,AE68*IF(X68="",0,IF(X68&gt;1,X68/100,X68)))</f>
        <v>0</v>
      </c>
      <c r="AI68" s="21" t="n">
        <f aca="false">IF(OR(AE68="",AE68=0),0,AE68*IF(AA68="",0,IF(AA68&gt;1,AA68/100,AA68)))</f>
        <v>0</v>
      </c>
      <c r="AJ68" s="21" t="n">
        <f aca="false">AG68+AH68+AI68</f>
        <v>0</v>
      </c>
      <c r="AK68" s="21" t="n">
        <f aca="false">IF(OR(AE68="",AE68=0),0,AE68-AJ68)</f>
        <v>0</v>
      </c>
      <c r="AL68" s="19" t="str">
        <f aca="false">IF(AD68="","",AD68-AK68)</f>
        <v/>
      </c>
      <c r="AM68" s="9" t="str">
        <f aca="false">IF(C68="","","Waiting for payment")</f>
        <v/>
      </c>
      <c r="AN68" s="10"/>
      <c r="AO68" s="10"/>
      <c r="AP68" s="22" t="str">
        <f aca="false">IF(OR(C68="",I68="",K68=""),"",IF(K68="Monthly",EDATE(C68,ROUND(I68*SETTINGS!$I$8,0)),WORKDAY(C68,ROUND(I68*SETTINGS!$I$8,0))))</f>
        <v/>
      </c>
      <c r="AQ68" s="9" t="str">
        <f aca="true">IF(C68="","",IF(AND(AP68&lt;&gt;"",TODAY()&gt;=AP68),"Refi Ready",IF(TODAY()-C68&gt;=SETTINGS!$I$11,"Prospecting","Performing")))</f>
        <v/>
      </c>
      <c r="AR68" s="22" t="str">
        <f aca="false">IF(OR(C68="",I68="",K68=""),"",IF(K68="Monthly",EDATE(C68,I68),WORKDAY(C68,I68)))</f>
        <v/>
      </c>
      <c r="AS68" s="11"/>
      <c r="AT68" s="23" t="str">
        <f aca="true">IF(C68="","",IF(AM68="Clawed Back","CLAWED",IF(TODAY()&lt;=C68+SETTINGS!$I$2,"⚠ AT RISK","SAFE")))</f>
        <v/>
      </c>
      <c r="AU68" s="11"/>
      <c r="AW68" s="24" t="n">
        <f aca="false">AW67+IF(AND(C68&lt;&gt;"",AO68&lt;&gt;"",OR('REP COMMISSION'!$B$3="",T68='REP COMMISSION'!$B$3,W68='REP COMMISSION'!$B$3,Z68='REP COMMISSION'!$B$3)),1,0)</f>
        <v>0</v>
      </c>
      <c r="AX68" s="24" t="n">
        <f aca="false">AX67+IF(AND(C68&lt;&gt;"",OR(F68="LOC - INITIAL",F68="CONSOLIDATION - UPFRONT COMM",F68="REVERSE - TOTAL FUNDING")),1,0)</f>
        <v>0</v>
      </c>
    </row>
    <row r="69" customFormat="false" ht="15" hidden="false" customHeight="false" outlineLevel="0" collapsed="false">
      <c r="A69" s="25" t="str">
        <f aca="false">IF(C69&lt;&gt;"","F27-"&amp;COUNT($C$4:C69),"")</f>
        <v/>
      </c>
      <c r="B69" s="26" t="str">
        <f aca="false">IF(OR(F69="LOC - INITIAL",F69="CONSOLIDATION - UPFRONT COMM",F69="REVERSE - TOTAL FUNDING"),A69,"")</f>
        <v/>
      </c>
      <c r="C69" s="27"/>
      <c r="D69" s="28"/>
      <c r="E69" s="28"/>
      <c r="F69" s="28"/>
      <c r="G69" s="29"/>
      <c r="H69" s="30"/>
      <c r="I69" s="28"/>
      <c r="J69" s="31" t="str">
        <f aca="false">IF(AND(G69&lt;&gt;"",H69&lt;&gt;""),G69*H69,"")</f>
        <v/>
      </c>
      <c r="K69" s="28"/>
      <c r="L69" s="32"/>
      <c r="M69" s="32"/>
      <c r="N69" s="31" t="n">
        <f aca="false">IF(OR(G69="",M69=""),0,IF(M69&gt;100,M69,G69*IF(M69&gt;1,M69/100,M69)))</f>
        <v>0</v>
      </c>
      <c r="O69" s="31" t="str">
        <f aca="false">IF(G69="","",G69*IF(L69="",0,IF(L69&gt;1,L69/100,L69))+N69)</f>
        <v/>
      </c>
      <c r="P69" s="28"/>
      <c r="Q69" s="33" t="str">
        <f aca="false">IF(P69="","",IFERROR(VLOOKUP(P69,PARTNERS!$A$2:$B$30,2,0),""))</f>
        <v/>
      </c>
      <c r="R69" s="17" t="str">
        <f aca="false">IF(O69="","",IF(OR(P69="",Q69=""),0,(O69-N69)*IF(Q69&gt;1,Q69/100,Q69)))</f>
        <v/>
      </c>
      <c r="S69" s="31" t="str">
        <f aca="false">IF(O69="","",O69-R69)</f>
        <v/>
      </c>
      <c r="T69" s="28"/>
      <c r="U69" s="34" t="str">
        <f aca="false">IF(T69="","",IFERROR(VLOOKUP(T69,REPS!$A$2:$D$40,2,0),""))</f>
        <v/>
      </c>
      <c r="V69" s="31" t="str">
        <f aca="false">IF(O69="","",IF(U69="",0,O69*IF(U69&gt;1,U69/100,U69)))</f>
        <v/>
      </c>
      <c r="W69" s="28"/>
      <c r="X69" s="34" t="str">
        <f aca="false">IF(W69="","",IFERROR(VLOOKUP(W69,REPS!$A$2:$D$40,3,0),""))</f>
        <v/>
      </c>
      <c r="Y69" s="31" t="str">
        <f aca="false">IF(O69="","",IF(X69="",0,O69*IF(X69&gt;1,X69/100,X69)))</f>
        <v/>
      </c>
      <c r="Z69" s="28"/>
      <c r="AA69" s="34" t="str">
        <f aca="false">IF(Z69="","",IFERROR(VLOOKUP(Z69,REPS!$A$2:$D$40,4,0),""))</f>
        <v/>
      </c>
      <c r="AB69" s="31" t="str">
        <f aca="false">IF(O69="","",IF(AA69="",0,O69*IF(AA69&gt;1,AA69/100,AA69)))</f>
        <v/>
      </c>
      <c r="AC69" s="31" t="str">
        <f aca="false">IF(O69="","",V69+Y69+AB69)</f>
        <v/>
      </c>
      <c r="AD69" s="19" t="str">
        <f aca="false">IF(O69="","",O69-R69-AC69)</f>
        <v/>
      </c>
      <c r="AE69" s="20"/>
      <c r="AF69" s="27"/>
      <c r="AG69" s="21" t="n">
        <f aca="false">IF(OR(AE69="",AE69=0),0,AE69*IF(U69="",0,IF(U69&gt;1,U69/100,U69)))</f>
        <v>0</v>
      </c>
      <c r="AH69" s="21" t="n">
        <f aca="false">IF(OR(AE69="",AE69=0),0,AE69*IF(X69="",0,IF(X69&gt;1,X69/100,X69)))</f>
        <v>0</v>
      </c>
      <c r="AI69" s="21" t="n">
        <f aca="false">IF(OR(AE69="",AE69=0),0,AE69*IF(AA69="",0,IF(AA69&gt;1,AA69/100,AA69)))</f>
        <v>0</v>
      </c>
      <c r="AJ69" s="21" t="n">
        <f aca="false">AG69+AH69+AI69</f>
        <v>0</v>
      </c>
      <c r="AK69" s="21" t="n">
        <f aca="false">IF(OR(AE69="",AE69=0),0,AE69-AJ69)</f>
        <v>0</v>
      </c>
      <c r="AL69" s="19" t="str">
        <f aca="false">IF(AD69="","",AD69-AK69)</f>
        <v/>
      </c>
      <c r="AM69" s="26" t="str">
        <f aca="false">IF(C69="","","Waiting for payment")</f>
        <v/>
      </c>
      <c r="AN69" s="27"/>
      <c r="AO69" s="27"/>
      <c r="AP69" s="35" t="str">
        <f aca="false">IF(OR(C69="",I69="",K69=""),"",IF(K69="Monthly",EDATE(C69,ROUND(I69*SETTINGS!$I$8,0)),WORKDAY(C69,ROUND(I69*SETTINGS!$I$8,0))))</f>
        <v/>
      </c>
      <c r="AQ69" s="26" t="str">
        <f aca="true">IF(C69="","",IF(AND(AP69&lt;&gt;"",TODAY()&gt;=AP69),"Refi Ready",IF(TODAY()-C69&gt;=SETTINGS!$I$11,"Prospecting","Performing")))</f>
        <v/>
      </c>
      <c r="AR69" s="35" t="str">
        <f aca="false">IF(OR(C69="",I69="",K69=""),"",IF(K69="Monthly",EDATE(C69,I69),WORKDAY(C69,I69)))</f>
        <v/>
      </c>
      <c r="AS69" s="28"/>
      <c r="AT69" s="36" t="str">
        <f aca="true">IF(C69="","",IF(AM69="Clawed Back","CLAWED",IF(TODAY()&lt;=C69+SETTINGS!$I$2,"⚠ AT RISK","SAFE")))</f>
        <v/>
      </c>
      <c r="AU69" s="28"/>
      <c r="AW69" s="24" t="n">
        <f aca="false">AW68+IF(AND(C69&lt;&gt;"",AO69&lt;&gt;"",OR('REP COMMISSION'!$B$3="",T69='REP COMMISSION'!$B$3,W69='REP COMMISSION'!$B$3,Z69='REP COMMISSION'!$B$3)),1,0)</f>
        <v>0</v>
      </c>
      <c r="AX69" s="24" t="n">
        <f aca="false">AX68+IF(AND(C69&lt;&gt;"",OR(F69="LOC - INITIAL",F69="CONSOLIDATION - UPFRONT COMM",F69="REVERSE - TOTAL FUNDING")),1,0)</f>
        <v>0</v>
      </c>
    </row>
    <row r="70" customFormat="false" ht="15" hidden="false" customHeight="false" outlineLevel="0" collapsed="false">
      <c r="A70" s="8" t="str">
        <f aca="false">IF(C70&lt;&gt;"","F27-"&amp;COUNT($C$4:C70),"")</f>
        <v/>
      </c>
      <c r="B70" s="9" t="str">
        <f aca="false">IF(OR(F70="LOC - INITIAL",F70="CONSOLIDATION - UPFRONT COMM",F70="REVERSE - TOTAL FUNDING"),A70,"")</f>
        <v/>
      </c>
      <c r="C70" s="10"/>
      <c r="D70" s="11"/>
      <c r="E70" s="11"/>
      <c r="F70" s="11"/>
      <c r="G70" s="12"/>
      <c r="H70" s="13"/>
      <c r="I70" s="11"/>
      <c r="J70" s="14" t="str">
        <f aca="false">IF(AND(G70&lt;&gt;"",H70&lt;&gt;""),G70*H70,"")</f>
        <v/>
      </c>
      <c r="K70" s="11"/>
      <c r="L70" s="15"/>
      <c r="M70" s="15"/>
      <c r="N70" s="14" t="n">
        <f aca="false">IF(OR(G70="",M70=""),0,IF(M70&gt;100,M70,G70*IF(M70&gt;1,M70/100,M70)))</f>
        <v>0</v>
      </c>
      <c r="O70" s="14" t="str">
        <f aca="false">IF(G70="","",G70*IF(L70="",0,IF(L70&gt;1,L70/100,L70))+N70)</f>
        <v/>
      </c>
      <c r="P70" s="11"/>
      <c r="Q70" s="16" t="str">
        <f aca="false">IF(P70="","",IFERROR(VLOOKUP(P70,PARTNERS!$A$2:$B$30,2,0),""))</f>
        <v/>
      </c>
      <c r="R70" s="17" t="str">
        <f aca="false">IF(O70="","",IF(OR(P70="",Q70=""),0,(O70-N70)*IF(Q70&gt;1,Q70/100,Q70)))</f>
        <v/>
      </c>
      <c r="S70" s="14" t="str">
        <f aca="false">IF(O70="","",O70-R70)</f>
        <v/>
      </c>
      <c r="T70" s="11"/>
      <c r="U70" s="18" t="str">
        <f aca="false">IF(T70="","",IFERROR(VLOOKUP(T70,REPS!$A$2:$D$40,2,0),""))</f>
        <v/>
      </c>
      <c r="V70" s="14" t="str">
        <f aca="false">IF(O70="","",IF(U70="",0,O70*IF(U70&gt;1,U70/100,U70)))</f>
        <v/>
      </c>
      <c r="W70" s="11"/>
      <c r="X70" s="18" t="str">
        <f aca="false">IF(W70="","",IFERROR(VLOOKUP(W70,REPS!$A$2:$D$40,3,0),""))</f>
        <v/>
      </c>
      <c r="Y70" s="14" t="str">
        <f aca="false">IF(O70="","",IF(X70="",0,O70*IF(X70&gt;1,X70/100,X70)))</f>
        <v/>
      </c>
      <c r="Z70" s="11"/>
      <c r="AA70" s="18" t="str">
        <f aca="false">IF(Z70="","",IFERROR(VLOOKUP(Z70,REPS!$A$2:$D$40,4,0),""))</f>
        <v/>
      </c>
      <c r="AB70" s="14" t="str">
        <f aca="false">IF(O70="","",IF(AA70="",0,O70*IF(AA70&gt;1,AA70/100,AA70)))</f>
        <v/>
      </c>
      <c r="AC70" s="14" t="str">
        <f aca="false">IF(O70="","",V70+Y70+AB70)</f>
        <v/>
      </c>
      <c r="AD70" s="19" t="str">
        <f aca="false">IF(O70="","",O70-R70-AC70)</f>
        <v/>
      </c>
      <c r="AE70" s="20"/>
      <c r="AF70" s="10"/>
      <c r="AG70" s="21" t="n">
        <f aca="false">IF(OR(AE70="",AE70=0),0,AE70*IF(U70="",0,IF(U70&gt;1,U70/100,U70)))</f>
        <v>0</v>
      </c>
      <c r="AH70" s="21" t="n">
        <f aca="false">IF(OR(AE70="",AE70=0),0,AE70*IF(X70="",0,IF(X70&gt;1,X70/100,X70)))</f>
        <v>0</v>
      </c>
      <c r="AI70" s="21" t="n">
        <f aca="false">IF(OR(AE70="",AE70=0),0,AE70*IF(AA70="",0,IF(AA70&gt;1,AA70/100,AA70)))</f>
        <v>0</v>
      </c>
      <c r="AJ70" s="21" t="n">
        <f aca="false">AG70+AH70+AI70</f>
        <v>0</v>
      </c>
      <c r="AK70" s="21" t="n">
        <f aca="false">IF(OR(AE70="",AE70=0),0,AE70-AJ70)</f>
        <v>0</v>
      </c>
      <c r="AL70" s="19" t="str">
        <f aca="false">IF(AD70="","",AD70-AK70)</f>
        <v/>
      </c>
      <c r="AM70" s="9" t="str">
        <f aca="false">IF(C70="","","Waiting for payment")</f>
        <v/>
      </c>
      <c r="AN70" s="10"/>
      <c r="AO70" s="10"/>
      <c r="AP70" s="22" t="str">
        <f aca="false">IF(OR(C70="",I70="",K70=""),"",IF(K70="Monthly",EDATE(C70,ROUND(I70*SETTINGS!$I$8,0)),WORKDAY(C70,ROUND(I70*SETTINGS!$I$8,0))))</f>
        <v/>
      </c>
      <c r="AQ70" s="9" t="str">
        <f aca="true">IF(C70="","",IF(AND(AP70&lt;&gt;"",TODAY()&gt;=AP70),"Refi Ready",IF(TODAY()-C70&gt;=SETTINGS!$I$11,"Prospecting","Performing")))</f>
        <v/>
      </c>
      <c r="AR70" s="22" t="str">
        <f aca="false">IF(OR(C70="",I70="",K70=""),"",IF(K70="Monthly",EDATE(C70,I70),WORKDAY(C70,I70)))</f>
        <v/>
      </c>
      <c r="AS70" s="11"/>
      <c r="AT70" s="23" t="str">
        <f aca="true">IF(C70="","",IF(AM70="Clawed Back","CLAWED",IF(TODAY()&lt;=C70+SETTINGS!$I$2,"⚠ AT RISK","SAFE")))</f>
        <v/>
      </c>
      <c r="AU70" s="11"/>
      <c r="AW70" s="24" t="n">
        <f aca="false">AW69+IF(AND(C70&lt;&gt;"",AO70&lt;&gt;"",OR('REP COMMISSION'!$B$3="",T70='REP COMMISSION'!$B$3,W70='REP COMMISSION'!$B$3,Z70='REP COMMISSION'!$B$3)),1,0)</f>
        <v>0</v>
      </c>
      <c r="AX70" s="24" t="n">
        <f aca="false">AX69+IF(AND(C70&lt;&gt;"",OR(F70="LOC - INITIAL",F70="CONSOLIDATION - UPFRONT COMM",F70="REVERSE - TOTAL FUNDING")),1,0)</f>
        <v>0</v>
      </c>
    </row>
    <row r="71" customFormat="false" ht="15" hidden="false" customHeight="false" outlineLevel="0" collapsed="false">
      <c r="A71" s="25" t="str">
        <f aca="false">IF(C71&lt;&gt;"","F27-"&amp;COUNT($C$4:C71),"")</f>
        <v/>
      </c>
      <c r="B71" s="26" t="str">
        <f aca="false">IF(OR(F71="LOC - INITIAL",F71="CONSOLIDATION - UPFRONT COMM",F71="REVERSE - TOTAL FUNDING"),A71,"")</f>
        <v/>
      </c>
      <c r="C71" s="27"/>
      <c r="D71" s="28"/>
      <c r="E71" s="28"/>
      <c r="F71" s="28"/>
      <c r="G71" s="29"/>
      <c r="H71" s="30"/>
      <c r="I71" s="28"/>
      <c r="J71" s="31" t="str">
        <f aca="false">IF(AND(G71&lt;&gt;"",H71&lt;&gt;""),G71*H71,"")</f>
        <v/>
      </c>
      <c r="K71" s="28"/>
      <c r="L71" s="32"/>
      <c r="M71" s="32"/>
      <c r="N71" s="31" t="n">
        <f aca="false">IF(OR(G71="",M71=""),0,IF(M71&gt;100,M71,G71*IF(M71&gt;1,M71/100,M71)))</f>
        <v>0</v>
      </c>
      <c r="O71" s="31" t="str">
        <f aca="false">IF(G71="","",G71*IF(L71="",0,IF(L71&gt;1,L71/100,L71))+N71)</f>
        <v/>
      </c>
      <c r="P71" s="28"/>
      <c r="Q71" s="33" t="str">
        <f aca="false">IF(P71="","",IFERROR(VLOOKUP(P71,PARTNERS!$A$2:$B$30,2,0),""))</f>
        <v/>
      </c>
      <c r="R71" s="17" t="str">
        <f aca="false">IF(O71="","",IF(OR(P71="",Q71=""),0,(O71-N71)*IF(Q71&gt;1,Q71/100,Q71)))</f>
        <v/>
      </c>
      <c r="S71" s="31" t="str">
        <f aca="false">IF(O71="","",O71-R71)</f>
        <v/>
      </c>
      <c r="T71" s="28"/>
      <c r="U71" s="34" t="str">
        <f aca="false">IF(T71="","",IFERROR(VLOOKUP(T71,REPS!$A$2:$D$40,2,0),""))</f>
        <v/>
      </c>
      <c r="V71" s="31" t="str">
        <f aca="false">IF(O71="","",IF(U71="",0,O71*IF(U71&gt;1,U71/100,U71)))</f>
        <v/>
      </c>
      <c r="W71" s="28"/>
      <c r="X71" s="34" t="str">
        <f aca="false">IF(W71="","",IFERROR(VLOOKUP(W71,REPS!$A$2:$D$40,3,0),""))</f>
        <v/>
      </c>
      <c r="Y71" s="31" t="str">
        <f aca="false">IF(O71="","",IF(X71="",0,O71*IF(X71&gt;1,X71/100,X71)))</f>
        <v/>
      </c>
      <c r="Z71" s="28"/>
      <c r="AA71" s="34" t="str">
        <f aca="false">IF(Z71="","",IFERROR(VLOOKUP(Z71,REPS!$A$2:$D$40,4,0),""))</f>
        <v/>
      </c>
      <c r="AB71" s="31" t="str">
        <f aca="false">IF(O71="","",IF(AA71="",0,O71*IF(AA71&gt;1,AA71/100,AA71)))</f>
        <v/>
      </c>
      <c r="AC71" s="31" t="str">
        <f aca="false">IF(O71="","",V71+Y71+AB71)</f>
        <v/>
      </c>
      <c r="AD71" s="19" t="str">
        <f aca="false">IF(O71="","",O71-R71-AC71)</f>
        <v/>
      </c>
      <c r="AE71" s="20"/>
      <c r="AF71" s="27"/>
      <c r="AG71" s="21" t="n">
        <f aca="false">IF(OR(AE71="",AE71=0),0,AE71*IF(U71="",0,IF(U71&gt;1,U71/100,U71)))</f>
        <v>0</v>
      </c>
      <c r="AH71" s="21" t="n">
        <f aca="false">IF(OR(AE71="",AE71=0),0,AE71*IF(X71="",0,IF(X71&gt;1,X71/100,X71)))</f>
        <v>0</v>
      </c>
      <c r="AI71" s="21" t="n">
        <f aca="false">IF(OR(AE71="",AE71=0),0,AE71*IF(AA71="",0,IF(AA71&gt;1,AA71/100,AA71)))</f>
        <v>0</v>
      </c>
      <c r="AJ71" s="21" t="n">
        <f aca="false">AG71+AH71+AI71</f>
        <v>0</v>
      </c>
      <c r="AK71" s="21" t="n">
        <f aca="false">IF(OR(AE71="",AE71=0),0,AE71-AJ71)</f>
        <v>0</v>
      </c>
      <c r="AL71" s="19" t="str">
        <f aca="false">IF(AD71="","",AD71-AK71)</f>
        <v/>
      </c>
      <c r="AM71" s="26" t="str">
        <f aca="false">IF(C71="","","Waiting for payment")</f>
        <v/>
      </c>
      <c r="AN71" s="27"/>
      <c r="AO71" s="27"/>
      <c r="AP71" s="35" t="str">
        <f aca="false">IF(OR(C71="",I71="",K71=""),"",IF(K71="Monthly",EDATE(C71,ROUND(I71*SETTINGS!$I$8,0)),WORKDAY(C71,ROUND(I71*SETTINGS!$I$8,0))))</f>
        <v/>
      </c>
      <c r="AQ71" s="26" t="str">
        <f aca="true">IF(C71="","",IF(AND(AP71&lt;&gt;"",TODAY()&gt;=AP71),"Refi Ready",IF(TODAY()-C71&gt;=SETTINGS!$I$11,"Prospecting","Performing")))</f>
        <v/>
      </c>
      <c r="AR71" s="35" t="str">
        <f aca="false">IF(OR(C71="",I71="",K71=""),"",IF(K71="Monthly",EDATE(C71,I71),WORKDAY(C71,I71)))</f>
        <v/>
      </c>
      <c r="AS71" s="28"/>
      <c r="AT71" s="36" t="str">
        <f aca="true">IF(C71="","",IF(AM71="Clawed Back","CLAWED",IF(TODAY()&lt;=C71+SETTINGS!$I$2,"⚠ AT RISK","SAFE")))</f>
        <v/>
      </c>
      <c r="AU71" s="28"/>
      <c r="AW71" s="24" t="n">
        <f aca="false">AW70+IF(AND(C71&lt;&gt;"",AO71&lt;&gt;"",OR('REP COMMISSION'!$B$3="",T71='REP COMMISSION'!$B$3,W71='REP COMMISSION'!$B$3,Z71='REP COMMISSION'!$B$3)),1,0)</f>
        <v>0</v>
      </c>
      <c r="AX71" s="24" t="n">
        <f aca="false">AX70+IF(AND(C71&lt;&gt;"",OR(F71="LOC - INITIAL",F71="CONSOLIDATION - UPFRONT COMM",F71="REVERSE - TOTAL FUNDING")),1,0)</f>
        <v>0</v>
      </c>
    </row>
    <row r="72" customFormat="false" ht="15" hidden="false" customHeight="false" outlineLevel="0" collapsed="false">
      <c r="A72" s="8" t="str">
        <f aca="false">IF(C72&lt;&gt;"","F27-"&amp;COUNT($C$4:C72),"")</f>
        <v/>
      </c>
      <c r="B72" s="9" t="str">
        <f aca="false">IF(OR(F72="LOC - INITIAL",F72="CONSOLIDATION - UPFRONT COMM",F72="REVERSE - TOTAL FUNDING"),A72,"")</f>
        <v/>
      </c>
      <c r="C72" s="10"/>
      <c r="D72" s="11"/>
      <c r="E72" s="11"/>
      <c r="F72" s="11"/>
      <c r="G72" s="12"/>
      <c r="H72" s="13"/>
      <c r="I72" s="11"/>
      <c r="J72" s="14" t="str">
        <f aca="false">IF(AND(G72&lt;&gt;"",H72&lt;&gt;""),G72*H72,"")</f>
        <v/>
      </c>
      <c r="K72" s="11"/>
      <c r="L72" s="15"/>
      <c r="M72" s="15"/>
      <c r="N72" s="14" t="n">
        <f aca="false">IF(OR(G72="",M72=""),0,IF(M72&gt;100,M72,G72*IF(M72&gt;1,M72/100,M72)))</f>
        <v>0</v>
      </c>
      <c r="O72" s="14" t="str">
        <f aca="false">IF(G72="","",G72*IF(L72="",0,IF(L72&gt;1,L72/100,L72))+N72)</f>
        <v/>
      </c>
      <c r="P72" s="11"/>
      <c r="Q72" s="16" t="str">
        <f aca="false">IF(P72="","",IFERROR(VLOOKUP(P72,PARTNERS!$A$2:$B$30,2,0),""))</f>
        <v/>
      </c>
      <c r="R72" s="17" t="str">
        <f aca="false">IF(O72="","",IF(OR(P72="",Q72=""),0,(O72-N72)*IF(Q72&gt;1,Q72/100,Q72)))</f>
        <v/>
      </c>
      <c r="S72" s="14" t="str">
        <f aca="false">IF(O72="","",O72-R72)</f>
        <v/>
      </c>
      <c r="T72" s="11"/>
      <c r="U72" s="18" t="str">
        <f aca="false">IF(T72="","",IFERROR(VLOOKUP(T72,REPS!$A$2:$D$40,2,0),""))</f>
        <v/>
      </c>
      <c r="V72" s="14" t="str">
        <f aca="false">IF(O72="","",IF(U72="",0,O72*IF(U72&gt;1,U72/100,U72)))</f>
        <v/>
      </c>
      <c r="W72" s="11"/>
      <c r="X72" s="18" t="str">
        <f aca="false">IF(W72="","",IFERROR(VLOOKUP(W72,REPS!$A$2:$D$40,3,0),""))</f>
        <v/>
      </c>
      <c r="Y72" s="14" t="str">
        <f aca="false">IF(O72="","",IF(X72="",0,O72*IF(X72&gt;1,X72/100,X72)))</f>
        <v/>
      </c>
      <c r="Z72" s="11"/>
      <c r="AA72" s="18" t="str">
        <f aca="false">IF(Z72="","",IFERROR(VLOOKUP(Z72,REPS!$A$2:$D$40,4,0),""))</f>
        <v/>
      </c>
      <c r="AB72" s="14" t="str">
        <f aca="false">IF(O72="","",IF(AA72="",0,O72*IF(AA72&gt;1,AA72/100,AA72)))</f>
        <v/>
      </c>
      <c r="AC72" s="14" t="str">
        <f aca="false">IF(O72="","",V72+Y72+AB72)</f>
        <v/>
      </c>
      <c r="AD72" s="19" t="str">
        <f aca="false">IF(O72="","",O72-R72-AC72)</f>
        <v/>
      </c>
      <c r="AE72" s="20"/>
      <c r="AF72" s="10"/>
      <c r="AG72" s="21" t="n">
        <f aca="false">IF(OR(AE72="",AE72=0),0,AE72*IF(U72="",0,IF(U72&gt;1,U72/100,U72)))</f>
        <v>0</v>
      </c>
      <c r="AH72" s="21" t="n">
        <f aca="false">IF(OR(AE72="",AE72=0),0,AE72*IF(X72="",0,IF(X72&gt;1,X72/100,X72)))</f>
        <v>0</v>
      </c>
      <c r="AI72" s="21" t="n">
        <f aca="false">IF(OR(AE72="",AE72=0),0,AE72*IF(AA72="",0,IF(AA72&gt;1,AA72/100,AA72)))</f>
        <v>0</v>
      </c>
      <c r="AJ72" s="21" t="n">
        <f aca="false">AG72+AH72+AI72</f>
        <v>0</v>
      </c>
      <c r="AK72" s="21" t="n">
        <f aca="false">IF(OR(AE72="",AE72=0),0,AE72-AJ72)</f>
        <v>0</v>
      </c>
      <c r="AL72" s="19" t="str">
        <f aca="false">IF(AD72="","",AD72-AK72)</f>
        <v/>
      </c>
      <c r="AM72" s="9" t="str">
        <f aca="false">IF(C72="","","Waiting for payment")</f>
        <v/>
      </c>
      <c r="AN72" s="10"/>
      <c r="AO72" s="10"/>
      <c r="AP72" s="22" t="str">
        <f aca="false">IF(OR(C72="",I72="",K72=""),"",IF(K72="Monthly",EDATE(C72,ROUND(I72*SETTINGS!$I$8,0)),WORKDAY(C72,ROUND(I72*SETTINGS!$I$8,0))))</f>
        <v/>
      </c>
      <c r="AQ72" s="9" t="str">
        <f aca="true">IF(C72="","",IF(AND(AP72&lt;&gt;"",TODAY()&gt;=AP72),"Refi Ready",IF(TODAY()-C72&gt;=SETTINGS!$I$11,"Prospecting","Performing")))</f>
        <v/>
      </c>
      <c r="AR72" s="22" t="str">
        <f aca="false">IF(OR(C72="",I72="",K72=""),"",IF(K72="Monthly",EDATE(C72,I72),WORKDAY(C72,I72)))</f>
        <v/>
      </c>
      <c r="AS72" s="11"/>
      <c r="AT72" s="23" t="str">
        <f aca="true">IF(C72="","",IF(AM72="Clawed Back","CLAWED",IF(TODAY()&lt;=C72+SETTINGS!$I$2,"⚠ AT RISK","SAFE")))</f>
        <v/>
      </c>
      <c r="AU72" s="11"/>
      <c r="AW72" s="24" t="n">
        <f aca="false">AW71+IF(AND(C72&lt;&gt;"",AO72&lt;&gt;"",OR('REP COMMISSION'!$B$3="",T72='REP COMMISSION'!$B$3,W72='REP COMMISSION'!$B$3,Z72='REP COMMISSION'!$B$3)),1,0)</f>
        <v>0</v>
      </c>
      <c r="AX72" s="24" t="n">
        <f aca="false">AX71+IF(AND(C72&lt;&gt;"",OR(F72="LOC - INITIAL",F72="CONSOLIDATION - UPFRONT COMM",F72="REVERSE - TOTAL FUNDING")),1,0)</f>
        <v>0</v>
      </c>
    </row>
    <row r="73" customFormat="false" ht="15" hidden="false" customHeight="false" outlineLevel="0" collapsed="false">
      <c r="A73" s="25" t="str">
        <f aca="false">IF(C73&lt;&gt;"","F27-"&amp;COUNT($C$4:C73),"")</f>
        <v/>
      </c>
      <c r="B73" s="26" t="str">
        <f aca="false">IF(OR(F73="LOC - INITIAL",F73="CONSOLIDATION - UPFRONT COMM",F73="REVERSE - TOTAL FUNDING"),A73,"")</f>
        <v/>
      </c>
      <c r="C73" s="27"/>
      <c r="D73" s="28"/>
      <c r="E73" s="28"/>
      <c r="F73" s="28"/>
      <c r="G73" s="29"/>
      <c r="H73" s="30"/>
      <c r="I73" s="28"/>
      <c r="J73" s="31" t="str">
        <f aca="false">IF(AND(G73&lt;&gt;"",H73&lt;&gt;""),G73*H73,"")</f>
        <v/>
      </c>
      <c r="K73" s="28"/>
      <c r="L73" s="32"/>
      <c r="M73" s="32"/>
      <c r="N73" s="31" t="n">
        <f aca="false">IF(OR(G73="",M73=""),0,IF(M73&gt;100,M73,G73*IF(M73&gt;1,M73/100,M73)))</f>
        <v>0</v>
      </c>
      <c r="O73" s="31" t="str">
        <f aca="false">IF(G73="","",G73*IF(L73="",0,IF(L73&gt;1,L73/100,L73))+N73)</f>
        <v/>
      </c>
      <c r="P73" s="28"/>
      <c r="Q73" s="33" t="str">
        <f aca="false">IF(P73="","",IFERROR(VLOOKUP(P73,PARTNERS!$A$2:$B$30,2,0),""))</f>
        <v/>
      </c>
      <c r="R73" s="17" t="str">
        <f aca="false">IF(O73="","",IF(OR(P73="",Q73=""),0,(O73-N73)*IF(Q73&gt;1,Q73/100,Q73)))</f>
        <v/>
      </c>
      <c r="S73" s="31" t="str">
        <f aca="false">IF(O73="","",O73-R73)</f>
        <v/>
      </c>
      <c r="T73" s="28"/>
      <c r="U73" s="34" t="str">
        <f aca="false">IF(T73="","",IFERROR(VLOOKUP(T73,REPS!$A$2:$D$40,2,0),""))</f>
        <v/>
      </c>
      <c r="V73" s="31" t="str">
        <f aca="false">IF(O73="","",IF(U73="",0,O73*IF(U73&gt;1,U73/100,U73)))</f>
        <v/>
      </c>
      <c r="W73" s="28"/>
      <c r="X73" s="34" t="str">
        <f aca="false">IF(W73="","",IFERROR(VLOOKUP(W73,REPS!$A$2:$D$40,3,0),""))</f>
        <v/>
      </c>
      <c r="Y73" s="31" t="str">
        <f aca="false">IF(O73="","",IF(X73="",0,O73*IF(X73&gt;1,X73/100,X73)))</f>
        <v/>
      </c>
      <c r="Z73" s="28"/>
      <c r="AA73" s="34" t="str">
        <f aca="false">IF(Z73="","",IFERROR(VLOOKUP(Z73,REPS!$A$2:$D$40,4,0),""))</f>
        <v/>
      </c>
      <c r="AB73" s="31" t="str">
        <f aca="false">IF(O73="","",IF(AA73="",0,O73*IF(AA73&gt;1,AA73/100,AA73)))</f>
        <v/>
      </c>
      <c r="AC73" s="31" t="str">
        <f aca="false">IF(O73="","",V73+Y73+AB73)</f>
        <v/>
      </c>
      <c r="AD73" s="19" t="str">
        <f aca="false">IF(O73="","",O73-R73-AC73)</f>
        <v/>
      </c>
      <c r="AE73" s="20"/>
      <c r="AF73" s="27"/>
      <c r="AG73" s="21" t="n">
        <f aca="false">IF(OR(AE73="",AE73=0),0,AE73*IF(U73="",0,IF(U73&gt;1,U73/100,U73)))</f>
        <v>0</v>
      </c>
      <c r="AH73" s="21" t="n">
        <f aca="false">IF(OR(AE73="",AE73=0),0,AE73*IF(X73="",0,IF(X73&gt;1,X73/100,X73)))</f>
        <v>0</v>
      </c>
      <c r="AI73" s="21" t="n">
        <f aca="false">IF(OR(AE73="",AE73=0),0,AE73*IF(AA73="",0,IF(AA73&gt;1,AA73/100,AA73)))</f>
        <v>0</v>
      </c>
      <c r="AJ73" s="21" t="n">
        <f aca="false">AG73+AH73+AI73</f>
        <v>0</v>
      </c>
      <c r="AK73" s="21" t="n">
        <f aca="false">IF(OR(AE73="",AE73=0),0,AE73-AJ73)</f>
        <v>0</v>
      </c>
      <c r="AL73" s="19" t="str">
        <f aca="false">IF(AD73="","",AD73-AK73)</f>
        <v/>
      </c>
      <c r="AM73" s="26" t="str">
        <f aca="false">IF(C73="","","Waiting for payment")</f>
        <v/>
      </c>
      <c r="AN73" s="27"/>
      <c r="AO73" s="27"/>
      <c r="AP73" s="35" t="str">
        <f aca="false">IF(OR(C73="",I73="",K73=""),"",IF(K73="Monthly",EDATE(C73,ROUND(I73*SETTINGS!$I$8,0)),WORKDAY(C73,ROUND(I73*SETTINGS!$I$8,0))))</f>
        <v/>
      </c>
      <c r="AQ73" s="26" t="str">
        <f aca="true">IF(C73="","",IF(AND(AP73&lt;&gt;"",TODAY()&gt;=AP73),"Refi Ready",IF(TODAY()-C73&gt;=SETTINGS!$I$11,"Prospecting","Performing")))</f>
        <v/>
      </c>
      <c r="AR73" s="35" t="str">
        <f aca="false">IF(OR(C73="",I73="",K73=""),"",IF(K73="Monthly",EDATE(C73,I73),WORKDAY(C73,I73)))</f>
        <v/>
      </c>
      <c r="AS73" s="28"/>
      <c r="AT73" s="36" t="str">
        <f aca="true">IF(C73="","",IF(AM73="Clawed Back","CLAWED",IF(TODAY()&lt;=C73+SETTINGS!$I$2,"⚠ AT RISK","SAFE")))</f>
        <v/>
      </c>
      <c r="AU73" s="28"/>
      <c r="AW73" s="24" t="n">
        <f aca="false">AW72+IF(AND(C73&lt;&gt;"",AO73&lt;&gt;"",OR('REP COMMISSION'!$B$3="",T73='REP COMMISSION'!$B$3,W73='REP COMMISSION'!$B$3,Z73='REP COMMISSION'!$B$3)),1,0)</f>
        <v>0</v>
      </c>
      <c r="AX73" s="24" t="n">
        <f aca="false">AX72+IF(AND(C73&lt;&gt;"",OR(F73="LOC - INITIAL",F73="CONSOLIDATION - UPFRONT COMM",F73="REVERSE - TOTAL FUNDING")),1,0)</f>
        <v>0</v>
      </c>
    </row>
    <row r="74" customFormat="false" ht="15" hidden="false" customHeight="false" outlineLevel="0" collapsed="false">
      <c r="A74" s="8" t="str">
        <f aca="false">IF(C74&lt;&gt;"","F27-"&amp;COUNT($C$4:C74),"")</f>
        <v/>
      </c>
      <c r="B74" s="9" t="str">
        <f aca="false">IF(OR(F74="LOC - INITIAL",F74="CONSOLIDATION - UPFRONT COMM",F74="REVERSE - TOTAL FUNDING"),A74,"")</f>
        <v/>
      </c>
      <c r="C74" s="10"/>
      <c r="D74" s="11"/>
      <c r="E74" s="11"/>
      <c r="F74" s="11"/>
      <c r="G74" s="12"/>
      <c r="H74" s="13"/>
      <c r="I74" s="11"/>
      <c r="J74" s="14" t="str">
        <f aca="false">IF(AND(G74&lt;&gt;"",H74&lt;&gt;""),G74*H74,"")</f>
        <v/>
      </c>
      <c r="K74" s="11"/>
      <c r="L74" s="15"/>
      <c r="M74" s="15"/>
      <c r="N74" s="14" t="n">
        <f aca="false">IF(OR(G74="",M74=""),0,IF(M74&gt;100,M74,G74*IF(M74&gt;1,M74/100,M74)))</f>
        <v>0</v>
      </c>
      <c r="O74" s="14" t="str">
        <f aca="false">IF(G74="","",G74*IF(L74="",0,IF(L74&gt;1,L74/100,L74))+N74)</f>
        <v/>
      </c>
      <c r="P74" s="11"/>
      <c r="Q74" s="16" t="str">
        <f aca="false">IF(P74="","",IFERROR(VLOOKUP(P74,PARTNERS!$A$2:$B$30,2,0),""))</f>
        <v/>
      </c>
      <c r="R74" s="17" t="str">
        <f aca="false">IF(O74="","",IF(OR(P74="",Q74=""),0,(O74-N74)*IF(Q74&gt;1,Q74/100,Q74)))</f>
        <v/>
      </c>
      <c r="S74" s="14" t="str">
        <f aca="false">IF(O74="","",O74-R74)</f>
        <v/>
      </c>
      <c r="T74" s="11"/>
      <c r="U74" s="18" t="str">
        <f aca="false">IF(T74="","",IFERROR(VLOOKUP(T74,REPS!$A$2:$D$40,2,0),""))</f>
        <v/>
      </c>
      <c r="V74" s="14" t="str">
        <f aca="false">IF(O74="","",IF(U74="",0,O74*IF(U74&gt;1,U74/100,U74)))</f>
        <v/>
      </c>
      <c r="W74" s="11"/>
      <c r="X74" s="18" t="str">
        <f aca="false">IF(W74="","",IFERROR(VLOOKUP(W74,REPS!$A$2:$D$40,3,0),""))</f>
        <v/>
      </c>
      <c r="Y74" s="14" t="str">
        <f aca="false">IF(O74="","",IF(X74="",0,O74*IF(X74&gt;1,X74/100,X74)))</f>
        <v/>
      </c>
      <c r="Z74" s="11"/>
      <c r="AA74" s="18" t="str">
        <f aca="false">IF(Z74="","",IFERROR(VLOOKUP(Z74,REPS!$A$2:$D$40,4,0),""))</f>
        <v/>
      </c>
      <c r="AB74" s="14" t="str">
        <f aca="false">IF(O74="","",IF(AA74="",0,O74*IF(AA74&gt;1,AA74/100,AA74)))</f>
        <v/>
      </c>
      <c r="AC74" s="14" t="str">
        <f aca="false">IF(O74="","",V74+Y74+AB74)</f>
        <v/>
      </c>
      <c r="AD74" s="19" t="str">
        <f aca="false">IF(O74="","",O74-R74-AC74)</f>
        <v/>
      </c>
      <c r="AE74" s="20"/>
      <c r="AF74" s="10"/>
      <c r="AG74" s="21" t="n">
        <f aca="false">IF(OR(AE74="",AE74=0),0,AE74*IF(U74="",0,IF(U74&gt;1,U74/100,U74)))</f>
        <v>0</v>
      </c>
      <c r="AH74" s="21" t="n">
        <f aca="false">IF(OR(AE74="",AE74=0),0,AE74*IF(X74="",0,IF(X74&gt;1,X74/100,X74)))</f>
        <v>0</v>
      </c>
      <c r="AI74" s="21" t="n">
        <f aca="false">IF(OR(AE74="",AE74=0),0,AE74*IF(AA74="",0,IF(AA74&gt;1,AA74/100,AA74)))</f>
        <v>0</v>
      </c>
      <c r="AJ74" s="21" t="n">
        <f aca="false">AG74+AH74+AI74</f>
        <v>0</v>
      </c>
      <c r="AK74" s="21" t="n">
        <f aca="false">IF(OR(AE74="",AE74=0),0,AE74-AJ74)</f>
        <v>0</v>
      </c>
      <c r="AL74" s="19" t="str">
        <f aca="false">IF(AD74="","",AD74-AK74)</f>
        <v/>
      </c>
      <c r="AM74" s="9" t="str">
        <f aca="false">IF(C74="","","Waiting for payment")</f>
        <v/>
      </c>
      <c r="AN74" s="10"/>
      <c r="AO74" s="10"/>
      <c r="AP74" s="22" t="str">
        <f aca="false">IF(OR(C74="",I74="",K74=""),"",IF(K74="Monthly",EDATE(C74,ROUND(I74*SETTINGS!$I$8,0)),WORKDAY(C74,ROUND(I74*SETTINGS!$I$8,0))))</f>
        <v/>
      </c>
      <c r="AQ74" s="9" t="str">
        <f aca="true">IF(C74="","",IF(AND(AP74&lt;&gt;"",TODAY()&gt;=AP74),"Refi Ready",IF(TODAY()-C74&gt;=SETTINGS!$I$11,"Prospecting","Performing")))</f>
        <v/>
      </c>
      <c r="AR74" s="22" t="str">
        <f aca="false">IF(OR(C74="",I74="",K74=""),"",IF(K74="Monthly",EDATE(C74,I74),WORKDAY(C74,I74)))</f>
        <v/>
      </c>
      <c r="AS74" s="11"/>
      <c r="AT74" s="23" t="str">
        <f aca="true">IF(C74="","",IF(AM74="Clawed Back","CLAWED",IF(TODAY()&lt;=C74+SETTINGS!$I$2,"⚠ AT RISK","SAFE")))</f>
        <v/>
      </c>
      <c r="AU74" s="11"/>
      <c r="AW74" s="24" t="n">
        <f aca="false">AW73+IF(AND(C74&lt;&gt;"",AO74&lt;&gt;"",OR('REP COMMISSION'!$B$3="",T74='REP COMMISSION'!$B$3,W74='REP COMMISSION'!$B$3,Z74='REP COMMISSION'!$B$3)),1,0)</f>
        <v>0</v>
      </c>
      <c r="AX74" s="24" t="n">
        <f aca="false">AX73+IF(AND(C74&lt;&gt;"",OR(F74="LOC - INITIAL",F74="CONSOLIDATION - UPFRONT COMM",F74="REVERSE - TOTAL FUNDING")),1,0)</f>
        <v>0</v>
      </c>
    </row>
    <row r="75" customFormat="false" ht="15" hidden="false" customHeight="false" outlineLevel="0" collapsed="false">
      <c r="A75" s="25" t="str">
        <f aca="false">IF(C75&lt;&gt;"","F27-"&amp;COUNT($C$4:C75),"")</f>
        <v/>
      </c>
      <c r="B75" s="26" t="str">
        <f aca="false">IF(OR(F75="LOC - INITIAL",F75="CONSOLIDATION - UPFRONT COMM",F75="REVERSE - TOTAL FUNDING"),A75,"")</f>
        <v/>
      </c>
      <c r="C75" s="27"/>
      <c r="D75" s="28"/>
      <c r="E75" s="28"/>
      <c r="F75" s="28"/>
      <c r="G75" s="29"/>
      <c r="H75" s="30"/>
      <c r="I75" s="28"/>
      <c r="J75" s="31" t="str">
        <f aca="false">IF(AND(G75&lt;&gt;"",H75&lt;&gt;""),G75*H75,"")</f>
        <v/>
      </c>
      <c r="K75" s="28"/>
      <c r="L75" s="32"/>
      <c r="M75" s="32"/>
      <c r="N75" s="31" t="n">
        <f aca="false">IF(OR(G75="",M75=""),0,IF(M75&gt;100,M75,G75*IF(M75&gt;1,M75/100,M75)))</f>
        <v>0</v>
      </c>
      <c r="O75" s="31" t="str">
        <f aca="false">IF(G75="","",G75*IF(L75="",0,IF(L75&gt;1,L75/100,L75))+N75)</f>
        <v/>
      </c>
      <c r="P75" s="28"/>
      <c r="Q75" s="33" t="str">
        <f aca="false">IF(P75="","",IFERROR(VLOOKUP(P75,PARTNERS!$A$2:$B$30,2,0),""))</f>
        <v/>
      </c>
      <c r="R75" s="17" t="str">
        <f aca="false">IF(O75="","",IF(OR(P75="",Q75=""),0,(O75-N75)*IF(Q75&gt;1,Q75/100,Q75)))</f>
        <v/>
      </c>
      <c r="S75" s="31" t="str">
        <f aca="false">IF(O75="","",O75-R75)</f>
        <v/>
      </c>
      <c r="T75" s="28"/>
      <c r="U75" s="34" t="str">
        <f aca="false">IF(T75="","",IFERROR(VLOOKUP(T75,REPS!$A$2:$D$40,2,0),""))</f>
        <v/>
      </c>
      <c r="V75" s="31" t="str">
        <f aca="false">IF(O75="","",IF(U75="",0,O75*IF(U75&gt;1,U75/100,U75)))</f>
        <v/>
      </c>
      <c r="W75" s="28"/>
      <c r="X75" s="34" t="str">
        <f aca="false">IF(W75="","",IFERROR(VLOOKUP(W75,REPS!$A$2:$D$40,3,0),""))</f>
        <v/>
      </c>
      <c r="Y75" s="31" t="str">
        <f aca="false">IF(O75="","",IF(X75="",0,O75*IF(X75&gt;1,X75/100,X75)))</f>
        <v/>
      </c>
      <c r="Z75" s="28"/>
      <c r="AA75" s="34" t="str">
        <f aca="false">IF(Z75="","",IFERROR(VLOOKUP(Z75,REPS!$A$2:$D$40,4,0),""))</f>
        <v/>
      </c>
      <c r="AB75" s="31" t="str">
        <f aca="false">IF(O75="","",IF(AA75="",0,O75*IF(AA75&gt;1,AA75/100,AA75)))</f>
        <v/>
      </c>
      <c r="AC75" s="31" t="str">
        <f aca="false">IF(O75="","",V75+Y75+AB75)</f>
        <v/>
      </c>
      <c r="AD75" s="19" t="str">
        <f aca="false">IF(O75="","",O75-R75-AC75)</f>
        <v/>
      </c>
      <c r="AE75" s="20"/>
      <c r="AF75" s="27"/>
      <c r="AG75" s="21" t="n">
        <f aca="false">IF(OR(AE75="",AE75=0),0,AE75*IF(U75="",0,IF(U75&gt;1,U75/100,U75)))</f>
        <v>0</v>
      </c>
      <c r="AH75" s="21" t="n">
        <f aca="false">IF(OR(AE75="",AE75=0),0,AE75*IF(X75="",0,IF(X75&gt;1,X75/100,X75)))</f>
        <v>0</v>
      </c>
      <c r="AI75" s="21" t="n">
        <f aca="false">IF(OR(AE75="",AE75=0),0,AE75*IF(AA75="",0,IF(AA75&gt;1,AA75/100,AA75)))</f>
        <v>0</v>
      </c>
      <c r="AJ75" s="21" t="n">
        <f aca="false">AG75+AH75+AI75</f>
        <v>0</v>
      </c>
      <c r="AK75" s="21" t="n">
        <f aca="false">IF(OR(AE75="",AE75=0),0,AE75-AJ75)</f>
        <v>0</v>
      </c>
      <c r="AL75" s="19" t="str">
        <f aca="false">IF(AD75="","",AD75-AK75)</f>
        <v/>
      </c>
      <c r="AM75" s="26" t="str">
        <f aca="false">IF(C75="","","Waiting for payment")</f>
        <v/>
      </c>
      <c r="AN75" s="27"/>
      <c r="AO75" s="27"/>
      <c r="AP75" s="35" t="str">
        <f aca="false">IF(OR(C75="",I75="",K75=""),"",IF(K75="Monthly",EDATE(C75,ROUND(I75*SETTINGS!$I$8,0)),WORKDAY(C75,ROUND(I75*SETTINGS!$I$8,0))))</f>
        <v/>
      </c>
      <c r="AQ75" s="26" t="str">
        <f aca="true">IF(C75="","",IF(AND(AP75&lt;&gt;"",TODAY()&gt;=AP75),"Refi Ready",IF(TODAY()-C75&gt;=SETTINGS!$I$11,"Prospecting","Performing")))</f>
        <v/>
      </c>
      <c r="AR75" s="35" t="str">
        <f aca="false">IF(OR(C75="",I75="",K75=""),"",IF(K75="Monthly",EDATE(C75,I75),WORKDAY(C75,I75)))</f>
        <v/>
      </c>
      <c r="AS75" s="28"/>
      <c r="AT75" s="36" t="str">
        <f aca="true">IF(C75="","",IF(AM75="Clawed Back","CLAWED",IF(TODAY()&lt;=C75+SETTINGS!$I$2,"⚠ AT RISK","SAFE")))</f>
        <v/>
      </c>
      <c r="AU75" s="28"/>
      <c r="AW75" s="24" t="n">
        <f aca="false">AW74+IF(AND(C75&lt;&gt;"",AO75&lt;&gt;"",OR('REP COMMISSION'!$B$3="",T75='REP COMMISSION'!$B$3,W75='REP COMMISSION'!$B$3,Z75='REP COMMISSION'!$B$3)),1,0)</f>
        <v>0</v>
      </c>
      <c r="AX75" s="24" t="n">
        <f aca="false">AX74+IF(AND(C75&lt;&gt;"",OR(F75="LOC - INITIAL",F75="CONSOLIDATION - UPFRONT COMM",F75="REVERSE - TOTAL FUNDING")),1,0)</f>
        <v>0</v>
      </c>
    </row>
    <row r="76" customFormat="false" ht="15" hidden="false" customHeight="false" outlineLevel="0" collapsed="false">
      <c r="A76" s="8" t="str">
        <f aca="false">IF(C76&lt;&gt;"","F27-"&amp;COUNT($C$4:C76),"")</f>
        <v/>
      </c>
      <c r="B76" s="9" t="str">
        <f aca="false">IF(OR(F76="LOC - INITIAL",F76="CONSOLIDATION - UPFRONT COMM",F76="REVERSE - TOTAL FUNDING"),A76,"")</f>
        <v/>
      </c>
      <c r="C76" s="10"/>
      <c r="D76" s="11"/>
      <c r="E76" s="11"/>
      <c r="F76" s="11"/>
      <c r="G76" s="12"/>
      <c r="H76" s="13"/>
      <c r="I76" s="11"/>
      <c r="J76" s="14" t="str">
        <f aca="false">IF(AND(G76&lt;&gt;"",H76&lt;&gt;""),G76*H76,"")</f>
        <v/>
      </c>
      <c r="K76" s="11"/>
      <c r="L76" s="15"/>
      <c r="M76" s="15"/>
      <c r="N76" s="14" t="n">
        <f aca="false">IF(OR(G76="",M76=""),0,IF(M76&gt;100,M76,G76*IF(M76&gt;1,M76/100,M76)))</f>
        <v>0</v>
      </c>
      <c r="O76" s="14" t="str">
        <f aca="false">IF(G76="","",G76*IF(L76="",0,IF(L76&gt;1,L76/100,L76))+N76)</f>
        <v/>
      </c>
      <c r="P76" s="11"/>
      <c r="Q76" s="16" t="str">
        <f aca="false">IF(P76="","",IFERROR(VLOOKUP(P76,PARTNERS!$A$2:$B$30,2,0),""))</f>
        <v/>
      </c>
      <c r="R76" s="17" t="str">
        <f aca="false">IF(O76="","",IF(OR(P76="",Q76=""),0,(O76-N76)*IF(Q76&gt;1,Q76/100,Q76)))</f>
        <v/>
      </c>
      <c r="S76" s="14" t="str">
        <f aca="false">IF(O76="","",O76-R76)</f>
        <v/>
      </c>
      <c r="T76" s="11"/>
      <c r="U76" s="18" t="str">
        <f aca="false">IF(T76="","",IFERROR(VLOOKUP(T76,REPS!$A$2:$D$40,2,0),""))</f>
        <v/>
      </c>
      <c r="V76" s="14" t="str">
        <f aca="false">IF(O76="","",IF(U76="",0,O76*IF(U76&gt;1,U76/100,U76)))</f>
        <v/>
      </c>
      <c r="W76" s="11"/>
      <c r="X76" s="18" t="str">
        <f aca="false">IF(W76="","",IFERROR(VLOOKUP(W76,REPS!$A$2:$D$40,3,0),""))</f>
        <v/>
      </c>
      <c r="Y76" s="14" t="str">
        <f aca="false">IF(O76="","",IF(X76="",0,O76*IF(X76&gt;1,X76/100,X76)))</f>
        <v/>
      </c>
      <c r="Z76" s="11"/>
      <c r="AA76" s="18" t="str">
        <f aca="false">IF(Z76="","",IFERROR(VLOOKUP(Z76,REPS!$A$2:$D$40,4,0),""))</f>
        <v/>
      </c>
      <c r="AB76" s="14" t="str">
        <f aca="false">IF(O76="","",IF(AA76="",0,O76*IF(AA76&gt;1,AA76/100,AA76)))</f>
        <v/>
      </c>
      <c r="AC76" s="14" t="str">
        <f aca="false">IF(O76="","",V76+Y76+AB76)</f>
        <v/>
      </c>
      <c r="AD76" s="19" t="str">
        <f aca="false">IF(O76="","",O76-R76-AC76)</f>
        <v/>
      </c>
      <c r="AE76" s="20"/>
      <c r="AF76" s="10"/>
      <c r="AG76" s="21" t="n">
        <f aca="false">IF(OR(AE76="",AE76=0),0,AE76*IF(U76="",0,IF(U76&gt;1,U76/100,U76)))</f>
        <v>0</v>
      </c>
      <c r="AH76" s="21" t="n">
        <f aca="false">IF(OR(AE76="",AE76=0),0,AE76*IF(X76="",0,IF(X76&gt;1,X76/100,X76)))</f>
        <v>0</v>
      </c>
      <c r="AI76" s="21" t="n">
        <f aca="false">IF(OR(AE76="",AE76=0),0,AE76*IF(AA76="",0,IF(AA76&gt;1,AA76/100,AA76)))</f>
        <v>0</v>
      </c>
      <c r="AJ76" s="21" t="n">
        <f aca="false">AG76+AH76+AI76</f>
        <v>0</v>
      </c>
      <c r="AK76" s="21" t="n">
        <f aca="false">IF(OR(AE76="",AE76=0),0,AE76-AJ76)</f>
        <v>0</v>
      </c>
      <c r="AL76" s="19" t="str">
        <f aca="false">IF(AD76="","",AD76-AK76)</f>
        <v/>
      </c>
      <c r="AM76" s="9" t="str">
        <f aca="false">IF(C76="","","Waiting for payment")</f>
        <v/>
      </c>
      <c r="AN76" s="10"/>
      <c r="AO76" s="10"/>
      <c r="AP76" s="22" t="str">
        <f aca="false">IF(OR(C76="",I76="",K76=""),"",IF(K76="Monthly",EDATE(C76,ROUND(I76*SETTINGS!$I$8,0)),WORKDAY(C76,ROUND(I76*SETTINGS!$I$8,0))))</f>
        <v/>
      </c>
      <c r="AQ76" s="9" t="str">
        <f aca="true">IF(C76="","",IF(AND(AP76&lt;&gt;"",TODAY()&gt;=AP76),"Refi Ready",IF(TODAY()-C76&gt;=SETTINGS!$I$11,"Prospecting","Performing")))</f>
        <v/>
      </c>
      <c r="AR76" s="22" t="str">
        <f aca="false">IF(OR(C76="",I76="",K76=""),"",IF(K76="Monthly",EDATE(C76,I76),WORKDAY(C76,I76)))</f>
        <v/>
      </c>
      <c r="AS76" s="11"/>
      <c r="AT76" s="23" t="str">
        <f aca="true">IF(C76="","",IF(AM76="Clawed Back","CLAWED",IF(TODAY()&lt;=C76+SETTINGS!$I$2,"⚠ AT RISK","SAFE")))</f>
        <v/>
      </c>
      <c r="AU76" s="11"/>
      <c r="AW76" s="24" t="n">
        <f aca="false">AW75+IF(AND(C76&lt;&gt;"",AO76&lt;&gt;"",OR('REP COMMISSION'!$B$3="",T76='REP COMMISSION'!$B$3,W76='REP COMMISSION'!$B$3,Z76='REP COMMISSION'!$B$3)),1,0)</f>
        <v>0</v>
      </c>
      <c r="AX76" s="24" t="n">
        <f aca="false">AX75+IF(AND(C76&lt;&gt;"",OR(F76="LOC - INITIAL",F76="CONSOLIDATION - UPFRONT COMM",F76="REVERSE - TOTAL FUNDING")),1,0)</f>
        <v>0</v>
      </c>
    </row>
    <row r="77" customFormat="false" ht="15" hidden="false" customHeight="false" outlineLevel="0" collapsed="false">
      <c r="A77" s="25" t="str">
        <f aca="false">IF(C77&lt;&gt;"","F27-"&amp;COUNT($C$4:C77),"")</f>
        <v/>
      </c>
      <c r="B77" s="26" t="str">
        <f aca="false">IF(OR(F77="LOC - INITIAL",F77="CONSOLIDATION - UPFRONT COMM",F77="REVERSE - TOTAL FUNDING"),A77,"")</f>
        <v/>
      </c>
      <c r="C77" s="27"/>
      <c r="D77" s="28"/>
      <c r="E77" s="28"/>
      <c r="F77" s="28"/>
      <c r="G77" s="29"/>
      <c r="H77" s="30"/>
      <c r="I77" s="28"/>
      <c r="J77" s="31" t="str">
        <f aca="false">IF(AND(G77&lt;&gt;"",H77&lt;&gt;""),G77*H77,"")</f>
        <v/>
      </c>
      <c r="K77" s="28"/>
      <c r="L77" s="32"/>
      <c r="M77" s="32"/>
      <c r="N77" s="31" t="n">
        <f aca="false">IF(OR(G77="",M77=""),0,IF(M77&gt;100,M77,G77*IF(M77&gt;1,M77/100,M77)))</f>
        <v>0</v>
      </c>
      <c r="O77" s="31" t="str">
        <f aca="false">IF(G77="","",G77*IF(L77="",0,IF(L77&gt;1,L77/100,L77))+N77)</f>
        <v/>
      </c>
      <c r="P77" s="28"/>
      <c r="Q77" s="33" t="str">
        <f aca="false">IF(P77="","",IFERROR(VLOOKUP(P77,PARTNERS!$A$2:$B$30,2,0),""))</f>
        <v/>
      </c>
      <c r="R77" s="17" t="str">
        <f aca="false">IF(O77="","",IF(OR(P77="",Q77=""),0,(O77-N77)*IF(Q77&gt;1,Q77/100,Q77)))</f>
        <v/>
      </c>
      <c r="S77" s="31" t="str">
        <f aca="false">IF(O77="","",O77-R77)</f>
        <v/>
      </c>
      <c r="T77" s="28"/>
      <c r="U77" s="34" t="str">
        <f aca="false">IF(T77="","",IFERROR(VLOOKUP(T77,REPS!$A$2:$D$40,2,0),""))</f>
        <v/>
      </c>
      <c r="V77" s="31" t="str">
        <f aca="false">IF(O77="","",IF(U77="",0,O77*IF(U77&gt;1,U77/100,U77)))</f>
        <v/>
      </c>
      <c r="W77" s="28"/>
      <c r="X77" s="34" t="str">
        <f aca="false">IF(W77="","",IFERROR(VLOOKUP(W77,REPS!$A$2:$D$40,3,0),""))</f>
        <v/>
      </c>
      <c r="Y77" s="31" t="str">
        <f aca="false">IF(O77="","",IF(X77="",0,O77*IF(X77&gt;1,X77/100,X77)))</f>
        <v/>
      </c>
      <c r="Z77" s="28"/>
      <c r="AA77" s="34" t="str">
        <f aca="false">IF(Z77="","",IFERROR(VLOOKUP(Z77,REPS!$A$2:$D$40,4,0),""))</f>
        <v/>
      </c>
      <c r="AB77" s="31" t="str">
        <f aca="false">IF(O77="","",IF(AA77="",0,O77*IF(AA77&gt;1,AA77/100,AA77)))</f>
        <v/>
      </c>
      <c r="AC77" s="31" t="str">
        <f aca="false">IF(O77="","",V77+Y77+AB77)</f>
        <v/>
      </c>
      <c r="AD77" s="19" t="str">
        <f aca="false">IF(O77="","",O77-R77-AC77)</f>
        <v/>
      </c>
      <c r="AE77" s="20"/>
      <c r="AF77" s="27"/>
      <c r="AG77" s="21" t="n">
        <f aca="false">IF(OR(AE77="",AE77=0),0,AE77*IF(U77="",0,IF(U77&gt;1,U77/100,U77)))</f>
        <v>0</v>
      </c>
      <c r="AH77" s="21" t="n">
        <f aca="false">IF(OR(AE77="",AE77=0),0,AE77*IF(X77="",0,IF(X77&gt;1,X77/100,X77)))</f>
        <v>0</v>
      </c>
      <c r="AI77" s="21" t="n">
        <f aca="false">IF(OR(AE77="",AE77=0),0,AE77*IF(AA77="",0,IF(AA77&gt;1,AA77/100,AA77)))</f>
        <v>0</v>
      </c>
      <c r="AJ77" s="21" t="n">
        <f aca="false">AG77+AH77+AI77</f>
        <v>0</v>
      </c>
      <c r="AK77" s="21" t="n">
        <f aca="false">IF(OR(AE77="",AE77=0),0,AE77-AJ77)</f>
        <v>0</v>
      </c>
      <c r="AL77" s="19" t="str">
        <f aca="false">IF(AD77="","",AD77-AK77)</f>
        <v/>
      </c>
      <c r="AM77" s="26" t="str">
        <f aca="false">IF(C77="","","Waiting for payment")</f>
        <v/>
      </c>
      <c r="AN77" s="27"/>
      <c r="AO77" s="27"/>
      <c r="AP77" s="35" t="str">
        <f aca="false">IF(OR(C77="",I77="",K77=""),"",IF(K77="Monthly",EDATE(C77,ROUND(I77*SETTINGS!$I$8,0)),WORKDAY(C77,ROUND(I77*SETTINGS!$I$8,0))))</f>
        <v/>
      </c>
      <c r="AQ77" s="26" t="str">
        <f aca="true">IF(C77="","",IF(AND(AP77&lt;&gt;"",TODAY()&gt;=AP77),"Refi Ready",IF(TODAY()-C77&gt;=SETTINGS!$I$11,"Prospecting","Performing")))</f>
        <v/>
      </c>
      <c r="AR77" s="35" t="str">
        <f aca="false">IF(OR(C77="",I77="",K77=""),"",IF(K77="Monthly",EDATE(C77,I77),WORKDAY(C77,I77)))</f>
        <v/>
      </c>
      <c r="AS77" s="28"/>
      <c r="AT77" s="36" t="str">
        <f aca="true">IF(C77="","",IF(AM77="Clawed Back","CLAWED",IF(TODAY()&lt;=C77+SETTINGS!$I$2,"⚠ AT RISK","SAFE")))</f>
        <v/>
      </c>
      <c r="AU77" s="28"/>
      <c r="AW77" s="24" t="n">
        <f aca="false">AW76+IF(AND(C77&lt;&gt;"",AO77&lt;&gt;"",OR('REP COMMISSION'!$B$3="",T77='REP COMMISSION'!$B$3,W77='REP COMMISSION'!$B$3,Z77='REP COMMISSION'!$B$3)),1,0)</f>
        <v>0</v>
      </c>
      <c r="AX77" s="24" t="n">
        <f aca="false">AX76+IF(AND(C77&lt;&gt;"",OR(F77="LOC - INITIAL",F77="CONSOLIDATION - UPFRONT COMM",F77="REVERSE - TOTAL FUNDING")),1,0)</f>
        <v>0</v>
      </c>
    </row>
    <row r="78" customFormat="false" ht="15" hidden="false" customHeight="false" outlineLevel="0" collapsed="false">
      <c r="A78" s="8" t="str">
        <f aca="false">IF(C78&lt;&gt;"","F27-"&amp;COUNT($C$4:C78),"")</f>
        <v/>
      </c>
      <c r="B78" s="9" t="str">
        <f aca="false">IF(OR(F78="LOC - INITIAL",F78="CONSOLIDATION - UPFRONT COMM",F78="REVERSE - TOTAL FUNDING"),A78,"")</f>
        <v/>
      </c>
      <c r="C78" s="10"/>
      <c r="D78" s="11"/>
      <c r="E78" s="11"/>
      <c r="F78" s="11"/>
      <c r="G78" s="12"/>
      <c r="H78" s="13"/>
      <c r="I78" s="11"/>
      <c r="J78" s="14" t="str">
        <f aca="false">IF(AND(G78&lt;&gt;"",H78&lt;&gt;""),G78*H78,"")</f>
        <v/>
      </c>
      <c r="K78" s="11"/>
      <c r="L78" s="15"/>
      <c r="M78" s="15"/>
      <c r="N78" s="14" t="n">
        <f aca="false">IF(OR(G78="",M78=""),0,IF(M78&gt;100,M78,G78*IF(M78&gt;1,M78/100,M78)))</f>
        <v>0</v>
      </c>
      <c r="O78" s="14" t="str">
        <f aca="false">IF(G78="","",G78*IF(L78="",0,IF(L78&gt;1,L78/100,L78))+N78)</f>
        <v/>
      </c>
      <c r="P78" s="11"/>
      <c r="Q78" s="16" t="str">
        <f aca="false">IF(P78="","",IFERROR(VLOOKUP(P78,PARTNERS!$A$2:$B$30,2,0),""))</f>
        <v/>
      </c>
      <c r="R78" s="17" t="str">
        <f aca="false">IF(O78="","",IF(OR(P78="",Q78=""),0,(O78-N78)*IF(Q78&gt;1,Q78/100,Q78)))</f>
        <v/>
      </c>
      <c r="S78" s="14" t="str">
        <f aca="false">IF(O78="","",O78-R78)</f>
        <v/>
      </c>
      <c r="T78" s="11"/>
      <c r="U78" s="18" t="str">
        <f aca="false">IF(T78="","",IFERROR(VLOOKUP(T78,REPS!$A$2:$D$40,2,0),""))</f>
        <v/>
      </c>
      <c r="V78" s="14" t="str">
        <f aca="false">IF(O78="","",IF(U78="",0,O78*IF(U78&gt;1,U78/100,U78)))</f>
        <v/>
      </c>
      <c r="W78" s="11"/>
      <c r="X78" s="18" t="str">
        <f aca="false">IF(W78="","",IFERROR(VLOOKUP(W78,REPS!$A$2:$D$40,3,0),""))</f>
        <v/>
      </c>
      <c r="Y78" s="14" t="str">
        <f aca="false">IF(O78="","",IF(X78="",0,O78*IF(X78&gt;1,X78/100,X78)))</f>
        <v/>
      </c>
      <c r="Z78" s="11"/>
      <c r="AA78" s="18" t="str">
        <f aca="false">IF(Z78="","",IFERROR(VLOOKUP(Z78,REPS!$A$2:$D$40,4,0),""))</f>
        <v/>
      </c>
      <c r="AB78" s="14" t="str">
        <f aca="false">IF(O78="","",IF(AA78="",0,O78*IF(AA78&gt;1,AA78/100,AA78)))</f>
        <v/>
      </c>
      <c r="AC78" s="14" t="str">
        <f aca="false">IF(O78="","",V78+Y78+AB78)</f>
        <v/>
      </c>
      <c r="AD78" s="19" t="str">
        <f aca="false">IF(O78="","",O78-R78-AC78)</f>
        <v/>
      </c>
      <c r="AE78" s="20"/>
      <c r="AF78" s="10"/>
      <c r="AG78" s="21" t="n">
        <f aca="false">IF(OR(AE78="",AE78=0),0,AE78*IF(U78="",0,IF(U78&gt;1,U78/100,U78)))</f>
        <v>0</v>
      </c>
      <c r="AH78" s="21" t="n">
        <f aca="false">IF(OR(AE78="",AE78=0),0,AE78*IF(X78="",0,IF(X78&gt;1,X78/100,X78)))</f>
        <v>0</v>
      </c>
      <c r="AI78" s="21" t="n">
        <f aca="false">IF(OR(AE78="",AE78=0),0,AE78*IF(AA78="",0,IF(AA78&gt;1,AA78/100,AA78)))</f>
        <v>0</v>
      </c>
      <c r="AJ78" s="21" t="n">
        <f aca="false">AG78+AH78+AI78</f>
        <v>0</v>
      </c>
      <c r="AK78" s="21" t="n">
        <f aca="false">IF(OR(AE78="",AE78=0),0,AE78-AJ78)</f>
        <v>0</v>
      </c>
      <c r="AL78" s="19" t="str">
        <f aca="false">IF(AD78="","",AD78-AK78)</f>
        <v/>
      </c>
      <c r="AM78" s="9" t="str">
        <f aca="false">IF(C78="","","Waiting for payment")</f>
        <v/>
      </c>
      <c r="AN78" s="10"/>
      <c r="AO78" s="10"/>
      <c r="AP78" s="22" t="str">
        <f aca="false">IF(OR(C78="",I78="",K78=""),"",IF(K78="Monthly",EDATE(C78,ROUND(I78*SETTINGS!$I$8,0)),WORKDAY(C78,ROUND(I78*SETTINGS!$I$8,0))))</f>
        <v/>
      </c>
      <c r="AQ78" s="9" t="str">
        <f aca="true">IF(C78="","",IF(AND(AP78&lt;&gt;"",TODAY()&gt;=AP78),"Refi Ready",IF(TODAY()-C78&gt;=SETTINGS!$I$11,"Prospecting","Performing")))</f>
        <v/>
      </c>
      <c r="AR78" s="22" t="str">
        <f aca="false">IF(OR(C78="",I78="",K78=""),"",IF(K78="Monthly",EDATE(C78,I78),WORKDAY(C78,I78)))</f>
        <v/>
      </c>
      <c r="AS78" s="11"/>
      <c r="AT78" s="23" t="str">
        <f aca="true">IF(C78="","",IF(AM78="Clawed Back","CLAWED",IF(TODAY()&lt;=C78+SETTINGS!$I$2,"⚠ AT RISK","SAFE")))</f>
        <v/>
      </c>
      <c r="AU78" s="11"/>
      <c r="AW78" s="24" t="n">
        <f aca="false">AW77+IF(AND(C78&lt;&gt;"",AO78&lt;&gt;"",OR('REP COMMISSION'!$B$3="",T78='REP COMMISSION'!$B$3,W78='REP COMMISSION'!$B$3,Z78='REP COMMISSION'!$B$3)),1,0)</f>
        <v>0</v>
      </c>
      <c r="AX78" s="24" t="n">
        <f aca="false">AX77+IF(AND(C78&lt;&gt;"",OR(F78="LOC - INITIAL",F78="CONSOLIDATION - UPFRONT COMM",F78="REVERSE - TOTAL FUNDING")),1,0)</f>
        <v>0</v>
      </c>
    </row>
    <row r="79" customFormat="false" ht="15" hidden="false" customHeight="false" outlineLevel="0" collapsed="false">
      <c r="A79" s="25" t="str">
        <f aca="false">IF(C79&lt;&gt;"","F27-"&amp;COUNT($C$4:C79),"")</f>
        <v/>
      </c>
      <c r="B79" s="26" t="str">
        <f aca="false">IF(OR(F79="LOC - INITIAL",F79="CONSOLIDATION - UPFRONT COMM",F79="REVERSE - TOTAL FUNDING"),A79,"")</f>
        <v/>
      </c>
      <c r="C79" s="27"/>
      <c r="D79" s="28"/>
      <c r="E79" s="28"/>
      <c r="F79" s="28"/>
      <c r="G79" s="29"/>
      <c r="H79" s="30"/>
      <c r="I79" s="28"/>
      <c r="J79" s="31" t="str">
        <f aca="false">IF(AND(G79&lt;&gt;"",H79&lt;&gt;""),G79*H79,"")</f>
        <v/>
      </c>
      <c r="K79" s="28"/>
      <c r="L79" s="32"/>
      <c r="M79" s="32"/>
      <c r="N79" s="31" t="n">
        <f aca="false">IF(OR(G79="",M79=""),0,IF(M79&gt;100,M79,G79*IF(M79&gt;1,M79/100,M79)))</f>
        <v>0</v>
      </c>
      <c r="O79" s="31" t="str">
        <f aca="false">IF(G79="","",G79*IF(L79="",0,IF(L79&gt;1,L79/100,L79))+N79)</f>
        <v/>
      </c>
      <c r="P79" s="28"/>
      <c r="Q79" s="33" t="str">
        <f aca="false">IF(P79="","",IFERROR(VLOOKUP(P79,PARTNERS!$A$2:$B$30,2,0),""))</f>
        <v/>
      </c>
      <c r="R79" s="17" t="str">
        <f aca="false">IF(O79="","",IF(OR(P79="",Q79=""),0,(O79-N79)*IF(Q79&gt;1,Q79/100,Q79)))</f>
        <v/>
      </c>
      <c r="S79" s="31" t="str">
        <f aca="false">IF(O79="","",O79-R79)</f>
        <v/>
      </c>
      <c r="T79" s="28"/>
      <c r="U79" s="34" t="str">
        <f aca="false">IF(T79="","",IFERROR(VLOOKUP(T79,REPS!$A$2:$D$40,2,0),""))</f>
        <v/>
      </c>
      <c r="V79" s="31" t="str">
        <f aca="false">IF(O79="","",IF(U79="",0,O79*IF(U79&gt;1,U79/100,U79)))</f>
        <v/>
      </c>
      <c r="W79" s="28"/>
      <c r="X79" s="34" t="str">
        <f aca="false">IF(W79="","",IFERROR(VLOOKUP(W79,REPS!$A$2:$D$40,3,0),""))</f>
        <v/>
      </c>
      <c r="Y79" s="31" t="str">
        <f aca="false">IF(O79="","",IF(X79="",0,O79*IF(X79&gt;1,X79/100,X79)))</f>
        <v/>
      </c>
      <c r="Z79" s="28"/>
      <c r="AA79" s="34" t="str">
        <f aca="false">IF(Z79="","",IFERROR(VLOOKUP(Z79,REPS!$A$2:$D$40,4,0),""))</f>
        <v/>
      </c>
      <c r="AB79" s="31" t="str">
        <f aca="false">IF(O79="","",IF(AA79="",0,O79*IF(AA79&gt;1,AA79/100,AA79)))</f>
        <v/>
      </c>
      <c r="AC79" s="31" t="str">
        <f aca="false">IF(O79="","",V79+Y79+AB79)</f>
        <v/>
      </c>
      <c r="AD79" s="19" t="str">
        <f aca="false">IF(O79="","",O79-R79-AC79)</f>
        <v/>
      </c>
      <c r="AE79" s="20"/>
      <c r="AF79" s="27"/>
      <c r="AG79" s="21" t="n">
        <f aca="false">IF(OR(AE79="",AE79=0),0,AE79*IF(U79="",0,IF(U79&gt;1,U79/100,U79)))</f>
        <v>0</v>
      </c>
      <c r="AH79" s="21" t="n">
        <f aca="false">IF(OR(AE79="",AE79=0),0,AE79*IF(X79="",0,IF(X79&gt;1,X79/100,X79)))</f>
        <v>0</v>
      </c>
      <c r="AI79" s="21" t="n">
        <f aca="false">IF(OR(AE79="",AE79=0),0,AE79*IF(AA79="",0,IF(AA79&gt;1,AA79/100,AA79)))</f>
        <v>0</v>
      </c>
      <c r="AJ79" s="21" t="n">
        <f aca="false">AG79+AH79+AI79</f>
        <v>0</v>
      </c>
      <c r="AK79" s="21" t="n">
        <f aca="false">IF(OR(AE79="",AE79=0),0,AE79-AJ79)</f>
        <v>0</v>
      </c>
      <c r="AL79" s="19" t="str">
        <f aca="false">IF(AD79="","",AD79-AK79)</f>
        <v/>
      </c>
      <c r="AM79" s="26" t="str">
        <f aca="false">IF(C79="","","Waiting for payment")</f>
        <v/>
      </c>
      <c r="AN79" s="27"/>
      <c r="AO79" s="27"/>
      <c r="AP79" s="35" t="str">
        <f aca="false">IF(OR(C79="",I79="",K79=""),"",IF(K79="Monthly",EDATE(C79,ROUND(I79*SETTINGS!$I$8,0)),WORKDAY(C79,ROUND(I79*SETTINGS!$I$8,0))))</f>
        <v/>
      </c>
      <c r="AQ79" s="26" t="str">
        <f aca="true">IF(C79="","",IF(AND(AP79&lt;&gt;"",TODAY()&gt;=AP79),"Refi Ready",IF(TODAY()-C79&gt;=SETTINGS!$I$11,"Prospecting","Performing")))</f>
        <v/>
      </c>
      <c r="AR79" s="35" t="str">
        <f aca="false">IF(OR(C79="",I79="",K79=""),"",IF(K79="Monthly",EDATE(C79,I79),WORKDAY(C79,I79)))</f>
        <v/>
      </c>
      <c r="AS79" s="28"/>
      <c r="AT79" s="36" t="str">
        <f aca="true">IF(C79="","",IF(AM79="Clawed Back","CLAWED",IF(TODAY()&lt;=C79+SETTINGS!$I$2,"⚠ AT RISK","SAFE")))</f>
        <v/>
      </c>
      <c r="AU79" s="28"/>
      <c r="AW79" s="24" t="n">
        <f aca="false">AW78+IF(AND(C79&lt;&gt;"",AO79&lt;&gt;"",OR('REP COMMISSION'!$B$3="",T79='REP COMMISSION'!$B$3,W79='REP COMMISSION'!$B$3,Z79='REP COMMISSION'!$B$3)),1,0)</f>
        <v>0</v>
      </c>
      <c r="AX79" s="24" t="n">
        <f aca="false">AX78+IF(AND(C79&lt;&gt;"",OR(F79="LOC - INITIAL",F79="CONSOLIDATION - UPFRONT COMM",F79="REVERSE - TOTAL FUNDING")),1,0)</f>
        <v>0</v>
      </c>
    </row>
    <row r="80" customFormat="false" ht="15" hidden="false" customHeight="false" outlineLevel="0" collapsed="false">
      <c r="A80" s="8" t="str">
        <f aca="false">IF(C80&lt;&gt;"","F27-"&amp;COUNT($C$4:C80),"")</f>
        <v/>
      </c>
      <c r="B80" s="9" t="str">
        <f aca="false">IF(OR(F80="LOC - INITIAL",F80="CONSOLIDATION - UPFRONT COMM",F80="REVERSE - TOTAL FUNDING"),A80,"")</f>
        <v/>
      </c>
      <c r="C80" s="10"/>
      <c r="D80" s="11"/>
      <c r="E80" s="11"/>
      <c r="F80" s="11"/>
      <c r="G80" s="12"/>
      <c r="H80" s="13"/>
      <c r="I80" s="11"/>
      <c r="J80" s="14" t="str">
        <f aca="false">IF(AND(G80&lt;&gt;"",H80&lt;&gt;""),G80*H80,"")</f>
        <v/>
      </c>
      <c r="K80" s="11"/>
      <c r="L80" s="15"/>
      <c r="M80" s="15"/>
      <c r="N80" s="14" t="n">
        <f aca="false">IF(OR(G80="",M80=""),0,IF(M80&gt;100,M80,G80*IF(M80&gt;1,M80/100,M80)))</f>
        <v>0</v>
      </c>
      <c r="O80" s="14" t="str">
        <f aca="false">IF(G80="","",G80*IF(L80="",0,IF(L80&gt;1,L80/100,L80))+N80)</f>
        <v/>
      </c>
      <c r="P80" s="11"/>
      <c r="Q80" s="16" t="str">
        <f aca="false">IF(P80="","",IFERROR(VLOOKUP(P80,PARTNERS!$A$2:$B$30,2,0),""))</f>
        <v/>
      </c>
      <c r="R80" s="17" t="str">
        <f aca="false">IF(O80="","",IF(OR(P80="",Q80=""),0,(O80-N80)*IF(Q80&gt;1,Q80/100,Q80)))</f>
        <v/>
      </c>
      <c r="S80" s="14" t="str">
        <f aca="false">IF(O80="","",O80-R80)</f>
        <v/>
      </c>
      <c r="T80" s="11"/>
      <c r="U80" s="18" t="str">
        <f aca="false">IF(T80="","",IFERROR(VLOOKUP(T80,REPS!$A$2:$D$40,2,0),""))</f>
        <v/>
      </c>
      <c r="V80" s="14" t="str">
        <f aca="false">IF(O80="","",IF(U80="",0,O80*IF(U80&gt;1,U80/100,U80)))</f>
        <v/>
      </c>
      <c r="W80" s="11"/>
      <c r="X80" s="18" t="str">
        <f aca="false">IF(W80="","",IFERROR(VLOOKUP(W80,REPS!$A$2:$D$40,3,0),""))</f>
        <v/>
      </c>
      <c r="Y80" s="14" t="str">
        <f aca="false">IF(O80="","",IF(X80="",0,O80*IF(X80&gt;1,X80/100,X80)))</f>
        <v/>
      </c>
      <c r="Z80" s="11"/>
      <c r="AA80" s="18" t="str">
        <f aca="false">IF(Z80="","",IFERROR(VLOOKUP(Z80,REPS!$A$2:$D$40,4,0),""))</f>
        <v/>
      </c>
      <c r="AB80" s="14" t="str">
        <f aca="false">IF(O80="","",IF(AA80="",0,O80*IF(AA80&gt;1,AA80/100,AA80)))</f>
        <v/>
      </c>
      <c r="AC80" s="14" t="str">
        <f aca="false">IF(O80="","",V80+Y80+AB80)</f>
        <v/>
      </c>
      <c r="AD80" s="19" t="str">
        <f aca="false">IF(O80="","",O80-R80-AC80)</f>
        <v/>
      </c>
      <c r="AE80" s="20"/>
      <c r="AF80" s="10"/>
      <c r="AG80" s="21" t="n">
        <f aca="false">IF(OR(AE80="",AE80=0),0,AE80*IF(U80="",0,IF(U80&gt;1,U80/100,U80)))</f>
        <v>0</v>
      </c>
      <c r="AH80" s="21" t="n">
        <f aca="false">IF(OR(AE80="",AE80=0),0,AE80*IF(X80="",0,IF(X80&gt;1,X80/100,X80)))</f>
        <v>0</v>
      </c>
      <c r="AI80" s="21" t="n">
        <f aca="false">IF(OR(AE80="",AE80=0),0,AE80*IF(AA80="",0,IF(AA80&gt;1,AA80/100,AA80)))</f>
        <v>0</v>
      </c>
      <c r="AJ80" s="21" t="n">
        <f aca="false">AG80+AH80+AI80</f>
        <v>0</v>
      </c>
      <c r="AK80" s="21" t="n">
        <f aca="false">IF(OR(AE80="",AE80=0),0,AE80-AJ80)</f>
        <v>0</v>
      </c>
      <c r="AL80" s="19" t="str">
        <f aca="false">IF(AD80="","",AD80-AK80)</f>
        <v/>
      </c>
      <c r="AM80" s="9" t="str">
        <f aca="false">IF(C80="","","Waiting for payment")</f>
        <v/>
      </c>
      <c r="AN80" s="10"/>
      <c r="AO80" s="10"/>
      <c r="AP80" s="22" t="str">
        <f aca="false">IF(OR(C80="",I80="",K80=""),"",IF(K80="Monthly",EDATE(C80,ROUND(I80*SETTINGS!$I$8,0)),WORKDAY(C80,ROUND(I80*SETTINGS!$I$8,0))))</f>
        <v/>
      </c>
      <c r="AQ80" s="9" t="str">
        <f aca="true">IF(C80="","",IF(AND(AP80&lt;&gt;"",TODAY()&gt;=AP80),"Refi Ready",IF(TODAY()-C80&gt;=SETTINGS!$I$11,"Prospecting","Performing")))</f>
        <v/>
      </c>
      <c r="AR80" s="22" t="str">
        <f aca="false">IF(OR(C80="",I80="",K80=""),"",IF(K80="Monthly",EDATE(C80,I80),WORKDAY(C80,I80)))</f>
        <v/>
      </c>
      <c r="AS80" s="11"/>
      <c r="AT80" s="23" t="str">
        <f aca="true">IF(C80="","",IF(AM80="Clawed Back","CLAWED",IF(TODAY()&lt;=C80+SETTINGS!$I$2,"⚠ AT RISK","SAFE")))</f>
        <v/>
      </c>
      <c r="AU80" s="11"/>
      <c r="AW80" s="24" t="n">
        <f aca="false">AW79+IF(AND(C80&lt;&gt;"",AO80&lt;&gt;"",OR('REP COMMISSION'!$B$3="",T80='REP COMMISSION'!$B$3,W80='REP COMMISSION'!$B$3,Z80='REP COMMISSION'!$B$3)),1,0)</f>
        <v>0</v>
      </c>
      <c r="AX80" s="24" t="n">
        <f aca="false">AX79+IF(AND(C80&lt;&gt;"",OR(F80="LOC - INITIAL",F80="CONSOLIDATION - UPFRONT COMM",F80="REVERSE - TOTAL FUNDING")),1,0)</f>
        <v>0</v>
      </c>
    </row>
    <row r="81" customFormat="false" ht="15" hidden="false" customHeight="false" outlineLevel="0" collapsed="false">
      <c r="A81" s="25" t="str">
        <f aca="false">IF(C81&lt;&gt;"","F27-"&amp;COUNT($C$4:C81),"")</f>
        <v/>
      </c>
      <c r="B81" s="26" t="str">
        <f aca="false">IF(OR(F81="LOC - INITIAL",F81="CONSOLIDATION - UPFRONT COMM",F81="REVERSE - TOTAL FUNDING"),A81,"")</f>
        <v/>
      </c>
      <c r="C81" s="27"/>
      <c r="D81" s="28"/>
      <c r="E81" s="28"/>
      <c r="F81" s="28"/>
      <c r="G81" s="29"/>
      <c r="H81" s="30"/>
      <c r="I81" s="28"/>
      <c r="J81" s="31" t="str">
        <f aca="false">IF(AND(G81&lt;&gt;"",H81&lt;&gt;""),G81*H81,"")</f>
        <v/>
      </c>
      <c r="K81" s="28"/>
      <c r="L81" s="32"/>
      <c r="M81" s="32"/>
      <c r="N81" s="31" t="n">
        <f aca="false">IF(OR(G81="",M81=""),0,IF(M81&gt;100,M81,G81*IF(M81&gt;1,M81/100,M81)))</f>
        <v>0</v>
      </c>
      <c r="O81" s="31" t="str">
        <f aca="false">IF(G81="","",G81*IF(L81="",0,IF(L81&gt;1,L81/100,L81))+N81)</f>
        <v/>
      </c>
      <c r="P81" s="28"/>
      <c r="Q81" s="33" t="str">
        <f aca="false">IF(P81="","",IFERROR(VLOOKUP(P81,PARTNERS!$A$2:$B$30,2,0),""))</f>
        <v/>
      </c>
      <c r="R81" s="17" t="str">
        <f aca="false">IF(O81="","",IF(OR(P81="",Q81=""),0,(O81-N81)*IF(Q81&gt;1,Q81/100,Q81)))</f>
        <v/>
      </c>
      <c r="S81" s="31" t="str">
        <f aca="false">IF(O81="","",O81-R81)</f>
        <v/>
      </c>
      <c r="T81" s="28"/>
      <c r="U81" s="34" t="str">
        <f aca="false">IF(T81="","",IFERROR(VLOOKUP(T81,REPS!$A$2:$D$40,2,0),""))</f>
        <v/>
      </c>
      <c r="V81" s="31" t="str">
        <f aca="false">IF(O81="","",IF(U81="",0,O81*IF(U81&gt;1,U81/100,U81)))</f>
        <v/>
      </c>
      <c r="W81" s="28"/>
      <c r="X81" s="34" t="str">
        <f aca="false">IF(W81="","",IFERROR(VLOOKUP(W81,REPS!$A$2:$D$40,3,0),""))</f>
        <v/>
      </c>
      <c r="Y81" s="31" t="str">
        <f aca="false">IF(O81="","",IF(X81="",0,O81*IF(X81&gt;1,X81/100,X81)))</f>
        <v/>
      </c>
      <c r="Z81" s="28"/>
      <c r="AA81" s="34" t="str">
        <f aca="false">IF(Z81="","",IFERROR(VLOOKUP(Z81,REPS!$A$2:$D$40,4,0),""))</f>
        <v/>
      </c>
      <c r="AB81" s="31" t="str">
        <f aca="false">IF(O81="","",IF(AA81="",0,O81*IF(AA81&gt;1,AA81/100,AA81)))</f>
        <v/>
      </c>
      <c r="AC81" s="31" t="str">
        <f aca="false">IF(O81="","",V81+Y81+AB81)</f>
        <v/>
      </c>
      <c r="AD81" s="19" t="str">
        <f aca="false">IF(O81="","",O81-R81-AC81)</f>
        <v/>
      </c>
      <c r="AE81" s="20"/>
      <c r="AF81" s="27"/>
      <c r="AG81" s="21" t="n">
        <f aca="false">IF(OR(AE81="",AE81=0),0,AE81*IF(U81="",0,IF(U81&gt;1,U81/100,U81)))</f>
        <v>0</v>
      </c>
      <c r="AH81" s="21" t="n">
        <f aca="false">IF(OR(AE81="",AE81=0),0,AE81*IF(X81="",0,IF(X81&gt;1,X81/100,X81)))</f>
        <v>0</v>
      </c>
      <c r="AI81" s="21" t="n">
        <f aca="false">IF(OR(AE81="",AE81=0),0,AE81*IF(AA81="",0,IF(AA81&gt;1,AA81/100,AA81)))</f>
        <v>0</v>
      </c>
      <c r="AJ81" s="21" t="n">
        <f aca="false">AG81+AH81+AI81</f>
        <v>0</v>
      </c>
      <c r="AK81" s="21" t="n">
        <f aca="false">IF(OR(AE81="",AE81=0),0,AE81-AJ81)</f>
        <v>0</v>
      </c>
      <c r="AL81" s="19" t="str">
        <f aca="false">IF(AD81="","",AD81-AK81)</f>
        <v/>
      </c>
      <c r="AM81" s="26" t="str">
        <f aca="false">IF(C81="","","Waiting for payment")</f>
        <v/>
      </c>
      <c r="AN81" s="27"/>
      <c r="AO81" s="27"/>
      <c r="AP81" s="35" t="str">
        <f aca="false">IF(OR(C81="",I81="",K81=""),"",IF(K81="Monthly",EDATE(C81,ROUND(I81*SETTINGS!$I$8,0)),WORKDAY(C81,ROUND(I81*SETTINGS!$I$8,0))))</f>
        <v/>
      </c>
      <c r="AQ81" s="26" t="str">
        <f aca="true">IF(C81="","",IF(AND(AP81&lt;&gt;"",TODAY()&gt;=AP81),"Refi Ready",IF(TODAY()-C81&gt;=SETTINGS!$I$11,"Prospecting","Performing")))</f>
        <v/>
      </c>
      <c r="AR81" s="35" t="str">
        <f aca="false">IF(OR(C81="",I81="",K81=""),"",IF(K81="Monthly",EDATE(C81,I81),WORKDAY(C81,I81)))</f>
        <v/>
      </c>
      <c r="AS81" s="28"/>
      <c r="AT81" s="36" t="str">
        <f aca="true">IF(C81="","",IF(AM81="Clawed Back","CLAWED",IF(TODAY()&lt;=C81+SETTINGS!$I$2,"⚠ AT RISK","SAFE")))</f>
        <v/>
      </c>
      <c r="AU81" s="28"/>
      <c r="AW81" s="24" t="n">
        <f aca="false">AW80+IF(AND(C81&lt;&gt;"",AO81&lt;&gt;"",OR('REP COMMISSION'!$B$3="",T81='REP COMMISSION'!$B$3,W81='REP COMMISSION'!$B$3,Z81='REP COMMISSION'!$B$3)),1,0)</f>
        <v>0</v>
      </c>
      <c r="AX81" s="24" t="n">
        <f aca="false">AX80+IF(AND(C81&lt;&gt;"",OR(F81="LOC - INITIAL",F81="CONSOLIDATION - UPFRONT COMM",F81="REVERSE - TOTAL FUNDING")),1,0)</f>
        <v>0</v>
      </c>
    </row>
    <row r="82" customFormat="false" ht="15" hidden="false" customHeight="false" outlineLevel="0" collapsed="false">
      <c r="A82" s="8" t="str">
        <f aca="false">IF(C82&lt;&gt;"","F27-"&amp;COUNT($C$4:C82),"")</f>
        <v/>
      </c>
      <c r="B82" s="9" t="str">
        <f aca="false">IF(OR(F82="LOC - INITIAL",F82="CONSOLIDATION - UPFRONT COMM",F82="REVERSE - TOTAL FUNDING"),A82,"")</f>
        <v/>
      </c>
      <c r="C82" s="10"/>
      <c r="D82" s="11"/>
      <c r="E82" s="11"/>
      <c r="F82" s="11"/>
      <c r="G82" s="12"/>
      <c r="H82" s="13"/>
      <c r="I82" s="11"/>
      <c r="J82" s="14" t="str">
        <f aca="false">IF(AND(G82&lt;&gt;"",H82&lt;&gt;""),G82*H82,"")</f>
        <v/>
      </c>
      <c r="K82" s="11"/>
      <c r="L82" s="15"/>
      <c r="M82" s="15"/>
      <c r="N82" s="14" t="n">
        <f aca="false">IF(OR(G82="",M82=""),0,IF(M82&gt;100,M82,G82*IF(M82&gt;1,M82/100,M82)))</f>
        <v>0</v>
      </c>
      <c r="O82" s="14" t="str">
        <f aca="false">IF(G82="","",G82*IF(L82="",0,IF(L82&gt;1,L82/100,L82))+N82)</f>
        <v/>
      </c>
      <c r="P82" s="11"/>
      <c r="Q82" s="16" t="str">
        <f aca="false">IF(P82="","",IFERROR(VLOOKUP(P82,PARTNERS!$A$2:$B$30,2,0),""))</f>
        <v/>
      </c>
      <c r="R82" s="17" t="str">
        <f aca="false">IF(O82="","",IF(OR(P82="",Q82=""),0,(O82-N82)*IF(Q82&gt;1,Q82/100,Q82)))</f>
        <v/>
      </c>
      <c r="S82" s="14" t="str">
        <f aca="false">IF(O82="","",O82-R82)</f>
        <v/>
      </c>
      <c r="T82" s="11"/>
      <c r="U82" s="18" t="str">
        <f aca="false">IF(T82="","",IFERROR(VLOOKUP(T82,REPS!$A$2:$D$40,2,0),""))</f>
        <v/>
      </c>
      <c r="V82" s="14" t="str">
        <f aca="false">IF(O82="","",IF(U82="",0,O82*IF(U82&gt;1,U82/100,U82)))</f>
        <v/>
      </c>
      <c r="W82" s="11"/>
      <c r="X82" s="18" t="str">
        <f aca="false">IF(W82="","",IFERROR(VLOOKUP(W82,REPS!$A$2:$D$40,3,0),""))</f>
        <v/>
      </c>
      <c r="Y82" s="14" t="str">
        <f aca="false">IF(O82="","",IF(X82="",0,O82*IF(X82&gt;1,X82/100,X82)))</f>
        <v/>
      </c>
      <c r="Z82" s="11"/>
      <c r="AA82" s="18" t="str">
        <f aca="false">IF(Z82="","",IFERROR(VLOOKUP(Z82,REPS!$A$2:$D$40,4,0),""))</f>
        <v/>
      </c>
      <c r="AB82" s="14" t="str">
        <f aca="false">IF(O82="","",IF(AA82="",0,O82*IF(AA82&gt;1,AA82/100,AA82)))</f>
        <v/>
      </c>
      <c r="AC82" s="14" t="str">
        <f aca="false">IF(O82="","",V82+Y82+AB82)</f>
        <v/>
      </c>
      <c r="AD82" s="19" t="str">
        <f aca="false">IF(O82="","",O82-R82-AC82)</f>
        <v/>
      </c>
      <c r="AE82" s="20"/>
      <c r="AF82" s="10"/>
      <c r="AG82" s="21" t="n">
        <f aca="false">IF(OR(AE82="",AE82=0),0,AE82*IF(U82="",0,IF(U82&gt;1,U82/100,U82)))</f>
        <v>0</v>
      </c>
      <c r="AH82" s="21" t="n">
        <f aca="false">IF(OR(AE82="",AE82=0),0,AE82*IF(X82="",0,IF(X82&gt;1,X82/100,X82)))</f>
        <v>0</v>
      </c>
      <c r="AI82" s="21" t="n">
        <f aca="false">IF(OR(AE82="",AE82=0),0,AE82*IF(AA82="",0,IF(AA82&gt;1,AA82/100,AA82)))</f>
        <v>0</v>
      </c>
      <c r="AJ82" s="21" t="n">
        <f aca="false">AG82+AH82+AI82</f>
        <v>0</v>
      </c>
      <c r="AK82" s="21" t="n">
        <f aca="false">IF(OR(AE82="",AE82=0),0,AE82-AJ82)</f>
        <v>0</v>
      </c>
      <c r="AL82" s="19" t="str">
        <f aca="false">IF(AD82="","",AD82-AK82)</f>
        <v/>
      </c>
      <c r="AM82" s="9" t="str">
        <f aca="false">IF(C82="","","Waiting for payment")</f>
        <v/>
      </c>
      <c r="AN82" s="10"/>
      <c r="AO82" s="10"/>
      <c r="AP82" s="22" t="str">
        <f aca="false">IF(OR(C82="",I82="",K82=""),"",IF(K82="Monthly",EDATE(C82,ROUND(I82*SETTINGS!$I$8,0)),WORKDAY(C82,ROUND(I82*SETTINGS!$I$8,0))))</f>
        <v/>
      </c>
      <c r="AQ82" s="9" t="str">
        <f aca="true">IF(C82="","",IF(AND(AP82&lt;&gt;"",TODAY()&gt;=AP82),"Refi Ready",IF(TODAY()-C82&gt;=SETTINGS!$I$11,"Prospecting","Performing")))</f>
        <v/>
      </c>
      <c r="AR82" s="22" t="str">
        <f aca="false">IF(OR(C82="",I82="",K82=""),"",IF(K82="Monthly",EDATE(C82,I82),WORKDAY(C82,I82)))</f>
        <v/>
      </c>
      <c r="AS82" s="11"/>
      <c r="AT82" s="23" t="str">
        <f aca="true">IF(C82="","",IF(AM82="Clawed Back","CLAWED",IF(TODAY()&lt;=C82+SETTINGS!$I$2,"⚠ AT RISK","SAFE")))</f>
        <v/>
      </c>
      <c r="AU82" s="11"/>
      <c r="AW82" s="24" t="n">
        <f aca="false">AW81+IF(AND(C82&lt;&gt;"",AO82&lt;&gt;"",OR('REP COMMISSION'!$B$3="",T82='REP COMMISSION'!$B$3,W82='REP COMMISSION'!$B$3,Z82='REP COMMISSION'!$B$3)),1,0)</f>
        <v>0</v>
      </c>
      <c r="AX82" s="24" t="n">
        <f aca="false">AX81+IF(AND(C82&lt;&gt;"",OR(F82="LOC - INITIAL",F82="CONSOLIDATION - UPFRONT COMM",F82="REVERSE - TOTAL FUNDING")),1,0)</f>
        <v>0</v>
      </c>
    </row>
    <row r="83" customFormat="false" ht="15" hidden="false" customHeight="false" outlineLevel="0" collapsed="false">
      <c r="A83" s="25" t="str">
        <f aca="false">IF(C83&lt;&gt;"","F27-"&amp;COUNT($C$4:C83),"")</f>
        <v/>
      </c>
      <c r="B83" s="26" t="str">
        <f aca="false">IF(OR(F83="LOC - INITIAL",F83="CONSOLIDATION - UPFRONT COMM",F83="REVERSE - TOTAL FUNDING"),A83,"")</f>
        <v/>
      </c>
      <c r="C83" s="27"/>
      <c r="D83" s="28"/>
      <c r="E83" s="28"/>
      <c r="F83" s="28"/>
      <c r="G83" s="29"/>
      <c r="H83" s="30"/>
      <c r="I83" s="28"/>
      <c r="J83" s="31" t="str">
        <f aca="false">IF(AND(G83&lt;&gt;"",H83&lt;&gt;""),G83*H83,"")</f>
        <v/>
      </c>
      <c r="K83" s="28"/>
      <c r="L83" s="32"/>
      <c r="M83" s="32"/>
      <c r="N83" s="31" t="n">
        <f aca="false">IF(OR(G83="",M83=""),0,IF(M83&gt;100,M83,G83*IF(M83&gt;1,M83/100,M83)))</f>
        <v>0</v>
      </c>
      <c r="O83" s="31" t="str">
        <f aca="false">IF(G83="","",G83*IF(L83="",0,IF(L83&gt;1,L83/100,L83))+N83)</f>
        <v/>
      </c>
      <c r="P83" s="28"/>
      <c r="Q83" s="33" t="str">
        <f aca="false">IF(P83="","",IFERROR(VLOOKUP(P83,PARTNERS!$A$2:$B$30,2,0),""))</f>
        <v/>
      </c>
      <c r="R83" s="17" t="str">
        <f aca="false">IF(O83="","",IF(OR(P83="",Q83=""),0,(O83-N83)*IF(Q83&gt;1,Q83/100,Q83)))</f>
        <v/>
      </c>
      <c r="S83" s="31" t="str">
        <f aca="false">IF(O83="","",O83-R83)</f>
        <v/>
      </c>
      <c r="T83" s="28"/>
      <c r="U83" s="34" t="str">
        <f aca="false">IF(T83="","",IFERROR(VLOOKUP(T83,REPS!$A$2:$D$40,2,0),""))</f>
        <v/>
      </c>
      <c r="V83" s="31" t="str">
        <f aca="false">IF(O83="","",IF(U83="",0,O83*IF(U83&gt;1,U83/100,U83)))</f>
        <v/>
      </c>
      <c r="W83" s="28"/>
      <c r="X83" s="34" t="str">
        <f aca="false">IF(W83="","",IFERROR(VLOOKUP(W83,REPS!$A$2:$D$40,3,0),""))</f>
        <v/>
      </c>
      <c r="Y83" s="31" t="str">
        <f aca="false">IF(O83="","",IF(X83="",0,O83*IF(X83&gt;1,X83/100,X83)))</f>
        <v/>
      </c>
      <c r="Z83" s="28"/>
      <c r="AA83" s="34" t="str">
        <f aca="false">IF(Z83="","",IFERROR(VLOOKUP(Z83,REPS!$A$2:$D$40,4,0),""))</f>
        <v/>
      </c>
      <c r="AB83" s="31" t="str">
        <f aca="false">IF(O83="","",IF(AA83="",0,O83*IF(AA83&gt;1,AA83/100,AA83)))</f>
        <v/>
      </c>
      <c r="AC83" s="31" t="str">
        <f aca="false">IF(O83="","",V83+Y83+AB83)</f>
        <v/>
      </c>
      <c r="AD83" s="19" t="str">
        <f aca="false">IF(O83="","",O83-R83-AC83)</f>
        <v/>
      </c>
      <c r="AE83" s="20"/>
      <c r="AF83" s="27"/>
      <c r="AG83" s="21" t="n">
        <f aca="false">IF(OR(AE83="",AE83=0),0,AE83*IF(U83="",0,IF(U83&gt;1,U83/100,U83)))</f>
        <v>0</v>
      </c>
      <c r="AH83" s="21" t="n">
        <f aca="false">IF(OR(AE83="",AE83=0),0,AE83*IF(X83="",0,IF(X83&gt;1,X83/100,X83)))</f>
        <v>0</v>
      </c>
      <c r="AI83" s="21" t="n">
        <f aca="false">IF(OR(AE83="",AE83=0),0,AE83*IF(AA83="",0,IF(AA83&gt;1,AA83/100,AA83)))</f>
        <v>0</v>
      </c>
      <c r="AJ83" s="21" t="n">
        <f aca="false">AG83+AH83+AI83</f>
        <v>0</v>
      </c>
      <c r="AK83" s="21" t="n">
        <f aca="false">IF(OR(AE83="",AE83=0),0,AE83-AJ83)</f>
        <v>0</v>
      </c>
      <c r="AL83" s="19" t="str">
        <f aca="false">IF(AD83="","",AD83-AK83)</f>
        <v/>
      </c>
      <c r="AM83" s="26" t="str">
        <f aca="false">IF(C83="","","Waiting for payment")</f>
        <v/>
      </c>
      <c r="AN83" s="27"/>
      <c r="AO83" s="27"/>
      <c r="AP83" s="35" t="str">
        <f aca="false">IF(OR(C83="",I83="",K83=""),"",IF(K83="Monthly",EDATE(C83,ROUND(I83*SETTINGS!$I$8,0)),WORKDAY(C83,ROUND(I83*SETTINGS!$I$8,0))))</f>
        <v/>
      </c>
      <c r="AQ83" s="26" t="str">
        <f aca="true">IF(C83="","",IF(AND(AP83&lt;&gt;"",TODAY()&gt;=AP83),"Refi Ready",IF(TODAY()-C83&gt;=SETTINGS!$I$11,"Prospecting","Performing")))</f>
        <v/>
      </c>
      <c r="AR83" s="35" t="str">
        <f aca="false">IF(OR(C83="",I83="",K83=""),"",IF(K83="Monthly",EDATE(C83,I83),WORKDAY(C83,I83)))</f>
        <v/>
      </c>
      <c r="AS83" s="28"/>
      <c r="AT83" s="36" t="str">
        <f aca="true">IF(C83="","",IF(AM83="Clawed Back","CLAWED",IF(TODAY()&lt;=C83+SETTINGS!$I$2,"⚠ AT RISK","SAFE")))</f>
        <v/>
      </c>
      <c r="AU83" s="28"/>
      <c r="AW83" s="24" t="n">
        <f aca="false">AW82+IF(AND(C83&lt;&gt;"",AO83&lt;&gt;"",OR('REP COMMISSION'!$B$3="",T83='REP COMMISSION'!$B$3,W83='REP COMMISSION'!$B$3,Z83='REP COMMISSION'!$B$3)),1,0)</f>
        <v>0</v>
      </c>
      <c r="AX83" s="24" t="n">
        <f aca="false">AX82+IF(AND(C83&lt;&gt;"",OR(F83="LOC - INITIAL",F83="CONSOLIDATION - UPFRONT COMM",F83="REVERSE - TOTAL FUNDING")),1,0)</f>
        <v>0</v>
      </c>
    </row>
    <row r="84" customFormat="false" ht="15" hidden="false" customHeight="false" outlineLevel="0" collapsed="false">
      <c r="A84" s="8" t="str">
        <f aca="false">IF(C84&lt;&gt;"","F27-"&amp;COUNT($C$4:C84),"")</f>
        <v/>
      </c>
      <c r="B84" s="9" t="str">
        <f aca="false">IF(OR(F84="LOC - INITIAL",F84="CONSOLIDATION - UPFRONT COMM",F84="REVERSE - TOTAL FUNDING"),A84,"")</f>
        <v/>
      </c>
      <c r="C84" s="10"/>
      <c r="D84" s="11"/>
      <c r="E84" s="11"/>
      <c r="F84" s="11"/>
      <c r="G84" s="12"/>
      <c r="H84" s="13"/>
      <c r="I84" s="11"/>
      <c r="J84" s="14" t="str">
        <f aca="false">IF(AND(G84&lt;&gt;"",H84&lt;&gt;""),G84*H84,"")</f>
        <v/>
      </c>
      <c r="K84" s="11"/>
      <c r="L84" s="15"/>
      <c r="M84" s="15"/>
      <c r="N84" s="14" t="n">
        <f aca="false">IF(OR(G84="",M84=""),0,IF(M84&gt;100,M84,G84*IF(M84&gt;1,M84/100,M84)))</f>
        <v>0</v>
      </c>
      <c r="O84" s="14" t="str">
        <f aca="false">IF(G84="","",G84*IF(L84="",0,IF(L84&gt;1,L84/100,L84))+N84)</f>
        <v/>
      </c>
      <c r="P84" s="11"/>
      <c r="Q84" s="16" t="str">
        <f aca="false">IF(P84="","",IFERROR(VLOOKUP(P84,PARTNERS!$A$2:$B$30,2,0),""))</f>
        <v/>
      </c>
      <c r="R84" s="17" t="str">
        <f aca="false">IF(O84="","",IF(OR(P84="",Q84=""),0,(O84-N84)*IF(Q84&gt;1,Q84/100,Q84)))</f>
        <v/>
      </c>
      <c r="S84" s="14" t="str">
        <f aca="false">IF(O84="","",O84-R84)</f>
        <v/>
      </c>
      <c r="T84" s="11"/>
      <c r="U84" s="18" t="str">
        <f aca="false">IF(T84="","",IFERROR(VLOOKUP(T84,REPS!$A$2:$D$40,2,0),""))</f>
        <v/>
      </c>
      <c r="V84" s="14" t="str">
        <f aca="false">IF(O84="","",IF(U84="",0,O84*IF(U84&gt;1,U84/100,U84)))</f>
        <v/>
      </c>
      <c r="W84" s="11"/>
      <c r="X84" s="18" t="str">
        <f aca="false">IF(W84="","",IFERROR(VLOOKUP(W84,REPS!$A$2:$D$40,3,0),""))</f>
        <v/>
      </c>
      <c r="Y84" s="14" t="str">
        <f aca="false">IF(O84="","",IF(X84="",0,O84*IF(X84&gt;1,X84/100,X84)))</f>
        <v/>
      </c>
      <c r="Z84" s="11"/>
      <c r="AA84" s="18" t="str">
        <f aca="false">IF(Z84="","",IFERROR(VLOOKUP(Z84,REPS!$A$2:$D$40,4,0),""))</f>
        <v/>
      </c>
      <c r="AB84" s="14" t="str">
        <f aca="false">IF(O84="","",IF(AA84="",0,O84*IF(AA84&gt;1,AA84/100,AA84)))</f>
        <v/>
      </c>
      <c r="AC84" s="14" t="str">
        <f aca="false">IF(O84="","",V84+Y84+AB84)</f>
        <v/>
      </c>
      <c r="AD84" s="19" t="str">
        <f aca="false">IF(O84="","",O84-R84-AC84)</f>
        <v/>
      </c>
      <c r="AE84" s="20"/>
      <c r="AF84" s="10"/>
      <c r="AG84" s="21" t="n">
        <f aca="false">IF(OR(AE84="",AE84=0),0,AE84*IF(U84="",0,IF(U84&gt;1,U84/100,U84)))</f>
        <v>0</v>
      </c>
      <c r="AH84" s="21" t="n">
        <f aca="false">IF(OR(AE84="",AE84=0),0,AE84*IF(X84="",0,IF(X84&gt;1,X84/100,X84)))</f>
        <v>0</v>
      </c>
      <c r="AI84" s="21" t="n">
        <f aca="false">IF(OR(AE84="",AE84=0),0,AE84*IF(AA84="",0,IF(AA84&gt;1,AA84/100,AA84)))</f>
        <v>0</v>
      </c>
      <c r="AJ84" s="21" t="n">
        <f aca="false">AG84+AH84+AI84</f>
        <v>0</v>
      </c>
      <c r="AK84" s="21" t="n">
        <f aca="false">IF(OR(AE84="",AE84=0),0,AE84-AJ84)</f>
        <v>0</v>
      </c>
      <c r="AL84" s="19" t="str">
        <f aca="false">IF(AD84="","",AD84-AK84)</f>
        <v/>
      </c>
      <c r="AM84" s="9" t="str">
        <f aca="false">IF(C84="","","Waiting for payment")</f>
        <v/>
      </c>
      <c r="AN84" s="10"/>
      <c r="AO84" s="10"/>
      <c r="AP84" s="22" t="str">
        <f aca="false">IF(OR(C84="",I84="",K84=""),"",IF(K84="Monthly",EDATE(C84,ROUND(I84*SETTINGS!$I$8,0)),WORKDAY(C84,ROUND(I84*SETTINGS!$I$8,0))))</f>
        <v/>
      </c>
      <c r="AQ84" s="9" t="str">
        <f aca="true">IF(C84="","",IF(AND(AP84&lt;&gt;"",TODAY()&gt;=AP84),"Refi Ready",IF(TODAY()-C84&gt;=SETTINGS!$I$11,"Prospecting","Performing")))</f>
        <v/>
      </c>
      <c r="AR84" s="22" t="str">
        <f aca="false">IF(OR(C84="",I84="",K84=""),"",IF(K84="Monthly",EDATE(C84,I84),WORKDAY(C84,I84)))</f>
        <v/>
      </c>
      <c r="AS84" s="11"/>
      <c r="AT84" s="23" t="str">
        <f aca="true">IF(C84="","",IF(AM84="Clawed Back","CLAWED",IF(TODAY()&lt;=C84+SETTINGS!$I$2,"⚠ AT RISK","SAFE")))</f>
        <v/>
      </c>
      <c r="AU84" s="11"/>
      <c r="AW84" s="24" t="n">
        <f aca="false">AW83+IF(AND(C84&lt;&gt;"",AO84&lt;&gt;"",OR('REP COMMISSION'!$B$3="",T84='REP COMMISSION'!$B$3,W84='REP COMMISSION'!$B$3,Z84='REP COMMISSION'!$B$3)),1,0)</f>
        <v>0</v>
      </c>
      <c r="AX84" s="24" t="n">
        <f aca="false">AX83+IF(AND(C84&lt;&gt;"",OR(F84="LOC - INITIAL",F84="CONSOLIDATION - UPFRONT COMM",F84="REVERSE - TOTAL FUNDING")),1,0)</f>
        <v>0</v>
      </c>
    </row>
    <row r="85" customFormat="false" ht="15" hidden="false" customHeight="false" outlineLevel="0" collapsed="false">
      <c r="A85" s="25" t="str">
        <f aca="false">IF(C85&lt;&gt;"","F27-"&amp;COUNT($C$4:C85),"")</f>
        <v/>
      </c>
      <c r="B85" s="26" t="str">
        <f aca="false">IF(OR(F85="LOC - INITIAL",F85="CONSOLIDATION - UPFRONT COMM",F85="REVERSE - TOTAL FUNDING"),A85,"")</f>
        <v/>
      </c>
      <c r="C85" s="27"/>
      <c r="D85" s="28"/>
      <c r="E85" s="28"/>
      <c r="F85" s="28"/>
      <c r="G85" s="29"/>
      <c r="H85" s="30"/>
      <c r="I85" s="28"/>
      <c r="J85" s="31" t="str">
        <f aca="false">IF(AND(G85&lt;&gt;"",H85&lt;&gt;""),G85*H85,"")</f>
        <v/>
      </c>
      <c r="K85" s="28"/>
      <c r="L85" s="32"/>
      <c r="M85" s="32"/>
      <c r="N85" s="31" t="n">
        <f aca="false">IF(OR(G85="",M85=""),0,IF(M85&gt;100,M85,G85*IF(M85&gt;1,M85/100,M85)))</f>
        <v>0</v>
      </c>
      <c r="O85" s="31" t="str">
        <f aca="false">IF(G85="","",G85*IF(L85="",0,IF(L85&gt;1,L85/100,L85))+N85)</f>
        <v/>
      </c>
      <c r="P85" s="28"/>
      <c r="Q85" s="33" t="str">
        <f aca="false">IF(P85="","",IFERROR(VLOOKUP(P85,PARTNERS!$A$2:$B$30,2,0),""))</f>
        <v/>
      </c>
      <c r="R85" s="17" t="str">
        <f aca="false">IF(O85="","",IF(OR(P85="",Q85=""),0,(O85-N85)*IF(Q85&gt;1,Q85/100,Q85)))</f>
        <v/>
      </c>
      <c r="S85" s="31" t="str">
        <f aca="false">IF(O85="","",O85-R85)</f>
        <v/>
      </c>
      <c r="T85" s="28"/>
      <c r="U85" s="34" t="str">
        <f aca="false">IF(T85="","",IFERROR(VLOOKUP(T85,REPS!$A$2:$D$40,2,0),""))</f>
        <v/>
      </c>
      <c r="V85" s="31" t="str">
        <f aca="false">IF(O85="","",IF(U85="",0,O85*IF(U85&gt;1,U85/100,U85)))</f>
        <v/>
      </c>
      <c r="W85" s="28"/>
      <c r="X85" s="34" t="str">
        <f aca="false">IF(W85="","",IFERROR(VLOOKUP(W85,REPS!$A$2:$D$40,3,0),""))</f>
        <v/>
      </c>
      <c r="Y85" s="31" t="str">
        <f aca="false">IF(O85="","",IF(X85="",0,O85*IF(X85&gt;1,X85/100,X85)))</f>
        <v/>
      </c>
      <c r="Z85" s="28"/>
      <c r="AA85" s="34" t="str">
        <f aca="false">IF(Z85="","",IFERROR(VLOOKUP(Z85,REPS!$A$2:$D$40,4,0),""))</f>
        <v/>
      </c>
      <c r="AB85" s="31" t="str">
        <f aca="false">IF(O85="","",IF(AA85="",0,O85*IF(AA85&gt;1,AA85/100,AA85)))</f>
        <v/>
      </c>
      <c r="AC85" s="31" t="str">
        <f aca="false">IF(O85="","",V85+Y85+AB85)</f>
        <v/>
      </c>
      <c r="AD85" s="19" t="str">
        <f aca="false">IF(O85="","",O85-R85-AC85)</f>
        <v/>
      </c>
      <c r="AE85" s="20"/>
      <c r="AF85" s="27"/>
      <c r="AG85" s="21" t="n">
        <f aca="false">IF(OR(AE85="",AE85=0),0,AE85*IF(U85="",0,IF(U85&gt;1,U85/100,U85)))</f>
        <v>0</v>
      </c>
      <c r="AH85" s="21" t="n">
        <f aca="false">IF(OR(AE85="",AE85=0),0,AE85*IF(X85="",0,IF(X85&gt;1,X85/100,X85)))</f>
        <v>0</v>
      </c>
      <c r="AI85" s="21" t="n">
        <f aca="false">IF(OR(AE85="",AE85=0),0,AE85*IF(AA85="",0,IF(AA85&gt;1,AA85/100,AA85)))</f>
        <v>0</v>
      </c>
      <c r="AJ85" s="21" t="n">
        <f aca="false">AG85+AH85+AI85</f>
        <v>0</v>
      </c>
      <c r="AK85" s="21" t="n">
        <f aca="false">IF(OR(AE85="",AE85=0),0,AE85-AJ85)</f>
        <v>0</v>
      </c>
      <c r="AL85" s="19" t="str">
        <f aca="false">IF(AD85="","",AD85-AK85)</f>
        <v/>
      </c>
      <c r="AM85" s="26" t="str">
        <f aca="false">IF(C85="","","Waiting for payment")</f>
        <v/>
      </c>
      <c r="AN85" s="27"/>
      <c r="AO85" s="27"/>
      <c r="AP85" s="35" t="str">
        <f aca="false">IF(OR(C85="",I85="",K85=""),"",IF(K85="Monthly",EDATE(C85,ROUND(I85*SETTINGS!$I$8,0)),WORKDAY(C85,ROUND(I85*SETTINGS!$I$8,0))))</f>
        <v/>
      </c>
      <c r="AQ85" s="26" t="str">
        <f aca="true">IF(C85="","",IF(AND(AP85&lt;&gt;"",TODAY()&gt;=AP85),"Refi Ready",IF(TODAY()-C85&gt;=SETTINGS!$I$11,"Prospecting","Performing")))</f>
        <v/>
      </c>
      <c r="AR85" s="35" t="str">
        <f aca="false">IF(OR(C85="",I85="",K85=""),"",IF(K85="Monthly",EDATE(C85,I85),WORKDAY(C85,I85)))</f>
        <v/>
      </c>
      <c r="AS85" s="28"/>
      <c r="AT85" s="36" t="str">
        <f aca="true">IF(C85="","",IF(AM85="Clawed Back","CLAWED",IF(TODAY()&lt;=C85+SETTINGS!$I$2,"⚠ AT RISK","SAFE")))</f>
        <v/>
      </c>
      <c r="AU85" s="28"/>
      <c r="AW85" s="24" t="n">
        <f aca="false">AW84+IF(AND(C85&lt;&gt;"",AO85&lt;&gt;"",OR('REP COMMISSION'!$B$3="",T85='REP COMMISSION'!$B$3,W85='REP COMMISSION'!$B$3,Z85='REP COMMISSION'!$B$3)),1,0)</f>
        <v>0</v>
      </c>
      <c r="AX85" s="24" t="n">
        <f aca="false">AX84+IF(AND(C85&lt;&gt;"",OR(F85="LOC - INITIAL",F85="CONSOLIDATION - UPFRONT COMM",F85="REVERSE - TOTAL FUNDING")),1,0)</f>
        <v>0</v>
      </c>
    </row>
    <row r="86" customFormat="false" ht="15" hidden="false" customHeight="false" outlineLevel="0" collapsed="false">
      <c r="A86" s="8" t="str">
        <f aca="false">IF(C86&lt;&gt;"","F27-"&amp;COUNT($C$4:C86),"")</f>
        <v/>
      </c>
      <c r="B86" s="9" t="str">
        <f aca="false">IF(OR(F86="LOC - INITIAL",F86="CONSOLIDATION - UPFRONT COMM",F86="REVERSE - TOTAL FUNDING"),A86,"")</f>
        <v/>
      </c>
      <c r="C86" s="10"/>
      <c r="D86" s="11"/>
      <c r="E86" s="11"/>
      <c r="F86" s="11"/>
      <c r="G86" s="12"/>
      <c r="H86" s="13"/>
      <c r="I86" s="11"/>
      <c r="J86" s="14" t="str">
        <f aca="false">IF(AND(G86&lt;&gt;"",H86&lt;&gt;""),G86*H86,"")</f>
        <v/>
      </c>
      <c r="K86" s="11"/>
      <c r="L86" s="15"/>
      <c r="M86" s="15"/>
      <c r="N86" s="14" t="n">
        <f aca="false">IF(OR(G86="",M86=""),0,IF(M86&gt;100,M86,G86*IF(M86&gt;1,M86/100,M86)))</f>
        <v>0</v>
      </c>
      <c r="O86" s="14" t="str">
        <f aca="false">IF(G86="","",G86*IF(L86="",0,IF(L86&gt;1,L86/100,L86))+N86)</f>
        <v/>
      </c>
      <c r="P86" s="11"/>
      <c r="Q86" s="16" t="str">
        <f aca="false">IF(P86="","",IFERROR(VLOOKUP(P86,PARTNERS!$A$2:$B$30,2,0),""))</f>
        <v/>
      </c>
      <c r="R86" s="17" t="str">
        <f aca="false">IF(O86="","",IF(OR(P86="",Q86=""),0,(O86-N86)*IF(Q86&gt;1,Q86/100,Q86)))</f>
        <v/>
      </c>
      <c r="S86" s="14" t="str">
        <f aca="false">IF(O86="","",O86-R86)</f>
        <v/>
      </c>
      <c r="T86" s="11"/>
      <c r="U86" s="18" t="str">
        <f aca="false">IF(T86="","",IFERROR(VLOOKUP(T86,REPS!$A$2:$D$40,2,0),""))</f>
        <v/>
      </c>
      <c r="V86" s="14" t="str">
        <f aca="false">IF(O86="","",IF(U86="",0,O86*IF(U86&gt;1,U86/100,U86)))</f>
        <v/>
      </c>
      <c r="W86" s="11"/>
      <c r="X86" s="18" t="str">
        <f aca="false">IF(W86="","",IFERROR(VLOOKUP(W86,REPS!$A$2:$D$40,3,0),""))</f>
        <v/>
      </c>
      <c r="Y86" s="14" t="str">
        <f aca="false">IF(O86="","",IF(X86="",0,O86*IF(X86&gt;1,X86/100,X86)))</f>
        <v/>
      </c>
      <c r="Z86" s="11"/>
      <c r="AA86" s="18" t="str">
        <f aca="false">IF(Z86="","",IFERROR(VLOOKUP(Z86,REPS!$A$2:$D$40,4,0),""))</f>
        <v/>
      </c>
      <c r="AB86" s="14" t="str">
        <f aca="false">IF(O86="","",IF(AA86="",0,O86*IF(AA86&gt;1,AA86/100,AA86)))</f>
        <v/>
      </c>
      <c r="AC86" s="14" t="str">
        <f aca="false">IF(O86="","",V86+Y86+AB86)</f>
        <v/>
      </c>
      <c r="AD86" s="19" t="str">
        <f aca="false">IF(O86="","",O86-R86-AC86)</f>
        <v/>
      </c>
      <c r="AE86" s="20"/>
      <c r="AF86" s="10"/>
      <c r="AG86" s="21" t="n">
        <f aca="false">IF(OR(AE86="",AE86=0),0,AE86*IF(U86="",0,IF(U86&gt;1,U86/100,U86)))</f>
        <v>0</v>
      </c>
      <c r="AH86" s="21" t="n">
        <f aca="false">IF(OR(AE86="",AE86=0),0,AE86*IF(X86="",0,IF(X86&gt;1,X86/100,X86)))</f>
        <v>0</v>
      </c>
      <c r="AI86" s="21" t="n">
        <f aca="false">IF(OR(AE86="",AE86=0),0,AE86*IF(AA86="",0,IF(AA86&gt;1,AA86/100,AA86)))</f>
        <v>0</v>
      </c>
      <c r="AJ86" s="21" t="n">
        <f aca="false">AG86+AH86+AI86</f>
        <v>0</v>
      </c>
      <c r="AK86" s="21" t="n">
        <f aca="false">IF(OR(AE86="",AE86=0),0,AE86-AJ86)</f>
        <v>0</v>
      </c>
      <c r="AL86" s="19" t="str">
        <f aca="false">IF(AD86="","",AD86-AK86)</f>
        <v/>
      </c>
      <c r="AM86" s="9" t="str">
        <f aca="false">IF(C86="","","Waiting for payment")</f>
        <v/>
      </c>
      <c r="AN86" s="10"/>
      <c r="AO86" s="10"/>
      <c r="AP86" s="22" t="str">
        <f aca="false">IF(OR(C86="",I86="",K86=""),"",IF(K86="Monthly",EDATE(C86,ROUND(I86*SETTINGS!$I$8,0)),WORKDAY(C86,ROUND(I86*SETTINGS!$I$8,0))))</f>
        <v/>
      </c>
      <c r="AQ86" s="9" t="str">
        <f aca="true">IF(C86="","",IF(AND(AP86&lt;&gt;"",TODAY()&gt;=AP86),"Refi Ready",IF(TODAY()-C86&gt;=SETTINGS!$I$11,"Prospecting","Performing")))</f>
        <v/>
      </c>
      <c r="AR86" s="22" t="str">
        <f aca="false">IF(OR(C86="",I86="",K86=""),"",IF(K86="Monthly",EDATE(C86,I86),WORKDAY(C86,I86)))</f>
        <v/>
      </c>
      <c r="AS86" s="11"/>
      <c r="AT86" s="23" t="str">
        <f aca="true">IF(C86="","",IF(AM86="Clawed Back","CLAWED",IF(TODAY()&lt;=C86+SETTINGS!$I$2,"⚠ AT RISK","SAFE")))</f>
        <v/>
      </c>
      <c r="AU86" s="11"/>
      <c r="AW86" s="24" t="n">
        <f aca="false">AW85+IF(AND(C86&lt;&gt;"",AO86&lt;&gt;"",OR('REP COMMISSION'!$B$3="",T86='REP COMMISSION'!$B$3,W86='REP COMMISSION'!$B$3,Z86='REP COMMISSION'!$B$3)),1,0)</f>
        <v>0</v>
      </c>
      <c r="AX86" s="24" t="n">
        <f aca="false">AX85+IF(AND(C86&lt;&gt;"",OR(F86="LOC - INITIAL",F86="CONSOLIDATION - UPFRONT COMM",F86="REVERSE - TOTAL FUNDING")),1,0)</f>
        <v>0</v>
      </c>
    </row>
    <row r="87" customFormat="false" ht="15" hidden="false" customHeight="false" outlineLevel="0" collapsed="false">
      <c r="A87" s="25" t="str">
        <f aca="false">IF(C87&lt;&gt;"","F27-"&amp;COUNT($C$4:C87),"")</f>
        <v/>
      </c>
      <c r="B87" s="26" t="str">
        <f aca="false">IF(OR(F87="LOC - INITIAL",F87="CONSOLIDATION - UPFRONT COMM",F87="REVERSE - TOTAL FUNDING"),A87,"")</f>
        <v/>
      </c>
      <c r="C87" s="27"/>
      <c r="D87" s="28"/>
      <c r="E87" s="28"/>
      <c r="F87" s="28"/>
      <c r="G87" s="29"/>
      <c r="H87" s="30"/>
      <c r="I87" s="28"/>
      <c r="J87" s="31" t="str">
        <f aca="false">IF(AND(G87&lt;&gt;"",H87&lt;&gt;""),G87*H87,"")</f>
        <v/>
      </c>
      <c r="K87" s="28"/>
      <c r="L87" s="32"/>
      <c r="M87" s="32"/>
      <c r="N87" s="31" t="n">
        <f aca="false">IF(OR(G87="",M87=""),0,IF(M87&gt;100,M87,G87*IF(M87&gt;1,M87/100,M87)))</f>
        <v>0</v>
      </c>
      <c r="O87" s="31" t="str">
        <f aca="false">IF(G87="","",G87*IF(L87="",0,IF(L87&gt;1,L87/100,L87))+N87)</f>
        <v/>
      </c>
      <c r="P87" s="28"/>
      <c r="Q87" s="33" t="str">
        <f aca="false">IF(P87="","",IFERROR(VLOOKUP(P87,PARTNERS!$A$2:$B$30,2,0),""))</f>
        <v/>
      </c>
      <c r="R87" s="17" t="str">
        <f aca="false">IF(O87="","",IF(OR(P87="",Q87=""),0,(O87-N87)*IF(Q87&gt;1,Q87/100,Q87)))</f>
        <v/>
      </c>
      <c r="S87" s="31" t="str">
        <f aca="false">IF(O87="","",O87-R87)</f>
        <v/>
      </c>
      <c r="T87" s="28"/>
      <c r="U87" s="34" t="str">
        <f aca="false">IF(T87="","",IFERROR(VLOOKUP(T87,REPS!$A$2:$D$40,2,0),""))</f>
        <v/>
      </c>
      <c r="V87" s="31" t="str">
        <f aca="false">IF(O87="","",IF(U87="",0,O87*IF(U87&gt;1,U87/100,U87)))</f>
        <v/>
      </c>
      <c r="W87" s="28"/>
      <c r="X87" s="34" t="str">
        <f aca="false">IF(W87="","",IFERROR(VLOOKUP(W87,REPS!$A$2:$D$40,3,0),""))</f>
        <v/>
      </c>
      <c r="Y87" s="31" t="str">
        <f aca="false">IF(O87="","",IF(X87="",0,O87*IF(X87&gt;1,X87/100,X87)))</f>
        <v/>
      </c>
      <c r="Z87" s="28"/>
      <c r="AA87" s="34" t="str">
        <f aca="false">IF(Z87="","",IFERROR(VLOOKUP(Z87,REPS!$A$2:$D$40,4,0),""))</f>
        <v/>
      </c>
      <c r="AB87" s="31" t="str">
        <f aca="false">IF(O87="","",IF(AA87="",0,O87*IF(AA87&gt;1,AA87/100,AA87)))</f>
        <v/>
      </c>
      <c r="AC87" s="31" t="str">
        <f aca="false">IF(O87="","",V87+Y87+AB87)</f>
        <v/>
      </c>
      <c r="AD87" s="19" t="str">
        <f aca="false">IF(O87="","",O87-R87-AC87)</f>
        <v/>
      </c>
      <c r="AE87" s="20"/>
      <c r="AF87" s="27"/>
      <c r="AG87" s="21" t="n">
        <f aca="false">IF(OR(AE87="",AE87=0),0,AE87*IF(U87="",0,IF(U87&gt;1,U87/100,U87)))</f>
        <v>0</v>
      </c>
      <c r="AH87" s="21" t="n">
        <f aca="false">IF(OR(AE87="",AE87=0),0,AE87*IF(X87="",0,IF(X87&gt;1,X87/100,X87)))</f>
        <v>0</v>
      </c>
      <c r="AI87" s="21" t="n">
        <f aca="false">IF(OR(AE87="",AE87=0),0,AE87*IF(AA87="",0,IF(AA87&gt;1,AA87/100,AA87)))</f>
        <v>0</v>
      </c>
      <c r="AJ87" s="21" t="n">
        <f aca="false">AG87+AH87+AI87</f>
        <v>0</v>
      </c>
      <c r="AK87" s="21" t="n">
        <f aca="false">IF(OR(AE87="",AE87=0),0,AE87-AJ87)</f>
        <v>0</v>
      </c>
      <c r="AL87" s="19" t="str">
        <f aca="false">IF(AD87="","",AD87-AK87)</f>
        <v/>
      </c>
      <c r="AM87" s="26" t="str">
        <f aca="false">IF(C87="","","Waiting for payment")</f>
        <v/>
      </c>
      <c r="AN87" s="27"/>
      <c r="AO87" s="27"/>
      <c r="AP87" s="35" t="str">
        <f aca="false">IF(OR(C87="",I87="",K87=""),"",IF(K87="Monthly",EDATE(C87,ROUND(I87*SETTINGS!$I$8,0)),WORKDAY(C87,ROUND(I87*SETTINGS!$I$8,0))))</f>
        <v/>
      </c>
      <c r="AQ87" s="26" t="str">
        <f aca="true">IF(C87="","",IF(AND(AP87&lt;&gt;"",TODAY()&gt;=AP87),"Refi Ready",IF(TODAY()-C87&gt;=SETTINGS!$I$11,"Prospecting","Performing")))</f>
        <v/>
      </c>
      <c r="AR87" s="35" t="str">
        <f aca="false">IF(OR(C87="",I87="",K87=""),"",IF(K87="Monthly",EDATE(C87,I87),WORKDAY(C87,I87)))</f>
        <v/>
      </c>
      <c r="AS87" s="28"/>
      <c r="AT87" s="36" t="str">
        <f aca="true">IF(C87="","",IF(AM87="Clawed Back","CLAWED",IF(TODAY()&lt;=C87+SETTINGS!$I$2,"⚠ AT RISK","SAFE")))</f>
        <v/>
      </c>
      <c r="AU87" s="28"/>
      <c r="AW87" s="24" t="n">
        <f aca="false">AW86+IF(AND(C87&lt;&gt;"",AO87&lt;&gt;"",OR('REP COMMISSION'!$B$3="",T87='REP COMMISSION'!$B$3,W87='REP COMMISSION'!$B$3,Z87='REP COMMISSION'!$B$3)),1,0)</f>
        <v>0</v>
      </c>
      <c r="AX87" s="24" t="n">
        <f aca="false">AX86+IF(AND(C87&lt;&gt;"",OR(F87="LOC - INITIAL",F87="CONSOLIDATION - UPFRONT COMM",F87="REVERSE - TOTAL FUNDING")),1,0)</f>
        <v>0</v>
      </c>
    </row>
    <row r="88" customFormat="false" ht="15" hidden="false" customHeight="false" outlineLevel="0" collapsed="false">
      <c r="A88" s="8" t="str">
        <f aca="false">IF(C88&lt;&gt;"","F27-"&amp;COUNT($C$4:C88),"")</f>
        <v/>
      </c>
      <c r="B88" s="9" t="str">
        <f aca="false">IF(OR(F88="LOC - INITIAL",F88="CONSOLIDATION - UPFRONT COMM",F88="REVERSE - TOTAL FUNDING"),A88,"")</f>
        <v/>
      </c>
      <c r="C88" s="10"/>
      <c r="D88" s="11"/>
      <c r="E88" s="11"/>
      <c r="F88" s="11"/>
      <c r="G88" s="12"/>
      <c r="H88" s="13"/>
      <c r="I88" s="11"/>
      <c r="J88" s="14" t="str">
        <f aca="false">IF(AND(G88&lt;&gt;"",H88&lt;&gt;""),G88*H88,"")</f>
        <v/>
      </c>
      <c r="K88" s="11"/>
      <c r="L88" s="15"/>
      <c r="M88" s="15"/>
      <c r="N88" s="14" t="n">
        <f aca="false">IF(OR(G88="",M88=""),0,IF(M88&gt;100,M88,G88*IF(M88&gt;1,M88/100,M88)))</f>
        <v>0</v>
      </c>
      <c r="O88" s="14" t="str">
        <f aca="false">IF(G88="","",G88*IF(L88="",0,IF(L88&gt;1,L88/100,L88))+N88)</f>
        <v/>
      </c>
      <c r="P88" s="11"/>
      <c r="Q88" s="16" t="str">
        <f aca="false">IF(P88="","",IFERROR(VLOOKUP(P88,PARTNERS!$A$2:$B$30,2,0),""))</f>
        <v/>
      </c>
      <c r="R88" s="17" t="str">
        <f aca="false">IF(O88="","",IF(OR(P88="",Q88=""),0,(O88-N88)*IF(Q88&gt;1,Q88/100,Q88)))</f>
        <v/>
      </c>
      <c r="S88" s="14" t="str">
        <f aca="false">IF(O88="","",O88-R88)</f>
        <v/>
      </c>
      <c r="T88" s="11"/>
      <c r="U88" s="18" t="str">
        <f aca="false">IF(T88="","",IFERROR(VLOOKUP(T88,REPS!$A$2:$D$40,2,0),""))</f>
        <v/>
      </c>
      <c r="V88" s="14" t="str">
        <f aca="false">IF(O88="","",IF(U88="",0,O88*IF(U88&gt;1,U88/100,U88)))</f>
        <v/>
      </c>
      <c r="W88" s="11"/>
      <c r="X88" s="18" t="str">
        <f aca="false">IF(W88="","",IFERROR(VLOOKUP(W88,REPS!$A$2:$D$40,3,0),""))</f>
        <v/>
      </c>
      <c r="Y88" s="14" t="str">
        <f aca="false">IF(O88="","",IF(X88="",0,O88*IF(X88&gt;1,X88/100,X88)))</f>
        <v/>
      </c>
      <c r="Z88" s="11"/>
      <c r="AA88" s="18" t="str">
        <f aca="false">IF(Z88="","",IFERROR(VLOOKUP(Z88,REPS!$A$2:$D$40,4,0),""))</f>
        <v/>
      </c>
      <c r="AB88" s="14" t="str">
        <f aca="false">IF(O88="","",IF(AA88="",0,O88*IF(AA88&gt;1,AA88/100,AA88)))</f>
        <v/>
      </c>
      <c r="AC88" s="14" t="str">
        <f aca="false">IF(O88="","",V88+Y88+AB88)</f>
        <v/>
      </c>
      <c r="AD88" s="19" t="str">
        <f aca="false">IF(O88="","",O88-R88-AC88)</f>
        <v/>
      </c>
      <c r="AE88" s="20"/>
      <c r="AF88" s="10"/>
      <c r="AG88" s="21" t="n">
        <f aca="false">IF(OR(AE88="",AE88=0),0,AE88*IF(U88="",0,IF(U88&gt;1,U88/100,U88)))</f>
        <v>0</v>
      </c>
      <c r="AH88" s="21" t="n">
        <f aca="false">IF(OR(AE88="",AE88=0),0,AE88*IF(X88="",0,IF(X88&gt;1,X88/100,X88)))</f>
        <v>0</v>
      </c>
      <c r="AI88" s="21" t="n">
        <f aca="false">IF(OR(AE88="",AE88=0),0,AE88*IF(AA88="",0,IF(AA88&gt;1,AA88/100,AA88)))</f>
        <v>0</v>
      </c>
      <c r="AJ88" s="21" t="n">
        <f aca="false">AG88+AH88+AI88</f>
        <v>0</v>
      </c>
      <c r="AK88" s="21" t="n">
        <f aca="false">IF(OR(AE88="",AE88=0),0,AE88-AJ88)</f>
        <v>0</v>
      </c>
      <c r="AL88" s="19" t="str">
        <f aca="false">IF(AD88="","",AD88-AK88)</f>
        <v/>
      </c>
      <c r="AM88" s="9" t="str">
        <f aca="false">IF(C88="","","Waiting for payment")</f>
        <v/>
      </c>
      <c r="AN88" s="10"/>
      <c r="AO88" s="10"/>
      <c r="AP88" s="22" t="str">
        <f aca="false">IF(OR(C88="",I88="",K88=""),"",IF(K88="Monthly",EDATE(C88,ROUND(I88*SETTINGS!$I$8,0)),WORKDAY(C88,ROUND(I88*SETTINGS!$I$8,0))))</f>
        <v/>
      </c>
      <c r="AQ88" s="9" t="str">
        <f aca="true">IF(C88="","",IF(AND(AP88&lt;&gt;"",TODAY()&gt;=AP88),"Refi Ready",IF(TODAY()-C88&gt;=SETTINGS!$I$11,"Prospecting","Performing")))</f>
        <v/>
      </c>
      <c r="AR88" s="22" t="str">
        <f aca="false">IF(OR(C88="",I88="",K88=""),"",IF(K88="Monthly",EDATE(C88,I88),WORKDAY(C88,I88)))</f>
        <v/>
      </c>
      <c r="AS88" s="11"/>
      <c r="AT88" s="23" t="str">
        <f aca="true">IF(C88="","",IF(AM88="Clawed Back","CLAWED",IF(TODAY()&lt;=C88+SETTINGS!$I$2,"⚠ AT RISK","SAFE")))</f>
        <v/>
      </c>
      <c r="AU88" s="11"/>
      <c r="AW88" s="24" t="n">
        <f aca="false">AW87+IF(AND(C88&lt;&gt;"",AO88&lt;&gt;"",OR('REP COMMISSION'!$B$3="",T88='REP COMMISSION'!$B$3,W88='REP COMMISSION'!$B$3,Z88='REP COMMISSION'!$B$3)),1,0)</f>
        <v>0</v>
      </c>
      <c r="AX88" s="24" t="n">
        <f aca="false">AX87+IF(AND(C88&lt;&gt;"",OR(F88="LOC - INITIAL",F88="CONSOLIDATION - UPFRONT COMM",F88="REVERSE - TOTAL FUNDING")),1,0)</f>
        <v>0</v>
      </c>
    </row>
    <row r="89" customFormat="false" ht="15" hidden="false" customHeight="false" outlineLevel="0" collapsed="false">
      <c r="A89" s="25" t="str">
        <f aca="false">IF(C89&lt;&gt;"","F27-"&amp;COUNT($C$4:C89),"")</f>
        <v/>
      </c>
      <c r="B89" s="26" t="str">
        <f aca="false">IF(OR(F89="LOC - INITIAL",F89="CONSOLIDATION - UPFRONT COMM",F89="REVERSE - TOTAL FUNDING"),A89,"")</f>
        <v/>
      </c>
      <c r="C89" s="27"/>
      <c r="D89" s="28"/>
      <c r="E89" s="28"/>
      <c r="F89" s="28"/>
      <c r="G89" s="29"/>
      <c r="H89" s="30"/>
      <c r="I89" s="28"/>
      <c r="J89" s="31" t="str">
        <f aca="false">IF(AND(G89&lt;&gt;"",H89&lt;&gt;""),G89*H89,"")</f>
        <v/>
      </c>
      <c r="K89" s="28"/>
      <c r="L89" s="32"/>
      <c r="M89" s="32"/>
      <c r="N89" s="31" t="n">
        <f aca="false">IF(OR(G89="",M89=""),0,IF(M89&gt;100,M89,G89*IF(M89&gt;1,M89/100,M89)))</f>
        <v>0</v>
      </c>
      <c r="O89" s="31" t="str">
        <f aca="false">IF(G89="","",G89*IF(L89="",0,IF(L89&gt;1,L89/100,L89))+N89)</f>
        <v/>
      </c>
      <c r="P89" s="28"/>
      <c r="Q89" s="33" t="str">
        <f aca="false">IF(P89="","",IFERROR(VLOOKUP(P89,PARTNERS!$A$2:$B$30,2,0),""))</f>
        <v/>
      </c>
      <c r="R89" s="17" t="str">
        <f aca="false">IF(O89="","",IF(OR(P89="",Q89=""),0,(O89-N89)*IF(Q89&gt;1,Q89/100,Q89)))</f>
        <v/>
      </c>
      <c r="S89" s="31" t="str">
        <f aca="false">IF(O89="","",O89-R89)</f>
        <v/>
      </c>
      <c r="T89" s="28"/>
      <c r="U89" s="34" t="str">
        <f aca="false">IF(T89="","",IFERROR(VLOOKUP(T89,REPS!$A$2:$D$40,2,0),""))</f>
        <v/>
      </c>
      <c r="V89" s="31" t="str">
        <f aca="false">IF(O89="","",IF(U89="",0,O89*IF(U89&gt;1,U89/100,U89)))</f>
        <v/>
      </c>
      <c r="W89" s="28"/>
      <c r="X89" s="34" t="str">
        <f aca="false">IF(W89="","",IFERROR(VLOOKUP(W89,REPS!$A$2:$D$40,3,0),""))</f>
        <v/>
      </c>
      <c r="Y89" s="31" t="str">
        <f aca="false">IF(O89="","",IF(X89="",0,O89*IF(X89&gt;1,X89/100,X89)))</f>
        <v/>
      </c>
      <c r="Z89" s="28"/>
      <c r="AA89" s="34" t="str">
        <f aca="false">IF(Z89="","",IFERROR(VLOOKUP(Z89,REPS!$A$2:$D$40,4,0),""))</f>
        <v/>
      </c>
      <c r="AB89" s="31" t="str">
        <f aca="false">IF(O89="","",IF(AA89="",0,O89*IF(AA89&gt;1,AA89/100,AA89)))</f>
        <v/>
      </c>
      <c r="AC89" s="31" t="str">
        <f aca="false">IF(O89="","",V89+Y89+AB89)</f>
        <v/>
      </c>
      <c r="AD89" s="19" t="str">
        <f aca="false">IF(O89="","",O89-R89-AC89)</f>
        <v/>
      </c>
      <c r="AE89" s="20"/>
      <c r="AF89" s="27"/>
      <c r="AG89" s="21" t="n">
        <f aca="false">IF(OR(AE89="",AE89=0),0,AE89*IF(U89="",0,IF(U89&gt;1,U89/100,U89)))</f>
        <v>0</v>
      </c>
      <c r="AH89" s="21" t="n">
        <f aca="false">IF(OR(AE89="",AE89=0),0,AE89*IF(X89="",0,IF(X89&gt;1,X89/100,X89)))</f>
        <v>0</v>
      </c>
      <c r="AI89" s="21" t="n">
        <f aca="false">IF(OR(AE89="",AE89=0),0,AE89*IF(AA89="",0,IF(AA89&gt;1,AA89/100,AA89)))</f>
        <v>0</v>
      </c>
      <c r="AJ89" s="21" t="n">
        <f aca="false">AG89+AH89+AI89</f>
        <v>0</v>
      </c>
      <c r="AK89" s="21" t="n">
        <f aca="false">IF(OR(AE89="",AE89=0),0,AE89-AJ89)</f>
        <v>0</v>
      </c>
      <c r="AL89" s="19" t="str">
        <f aca="false">IF(AD89="","",AD89-AK89)</f>
        <v/>
      </c>
      <c r="AM89" s="26" t="str">
        <f aca="false">IF(C89="","","Waiting for payment")</f>
        <v/>
      </c>
      <c r="AN89" s="27"/>
      <c r="AO89" s="27"/>
      <c r="AP89" s="35" t="str">
        <f aca="false">IF(OR(C89="",I89="",K89=""),"",IF(K89="Monthly",EDATE(C89,ROUND(I89*SETTINGS!$I$8,0)),WORKDAY(C89,ROUND(I89*SETTINGS!$I$8,0))))</f>
        <v/>
      </c>
      <c r="AQ89" s="26" t="str">
        <f aca="true">IF(C89="","",IF(AND(AP89&lt;&gt;"",TODAY()&gt;=AP89),"Refi Ready",IF(TODAY()-C89&gt;=SETTINGS!$I$11,"Prospecting","Performing")))</f>
        <v/>
      </c>
      <c r="AR89" s="35" t="str">
        <f aca="false">IF(OR(C89="",I89="",K89=""),"",IF(K89="Monthly",EDATE(C89,I89),WORKDAY(C89,I89)))</f>
        <v/>
      </c>
      <c r="AS89" s="28"/>
      <c r="AT89" s="36" t="str">
        <f aca="true">IF(C89="","",IF(AM89="Clawed Back","CLAWED",IF(TODAY()&lt;=C89+SETTINGS!$I$2,"⚠ AT RISK","SAFE")))</f>
        <v/>
      </c>
      <c r="AU89" s="28"/>
      <c r="AW89" s="24" t="n">
        <f aca="false">AW88+IF(AND(C89&lt;&gt;"",AO89&lt;&gt;"",OR('REP COMMISSION'!$B$3="",T89='REP COMMISSION'!$B$3,W89='REP COMMISSION'!$B$3,Z89='REP COMMISSION'!$B$3)),1,0)</f>
        <v>0</v>
      </c>
      <c r="AX89" s="24" t="n">
        <f aca="false">AX88+IF(AND(C89&lt;&gt;"",OR(F89="LOC - INITIAL",F89="CONSOLIDATION - UPFRONT COMM",F89="REVERSE - TOTAL FUNDING")),1,0)</f>
        <v>0</v>
      </c>
    </row>
    <row r="90" customFormat="false" ht="15" hidden="false" customHeight="false" outlineLevel="0" collapsed="false">
      <c r="A90" s="8" t="str">
        <f aca="false">IF(C90&lt;&gt;"","F27-"&amp;COUNT($C$4:C90),"")</f>
        <v/>
      </c>
      <c r="B90" s="9" t="str">
        <f aca="false">IF(OR(F90="LOC - INITIAL",F90="CONSOLIDATION - UPFRONT COMM",F90="REVERSE - TOTAL FUNDING"),A90,"")</f>
        <v/>
      </c>
      <c r="C90" s="10"/>
      <c r="D90" s="11"/>
      <c r="E90" s="11"/>
      <c r="F90" s="11"/>
      <c r="G90" s="12"/>
      <c r="H90" s="13"/>
      <c r="I90" s="11"/>
      <c r="J90" s="14" t="str">
        <f aca="false">IF(AND(G90&lt;&gt;"",H90&lt;&gt;""),G90*H90,"")</f>
        <v/>
      </c>
      <c r="K90" s="11"/>
      <c r="L90" s="15"/>
      <c r="M90" s="15"/>
      <c r="N90" s="14" t="n">
        <f aca="false">IF(OR(G90="",M90=""),0,IF(M90&gt;100,M90,G90*IF(M90&gt;1,M90/100,M90)))</f>
        <v>0</v>
      </c>
      <c r="O90" s="14" t="str">
        <f aca="false">IF(G90="","",G90*IF(L90="",0,IF(L90&gt;1,L90/100,L90))+N90)</f>
        <v/>
      </c>
      <c r="P90" s="11"/>
      <c r="Q90" s="16" t="str">
        <f aca="false">IF(P90="","",IFERROR(VLOOKUP(P90,PARTNERS!$A$2:$B$30,2,0),""))</f>
        <v/>
      </c>
      <c r="R90" s="17" t="str">
        <f aca="false">IF(O90="","",IF(OR(P90="",Q90=""),0,(O90-N90)*IF(Q90&gt;1,Q90/100,Q90)))</f>
        <v/>
      </c>
      <c r="S90" s="14" t="str">
        <f aca="false">IF(O90="","",O90-R90)</f>
        <v/>
      </c>
      <c r="T90" s="11"/>
      <c r="U90" s="18" t="str">
        <f aca="false">IF(T90="","",IFERROR(VLOOKUP(T90,REPS!$A$2:$D$40,2,0),""))</f>
        <v/>
      </c>
      <c r="V90" s="14" t="str">
        <f aca="false">IF(O90="","",IF(U90="",0,O90*IF(U90&gt;1,U90/100,U90)))</f>
        <v/>
      </c>
      <c r="W90" s="11"/>
      <c r="X90" s="18" t="str">
        <f aca="false">IF(W90="","",IFERROR(VLOOKUP(W90,REPS!$A$2:$D$40,3,0),""))</f>
        <v/>
      </c>
      <c r="Y90" s="14" t="str">
        <f aca="false">IF(O90="","",IF(X90="",0,O90*IF(X90&gt;1,X90/100,X90)))</f>
        <v/>
      </c>
      <c r="Z90" s="11"/>
      <c r="AA90" s="18" t="str">
        <f aca="false">IF(Z90="","",IFERROR(VLOOKUP(Z90,REPS!$A$2:$D$40,4,0),""))</f>
        <v/>
      </c>
      <c r="AB90" s="14" t="str">
        <f aca="false">IF(O90="","",IF(AA90="",0,O90*IF(AA90&gt;1,AA90/100,AA90)))</f>
        <v/>
      </c>
      <c r="AC90" s="14" t="str">
        <f aca="false">IF(O90="","",V90+Y90+AB90)</f>
        <v/>
      </c>
      <c r="AD90" s="19" t="str">
        <f aca="false">IF(O90="","",O90-R90-AC90)</f>
        <v/>
      </c>
      <c r="AE90" s="20"/>
      <c r="AF90" s="10"/>
      <c r="AG90" s="21" t="n">
        <f aca="false">IF(OR(AE90="",AE90=0),0,AE90*IF(U90="",0,IF(U90&gt;1,U90/100,U90)))</f>
        <v>0</v>
      </c>
      <c r="AH90" s="21" t="n">
        <f aca="false">IF(OR(AE90="",AE90=0),0,AE90*IF(X90="",0,IF(X90&gt;1,X90/100,X90)))</f>
        <v>0</v>
      </c>
      <c r="AI90" s="21" t="n">
        <f aca="false">IF(OR(AE90="",AE90=0),0,AE90*IF(AA90="",0,IF(AA90&gt;1,AA90/100,AA90)))</f>
        <v>0</v>
      </c>
      <c r="AJ90" s="21" t="n">
        <f aca="false">AG90+AH90+AI90</f>
        <v>0</v>
      </c>
      <c r="AK90" s="21" t="n">
        <f aca="false">IF(OR(AE90="",AE90=0),0,AE90-AJ90)</f>
        <v>0</v>
      </c>
      <c r="AL90" s="19" t="str">
        <f aca="false">IF(AD90="","",AD90-AK90)</f>
        <v/>
      </c>
      <c r="AM90" s="9" t="str">
        <f aca="false">IF(C90="","","Waiting for payment")</f>
        <v/>
      </c>
      <c r="AN90" s="10"/>
      <c r="AO90" s="10"/>
      <c r="AP90" s="22" t="str">
        <f aca="false">IF(OR(C90="",I90="",K90=""),"",IF(K90="Monthly",EDATE(C90,ROUND(I90*SETTINGS!$I$8,0)),WORKDAY(C90,ROUND(I90*SETTINGS!$I$8,0))))</f>
        <v/>
      </c>
      <c r="AQ90" s="9" t="str">
        <f aca="true">IF(C90="","",IF(AND(AP90&lt;&gt;"",TODAY()&gt;=AP90),"Refi Ready",IF(TODAY()-C90&gt;=SETTINGS!$I$11,"Prospecting","Performing")))</f>
        <v/>
      </c>
      <c r="AR90" s="22" t="str">
        <f aca="false">IF(OR(C90="",I90="",K90=""),"",IF(K90="Monthly",EDATE(C90,I90),WORKDAY(C90,I90)))</f>
        <v/>
      </c>
      <c r="AS90" s="11"/>
      <c r="AT90" s="23" t="str">
        <f aca="true">IF(C90="","",IF(AM90="Clawed Back","CLAWED",IF(TODAY()&lt;=C90+SETTINGS!$I$2,"⚠ AT RISK","SAFE")))</f>
        <v/>
      </c>
      <c r="AU90" s="11"/>
      <c r="AW90" s="24" t="n">
        <f aca="false">AW89+IF(AND(C90&lt;&gt;"",AO90&lt;&gt;"",OR('REP COMMISSION'!$B$3="",T90='REP COMMISSION'!$B$3,W90='REP COMMISSION'!$B$3,Z90='REP COMMISSION'!$B$3)),1,0)</f>
        <v>0</v>
      </c>
      <c r="AX90" s="24" t="n">
        <f aca="false">AX89+IF(AND(C90&lt;&gt;"",OR(F90="LOC - INITIAL",F90="CONSOLIDATION - UPFRONT COMM",F90="REVERSE - TOTAL FUNDING")),1,0)</f>
        <v>0</v>
      </c>
    </row>
    <row r="91" customFormat="false" ht="15" hidden="false" customHeight="false" outlineLevel="0" collapsed="false">
      <c r="A91" s="25" t="str">
        <f aca="false">IF(C91&lt;&gt;"","F27-"&amp;COUNT($C$4:C91),"")</f>
        <v/>
      </c>
      <c r="B91" s="26" t="str">
        <f aca="false">IF(OR(F91="LOC - INITIAL",F91="CONSOLIDATION - UPFRONT COMM",F91="REVERSE - TOTAL FUNDING"),A91,"")</f>
        <v/>
      </c>
      <c r="C91" s="27"/>
      <c r="D91" s="28"/>
      <c r="E91" s="28"/>
      <c r="F91" s="28"/>
      <c r="G91" s="29"/>
      <c r="H91" s="30"/>
      <c r="I91" s="28"/>
      <c r="J91" s="31" t="str">
        <f aca="false">IF(AND(G91&lt;&gt;"",H91&lt;&gt;""),G91*H91,"")</f>
        <v/>
      </c>
      <c r="K91" s="28"/>
      <c r="L91" s="32"/>
      <c r="M91" s="32"/>
      <c r="N91" s="31" t="n">
        <f aca="false">IF(OR(G91="",M91=""),0,IF(M91&gt;100,M91,G91*IF(M91&gt;1,M91/100,M91)))</f>
        <v>0</v>
      </c>
      <c r="O91" s="31" t="str">
        <f aca="false">IF(G91="","",G91*IF(L91="",0,IF(L91&gt;1,L91/100,L91))+N91)</f>
        <v/>
      </c>
      <c r="P91" s="28"/>
      <c r="Q91" s="33" t="str">
        <f aca="false">IF(P91="","",IFERROR(VLOOKUP(P91,PARTNERS!$A$2:$B$30,2,0),""))</f>
        <v/>
      </c>
      <c r="R91" s="17" t="str">
        <f aca="false">IF(O91="","",IF(OR(P91="",Q91=""),0,(O91-N91)*IF(Q91&gt;1,Q91/100,Q91)))</f>
        <v/>
      </c>
      <c r="S91" s="31" t="str">
        <f aca="false">IF(O91="","",O91-R91)</f>
        <v/>
      </c>
      <c r="T91" s="28"/>
      <c r="U91" s="34" t="str">
        <f aca="false">IF(T91="","",IFERROR(VLOOKUP(T91,REPS!$A$2:$D$40,2,0),""))</f>
        <v/>
      </c>
      <c r="V91" s="31" t="str">
        <f aca="false">IF(O91="","",IF(U91="",0,O91*IF(U91&gt;1,U91/100,U91)))</f>
        <v/>
      </c>
      <c r="W91" s="28"/>
      <c r="X91" s="34" t="str">
        <f aca="false">IF(W91="","",IFERROR(VLOOKUP(W91,REPS!$A$2:$D$40,3,0),""))</f>
        <v/>
      </c>
      <c r="Y91" s="31" t="str">
        <f aca="false">IF(O91="","",IF(X91="",0,O91*IF(X91&gt;1,X91/100,X91)))</f>
        <v/>
      </c>
      <c r="Z91" s="28"/>
      <c r="AA91" s="34" t="str">
        <f aca="false">IF(Z91="","",IFERROR(VLOOKUP(Z91,REPS!$A$2:$D$40,4,0),""))</f>
        <v/>
      </c>
      <c r="AB91" s="31" t="str">
        <f aca="false">IF(O91="","",IF(AA91="",0,O91*IF(AA91&gt;1,AA91/100,AA91)))</f>
        <v/>
      </c>
      <c r="AC91" s="31" t="str">
        <f aca="false">IF(O91="","",V91+Y91+AB91)</f>
        <v/>
      </c>
      <c r="AD91" s="19" t="str">
        <f aca="false">IF(O91="","",O91-R91-AC91)</f>
        <v/>
      </c>
      <c r="AE91" s="20"/>
      <c r="AF91" s="27"/>
      <c r="AG91" s="21" t="n">
        <f aca="false">IF(OR(AE91="",AE91=0),0,AE91*IF(U91="",0,IF(U91&gt;1,U91/100,U91)))</f>
        <v>0</v>
      </c>
      <c r="AH91" s="21" t="n">
        <f aca="false">IF(OR(AE91="",AE91=0),0,AE91*IF(X91="",0,IF(X91&gt;1,X91/100,X91)))</f>
        <v>0</v>
      </c>
      <c r="AI91" s="21" t="n">
        <f aca="false">IF(OR(AE91="",AE91=0),0,AE91*IF(AA91="",0,IF(AA91&gt;1,AA91/100,AA91)))</f>
        <v>0</v>
      </c>
      <c r="AJ91" s="21" t="n">
        <f aca="false">AG91+AH91+AI91</f>
        <v>0</v>
      </c>
      <c r="AK91" s="21" t="n">
        <f aca="false">IF(OR(AE91="",AE91=0),0,AE91-AJ91)</f>
        <v>0</v>
      </c>
      <c r="AL91" s="19" t="str">
        <f aca="false">IF(AD91="","",AD91-AK91)</f>
        <v/>
      </c>
      <c r="AM91" s="26" t="str">
        <f aca="false">IF(C91="","","Waiting for payment")</f>
        <v/>
      </c>
      <c r="AN91" s="27"/>
      <c r="AO91" s="27"/>
      <c r="AP91" s="35" t="str">
        <f aca="false">IF(OR(C91="",I91="",K91=""),"",IF(K91="Monthly",EDATE(C91,ROUND(I91*SETTINGS!$I$8,0)),WORKDAY(C91,ROUND(I91*SETTINGS!$I$8,0))))</f>
        <v/>
      </c>
      <c r="AQ91" s="26" t="str">
        <f aca="true">IF(C91="","",IF(AND(AP91&lt;&gt;"",TODAY()&gt;=AP91),"Refi Ready",IF(TODAY()-C91&gt;=SETTINGS!$I$11,"Prospecting","Performing")))</f>
        <v/>
      </c>
      <c r="AR91" s="35" t="str">
        <f aca="false">IF(OR(C91="",I91="",K91=""),"",IF(K91="Monthly",EDATE(C91,I91),WORKDAY(C91,I91)))</f>
        <v/>
      </c>
      <c r="AS91" s="28"/>
      <c r="AT91" s="36" t="str">
        <f aca="true">IF(C91="","",IF(AM91="Clawed Back","CLAWED",IF(TODAY()&lt;=C91+SETTINGS!$I$2,"⚠ AT RISK","SAFE")))</f>
        <v/>
      </c>
      <c r="AU91" s="28"/>
      <c r="AW91" s="24" t="n">
        <f aca="false">AW90+IF(AND(C91&lt;&gt;"",AO91&lt;&gt;"",OR('REP COMMISSION'!$B$3="",T91='REP COMMISSION'!$B$3,W91='REP COMMISSION'!$B$3,Z91='REP COMMISSION'!$B$3)),1,0)</f>
        <v>0</v>
      </c>
      <c r="AX91" s="24" t="n">
        <f aca="false">AX90+IF(AND(C91&lt;&gt;"",OR(F91="LOC - INITIAL",F91="CONSOLIDATION - UPFRONT COMM",F91="REVERSE - TOTAL FUNDING")),1,0)</f>
        <v>0</v>
      </c>
    </row>
    <row r="92" customFormat="false" ht="15" hidden="false" customHeight="false" outlineLevel="0" collapsed="false">
      <c r="A92" s="8" t="str">
        <f aca="false">IF(C92&lt;&gt;"","F27-"&amp;COUNT($C$4:C92),"")</f>
        <v/>
      </c>
      <c r="B92" s="9" t="str">
        <f aca="false">IF(OR(F92="LOC - INITIAL",F92="CONSOLIDATION - UPFRONT COMM",F92="REVERSE - TOTAL FUNDING"),A92,"")</f>
        <v/>
      </c>
      <c r="C92" s="10"/>
      <c r="D92" s="11"/>
      <c r="E92" s="11"/>
      <c r="F92" s="11"/>
      <c r="G92" s="12"/>
      <c r="H92" s="13"/>
      <c r="I92" s="11"/>
      <c r="J92" s="14" t="str">
        <f aca="false">IF(AND(G92&lt;&gt;"",H92&lt;&gt;""),G92*H92,"")</f>
        <v/>
      </c>
      <c r="K92" s="11"/>
      <c r="L92" s="15"/>
      <c r="M92" s="15"/>
      <c r="N92" s="14" t="n">
        <f aca="false">IF(OR(G92="",M92=""),0,IF(M92&gt;100,M92,G92*IF(M92&gt;1,M92/100,M92)))</f>
        <v>0</v>
      </c>
      <c r="O92" s="14" t="str">
        <f aca="false">IF(G92="","",G92*IF(L92="",0,IF(L92&gt;1,L92/100,L92))+N92)</f>
        <v/>
      </c>
      <c r="P92" s="11"/>
      <c r="Q92" s="16" t="str">
        <f aca="false">IF(P92="","",IFERROR(VLOOKUP(P92,PARTNERS!$A$2:$B$30,2,0),""))</f>
        <v/>
      </c>
      <c r="R92" s="17" t="str">
        <f aca="false">IF(O92="","",IF(OR(P92="",Q92=""),0,(O92-N92)*IF(Q92&gt;1,Q92/100,Q92)))</f>
        <v/>
      </c>
      <c r="S92" s="14" t="str">
        <f aca="false">IF(O92="","",O92-R92)</f>
        <v/>
      </c>
      <c r="T92" s="11"/>
      <c r="U92" s="18" t="str">
        <f aca="false">IF(T92="","",IFERROR(VLOOKUP(T92,REPS!$A$2:$D$40,2,0),""))</f>
        <v/>
      </c>
      <c r="V92" s="14" t="str">
        <f aca="false">IF(O92="","",IF(U92="",0,O92*IF(U92&gt;1,U92/100,U92)))</f>
        <v/>
      </c>
      <c r="W92" s="11"/>
      <c r="X92" s="18" t="str">
        <f aca="false">IF(W92="","",IFERROR(VLOOKUP(W92,REPS!$A$2:$D$40,3,0),""))</f>
        <v/>
      </c>
      <c r="Y92" s="14" t="str">
        <f aca="false">IF(O92="","",IF(X92="",0,O92*IF(X92&gt;1,X92/100,X92)))</f>
        <v/>
      </c>
      <c r="Z92" s="11"/>
      <c r="AA92" s="18" t="str">
        <f aca="false">IF(Z92="","",IFERROR(VLOOKUP(Z92,REPS!$A$2:$D$40,4,0),""))</f>
        <v/>
      </c>
      <c r="AB92" s="14" t="str">
        <f aca="false">IF(O92="","",IF(AA92="",0,O92*IF(AA92&gt;1,AA92/100,AA92)))</f>
        <v/>
      </c>
      <c r="AC92" s="14" t="str">
        <f aca="false">IF(O92="","",V92+Y92+AB92)</f>
        <v/>
      </c>
      <c r="AD92" s="19" t="str">
        <f aca="false">IF(O92="","",O92-R92-AC92)</f>
        <v/>
      </c>
      <c r="AE92" s="20"/>
      <c r="AF92" s="10"/>
      <c r="AG92" s="21" t="n">
        <f aca="false">IF(OR(AE92="",AE92=0),0,AE92*IF(U92="",0,IF(U92&gt;1,U92/100,U92)))</f>
        <v>0</v>
      </c>
      <c r="AH92" s="21" t="n">
        <f aca="false">IF(OR(AE92="",AE92=0),0,AE92*IF(X92="",0,IF(X92&gt;1,X92/100,X92)))</f>
        <v>0</v>
      </c>
      <c r="AI92" s="21" t="n">
        <f aca="false">IF(OR(AE92="",AE92=0),0,AE92*IF(AA92="",0,IF(AA92&gt;1,AA92/100,AA92)))</f>
        <v>0</v>
      </c>
      <c r="AJ92" s="21" t="n">
        <f aca="false">AG92+AH92+AI92</f>
        <v>0</v>
      </c>
      <c r="AK92" s="21" t="n">
        <f aca="false">IF(OR(AE92="",AE92=0),0,AE92-AJ92)</f>
        <v>0</v>
      </c>
      <c r="AL92" s="19" t="str">
        <f aca="false">IF(AD92="","",AD92-AK92)</f>
        <v/>
      </c>
      <c r="AM92" s="9" t="str">
        <f aca="false">IF(C92="","","Waiting for payment")</f>
        <v/>
      </c>
      <c r="AN92" s="10"/>
      <c r="AO92" s="10"/>
      <c r="AP92" s="22" t="str">
        <f aca="false">IF(OR(C92="",I92="",K92=""),"",IF(K92="Monthly",EDATE(C92,ROUND(I92*SETTINGS!$I$8,0)),WORKDAY(C92,ROUND(I92*SETTINGS!$I$8,0))))</f>
        <v/>
      </c>
      <c r="AQ92" s="9" t="str">
        <f aca="true">IF(C92="","",IF(AND(AP92&lt;&gt;"",TODAY()&gt;=AP92),"Refi Ready",IF(TODAY()-C92&gt;=SETTINGS!$I$11,"Prospecting","Performing")))</f>
        <v/>
      </c>
      <c r="AR92" s="22" t="str">
        <f aca="false">IF(OR(C92="",I92="",K92=""),"",IF(K92="Monthly",EDATE(C92,I92),WORKDAY(C92,I92)))</f>
        <v/>
      </c>
      <c r="AS92" s="11"/>
      <c r="AT92" s="23" t="str">
        <f aca="true">IF(C92="","",IF(AM92="Clawed Back","CLAWED",IF(TODAY()&lt;=C92+SETTINGS!$I$2,"⚠ AT RISK","SAFE")))</f>
        <v/>
      </c>
      <c r="AU92" s="11"/>
      <c r="AW92" s="24" t="n">
        <f aca="false">AW91+IF(AND(C92&lt;&gt;"",AO92&lt;&gt;"",OR('REP COMMISSION'!$B$3="",T92='REP COMMISSION'!$B$3,W92='REP COMMISSION'!$B$3,Z92='REP COMMISSION'!$B$3)),1,0)</f>
        <v>0</v>
      </c>
      <c r="AX92" s="24" t="n">
        <f aca="false">AX91+IF(AND(C92&lt;&gt;"",OR(F92="LOC - INITIAL",F92="CONSOLIDATION - UPFRONT COMM",F92="REVERSE - TOTAL FUNDING")),1,0)</f>
        <v>0</v>
      </c>
    </row>
    <row r="93" customFormat="false" ht="15" hidden="false" customHeight="false" outlineLevel="0" collapsed="false">
      <c r="A93" s="25" t="str">
        <f aca="false">IF(C93&lt;&gt;"","F27-"&amp;COUNT($C$4:C93),"")</f>
        <v/>
      </c>
      <c r="B93" s="26" t="str">
        <f aca="false">IF(OR(F93="LOC - INITIAL",F93="CONSOLIDATION - UPFRONT COMM",F93="REVERSE - TOTAL FUNDING"),A93,"")</f>
        <v/>
      </c>
      <c r="C93" s="27"/>
      <c r="D93" s="28"/>
      <c r="E93" s="28"/>
      <c r="F93" s="28"/>
      <c r="G93" s="29"/>
      <c r="H93" s="30"/>
      <c r="I93" s="28"/>
      <c r="J93" s="31" t="str">
        <f aca="false">IF(AND(G93&lt;&gt;"",H93&lt;&gt;""),G93*H93,"")</f>
        <v/>
      </c>
      <c r="K93" s="28"/>
      <c r="L93" s="32"/>
      <c r="M93" s="32"/>
      <c r="N93" s="31" t="n">
        <f aca="false">IF(OR(G93="",M93=""),0,IF(M93&gt;100,M93,G93*IF(M93&gt;1,M93/100,M93)))</f>
        <v>0</v>
      </c>
      <c r="O93" s="31" t="str">
        <f aca="false">IF(G93="","",G93*IF(L93="",0,IF(L93&gt;1,L93/100,L93))+N93)</f>
        <v/>
      </c>
      <c r="P93" s="28"/>
      <c r="Q93" s="33" t="str">
        <f aca="false">IF(P93="","",IFERROR(VLOOKUP(P93,PARTNERS!$A$2:$B$30,2,0),""))</f>
        <v/>
      </c>
      <c r="R93" s="17" t="str">
        <f aca="false">IF(O93="","",IF(OR(P93="",Q93=""),0,(O93-N93)*IF(Q93&gt;1,Q93/100,Q93)))</f>
        <v/>
      </c>
      <c r="S93" s="31" t="str">
        <f aca="false">IF(O93="","",O93-R93)</f>
        <v/>
      </c>
      <c r="T93" s="28"/>
      <c r="U93" s="34" t="str">
        <f aca="false">IF(T93="","",IFERROR(VLOOKUP(T93,REPS!$A$2:$D$40,2,0),""))</f>
        <v/>
      </c>
      <c r="V93" s="31" t="str">
        <f aca="false">IF(O93="","",IF(U93="",0,O93*IF(U93&gt;1,U93/100,U93)))</f>
        <v/>
      </c>
      <c r="W93" s="28"/>
      <c r="X93" s="34" t="str">
        <f aca="false">IF(W93="","",IFERROR(VLOOKUP(W93,REPS!$A$2:$D$40,3,0),""))</f>
        <v/>
      </c>
      <c r="Y93" s="31" t="str">
        <f aca="false">IF(O93="","",IF(X93="",0,O93*IF(X93&gt;1,X93/100,X93)))</f>
        <v/>
      </c>
      <c r="Z93" s="28"/>
      <c r="AA93" s="34" t="str">
        <f aca="false">IF(Z93="","",IFERROR(VLOOKUP(Z93,REPS!$A$2:$D$40,4,0),""))</f>
        <v/>
      </c>
      <c r="AB93" s="31" t="str">
        <f aca="false">IF(O93="","",IF(AA93="",0,O93*IF(AA93&gt;1,AA93/100,AA93)))</f>
        <v/>
      </c>
      <c r="AC93" s="31" t="str">
        <f aca="false">IF(O93="","",V93+Y93+AB93)</f>
        <v/>
      </c>
      <c r="AD93" s="19" t="str">
        <f aca="false">IF(O93="","",O93-R93-AC93)</f>
        <v/>
      </c>
      <c r="AE93" s="20"/>
      <c r="AF93" s="27"/>
      <c r="AG93" s="21" t="n">
        <f aca="false">IF(OR(AE93="",AE93=0),0,AE93*IF(U93="",0,IF(U93&gt;1,U93/100,U93)))</f>
        <v>0</v>
      </c>
      <c r="AH93" s="21" t="n">
        <f aca="false">IF(OR(AE93="",AE93=0),0,AE93*IF(X93="",0,IF(X93&gt;1,X93/100,X93)))</f>
        <v>0</v>
      </c>
      <c r="AI93" s="21" t="n">
        <f aca="false">IF(OR(AE93="",AE93=0),0,AE93*IF(AA93="",0,IF(AA93&gt;1,AA93/100,AA93)))</f>
        <v>0</v>
      </c>
      <c r="AJ93" s="21" t="n">
        <f aca="false">AG93+AH93+AI93</f>
        <v>0</v>
      </c>
      <c r="AK93" s="21" t="n">
        <f aca="false">IF(OR(AE93="",AE93=0),0,AE93-AJ93)</f>
        <v>0</v>
      </c>
      <c r="AL93" s="19" t="str">
        <f aca="false">IF(AD93="","",AD93-AK93)</f>
        <v/>
      </c>
      <c r="AM93" s="26" t="str">
        <f aca="false">IF(C93="","","Waiting for payment")</f>
        <v/>
      </c>
      <c r="AN93" s="27"/>
      <c r="AO93" s="27"/>
      <c r="AP93" s="35" t="str">
        <f aca="false">IF(OR(C93="",I93="",K93=""),"",IF(K93="Monthly",EDATE(C93,ROUND(I93*SETTINGS!$I$8,0)),WORKDAY(C93,ROUND(I93*SETTINGS!$I$8,0))))</f>
        <v/>
      </c>
      <c r="AQ93" s="26" t="str">
        <f aca="true">IF(C93="","",IF(AND(AP93&lt;&gt;"",TODAY()&gt;=AP93),"Refi Ready",IF(TODAY()-C93&gt;=SETTINGS!$I$11,"Prospecting","Performing")))</f>
        <v/>
      </c>
      <c r="AR93" s="35" t="str">
        <f aca="false">IF(OR(C93="",I93="",K93=""),"",IF(K93="Monthly",EDATE(C93,I93),WORKDAY(C93,I93)))</f>
        <v/>
      </c>
      <c r="AS93" s="28"/>
      <c r="AT93" s="36" t="str">
        <f aca="true">IF(C93="","",IF(AM93="Clawed Back","CLAWED",IF(TODAY()&lt;=C93+SETTINGS!$I$2,"⚠ AT RISK","SAFE")))</f>
        <v/>
      </c>
      <c r="AU93" s="28"/>
      <c r="AW93" s="24" t="n">
        <f aca="false">AW92+IF(AND(C93&lt;&gt;"",AO93&lt;&gt;"",OR('REP COMMISSION'!$B$3="",T93='REP COMMISSION'!$B$3,W93='REP COMMISSION'!$B$3,Z93='REP COMMISSION'!$B$3)),1,0)</f>
        <v>0</v>
      </c>
      <c r="AX93" s="24" t="n">
        <f aca="false">AX92+IF(AND(C93&lt;&gt;"",OR(F93="LOC - INITIAL",F93="CONSOLIDATION - UPFRONT COMM",F93="REVERSE - TOTAL FUNDING")),1,0)</f>
        <v>0</v>
      </c>
    </row>
    <row r="94" customFormat="false" ht="15" hidden="false" customHeight="false" outlineLevel="0" collapsed="false">
      <c r="A94" s="8" t="str">
        <f aca="false">IF(C94&lt;&gt;"","F27-"&amp;COUNT($C$4:C94),"")</f>
        <v/>
      </c>
      <c r="B94" s="9" t="str">
        <f aca="false">IF(OR(F94="LOC - INITIAL",F94="CONSOLIDATION - UPFRONT COMM",F94="REVERSE - TOTAL FUNDING"),A94,"")</f>
        <v/>
      </c>
      <c r="C94" s="10"/>
      <c r="D94" s="11"/>
      <c r="E94" s="11"/>
      <c r="F94" s="11"/>
      <c r="G94" s="12"/>
      <c r="H94" s="13"/>
      <c r="I94" s="11"/>
      <c r="J94" s="14" t="str">
        <f aca="false">IF(AND(G94&lt;&gt;"",H94&lt;&gt;""),G94*H94,"")</f>
        <v/>
      </c>
      <c r="K94" s="11"/>
      <c r="L94" s="15"/>
      <c r="M94" s="15"/>
      <c r="N94" s="14" t="n">
        <f aca="false">IF(OR(G94="",M94=""),0,IF(M94&gt;100,M94,G94*IF(M94&gt;1,M94/100,M94)))</f>
        <v>0</v>
      </c>
      <c r="O94" s="14" t="str">
        <f aca="false">IF(G94="","",G94*IF(L94="",0,IF(L94&gt;1,L94/100,L94))+N94)</f>
        <v/>
      </c>
      <c r="P94" s="11"/>
      <c r="Q94" s="16" t="str">
        <f aca="false">IF(P94="","",IFERROR(VLOOKUP(P94,PARTNERS!$A$2:$B$30,2,0),""))</f>
        <v/>
      </c>
      <c r="R94" s="17" t="str">
        <f aca="false">IF(O94="","",IF(OR(P94="",Q94=""),0,(O94-N94)*IF(Q94&gt;1,Q94/100,Q94)))</f>
        <v/>
      </c>
      <c r="S94" s="14" t="str">
        <f aca="false">IF(O94="","",O94-R94)</f>
        <v/>
      </c>
      <c r="T94" s="11"/>
      <c r="U94" s="18" t="str">
        <f aca="false">IF(T94="","",IFERROR(VLOOKUP(T94,REPS!$A$2:$D$40,2,0),""))</f>
        <v/>
      </c>
      <c r="V94" s="14" t="str">
        <f aca="false">IF(O94="","",IF(U94="",0,O94*IF(U94&gt;1,U94/100,U94)))</f>
        <v/>
      </c>
      <c r="W94" s="11"/>
      <c r="X94" s="18" t="str">
        <f aca="false">IF(W94="","",IFERROR(VLOOKUP(W94,REPS!$A$2:$D$40,3,0),""))</f>
        <v/>
      </c>
      <c r="Y94" s="14" t="str">
        <f aca="false">IF(O94="","",IF(X94="",0,O94*IF(X94&gt;1,X94/100,X94)))</f>
        <v/>
      </c>
      <c r="Z94" s="11"/>
      <c r="AA94" s="18" t="str">
        <f aca="false">IF(Z94="","",IFERROR(VLOOKUP(Z94,REPS!$A$2:$D$40,4,0),""))</f>
        <v/>
      </c>
      <c r="AB94" s="14" t="str">
        <f aca="false">IF(O94="","",IF(AA94="",0,O94*IF(AA94&gt;1,AA94/100,AA94)))</f>
        <v/>
      </c>
      <c r="AC94" s="14" t="str">
        <f aca="false">IF(O94="","",V94+Y94+AB94)</f>
        <v/>
      </c>
      <c r="AD94" s="19" t="str">
        <f aca="false">IF(O94="","",O94-R94-AC94)</f>
        <v/>
      </c>
      <c r="AE94" s="20"/>
      <c r="AF94" s="10"/>
      <c r="AG94" s="21" t="n">
        <f aca="false">IF(OR(AE94="",AE94=0),0,AE94*IF(U94="",0,IF(U94&gt;1,U94/100,U94)))</f>
        <v>0</v>
      </c>
      <c r="AH94" s="21" t="n">
        <f aca="false">IF(OR(AE94="",AE94=0),0,AE94*IF(X94="",0,IF(X94&gt;1,X94/100,X94)))</f>
        <v>0</v>
      </c>
      <c r="AI94" s="21" t="n">
        <f aca="false">IF(OR(AE94="",AE94=0),0,AE94*IF(AA94="",0,IF(AA94&gt;1,AA94/100,AA94)))</f>
        <v>0</v>
      </c>
      <c r="AJ94" s="21" t="n">
        <f aca="false">AG94+AH94+AI94</f>
        <v>0</v>
      </c>
      <c r="AK94" s="21" t="n">
        <f aca="false">IF(OR(AE94="",AE94=0),0,AE94-AJ94)</f>
        <v>0</v>
      </c>
      <c r="AL94" s="19" t="str">
        <f aca="false">IF(AD94="","",AD94-AK94)</f>
        <v/>
      </c>
      <c r="AM94" s="9" t="str">
        <f aca="false">IF(C94="","","Waiting for payment")</f>
        <v/>
      </c>
      <c r="AN94" s="10"/>
      <c r="AO94" s="10"/>
      <c r="AP94" s="22" t="str">
        <f aca="false">IF(OR(C94="",I94="",K94=""),"",IF(K94="Monthly",EDATE(C94,ROUND(I94*SETTINGS!$I$8,0)),WORKDAY(C94,ROUND(I94*SETTINGS!$I$8,0))))</f>
        <v/>
      </c>
      <c r="AQ94" s="9" t="str">
        <f aca="true">IF(C94="","",IF(AND(AP94&lt;&gt;"",TODAY()&gt;=AP94),"Refi Ready",IF(TODAY()-C94&gt;=SETTINGS!$I$11,"Prospecting","Performing")))</f>
        <v/>
      </c>
      <c r="AR94" s="22" t="str">
        <f aca="false">IF(OR(C94="",I94="",K94=""),"",IF(K94="Monthly",EDATE(C94,I94),WORKDAY(C94,I94)))</f>
        <v/>
      </c>
      <c r="AS94" s="11"/>
      <c r="AT94" s="23" t="str">
        <f aca="true">IF(C94="","",IF(AM94="Clawed Back","CLAWED",IF(TODAY()&lt;=C94+SETTINGS!$I$2,"⚠ AT RISK","SAFE")))</f>
        <v/>
      </c>
      <c r="AU94" s="11"/>
      <c r="AW94" s="24" t="n">
        <f aca="false">AW93+IF(AND(C94&lt;&gt;"",AO94&lt;&gt;"",OR('REP COMMISSION'!$B$3="",T94='REP COMMISSION'!$B$3,W94='REP COMMISSION'!$B$3,Z94='REP COMMISSION'!$B$3)),1,0)</f>
        <v>0</v>
      </c>
      <c r="AX94" s="24" t="n">
        <f aca="false">AX93+IF(AND(C94&lt;&gt;"",OR(F94="LOC - INITIAL",F94="CONSOLIDATION - UPFRONT COMM",F94="REVERSE - TOTAL FUNDING")),1,0)</f>
        <v>0</v>
      </c>
    </row>
    <row r="95" customFormat="false" ht="15" hidden="false" customHeight="false" outlineLevel="0" collapsed="false">
      <c r="A95" s="25" t="str">
        <f aca="false">IF(C95&lt;&gt;"","F27-"&amp;COUNT($C$4:C95),"")</f>
        <v/>
      </c>
      <c r="B95" s="26" t="str">
        <f aca="false">IF(OR(F95="LOC - INITIAL",F95="CONSOLIDATION - UPFRONT COMM",F95="REVERSE - TOTAL FUNDING"),A95,"")</f>
        <v/>
      </c>
      <c r="C95" s="27"/>
      <c r="D95" s="28"/>
      <c r="E95" s="28"/>
      <c r="F95" s="28"/>
      <c r="G95" s="29"/>
      <c r="H95" s="30"/>
      <c r="I95" s="28"/>
      <c r="J95" s="31" t="str">
        <f aca="false">IF(AND(G95&lt;&gt;"",H95&lt;&gt;""),G95*H95,"")</f>
        <v/>
      </c>
      <c r="K95" s="28"/>
      <c r="L95" s="32"/>
      <c r="M95" s="32"/>
      <c r="N95" s="31" t="n">
        <f aca="false">IF(OR(G95="",M95=""),0,IF(M95&gt;100,M95,G95*IF(M95&gt;1,M95/100,M95)))</f>
        <v>0</v>
      </c>
      <c r="O95" s="31" t="str">
        <f aca="false">IF(G95="","",G95*IF(L95="",0,IF(L95&gt;1,L95/100,L95))+N95)</f>
        <v/>
      </c>
      <c r="P95" s="28"/>
      <c r="Q95" s="33" t="str">
        <f aca="false">IF(P95="","",IFERROR(VLOOKUP(P95,PARTNERS!$A$2:$B$30,2,0),""))</f>
        <v/>
      </c>
      <c r="R95" s="17" t="str">
        <f aca="false">IF(O95="","",IF(OR(P95="",Q95=""),0,(O95-N95)*IF(Q95&gt;1,Q95/100,Q95)))</f>
        <v/>
      </c>
      <c r="S95" s="31" t="str">
        <f aca="false">IF(O95="","",O95-R95)</f>
        <v/>
      </c>
      <c r="T95" s="28"/>
      <c r="U95" s="34" t="str">
        <f aca="false">IF(T95="","",IFERROR(VLOOKUP(T95,REPS!$A$2:$D$40,2,0),""))</f>
        <v/>
      </c>
      <c r="V95" s="31" t="str">
        <f aca="false">IF(O95="","",IF(U95="",0,O95*IF(U95&gt;1,U95/100,U95)))</f>
        <v/>
      </c>
      <c r="W95" s="28"/>
      <c r="X95" s="34" t="str">
        <f aca="false">IF(W95="","",IFERROR(VLOOKUP(W95,REPS!$A$2:$D$40,3,0),""))</f>
        <v/>
      </c>
      <c r="Y95" s="31" t="str">
        <f aca="false">IF(O95="","",IF(X95="",0,O95*IF(X95&gt;1,X95/100,X95)))</f>
        <v/>
      </c>
      <c r="Z95" s="28"/>
      <c r="AA95" s="34" t="str">
        <f aca="false">IF(Z95="","",IFERROR(VLOOKUP(Z95,REPS!$A$2:$D$40,4,0),""))</f>
        <v/>
      </c>
      <c r="AB95" s="31" t="str">
        <f aca="false">IF(O95="","",IF(AA95="",0,O95*IF(AA95&gt;1,AA95/100,AA95)))</f>
        <v/>
      </c>
      <c r="AC95" s="31" t="str">
        <f aca="false">IF(O95="","",V95+Y95+AB95)</f>
        <v/>
      </c>
      <c r="AD95" s="19" t="str">
        <f aca="false">IF(O95="","",O95-R95-AC95)</f>
        <v/>
      </c>
      <c r="AE95" s="20"/>
      <c r="AF95" s="27"/>
      <c r="AG95" s="21" t="n">
        <f aca="false">IF(OR(AE95="",AE95=0),0,AE95*IF(U95="",0,IF(U95&gt;1,U95/100,U95)))</f>
        <v>0</v>
      </c>
      <c r="AH95" s="21" t="n">
        <f aca="false">IF(OR(AE95="",AE95=0),0,AE95*IF(X95="",0,IF(X95&gt;1,X95/100,X95)))</f>
        <v>0</v>
      </c>
      <c r="AI95" s="21" t="n">
        <f aca="false">IF(OR(AE95="",AE95=0),0,AE95*IF(AA95="",0,IF(AA95&gt;1,AA95/100,AA95)))</f>
        <v>0</v>
      </c>
      <c r="AJ95" s="21" t="n">
        <f aca="false">AG95+AH95+AI95</f>
        <v>0</v>
      </c>
      <c r="AK95" s="21" t="n">
        <f aca="false">IF(OR(AE95="",AE95=0),0,AE95-AJ95)</f>
        <v>0</v>
      </c>
      <c r="AL95" s="19" t="str">
        <f aca="false">IF(AD95="","",AD95-AK95)</f>
        <v/>
      </c>
      <c r="AM95" s="26" t="str">
        <f aca="false">IF(C95="","","Waiting for payment")</f>
        <v/>
      </c>
      <c r="AN95" s="27"/>
      <c r="AO95" s="27"/>
      <c r="AP95" s="35" t="str">
        <f aca="false">IF(OR(C95="",I95="",K95=""),"",IF(K95="Monthly",EDATE(C95,ROUND(I95*SETTINGS!$I$8,0)),WORKDAY(C95,ROUND(I95*SETTINGS!$I$8,0))))</f>
        <v/>
      </c>
      <c r="AQ95" s="26" t="str">
        <f aca="true">IF(C95="","",IF(AND(AP95&lt;&gt;"",TODAY()&gt;=AP95),"Refi Ready",IF(TODAY()-C95&gt;=SETTINGS!$I$11,"Prospecting","Performing")))</f>
        <v/>
      </c>
      <c r="AR95" s="35" t="str">
        <f aca="false">IF(OR(C95="",I95="",K95=""),"",IF(K95="Monthly",EDATE(C95,I95),WORKDAY(C95,I95)))</f>
        <v/>
      </c>
      <c r="AS95" s="28"/>
      <c r="AT95" s="36" t="str">
        <f aca="true">IF(C95="","",IF(AM95="Clawed Back","CLAWED",IF(TODAY()&lt;=C95+SETTINGS!$I$2,"⚠ AT RISK","SAFE")))</f>
        <v/>
      </c>
      <c r="AU95" s="28"/>
      <c r="AW95" s="24" t="n">
        <f aca="false">AW94+IF(AND(C95&lt;&gt;"",AO95&lt;&gt;"",OR('REP COMMISSION'!$B$3="",T95='REP COMMISSION'!$B$3,W95='REP COMMISSION'!$B$3,Z95='REP COMMISSION'!$B$3)),1,0)</f>
        <v>0</v>
      </c>
      <c r="AX95" s="24" t="n">
        <f aca="false">AX94+IF(AND(C95&lt;&gt;"",OR(F95="LOC - INITIAL",F95="CONSOLIDATION - UPFRONT COMM",F95="REVERSE - TOTAL FUNDING")),1,0)</f>
        <v>0</v>
      </c>
    </row>
    <row r="96" customFormat="false" ht="15" hidden="false" customHeight="false" outlineLevel="0" collapsed="false">
      <c r="A96" s="8" t="str">
        <f aca="false">IF(C96&lt;&gt;"","F27-"&amp;COUNT($C$4:C96),"")</f>
        <v/>
      </c>
      <c r="B96" s="9" t="str">
        <f aca="false">IF(OR(F96="LOC - INITIAL",F96="CONSOLIDATION - UPFRONT COMM",F96="REVERSE - TOTAL FUNDING"),A96,"")</f>
        <v/>
      </c>
      <c r="C96" s="10"/>
      <c r="D96" s="11"/>
      <c r="E96" s="11"/>
      <c r="F96" s="11"/>
      <c r="G96" s="12"/>
      <c r="H96" s="13"/>
      <c r="I96" s="11"/>
      <c r="J96" s="14" t="str">
        <f aca="false">IF(AND(G96&lt;&gt;"",H96&lt;&gt;""),G96*H96,"")</f>
        <v/>
      </c>
      <c r="K96" s="11"/>
      <c r="L96" s="15"/>
      <c r="M96" s="15"/>
      <c r="N96" s="14" t="n">
        <f aca="false">IF(OR(G96="",M96=""),0,IF(M96&gt;100,M96,G96*IF(M96&gt;1,M96/100,M96)))</f>
        <v>0</v>
      </c>
      <c r="O96" s="14" t="str">
        <f aca="false">IF(G96="","",G96*IF(L96="",0,IF(L96&gt;1,L96/100,L96))+N96)</f>
        <v/>
      </c>
      <c r="P96" s="11"/>
      <c r="Q96" s="16" t="str">
        <f aca="false">IF(P96="","",IFERROR(VLOOKUP(P96,PARTNERS!$A$2:$B$30,2,0),""))</f>
        <v/>
      </c>
      <c r="R96" s="17" t="str">
        <f aca="false">IF(O96="","",IF(OR(P96="",Q96=""),0,(O96-N96)*IF(Q96&gt;1,Q96/100,Q96)))</f>
        <v/>
      </c>
      <c r="S96" s="14" t="str">
        <f aca="false">IF(O96="","",O96-R96)</f>
        <v/>
      </c>
      <c r="T96" s="11"/>
      <c r="U96" s="18" t="str">
        <f aca="false">IF(T96="","",IFERROR(VLOOKUP(T96,REPS!$A$2:$D$40,2,0),""))</f>
        <v/>
      </c>
      <c r="V96" s="14" t="str">
        <f aca="false">IF(O96="","",IF(U96="",0,O96*IF(U96&gt;1,U96/100,U96)))</f>
        <v/>
      </c>
      <c r="W96" s="11"/>
      <c r="X96" s="18" t="str">
        <f aca="false">IF(W96="","",IFERROR(VLOOKUP(W96,REPS!$A$2:$D$40,3,0),""))</f>
        <v/>
      </c>
      <c r="Y96" s="14" t="str">
        <f aca="false">IF(O96="","",IF(X96="",0,O96*IF(X96&gt;1,X96/100,X96)))</f>
        <v/>
      </c>
      <c r="Z96" s="11"/>
      <c r="AA96" s="18" t="str">
        <f aca="false">IF(Z96="","",IFERROR(VLOOKUP(Z96,REPS!$A$2:$D$40,4,0),""))</f>
        <v/>
      </c>
      <c r="AB96" s="14" t="str">
        <f aca="false">IF(O96="","",IF(AA96="",0,O96*IF(AA96&gt;1,AA96/100,AA96)))</f>
        <v/>
      </c>
      <c r="AC96" s="14" t="str">
        <f aca="false">IF(O96="","",V96+Y96+AB96)</f>
        <v/>
      </c>
      <c r="AD96" s="19" t="str">
        <f aca="false">IF(O96="","",O96-R96-AC96)</f>
        <v/>
      </c>
      <c r="AE96" s="20"/>
      <c r="AF96" s="10"/>
      <c r="AG96" s="21" t="n">
        <f aca="false">IF(OR(AE96="",AE96=0),0,AE96*IF(U96="",0,IF(U96&gt;1,U96/100,U96)))</f>
        <v>0</v>
      </c>
      <c r="AH96" s="21" t="n">
        <f aca="false">IF(OR(AE96="",AE96=0),0,AE96*IF(X96="",0,IF(X96&gt;1,X96/100,X96)))</f>
        <v>0</v>
      </c>
      <c r="AI96" s="21" t="n">
        <f aca="false">IF(OR(AE96="",AE96=0),0,AE96*IF(AA96="",0,IF(AA96&gt;1,AA96/100,AA96)))</f>
        <v>0</v>
      </c>
      <c r="AJ96" s="21" t="n">
        <f aca="false">AG96+AH96+AI96</f>
        <v>0</v>
      </c>
      <c r="AK96" s="21" t="n">
        <f aca="false">IF(OR(AE96="",AE96=0),0,AE96-AJ96)</f>
        <v>0</v>
      </c>
      <c r="AL96" s="19" t="str">
        <f aca="false">IF(AD96="","",AD96-AK96)</f>
        <v/>
      </c>
      <c r="AM96" s="9" t="str">
        <f aca="false">IF(C96="","","Waiting for payment")</f>
        <v/>
      </c>
      <c r="AN96" s="10"/>
      <c r="AO96" s="10"/>
      <c r="AP96" s="22" t="str">
        <f aca="false">IF(OR(C96="",I96="",K96=""),"",IF(K96="Monthly",EDATE(C96,ROUND(I96*SETTINGS!$I$8,0)),WORKDAY(C96,ROUND(I96*SETTINGS!$I$8,0))))</f>
        <v/>
      </c>
      <c r="AQ96" s="9" t="str">
        <f aca="true">IF(C96="","",IF(AND(AP96&lt;&gt;"",TODAY()&gt;=AP96),"Refi Ready",IF(TODAY()-C96&gt;=SETTINGS!$I$11,"Prospecting","Performing")))</f>
        <v/>
      </c>
      <c r="AR96" s="22" t="str">
        <f aca="false">IF(OR(C96="",I96="",K96=""),"",IF(K96="Monthly",EDATE(C96,I96),WORKDAY(C96,I96)))</f>
        <v/>
      </c>
      <c r="AS96" s="11"/>
      <c r="AT96" s="23" t="str">
        <f aca="true">IF(C96="","",IF(AM96="Clawed Back","CLAWED",IF(TODAY()&lt;=C96+SETTINGS!$I$2,"⚠ AT RISK","SAFE")))</f>
        <v/>
      </c>
      <c r="AU96" s="11"/>
      <c r="AW96" s="24" t="n">
        <f aca="false">AW95+IF(AND(C96&lt;&gt;"",AO96&lt;&gt;"",OR('REP COMMISSION'!$B$3="",T96='REP COMMISSION'!$B$3,W96='REP COMMISSION'!$B$3,Z96='REP COMMISSION'!$B$3)),1,0)</f>
        <v>0</v>
      </c>
      <c r="AX96" s="24" t="n">
        <f aca="false">AX95+IF(AND(C96&lt;&gt;"",OR(F96="LOC - INITIAL",F96="CONSOLIDATION - UPFRONT COMM",F96="REVERSE - TOTAL FUNDING")),1,0)</f>
        <v>0</v>
      </c>
    </row>
    <row r="97" customFormat="false" ht="15" hidden="false" customHeight="false" outlineLevel="0" collapsed="false">
      <c r="A97" s="25" t="str">
        <f aca="false">IF(C97&lt;&gt;"","F27-"&amp;COUNT($C$4:C97),"")</f>
        <v/>
      </c>
      <c r="B97" s="26" t="str">
        <f aca="false">IF(OR(F97="LOC - INITIAL",F97="CONSOLIDATION - UPFRONT COMM",F97="REVERSE - TOTAL FUNDING"),A97,"")</f>
        <v/>
      </c>
      <c r="C97" s="27"/>
      <c r="D97" s="28"/>
      <c r="E97" s="28"/>
      <c r="F97" s="28"/>
      <c r="G97" s="29"/>
      <c r="H97" s="30"/>
      <c r="I97" s="28"/>
      <c r="J97" s="31" t="str">
        <f aca="false">IF(AND(G97&lt;&gt;"",H97&lt;&gt;""),G97*H97,"")</f>
        <v/>
      </c>
      <c r="K97" s="28"/>
      <c r="L97" s="32"/>
      <c r="M97" s="32"/>
      <c r="N97" s="31" t="n">
        <f aca="false">IF(OR(G97="",M97=""),0,IF(M97&gt;100,M97,G97*IF(M97&gt;1,M97/100,M97)))</f>
        <v>0</v>
      </c>
      <c r="O97" s="31" t="str">
        <f aca="false">IF(G97="","",G97*IF(L97="",0,IF(L97&gt;1,L97/100,L97))+N97)</f>
        <v/>
      </c>
      <c r="P97" s="28"/>
      <c r="Q97" s="33" t="str">
        <f aca="false">IF(P97="","",IFERROR(VLOOKUP(P97,PARTNERS!$A$2:$B$30,2,0),""))</f>
        <v/>
      </c>
      <c r="R97" s="17" t="str">
        <f aca="false">IF(O97="","",IF(OR(P97="",Q97=""),0,(O97-N97)*IF(Q97&gt;1,Q97/100,Q97)))</f>
        <v/>
      </c>
      <c r="S97" s="31" t="str">
        <f aca="false">IF(O97="","",O97-R97)</f>
        <v/>
      </c>
      <c r="T97" s="28"/>
      <c r="U97" s="34" t="str">
        <f aca="false">IF(T97="","",IFERROR(VLOOKUP(T97,REPS!$A$2:$D$40,2,0),""))</f>
        <v/>
      </c>
      <c r="V97" s="31" t="str">
        <f aca="false">IF(O97="","",IF(U97="",0,O97*IF(U97&gt;1,U97/100,U97)))</f>
        <v/>
      </c>
      <c r="W97" s="28"/>
      <c r="X97" s="34" t="str">
        <f aca="false">IF(W97="","",IFERROR(VLOOKUP(W97,REPS!$A$2:$D$40,3,0),""))</f>
        <v/>
      </c>
      <c r="Y97" s="31" t="str">
        <f aca="false">IF(O97="","",IF(X97="",0,O97*IF(X97&gt;1,X97/100,X97)))</f>
        <v/>
      </c>
      <c r="Z97" s="28"/>
      <c r="AA97" s="34" t="str">
        <f aca="false">IF(Z97="","",IFERROR(VLOOKUP(Z97,REPS!$A$2:$D$40,4,0),""))</f>
        <v/>
      </c>
      <c r="AB97" s="31" t="str">
        <f aca="false">IF(O97="","",IF(AA97="",0,O97*IF(AA97&gt;1,AA97/100,AA97)))</f>
        <v/>
      </c>
      <c r="AC97" s="31" t="str">
        <f aca="false">IF(O97="","",V97+Y97+AB97)</f>
        <v/>
      </c>
      <c r="AD97" s="19" t="str">
        <f aca="false">IF(O97="","",O97-R97-AC97)</f>
        <v/>
      </c>
      <c r="AE97" s="20"/>
      <c r="AF97" s="27"/>
      <c r="AG97" s="21" t="n">
        <f aca="false">IF(OR(AE97="",AE97=0),0,AE97*IF(U97="",0,IF(U97&gt;1,U97/100,U97)))</f>
        <v>0</v>
      </c>
      <c r="AH97" s="21" t="n">
        <f aca="false">IF(OR(AE97="",AE97=0),0,AE97*IF(X97="",0,IF(X97&gt;1,X97/100,X97)))</f>
        <v>0</v>
      </c>
      <c r="AI97" s="21" t="n">
        <f aca="false">IF(OR(AE97="",AE97=0),0,AE97*IF(AA97="",0,IF(AA97&gt;1,AA97/100,AA97)))</f>
        <v>0</v>
      </c>
      <c r="AJ97" s="21" t="n">
        <f aca="false">AG97+AH97+AI97</f>
        <v>0</v>
      </c>
      <c r="AK97" s="21" t="n">
        <f aca="false">IF(OR(AE97="",AE97=0),0,AE97-AJ97)</f>
        <v>0</v>
      </c>
      <c r="AL97" s="19" t="str">
        <f aca="false">IF(AD97="","",AD97-AK97)</f>
        <v/>
      </c>
      <c r="AM97" s="26" t="str">
        <f aca="false">IF(C97="","","Waiting for payment")</f>
        <v/>
      </c>
      <c r="AN97" s="27"/>
      <c r="AO97" s="27"/>
      <c r="AP97" s="35" t="str">
        <f aca="false">IF(OR(C97="",I97="",K97=""),"",IF(K97="Monthly",EDATE(C97,ROUND(I97*SETTINGS!$I$8,0)),WORKDAY(C97,ROUND(I97*SETTINGS!$I$8,0))))</f>
        <v/>
      </c>
      <c r="AQ97" s="26" t="str">
        <f aca="true">IF(C97="","",IF(AND(AP97&lt;&gt;"",TODAY()&gt;=AP97),"Refi Ready",IF(TODAY()-C97&gt;=SETTINGS!$I$11,"Prospecting","Performing")))</f>
        <v/>
      </c>
      <c r="AR97" s="35" t="str">
        <f aca="false">IF(OR(C97="",I97="",K97=""),"",IF(K97="Monthly",EDATE(C97,I97),WORKDAY(C97,I97)))</f>
        <v/>
      </c>
      <c r="AS97" s="28"/>
      <c r="AT97" s="36" t="str">
        <f aca="true">IF(C97="","",IF(AM97="Clawed Back","CLAWED",IF(TODAY()&lt;=C97+SETTINGS!$I$2,"⚠ AT RISK","SAFE")))</f>
        <v/>
      </c>
      <c r="AU97" s="28"/>
      <c r="AW97" s="24" t="n">
        <f aca="false">AW96+IF(AND(C97&lt;&gt;"",AO97&lt;&gt;"",OR('REP COMMISSION'!$B$3="",T97='REP COMMISSION'!$B$3,W97='REP COMMISSION'!$B$3,Z97='REP COMMISSION'!$B$3)),1,0)</f>
        <v>0</v>
      </c>
      <c r="AX97" s="24" t="n">
        <f aca="false">AX96+IF(AND(C97&lt;&gt;"",OR(F97="LOC - INITIAL",F97="CONSOLIDATION - UPFRONT COMM",F97="REVERSE - TOTAL FUNDING")),1,0)</f>
        <v>0</v>
      </c>
    </row>
    <row r="98" customFormat="false" ht="15" hidden="false" customHeight="false" outlineLevel="0" collapsed="false">
      <c r="A98" s="8" t="str">
        <f aca="false">IF(C98&lt;&gt;"","F27-"&amp;COUNT($C$4:C98),"")</f>
        <v/>
      </c>
      <c r="B98" s="9" t="str">
        <f aca="false">IF(OR(F98="LOC - INITIAL",F98="CONSOLIDATION - UPFRONT COMM",F98="REVERSE - TOTAL FUNDING"),A98,"")</f>
        <v/>
      </c>
      <c r="C98" s="10"/>
      <c r="D98" s="11"/>
      <c r="E98" s="11"/>
      <c r="F98" s="11"/>
      <c r="G98" s="12"/>
      <c r="H98" s="13"/>
      <c r="I98" s="11"/>
      <c r="J98" s="14" t="str">
        <f aca="false">IF(AND(G98&lt;&gt;"",H98&lt;&gt;""),G98*H98,"")</f>
        <v/>
      </c>
      <c r="K98" s="11"/>
      <c r="L98" s="15"/>
      <c r="M98" s="15"/>
      <c r="N98" s="14" t="n">
        <f aca="false">IF(OR(G98="",M98=""),0,IF(M98&gt;100,M98,G98*IF(M98&gt;1,M98/100,M98)))</f>
        <v>0</v>
      </c>
      <c r="O98" s="14" t="str">
        <f aca="false">IF(G98="","",G98*IF(L98="",0,IF(L98&gt;1,L98/100,L98))+N98)</f>
        <v/>
      </c>
      <c r="P98" s="11"/>
      <c r="Q98" s="16" t="str">
        <f aca="false">IF(P98="","",IFERROR(VLOOKUP(P98,PARTNERS!$A$2:$B$30,2,0),""))</f>
        <v/>
      </c>
      <c r="R98" s="17" t="str">
        <f aca="false">IF(O98="","",IF(OR(P98="",Q98=""),0,(O98-N98)*IF(Q98&gt;1,Q98/100,Q98)))</f>
        <v/>
      </c>
      <c r="S98" s="14" t="str">
        <f aca="false">IF(O98="","",O98-R98)</f>
        <v/>
      </c>
      <c r="T98" s="11"/>
      <c r="U98" s="18" t="str">
        <f aca="false">IF(T98="","",IFERROR(VLOOKUP(T98,REPS!$A$2:$D$40,2,0),""))</f>
        <v/>
      </c>
      <c r="V98" s="14" t="str">
        <f aca="false">IF(O98="","",IF(U98="",0,O98*IF(U98&gt;1,U98/100,U98)))</f>
        <v/>
      </c>
      <c r="W98" s="11"/>
      <c r="X98" s="18" t="str">
        <f aca="false">IF(W98="","",IFERROR(VLOOKUP(W98,REPS!$A$2:$D$40,3,0),""))</f>
        <v/>
      </c>
      <c r="Y98" s="14" t="str">
        <f aca="false">IF(O98="","",IF(X98="",0,O98*IF(X98&gt;1,X98/100,X98)))</f>
        <v/>
      </c>
      <c r="Z98" s="11"/>
      <c r="AA98" s="18" t="str">
        <f aca="false">IF(Z98="","",IFERROR(VLOOKUP(Z98,REPS!$A$2:$D$40,4,0),""))</f>
        <v/>
      </c>
      <c r="AB98" s="14" t="str">
        <f aca="false">IF(O98="","",IF(AA98="",0,O98*IF(AA98&gt;1,AA98/100,AA98)))</f>
        <v/>
      </c>
      <c r="AC98" s="14" t="str">
        <f aca="false">IF(O98="","",V98+Y98+AB98)</f>
        <v/>
      </c>
      <c r="AD98" s="19" t="str">
        <f aca="false">IF(O98="","",O98-R98-AC98)</f>
        <v/>
      </c>
      <c r="AE98" s="20"/>
      <c r="AF98" s="10"/>
      <c r="AG98" s="21" t="n">
        <f aca="false">IF(OR(AE98="",AE98=0),0,AE98*IF(U98="",0,IF(U98&gt;1,U98/100,U98)))</f>
        <v>0</v>
      </c>
      <c r="AH98" s="21" t="n">
        <f aca="false">IF(OR(AE98="",AE98=0),0,AE98*IF(X98="",0,IF(X98&gt;1,X98/100,X98)))</f>
        <v>0</v>
      </c>
      <c r="AI98" s="21" t="n">
        <f aca="false">IF(OR(AE98="",AE98=0),0,AE98*IF(AA98="",0,IF(AA98&gt;1,AA98/100,AA98)))</f>
        <v>0</v>
      </c>
      <c r="AJ98" s="21" t="n">
        <f aca="false">AG98+AH98+AI98</f>
        <v>0</v>
      </c>
      <c r="AK98" s="21" t="n">
        <f aca="false">IF(OR(AE98="",AE98=0),0,AE98-AJ98)</f>
        <v>0</v>
      </c>
      <c r="AL98" s="19" t="str">
        <f aca="false">IF(AD98="","",AD98-AK98)</f>
        <v/>
      </c>
      <c r="AM98" s="9" t="str">
        <f aca="false">IF(C98="","","Waiting for payment")</f>
        <v/>
      </c>
      <c r="AN98" s="10"/>
      <c r="AO98" s="10"/>
      <c r="AP98" s="22" t="str">
        <f aca="false">IF(OR(C98="",I98="",K98=""),"",IF(K98="Monthly",EDATE(C98,ROUND(I98*SETTINGS!$I$8,0)),WORKDAY(C98,ROUND(I98*SETTINGS!$I$8,0))))</f>
        <v/>
      </c>
      <c r="AQ98" s="9" t="str">
        <f aca="true">IF(C98="","",IF(AND(AP98&lt;&gt;"",TODAY()&gt;=AP98),"Refi Ready",IF(TODAY()-C98&gt;=SETTINGS!$I$11,"Prospecting","Performing")))</f>
        <v/>
      </c>
      <c r="AR98" s="22" t="str">
        <f aca="false">IF(OR(C98="",I98="",K98=""),"",IF(K98="Monthly",EDATE(C98,I98),WORKDAY(C98,I98)))</f>
        <v/>
      </c>
      <c r="AS98" s="11"/>
      <c r="AT98" s="23" t="str">
        <f aca="true">IF(C98="","",IF(AM98="Clawed Back","CLAWED",IF(TODAY()&lt;=C98+SETTINGS!$I$2,"⚠ AT RISK","SAFE")))</f>
        <v/>
      </c>
      <c r="AU98" s="11"/>
      <c r="AW98" s="24" t="n">
        <f aca="false">AW97+IF(AND(C98&lt;&gt;"",AO98&lt;&gt;"",OR('REP COMMISSION'!$B$3="",T98='REP COMMISSION'!$B$3,W98='REP COMMISSION'!$B$3,Z98='REP COMMISSION'!$B$3)),1,0)</f>
        <v>0</v>
      </c>
      <c r="AX98" s="24" t="n">
        <f aca="false">AX97+IF(AND(C98&lt;&gt;"",OR(F98="LOC - INITIAL",F98="CONSOLIDATION - UPFRONT COMM",F98="REVERSE - TOTAL FUNDING")),1,0)</f>
        <v>0</v>
      </c>
    </row>
    <row r="99" customFormat="false" ht="15" hidden="false" customHeight="false" outlineLevel="0" collapsed="false">
      <c r="A99" s="25" t="str">
        <f aca="false">IF(C99&lt;&gt;"","F27-"&amp;COUNT($C$4:C99),"")</f>
        <v/>
      </c>
      <c r="B99" s="26" t="str">
        <f aca="false">IF(OR(F99="LOC - INITIAL",F99="CONSOLIDATION - UPFRONT COMM",F99="REVERSE - TOTAL FUNDING"),A99,"")</f>
        <v/>
      </c>
      <c r="C99" s="27"/>
      <c r="D99" s="28"/>
      <c r="E99" s="28"/>
      <c r="F99" s="28"/>
      <c r="G99" s="29"/>
      <c r="H99" s="30"/>
      <c r="I99" s="28"/>
      <c r="J99" s="31" t="str">
        <f aca="false">IF(AND(G99&lt;&gt;"",H99&lt;&gt;""),G99*H99,"")</f>
        <v/>
      </c>
      <c r="K99" s="28"/>
      <c r="L99" s="32"/>
      <c r="M99" s="32"/>
      <c r="N99" s="31" t="n">
        <f aca="false">IF(OR(G99="",M99=""),0,IF(M99&gt;100,M99,G99*IF(M99&gt;1,M99/100,M99)))</f>
        <v>0</v>
      </c>
      <c r="O99" s="31" t="str">
        <f aca="false">IF(G99="","",G99*IF(L99="",0,IF(L99&gt;1,L99/100,L99))+N99)</f>
        <v/>
      </c>
      <c r="P99" s="28"/>
      <c r="Q99" s="33" t="str">
        <f aca="false">IF(P99="","",IFERROR(VLOOKUP(P99,PARTNERS!$A$2:$B$30,2,0),""))</f>
        <v/>
      </c>
      <c r="R99" s="17" t="str">
        <f aca="false">IF(O99="","",IF(OR(P99="",Q99=""),0,(O99-N99)*IF(Q99&gt;1,Q99/100,Q99)))</f>
        <v/>
      </c>
      <c r="S99" s="31" t="str">
        <f aca="false">IF(O99="","",O99-R99)</f>
        <v/>
      </c>
      <c r="T99" s="28"/>
      <c r="U99" s="34" t="str">
        <f aca="false">IF(T99="","",IFERROR(VLOOKUP(T99,REPS!$A$2:$D$40,2,0),""))</f>
        <v/>
      </c>
      <c r="V99" s="31" t="str">
        <f aca="false">IF(O99="","",IF(U99="",0,O99*IF(U99&gt;1,U99/100,U99)))</f>
        <v/>
      </c>
      <c r="W99" s="28"/>
      <c r="X99" s="34" t="str">
        <f aca="false">IF(W99="","",IFERROR(VLOOKUP(W99,REPS!$A$2:$D$40,3,0),""))</f>
        <v/>
      </c>
      <c r="Y99" s="31" t="str">
        <f aca="false">IF(O99="","",IF(X99="",0,O99*IF(X99&gt;1,X99/100,X99)))</f>
        <v/>
      </c>
      <c r="Z99" s="28"/>
      <c r="AA99" s="34" t="str">
        <f aca="false">IF(Z99="","",IFERROR(VLOOKUP(Z99,REPS!$A$2:$D$40,4,0),""))</f>
        <v/>
      </c>
      <c r="AB99" s="31" t="str">
        <f aca="false">IF(O99="","",IF(AA99="",0,O99*IF(AA99&gt;1,AA99/100,AA99)))</f>
        <v/>
      </c>
      <c r="AC99" s="31" t="str">
        <f aca="false">IF(O99="","",V99+Y99+AB99)</f>
        <v/>
      </c>
      <c r="AD99" s="19" t="str">
        <f aca="false">IF(O99="","",O99-R99-AC99)</f>
        <v/>
      </c>
      <c r="AE99" s="20"/>
      <c r="AF99" s="27"/>
      <c r="AG99" s="21" t="n">
        <f aca="false">IF(OR(AE99="",AE99=0),0,AE99*IF(U99="",0,IF(U99&gt;1,U99/100,U99)))</f>
        <v>0</v>
      </c>
      <c r="AH99" s="21" t="n">
        <f aca="false">IF(OR(AE99="",AE99=0),0,AE99*IF(X99="",0,IF(X99&gt;1,X99/100,X99)))</f>
        <v>0</v>
      </c>
      <c r="AI99" s="21" t="n">
        <f aca="false">IF(OR(AE99="",AE99=0),0,AE99*IF(AA99="",0,IF(AA99&gt;1,AA99/100,AA99)))</f>
        <v>0</v>
      </c>
      <c r="AJ99" s="21" t="n">
        <f aca="false">AG99+AH99+AI99</f>
        <v>0</v>
      </c>
      <c r="AK99" s="21" t="n">
        <f aca="false">IF(OR(AE99="",AE99=0),0,AE99-AJ99)</f>
        <v>0</v>
      </c>
      <c r="AL99" s="19" t="str">
        <f aca="false">IF(AD99="","",AD99-AK99)</f>
        <v/>
      </c>
      <c r="AM99" s="26" t="str">
        <f aca="false">IF(C99="","","Waiting for payment")</f>
        <v/>
      </c>
      <c r="AN99" s="27"/>
      <c r="AO99" s="27"/>
      <c r="AP99" s="35" t="str">
        <f aca="false">IF(OR(C99="",I99="",K99=""),"",IF(K99="Monthly",EDATE(C99,ROUND(I99*SETTINGS!$I$8,0)),WORKDAY(C99,ROUND(I99*SETTINGS!$I$8,0))))</f>
        <v/>
      </c>
      <c r="AQ99" s="26" t="str">
        <f aca="true">IF(C99="","",IF(AND(AP99&lt;&gt;"",TODAY()&gt;=AP99),"Refi Ready",IF(TODAY()-C99&gt;=SETTINGS!$I$11,"Prospecting","Performing")))</f>
        <v/>
      </c>
      <c r="AR99" s="35" t="str">
        <f aca="false">IF(OR(C99="",I99="",K99=""),"",IF(K99="Monthly",EDATE(C99,I99),WORKDAY(C99,I99)))</f>
        <v/>
      </c>
      <c r="AS99" s="28"/>
      <c r="AT99" s="36" t="str">
        <f aca="true">IF(C99="","",IF(AM99="Clawed Back","CLAWED",IF(TODAY()&lt;=C99+SETTINGS!$I$2,"⚠ AT RISK","SAFE")))</f>
        <v/>
      </c>
      <c r="AU99" s="28"/>
      <c r="AW99" s="24" t="n">
        <f aca="false">AW98+IF(AND(C99&lt;&gt;"",AO99&lt;&gt;"",OR('REP COMMISSION'!$B$3="",T99='REP COMMISSION'!$B$3,W99='REP COMMISSION'!$B$3,Z99='REP COMMISSION'!$B$3)),1,0)</f>
        <v>0</v>
      </c>
      <c r="AX99" s="24" t="n">
        <f aca="false">AX98+IF(AND(C99&lt;&gt;"",OR(F99="LOC - INITIAL",F99="CONSOLIDATION - UPFRONT COMM",F99="REVERSE - TOTAL FUNDING")),1,0)</f>
        <v>0</v>
      </c>
    </row>
    <row r="100" customFormat="false" ht="15" hidden="false" customHeight="false" outlineLevel="0" collapsed="false">
      <c r="A100" s="8" t="str">
        <f aca="false">IF(C100&lt;&gt;"","F27-"&amp;COUNT($C$4:C100),"")</f>
        <v/>
      </c>
      <c r="B100" s="9" t="str">
        <f aca="false">IF(OR(F100="LOC - INITIAL",F100="CONSOLIDATION - UPFRONT COMM",F100="REVERSE - TOTAL FUNDING"),A100,"")</f>
        <v/>
      </c>
      <c r="C100" s="10"/>
      <c r="D100" s="11"/>
      <c r="E100" s="11"/>
      <c r="F100" s="11"/>
      <c r="G100" s="12"/>
      <c r="H100" s="13"/>
      <c r="I100" s="11"/>
      <c r="J100" s="14" t="str">
        <f aca="false">IF(AND(G100&lt;&gt;"",H100&lt;&gt;""),G100*H100,"")</f>
        <v/>
      </c>
      <c r="K100" s="11"/>
      <c r="L100" s="15"/>
      <c r="M100" s="15"/>
      <c r="N100" s="14" t="n">
        <f aca="false">IF(OR(G100="",M100=""),0,IF(M100&gt;100,M100,G100*IF(M100&gt;1,M100/100,M100)))</f>
        <v>0</v>
      </c>
      <c r="O100" s="14" t="str">
        <f aca="false">IF(G100="","",G100*IF(L100="",0,IF(L100&gt;1,L100/100,L100))+N100)</f>
        <v/>
      </c>
      <c r="P100" s="11"/>
      <c r="Q100" s="16" t="str">
        <f aca="false">IF(P100="","",IFERROR(VLOOKUP(P100,PARTNERS!$A$2:$B$30,2,0),""))</f>
        <v/>
      </c>
      <c r="R100" s="17" t="str">
        <f aca="false">IF(O100="","",IF(OR(P100="",Q100=""),0,(O100-N100)*IF(Q100&gt;1,Q100/100,Q100)))</f>
        <v/>
      </c>
      <c r="S100" s="14" t="str">
        <f aca="false">IF(O100="","",O100-R100)</f>
        <v/>
      </c>
      <c r="T100" s="11"/>
      <c r="U100" s="18" t="str">
        <f aca="false">IF(T100="","",IFERROR(VLOOKUP(T100,REPS!$A$2:$D$40,2,0),""))</f>
        <v/>
      </c>
      <c r="V100" s="14" t="str">
        <f aca="false">IF(O100="","",IF(U100="",0,O100*IF(U100&gt;1,U100/100,U100)))</f>
        <v/>
      </c>
      <c r="W100" s="11"/>
      <c r="X100" s="18" t="str">
        <f aca="false">IF(W100="","",IFERROR(VLOOKUP(W100,REPS!$A$2:$D$40,3,0),""))</f>
        <v/>
      </c>
      <c r="Y100" s="14" t="str">
        <f aca="false">IF(O100="","",IF(X100="",0,O100*IF(X100&gt;1,X100/100,X100)))</f>
        <v/>
      </c>
      <c r="Z100" s="11"/>
      <c r="AA100" s="18" t="str">
        <f aca="false">IF(Z100="","",IFERROR(VLOOKUP(Z100,REPS!$A$2:$D$40,4,0),""))</f>
        <v/>
      </c>
      <c r="AB100" s="14" t="str">
        <f aca="false">IF(O100="","",IF(AA100="",0,O100*IF(AA100&gt;1,AA100/100,AA100)))</f>
        <v/>
      </c>
      <c r="AC100" s="14" t="str">
        <f aca="false">IF(O100="","",V100+Y100+AB100)</f>
        <v/>
      </c>
      <c r="AD100" s="19" t="str">
        <f aca="false">IF(O100="","",O100-R100-AC100)</f>
        <v/>
      </c>
      <c r="AE100" s="20"/>
      <c r="AF100" s="10"/>
      <c r="AG100" s="21" t="n">
        <f aca="false">IF(OR(AE100="",AE100=0),0,AE100*IF(U100="",0,IF(U100&gt;1,U100/100,U100)))</f>
        <v>0</v>
      </c>
      <c r="AH100" s="21" t="n">
        <f aca="false">IF(OR(AE100="",AE100=0),0,AE100*IF(X100="",0,IF(X100&gt;1,X100/100,X100)))</f>
        <v>0</v>
      </c>
      <c r="AI100" s="21" t="n">
        <f aca="false">IF(OR(AE100="",AE100=0),0,AE100*IF(AA100="",0,IF(AA100&gt;1,AA100/100,AA100)))</f>
        <v>0</v>
      </c>
      <c r="AJ100" s="21" t="n">
        <f aca="false">AG100+AH100+AI100</f>
        <v>0</v>
      </c>
      <c r="AK100" s="21" t="n">
        <f aca="false">IF(OR(AE100="",AE100=0),0,AE100-AJ100)</f>
        <v>0</v>
      </c>
      <c r="AL100" s="19" t="str">
        <f aca="false">IF(AD100="","",AD100-AK100)</f>
        <v/>
      </c>
      <c r="AM100" s="9" t="str">
        <f aca="false">IF(C100="","","Waiting for payment")</f>
        <v/>
      </c>
      <c r="AN100" s="10"/>
      <c r="AO100" s="10"/>
      <c r="AP100" s="22" t="str">
        <f aca="false">IF(OR(C100="",I100="",K100=""),"",IF(K100="Monthly",EDATE(C100,ROUND(I100*SETTINGS!$I$8,0)),WORKDAY(C100,ROUND(I100*SETTINGS!$I$8,0))))</f>
        <v/>
      </c>
      <c r="AQ100" s="9" t="str">
        <f aca="true">IF(C100="","",IF(AND(AP100&lt;&gt;"",TODAY()&gt;=AP100),"Refi Ready",IF(TODAY()-C100&gt;=SETTINGS!$I$11,"Prospecting","Performing")))</f>
        <v/>
      </c>
      <c r="AR100" s="22" t="str">
        <f aca="false">IF(OR(C100="",I100="",K100=""),"",IF(K100="Monthly",EDATE(C100,I100),WORKDAY(C100,I100)))</f>
        <v/>
      </c>
      <c r="AS100" s="11"/>
      <c r="AT100" s="23" t="str">
        <f aca="true">IF(C100="","",IF(AM100="Clawed Back","CLAWED",IF(TODAY()&lt;=C100+SETTINGS!$I$2,"⚠ AT RISK","SAFE")))</f>
        <v/>
      </c>
      <c r="AU100" s="11"/>
      <c r="AW100" s="24" t="n">
        <f aca="false">AW99+IF(AND(C100&lt;&gt;"",AO100&lt;&gt;"",OR('REP COMMISSION'!$B$3="",T100='REP COMMISSION'!$B$3,W100='REP COMMISSION'!$B$3,Z100='REP COMMISSION'!$B$3)),1,0)</f>
        <v>0</v>
      </c>
      <c r="AX100" s="24" t="n">
        <f aca="false">AX99+IF(AND(C100&lt;&gt;"",OR(F100="LOC - INITIAL",F100="CONSOLIDATION - UPFRONT COMM",F100="REVERSE - TOTAL FUNDING")),1,0)</f>
        <v>0</v>
      </c>
    </row>
    <row r="101" customFormat="false" ht="15" hidden="false" customHeight="false" outlineLevel="0" collapsed="false">
      <c r="A101" s="25" t="str">
        <f aca="false">IF(C101&lt;&gt;"","F27-"&amp;COUNT($C$4:C101),"")</f>
        <v/>
      </c>
      <c r="B101" s="26" t="str">
        <f aca="false">IF(OR(F101="LOC - INITIAL",F101="CONSOLIDATION - UPFRONT COMM",F101="REVERSE - TOTAL FUNDING"),A101,"")</f>
        <v/>
      </c>
      <c r="C101" s="27"/>
      <c r="D101" s="28"/>
      <c r="E101" s="28"/>
      <c r="F101" s="28"/>
      <c r="G101" s="29"/>
      <c r="H101" s="30"/>
      <c r="I101" s="28"/>
      <c r="J101" s="31" t="str">
        <f aca="false">IF(AND(G101&lt;&gt;"",H101&lt;&gt;""),G101*H101,"")</f>
        <v/>
      </c>
      <c r="K101" s="28"/>
      <c r="L101" s="32"/>
      <c r="M101" s="32"/>
      <c r="N101" s="31" t="n">
        <f aca="false">IF(OR(G101="",M101=""),0,IF(M101&gt;100,M101,G101*IF(M101&gt;1,M101/100,M101)))</f>
        <v>0</v>
      </c>
      <c r="O101" s="31" t="str">
        <f aca="false">IF(G101="","",G101*IF(L101="",0,IF(L101&gt;1,L101/100,L101))+N101)</f>
        <v/>
      </c>
      <c r="P101" s="28"/>
      <c r="Q101" s="33" t="str">
        <f aca="false">IF(P101="","",IFERROR(VLOOKUP(P101,PARTNERS!$A$2:$B$30,2,0),""))</f>
        <v/>
      </c>
      <c r="R101" s="17" t="str">
        <f aca="false">IF(O101="","",IF(OR(P101="",Q101=""),0,(O101-N101)*IF(Q101&gt;1,Q101/100,Q101)))</f>
        <v/>
      </c>
      <c r="S101" s="31" t="str">
        <f aca="false">IF(O101="","",O101-R101)</f>
        <v/>
      </c>
      <c r="T101" s="28"/>
      <c r="U101" s="34" t="str">
        <f aca="false">IF(T101="","",IFERROR(VLOOKUP(T101,REPS!$A$2:$D$40,2,0),""))</f>
        <v/>
      </c>
      <c r="V101" s="31" t="str">
        <f aca="false">IF(O101="","",IF(U101="",0,O101*IF(U101&gt;1,U101/100,U101)))</f>
        <v/>
      </c>
      <c r="W101" s="28"/>
      <c r="X101" s="34" t="str">
        <f aca="false">IF(W101="","",IFERROR(VLOOKUP(W101,REPS!$A$2:$D$40,3,0),""))</f>
        <v/>
      </c>
      <c r="Y101" s="31" t="str">
        <f aca="false">IF(O101="","",IF(X101="",0,O101*IF(X101&gt;1,X101/100,X101)))</f>
        <v/>
      </c>
      <c r="Z101" s="28"/>
      <c r="AA101" s="34" t="str">
        <f aca="false">IF(Z101="","",IFERROR(VLOOKUP(Z101,REPS!$A$2:$D$40,4,0),""))</f>
        <v/>
      </c>
      <c r="AB101" s="31" t="str">
        <f aca="false">IF(O101="","",IF(AA101="",0,O101*IF(AA101&gt;1,AA101/100,AA101)))</f>
        <v/>
      </c>
      <c r="AC101" s="31" t="str">
        <f aca="false">IF(O101="","",V101+Y101+AB101)</f>
        <v/>
      </c>
      <c r="AD101" s="19" t="str">
        <f aca="false">IF(O101="","",O101-R101-AC101)</f>
        <v/>
      </c>
      <c r="AE101" s="20"/>
      <c r="AF101" s="27"/>
      <c r="AG101" s="21" t="n">
        <f aca="false">IF(OR(AE101="",AE101=0),0,AE101*IF(U101="",0,IF(U101&gt;1,U101/100,U101)))</f>
        <v>0</v>
      </c>
      <c r="AH101" s="21" t="n">
        <f aca="false">IF(OR(AE101="",AE101=0),0,AE101*IF(X101="",0,IF(X101&gt;1,X101/100,X101)))</f>
        <v>0</v>
      </c>
      <c r="AI101" s="21" t="n">
        <f aca="false">IF(OR(AE101="",AE101=0),0,AE101*IF(AA101="",0,IF(AA101&gt;1,AA101/100,AA101)))</f>
        <v>0</v>
      </c>
      <c r="AJ101" s="21" t="n">
        <f aca="false">AG101+AH101+AI101</f>
        <v>0</v>
      </c>
      <c r="AK101" s="21" t="n">
        <f aca="false">IF(OR(AE101="",AE101=0),0,AE101-AJ101)</f>
        <v>0</v>
      </c>
      <c r="AL101" s="19" t="str">
        <f aca="false">IF(AD101="","",AD101-AK101)</f>
        <v/>
      </c>
      <c r="AM101" s="26" t="str">
        <f aca="false">IF(C101="","","Waiting for payment")</f>
        <v/>
      </c>
      <c r="AN101" s="27"/>
      <c r="AO101" s="27"/>
      <c r="AP101" s="35" t="str">
        <f aca="false">IF(OR(C101="",I101="",K101=""),"",IF(K101="Monthly",EDATE(C101,ROUND(I101*SETTINGS!$I$8,0)),WORKDAY(C101,ROUND(I101*SETTINGS!$I$8,0))))</f>
        <v/>
      </c>
      <c r="AQ101" s="26" t="str">
        <f aca="true">IF(C101="","",IF(AND(AP101&lt;&gt;"",TODAY()&gt;=AP101),"Refi Ready",IF(TODAY()-C101&gt;=SETTINGS!$I$11,"Prospecting","Performing")))</f>
        <v/>
      </c>
      <c r="AR101" s="35" t="str">
        <f aca="false">IF(OR(C101="",I101="",K101=""),"",IF(K101="Monthly",EDATE(C101,I101),WORKDAY(C101,I101)))</f>
        <v/>
      </c>
      <c r="AS101" s="28"/>
      <c r="AT101" s="36" t="str">
        <f aca="true">IF(C101="","",IF(AM101="Clawed Back","CLAWED",IF(TODAY()&lt;=C101+SETTINGS!$I$2,"⚠ AT RISK","SAFE")))</f>
        <v/>
      </c>
      <c r="AU101" s="28"/>
      <c r="AW101" s="24" t="n">
        <f aca="false">AW100+IF(AND(C101&lt;&gt;"",AO101&lt;&gt;"",OR('REP COMMISSION'!$B$3="",T101='REP COMMISSION'!$B$3,W101='REP COMMISSION'!$B$3,Z101='REP COMMISSION'!$B$3)),1,0)</f>
        <v>0</v>
      </c>
      <c r="AX101" s="24" t="n">
        <f aca="false">AX100+IF(AND(C101&lt;&gt;"",OR(F101="LOC - INITIAL",F101="CONSOLIDATION - UPFRONT COMM",F101="REVERSE - TOTAL FUNDING")),1,0)</f>
        <v>0</v>
      </c>
    </row>
    <row r="102" customFormat="false" ht="15" hidden="false" customHeight="false" outlineLevel="0" collapsed="false">
      <c r="A102" s="8" t="str">
        <f aca="false">IF(C102&lt;&gt;"","F27-"&amp;COUNT($C$4:C102),"")</f>
        <v/>
      </c>
      <c r="B102" s="9" t="str">
        <f aca="false">IF(OR(F102="LOC - INITIAL",F102="CONSOLIDATION - UPFRONT COMM",F102="REVERSE - TOTAL FUNDING"),A102,"")</f>
        <v/>
      </c>
      <c r="C102" s="10"/>
      <c r="D102" s="11"/>
      <c r="E102" s="11"/>
      <c r="F102" s="11"/>
      <c r="G102" s="12"/>
      <c r="H102" s="13"/>
      <c r="I102" s="11"/>
      <c r="J102" s="14" t="str">
        <f aca="false">IF(AND(G102&lt;&gt;"",H102&lt;&gt;""),G102*H102,"")</f>
        <v/>
      </c>
      <c r="K102" s="11"/>
      <c r="L102" s="15"/>
      <c r="M102" s="15"/>
      <c r="N102" s="14" t="n">
        <f aca="false">IF(OR(G102="",M102=""),0,IF(M102&gt;100,M102,G102*IF(M102&gt;1,M102/100,M102)))</f>
        <v>0</v>
      </c>
      <c r="O102" s="14" t="str">
        <f aca="false">IF(G102="","",G102*IF(L102="",0,IF(L102&gt;1,L102/100,L102))+N102)</f>
        <v/>
      </c>
      <c r="P102" s="11"/>
      <c r="Q102" s="16" t="str">
        <f aca="false">IF(P102="","",IFERROR(VLOOKUP(P102,PARTNERS!$A$2:$B$30,2,0),""))</f>
        <v/>
      </c>
      <c r="R102" s="17" t="str">
        <f aca="false">IF(O102="","",IF(OR(P102="",Q102=""),0,(O102-N102)*IF(Q102&gt;1,Q102/100,Q102)))</f>
        <v/>
      </c>
      <c r="S102" s="14" t="str">
        <f aca="false">IF(O102="","",O102-R102)</f>
        <v/>
      </c>
      <c r="T102" s="11"/>
      <c r="U102" s="18" t="str">
        <f aca="false">IF(T102="","",IFERROR(VLOOKUP(T102,REPS!$A$2:$D$40,2,0),""))</f>
        <v/>
      </c>
      <c r="V102" s="14" t="str">
        <f aca="false">IF(O102="","",IF(U102="",0,O102*IF(U102&gt;1,U102/100,U102)))</f>
        <v/>
      </c>
      <c r="W102" s="11"/>
      <c r="X102" s="18" t="str">
        <f aca="false">IF(W102="","",IFERROR(VLOOKUP(W102,REPS!$A$2:$D$40,3,0),""))</f>
        <v/>
      </c>
      <c r="Y102" s="14" t="str">
        <f aca="false">IF(O102="","",IF(X102="",0,O102*IF(X102&gt;1,X102/100,X102)))</f>
        <v/>
      </c>
      <c r="Z102" s="11"/>
      <c r="AA102" s="18" t="str">
        <f aca="false">IF(Z102="","",IFERROR(VLOOKUP(Z102,REPS!$A$2:$D$40,4,0),""))</f>
        <v/>
      </c>
      <c r="AB102" s="14" t="str">
        <f aca="false">IF(O102="","",IF(AA102="",0,O102*IF(AA102&gt;1,AA102/100,AA102)))</f>
        <v/>
      </c>
      <c r="AC102" s="14" t="str">
        <f aca="false">IF(O102="","",V102+Y102+AB102)</f>
        <v/>
      </c>
      <c r="AD102" s="19" t="str">
        <f aca="false">IF(O102="","",O102-R102-AC102)</f>
        <v/>
      </c>
      <c r="AE102" s="20"/>
      <c r="AF102" s="10"/>
      <c r="AG102" s="21" t="n">
        <f aca="false">IF(OR(AE102="",AE102=0),0,AE102*IF(U102="",0,IF(U102&gt;1,U102/100,U102)))</f>
        <v>0</v>
      </c>
      <c r="AH102" s="21" t="n">
        <f aca="false">IF(OR(AE102="",AE102=0),0,AE102*IF(X102="",0,IF(X102&gt;1,X102/100,X102)))</f>
        <v>0</v>
      </c>
      <c r="AI102" s="21" t="n">
        <f aca="false">IF(OR(AE102="",AE102=0),0,AE102*IF(AA102="",0,IF(AA102&gt;1,AA102/100,AA102)))</f>
        <v>0</v>
      </c>
      <c r="AJ102" s="21" t="n">
        <f aca="false">AG102+AH102+AI102</f>
        <v>0</v>
      </c>
      <c r="AK102" s="21" t="n">
        <f aca="false">IF(OR(AE102="",AE102=0),0,AE102-AJ102)</f>
        <v>0</v>
      </c>
      <c r="AL102" s="19" t="str">
        <f aca="false">IF(AD102="","",AD102-AK102)</f>
        <v/>
      </c>
      <c r="AM102" s="9" t="str">
        <f aca="false">IF(C102="","","Waiting for payment")</f>
        <v/>
      </c>
      <c r="AN102" s="10"/>
      <c r="AO102" s="10"/>
      <c r="AP102" s="22" t="str">
        <f aca="false">IF(OR(C102="",I102="",K102=""),"",IF(K102="Monthly",EDATE(C102,ROUND(I102*SETTINGS!$I$8,0)),WORKDAY(C102,ROUND(I102*SETTINGS!$I$8,0))))</f>
        <v/>
      </c>
      <c r="AQ102" s="9" t="str">
        <f aca="true">IF(C102="","",IF(AND(AP102&lt;&gt;"",TODAY()&gt;=AP102),"Refi Ready",IF(TODAY()-C102&gt;=SETTINGS!$I$11,"Prospecting","Performing")))</f>
        <v/>
      </c>
      <c r="AR102" s="22" t="str">
        <f aca="false">IF(OR(C102="",I102="",K102=""),"",IF(K102="Monthly",EDATE(C102,I102),WORKDAY(C102,I102)))</f>
        <v/>
      </c>
      <c r="AS102" s="11"/>
      <c r="AT102" s="23" t="str">
        <f aca="true">IF(C102="","",IF(AM102="Clawed Back","CLAWED",IF(TODAY()&lt;=C102+SETTINGS!$I$2,"⚠ AT RISK","SAFE")))</f>
        <v/>
      </c>
      <c r="AU102" s="11"/>
      <c r="AW102" s="24" t="n">
        <f aca="false">AW101+IF(AND(C102&lt;&gt;"",AO102&lt;&gt;"",OR('REP COMMISSION'!$B$3="",T102='REP COMMISSION'!$B$3,W102='REP COMMISSION'!$B$3,Z102='REP COMMISSION'!$B$3)),1,0)</f>
        <v>0</v>
      </c>
      <c r="AX102" s="24" t="n">
        <f aca="false">AX101+IF(AND(C102&lt;&gt;"",OR(F102="LOC - INITIAL",F102="CONSOLIDATION - UPFRONT COMM",F102="REVERSE - TOTAL FUNDING")),1,0)</f>
        <v>0</v>
      </c>
    </row>
    <row r="103" customFormat="false" ht="15" hidden="false" customHeight="false" outlineLevel="0" collapsed="false">
      <c r="A103" s="25" t="str">
        <f aca="false">IF(C103&lt;&gt;"","F27-"&amp;COUNT($C$4:C103),"")</f>
        <v/>
      </c>
      <c r="B103" s="26" t="str">
        <f aca="false">IF(OR(F103="LOC - INITIAL",F103="CONSOLIDATION - UPFRONT COMM",F103="REVERSE - TOTAL FUNDING"),A103,"")</f>
        <v/>
      </c>
      <c r="C103" s="27"/>
      <c r="D103" s="28"/>
      <c r="E103" s="28"/>
      <c r="F103" s="28"/>
      <c r="G103" s="29"/>
      <c r="H103" s="30"/>
      <c r="I103" s="28"/>
      <c r="J103" s="31" t="str">
        <f aca="false">IF(AND(G103&lt;&gt;"",H103&lt;&gt;""),G103*H103,"")</f>
        <v/>
      </c>
      <c r="K103" s="28"/>
      <c r="L103" s="32"/>
      <c r="M103" s="32"/>
      <c r="N103" s="31" t="n">
        <f aca="false">IF(OR(G103="",M103=""),0,IF(M103&gt;100,M103,G103*IF(M103&gt;1,M103/100,M103)))</f>
        <v>0</v>
      </c>
      <c r="O103" s="31" t="str">
        <f aca="false">IF(G103="","",G103*IF(L103="",0,IF(L103&gt;1,L103/100,L103))+N103)</f>
        <v/>
      </c>
      <c r="P103" s="28"/>
      <c r="Q103" s="33" t="str">
        <f aca="false">IF(P103="","",IFERROR(VLOOKUP(P103,PARTNERS!$A$2:$B$30,2,0),""))</f>
        <v/>
      </c>
      <c r="R103" s="17" t="str">
        <f aca="false">IF(O103="","",IF(OR(P103="",Q103=""),0,(O103-N103)*IF(Q103&gt;1,Q103/100,Q103)))</f>
        <v/>
      </c>
      <c r="S103" s="31" t="str">
        <f aca="false">IF(O103="","",O103-R103)</f>
        <v/>
      </c>
      <c r="T103" s="28"/>
      <c r="U103" s="34" t="str">
        <f aca="false">IF(T103="","",IFERROR(VLOOKUP(T103,REPS!$A$2:$D$40,2,0),""))</f>
        <v/>
      </c>
      <c r="V103" s="31" t="str">
        <f aca="false">IF(O103="","",IF(U103="",0,O103*IF(U103&gt;1,U103/100,U103)))</f>
        <v/>
      </c>
      <c r="W103" s="28"/>
      <c r="X103" s="34" t="str">
        <f aca="false">IF(W103="","",IFERROR(VLOOKUP(W103,REPS!$A$2:$D$40,3,0),""))</f>
        <v/>
      </c>
      <c r="Y103" s="31" t="str">
        <f aca="false">IF(O103="","",IF(X103="",0,O103*IF(X103&gt;1,X103/100,X103)))</f>
        <v/>
      </c>
      <c r="Z103" s="28"/>
      <c r="AA103" s="34" t="str">
        <f aca="false">IF(Z103="","",IFERROR(VLOOKUP(Z103,REPS!$A$2:$D$40,4,0),""))</f>
        <v/>
      </c>
      <c r="AB103" s="31" t="str">
        <f aca="false">IF(O103="","",IF(AA103="",0,O103*IF(AA103&gt;1,AA103/100,AA103)))</f>
        <v/>
      </c>
      <c r="AC103" s="31" t="str">
        <f aca="false">IF(O103="","",V103+Y103+AB103)</f>
        <v/>
      </c>
      <c r="AD103" s="19" t="str">
        <f aca="false">IF(O103="","",O103-R103-AC103)</f>
        <v/>
      </c>
      <c r="AE103" s="20"/>
      <c r="AF103" s="27"/>
      <c r="AG103" s="21" t="n">
        <f aca="false">IF(OR(AE103="",AE103=0),0,AE103*IF(U103="",0,IF(U103&gt;1,U103/100,U103)))</f>
        <v>0</v>
      </c>
      <c r="AH103" s="21" t="n">
        <f aca="false">IF(OR(AE103="",AE103=0),0,AE103*IF(X103="",0,IF(X103&gt;1,X103/100,X103)))</f>
        <v>0</v>
      </c>
      <c r="AI103" s="21" t="n">
        <f aca="false">IF(OR(AE103="",AE103=0),0,AE103*IF(AA103="",0,IF(AA103&gt;1,AA103/100,AA103)))</f>
        <v>0</v>
      </c>
      <c r="AJ103" s="21" t="n">
        <f aca="false">AG103+AH103+AI103</f>
        <v>0</v>
      </c>
      <c r="AK103" s="21" t="n">
        <f aca="false">IF(OR(AE103="",AE103=0),0,AE103-AJ103)</f>
        <v>0</v>
      </c>
      <c r="AL103" s="19" t="str">
        <f aca="false">IF(AD103="","",AD103-AK103)</f>
        <v/>
      </c>
      <c r="AM103" s="26" t="str">
        <f aca="false">IF(C103="","","Waiting for payment")</f>
        <v/>
      </c>
      <c r="AN103" s="27"/>
      <c r="AO103" s="27"/>
      <c r="AP103" s="35" t="str">
        <f aca="false">IF(OR(C103="",I103="",K103=""),"",IF(K103="Monthly",EDATE(C103,ROUND(I103*SETTINGS!$I$8,0)),WORKDAY(C103,ROUND(I103*SETTINGS!$I$8,0))))</f>
        <v/>
      </c>
      <c r="AQ103" s="26" t="str">
        <f aca="true">IF(C103="","",IF(AND(AP103&lt;&gt;"",TODAY()&gt;=AP103),"Refi Ready",IF(TODAY()-C103&gt;=SETTINGS!$I$11,"Prospecting","Performing")))</f>
        <v/>
      </c>
      <c r="AR103" s="35" t="str">
        <f aca="false">IF(OR(C103="",I103="",K103=""),"",IF(K103="Monthly",EDATE(C103,I103),WORKDAY(C103,I103)))</f>
        <v/>
      </c>
      <c r="AS103" s="28"/>
      <c r="AT103" s="36" t="str">
        <f aca="true">IF(C103="","",IF(AM103="Clawed Back","CLAWED",IF(TODAY()&lt;=C103+SETTINGS!$I$2,"⚠ AT RISK","SAFE")))</f>
        <v/>
      </c>
      <c r="AU103" s="28"/>
      <c r="AW103" s="24" t="n">
        <f aca="false">AW102+IF(AND(C103&lt;&gt;"",AO103&lt;&gt;"",OR('REP COMMISSION'!$B$3="",T103='REP COMMISSION'!$B$3,W103='REP COMMISSION'!$B$3,Z103='REP COMMISSION'!$B$3)),1,0)</f>
        <v>0</v>
      </c>
      <c r="AX103" s="24" t="n">
        <f aca="false">AX102+IF(AND(C103&lt;&gt;"",OR(F103="LOC - INITIAL",F103="CONSOLIDATION - UPFRONT COMM",F103="REVERSE - TOTAL FUNDING")),1,0)</f>
        <v>0</v>
      </c>
    </row>
    <row r="104" customFormat="false" ht="18" hidden="false" customHeight="true" outlineLevel="0" collapsed="false">
      <c r="A104" s="37" t="s">
        <v>68</v>
      </c>
      <c r="B104" s="38"/>
      <c r="C104" s="38"/>
      <c r="D104" s="37" t="str">
        <f aca="false">COUNT(C4:C103)&amp;" units"</f>
        <v>0 units</v>
      </c>
      <c r="E104" s="38"/>
      <c r="F104" s="38"/>
      <c r="G104" s="39" t="n">
        <f aca="false">SUM(G4:G103)</f>
        <v>0</v>
      </c>
      <c r="H104" s="38"/>
      <c r="I104" s="38"/>
      <c r="J104" s="38"/>
      <c r="K104" s="38"/>
      <c r="L104" s="38"/>
      <c r="M104" s="38"/>
      <c r="N104" s="39" t="n">
        <f aca="false">SUM(N4:N103)</f>
        <v>0</v>
      </c>
      <c r="O104" s="39" t="n">
        <f aca="false">SUM(O4:O103)</f>
        <v>0</v>
      </c>
      <c r="P104" s="38"/>
      <c r="Q104" s="38"/>
      <c r="R104" s="39" t="n">
        <f aca="false">SUM(R4:R103)</f>
        <v>0</v>
      </c>
      <c r="S104" s="39" t="n">
        <f aca="false">SUM(S4:S103)</f>
        <v>0</v>
      </c>
      <c r="T104" s="38"/>
      <c r="U104" s="38"/>
      <c r="V104" s="38"/>
      <c r="W104" s="38"/>
      <c r="X104" s="38"/>
      <c r="Y104" s="38"/>
      <c r="Z104" s="38"/>
      <c r="AA104" s="38"/>
      <c r="AB104" s="38"/>
      <c r="AC104" s="39" t="n">
        <f aca="false">SUM(AC4:AC103)</f>
        <v>0</v>
      </c>
      <c r="AD104" s="39" t="n">
        <f aca="false">SUM(AD4:AD103)</f>
        <v>0</v>
      </c>
      <c r="AE104" s="39" t="n">
        <f aca="false">SUM(AE4:AE103)</f>
        <v>0</v>
      </c>
      <c r="AF104" s="38"/>
      <c r="AG104" s="38"/>
      <c r="AH104" s="38"/>
      <c r="AI104" s="38"/>
      <c r="AJ104" s="39" t="n">
        <f aca="false">SUM(AJ4:AJ103)</f>
        <v>0</v>
      </c>
      <c r="AK104" s="39" t="n">
        <f aca="false">SUM(AK4:AK103)</f>
        <v>0</v>
      </c>
      <c r="AL104" s="39" t="n">
        <f aca="false">SUM(AL4:AL103)</f>
        <v>0</v>
      </c>
      <c r="AM104" s="38"/>
      <c r="AN104" s="38"/>
      <c r="AO104" s="38"/>
      <c r="AP104" s="38"/>
      <c r="AQ104" s="38"/>
      <c r="AR104" s="38"/>
      <c r="AS104" s="38"/>
      <c r="AT104" s="38"/>
      <c r="AU104" s="38"/>
      <c r="AW104" s="24" t="n">
        <f aca="false">AW103</f>
        <v>0</v>
      </c>
      <c r="AX104" s="24" t="n">
        <f aca="false">AX103</f>
        <v>0</v>
      </c>
    </row>
    <row r="105" customFormat="false" ht="19.5" hidden="false" customHeight="true" outlineLevel="0" collapsed="false">
      <c r="A105" s="6" t="s">
        <v>69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W105" s="24" t="n">
        <f aca="false">AW104</f>
        <v>0</v>
      </c>
      <c r="AX105" s="24" t="n">
        <f aca="false">AX104</f>
        <v>0</v>
      </c>
    </row>
    <row r="106" customFormat="false" ht="15" hidden="false" customHeight="false" outlineLevel="0" collapsed="false">
      <c r="A106" s="8" t="str">
        <f aca="false">IF(C106&lt;&gt;"","F27-"&amp;COUNT($C$4:C106),"")</f>
        <v/>
      </c>
      <c r="B106" s="9" t="str">
        <f aca="false">IF(OR(F106="LOC - INITIAL",F106="CONSOLIDATION - UPFRONT COMM",F106="REVERSE - TOTAL FUNDING"),A106,"")</f>
        <v/>
      </c>
      <c r="C106" s="10"/>
      <c r="D106" s="11"/>
      <c r="E106" s="11"/>
      <c r="F106" s="11"/>
      <c r="G106" s="12"/>
      <c r="H106" s="13"/>
      <c r="I106" s="11"/>
      <c r="J106" s="14" t="str">
        <f aca="false">IF(AND(G106&lt;&gt;"",H106&lt;&gt;""),G106*H106,"")</f>
        <v/>
      </c>
      <c r="K106" s="11"/>
      <c r="L106" s="15"/>
      <c r="M106" s="15"/>
      <c r="N106" s="14" t="n">
        <f aca="false">IF(OR(G106="",M106=""),0,IF(M106&gt;100,M106,G106*IF(M106&gt;1,M106/100,M106)))</f>
        <v>0</v>
      </c>
      <c r="O106" s="14" t="str">
        <f aca="false">IF(G106="","",G106*IF(L106="",0,IF(L106&gt;1,L106/100,L106))+N106)</f>
        <v/>
      </c>
      <c r="P106" s="11"/>
      <c r="Q106" s="16" t="str">
        <f aca="false">IF(P106="","",IFERROR(VLOOKUP(P106,PARTNERS!$A$2:$B$30,2,0),""))</f>
        <v/>
      </c>
      <c r="R106" s="17" t="str">
        <f aca="false">IF(O106="","",IF(OR(P106="",Q106=""),0,(O106-N106)*IF(Q106&gt;1,Q106/100,Q106)))</f>
        <v/>
      </c>
      <c r="S106" s="14" t="str">
        <f aca="false">IF(O106="","",O106-R106)</f>
        <v/>
      </c>
      <c r="T106" s="11"/>
      <c r="U106" s="18" t="str">
        <f aca="false">IF(T106="","",IFERROR(VLOOKUP(T106,REPS!$A$2:$D$40,2,0),""))</f>
        <v/>
      </c>
      <c r="V106" s="14" t="str">
        <f aca="false">IF(O106="","",IF(U106="",0,O106*IF(U106&gt;1,U106/100,U106)))</f>
        <v/>
      </c>
      <c r="W106" s="11"/>
      <c r="X106" s="18" t="str">
        <f aca="false">IF(W106="","",IFERROR(VLOOKUP(W106,REPS!$A$2:$D$40,3,0),""))</f>
        <v/>
      </c>
      <c r="Y106" s="14" t="str">
        <f aca="false">IF(O106="","",IF(X106="",0,O106*IF(X106&gt;1,X106/100,X106)))</f>
        <v/>
      </c>
      <c r="Z106" s="11"/>
      <c r="AA106" s="18" t="str">
        <f aca="false">IF(Z106="","",IFERROR(VLOOKUP(Z106,REPS!$A$2:$D$40,4,0),""))</f>
        <v/>
      </c>
      <c r="AB106" s="14" t="str">
        <f aca="false">IF(O106="","",IF(AA106="",0,O106*IF(AA106&gt;1,AA106/100,AA106)))</f>
        <v/>
      </c>
      <c r="AC106" s="14" t="str">
        <f aca="false">IF(O106="","",V106+Y106+AB106)</f>
        <v/>
      </c>
      <c r="AD106" s="19" t="str">
        <f aca="false">IF(O106="","",O106-R106-AC106)</f>
        <v/>
      </c>
      <c r="AE106" s="20"/>
      <c r="AF106" s="10"/>
      <c r="AG106" s="21" t="n">
        <f aca="false">IF(OR(AE106="",AE106=0),0,AE106*IF(U106="",0,IF(U106&gt;1,U106/100,U106)))</f>
        <v>0</v>
      </c>
      <c r="AH106" s="21" t="n">
        <f aca="false">IF(OR(AE106="",AE106=0),0,AE106*IF(X106="",0,IF(X106&gt;1,X106/100,X106)))</f>
        <v>0</v>
      </c>
      <c r="AI106" s="21" t="n">
        <f aca="false">IF(OR(AE106="",AE106=0),0,AE106*IF(AA106="",0,IF(AA106&gt;1,AA106/100,AA106)))</f>
        <v>0</v>
      </c>
      <c r="AJ106" s="21" t="n">
        <f aca="false">AG106+AH106+AI106</f>
        <v>0</v>
      </c>
      <c r="AK106" s="21" t="n">
        <f aca="false">IF(OR(AE106="",AE106=0),0,AE106-AJ106)</f>
        <v>0</v>
      </c>
      <c r="AL106" s="19" t="str">
        <f aca="false">IF(AD106="","",AD106-AK106)</f>
        <v/>
      </c>
      <c r="AM106" s="9" t="str">
        <f aca="false">IF(C106="","","Waiting for payment")</f>
        <v/>
      </c>
      <c r="AN106" s="10"/>
      <c r="AO106" s="10"/>
      <c r="AP106" s="22" t="str">
        <f aca="false">IF(OR(C106="",I106="",K106=""),"",IF(K106="Monthly",EDATE(C106,ROUND(I106*SETTINGS!$I$8,0)),WORKDAY(C106,ROUND(I106*SETTINGS!$I$8,0))))</f>
        <v/>
      </c>
      <c r="AQ106" s="9" t="str">
        <f aca="true">IF(C106="","",IF(AND(AP106&lt;&gt;"",TODAY()&gt;=AP106),"Refi Ready",IF(TODAY()-C106&gt;=SETTINGS!$I$11,"Prospecting","Performing")))</f>
        <v/>
      </c>
      <c r="AR106" s="22" t="str">
        <f aca="false">IF(OR(C106="",I106="",K106=""),"",IF(K106="Monthly",EDATE(C106,I106),WORKDAY(C106,I106)))</f>
        <v/>
      </c>
      <c r="AS106" s="11"/>
      <c r="AT106" s="23" t="str">
        <f aca="true">IF(C106="","",IF(AM106="Clawed Back","CLAWED",IF(TODAY()&lt;=C106+SETTINGS!$I$2,"⚠ AT RISK","SAFE")))</f>
        <v/>
      </c>
      <c r="AU106" s="11"/>
      <c r="AW106" s="24" t="n">
        <f aca="false">AW105+IF(AND(C106&lt;&gt;"",AO106&lt;&gt;"",OR('REP COMMISSION'!$B$3="",T106='REP COMMISSION'!$B$3,W106='REP COMMISSION'!$B$3,Z106='REP COMMISSION'!$B$3)),1,0)</f>
        <v>0</v>
      </c>
      <c r="AX106" s="24" t="n">
        <f aca="false">AX105+IF(AND(C106&lt;&gt;"",OR(F106="LOC - INITIAL",F106="CONSOLIDATION - UPFRONT COMM",F106="REVERSE - TOTAL FUNDING")),1,0)</f>
        <v>0</v>
      </c>
    </row>
    <row r="107" customFormat="false" ht="15" hidden="false" customHeight="false" outlineLevel="0" collapsed="false">
      <c r="A107" s="25" t="str">
        <f aca="false">IF(C107&lt;&gt;"","F27-"&amp;COUNT($C$4:C107),"")</f>
        <v/>
      </c>
      <c r="B107" s="26" t="str">
        <f aca="false">IF(OR(F107="LOC - INITIAL",F107="CONSOLIDATION - UPFRONT COMM",F107="REVERSE - TOTAL FUNDING"),A107,"")</f>
        <v/>
      </c>
      <c r="C107" s="27"/>
      <c r="D107" s="28"/>
      <c r="E107" s="28"/>
      <c r="F107" s="28"/>
      <c r="G107" s="29"/>
      <c r="H107" s="30"/>
      <c r="I107" s="28"/>
      <c r="J107" s="31" t="str">
        <f aca="false">IF(AND(G107&lt;&gt;"",H107&lt;&gt;""),G107*H107,"")</f>
        <v/>
      </c>
      <c r="K107" s="28"/>
      <c r="L107" s="32"/>
      <c r="M107" s="32"/>
      <c r="N107" s="31" t="n">
        <f aca="false">IF(OR(G107="",M107=""),0,IF(M107&gt;100,M107,G107*IF(M107&gt;1,M107/100,M107)))</f>
        <v>0</v>
      </c>
      <c r="O107" s="31" t="str">
        <f aca="false">IF(G107="","",G107*IF(L107="",0,IF(L107&gt;1,L107/100,L107))+N107)</f>
        <v/>
      </c>
      <c r="P107" s="28"/>
      <c r="Q107" s="33" t="str">
        <f aca="false">IF(P107="","",IFERROR(VLOOKUP(P107,PARTNERS!$A$2:$B$30,2,0),""))</f>
        <v/>
      </c>
      <c r="R107" s="17" t="str">
        <f aca="false">IF(O107="","",IF(OR(P107="",Q107=""),0,(O107-N107)*IF(Q107&gt;1,Q107/100,Q107)))</f>
        <v/>
      </c>
      <c r="S107" s="31" t="str">
        <f aca="false">IF(O107="","",O107-R107)</f>
        <v/>
      </c>
      <c r="T107" s="28"/>
      <c r="U107" s="34" t="str">
        <f aca="false">IF(T107="","",IFERROR(VLOOKUP(T107,REPS!$A$2:$D$40,2,0),""))</f>
        <v/>
      </c>
      <c r="V107" s="31" t="str">
        <f aca="false">IF(O107="","",IF(U107="",0,O107*IF(U107&gt;1,U107/100,U107)))</f>
        <v/>
      </c>
      <c r="W107" s="28"/>
      <c r="X107" s="34" t="str">
        <f aca="false">IF(W107="","",IFERROR(VLOOKUP(W107,REPS!$A$2:$D$40,3,0),""))</f>
        <v/>
      </c>
      <c r="Y107" s="31" t="str">
        <f aca="false">IF(O107="","",IF(X107="",0,O107*IF(X107&gt;1,X107/100,X107)))</f>
        <v/>
      </c>
      <c r="Z107" s="28"/>
      <c r="AA107" s="34" t="str">
        <f aca="false">IF(Z107="","",IFERROR(VLOOKUP(Z107,REPS!$A$2:$D$40,4,0),""))</f>
        <v/>
      </c>
      <c r="AB107" s="31" t="str">
        <f aca="false">IF(O107="","",IF(AA107="",0,O107*IF(AA107&gt;1,AA107/100,AA107)))</f>
        <v/>
      </c>
      <c r="AC107" s="31" t="str">
        <f aca="false">IF(O107="","",V107+Y107+AB107)</f>
        <v/>
      </c>
      <c r="AD107" s="19" t="str">
        <f aca="false">IF(O107="","",O107-R107-AC107)</f>
        <v/>
      </c>
      <c r="AE107" s="20"/>
      <c r="AF107" s="27"/>
      <c r="AG107" s="21" t="n">
        <f aca="false">IF(OR(AE107="",AE107=0),0,AE107*IF(U107="",0,IF(U107&gt;1,U107/100,U107)))</f>
        <v>0</v>
      </c>
      <c r="AH107" s="21" t="n">
        <f aca="false">IF(OR(AE107="",AE107=0),0,AE107*IF(X107="",0,IF(X107&gt;1,X107/100,X107)))</f>
        <v>0</v>
      </c>
      <c r="AI107" s="21" t="n">
        <f aca="false">IF(OR(AE107="",AE107=0),0,AE107*IF(AA107="",0,IF(AA107&gt;1,AA107/100,AA107)))</f>
        <v>0</v>
      </c>
      <c r="AJ107" s="21" t="n">
        <f aca="false">AG107+AH107+AI107</f>
        <v>0</v>
      </c>
      <c r="AK107" s="21" t="n">
        <f aca="false">IF(OR(AE107="",AE107=0),0,AE107-AJ107)</f>
        <v>0</v>
      </c>
      <c r="AL107" s="19" t="str">
        <f aca="false">IF(AD107="","",AD107-AK107)</f>
        <v/>
      </c>
      <c r="AM107" s="26" t="str">
        <f aca="false">IF(C107="","","Waiting for payment")</f>
        <v/>
      </c>
      <c r="AN107" s="27"/>
      <c r="AO107" s="27"/>
      <c r="AP107" s="35" t="str">
        <f aca="false">IF(OR(C107="",I107="",K107=""),"",IF(K107="Monthly",EDATE(C107,ROUND(I107*SETTINGS!$I$8,0)),WORKDAY(C107,ROUND(I107*SETTINGS!$I$8,0))))</f>
        <v/>
      </c>
      <c r="AQ107" s="26" t="str">
        <f aca="true">IF(C107="","",IF(AND(AP107&lt;&gt;"",TODAY()&gt;=AP107),"Refi Ready",IF(TODAY()-C107&gt;=SETTINGS!$I$11,"Prospecting","Performing")))</f>
        <v/>
      </c>
      <c r="AR107" s="35" t="str">
        <f aca="false">IF(OR(C107="",I107="",K107=""),"",IF(K107="Monthly",EDATE(C107,I107),WORKDAY(C107,I107)))</f>
        <v/>
      </c>
      <c r="AS107" s="28"/>
      <c r="AT107" s="36" t="str">
        <f aca="true">IF(C107="","",IF(AM107="Clawed Back","CLAWED",IF(TODAY()&lt;=C107+SETTINGS!$I$2,"⚠ AT RISK","SAFE")))</f>
        <v/>
      </c>
      <c r="AU107" s="28"/>
      <c r="AW107" s="24" t="n">
        <f aca="false">AW106+IF(AND(C107&lt;&gt;"",AO107&lt;&gt;"",OR('REP COMMISSION'!$B$3="",T107='REP COMMISSION'!$B$3,W107='REP COMMISSION'!$B$3,Z107='REP COMMISSION'!$B$3)),1,0)</f>
        <v>0</v>
      </c>
      <c r="AX107" s="24" t="n">
        <f aca="false">AX106+IF(AND(C107&lt;&gt;"",OR(F107="LOC - INITIAL",F107="CONSOLIDATION - UPFRONT COMM",F107="REVERSE - TOTAL FUNDING")),1,0)</f>
        <v>0</v>
      </c>
    </row>
    <row r="108" customFormat="false" ht="15" hidden="false" customHeight="false" outlineLevel="0" collapsed="false">
      <c r="A108" s="8" t="str">
        <f aca="false">IF(C108&lt;&gt;"","F27-"&amp;COUNT($C$4:C108),"")</f>
        <v/>
      </c>
      <c r="B108" s="9" t="str">
        <f aca="false">IF(OR(F108="LOC - INITIAL",F108="CONSOLIDATION - UPFRONT COMM",F108="REVERSE - TOTAL FUNDING"),A108,"")</f>
        <v/>
      </c>
      <c r="C108" s="10"/>
      <c r="D108" s="11"/>
      <c r="E108" s="11"/>
      <c r="F108" s="11"/>
      <c r="G108" s="12"/>
      <c r="H108" s="13"/>
      <c r="I108" s="11"/>
      <c r="J108" s="14" t="str">
        <f aca="false">IF(AND(G108&lt;&gt;"",H108&lt;&gt;""),G108*H108,"")</f>
        <v/>
      </c>
      <c r="K108" s="11"/>
      <c r="L108" s="15"/>
      <c r="M108" s="15"/>
      <c r="N108" s="14" t="n">
        <f aca="false">IF(OR(G108="",M108=""),0,IF(M108&gt;100,M108,G108*IF(M108&gt;1,M108/100,M108)))</f>
        <v>0</v>
      </c>
      <c r="O108" s="14" t="str">
        <f aca="false">IF(G108="","",G108*IF(L108="",0,IF(L108&gt;1,L108/100,L108))+N108)</f>
        <v/>
      </c>
      <c r="P108" s="11"/>
      <c r="Q108" s="16" t="str">
        <f aca="false">IF(P108="","",IFERROR(VLOOKUP(P108,PARTNERS!$A$2:$B$30,2,0),""))</f>
        <v/>
      </c>
      <c r="R108" s="17" t="str">
        <f aca="false">IF(O108="","",IF(OR(P108="",Q108=""),0,(O108-N108)*IF(Q108&gt;1,Q108/100,Q108)))</f>
        <v/>
      </c>
      <c r="S108" s="14" t="str">
        <f aca="false">IF(O108="","",O108-R108)</f>
        <v/>
      </c>
      <c r="T108" s="11"/>
      <c r="U108" s="18" t="str">
        <f aca="false">IF(T108="","",IFERROR(VLOOKUP(T108,REPS!$A$2:$D$40,2,0),""))</f>
        <v/>
      </c>
      <c r="V108" s="14" t="str">
        <f aca="false">IF(O108="","",IF(U108="",0,O108*IF(U108&gt;1,U108/100,U108)))</f>
        <v/>
      </c>
      <c r="W108" s="11"/>
      <c r="X108" s="18" t="str">
        <f aca="false">IF(W108="","",IFERROR(VLOOKUP(W108,REPS!$A$2:$D$40,3,0),""))</f>
        <v/>
      </c>
      <c r="Y108" s="14" t="str">
        <f aca="false">IF(O108="","",IF(X108="",0,O108*IF(X108&gt;1,X108/100,X108)))</f>
        <v/>
      </c>
      <c r="Z108" s="11"/>
      <c r="AA108" s="18" t="str">
        <f aca="false">IF(Z108="","",IFERROR(VLOOKUP(Z108,REPS!$A$2:$D$40,4,0),""))</f>
        <v/>
      </c>
      <c r="AB108" s="14" t="str">
        <f aca="false">IF(O108="","",IF(AA108="",0,O108*IF(AA108&gt;1,AA108/100,AA108)))</f>
        <v/>
      </c>
      <c r="AC108" s="14" t="str">
        <f aca="false">IF(O108="","",V108+Y108+AB108)</f>
        <v/>
      </c>
      <c r="AD108" s="19" t="str">
        <f aca="false">IF(O108="","",O108-R108-AC108)</f>
        <v/>
      </c>
      <c r="AE108" s="20"/>
      <c r="AF108" s="10"/>
      <c r="AG108" s="21" t="n">
        <f aca="false">IF(OR(AE108="",AE108=0),0,AE108*IF(U108="",0,IF(U108&gt;1,U108/100,U108)))</f>
        <v>0</v>
      </c>
      <c r="AH108" s="21" t="n">
        <f aca="false">IF(OR(AE108="",AE108=0),0,AE108*IF(X108="",0,IF(X108&gt;1,X108/100,X108)))</f>
        <v>0</v>
      </c>
      <c r="AI108" s="21" t="n">
        <f aca="false">IF(OR(AE108="",AE108=0),0,AE108*IF(AA108="",0,IF(AA108&gt;1,AA108/100,AA108)))</f>
        <v>0</v>
      </c>
      <c r="AJ108" s="21" t="n">
        <f aca="false">AG108+AH108+AI108</f>
        <v>0</v>
      </c>
      <c r="AK108" s="21" t="n">
        <f aca="false">IF(OR(AE108="",AE108=0),0,AE108-AJ108)</f>
        <v>0</v>
      </c>
      <c r="AL108" s="19" t="str">
        <f aca="false">IF(AD108="","",AD108-AK108)</f>
        <v/>
      </c>
      <c r="AM108" s="9" t="str">
        <f aca="false">IF(C108="","","Waiting for payment")</f>
        <v/>
      </c>
      <c r="AN108" s="10"/>
      <c r="AO108" s="10"/>
      <c r="AP108" s="22" t="str">
        <f aca="false">IF(OR(C108="",I108="",K108=""),"",IF(K108="Monthly",EDATE(C108,ROUND(I108*SETTINGS!$I$8,0)),WORKDAY(C108,ROUND(I108*SETTINGS!$I$8,0))))</f>
        <v/>
      </c>
      <c r="AQ108" s="9" t="str">
        <f aca="true">IF(C108="","",IF(AND(AP108&lt;&gt;"",TODAY()&gt;=AP108),"Refi Ready",IF(TODAY()-C108&gt;=SETTINGS!$I$11,"Prospecting","Performing")))</f>
        <v/>
      </c>
      <c r="AR108" s="22" t="str">
        <f aca="false">IF(OR(C108="",I108="",K108=""),"",IF(K108="Monthly",EDATE(C108,I108),WORKDAY(C108,I108)))</f>
        <v/>
      </c>
      <c r="AS108" s="11"/>
      <c r="AT108" s="23" t="str">
        <f aca="true">IF(C108="","",IF(AM108="Clawed Back","CLAWED",IF(TODAY()&lt;=C108+SETTINGS!$I$2,"⚠ AT RISK","SAFE")))</f>
        <v/>
      </c>
      <c r="AU108" s="11"/>
      <c r="AW108" s="24" t="n">
        <f aca="false">AW107+IF(AND(C108&lt;&gt;"",AO108&lt;&gt;"",OR('REP COMMISSION'!$B$3="",T108='REP COMMISSION'!$B$3,W108='REP COMMISSION'!$B$3,Z108='REP COMMISSION'!$B$3)),1,0)</f>
        <v>0</v>
      </c>
      <c r="AX108" s="24" t="n">
        <f aca="false">AX107+IF(AND(C108&lt;&gt;"",OR(F108="LOC - INITIAL",F108="CONSOLIDATION - UPFRONT COMM",F108="REVERSE - TOTAL FUNDING")),1,0)</f>
        <v>0</v>
      </c>
    </row>
    <row r="109" customFormat="false" ht="15" hidden="false" customHeight="false" outlineLevel="0" collapsed="false">
      <c r="A109" s="25" t="str">
        <f aca="false">IF(C109&lt;&gt;"","F27-"&amp;COUNT($C$4:C109),"")</f>
        <v/>
      </c>
      <c r="B109" s="26" t="str">
        <f aca="false">IF(OR(F109="LOC - INITIAL",F109="CONSOLIDATION - UPFRONT COMM",F109="REVERSE - TOTAL FUNDING"),A109,"")</f>
        <v/>
      </c>
      <c r="C109" s="27"/>
      <c r="D109" s="28"/>
      <c r="E109" s="28"/>
      <c r="F109" s="28"/>
      <c r="G109" s="29"/>
      <c r="H109" s="30"/>
      <c r="I109" s="28"/>
      <c r="J109" s="31" t="str">
        <f aca="false">IF(AND(G109&lt;&gt;"",H109&lt;&gt;""),G109*H109,"")</f>
        <v/>
      </c>
      <c r="K109" s="28"/>
      <c r="L109" s="32"/>
      <c r="M109" s="32"/>
      <c r="N109" s="31" t="n">
        <f aca="false">IF(OR(G109="",M109=""),0,IF(M109&gt;100,M109,G109*IF(M109&gt;1,M109/100,M109)))</f>
        <v>0</v>
      </c>
      <c r="O109" s="31" t="str">
        <f aca="false">IF(G109="","",G109*IF(L109="",0,IF(L109&gt;1,L109/100,L109))+N109)</f>
        <v/>
      </c>
      <c r="P109" s="28"/>
      <c r="Q109" s="33" t="str">
        <f aca="false">IF(P109="","",IFERROR(VLOOKUP(P109,PARTNERS!$A$2:$B$30,2,0),""))</f>
        <v/>
      </c>
      <c r="R109" s="17" t="str">
        <f aca="false">IF(O109="","",IF(OR(P109="",Q109=""),0,(O109-N109)*IF(Q109&gt;1,Q109/100,Q109)))</f>
        <v/>
      </c>
      <c r="S109" s="31" t="str">
        <f aca="false">IF(O109="","",O109-R109)</f>
        <v/>
      </c>
      <c r="T109" s="28"/>
      <c r="U109" s="34" t="str">
        <f aca="false">IF(T109="","",IFERROR(VLOOKUP(T109,REPS!$A$2:$D$40,2,0),""))</f>
        <v/>
      </c>
      <c r="V109" s="31" t="str">
        <f aca="false">IF(O109="","",IF(U109="",0,O109*IF(U109&gt;1,U109/100,U109)))</f>
        <v/>
      </c>
      <c r="W109" s="28"/>
      <c r="X109" s="34" t="str">
        <f aca="false">IF(W109="","",IFERROR(VLOOKUP(W109,REPS!$A$2:$D$40,3,0),""))</f>
        <v/>
      </c>
      <c r="Y109" s="31" t="str">
        <f aca="false">IF(O109="","",IF(X109="",0,O109*IF(X109&gt;1,X109/100,X109)))</f>
        <v/>
      </c>
      <c r="Z109" s="28"/>
      <c r="AA109" s="34" t="str">
        <f aca="false">IF(Z109="","",IFERROR(VLOOKUP(Z109,REPS!$A$2:$D$40,4,0),""))</f>
        <v/>
      </c>
      <c r="AB109" s="31" t="str">
        <f aca="false">IF(O109="","",IF(AA109="",0,O109*IF(AA109&gt;1,AA109/100,AA109)))</f>
        <v/>
      </c>
      <c r="AC109" s="31" t="str">
        <f aca="false">IF(O109="","",V109+Y109+AB109)</f>
        <v/>
      </c>
      <c r="AD109" s="19" t="str">
        <f aca="false">IF(O109="","",O109-R109-AC109)</f>
        <v/>
      </c>
      <c r="AE109" s="20"/>
      <c r="AF109" s="27"/>
      <c r="AG109" s="21" t="n">
        <f aca="false">IF(OR(AE109="",AE109=0),0,AE109*IF(U109="",0,IF(U109&gt;1,U109/100,U109)))</f>
        <v>0</v>
      </c>
      <c r="AH109" s="21" t="n">
        <f aca="false">IF(OR(AE109="",AE109=0),0,AE109*IF(X109="",0,IF(X109&gt;1,X109/100,X109)))</f>
        <v>0</v>
      </c>
      <c r="AI109" s="21" t="n">
        <f aca="false">IF(OR(AE109="",AE109=0),0,AE109*IF(AA109="",0,IF(AA109&gt;1,AA109/100,AA109)))</f>
        <v>0</v>
      </c>
      <c r="AJ109" s="21" t="n">
        <f aca="false">AG109+AH109+AI109</f>
        <v>0</v>
      </c>
      <c r="AK109" s="21" t="n">
        <f aca="false">IF(OR(AE109="",AE109=0),0,AE109-AJ109)</f>
        <v>0</v>
      </c>
      <c r="AL109" s="19" t="str">
        <f aca="false">IF(AD109="","",AD109-AK109)</f>
        <v/>
      </c>
      <c r="AM109" s="26" t="str">
        <f aca="false">IF(C109="","","Waiting for payment")</f>
        <v/>
      </c>
      <c r="AN109" s="27"/>
      <c r="AO109" s="27"/>
      <c r="AP109" s="35" t="str">
        <f aca="false">IF(OR(C109="",I109="",K109=""),"",IF(K109="Monthly",EDATE(C109,ROUND(I109*SETTINGS!$I$8,0)),WORKDAY(C109,ROUND(I109*SETTINGS!$I$8,0))))</f>
        <v/>
      </c>
      <c r="AQ109" s="26" t="str">
        <f aca="true">IF(C109="","",IF(AND(AP109&lt;&gt;"",TODAY()&gt;=AP109),"Refi Ready",IF(TODAY()-C109&gt;=SETTINGS!$I$11,"Prospecting","Performing")))</f>
        <v/>
      </c>
      <c r="AR109" s="35" t="str">
        <f aca="false">IF(OR(C109="",I109="",K109=""),"",IF(K109="Monthly",EDATE(C109,I109),WORKDAY(C109,I109)))</f>
        <v/>
      </c>
      <c r="AS109" s="28"/>
      <c r="AT109" s="36" t="str">
        <f aca="true">IF(C109="","",IF(AM109="Clawed Back","CLAWED",IF(TODAY()&lt;=C109+SETTINGS!$I$2,"⚠ AT RISK","SAFE")))</f>
        <v/>
      </c>
      <c r="AU109" s="28"/>
      <c r="AW109" s="24" t="n">
        <f aca="false">AW108+IF(AND(C109&lt;&gt;"",AO109&lt;&gt;"",OR('REP COMMISSION'!$B$3="",T109='REP COMMISSION'!$B$3,W109='REP COMMISSION'!$B$3,Z109='REP COMMISSION'!$B$3)),1,0)</f>
        <v>0</v>
      </c>
      <c r="AX109" s="24" t="n">
        <f aca="false">AX108+IF(AND(C109&lt;&gt;"",OR(F109="LOC - INITIAL",F109="CONSOLIDATION - UPFRONT COMM",F109="REVERSE - TOTAL FUNDING")),1,0)</f>
        <v>0</v>
      </c>
    </row>
    <row r="110" customFormat="false" ht="15" hidden="false" customHeight="false" outlineLevel="0" collapsed="false">
      <c r="A110" s="8" t="str">
        <f aca="false">IF(C110&lt;&gt;"","F27-"&amp;COUNT($C$4:C110),"")</f>
        <v/>
      </c>
      <c r="B110" s="9" t="str">
        <f aca="false">IF(OR(F110="LOC - INITIAL",F110="CONSOLIDATION - UPFRONT COMM",F110="REVERSE - TOTAL FUNDING"),A110,"")</f>
        <v/>
      </c>
      <c r="C110" s="10"/>
      <c r="D110" s="11"/>
      <c r="E110" s="11"/>
      <c r="F110" s="11"/>
      <c r="G110" s="12"/>
      <c r="H110" s="13"/>
      <c r="I110" s="11"/>
      <c r="J110" s="14" t="str">
        <f aca="false">IF(AND(G110&lt;&gt;"",H110&lt;&gt;""),G110*H110,"")</f>
        <v/>
      </c>
      <c r="K110" s="11"/>
      <c r="L110" s="15"/>
      <c r="M110" s="15"/>
      <c r="N110" s="14" t="n">
        <f aca="false">IF(OR(G110="",M110=""),0,IF(M110&gt;100,M110,G110*IF(M110&gt;1,M110/100,M110)))</f>
        <v>0</v>
      </c>
      <c r="O110" s="14" t="str">
        <f aca="false">IF(G110="","",G110*IF(L110="",0,IF(L110&gt;1,L110/100,L110))+N110)</f>
        <v/>
      </c>
      <c r="P110" s="11"/>
      <c r="Q110" s="16" t="str">
        <f aca="false">IF(P110="","",IFERROR(VLOOKUP(P110,PARTNERS!$A$2:$B$30,2,0),""))</f>
        <v/>
      </c>
      <c r="R110" s="17" t="str">
        <f aca="false">IF(O110="","",IF(OR(P110="",Q110=""),0,(O110-N110)*IF(Q110&gt;1,Q110/100,Q110)))</f>
        <v/>
      </c>
      <c r="S110" s="14" t="str">
        <f aca="false">IF(O110="","",O110-R110)</f>
        <v/>
      </c>
      <c r="T110" s="11"/>
      <c r="U110" s="18" t="str">
        <f aca="false">IF(T110="","",IFERROR(VLOOKUP(T110,REPS!$A$2:$D$40,2,0),""))</f>
        <v/>
      </c>
      <c r="V110" s="14" t="str">
        <f aca="false">IF(O110="","",IF(U110="",0,O110*IF(U110&gt;1,U110/100,U110)))</f>
        <v/>
      </c>
      <c r="W110" s="11"/>
      <c r="X110" s="18" t="str">
        <f aca="false">IF(W110="","",IFERROR(VLOOKUP(W110,REPS!$A$2:$D$40,3,0),""))</f>
        <v/>
      </c>
      <c r="Y110" s="14" t="str">
        <f aca="false">IF(O110="","",IF(X110="",0,O110*IF(X110&gt;1,X110/100,X110)))</f>
        <v/>
      </c>
      <c r="Z110" s="11"/>
      <c r="AA110" s="18" t="str">
        <f aca="false">IF(Z110="","",IFERROR(VLOOKUP(Z110,REPS!$A$2:$D$40,4,0),""))</f>
        <v/>
      </c>
      <c r="AB110" s="14" t="str">
        <f aca="false">IF(O110="","",IF(AA110="",0,O110*IF(AA110&gt;1,AA110/100,AA110)))</f>
        <v/>
      </c>
      <c r="AC110" s="14" t="str">
        <f aca="false">IF(O110="","",V110+Y110+AB110)</f>
        <v/>
      </c>
      <c r="AD110" s="19" t="str">
        <f aca="false">IF(O110="","",O110-R110-AC110)</f>
        <v/>
      </c>
      <c r="AE110" s="20"/>
      <c r="AF110" s="10"/>
      <c r="AG110" s="21" t="n">
        <f aca="false">IF(OR(AE110="",AE110=0),0,AE110*IF(U110="",0,IF(U110&gt;1,U110/100,U110)))</f>
        <v>0</v>
      </c>
      <c r="AH110" s="21" t="n">
        <f aca="false">IF(OR(AE110="",AE110=0),0,AE110*IF(X110="",0,IF(X110&gt;1,X110/100,X110)))</f>
        <v>0</v>
      </c>
      <c r="AI110" s="21" t="n">
        <f aca="false">IF(OR(AE110="",AE110=0),0,AE110*IF(AA110="",0,IF(AA110&gt;1,AA110/100,AA110)))</f>
        <v>0</v>
      </c>
      <c r="AJ110" s="21" t="n">
        <f aca="false">AG110+AH110+AI110</f>
        <v>0</v>
      </c>
      <c r="AK110" s="21" t="n">
        <f aca="false">IF(OR(AE110="",AE110=0),0,AE110-AJ110)</f>
        <v>0</v>
      </c>
      <c r="AL110" s="19" t="str">
        <f aca="false">IF(AD110="","",AD110-AK110)</f>
        <v/>
      </c>
      <c r="AM110" s="9" t="str">
        <f aca="false">IF(C110="","","Waiting for payment")</f>
        <v/>
      </c>
      <c r="AN110" s="10"/>
      <c r="AO110" s="10"/>
      <c r="AP110" s="22" t="str">
        <f aca="false">IF(OR(C110="",I110="",K110=""),"",IF(K110="Monthly",EDATE(C110,ROUND(I110*SETTINGS!$I$8,0)),WORKDAY(C110,ROUND(I110*SETTINGS!$I$8,0))))</f>
        <v/>
      </c>
      <c r="AQ110" s="9" t="str">
        <f aca="true">IF(C110="","",IF(AND(AP110&lt;&gt;"",TODAY()&gt;=AP110),"Refi Ready",IF(TODAY()-C110&gt;=SETTINGS!$I$11,"Prospecting","Performing")))</f>
        <v/>
      </c>
      <c r="AR110" s="22" t="str">
        <f aca="false">IF(OR(C110="",I110="",K110=""),"",IF(K110="Monthly",EDATE(C110,I110),WORKDAY(C110,I110)))</f>
        <v/>
      </c>
      <c r="AS110" s="11"/>
      <c r="AT110" s="23" t="str">
        <f aca="true">IF(C110="","",IF(AM110="Clawed Back","CLAWED",IF(TODAY()&lt;=C110+SETTINGS!$I$2,"⚠ AT RISK","SAFE")))</f>
        <v/>
      </c>
      <c r="AU110" s="11"/>
      <c r="AW110" s="24" t="n">
        <f aca="false">AW109+IF(AND(C110&lt;&gt;"",AO110&lt;&gt;"",OR('REP COMMISSION'!$B$3="",T110='REP COMMISSION'!$B$3,W110='REP COMMISSION'!$B$3,Z110='REP COMMISSION'!$B$3)),1,0)</f>
        <v>0</v>
      </c>
      <c r="AX110" s="24" t="n">
        <f aca="false">AX109+IF(AND(C110&lt;&gt;"",OR(F110="LOC - INITIAL",F110="CONSOLIDATION - UPFRONT COMM",F110="REVERSE - TOTAL FUNDING")),1,0)</f>
        <v>0</v>
      </c>
    </row>
    <row r="111" customFormat="false" ht="15" hidden="false" customHeight="false" outlineLevel="0" collapsed="false">
      <c r="A111" s="25" t="str">
        <f aca="false">IF(C111&lt;&gt;"","F27-"&amp;COUNT($C$4:C111),"")</f>
        <v/>
      </c>
      <c r="B111" s="26" t="str">
        <f aca="false">IF(OR(F111="LOC - INITIAL",F111="CONSOLIDATION - UPFRONT COMM",F111="REVERSE - TOTAL FUNDING"),A111,"")</f>
        <v/>
      </c>
      <c r="C111" s="27"/>
      <c r="D111" s="28"/>
      <c r="E111" s="28"/>
      <c r="F111" s="28"/>
      <c r="G111" s="29"/>
      <c r="H111" s="30"/>
      <c r="I111" s="28"/>
      <c r="J111" s="31" t="str">
        <f aca="false">IF(AND(G111&lt;&gt;"",H111&lt;&gt;""),G111*H111,"")</f>
        <v/>
      </c>
      <c r="K111" s="28"/>
      <c r="L111" s="32"/>
      <c r="M111" s="32"/>
      <c r="N111" s="31" t="n">
        <f aca="false">IF(OR(G111="",M111=""),0,IF(M111&gt;100,M111,G111*IF(M111&gt;1,M111/100,M111)))</f>
        <v>0</v>
      </c>
      <c r="O111" s="31" t="str">
        <f aca="false">IF(G111="","",G111*IF(L111="",0,IF(L111&gt;1,L111/100,L111))+N111)</f>
        <v/>
      </c>
      <c r="P111" s="28"/>
      <c r="Q111" s="33" t="str">
        <f aca="false">IF(P111="","",IFERROR(VLOOKUP(P111,PARTNERS!$A$2:$B$30,2,0),""))</f>
        <v/>
      </c>
      <c r="R111" s="17" t="str">
        <f aca="false">IF(O111="","",IF(OR(P111="",Q111=""),0,(O111-N111)*IF(Q111&gt;1,Q111/100,Q111)))</f>
        <v/>
      </c>
      <c r="S111" s="31" t="str">
        <f aca="false">IF(O111="","",O111-R111)</f>
        <v/>
      </c>
      <c r="T111" s="28"/>
      <c r="U111" s="34" t="str">
        <f aca="false">IF(T111="","",IFERROR(VLOOKUP(T111,REPS!$A$2:$D$40,2,0),""))</f>
        <v/>
      </c>
      <c r="V111" s="31" t="str">
        <f aca="false">IF(O111="","",IF(U111="",0,O111*IF(U111&gt;1,U111/100,U111)))</f>
        <v/>
      </c>
      <c r="W111" s="28"/>
      <c r="X111" s="34" t="str">
        <f aca="false">IF(W111="","",IFERROR(VLOOKUP(W111,REPS!$A$2:$D$40,3,0),""))</f>
        <v/>
      </c>
      <c r="Y111" s="31" t="str">
        <f aca="false">IF(O111="","",IF(X111="",0,O111*IF(X111&gt;1,X111/100,X111)))</f>
        <v/>
      </c>
      <c r="Z111" s="28"/>
      <c r="AA111" s="34" t="str">
        <f aca="false">IF(Z111="","",IFERROR(VLOOKUP(Z111,REPS!$A$2:$D$40,4,0),""))</f>
        <v/>
      </c>
      <c r="AB111" s="31" t="str">
        <f aca="false">IF(O111="","",IF(AA111="",0,O111*IF(AA111&gt;1,AA111/100,AA111)))</f>
        <v/>
      </c>
      <c r="AC111" s="31" t="str">
        <f aca="false">IF(O111="","",V111+Y111+AB111)</f>
        <v/>
      </c>
      <c r="AD111" s="19" t="str">
        <f aca="false">IF(O111="","",O111-R111-AC111)</f>
        <v/>
      </c>
      <c r="AE111" s="20"/>
      <c r="AF111" s="27"/>
      <c r="AG111" s="21" t="n">
        <f aca="false">IF(OR(AE111="",AE111=0),0,AE111*IF(U111="",0,IF(U111&gt;1,U111/100,U111)))</f>
        <v>0</v>
      </c>
      <c r="AH111" s="21" t="n">
        <f aca="false">IF(OR(AE111="",AE111=0),0,AE111*IF(X111="",0,IF(X111&gt;1,X111/100,X111)))</f>
        <v>0</v>
      </c>
      <c r="AI111" s="21" t="n">
        <f aca="false">IF(OR(AE111="",AE111=0),0,AE111*IF(AA111="",0,IF(AA111&gt;1,AA111/100,AA111)))</f>
        <v>0</v>
      </c>
      <c r="AJ111" s="21" t="n">
        <f aca="false">AG111+AH111+AI111</f>
        <v>0</v>
      </c>
      <c r="AK111" s="21" t="n">
        <f aca="false">IF(OR(AE111="",AE111=0),0,AE111-AJ111)</f>
        <v>0</v>
      </c>
      <c r="AL111" s="19" t="str">
        <f aca="false">IF(AD111="","",AD111-AK111)</f>
        <v/>
      </c>
      <c r="AM111" s="26" t="str">
        <f aca="false">IF(C111="","","Waiting for payment")</f>
        <v/>
      </c>
      <c r="AN111" s="27"/>
      <c r="AO111" s="27"/>
      <c r="AP111" s="35" t="str">
        <f aca="false">IF(OR(C111="",I111="",K111=""),"",IF(K111="Monthly",EDATE(C111,ROUND(I111*SETTINGS!$I$8,0)),WORKDAY(C111,ROUND(I111*SETTINGS!$I$8,0))))</f>
        <v/>
      </c>
      <c r="AQ111" s="26" t="str">
        <f aca="true">IF(C111="","",IF(AND(AP111&lt;&gt;"",TODAY()&gt;=AP111),"Refi Ready",IF(TODAY()-C111&gt;=SETTINGS!$I$11,"Prospecting","Performing")))</f>
        <v/>
      </c>
      <c r="AR111" s="35" t="str">
        <f aca="false">IF(OR(C111="",I111="",K111=""),"",IF(K111="Monthly",EDATE(C111,I111),WORKDAY(C111,I111)))</f>
        <v/>
      </c>
      <c r="AS111" s="28"/>
      <c r="AT111" s="36" t="str">
        <f aca="true">IF(C111="","",IF(AM111="Clawed Back","CLAWED",IF(TODAY()&lt;=C111+SETTINGS!$I$2,"⚠ AT RISK","SAFE")))</f>
        <v/>
      </c>
      <c r="AU111" s="28"/>
      <c r="AW111" s="24" t="n">
        <f aca="false">AW110+IF(AND(C111&lt;&gt;"",AO111&lt;&gt;"",OR('REP COMMISSION'!$B$3="",T111='REP COMMISSION'!$B$3,W111='REP COMMISSION'!$B$3,Z111='REP COMMISSION'!$B$3)),1,0)</f>
        <v>0</v>
      </c>
      <c r="AX111" s="24" t="n">
        <f aca="false">AX110+IF(AND(C111&lt;&gt;"",OR(F111="LOC - INITIAL",F111="CONSOLIDATION - UPFRONT COMM",F111="REVERSE - TOTAL FUNDING")),1,0)</f>
        <v>0</v>
      </c>
    </row>
    <row r="112" customFormat="false" ht="15" hidden="false" customHeight="false" outlineLevel="0" collapsed="false">
      <c r="A112" s="8" t="str">
        <f aca="false">IF(C112&lt;&gt;"","F27-"&amp;COUNT($C$4:C112),"")</f>
        <v/>
      </c>
      <c r="B112" s="9" t="str">
        <f aca="false">IF(OR(F112="LOC - INITIAL",F112="CONSOLIDATION - UPFRONT COMM",F112="REVERSE - TOTAL FUNDING"),A112,"")</f>
        <v/>
      </c>
      <c r="C112" s="10"/>
      <c r="D112" s="11"/>
      <c r="E112" s="11"/>
      <c r="F112" s="11"/>
      <c r="G112" s="12"/>
      <c r="H112" s="13"/>
      <c r="I112" s="11"/>
      <c r="J112" s="14" t="str">
        <f aca="false">IF(AND(G112&lt;&gt;"",H112&lt;&gt;""),G112*H112,"")</f>
        <v/>
      </c>
      <c r="K112" s="11"/>
      <c r="L112" s="15"/>
      <c r="M112" s="15"/>
      <c r="N112" s="14" t="n">
        <f aca="false">IF(OR(G112="",M112=""),0,IF(M112&gt;100,M112,G112*IF(M112&gt;1,M112/100,M112)))</f>
        <v>0</v>
      </c>
      <c r="O112" s="14" t="str">
        <f aca="false">IF(G112="","",G112*IF(L112="",0,IF(L112&gt;1,L112/100,L112))+N112)</f>
        <v/>
      </c>
      <c r="P112" s="11"/>
      <c r="Q112" s="16" t="str">
        <f aca="false">IF(P112="","",IFERROR(VLOOKUP(P112,PARTNERS!$A$2:$B$30,2,0),""))</f>
        <v/>
      </c>
      <c r="R112" s="17" t="str">
        <f aca="false">IF(O112="","",IF(OR(P112="",Q112=""),0,(O112-N112)*IF(Q112&gt;1,Q112/100,Q112)))</f>
        <v/>
      </c>
      <c r="S112" s="14" t="str">
        <f aca="false">IF(O112="","",O112-R112)</f>
        <v/>
      </c>
      <c r="T112" s="11"/>
      <c r="U112" s="18" t="str">
        <f aca="false">IF(T112="","",IFERROR(VLOOKUP(T112,REPS!$A$2:$D$40,2,0),""))</f>
        <v/>
      </c>
      <c r="V112" s="14" t="str">
        <f aca="false">IF(O112="","",IF(U112="",0,O112*IF(U112&gt;1,U112/100,U112)))</f>
        <v/>
      </c>
      <c r="W112" s="11"/>
      <c r="X112" s="18" t="str">
        <f aca="false">IF(W112="","",IFERROR(VLOOKUP(W112,REPS!$A$2:$D$40,3,0),""))</f>
        <v/>
      </c>
      <c r="Y112" s="14" t="str">
        <f aca="false">IF(O112="","",IF(X112="",0,O112*IF(X112&gt;1,X112/100,X112)))</f>
        <v/>
      </c>
      <c r="Z112" s="11"/>
      <c r="AA112" s="18" t="str">
        <f aca="false">IF(Z112="","",IFERROR(VLOOKUP(Z112,REPS!$A$2:$D$40,4,0),""))</f>
        <v/>
      </c>
      <c r="AB112" s="14" t="str">
        <f aca="false">IF(O112="","",IF(AA112="",0,O112*IF(AA112&gt;1,AA112/100,AA112)))</f>
        <v/>
      </c>
      <c r="AC112" s="14" t="str">
        <f aca="false">IF(O112="","",V112+Y112+AB112)</f>
        <v/>
      </c>
      <c r="AD112" s="19" t="str">
        <f aca="false">IF(O112="","",O112-R112-AC112)</f>
        <v/>
      </c>
      <c r="AE112" s="20"/>
      <c r="AF112" s="10"/>
      <c r="AG112" s="21" t="n">
        <f aca="false">IF(OR(AE112="",AE112=0),0,AE112*IF(U112="",0,IF(U112&gt;1,U112/100,U112)))</f>
        <v>0</v>
      </c>
      <c r="AH112" s="21" t="n">
        <f aca="false">IF(OR(AE112="",AE112=0),0,AE112*IF(X112="",0,IF(X112&gt;1,X112/100,X112)))</f>
        <v>0</v>
      </c>
      <c r="AI112" s="21" t="n">
        <f aca="false">IF(OR(AE112="",AE112=0),0,AE112*IF(AA112="",0,IF(AA112&gt;1,AA112/100,AA112)))</f>
        <v>0</v>
      </c>
      <c r="AJ112" s="21" t="n">
        <f aca="false">AG112+AH112+AI112</f>
        <v>0</v>
      </c>
      <c r="AK112" s="21" t="n">
        <f aca="false">IF(OR(AE112="",AE112=0),0,AE112-AJ112)</f>
        <v>0</v>
      </c>
      <c r="AL112" s="19" t="str">
        <f aca="false">IF(AD112="","",AD112-AK112)</f>
        <v/>
      </c>
      <c r="AM112" s="9" t="str">
        <f aca="false">IF(C112="","","Waiting for payment")</f>
        <v/>
      </c>
      <c r="AN112" s="10"/>
      <c r="AO112" s="10"/>
      <c r="AP112" s="22" t="str">
        <f aca="false">IF(OR(C112="",I112="",K112=""),"",IF(K112="Monthly",EDATE(C112,ROUND(I112*SETTINGS!$I$8,0)),WORKDAY(C112,ROUND(I112*SETTINGS!$I$8,0))))</f>
        <v/>
      </c>
      <c r="AQ112" s="9" t="str">
        <f aca="true">IF(C112="","",IF(AND(AP112&lt;&gt;"",TODAY()&gt;=AP112),"Refi Ready",IF(TODAY()-C112&gt;=SETTINGS!$I$11,"Prospecting","Performing")))</f>
        <v/>
      </c>
      <c r="AR112" s="22" t="str">
        <f aca="false">IF(OR(C112="",I112="",K112=""),"",IF(K112="Monthly",EDATE(C112,I112),WORKDAY(C112,I112)))</f>
        <v/>
      </c>
      <c r="AS112" s="11"/>
      <c r="AT112" s="23" t="str">
        <f aca="true">IF(C112="","",IF(AM112="Clawed Back","CLAWED",IF(TODAY()&lt;=C112+SETTINGS!$I$2,"⚠ AT RISK","SAFE")))</f>
        <v/>
      </c>
      <c r="AU112" s="11"/>
      <c r="AW112" s="24" t="n">
        <f aca="false">AW111+IF(AND(C112&lt;&gt;"",AO112&lt;&gt;"",OR('REP COMMISSION'!$B$3="",T112='REP COMMISSION'!$B$3,W112='REP COMMISSION'!$B$3,Z112='REP COMMISSION'!$B$3)),1,0)</f>
        <v>0</v>
      </c>
      <c r="AX112" s="24" t="n">
        <f aca="false">AX111+IF(AND(C112&lt;&gt;"",OR(F112="LOC - INITIAL",F112="CONSOLIDATION - UPFRONT COMM",F112="REVERSE - TOTAL FUNDING")),1,0)</f>
        <v>0</v>
      </c>
    </row>
    <row r="113" customFormat="false" ht="15" hidden="false" customHeight="false" outlineLevel="0" collapsed="false">
      <c r="A113" s="25" t="str">
        <f aca="false">IF(C113&lt;&gt;"","F27-"&amp;COUNT($C$4:C113),"")</f>
        <v/>
      </c>
      <c r="B113" s="26" t="str">
        <f aca="false">IF(OR(F113="LOC - INITIAL",F113="CONSOLIDATION - UPFRONT COMM",F113="REVERSE - TOTAL FUNDING"),A113,"")</f>
        <v/>
      </c>
      <c r="C113" s="27"/>
      <c r="D113" s="28"/>
      <c r="E113" s="28"/>
      <c r="F113" s="28"/>
      <c r="G113" s="29"/>
      <c r="H113" s="30"/>
      <c r="I113" s="28"/>
      <c r="J113" s="31" t="str">
        <f aca="false">IF(AND(G113&lt;&gt;"",H113&lt;&gt;""),G113*H113,"")</f>
        <v/>
      </c>
      <c r="K113" s="28"/>
      <c r="L113" s="32"/>
      <c r="M113" s="32"/>
      <c r="N113" s="31" t="n">
        <f aca="false">IF(OR(G113="",M113=""),0,IF(M113&gt;100,M113,G113*IF(M113&gt;1,M113/100,M113)))</f>
        <v>0</v>
      </c>
      <c r="O113" s="31" t="str">
        <f aca="false">IF(G113="","",G113*IF(L113="",0,IF(L113&gt;1,L113/100,L113))+N113)</f>
        <v/>
      </c>
      <c r="P113" s="28"/>
      <c r="Q113" s="33" t="str">
        <f aca="false">IF(P113="","",IFERROR(VLOOKUP(P113,PARTNERS!$A$2:$B$30,2,0),""))</f>
        <v/>
      </c>
      <c r="R113" s="17" t="str">
        <f aca="false">IF(O113="","",IF(OR(P113="",Q113=""),0,(O113-N113)*IF(Q113&gt;1,Q113/100,Q113)))</f>
        <v/>
      </c>
      <c r="S113" s="31" t="str">
        <f aca="false">IF(O113="","",O113-R113)</f>
        <v/>
      </c>
      <c r="T113" s="28"/>
      <c r="U113" s="34" t="str">
        <f aca="false">IF(T113="","",IFERROR(VLOOKUP(T113,REPS!$A$2:$D$40,2,0),""))</f>
        <v/>
      </c>
      <c r="V113" s="31" t="str">
        <f aca="false">IF(O113="","",IF(U113="",0,O113*IF(U113&gt;1,U113/100,U113)))</f>
        <v/>
      </c>
      <c r="W113" s="28"/>
      <c r="X113" s="34" t="str">
        <f aca="false">IF(W113="","",IFERROR(VLOOKUP(W113,REPS!$A$2:$D$40,3,0),""))</f>
        <v/>
      </c>
      <c r="Y113" s="31" t="str">
        <f aca="false">IF(O113="","",IF(X113="",0,O113*IF(X113&gt;1,X113/100,X113)))</f>
        <v/>
      </c>
      <c r="Z113" s="28"/>
      <c r="AA113" s="34" t="str">
        <f aca="false">IF(Z113="","",IFERROR(VLOOKUP(Z113,REPS!$A$2:$D$40,4,0),""))</f>
        <v/>
      </c>
      <c r="AB113" s="31" t="str">
        <f aca="false">IF(O113="","",IF(AA113="",0,O113*IF(AA113&gt;1,AA113/100,AA113)))</f>
        <v/>
      </c>
      <c r="AC113" s="31" t="str">
        <f aca="false">IF(O113="","",V113+Y113+AB113)</f>
        <v/>
      </c>
      <c r="AD113" s="19" t="str">
        <f aca="false">IF(O113="","",O113-R113-AC113)</f>
        <v/>
      </c>
      <c r="AE113" s="20"/>
      <c r="AF113" s="27"/>
      <c r="AG113" s="21" t="n">
        <f aca="false">IF(OR(AE113="",AE113=0),0,AE113*IF(U113="",0,IF(U113&gt;1,U113/100,U113)))</f>
        <v>0</v>
      </c>
      <c r="AH113" s="21" t="n">
        <f aca="false">IF(OR(AE113="",AE113=0),0,AE113*IF(X113="",0,IF(X113&gt;1,X113/100,X113)))</f>
        <v>0</v>
      </c>
      <c r="AI113" s="21" t="n">
        <f aca="false">IF(OR(AE113="",AE113=0),0,AE113*IF(AA113="",0,IF(AA113&gt;1,AA113/100,AA113)))</f>
        <v>0</v>
      </c>
      <c r="AJ113" s="21" t="n">
        <f aca="false">AG113+AH113+AI113</f>
        <v>0</v>
      </c>
      <c r="AK113" s="21" t="n">
        <f aca="false">IF(OR(AE113="",AE113=0),0,AE113-AJ113)</f>
        <v>0</v>
      </c>
      <c r="AL113" s="19" t="str">
        <f aca="false">IF(AD113="","",AD113-AK113)</f>
        <v/>
      </c>
      <c r="AM113" s="26" t="str">
        <f aca="false">IF(C113="","","Waiting for payment")</f>
        <v/>
      </c>
      <c r="AN113" s="27"/>
      <c r="AO113" s="27"/>
      <c r="AP113" s="35" t="str">
        <f aca="false">IF(OR(C113="",I113="",K113=""),"",IF(K113="Monthly",EDATE(C113,ROUND(I113*SETTINGS!$I$8,0)),WORKDAY(C113,ROUND(I113*SETTINGS!$I$8,0))))</f>
        <v/>
      </c>
      <c r="AQ113" s="26" t="str">
        <f aca="true">IF(C113="","",IF(AND(AP113&lt;&gt;"",TODAY()&gt;=AP113),"Refi Ready",IF(TODAY()-C113&gt;=SETTINGS!$I$11,"Prospecting","Performing")))</f>
        <v/>
      </c>
      <c r="AR113" s="35" t="str">
        <f aca="false">IF(OR(C113="",I113="",K113=""),"",IF(K113="Monthly",EDATE(C113,I113),WORKDAY(C113,I113)))</f>
        <v/>
      </c>
      <c r="AS113" s="28"/>
      <c r="AT113" s="36" t="str">
        <f aca="true">IF(C113="","",IF(AM113="Clawed Back","CLAWED",IF(TODAY()&lt;=C113+SETTINGS!$I$2,"⚠ AT RISK","SAFE")))</f>
        <v/>
      </c>
      <c r="AU113" s="28"/>
      <c r="AW113" s="24" t="n">
        <f aca="false">AW112+IF(AND(C113&lt;&gt;"",AO113&lt;&gt;"",OR('REP COMMISSION'!$B$3="",T113='REP COMMISSION'!$B$3,W113='REP COMMISSION'!$B$3,Z113='REP COMMISSION'!$B$3)),1,0)</f>
        <v>0</v>
      </c>
      <c r="AX113" s="24" t="n">
        <f aca="false">AX112+IF(AND(C113&lt;&gt;"",OR(F113="LOC - INITIAL",F113="CONSOLIDATION - UPFRONT COMM",F113="REVERSE - TOTAL FUNDING")),1,0)</f>
        <v>0</v>
      </c>
    </row>
    <row r="114" customFormat="false" ht="15" hidden="false" customHeight="false" outlineLevel="0" collapsed="false">
      <c r="A114" s="8" t="str">
        <f aca="false">IF(C114&lt;&gt;"","F27-"&amp;COUNT($C$4:C114),"")</f>
        <v/>
      </c>
      <c r="B114" s="9" t="str">
        <f aca="false">IF(OR(F114="LOC - INITIAL",F114="CONSOLIDATION - UPFRONT COMM",F114="REVERSE - TOTAL FUNDING"),A114,"")</f>
        <v/>
      </c>
      <c r="C114" s="10"/>
      <c r="D114" s="11"/>
      <c r="E114" s="11"/>
      <c r="F114" s="11"/>
      <c r="G114" s="12"/>
      <c r="H114" s="13"/>
      <c r="I114" s="11"/>
      <c r="J114" s="14" t="str">
        <f aca="false">IF(AND(G114&lt;&gt;"",H114&lt;&gt;""),G114*H114,"")</f>
        <v/>
      </c>
      <c r="K114" s="11"/>
      <c r="L114" s="15"/>
      <c r="M114" s="15"/>
      <c r="N114" s="14" t="n">
        <f aca="false">IF(OR(G114="",M114=""),0,IF(M114&gt;100,M114,G114*IF(M114&gt;1,M114/100,M114)))</f>
        <v>0</v>
      </c>
      <c r="O114" s="14" t="str">
        <f aca="false">IF(G114="","",G114*IF(L114="",0,IF(L114&gt;1,L114/100,L114))+N114)</f>
        <v/>
      </c>
      <c r="P114" s="11"/>
      <c r="Q114" s="16" t="str">
        <f aca="false">IF(P114="","",IFERROR(VLOOKUP(P114,PARTNERS!$A$2:$B$30,2,0),""))</f>
        <v/>
      </c>
      <c r="R114" s="17" t="str">
        <f aca="false">IF(O114="","",IF(OR(P114="",Q114=""),0,(O114-N114)*IF(Q114&gt;1,Q114/100,Q114)))</f>
        <v/>
      </c>
      <c r="S114" s="14" t="str">
        <f aca="false">IF(O114="","",O114-R114)</f>
        <v/>
      </c>
      <c r="T114" s="11"/>
      <c r="U114" s="18" t="str">
        <f aca="false">IF(T114="","",IFERROR(VLOOKUP(T114,REPS!$A$2:$D$40,2,0),""))</f>
        <v/>
      </c>
      <c r="V114" s="14" t="str">
        <f aca="false">IF(O114="","",IF(U114="",0,O114*IF(U114&gt;1,U114/100,U114)))</f>
        <v/>
      </c>
      <c r="W114" s="11"/>
      <c r="X114" s="18" t="str">
        <f aca="false">IF(W114="","",IFERROR(VLOOKUP(W114,REPS!$A$2:$D$40,3,0),""))</f>
        <v/>
      </c>
      <c r="Y114" s="14" t="str">
        <f aca="false">IF(O114="","",IF(X114="",0,O114*IF(X114&gt;1,X114/100,X114)))</f>
        <v/>
      </c>
      <c r="Z114" s="11"/>
      <c r="AA114" s="18" t="str">
        <f aca="false">IF(Z114="","",IFERROR(VLOOKUP(Z114,REPS!$A$2:$D$40,4,0),""))</f>
        <v/>
      </c>
      <c r="AB114" s="14" t="str">
        <f aca="false">IF(O114="","",IF(AA114="",0,O114*IF(AA114&gt;1,AA114/100,AA114)))</f>
        <v/>
      </c>
      <c r="AC114" s="14" t="str">
        <f aca="false">IF(O114="","",V114+Y114+AB114)</f>
        <v/>
      </c>
      <c r="AD114" s="19" t="str">
        <f aca="false">IF(O114="","",O114-R114-AC114)</f>
        <v/>
      </c>
      <c r="AE114" s="20"/>
      <c r="AF114" s="10"/>
      <c r="AG114" s="21" t="n">
        <f aca="false">IF(OR(AE114="",AE114=0),0,AE114*IF(U114="",0,IF(U114&gt;1,U114/100,U114)))</f>
        <v>0</v>
      </c>
      <c r="AH114" s="21" t="n">
        <f aca="false">IF(OR(AE114="",AE114=0),0,AE114*IF(X114="",0,IF(X114&gt;1,X114/100,X114)))</f>
        <v>0</v>
      </c>
      <c r="AI114" s="21" t="n">
        <f aca="false">IF(OR(AE114="",AE114=0),0,AE114*IF(AA114="",0,IF(AA114&gt;1,AA114/100,AA114)))</f>
        <v>0</v>
      </c>
      <c r="AJ114" s="21" t="n">
        <f aca="false">AG114+AH114+AI114</f>
        <v>0</v>
      </c>
      <c r="AK114" s="21" t="n">
        <f aca="false">IF(OR(AE114="",AE114=0),0,AE114-AJ114)</f>
        <v>0</v>
      </c>
      <c r="AL114" s="19" t="str">
        <f aca="false">IF(AD114="","",AD114-AK114)</f>
        <v/>
      </c>
      <c r="AM114" s="9" t="str">
        <f aca="false">IF(C114="","","Waiting for payment")</f>
        <v/>
      </c>
      <c r="AN114" s="10"/>
      <c r="AO114" s="10"/>
      <c r="AP114" s="22" t="str">
        <f aca="false">IF(OR(C114="",I114="",K114=""),"",IF(K114="Monthly",EDATE(C114,ROUND(I114*SETTINGS!$I$8,0)),WORKDAY(C114,ROUND(I114*SETTINGS!$I$8,0))))</f>
        <v/>
      </c>
      <c r="AQ114" s="9" t="str">
        <f aca="true">IF(C114="","",IF(AND(AP114&lt;&gt;"",TODAY()&gt;=AP114),"Refi Ready",IF(TODAY()-C114&gt;=SETTINGS!$I$11,"Prospecting","Performing")))</f>
        <v/>
      </c>
      <c r="AR114" s="22" t="str">
        <f aca="false">IF(OR(C114="",I114="",K114=""),"",IF(K114="Monthly",EDATE(C114,I114),WORKDAY(C114,I114)))</f>
        <v/>
      </c>
      <c r="AS114" s="11"/>
      <c r="AT114" s="23" t="str">
        <f aca="true">IF(C114="","",IF(AM114="Clawed Back","CLAWED",IF(TODAY()&lt;=C114+SETTINGS!$I$2,"⚠ AT RISK","SAFE")))</f>
        <v/>
      </c>
      <c r="AU114" s="11"/>
      <c r="AW114" s="24" t="n">
        <f aca="false">AW113+IF(AND(C114&lt;&gt;"",AO114&lt;&gt;"",OR('REP COMMISSION'!$B$3="",T114='REP COMMISSION'!$B$3,W114='REP COMMISSION'!$B$3,Z114='REP COMMISSION'!$B$3)),1,0)</f>
        <v>0</v>
      </c>
      <c r="AX114" s="24" t="n">
        <f aca="false">AX113+IF(AND(C114&lt;&gt;"",OR(F114="LOC - INITIAL",F114="CONSOLIDATION - UPFRONT COMM",F114="REVERSE - TOTAL FUNDING")),1,0)</f>
        <v>0</v>
      </c>
    </row>
    <row r="115" customFormat="false" ht="15" hidden="false" customHeight="false" outlineLevel="0" collapsed="false">
      <c r="A115" s="25" t="str">
        <f aca="false">IF(C115&lt;&gt;"","F27-"&amp;COUNT($C$4:C115),"")</f>
        <v/>
      </c>
      <c r="B115" s="26" t="str">
        <f aca="false">IF(OR(F115="LOC - INITIAL",F115="CONSOLIDATION - UPFRONT COMM",F115="REVERSE - TOTAL FUNDING"),A115,"")</f>
        <v/>
      </c>
      <c r="C115" s="27"/>
      <c r="D115" s="28"/>
      <c r="E115" s="28"/>
      <c r="F115" s="28"/>
      <c r="G115" s="29"/>
      <c r="H115" s="30"/>
      <c r="I115" s="28"/>
      <c r="J115" s="31" t="str">
        <f aca="false">IF(AND(G115&lt;&gt;"",H115&lt;&gt;""),G115*H115,"")</f>
        <v/>
      </c>
      <c r="K115" s="28"/>
      <c r="L115" s="32"/>
      <c r="M115" s="32"/>
      <c r="N115" s="31" t="n">
        <f aca="false">IF(OR(G115="",M115=""),0,IF(M115&gt;100,M115,G115*IF(M115&gt;1,M115/100,M115)))</f>
        <v>0</v>
      </c>
      <c r="O115" s="31" t="str">
        <f aca="false">IF(G115="","",G115*IF(L115="",0,IF(L115&gt;1,L115/100,L115))+N115)</f>
        <v/>
      </c>
      <c r="P115" s="28"/>
      <c r="Q115" s="33" t="str">
        <f aca="false">IF(P115="","",IFERROR(VLOOKUP(P115,PARTNERS!$A$2:$B$30,2,0),""))</f>
        <v/>
      </c>
      <c r="R115" s="17" t="str">
        <f aca="false">IF(O115="","",IF(OR(P115="",Q115=""),0,(O115-N115)*IF(Q115&gt;1,Q115/100,Q115)))</f>
        <v/>
      </c>
      <c r="S115" s="31" t="str">
        <f aca="false">IF(O115="","",O115-R115)</f>
        <v/>
      </c>
      <c r="T115" s="28"/>
      <c r="U115" s="34" t="str">
        <f aca="false">IF(T115="","",IFERROR(VLOOKUP(T115,REPS!$A$2:$D$40,2,0),""))</f>
        <v/>
      </c>
      <c r="V115" s="31" t="str">
        <f aca="false">IF(O115="","",IF(U115="",0,O115*IF(U115&gt;1,U115/100,U115)))</f>
        <v/>
      </c>
      <c r="W115" s="28"/>
      <c r="X115" s="34" t="str">
        <f aca="false">IF(W115="","",IFERROR(VLOOKUP(W115,REPS!$A$2:$D$40,3,0),""))</f>
        <v/>
      </c>
      <c r="Y115" s="31" t="str">
        <f aca="false">IF(O115="","",IF(X115="",0,O115*IF(X115&gt;1,X115/100,X115)))</f>
        <v/>
      </c>
      <c r="Z115" s="28"/>
      <c r="AA115" s="34" t="str">
        <f aca="false">IF(Z115="","",IFERROR(VLOOKUP(Z115,REPS!$A$2:$D$40,4,0),""))</f>
        <v/>
      </c>
      <c r="AB115" s="31" t="str">
        <f aca="false">IF(O115="","",IF(AA115="",0,O115*IF(AA115&gt;1,AA115/100,AA115)))</f>
        <v/>
      </c>
      <c r="AC115" s="31" t="str">
        <f aca="false">IF(O115="","",V115+Y115+AB115)</f>
        <v/>
      </c>
      <c r="AD115" s="19" t="str">
        <f aca="false">IF(O115="","",O115-R115-AC115)</f>
        <v/>
      </c>
      <c r="AE115" s="20"/>
      <c r="AF115" s="27"/>
      <c r="AG115" s="21" t="n">
        <f aca="false">IF(OR(AE115="",AE115=0),0,AE115*IF(U115="",0,IF(U115&gt;1,U115/100,U115)))</f>
        <v>0</v>
      </c>
      <c r="AH115" s="21" t="n">
        <f aca="false">IF(OR(AE115="",AE115=0),0,AE115*IF(X115="",0,IF(X115&gt;1,X115/100,X115)))</f>
        <v>0</v>
      </c>
      <c r="AI115" s="21" t="n">
        <f aca="false">IF(OR(AE115="",AE115=0),0,AE115*IF(AA115="",0,IF(AA115&gt;1,AA115/100,AA115)))</f>
        <v>0</v>
      </c>
      <c r="AJ115" s="21" t="n">
        <f aca="false">AG115+AH115+AI115</f>
        <v>0</v>
      </c>
      <c r="AK115" s="21" t="n">
        <f aca="false">IF(OR(AE115="",AE115=0),0,AE115-AJ115)</f>
        <v>0</v>
      </c>
      <c r="AL115" s="19" t="str">
        <f aca="false">IF(AD115="","",AD115-AK115)</f>
        <v/>
      </c>
      <c r="AM115" s="26" t="str">
        <f aca="false">IF(C115="","","Waiting for payment")</f>
        <v/>
      </c>
      <c r="AN115" s="27"/>
      <c r="AO115" s="27"/>
      <c r="AP115" s="35" t="str">
        <f aca="false">IF(OR(C115="",I115="",K115=""),"",IF(K115="Monthly",EDATE(C115,ROUND(I115*SETTINGS!$I$8,0)),WORKDAY(C115,ROUND(I115*SETTINGS!$I$8,0))))</f>
        <v/>
      </c>
      <c r="AQ115" s="26" t="str">
        <f aca="true">IF(C115="","",IF(AND(AP115&lt;&gt;"",TODAY()&gt;=AP115),"Refi Ready",IF(TODAY()-C115&gt;=SETTINGS!$I$11,"Prospecting","Performing")))</f>
        <v/>
      </c>
      <c r="AR115" s="35" t="str">
        <f aca="false">IF(OR(C115="",I115="",K115=""),"",IF(K115="Monthly",EDATE(C115,I115),WORKDAY(C115,I115)))</f>
        <v/>
      </c>
      <c r="AS115" s="28"/>
      <c r="AT115" s="36" t="str">
        <f aca="true">IF(C115="","",IF(AM115="Clawed Back","CLAWED",IF(TODAY()&lt;=C115+SETTINGS!$I$2,"⚠ AT RISK","SAFE")))</f>
        <v/>
      </c>
      <c r="AU115" s="28"/>
      <c r="AW115" s="24" t="n">
        <f aca="false">AW114+IF(AND(C115&lt;&gt;"",AO115&lt;&gt;"",OR('REP COMMISSION'!$B$3="",T115='REP COMMISSION'!$B$3,W115='REP COMMISSION'!$B$3,Z115='REP COMMISSION'!$B$3)),1,0)</f>
        <v>0</v>
      </c>
      <c r="AX115" s="24" t="n">
        <f aca="false">AX114+IF(AND(C115&lt;&gt;"",OR(F115="LOC - INITIAL",F115="CONSOLIDATION - UPFRONT COMM",F115="REVERSE - TOTAL FUNDING")),1,0)</f>
        <v>0</v>
      </c>
    </row>
    <row r="116" customFormat="false" ht="15" hidden="false" customHeight="false" outlineLevel="0" collapsed="false">
      <c r="A116" s="8" t="str">
        <f aca="false">IF(C116&lt;&gt;"","F27-"&amp;COUNT($C$4:C116),"")</f>
        <v/>
      </c>
      <c r="B116" s="9" t="str">
        <f aca="false">IF(OR(F116="LOC - INITIAL",F116="CONSOLIDATION - UPFRONT COMM",F116="REVERSE - TOTAL FUNDING"),A116,"")</f>
        <v/>
      </c>
      <c r="C116" s="10"/>
      <c r="D116" s="11"/>
      <c r="E116" s="11"/>
      <c r="F116" s="11"/>
      <c r="G116" s="12"/>
      <c r="H116" s="13"/>
      <c r="I116" s="11"/>
      <c r="J116" s="14" t="str">
        <f aca="false">IF(AND(G116&lt;&gt;"",H116&lt;&gt;""),G116*H116,"")</f>
        <v/>
      </c>
      <c r="K116" s="11"/>
      <c r="L116" s="15"/>
      <c r="M116" s="15"/>
      <c r="N116" s="14" t="n">
        <f aca="false">IF(OR(G116="",M116=""),0,IF(M116&gt;100,M116,G116*IF(M116&gt;1,M116/100,M116)))</f>
        <v>0</v>
      </c>
      <c r="O116" s="14" t="str">
        <f aca="false">IF(G116="","",G116*IF(L116="",0,IF(L116&gt;1,L116/100,L116))+N116)</f>
        <v/>
      </c>
      <c r="P116" s="11"/>
      <c r="Q116" s="16" t="str">
        <f aca="false">IF(P116="","",IFERROR(VLOOKUP(P116,PARTNERS!$A$2:$B$30,2,0),""))</f>
        <v/>
      </c>
      <c r="R116" s="17" t="str">
        <f aca="false">IF(O116="","",IF(OR(P116="",Q116=""),0,(O116-N116)*IF(Q116&gt;1,Q116/100,Q116)))</f>
        <v/>
      </c>
      <c r="S116" s="14" t="str">
        <f aca="false">IF(O116="","",O116-R116)</f>
        <v/>
      </c>
      <c r="T116" s="11"/>
      <c r="U116" s="18" t="str">
        <f aca="false">IF(T116="","",IFERROR(VLOOKUP(T116,REPS!$A$2:$D$40,2,0),""))</f>
        <v/>
      </c>
      <c r="V116" s="14" t="str">
        <f aca="false">IF(O116="","",IF(U116="",0,O116*IF(U116&gt;1,U116/100,U116)))</f>
        <v/>
      </c>
      <c r="W116" s="11"/>
      <c r="X116" s="18" t="str">
        <f aca="false">IF(W116="","",IFERROR(VLOOKUP(W116,REPS!$A$2:$D$40,3,0),""))</f>
        <v/>
      </c>
      <c r="Y116" s="14" t="str">
        <f aca="false">IF(O116="","",IF(X116="",0,O116*IF(X116&gt;1,X116/100,X116)))</f>
        <v/>
      </c>
      <c r="Z116" s="11"/>
      <c r="AA116" s="18" t="str">
        <f aca="false">IF(Z116="","",IFERROR(VLOOKUP(Z116,REPS!$A$2:$D$40,4,0),""))</f>
        <v/>
      </c>
      <c r="AB116" s="14" t="str">
        <f aca="false">IF(O116="","",IF(AA116="",0,O116*IF(AA116&gt;1,AA116/100,AA116)))</f>
        <v/>
      </c>
      <c r="AC116" s="14" t="str">
        <f aca="false">IF(O116="","",V116+Y116+AB116)</f>
        <v/>
      </c>
      <c r="AD116" s="19" t="str">
        <f aca="false">IF(O116="","",O116-R116-AC116)</f>
        <v/>
      </c>
      <c r="AE116" s="20"/>
      <c r="AF116" s="10"/>
      <c r="AG116" s="21" t="n">
        <f aca="false">IF(OR(AE116="",AE116=0),0,AE116*IF(U116="",0,IF(U116&gt;1,U116/100,U116)))</f>
        <v>0</v>
      </c>
      <c r="AH116" s="21" t="n">
        <f aca="false">IF(OR(AE116="",AE116=0),0,AE116*IF(X116="",0,IF(X116&gt;1,X116/100,X116)))</f>
        <v>0</v>
      </c>
      <c r="AI116" s="21" t="n">
        <f aca="false">IF(OR(AE116="",AE116=0),0,AE116*IF(AA116="",0,IF(AA116&gt;1,AA116/100,AA116)))</f>
        <v>0</v>
      </c>
      <c r="AJ116" s="21" t="n">
        <f aca="false">AG116+AH116+AI116</f>
        <v>0</v>
      </c>
      <c r="AK116" s="21" t="n">
        <f aca="false">IF(OR(AE116="",AE116=0),0,AE116-AJ116)</f>
        <v>0</v>
      </c>
      <c r="AL116" s="19" t="str">
        <f aca="false">IF(AD116="","",AD116-AK116)</f>
        <v/>
      </c>
      <c r="AM116" s="9" t="str">
        <f aca="false">IF(C116="","","Waiting for payment")</f>
        <v/>
      </c>
      <c r="AN116" s="10"/>
      <c r="AO116" s="10"/>
      <c r="AP116" s="22" t="str">
        <f aca="false">IF(OR(C116="",I116="",K116=""),"",IF(K116="Monthly",EDATE(C116,ROUND(I116*SETTINGS!$I$8,0)),WORKDAY(C116,ROUND(I116*SETTINGS!$I$8,0))))</f>
        <v/>
      </c>
      <c r="AQ116" s="9" t="str">
        <f aca="true">IF(C116="","",IF(AND(AP116&lt;&gt;"",TODAY()&gt;=AP116),"Refi Ready",IF(TODAY()-C116&gt;=SETTINGS!$I$11,"Prospecting","Performing")))</f>
        <v/>
      </c>
      <c r="AR116" s="22" t="str">
        <f aca="false">IF(OR(C116="",I116="",K116=""),"",IF(K116="Monthly",EDATE(C116,I116),WORKDAY(C116,I116)))</f>
        <v/>
      </c>
      <c r="AS116" s="11"/>
      <c r="AT116" s="23" t="str">
        <f aca="true">IF(C116="","",IF(AM116="Clawed Back","CLAWED",IF(TODAY()&lt;=C116+SETTINGS!$I$2,"⚠ AT RISK","SAFE")))</f>
        <v/>
      </c>
      <c r="AU116" s="11"/>
      <c r="AW116" s="24" t="n">
        <f aca="false">AW115+IF(AND(C116&lt;&gt;"",AO116&lt;&gt;"",OR('REP COMMISSION'!$B$3="",T116='REP COMMISSION'!$B$3,W116='REP COMMISSION'!$B$3,Z116='REP COMMISSION'!$B$3)),1,0)</f>
        <v>0</v>
      </c>
      <c r="AX116" s="24" t="n">
        <f aca="false">AX115+IF(AND(C116&lt;&gt;"",OR(F116="LOC - INITIAL",F116="CONSOLIDATION - UPFRONT COMM",F116="REVERSE - TOTAL FUNDING")),1,0)</f>
        <v>0</v>
      </c>
    </row>
    <row r="117" customFormat="false" ht="15" hidden="false" customHeight="false" outlineLevel="0" collapsed="false">
      <c r="A117" s="25" t="str">
        <f aca="false">IF(C117&lt;&gt;"","F27-"&amp;COUNT($C$4:C117),"")</f>
        <v/>
      </c>
      <c r="B117" s="26" t="str">
        <f aca="false">IF(OR(F117="LOC - INITIAL",F117="CONSOLIDATION - UPFRONT COMM",F117="REVERSE - TOTAL FUNDING"),A117,"")</f>
        <v/>
      </c>
      <c r="C117" s="27"/>
      <c r="D117" s="28"/>
      <c r="E117" s="28"/>
      <c r="F117" s="28"/>
      <c r="G117" s="29"/>
      <c r="H117" s="30"/>
      <c r="I117" s="28"/>
      <c r="J117" s="31" t="str">
        <f aca="false">IF(AND(G117&lt;&gt;"",H117&lt;&gt;""),G117*H117,"")</f>
        <v/>
      </c>
      <c r="K117" s="28"/>
      <c r="L117" s="32"/>
      <c r="M117" s="32"/>
      <c r="N117" s="31" t="n">
        <f aca="false">IF(OR(G117="",M117=""),0,IF(M117&gt;100,M117,G117*IF(M117&gt;1,M117/100,M117)))</f>
        <v>0</v>
      </c>
      <c r="O117" s="31" t="str">
        <f aca="false">IF(G117="","",G117*IF(L117="",0,IF(L117&gt;1,L117/100,L117))+N117)</f>
        <v/>
      </c>
      <c r="P117" s="28"/>
      <c r="Q117" s="33" t="str">
        <f aca="false">IF(P117="","",IFERROR(VLOOKUP(P117,PARTNERS!$A$2:$B$30,2,0),""))</f>
        <v/>
      </c>
      <c r="R117" s="17" t="str">
        <f aca="false">IF(O117="","",IF(OR(P117="",Q117=""),0,(O117-N117)*IF(Q117&gt;1,Q117/100,Q117)))</f>
        <v/>
      </c>
      <c r="S117" s="31" t="str">
        <f aca="false">IF(O117="","",O117-R117)</f>
        <v/>
      </c>
      <c r="T117" s="28"/>
      <c r="U117" s="34" t="str">
        <f aca="false">IF(T117="","",IFERROR(VLOOKUP(T117,REPS!$A$2:$D$40,2,0),""))</f>
        <v/>
      </c>
      <c r="V117" s="31" t="str">
        <f aca="false">IF(O117="","",IF(U117="",0,O117*IF(U117&gt;1,U117/100,U117)))</f>
        <v/>
      </c>
      <c r="W117" s="28"/>
      <c r="X117" s="34" t="str">
        <f aca="false">IF(W117="","",IFERROR(VLOOKUP(W117,REPS!$A$2:$D$40,3,0),""))</f>
        <v/>
      </c>
      <c r="Y117" s="31" t="str">
        <f aca="false">IF(O117="","",IF(X117="",0,O117*IF(X117&gt;1,X117/100,X117)))</f>
        <v/>
      </c>
      <c r="Z117" s="28"/>
      <c r="AA117" s="34" t="str">
        <f aca="false">IF(Z117="","",IFERROR(VLOOKUP(Z117,REPS!$A$2:$D$40,4,0),""))</f>
        <v/>
      </c>
      <c r="AB117" s="31" t="str">
        <f aca="false">IF(O117="","",IF(AA117="",0,O117*IF(AA117&gt;1,AA117/100,AA117)))</f>
        <v/>
      </c>
      <c r="AC117" s="31" t="str">
        <f aca="false">IF(O117="","",V117+Y117+AB117)</f>
        <v/>
      </c>
      <c r="AD117" s="19" t="str">
        <f aca="false">IF(O117="","",O117-R117-AC117)</f>
        <v/>
      </c>
      <c r="AE117" s="20"/>
      <c r="AF117" s="27"/>
      <c r="AG117" s="21" t="n">
        <f aca="false">IF(OR(AE117="",AE117=0),0,AE117*IF(U117="",0,IF(U117&gt;1,U117/100,U117)))</f>
        <v>0</v>
      </c>
      <c r="AH117" s="21" t="n">
        <f aca="false">IF(OR(AE117="",AE117=0),0,AE117*IF(X117="",0,IF(X117&gt;1,X117/100,X117)))</f>
        <v>0</v>
      </c>
      <c r="AI117" s="21" t="n">
        <f aca="false">IF(OR(AE117="",AE117=0),0,AE117*IF(AA117="",0,IF(AA117&gt;1,AA117/100,AA117)))</f>
        <v>0</v>
      </c>
      <c r="AJ117" s="21" t="n">
        <f aca="false">AG117+AH117+AI117</f>
        <v>0</v>
      </c>
      <c r="AK117" s="21" t="n">
        <f aca="false">IF(OR(AE117="",AE117=0),0,AE117-AJ117)</f>
        <v>0</v>
      </c>
      <c r="AL117" s="19" t="str">
        <f aca="false">IF(AD117="","",AD117-AK117)</f>
        <v/>
      </c>
      <c r="AM117" s="26" t="str">
        <f aca="false">IF(C117="","","Waiting for payment")</f>
        <v/>
      </c>
      <c r="AN117" s="27"/>
      <c r="AO117" s="27"/>
      <c r="AP117" s="35" t="str">
        <f aca="false">IF(OR(C117="",I117="",K117=""),"",IF(K117="Monthly",EDATE(C117,ROUND(I117*SETTINGS!$I$8,0)),WORKDAY(C117,ROUND(I117*SETTINGS!$I$8,0))))</f>
        <v/>
      </c>
      <c r="AQ117" s="26" t="str">
        <f aca="true">IF(C117="","",IF(AND(AP117&lt;&gt;"",TODAY()&gt;=AP117),"Refi Ready",IF(TODAY()-C117&gt;=SETTINGS!$I$11,"Prospecting","Performing")))</f>
        <v/>
      </c>
      <c r="AR117" s="35" t="str">
        <f aca="false">IF(OR(C117="",I117="",K117=""),"",IF(K117="Monthly",EDATE(C117,I117),WORKDAY(C117,I117)))</f>
        <v/>
      </c>
      <c r="AS117" s="28"/>
      <c r="AT117" s="36" t="str">
        <f aca="true">IF(C117="","",IF(AM117="Clawed Back","CLAWED",IF(TODAY()&lt;=C117+SETTINGS!$I$2,"⚠ AT RISK","SAFE")))</f>
        <v/>
      </c>
      <c r="AU117" s="28"/>
      <c r="AW117" s="24" t="n">
        <f aca="false">AW116+IF(AND(C117&lt;&gt;"",AO117&lt;&gt;"",OR('REP COMMISSION'!$B$3="",T117='REP COMMISSION'!$B$3,W117='REP COMMISSION'!$B$3,Z117='REP COMMISSION'!$B$3)),1,0)</f>
        <v>0</v>
      </c>
      <c r="AX117" s="24" t="n">
        <f aca="false">AX116+IF(AND(C117&lt;&gt;"",OR(F117="LOC - INITIAL",F117="CONSOLIDATION - UPFRONT COMM",F117="REVERSE - TOTAL FUNDING")),1,0)</f>
        <v>0</v>
      </c>
    </row>
    <row r="118" customFormat="false" ht="15" hidden="false" customHeight="false" outlineLevel="0" collapsed="false">
      <c r="A118" s="8" t="str">
        <f aca="false">IF(C118&lt;&gt;"","F27-"&amp;COUNT($C$4:C118),"")</f>
        <v/>
      </c>
      <c r="B118" s="9" t="str">
        <f aca="false">IF(OR(F118="LOC - INITIAL",F118="CONSOLIDATION - UPFRONT COMM",F118="REVERSE - TOTAL FUNDING"),A118,"")</f>
        <v/>
      </c>
      <c r="C118" s="10"/>
      <c r="D118" s="11"/>
      <c r="E118" s="11"/>
      <c r="F118" s="11"/>
      <c r="G118" s="12"/>
      <c r="H118" s="13"/>
      <c r="I118" s="11"/>
      <c r="J118" s="14" t="str">
        <f aca="false">IF(AND(G118&lt;&gt;"",H118&lt;&gt;""),G118*H118,"")</f>
        <v/>
      </c>
      <c r="K118" s="11"/>
      <c r="L118" s="15"/>
      <c r="M118" s="15"/>
      <c r="N118" s="14" t="n">
        <f aca="false">IF(OR(G118="",M118=""),0,IF(M118&gt;100,M118,G118*IF(M118&gt;1,M118/100,M118)))</f>
        <v>0</v>
      </c>
      <c r="O118" s="14" t="str">
        <f aca="false">IF(G118="","",G118*IF(L118="",0,IF(L118&gt;1,L118/100,L118))+N118)</f>
        <v/>
      </c>
      <c r="P118" s="11"/>
      <c r="Q118" s="16" t="str">
        <f aca="false">IF(P118="","",IFERROR(VLOOKUP(P118,PARTNERS!$A$2:$B$30,2,0),""))</f>
        <v/>
      </c>
      <c r="R118" s="17" t="str">
        <f aca="false">IF(O118="","",IF(OR(P118="",Q118=""),0,(O118-N118)*IF(Q118&gt;1,Q118/100,Q118)))</f>
        <v/>
      </c>
      <c r="S118" s="14" t="str">
        <f aca="false">IF(O118="","",O118-R118)</f>
        <v/>
      </c>
      <c r="T118" s="11"/>
      <c r="U118" s="18" t="str">
        <f aca="false">IF(T118="","",IFERROR(VLOOKUP(T118,REPS!$A$2:$D$40,2,0),""))</f>
        <v/>
      </c>
      <c r="V118" s="14" t="str">
        <f aca="false">IF(O118="","",IF(U118="",0,O118*IF(U118&gt;1,U118/100,U118)))</f>
        <v/>
      </c>
      <c r="W118" s="11"/>
      <c r="X118" s="18" t="str">
        <f aca="false">IF(W118="","",IFERROR(VLOOKUP(W118,REPS!$A$2:$D$40,3,0),""))</f>
        <v/>
      </c>
      <c r="Y118" s="14" t="str">
        <f aca="false">IF(O118="","",IF(X118="",0,O118*IF(X118&gt;1,X118/100,X118)))</f>
        <v/>
      </c>
      <c r="Z118" s="11"/>
      <c r="AA118" s="18" t="str">
        <f aca="false">IF(Z118="","",IFERROR(VLOOKUP(Z118,REPS!$A$2:$D$40,4,0),""))</f>
        <v/>
      </c>
      <c r="AB118" s="14" t="str">
        <f aca="false">IF(O118="","",IF(AA118="",0,O118*IF(AA118&gt;1,AA118/100,AA118)))</f>
        <v/>
      </c>
      <c r="AC118" s="14" t="str">
        <f aca="false">IF(O118="","",V118+Y118+AB118)</f>
        <v/>
      </c>
      <c r="AD118" s="19" t="str">
        <f aca="false">IF(O118="","",O118-R118-AC118)</f>
        <v/>
      </c>
      <c r="AE118" s="20"/>
      <c r="AF118" s="10"/>
      <c r="AG118" s="21" t="n">
        <f aca="false">IF(OR(AE118="",AE118=0),0,AE118*IF(U118="",0,IF(U118&gt;1,U118/100,U118)))</f>
        <v>0</v>
      </c>
      <c r="AH118" s="21" t="n">
        <f aca="false">IF(OR(AE118="",AE118=0),0,AE118*IF(X118="",0,IF(X118&gt;1,X118/100,X118)))</f>
        <v>0</v>
      </c>
      <c r="AI118" s="21" t="n">
        <f aca="false">IF(OR(AE118="",AE118=0),0,AE118*IF(AA118="",0,IF(AA118&gt;1,AA118/100,AA118)))</f>
        <v>0</v>
      </c>
      <c r="AJ118" s="21" t="n">
        <f aca="false">AG118+AH118+AI118</f>
        <v>0</v>
      </c>
      <c r="AK118" s="21" t="n">
        <f aca="false">IF(OR(AE118="",AE118=0),0,AE118-AJ118)</f>
        <v>0</v>
      </c>
      <c r="AL118" s="19" t="str">
        <f aca="false">IF(AD118="","",AD118-AK118)</f>
        <v/>
      </c>
      <c r="AM118" s="9" t="str">
        <f aca="false">IF(C118="","","Waiting for payment")</f>
        <v/>
      </c>
      <c r="AN118" s="10"/>
      <c r="AO118" s="10"/>
      <c r="AP118" s="22" t="str">
        <f aca="false">IF(OR(C118="",I118="",K118=""),"",IF(K118="Monthly",EDATE(C118,ROUND(I118*SETTINGS!$I$8,0)),WORKDAY(C118,ROUND(I118*SETTINGS!$I$8,0))))</f>
        <v/>
      </c>
      <c r="AQ118" s="9" t="str">
        <f aca="true">IF(C118="","",IF(AND(AP118&lt;&gt;"",TODAY()&gt;=AP118),"Refi Ready",IF(TODAY()-C118&gt;=SETTINGS!$I$11,"Prospecting","Performing")))</f>
        <v/>
      </c>
      <c r="AR118" s="22" t="str">
        <f aca="false">IF(OR(C118="",I118="",K118=""),"",IF(K118="Monthly",EDATE(C118,I118),WORKDAY(C118,I118)))</f>
        <v/>
      </c>
      <c r="AS118" s="11"/>
      <c r="AT118" s="23" t="str">
        <f aca="true">IF(C118="","",IF(AM118="Clawed Back","CLAWED",IF(TODAY()&lt;=C118+SETTINGS!$I$2,"⚠ AT RISK","SAFE")))</f>
        <v/>
      </c>
      <c r="AU118" s="11"/>
      <c r="AW118" s="24" t="n">
        <f aca="false">AW117+IF(AND(C118&lt;&gt;"",AO118&lt;&gt;"",OR('REP COMMISSION'!$B$3="",T118='REP COMMISSION'!$B$3,W118='REP COMMISSION'!$B$3,Z118='REP COMMISSION'!$B$3)),1,0)</f>
        <v>0</v>
      </c>
      <c r="AX118" s="24" t="n">
        <f aca="false">AX117+IF(AND(C118&lt;&gt;"",OR(F118="LOC - INITIAL",F118="CONSOLIDATION - UPFRONT COMM",F118="REVERSE - TOTAL FUNDING")),1,0)</f>
        <v>0</v>
      </c>
    </row>
    <row r="119" customFormat="false" ht="15" hidden="false" customHeight="false" outlineLevel="0" collapsed="false">
      <c r="A119" s="25" t="str">
        <f aca="false">IF(C119&lt;&gt;"","F27-"&amp;COUNT($C$4:C119),"")</f>
        <v/>
      </c>
      <c r="B119" s="26" t="str">
        <f aca="false">IF(OR(F119="LOC - INITIAL",F119="CONSOLIDATION - UPFRONT COMM",F119="REVERSE - TOTAL FUNDING"),A119,"")</f>
        <v/>
      </c>
      <c r="C119" s="27"/>
      <c r="D119" s="28"/>
      <c r="E119" s="28"/>
      <c r="F119" s="28"/>
      <c r="G119" s="29"/>
      <c r="H119" s="30"/>
      <c r="I119" s="28"/>
      <c r="J119" s="31" t="str">
        <f aca="false">IF(AND(G119&lt;&gt;"",H119&lt;&gt;""),G119*H119,"")</f>
        <v/>
      </c>
      <c r="K119" s="28"/>
      <c r="L119" s="32"/>
      <c r="M119" s="32"/>
      <c r="N119" s="31" t="n">
        <f aca="false">IF(OR(G119="",M119=""),0,IF(M119&gt;100,M119,G119*IF(M119&gt;1,M119/100,M119)))</f>
        <v>0</v>
      </c>
      <c r="O119" s="31" t="str">
        <f aca="false">IF(G119="","",G119*IF(L119="",0,IF(L119&gt;1,L119/100,L119))+N119)</f>
        <v/>
      </c>
      <c r="P119" s="28"/>
      <c r="Q119" s="33" t="str">
        <f aca="false">IF(P119="","",IFERROR(VLOOKUP(P119,PARTNERS!$A$2:$B$30,2,0),""))</f>
        <v/>
      </c>
      <c r="R119" s="17" t="str">
        <f aca="false">IF(O119="","",IF(OR(P119="",Q119=""),0,(O119-N119)*IF(Q119&gt;1,Q119/100,Q119)))</f>
        <v/>
      </c>
      <c r="S119" s="31" t="str">
        <f aca="false">IF(O119="","",O119-R119)</f>
        <v/>
      </c>
      <c r="T119" s="28"/>
      <c r="U119" s="34" t="str">
        <f aca="false">IF(T119="","",IFERROR(VLOOKUP(T119,REPS!$A$2:$D$40,2,0),""))</f>
        <v/>
      </c>
      <c r="V119" s="31" t="str">
        <f aca="false">IF(O119="","",IF(U119="",0,O119*IF(U119&gt;1,U119/100,U119)))</f>
        <v/>
      </c>
      <c r="W119" s="28"/>
      <c r="X119" s="34" t="str">
        <f aca="false">IF(W119="","",IFERROR(VLOOKUP(W119,REPS!$A$2:$D$40,3,0),""))</f>
        <v/>
      </c>
      <c r="Y119" s="31" t="str">
        <f aca="false">IF(O119="","",IF(X119="",0,O119*IF(X119&gt;1,X119/100,X119)))</f>
        <v/>
      </c>
      <c r="Z119" s="28"/>
      <c r="AA119" s="34" t="str">
        <f aca="false">IF(Z119="","",IFERROR(VLOOKUP(Z119,REPS!$A$2:$D$40,4,0),""))</f>
        <v/>
      </c>
      <c r="AB119" s="31" t="str">
        <f aca="false">IF(O119="","",IF(AA119="",0,O119*IF(AA119&gt;1,AA119/100,AA119)))</f>
        <v/>
      </c>
      <c r="AC119" s="31" t="str">
        <f aca="false">IF(O119="","",V119+Y119+AB119)</f>
        <v/>
      </c>
      <c r="AD119" s="19" t="str">
        <f aca="false">IF(O119="","",O119-R119-AC119)</f>
        <v/>
      </c>
      <c r="AE119" s="20"/>
      <c r="AF119" s="27"/>
      <c r="AG119" s="21" t="n">
        <f aca="false">IF(OR(AE119="",AE119=0),0,AE119*IF(U119="",0,IF(U119&gt;1,U119/100,U119)))</f>
        <v>0</v>
      </c>
      <c r="AH119" s="21" t="n">
        <f aca="false">IF(OR(AE119="",AE119=0),0,AE119*IF(X119="",0,IF(X119&gt;1,X119/100,X119)))</f>
        <v>0</v>
      </c>
      <c r="AI119" s="21" t="n">
        <f aca="false">IF(OR(AE119="",AE119=0),0,AE119*IF(AA119="",0,IF(AA119&gt;1,AA119/100,AA119)))</f>
        <v>0</v>
      </c>
      <c r="AJ119" s="21" t="n">
        <f aca="false">AG119+AH119+AI119</f>
        <v>0</v>
      </c>
      <c r="AK119" s="21" t="n">
        <f aca="false">IF(OR(AE119="",AE119=0),0,AE119-AJ119)</f>
        <v>0</v>
      </c>
      <c r="AL119" s="19" t="str">
        <f aca="false">IF(AD119="","",AD119-AK119)</f>
        <v/>
      </c>
      <c r="AM119" s="26" t="str">
        <f aca="false">IF(C119="","","Waiting for payment")</f>
        <v/>
      </c>
      <c r="AN119" s="27"/>
      <c r="AO119" s="27"/>
      <c r="AP119" s="35" t="str">
        <f aca="false">IF(OR(C119="",I119="",K119=""),"",IF(K119="Monthly",EDATE(C119,ROUND(I119*SETTINGS!$I$8,0)),WORKDAY(C119,ROUND(I119*SETTINGS!$I$8,0))))</f>
        <v/>
      </c>
      <c r="AQ119" s="26" t="str">
        <f aca="true">IF(C119="","",IF(AND(AP119&lt;&gt;"",TODAY()&gt;=AP119),"Refi Ready",IF(TODAY()-C119&gt;=SETTINGS!$I$11,"Prospecting","Performing")))</f>
        <v/>
      </c>
      <c r="AR119" s="35" t="str">
        <f aca="false">IF(OR(C119="",I119="",K119=""),"",IF(K119="Monthly",EDATE(C119,I119),WORKDAY(C119,I119)))</f>
        <v/>
      </c>
      <c r="AS119" s="28"/>
      <c r="AT119" s="36" t="str">
        <f aca="true">IF(C119="","",IF(AM119="Clawed Back","CLAWED",IF(TODAY()&lt;=C119+SETTINGS!$I$2,"⚠ AT RISK","SAFE")))</f>
        <v/>
      </c>
      <c r="AU119" s="28"/>
      <c r="AW119" s="24" t="n">
        <f aca="false">AW118+IF(AND(C119&lt;&gt;"",AO119&lt;&gt;"",OR('REP COMMISSION'!$B$3="",T119='REP COMMISSION'!$B$3,W119='REP COMMISSION'!$B$3,Z119='REP COMMISSION'!$B$3)),1,0)</f>
        <v>0</v>
      </c>
      <c r="AX119" s="24" t="n">
        <f aca="false">AX118+IF(AND(C119&lt;&gt;"",OR(F119="LOC - INITIAL",F119="CONSOLIDATION - UPFRONT COMM",F119="REVERSE - TOTAL FUNDING")),1,0)</f>
        <v>0</v>
      </c>
    </row>
    <row r="120" customFormat="false" ht="15" hidden="false" customHeight="false" outlineLevel="0" collapsed="false">
      <c r="A120" s="8" t="str">
        <f aca="false">IF(C120&lt;&gt;"","F27-"&amp;COUNT($C$4:C120),"")</f>
        <v/>
      </c>
      <c r="B120" s="9" t="str">
        <f aca="false">IF(OR(F120="LOC - INITIAL",F120="CONSOLIDATION - UPFRONT COMM",F120="REVERSE - TOTAL FUNDING"),A120,"")</f>
        <v/>
      </c>
      <c r="C120" s="10"/>
      <c r="D120" s="11"/>
      <c r="E120" s="11"/>
      <c r="F120" s="11"/>
      <c r="G120" s="12"/>
      <c r="H120" s="13"/>
      <c r="I120" s="11"/>
      <c r="J120" s="14" t="str">
        <f aca="false">IF(AND(G120&lt;&gt;"",H120&lt;&gt;""),G120*H120,"")</f>
        <v/>
      </c>
      <c r="K120" s="11"/>
      <c r="L120" s="15"/>
      <c r="M120" s="15"/>
      <c r="N120" s="14" t="n">
        <f aca="false">IF(OR(G120="",M120=""),0,IF(M120&gt;100,M120,G120*IF(M120&gt;1,M120/100,M120)))</f>
        <v>0</v>
      </c>
      <c r="O120" s="14" t="str">
        <f aca="false">IF(G120="","",G120*IF(L120="",0,IF(L120&gt;1,L120/100,L120))+N120)</f>
        <v/>
      </c>
      <c r="P120" s="11"/>
      <c r="Q120" s="16" t="str">
        <f aca="false">IF(P120="","",IFERROR(VLOOKUP(P120,PARTNERS!$A$2:$B$30,2,0),""))</f>
        <v/>
      </c>
      <c r="R120" s="17" t="str">
        <f aca="false">IF(O120="","",IF(OR(P120="",Q120=""),0,(O120-N120)*IF(Q120&gt;1,Q120/100,Q120)))</f>
        <v/>
      </c>
      <c r="S120" s="14" t="str">
        <f aca="false">IF(O120="","",O120-R120)</f>
        <v/>
      </c>
      <c r="T120" s="11"/>
      <c r="U120" s="18" t="str">
        <f aca="false">IF(T120="","",IFERROR(VLOOKUP(T120,REPS!$A$2:$D$40,2,0),""))</f>
        <v/>
      </c>
      <c r="V120" s="14" t="str">
        <f aca="false">IF(O120="","",IF(U120="",0,O120*IF(U120&gt;1,U120/100,U120)))</f>
        <v/>
      </c>
      <c r="W120" s="11"/>
      <c r="X120" s="18" t="str">
        <f aca="false">IF(W120="","",IFERROR(VLOOKUP(W120,REPS!$A$2:$D$40,3,0),""))</f>
        <v/>
      </c>
      <c r="Y120" s="14" t="str">
        <f aca="false">IF(O120="","",IF(X120="",0,O120*IF(X120&gt;1,X120/100,X120)))</f>
        <v/>
      </c>
      <c r="Z120" s="11"/>
      <c r="AA120" s="18" t="str">
        <f aca="false">IF(Z120="","",IFERROR(VLOOKUP(Z120,REPS!$A$2:$D$40,4,0),""))</f>
        <v/>
      </c>
      <c r="AB120" s="14" t="str">
        <f aca="false">IF(O120="","",IF(AA120="",0,O120*IF(AA120&gt;1,AA120/100,AA120)))</f>
        <v/>
      </c>
      <c r="AC120" s="14" t="str">
        <f aca="false">IF(O120="","",V120+Y120+AB120)</f>
        <v/>
      </c>
      <c r="AD120" s="19" t="str">
        <f aca="false">IF(O120="","",O120-R120-AC120)</f>
        <v/>
      </c>
      <c r="AE120" s="20"/>
      <c r="AF120" s="10"/>
      <c r="AG120" s="21" t="n">
        <f aca="false">IF(OR(AE120="",AE120=0),0,AE120*IF(U120="",0,IF(U120&gt;1,U120/100,U120)))</f>
        <v>0</v>
      </c>
      <c r="AH120" s="21" t="n">
        <f aca="false">IF(OR(AE120="",AE120=0),0,AE120*IF(X120="",0,IF(X120&gt;1,X120/100,X120)))</f>
        <v>0</v>
      </c>
      <c r="AI120" s="21" t="n">
        <f aca="false">IF(OR(AE120="",AE120=0),0,AE120*IF(AA120="",0,IF(AA120&gt;1,AA120/100,AA120)))</f>
        <v>0</v>
      </c>
      <c r="AJ120" s="21" t="n">
        <f aca="false">AG120+AH120+AI120</f>
        <v>0</v>
      </c>
      <c r="AK120" s="21" t="n">
        <f aca="false">IF(OR(AE120="",AE120=0),0,AE120-AJ120)</f>
        <v>0</v>
      </c>
      <c r="AL120" s="19" t="str">
        <f aca="false">IF(AD120="","",AD120-AK120)</f>
        <v/>
      </c>
      <c r="AM120" s="9" t="str">
        <f aca="false">IF(C120="","","Waiting for payment")</f>
        <v/>
      </c>
      <c r="AN120" s="10"/>
      <c r="AO120" s="10"/>
      <c r="AP120" s="22" t="str">
        <f aca="false">IF(OR(C120="",I120="",K120=""),"",IF(K120="Monthly",EDATE(C120,ROUND(I120*SETTINGS!$I$8,0)),WORKDAY(C120,ROUND(I120*SETTINGS!$I$8,0))))</f>
        <v/>
      </c>
      <c r="AQ120" s="9" t="str">
        <f aca="true">IF(C120="","",IF(AND(AP120&lt;&gt;"",TODAY()&gt;=AP120),"Refi Ready",IF(TODAY()-C120&gt;=SETTINGS!$I$11,"Prospecting","Performing")))</f>
        <v/>
      </c>
      <c r="AR120" s="22" t="str">
        <f aca="false">IF(OR(C120="",I120="",K120=""),"",IF(K120="Monthly",EDATE(C120,I120),WORKDAY(C120,I120)))</f>
        <v/>
      </c>
      <c r="AS120" s="11"/>
      <c r="AT120" s="23" t="str">
        <f aca="true">IF(C120="","",IF(AM120="Clawed Back","CLAWED",IF(TODAY()&lt;=C120+SETTINGS!$I$2,"⚠ AT RISK","SAFE")))</f>
        <v/>
      </c>
      <c r="AU120" s="11"/>
      <c r="AW120" s="24" t="n">
        <f aca="false">AW119+IF(AND(C120&lt;&gt;"",AO120&lt;&gt;"",OR('REP COMMISSION'!$B$3="",T120='REP COMMISSION'!$B$3,W120='REP COMMISSION'!$B$3,Z120='REP COMMISSION'!$B$3)),1,0)</f>
        <v>0</v>
      </c>
      <c r="AX120" s="24" t="n">
        <f aca="false">AX119+IF(AND(C120&lt;&gt;"",OR(F120="LOC - INITIAL",F120="CONSOLIDATION - UPFRONT COMM",F120="REVERSE - TOTAL FUNDING")),1,0)</f>
        <v>0</v>
      </c>
    </row>
    <row r="121" customFormat="false" ht="15" hidden="false" customHeight="false" outlineLevel="0" collapsed="false">
      <c r="A121" s="25" t="str">
        <f aca="false">IF(C121&lt;&gt;"","F27-"&amp;COUNT($C$4:C121),"")</f>
        <v/>
      </c>
      <c r="B121" s="26" t="str">
        <f aca="false">IF(OR(F121="LOC - INITIAL",F121="CONSOLIDATION - UPFRONT COMM",F121="REVERSE - TOTAL FUNDING"),A121,"")</f>
        <v/>
      </c>
      <c r="C121" s="27"/>
      <c r="D121" s="28"/>
      <c r="E121" s="28"/>
      <c r="F121" s="28"/>
      <c r="G121" s="29"/>
      <c r="H121" s="30"/>
      <c r="I121" s="28"/>
      <c r="J121" s="31" t="str">
        <f aca="false">IF(AND(G121&lt;&gt;"",H121&lt;&gt;""),G121*H121,"")</f>
        <v/>
      </c>
      <c r="K121" s="28"/>
      <c r="L121" s="32"/>
      <c r="M121" s="32"/>
      <c r="N121" s="31" t="n">
        <f aca="false">IF(OR(G121="",M121=""),0,IF(M121&gt;100,M121,G121*IF(M121&gt;1,M121/100,M121)))</f>
        <v>0</v>
      </c>
      <c r="O121" s="31" t="str">
        <f aca="false">IF(G121="","",G121*IF(L121="",0,IF(L121&gt;1,L121/100,L121))+N121)</f>
        <v/>
      </c>
      <c r="P121" s="28"/>
      <c r="Q121" s="33" t="str">
        <f aca="false">IF(P121="","",IFERROR(VLOOKUP(P121,PARTNERS!$A$2:$B$30,2,0),""))</f>
        <v/>
      </c>
      <c r="R121" s="17" t="str">
        <f aca="false">IF(O121="","",IF(OR(P121="",Q121=""),0,(O121-N121)*IF(Q121&gt;1,Q121/100,Q121)))</f>
        <v/>
      </c>
      <c r="S121" s="31" t="str">
        <f aca="false">IF(O121="","",O121-R121)</f>
        <v/>
      </c>
      <c r="T121" s="28"/>
      <c r="U121" s="34" t="str">
        <f aca="false">IF(T121="","",IFERROR(VLOOKUP(T121,REPS!$A$2:$D$40,2,0),""))</f>
        <v/>
      </c>
      <c r="V121" s="31" t="str">
        <f aca="false">IF(O121="","",IF(U121="",0,O121*IF(U121&gt;1,U121/100,U121)))</f>
        <v/>
      </c>
      <c r="W121" s="28"/>
      <c r="X121" s="34" t="str">
        <f aca="false">IF(W121="","",IFERROR(VLOOKUP(W121,REPS!$A$2:$D$40,3,0),""))</f>
        <v/>
      </c>
      <c r="Y121" s="31" t="str">
        <f aca="false">IF(O121="","",IF(X121="",0,O121*IF(X121&gt;1,X121/100,X121)))</f>
        <v/>
      </c>
      <c r="Z121" s="28"/>
      <c r="AA121" s="34" t="str">
        <f aca="false">IF(Z121="","",IFERROR(VLOOKUP(Z121,REPS!$A$2:$D$40,4,0),""))</f>
        <v/>
      </c>
      <c r="AB121" s="31" t="str">
        <f aca="false">IF(O121="","",IF(AA121="",0,O121*IF(AA121&gt;1,AA121/100,AA121)))</f>
        <v/>
      </c>
      <c r="AC121" s="31" t="str">
        <f aca="false">IF(O121="","",V121+Y121+AB121)</f>
        <v/>
      </c>
      <c r="AD121" s="19" t="str">
        <f aca="false">IF(O121="","",O121-R121-AC121)</f>
        <v/>
      </c>
      <c r="AE121" s="20"/>
      <c r="AF121" s="27"/>
      <c r="AG121" s="21" t="n">
        <f aca="false">IF(OR(AE121="",AE121=0),0,AE121*IF(U121="",0,IF(U121&gt;1,U121/100,U121)))</f>
        <v>0</v>
      </c>
      <c r="AH121" s="21" t="n">
        <f aca="false">IF(OR(AE121="",AE121=0),0,AE121*IF(X121="",0,IF(X121&gt;1,X121/100,X121)))</f>
        <v>0</v>
      </c>
      <c r="AI121" s="21" t="n">
        <f aca="false">IF(OR(AE121="",AE121=0),0,AE121*IF(AA121="",0,IF(AA121&gt;1,AA121/100,AA121)))</f>
        <v>0</v>
      </c>
      <c r="AJ121" s="21" t="n">
        <f aca="false">AG121+AH121+AI121</f>
        <v>0</v>
      </c>
      <c r="AK121" s="21" t="n">
        <f aca="false">IF(OR(AE121="",AE121=0),0,AE121-AJ121)</f>
        <v>0</v>
      </c>
      <c r="AL121" s="19" t="str">
        <f aca="false">IF(AD121="","",AD121-AK121)</f>
        <v/>
      </c>
      <c r="AM121" s="26" t="str">
        <f aca="false">IF(C121="","","Waiting for payment")</f>
        <v/>
      </c>
      <c r="AN121" s="27"/>
      <c r="AO121" s="27"/>
      <c r="AP121" s="35" t="str">
        <f aca="false">IF(OR(C121="",I121="",K121=""),"",IF(K121="Monthly",EDATE(C121,ROUND(I121*SETTINGS!$I$8,0)),WORKDAY(C121,ROUND(I121*SETTINGS!$I$8,0))))</f>
        <v/>
      </c>
      <c r="AQ121" s="26" t="str">
        <f aca="true">IF(C121="","",IF(AND(AP121&lt;&gt;"",TODAY()&gt;=AP121),"Refi Ready",IF(TODAY()-C121&gt;=SETTINGS!$I$11,"Prospecting","Performing")))</f>
        <v/>
      </c>
      <c r="AR121" s="35" t="str">
        <f aca="false">IF(OR(C121="",I121="",K121=""),"",IF(K121="Monthly",EDATE(C121,I121),WORKDAY(C121,I121)))</f>
        <v/>
      </c>
      <c r="AS121" s="28"/>
      <c r="AT121" s="36" t="str">
        <f aca="true">IF(C121="","",IF(AM121="Clawed Back","CLAWED",IF(TODAY()&lt;=C121+SETTINGS!$I$2,"⚠ AT RISK","SAFE")))</f>
        <v/>
      </c>
      <c r="AU121" s="28"/>
      <c r="AW121" s="24" t="n">
        <f aca="false">AW120+IF(AND(C121&lt;&gt;"",AO121&lt;&gt;"",OR('REP COMMISSION'!$B$3="",T121='REP COMMISSION'!$B$3,W121='REP COMMISSION'!$B$3,Z121='REP COMMISSION'!$B$3)),1,0)</f>
        <v>0</v>
      </c>
      <c r="AX121" s="24" t="n">
        <f aca="false">AX120+IF(AND(C121&lt;&gt;"",OR(F121="LOC - INITIAL",F121="CONSOLIDATION - UPFRONT COMM",F121="REVERSE - TOTAL FUNDING")),1,0)</f>
        <v>0</v>
      </c>
    </row>
    <row r="122" customFormat="false" ht="15" hidden="false" customHeight="false" outlineLevel="0" collapsed="false">
      <c r="A122" s="8" t="str">
        <f aca="false">IF(C122&lt;&gt;"","F27-"&amp;COUNT($C$4:C122),"")</f>
        <v/>
      </c>
      <c r="B122" s="9" t="str">
        <f aca="false">IF(OR(F122="LOC - INITIAL",F122="CONSOLIDATION - UPFRONT COMM",F122="REVERSE - TOTAL FUNDING"),A122,"")</f>
        <v/>
      </c>
      <c r="C122" s="10"/>
      <c r="D122" s="11"/>
      <c r="E122" s="11"/>
      <c r="F122" s="11"/>
      <c r="G122" s="12"/>
      <c r="H122" s="13"/>
      <c r="I122" s="11"/>
      <c r="J122" s="14" t="str">
        <f aca="false">IF(AND(G122&lt;&gt;"",H122&lt;&gt;""),G122*H122,"")</f>
        <v/>
      </c>
      <c r="K122" s="11"/>
      <c r="L122" s="15"/>
      <c r="M122" s="15"/>
      <c r="N122" s="14" t="n">
        <f aca="false">IF(OR(G122="",M122=""),0,IF(M122&gt;100,M122,G122*IF(M122&gt;1,M122/100,M122)))</f>
        <v>0</v>
      </c>
      <c r="O122" s="14" t="str">
        <f aca="false">IF(G122="","",G122*IF(L122="",0,IF(L122&gt;1,L122/100,L122))+N122)</f>
        <v/>
      </c>
      <c r="P122" s="11"/>
      <c r="Q122" s="16" t="str">
        <f aca="false">IF(P122="","",IFERROR(VLOOKUP(P122,PARTNERS!$A$2:$B$30,2,0),""))</f>
        <v/>
      </c>
      <c r="R122" s="17" t="str">
        <f aca="false">IF(O122="","",IF(OR(P122="",Q122=""),0,(O122-N122)*IF(Q122&gt;1,Q122/100,Q122)))</f>
        <v/>
      </c>
      <c r="S122" s="14" t="str">
        <f aca="false">IF(O122="","",O122-R122)</f>
        <v/>
      </c>
      <c r="T122" s="11"/>
      <c r="U122" s="18" t="str">
        <f aca="false">IF(T122="","",IFERROR(VLOOKUP(T122,REPS!$A$2:$D$40,2,0),""))</f>
        <v/>
      </c>
      <c r="V122" s="14" t="str">
        <f aca="false">IF(O122="","",IF(U122="",0,O122*IF(U122&gt;1,U122/100,U122)))</f>
        <v/>
      </c>
      <c r="W122" s="11"/>
      <c r="X122" s="18" t="str">
        <f aca="false">IF(W122="","",IFERROR(VLOOKUP(W122,REPS!$A$2:$D$40,3,0),""))</f>
        <v/>
      </c>
      <c r="Y122" s="14" t="str">
        <f aca="false">IF(O122="","",IF(X122="",0,O122*IF(X122&gt;1,X122/100,X122)))</f>
        <v/>
      </c>
      <c r="Z122" s="11"/>
      <c r="AA122" s="18" t="str">
        <f aca="false">IF(Z122="","",IFERROR(VLOOKUP(Z122,REPS!$A$2:$D$40,4,0),""))</f>
        <v/>
      </c>
      <c r="AB122" s="14" t="str">
        <f aca="false">IF(O122="","",IF(AA122="",0,O122*IF(AA122&gt;1,AA122/100,AA122)))</f>
        <v/>
      </c>
      <c r="AC122" s="14" t="str">
        <f aca="false">IF(O122="","",V122+Y122+AB122)</f>
        <v/>
      </c>
      <c r="AD122" s="19" t="str">
        <f aca="false">IF(O122="","",O122-R122-AC122)</f>
        <v/>
      </c>
      <c r="AE122" s="20"/>
      <c r="AF122" s="10"/>
      <c r="AG122" s="21" t="n">
        <f aca="false">IF(OR(AE122="",AE122=0),0,AE122*IF(U122="",0,IF(U122&gt;1,U122/100,U122)))</f>
        <v>0</v>
      </c>
      <c r="AH122" s="21" t="n">
        <f aca="false">IF(OR(AE122="",AE122=0),0,AE122*IF(X122="",0,IF(X122&gt;1,X122/100,X122)))</f>
        <v>0</v>
      </c>
      <c r="AI122" s="21" t="n">
        <f aca="false">IF(OR(AE122="",AE122=0),0,AE122*IF(AA122="",0,IF(AA122&gt;1,AA122/100,AA122)))</f>
        <v>0</v>
      </c>
      <c r="AJ122" s="21" t="n">
        <f aca="false">AG122+AH122+AI122</f>
        <v>0</v>
      </c>
      <c r="AK122" s="21" t="n">
        <f aca="false">IF(OR(AE122="",AE122=0),0,AE122-AJ122)</f>
        <v>0</v>
      </c>
      <c r="AL122" s="19" t="str">
        <f aca="false">IF(AD122="","",AD122-AK122)</f>
        <v/>
      </c>
      <c r="AM122" s="9" t="str">
        <f aca="false">IF(C122="","","Waiting for payment")</f>
        <v/>
      </c>
      <c r="AN122" s="10"/>
      <c r="AO122" s="10"/>
      <c r="AP122" s="22" t="str">
        <f aca="false">IF(OR(C122="",I122="",K122=""),"",IF(K122="Monthly",EDATE(C122,ROUND(I122*SETTINGS!$I$8,0)),WORKDAY(C122,ROUND(I122*SETTINGS!$I$8,0))))</f>
        <v/>
      </c>
      <c r="AQ122" s="9" t="str">
        <f aca="true">IF(C122="","",IF(AND(AP122&lt;&gt;"",TODAY()&gt;=AP122),"Refi Ready",IF(TODAY()-C122&gt;=SETTINGS!$I$11,"Prospecting","Performing")))</f>
        <v/>
      </c>
      <c r="AR122" s="22" t="str">
        <f aca="false">IF(OR(C122="",I122="",K122=""),"",IF(K122="Monthly",EDATE(C122,I122),WORKDAY(C122,I122)))</f>
        <v/>
      </c>
      <c r="AS122" s="11"/>
      <c r="AT122" s="23" t="str">
        <f aca="true">IF(C122="","",IF(AM122="Clawed Back","CLAWED",IF(TODAY()&lt;=C122+SETTINGS!$I$2,"⚠ AT RISK","SAFE")))</f>
        <v/>
      </c>
      <c r="AU122" s="11"/>
      <c r="AW122" s="24" t="n">
        <f aca="false">AW121+IF(AND(C122&lt;&gt;"",AO122&lt;&gt;"",OR('REP COMMISSION'!$B$3="",T122='REP COMMISSION'!$B$3,W122='REP COMMISSION'!$B$3,Z122='REP COMMISSION'!$B$3)),1,0)</f>
        <v>0</v>
      </c>
      <c r="AX122" s="24" t="n">
        <f aca="false">AX121+IF(AND(C122&lt;&gt;"",OR(F122="LOC - INITIAL",F122="CONSOLIDATION - UPFRONT COMM",F122="REVERSE - TOTAL FUNDING")),1,0)</f>
        <v>0</v>
      </c>
    </row>
    <row r="123" customFormat="false" ht="15" hidden="false" customHeight="false" outlineLevel="0" collapsed="false">
      <c r="A123" s="25" t="str">
        <f aca="false">IF(C123&lt;&gt;"","F27-"&amp;COUNT($C$4:C123),"")</f>
        <v/>
      </c>
      <c r="B123" s="26" t="str">
        <f aca="false">IF(OR(F123="LOC - INITIAL",F123="CONSOLIDATION - UPFRONT COMM",F123="REVERSE - TOTAL FUNDING"),A123,"")</f>
        <v/>
      </c>
      <c r="C123" s="27"/>
      <c r="D123" s="28"/>
      <c r="E123" s="28"/>
      <c r="F123" s="28"/>
      <c r="G123" s="29"/>
      <c r="H123" s="30"/>
      <c r="I123" s="28"/>
      <c r="J123" s="31" t="str">
        <f aca="false">IF(AND(G123&lt;&gt;"",H123&lt;&gt;""),G123*H123,"")</f>
        <v/>
      </c>
      <c r="K123" s="28"/>
      <c r="L123" s="32"/>
      <c r="M123" s="32"/>
      <c r="N123" s="31" t="n">
        <f aca="false">IF(OR(G123="",M123=""),0,IF(M123&gt;100,M123,G123*IF(M123&gt;1,M123/100,M123)))</f>
        <v>0</v>
      </c>
      <c r="O123" s="31" t="str">
        <f aca="false">IF(G123="","",G123*IF(L123="",0,IF(L123&gt;1,L123/100,L123))+N123)</f>
        <v/>
      </c>
      <c r="P123" s="28"/>
      <c r="Q123" s="33" t="str">
        <f aca="false">IF(P123="","",IFERROR(VLOOKUP(P123,PARTNERS!$A$2:$B$30,2,0),""))</f>
        <v/>
      </c>
      <c r="R123" s="17" t="str">
        <f aca="false">IF(O123="","",IF(OR(P123="",Q123=""),0,(O123-N123)*IF(Q123&gt;1,Q123/100,Q123)))</f>
        <v/>
      </c>
      <c r="S123" s="31" t="str">
        <f aca="false">IF(O123="","",O123-R123)</f>
        <v/>
      </c>
      <c r="T123" s="28"/>
      <c r="U123" s="34" t="str">
        <f aca="false">IF(T123="","",IFERROR(VLOOKUP(T123,REPS!$A$2:$D$40,2,0),""))</f>
        <v/>
      </c>
      <c r="V123" s="31" t="str">
        <f aca="false">IF(O123="","",IF(U123="",0,O123*IF(U123&gt;1,U123/100,U123)))</f>
        <v/>
      </c>
      <c r="W123" s="28"/>
      <c r="X123" s="34" t="str">
        <f aca="false">IF(W123="","",IFERROR(VLOOKUP(W123,REPS!$A$2:$D$40,3,0),""))</f>
        <v/>
      </c>
      <c r="Y123" s="31" t="str">
        <f aca="false">IF(O123="","",IF(X123="",0,O123*IF(X123&gt;1,X123/100,X123)))</f>
        <v/>
      </c>
      <c r="Z123" s="28"/>
      <c r="AA123" s="34" t="str">
        <f aca="false">IF(Z123="","",IFERROR(VLOOKUP(Z123,REPS!$A$2:$D$40,4,0),""))</f>
        <v/>
      </c>
      <c r="AB123" s="31" t="str">
        <f aca="false">IF(O123="","",IF(AA123="",0,O123*IF(AA123&gt;1,AA123/100,AA123)))</f>
        <v/>
      </c>
      <c r="AC123" s="31" t="str">
        <f aca="false">IF(O123="","",V123+Y123+AB123)</f>
        <v/>
      </c>
      <c r="AD123" s="19" t="str">
        <f aca="false">IF(O123="","",O123-R123-AC123)</f>
        <v/>
      </c>
      <c r="AE123" s="20"/>
      <c r="AF123" s="27"/>
      <c r="AG123" s="21" t="n">
        <f aca="false">IF(OR(AE123="",AE123=0),0,AE123*IF(U123="",0,IF(U123&gt;1,U123/100,U123)))</f>
        <v>0</v>
      </c>
      <c r="AH123" s="21" t="n">
        <f aca="false">IF(OR(AE123="",AE123=0),0,AE123*IF(X123="",0,IF(X123&gt;1,X123/100,X123)))</f>
        <v>0</v>
      </c>
      <c r="AI123" s="21" t="n">
        <f aca="false">IF(OR(AE123="",AE123=0),0,AE123*IF(AA123="",0,IF(AA123&gt;1,AA123/100,AA123)))</f>
        <v>0</v>
      </c>
      <c r="AJ123" s="21" t="n">
        <f aca="false">AG123+AH123+AI123</f>
        <v>0</v>
      </c>
      <c r="AK123" s="21" t="n">
        <f aca="false">IF(OR(AE123="",AE123=0),0,AE123-AJ123)</f>
        <v>0</v>
      </c>
      <c r="AL123" s="19" t="str">
        <f aca="false">IF(AD123="","",AD123-AK123)</f>
        <v/>
      </c>
      <c r="AM123" s="26" t="str">
        <f aca="false">IF(C123="","","Waiting for payment")</f>
        <v/>
      </c>
      <c r="AN123" s="27"/>
      <c r="AO123" s="27"/>
      <c r="AP123" s="35" t="str">
        <f aca="false">IF(OR(C123="",I123="",K123=""),"",IF(K123="Monthly",EDATE(C123,ROUND(I123*SETTINGS!$I$8,0)),WORKDAY(C123,ROUND(I123*SETTINGS!$I$8,0))))</f>
        <v/>
      </c>
      <c r="AQ123" s="26" t="str">
        <f aca="true">IF(C123="","",IF(AND(AP123&lt;&gt;"",TODAY()&gt;=AP123),"Refi Ready",IF(TODAY()-C123&gt;=SETTINGS!$I$11,"Prospecting","Performing")))</f>
        <v/>
      </c>
      <c r="AR123" s="35" t="str">
        <f aca="false">IF(OR(C123="",I123="",K123=""),"",IF(K123="Monthly",EDATE(C123,I123),WORKDAY(C123,I123)))</f>
        <v/>
      </c>
      <c r="AS123" s="28"/>
      <c r="AT123" s="36" t="str">
        <f aca="true">IF(C123="","",IF(AM123="Clawed Back","CLAWED",IF(TODAY()&lt;=C123+SETTINGS!$I$2,"⚠ AT RISK","SAFE")))</f>
        <v/>
      </c>
      <c r="AU123" s="28"/>
      <c r="AW123" s="24" t="n">
        <f aca="false">AW122+IF(AND(C123&lt;&gt;"",AO123&lt;&gt;"",OR('REP COMMISSION'!$B$3="",T123='REP COMMISSION'!$B$3,W123='REP COMMISSION'!$B$3,Z123='REP COMMISSION'!$B$3)),1,0)</f>
        <v>0</v>
      </c>
      <c r="AX123" s="24" t="n">
        <f aca="false">AX122+IF(AND(C123&lt;&gt;"",OR(F123="LOC - INITIAL",F123="CONSOLIDATION - UPFRONT COMM",F123="REVERSE - TOTAL FUNDING")),1,0)</f>
        <v>0</v>
      </c>
    </row>
    <row r="124" customFormat="false" ht="15" hidden="false" customHeight="false" outlineLevel="0" collapsed="false">
      <c r="A124" s="8" t="str">
        <f aca="false">IF(C124&lt;&gt;"","F27-"&amp;COUNT($C$4:C124),"")</f>
        <v/>
      </c>
      <c r="B124" s="9" t="str">
        <f aca="false">IF(OR(F124="LOC - INITIAL",F124="CONSOLIDATION - UPFRONT COMM",F124="REVERSE - TOTAL FUNDING"),A124,"")</f>
        <v/>
      </c>
      <c r="C124" s="10"/>
      <c r="D124" s="11"/>
      <c r="E124" s="11"/>
      <c r="F124" s="11"/>
      <c r="G124" s="12"/>
      <c r="H124" s="13"/>
      <c r="I124" s="11"/>
      <c r="J124" s="14" t="str">
        <f aca="false">IF(AND(G124&lt;&gt;"",H124&lt;&gt;""),G124*H124,"")</f>
        <v/>
      </c>
      <c r="K124" s="11"/>
      <c r="L124" s="15"/>
      <c r="M124" s="15"/>
      <c r="N124" s="14" t="n">
        <f aca="false">IF(OR(G124="",M124=""),0,IF(M124&gt;100,M124,G124*IF(M124&gt;1,M124/100,M124)))</f>
        <v>0</v>
      </c>
      <c r="O124" s="14" t="str">
        <f aca="false">IF(G124="","",G124*IF(L124="",0,IF(L124&gt;1,L124/100,L124))+N124)</f>
        <v/>
      </c>
      <c r="P124" s="11"/>
      <c r="Q124" s="16" t="str">
        <f aca="false">IF(P124="","",IFERROR(VLOOKUP(P124,PARTNERS!$A$2:$B$30,2,0),""))</f>
        <v/>
      </c>
      <c r="R124" s="17" t="str">
        <f aca="false">IF(O124="","",IF(OR(P124="",Q124=""),0,(O124-N124)*IF(Q124&gt;1,Q124/100,Q124)))</f>
        <v/>
      </c>
      <c r="S124" s="14" t="str">
        <f aca="false">IF(O124="","",O124-R124)</f>
        <v/>
      </c>
      <c r="T124" s="11"/>
      <c r="U124" s="18" t="str">
        <f aca="false">IF(T124="","",IFERROR(VLOOKUP(T124,REPS!$A$2:$D$40,2,0),""))</f>
        <v/>
      </c>
      <c r="V124" s="14" t="str">
        <f aca="false">IF(O124="","",IF(U124="",0,O124*IF(U124&gt;1,U124/100,U124)))</f>
        <v/>
      </c>
      <c r="W124" s="11"/>
      <c r="X124" s="18" t="str">
        <f aca="false">IF(W124="","",IFERROR(VLOOKUP(W124,REPS!$A$2:$D$40,3,0),""))</f>
        <v/>
      </c>
      <c r="Y124" s="14" t="str">
        <f aca="false">IF(O124="","",IF(X124="",0,O124*IF(X124&gt;1,X124/100,X124)))</f>
        <v/>
      </c>
      <c r="Z124" s="11"/>
      <c r="AA124" s="18" t="str">
        <f aca="false">IF(Z124="","",IFERROR(VLOOKUP(Z124,REPS!$A$2:$D$40,4,0),""))</f>
        <v/>
      </c>
      <c r="AB124" s="14" t="str">
        <f aca="false">IF(O124="","",IF(AA124="",0,O124*IF(AA124&gt;1,AA124/100,AA124)))</f>
        <v/>
      </c>
      <c r="AC124" s="14" t="str">
        <f aca="false">IF(O124="","",V124+Y124+AB124)</f>
        <v/>
      </c>
      <c r="AD124" s="19" t="str">
        <f aca="false">IF(O124="","",O124-R124-AC124)</f>
        <v/>
      </c>
      <c r="AE124" s="20"/>
      <c r="AF124" s="10"/>
      <c r="AG124" s="21" t="n">
        <f aca="false">IF(OR(AE124="",AE124=0),0,AE124*IF(U124="",0,IF(U124&gt;1,U124/100,U124)))</f>
        <v>0</v>
      </c>
      <c r="AH124" s="21" t="n">
        <f aca="false">IF(OR(AE124="",AE124=0),0,AE124*IF(X124="",0,IF(X124&gt;1,X124/100,X124)))</f>
        <v>0</v>
      </c>
      <c r="AI124" s="21" t="n">
        <f aca="false">IF(OR(AE124="",AE124=0),0,AE124*IF(AA124="",0,IF(AA124&gt;1,AA124/100,AA124)))</f>
        <v>0</v>
      </c>
      <c r="AJ124" s="21" t="n">
        <f aca="false">AG124+AH124+AI124</f>
        <v>0</v>
      </c>
      <c r="AK124" s="21" t="n">
        <f aca="false">IF(OR(AE124="",AE124=0),0,AE124-AJ124)</f>
        <v>0</v>
      </c>
      <c r="AL124" s="19" t="str">
        <f aca="false">IF(AD124="","",AD124-AK124)</f>
        <v/>
      </c>
      <c r="AM124" s="9" t="str">
        <f aca="false">IF(C124="","","Waiting for payment")</f>
        <v/>
      </c>
      <c r="AN124" s="10"/>
      <c r="AO124" s="10"/>
      <c r="AP124" s="22" t="str">
        <f aca="false">IF(OR(C124="",I124="",K124=""),"",IF(K124="Monthly",EDATE(C124,ROUND(I124*SETTINGS!$I$8,0)),WORKDAY(C124,ROUND(I124*SETTINGS!$I$8,0))))</f>
        <v/>
      </c>
      <c r="AQ124" s="9" t="str">
        <f aca="true">IF(C124="","",IF(AND(AP124&lt;&gt;"",TODAY()&gt;=AP124),"Refi Ready",IF(TODAY()-C124&gt;=SETTINGS!$I$11,"Prospecting","Performing")))</f>
        <v/>
      </c>
      <c r="AR124" s="22" t="str">
        <f aca="false">IF(OR(C124="",I124="",K124=""),"",IF(K124="Monthly",EDATE(C124,I124),WORKDAY(C124,I124)))</f>
        <v/>
      </c>
      <c r="AS124" s="11"/>
      <c r="AT124" s="23" t="str">
        <f aca="true">IF(C124="","",IF(AM124="Clawed Back","CLAWED",IF(TODAY()&lt;=C124+SETTINGS!$I$2,"⚠ AT RISK","SAFE")))</f>
        <v/>
      </c>
      <c r="AU124" s="11"/>
      <c r="AW124" s="24" t="n">
        <f aca="false">AW123+IF(AND(C124&lt;&gt;"",AO124&lt;&gt;"",OR('REP COMMISSION'!$B$3="",T124='REP COMMISSION'!$B$3,W124='REP COMMISSION'!$B$3,Z124='REP COMMISSION'!$B$3)),1,0)</f>
        <v>0</v>
      </c>
      <c r="AX124" s="24" t="n">
        <f aca="false">AX123+IF(AND(C124&lt;&gt;"",OR(F124="LOC - INITIAL",F124="CONSOLIDATION - UPFRONT COMM",F124="REVERSE - TOTAL FUNDING")),1,0)</f>
        <v>0</v>
      </c>
    </row>
    <row r="125" customFormat="false" ht="15" hidden="false" customHeight="false" outlineLevel="0" collapsed="false">
      <c r="A125" s="25" t="str">
        <f aca="false">IF(C125&lt;&gt;"","F27-"&amp;COUNT($C$4:C125),"")</f>
        <v/>
      </c>
      <c r="B125" s="26" t="str">
        <f aca="false">IF(OR(F125="LOC - INITIAL",F125="CONSOLIDATION - UPFRONT COMM",F125="REVERSE - TOTAL FUNDING"),A125,"")</f>
        <v/>
      </c>
      <c r="C125" s="27"/>
      <c r="D125" s="28"/>
      <c r="E125" s="28"/>
      <c r="F125" s="28"/>
      <c r="G125" s="29"/>
      <c r="H125" s="30"/>
      <c r="I125" s="28"/>
      <c r="J125" s="31" t="str">
        <f aca="false">IF(AND(G125&lt;&gt;"",H125&lt;&gt;""),G125*H125,"")</f>
        <v/>
      </c>
      <c r="K125" s="28"/>
      <c r="L125" s="32"/>
      <c r="M125" s="32"/>
      <c r="N125" s="31" t="n">
        <f aca="false">IF(OR(G125="",M125=""),0,IF(M125&gt;100,M125,G125*IF(M125&gt;1,M125/100,M125)))</f>
        <v>0</v>
      </c>
      <c r="O125" s="31" t="str">
        <f aca="false">IF(G125="","",G125*IF(L125="",0,IF(L125&gt;1,L125/100,L125))+N125)</f>
        <v/>
      </c>
      <c r="P125" s="28"/>
      <c r="Q125" s="33" t="str">
        <f aca="false">IF(P125="","",IFERROR(VLOOKUP(P125,PARTNERS!$A$2:$B$30,2,0),""))</f>
        <v/>
      </c>
      <c r="R125" s="17" t="str">
        <f aca="false">IF(O125="","",IF(OR(P125="",Q125=""),0,(O125-N125)*IF(Q125&gt;1,Q125/100,Q125)))</f>
        <v/>
      </c>
      <c r="S125" s="31" t="str">
        <f aca="false">IF(O125="","",O125-R125)</f>
        <v/>
      </c>
      <c r="T125" s="28"/>
      <c r="U125" s="34" t="str">
        <f aca="false">IF(T125="","",IFERROR(VLOOKUP(T125,REPS!$A$2:$D$40,2,0),""))</f>
        <v/>
      </c>
      <c r="V125" s="31" t="str">
        <f aca="false">IF(O125="","",IF(U125="",0,O125*IF(U125&gt;1,U125/100,U125)))</f>
        <v/>
      </c>
      <c r="W125" s="28"/>
      <c r="X125" s="34" t="str">
        <f aca="false">IF(W125="","",IFERROR(VLOOKUP(W125,REPS!$A$2:$D$40,3,0),""))</f>
        <v/>
      </c>
      <c r="Y125" s="31" t="str">
        <f aca="false">IF(O125="","",IF(X125="",0,O125*IF(X125&gt;1,X125/100,X125)))</f>
        <v/>
      </c>
      <c r="Z125" s="28"/>
      <c r="AA125" s="34" t="str">
        <f aca="false">IF(Z125="","",IFERROR(VLOOKUP(Z125,REPS!$A$2:$D$40,4,0),""))</f>
        <v/>
      </c>
      <c r="AB125" s="31" t="str">
        <f aca="false">IF(O125="","",IF(AA125="",0,O125*IF(AA125&gt;1,AA125/100,AA125)))</f>
        <v/>
      </c>
      <c r="AC125" s="31" t="str">
        <f aca="false">IF(O125="","",V125+Y125+AB125)</f>
        <v/>
      </c>
      <c r="AD125" s="19" t="str">
        <f aca="false">IF(O125="","",O125-R125-AC125)</f>
        <v/>
      </c>
      <c r="AE125" s="20"/>
      <c r="AF125" s="27"/>
      <c r="AG125" s="21" t="n">
        <f aca="false">IF(OR(AE125="",AE125=0),0,AE125*IF(U125="",0,IF(U125&gt;1,U125/100,U125)))</f>
        <v>0</v>
      </c>
      <c r="AH125" s="21" t="n">
        <f aca="false">IF(OR(AE125="",AE125=0),0,AE125*IF(X125="",0,IF(X125&gt;1,X125/100,X125)))</f>
        <v>0</v>
      </c>
      <c r="AI125" s="21" t="n">
        <f aca="false">IF(OR(AE125="",AE125=0),0,AE125*IF(AA125="",0,IF(AA125&gt;1,AA125/100,AA125)))</f>
        <v>0</v>
      </c>
      <c r="AJ125" s="21" t="n">
        <f aca="false">AG125+AH125+AI125</f>
        <v>0</v>
      </c>
      <c r="AK125" s="21" t="n">
        <f aca="false">IF(OR(AE125="",AE125=0),0,AE125-AJ125)</f>
        <v>0</v>
      </c>
      <c r="AL125" s="19" t="str">
        <f aca="false">IF(AD125="","",AD125-AK125)</f>
        <v/>
      </c>
      <c r="AM125" s="26" t="str">
        <f aca="false">IF(C125="","","Waiting for payment")</f>
        <v/>
      </c>
      <c r="AN125" s="27"/>
      <c r="AO125" s="27"/>
      <c r="AP125" s="35" t="str">
        <f aca="false">IF(OR(C125="",I125="",K125=""),"",IF(K125="Monthly",EDATE(C125,ROUND(I125*SETTINGS!$I$8,0)),WORKDAY(C125,ROUND(I125*SETTINGS!$I$8,0))))</f>
        <v/>
      </c>
      <c r="AQ125" s="26" t="str">
        <f aca="true">IF(C125="","",IF(AND(AP125&lt;&gt;"",TODAY()&gt;=AP125),"Refi Ready",IF(TODAY()-C125&gt;=SETTINGS!$I$11,"Prospecting","Performing")))</f>
        <v/>
      </c>
      <c r="AR125" s="35" t="str">
        <f aca="false">IF(OR(C125="",I125="",K125=""),"",IF(K125="Monthly",EDATE(C125,I125),WORKDAY(C125,I125)))</f>
        <v/>
      </c>
      <c r="AS125" s="28"/>
      <c r="AT125" s="36" t="str">
        <f aca="true">IF(C125="","",IF(AM125="Clawed Back","CLAWED",IF(TODAY()&lt;=C125+SETTINGS!$I$2,"⚠ AT RISK","SAFE")))</f>
        <v/>
      </c>
      <c r="AU125" s="28"/>
      <c r="AW125" s="24" t="n">
        <f aca="false">AW124+IF(AND(C125&lt;&gt;"",AO125&lt;&gt;"",OR('REP COMMISSION'!$B$3="",T125='REP COMMISSION'!$B$3,W125='REP COMMISSION'!$B$3,Z125='REP COMMISSION'!$B$3)),1,0)</f>
        <v>0</v>
      </c>
      <c r="AX125" s="24" t="n">
        <f aca="false">AX124+IF(AND(C125&lt;&gt;"",OR(F125="LOC - INITIAL",F125="CONSOLIDATION - UPFRONT COMM",F125="REVERSE - TOTAL FUNDING")),1,0)</f>
        <v>0</v>
      </c>
    </row>
    <row r="126" customFormat="false" ht="15" hidden="false" customHeight="false" outlineLevel="0" collapsed="false">
      <c r="A126" s="8" t="str">
        <f aca="false">IF(C126&lt;&gt;"","F27-"&amp;COUNT($C$4:C126),"")</f>
        <v/>
      </c>
      <c r="B126" s="9" t="str">
        <f aca="false">IF(OR(F126="LOC - INITIAL",F126="CONSOLIDATION - UPFRONT COMM",F126="REVERSE - TOTAL FUNDING"),A126,"")</f>
        <v/>
      </c>
      <c r="C126" s="10"/>
      <c r="D126" s="11"/>
      <c r="E126" s="11"/>
      <c r="F126" s="11"/>
      <c r="G126" s="12"/>
      <c r="H126" s="13"/>
      <c r="I126" s="11"/>
      <c r="J126" s="14" t="str">
        <f aca="false">IF(AND(G126&lt;&gt;"",H126&lt;&gt;""),G126*H126,"")</f>
        <v/>
      </c>
      <c r="K126" s="11"/>
      <c r="L126" s="15"/>
      <c r="M126" s="15"/>
      <c r="N126" s="14" t="n">
        <f aca="false">IF(OR(G126="",M126=""),0,IF(M126&gt;100,M126,G126*IF(M126&gt;1,M126/100,M126)))</f>
        <v>0</v>
      </c>
      <c r="O126" s="14" t="str">
        <f aca="false">IF(G126="","",G126*IF(L126="",0,IF(L126&gt;1,L126/100,L126))+N126)</f>
        <v/>
      </c>
      <c r="P126" s="11"/>
      <c r="Q126" s="16" t="str">
        <f aca="false">IF(P126="","",IFERROR(VLOOKUP(P126,PARTNERS!$A$2:$B$30,2,0),""))</f>
        <v/>
      </c>
      <c r="R126" s="17" t="str">
        <f aca="false">IF(O126="","",IF(OR(P126="",Q126=""),0,(O126-N126)*IF(Q126&gt;1,Q126/100,Q126)))</f>
        <v/>
      </c>
      <c r="S126" s="14" t="str">
        <f aca="false">IF(O126="","",O126-R126)</f>
        <v/>
      </c>
      <c r="T126" s="11"/>
      <c r="U126" s="18" t="str">
        <f aca="false">IF(T126="","",IFERROR(VLOOKUP(T126,REPS!$A$2:$D$40,2,0),""))</f>
        <v/>
      </c>
      <c r="V126" s="14" t="str">
        <f aca="false">IF(O126="","",IF(U126="",0,O126*IF(U126&gt;1,U126/100,U126)))</f>
        <v/>
      </c>
      <c r="W126" s="11"/>
      <c r="X126" s="18" t="str">
        <f aca="false">IF(W126="","",IFERROR(VLOOKUP(W126,REPS!$A$2:$D$40,3,0),""))</f>
        <v/>
      </c>
      <c r="Y126" s="14" t="str">
        <f aca="false">IF(O126="","",IF(X126="",0,O126*IF(X126&gt;1,X126/100,X126)))</f>
        <v/>
      </c>
      <c r="Z126" s="11"/>
      <c r="AA126" s="18" t="str">
        <f aca="false">IF(Z126="","",IFERROR(VLOOKUP(Z126,REPS!$A$2:$D$40,4,0),""))</f>
        <v/>
      </c>
      <c r="AB126" s="14" t="str">
        <f aca="false">IF(O126="","",IF(AA126="",0,O126*IF(AA126&gt;1,AA126/100,AA126)))</f>
        <v/>
      </c>
      <c r="AC126" s="14" t="str">
        <f aca="false">IF(O126="","",V126+Y126+AB126)</f>
        <v/>
      </c>
      <c r="AD126" s="19" t="str">
        <f aca="false">IF(O126="","",O126-R126-AC126)</f>
        <v/>
      </c>
      <c r="AE126" s="20"/>
      <c r="AF126" s="10"/>
      <c r="AG126" s="21" t="n">
        <f aca="false">IF(OR(AE126="",AE126=0),0,AE126*IF(U126="",0,IF(U126&gt;1,U126/100,U126)))</f>
        <v>0</v>
      </c>
      <c r="AH126" s="21" t="n">
        <f aca="false">IF(OR(AE126="",AE126=0),0,AE126*IF(X126="",0,IF(X126&gt;1,X126/100,X126)))</f>
        <v>0</v>
      </c>
      <c r="AI126" s="21" t="n">
        <f aca="false">IF(OR(AE126="",AE126=0),0,AE126*IF(AA126="",0,IF(AA126&gt;1,AA126/100,AA126)))</f>
        <v>0</v>
      </c>
      <c r="AJ126" s="21" t="n">
        <f aca="false">AG126+AH126+AI126</f>
        <v>0</v>
      </c>
      <c r="AK126" s="21" t="n">
        <f aca="false">IF(OR(AE126="",AE126=0),0,AE126-AJ126)</f>
        <v>0</v>
      </c>
      <c r="AL126" s="19" t="str">
        <f aca="false">IF(AD126="","",AD126-AK126)</f>
        <v/>
      </c>
      <c r="AM126" s="9" t="str">
        <f aca="false">IF(C126="","","Waiting for payment")</f>
        <v/>
      </c>
      <c r="AN126" s="10"/>
      <c r="AO126" s="10"/>
      <c r="AP126" s="22" t="str">
        <f aca="false">IF(OR(C126="",I126="",K126=""),"",IF(K126="Monthly",EDATE(C126,ROUND(I126*SETTINGS!$I$8,0)),WORKDAY(C126,ROUND(I126*SETTINGS!$I$8,0))))</f>
        <v/>
      </c>
      <c r="AQ126" s="9" t="str">
        <f aca="true">IF(C126="","",IF(AND(AP126&lt;&gt;"",TODAY()&gt;=AP126),"Refi Ready",IF(TODAY()-C126&gt;=SETTINGS!$I$11,"Prospecting","Performing")))</f>
        <v/>
      </c>
      <c r="AR126" s="22" t="str">
        <f aca="false">IF(OR(C126="",I126="",K126=""),"",IF(K126="Monthly",EDATE(C126,I126),WORKDAY(C126,I126)))</f>
        <v/>
      </c>
      <c r="AS126" s="11"/>
      <c r="AT126" s="23" t="str">
        <f aca="true">IF(C126="","",IF(AM126="Clawed Back","CLAWED",IF(TODAY()&lt;=C126+SETTINGS!$I$2,"⚠ AT RISK","SAFE")))</f>
        <v/>
      </c>
      <c r="AU126" s="11"/>
      <c r="AW126" s="24" t="n">
        <f aca="false">AW125+IF(AND(C126&lt;&gt;"",AO126&lt;&gt;"",OR('REP COMMISSION'!$B$3="",T126='REP COMMISSION'!$B$3,W126='REP COMMISSION'!$B$3,Z126='REP COMMISSION'!$B$3)),1,0)</f>
        <v>0</v>
      </c>
      <c r="AX126" s="24" t="n">
        <f aca="false">AX125+IF(AND(C126&lt;&gt;"",OR(F126="LOC - INITIAL",F126="CONSOLIDATION - UPFRONT COMM",F126="REVERSE - TOTAL FUNDING")),1,0)</f>
        <v>0</v>
      </c>
    </row>
    <row r="127" customFormat="false" ht="15" hidden="false" customHeight="false" outlineLevel="0" collapsed="false">
      <c r="A127" s="25" t="str">
        <f aca="false">IF(C127&lt;&gt;"","F27-"&amp;COUNT($C$4:C127),"")</f>
        <v/>
      </c>
      <c r="B127" s="26" t="str">
        <f aca="false">IF(OR(F127="LOC - INITIAL",F127="CONSOLIDATION - UPFRONT COMM",F127="REVERSE - TOTAL FUNDING"),A127,"")</f>
        <v/>
      </c>
      <c r="C127" s="27"/>
      <c r="D127" s="28"/>
      <c r="E127" s="28"/>
      <c r="F127" s="28"/>
      <c r="G127" s="29"/>
      <c r="H127" s="30"/>
      <c r="I127" s="28"/>
      <c r="J127" s="31" t="str">
        <f aca="false">IF(AND(G127&lt;&gt;"",H127&lt;&gt;""),G127*H127,"")</f>
        <v/>
      </c>
      <c r="K127" s="28"/>
      <c r="L127" s="32"/>
      <c r="M127" s="32"/>
      <c r="N127" s="31" t="n">
        <f aca="false">IF(OR(G127="",M127=""),0,IF(M127&gt;100,M127,G127*IF(M127&gt;1,M127/100,M127)))</f>
        <v>0</v>
      </c>
      <c r="O127" s="31" t="str">
        <f aca="false">IF(G127="","",G127*IF(L127="",0,IF(L127&gt;1,L127/100,L127))+N127)</f>
        <v/>
      </c>
      <c r="P127" s="28"/>
      <c r="Q127" s="33" t="str">
        <f aca="false">IF(P127="","",IFERROR(VLOOKUP(P127,PARTNERS!$A$2:$B$30,2,0),""))</f>
        <v/>
      </c>
      <c r="R127" s="17" t="str">
        <f aca="false">IF(O127="","",IF(OR(P127="",Q127=""),0,(O127-N127)*IF(Q127&gt;1,Q127/100,Q127)))</f>
        <v/>
      </c>
      <c r="S127" s="31" t="str">
        <f aca="false">IF(O127="","",O127-R127)</f>
        <v/>
      </c>
      <c r="T127" s="28"/>
      <c r="U127" s="34" t="str">
        <f aca="false">IF(T127="","",IFERROR(VLOOKUP(T127,REPS!$A$2:$D$40,2,0),""))</f>
        <v/>
      </c>
      <c r="V127" s="31" t="str">
        <f aca="false">IF(O127="","",IF(U127="",0,O127*IF(U127&gt;1,U127/100,U127)))</f>
        <v/>
      </c>
      <c r="W127" s="28"/>
      <c r="X127" s="34" t="str">
        <f aca="false">IF(W127="","",IFERROR(VLOOKUP(W127,REPS!$A$2:$D$40,3,0),""))</f>
        <v/>
      </c>
      <c r="Y127" s="31" t="str">
        <f aca="false">IF(O127="","",IF(X127="",0,O127*IF(X127&gt;1,X127/100,X127)))</f>
        <v/>
      </c>
      <c r="Z127" s="28"/>
      <c r="AA127" s="34" t="str">
        <f aca="false">IF(Z127="","",IFERROR(VLOOKUP(Z127,REPS!$A$2:$D$40,4,0),""))</f>
        <v/>
      </c>
      <c r="AB127" s="31" t="str">
        <f aca="false">IF(O127="","",IF(AA127="",0,O127*IF(AA127&gt;1,AA127/100,AA127)))</f>
        <v/>
      </c>
      <c r="AC127" s="31" t="str">
        <f aca="false">IF(O127="","",V127+Y127+AB127)</f>
        <v/>
      </c>
      <c r="AD127" s="19" t="str">
        <f aca="false">IF(O127="","",O127-R127-AC127)</f>
        <v/>
      </c>
      <c r="AE127" s="20"/>
      <c r="AF127" s="27"/>
      <c r="AG127" s="21" t="n">
        <f aca="false">IF(OR(AE127="",AE127=0),0,AE127*IF(U127="",0,IF(U127&gt;1,U127/100,U127)))</f>
        <v>0</v>
      </c>
      <c r="AH127" s="21" t="n">
        <f aca="false">IF(OR(AE127="",AE127=0),0,AE127*IF(X127="",0,IF(X127&gt;1,X127/100,X127)))</f>
        <v>0</v>
      </c>
      <c r="AI127" s="21" t="n">
        <f aca="false">IF(OR(AE127="",AE127=0),0,AE127*IF(AA127="",0,IF(AA127&gt;1,AA127/100,AA127)))</f>
        <v>0</v>
      </c>
      <c r="AJ127" s="21" t="n">
        <f aca="false">AG127+AH127+AI127</f>
        <v>0</v>
      </c>
      <c r="AK127" s="21" t="n">
        <f aca="false">IF(OR(AE127="",AE127=0),0,AE127-AJ127)</f>
        <v>0</v>
      </c>
      <c r="AL127" s="19" t="str">
        <f aca="false">IF(AD127="","",AD127-AK127)</f>
        <v/>
      </c>
      <c r="AM127" s="26" t="str">
        <f aca="false">IF(C127="","","Waiting for payment")</f>
        <v/>
      </c>
      <c r="AN127" s="27"/>
      <c r="AO127" s="27"/>
      <c r="AP127" s="35" t="str">
        <f aca="false">IF(OR(C127="",I127="",K127=""),"",IF(K127="Monthly",EDATE(C127,ROUND(I127*SETTINGS!$I$8,0)),WORKDAY(C127,ROUND(I127*SETTINGS!$I$8,0))))</f>
        <v/>
      </c>
      <c r="AQ127" s="26" t="str">
        <f aca="true">IF(C127="","",IF(AND(AP127&lt;&gt;"",TODAY()&gt;=AP127),"Refi Ready",IF(TODAY()-C127&gt;=SETTINGS!$I$11,"Prospecting","Performing")))</f>
        <v/>
      </c>
      <c r="AR127" s="35" t="str">
        <f aca="false">IF(OR(C127="",I127="",K127=""),"",IF(K127="Monthly",EDATE(C127,I127),WORKDAY(C127,I127)))</f>
        <v/>
      </c>
      <c r="AS127" s="28"/>
      <c r="AT127" s="36" t="str">
        <f aca="true">IF(C127="","",IF(AM127="Clawed Back","CLAWED",IF(TODAY()&lt;=C127+SETTINGS!$I$2,"⚠ AT RISK","SAFE")))</f>
        <v/>
      </c>
      <c r="AU127" s="28"/>
      <c r="AW127" s="24" t="n">
        <f aca="false">AW126+IF(AND(C127&lt;&gt;"",AO127&lt;&gt;"",OR('REP COMMISSION'!$B$3="",T127='REP COMMISSION'!$B$3,W127='REP COMMISSION'!$B$3,Z127='REP COMMISSION'!$B$3)),1,0)</f>
        <v>0</v>
      </c>
      <c r="AX127" s="24" t="n">
        <f aca="false">AX126+IF(AND(C127&lt;&gt;"",OR(F127="LOC - INITIAL",F127="CONSOLIDATION - UPFRONT COMM",F127="REVERSE - TOTAL FUNDING")),1,0)</f>
        <v>0</v>
      </c>
    </row>
    <row r="128" customFormat="false" ht="15" hidden="false" customHeight="false" outlineLevel="0" collapsed="false">
      <c r="A128" s="8" t="str">
        <f aca="false">IF(C128&lt;&gt;"","F27-"&amp;COUNT($C$4:C128),"")</f>
        <v/>
      </c>
      <c r="B128" s="9" t="str">
        <f aca="false">IF(OR(F128="LOC - INITIAL",F128="CONSOLIDATION - UPFRONT COMM",F128="REVERSE - TOTAL FUNDING"),A128,"")</f>
        <v/>
      </c>
      <c r="C128" s="10"/>
      <c r="D128" s="11"/>
      <c r="E128" s="11"/>
      <c r="F128" s="11"/>
      <c r="G128" s="12"/>
      <c r="H128" s="13"/>
      <c r="I128" s="11"/>
      <c r="J128" s="14" t="str">
        <f aca="false">IF(AND(G128&lt;&gt;"",H128&lt;&gt;""),G128*H128,"")</f>
        <v/>
      </c>
      <c r="K128" s="11"/>
      <c r="L128" s="15"/>
      <c r="M128" s="15"/>
      <c r="N128" s="14" t="n">
        <f aca="false">IF(OR(G128="",M128=""),0,IF(M128&gt;100,M128,G128*IF(M128&gt;1,M128/100,M128)))</f>
        <v>0</v>
      </c>
      <c r="O128" s="14" t="str">
        <f aca="false">IF(G128="","",G128*IF(L128="",0,IF(L128&gt;1,L128/100,L128))+N128)</f>
        <v/>
      </c>
      <c r="P128" s="11"/>
      <c r="Q128" s="16" t="str">
        <f aca="false">IF(P128="","",IFERROR(VLOOKUP(P128,PARTNERS!$A$2:$B$30,2,0),""))</f>
        <v/>
      </c>
      <c r="R128" s="17" t="str">
        <f aca="false">IF(O128="","",IF(OR(P128="",Q128=""),0,(O128-N128)*IF(Q128&gt;1,Q128/100,Q128)))</f>
        <v/>
      </c>
      <c r="S128" s="14" t="str">
        <f aca="false">IF(O128="","",O128-R128)</f>
        <v/>
      </c>
      <c r="T128" s="11"/>
      <c r="U128" s="18" t="str">
        <f aca="false">IF(T128="","",IFERROR(VLOOKUP(T128,REPS!$A$2:$D$40,2,0),""))</f>
        <v/>
      </c>
      <c r="V128" s="14" t="str">
        <f aca="false">IF(O128="","",IF(U128="",0,O128*IF(U128&gt;1,U128/100,U128)))</f>
        <v/>
      </c>
      <c r="W128" s="11"/>
      <c r="X128" s="18" t="str">
        <f aca="false">IF(W128="","",IFERROR(VLOOKUP(W128,REPS!$A$2:$D$40,3,0),""))</f>
        <v/>
      </c>
      <c r="Y128" s="14" t="str">
        <f aca="false">IF(O128="","",IF(X128="",0,O128*IF(X128&gt;1,X128/100,X128)))</f>
        <v/>
      </c>
      <c r="Z128" s="11"/>
      <c r="AA128" s="18" t="str">
        <f aca="false">IF(Z128="","",IFERROR(VLOOKUP(Z128,REPS!$A$2:$D$40,4,0),""))</f>
        <v/>
      </c>
      <c r="AB128" s="14" t="str">
        <f aca="false">IF(O128="","",IF(AA128="",0,O128*IF(AA128&gt;1,AA128/100,AA128)))</f>
        <v/>
      </c>
      <c r="AC128" s="14" t="str">
        <f aca="false">IF(O128="","",V128+Y128+AB128)</f>
        <v/>
      </c>
      <c r="AD128" s="19" t="str">
        <f aca="false">IF(O128="","",O128-R128-AC128)</f>
        <v/>
      </c>
      <c r="AE128" s="20"/>
      <c r="AF128" s="10"/>
      <c r="AG128" s="21" t="n">
        <f aca="false">IF(OR(AE128="",AE128=0),0,AE128*IF(U128="",0,IF(U128&gt;1,U128/100,U128)))</f>
        <v>0</v>
      </c>
      <c r="AH128" s="21" t="n">
        <f aca="false">IF(OR(AE128="",AE128=0),0,AE128*IF(X128="",0,IF(X128&gt;1,X128/100,X128)))</f>
        <v>0</v>
      </c>
      <c r="AI128" s="21" t="n">
        <f aca="false">IF(OR(AE128="",AE128=0),0,AE128*IF(AA128="",0,IF(AA128&gt;1,AA128/100,AA128)))</f>
        <v>0</v>
      </c>
      <c r="AJ128" s="21" t="n">
        <f aca="false">AG128+AH128+AI128</f>
        <v>0</v>
      </c>
      <c r="AK128" s="21" t="n">
        <f aca="false">IF(OR(AE128="",AE128=0),0,AE128-AJ128)</f>
        <v>0</v>
      </c>
      <c r="AL128" s="19" t="str">
        <f aca="false">IF(AD128="","",AD128-AK128)</f>
        <v/>
      </c>
      <c r="AM128" s="9" t="str">
        <f aca="false">IF(C128="","","Waiting for payment")</f>
        <v/>
      </c>
      <c r="AN128" s="10"/>
      <c r="AO128" s="10"/>
      <c r="AP128" s="22" t="str">
        <f aca="false">IF(OR(C128="",I128="",K128=""),"",IF(K128="Monthly",EDATE(C128,ROUND(I128*SETTINGS!$I$8,0)),WORKDAY(C128,ROUND(I128*SETTINGS!$I$8,0))))</f>
        <v/>
      </c>
      <c r="AQ128" s="9" t="str">
        <f aca="true">IF(C128="","",IF(AND(AP128&lt;&gt;"",TODAY()&gt;=AP128),"Refi Ready",IF(TODAY()-C128&gt;=SETTINGS!$I$11,"Prospecting","Performing")))</f>
        <v/>
      </c>
      <c r="AR128" s="22" t="str">
        <f aca="false">IF(OR(C128="",I128="",K128=""),"",IF(K128="Monthly",EDATE(C128,I128),WORKDAY(C128,I128)))</f>
        <v/>
      </c>
      <c r="AS128" s="11"/>
      <c r="AT128" s="23" t="str">
        <f aca="true">IF(C128="","",IF(AM128="Clawed Back","CLAWED",IF(TODAY()&lt;=C128+SETTINGS!$I$2,"⚠ AT RISK","SAFE")))</f>
        <v/>
      </c>
      <c r="AU128" s="11"/>
      <c r="AW128" s="24" t="n">
        <f aca="false">AW127+IF(AND(C128&lt;&gt;"",AO128&lt;&gt;"",OR('REP COMMISSION'!$B$3="",T128='REP COMMISSION'!$B$3,W128='REP COMMISSION'!$B$3,Z128='REP COMMISSION'!$B$3)),1,0)</f>
        <v>0</v>
      </c>
      <c r="AX128" s="24" t="n">
        <f aca="false">AX127+IF(AND(C128&lt;&gt;"",OR(F128="LOC - INITIAL",F128="CONSOLIDATION - UPFRONT COMM",F128="REVERSE - TOTAL FUNDING")),1,0)</f>
        <v>0</v>
      </c>
    </row>
    <row r="129" customFormat="false" ht="15" hidden="false" customHeight="false" outlineLevel="0" collapsed="false">
      <c r="A129" s="25" t="str">
        <f aca="false">IF(C129&lt;&gt;"","F27-"&amp;COUNT($C$4:C129),"")</f>
        <v/>
      </c>
      <c r="B129" s="26" t="str">
        <f aca="false">IF(OR(F129="LOC - INITIAL",F129="CONSOLIDATION - UPFRONT COMM",F129="REVERSE - TOTAL FUNDING"),A129,"")</f>
        <v/>
      </c>
      <c r="C129" s="27"/>
      <c r="D129" s="28"/>
      <c r="E129" s="28"/>
      <c r="F129" s="28"/>
      <c r="G129" s="29"/>
      <c r="H129" s="30"/>
      <c r="I129" s="28"/>
      <c r="J129" s="31" t="str">
        <f aca="false">IF(AND(G129&lt;&gt;"",H129&lt;&gt;""),G129*H129,"")</f>
        <v/>
      </c>
      <c r="K129" s="28"/>
      <c r="L129" s="32"/>
      <c r="M129" s="32"/>
      <c r="N129" s="31" t="n">
        <f aca="false">IF(OR(G129="",M129=""),0,IF(M129&gt;100,M129,G129*IF(M129&gt;1,M129/100,M129)))</f>
        <v>0</v>
      </c>
      <c r="O129" s="31" t="str">
        <f aca="false">IF(G129="","",G129*IF(L129="",0,IF(L129&gt;1,L129/100,L129))+N129)</f>
        <v/>
      </c>
      <c r="P129" s="28"/>
      <c r="Q129" s="33" t="str">
        <f aca="false">IF(P129="","",IFERROR(VLOOKUP(P129,PARTNERS!$A$2:$B$30,2,0),""))</f>
        <v/>
      </c>
      <c r="R129" s="17" t="str">
        <f aca="false">IF(O129="","",IF(OR(P129="",Q129=""),0,(O129-N129)*IF(Q129&gt;1,Q129/100,Q129)))</f>
        <v/>
      </c>
      <c r="S129" s="31" t="str">
        <f aca="false">IF(O129="","",O129-R129)</f>
        <v/>
      </c>
      <c r="T129" s="28"/>
      <c r="U129" s="34" t="str">
        <f aca="false">IF(T129="","",IFERROR(VLOOKUP(T129,REPS!$A$2:$D$40,2,0),""))</f>
        <v/>
      </c>
      <c r="V129" s="31" t="str">
        <f aca="false">IF(O129="","",IF(U129="",0,O129*IF(U129&gt;1,U129/100,U129)))</f>
        <v/>
      </c>
      <c r="W129" s="28"/>
      <c r="X129" s="34" t="str">
        <f aca="false">IF(W129="","",IFERROR(VLOOKUP(W129,REPS!$A$2:$D$40,3,0),""))</f>
        <v/>
      </c>
      <c r="Y129" s="31" t="str">
        <f aca="false">IF(O129="","",IF(X129="",0,O129*IF(X129&gt;1,X129/100,X129)))</f>
        <v/>
      </c>
      <c r="Z129" s="28"/>
      <c r="AA129" s="34" t="str">
        <f aca="false">IF(Z129="","",IFERROR(VLOOKUP(Z129,REPS!$A$2:$D$40,4,0),""))</f>
        <v/>
      </c>
      <c r="AB129" s="31" t="str">
        <f aca="false">IF(O129="","",IF(AA129="",0,O129*IF(AA129&gt;1,AA129/100,AA129)))</f>
        <v/>
      </c>
      <c r="AC129" s="31" t="str">
        <f aca="false">IF(O129="","",V129+Y129+AB129)</f>
        <v/>
      </c>
      <c r="AD129" s="19" t="str">
        <f aca="false">IF(O129="","",O129-R129-AC129)</f>
        <v/>
      </c>
      <c r="AE129" s="20"/>
      <c r="AF129" s="27"/>
      <c r="AG129" s="21" t="n">
        <f aca="false">IF(OR(AE129="",AE129=0),0,AE129*IF(U129="",0,IF(U129&gt;1,U129/100,U129)))</f>
        <v>0</v>
      </c>
      <c r="AH129" s="21" t="n">
        <f aca="false">IF(OR(AE129="",AE129=0),0,AE129*IF(X129="",0,IF(X129&gt;1,X129/100,X129)))</f>
        <v>0</v>
      </c>
      <c r="AI129" s="21" t="n">
        <f aca="false">IF(OR(AE129="",AE129=0),0,AE129*IF(AA129="",0,IF(AA129&gt;1,AA129/100,AA129)))</f>
        <v>0</v>
      </c>
      <c r="AJ129" s="21" t="n">
        <f aca="false">AG129+AH129+AI129</f>
        <v>0</v>
      </c>
      <c r="AK129" s="21" t="n">
        <f aca="false">IF(OR(AE129="",AE129=0),0,AE129-AJ129)</f>
        <v>0</v>
      </c>
      <c r="AL129" s="19" t="str">
        <f aca="false">IF(AD129="","",AD129-AK129)</f>
        <v/>
      </c>
      <c r="AM129" s="26" t="str">
        <f aca="false">IF(C129="","","Waiting for payment")</f>
        <v/>
      </c>
      <c r="AN129" s="27"/>
      <c r="AO129" s="27"/>
      <c r="AP129" s="35" t="str">
        <f aca="false">IF(OR(C129="",I129="",K129=""),"",IF(K129="Monthly",EDATE(C129,ROUND(I129*SETTINGS!$I$8,0)),WORKDAY(C129,ROUND(I129*SETTINGS!$I$8,0))))</f>
        <v/>
      </c>
      <c r="AQ129" s="26" t="str">
        <f aca="true">IF(C129="","",IF(AND(AP129&lt;&gt;"",TODAY()&gt;=AP129),"Refi Ready",IF(TODAY()-C129&gt;=SETTINGS!$I$11,"Prospecting","Performing")))</f>
        <v/>
      </c>
      <c r="AR129" s="35" t="str">
        <f aca="false">IF(OR(C129="",I129="",K129=""),"",IF(K129="Monthly",EDATE(C129,I129),WORKDAY(C129,I129)))</f>
        <v/>
      </c>
      <c r="AS129" s="28"/>
      <c r="AT129" s="36" t="str">
        <f aca="true">IF(C129="","",IF(AM129="Clawed Back","CLAWED",IF(TODAY()&lt;=C129+SETTINGS!$I$2,"⚠ AT RISK","SAFE")))</f>
        <v/>
      </c>
      <c r="AU129" s="28"/>
      <c r="AW129" s="24" t="n">
        <f aca="false">AW128+IF(AND(C129&lt;&gt;"",AO129&lt;&gt;"",OR('REP COMMISSION'!$B$3="",T129='REP COMMISSION'!$B$3,W129='REP COMMISSION'!$B$3,Z129='REP COMMISSION'!$B$3)),1,0)</f>
        <v>0</v>
      </c>
      <c r="AX129" s="24" t="n">
        <f aca="false">AX128+IF(AND(C129&lt;&gt;"",OR(F129="LOC - INITIAL",F129="CONSOLIDATION - UPFRONT COMM",F129="REVERSE - TOTAL FUNDING")),1,0)</f>
        <v>0</v>
      </c>
    </row>
    <row r="130" customFormat="false" ht="15" hidden="false" customHeight="false" outlineLevel="0" collapsed="false">
      <c r="A130" s="8" t="str">
        <f aca="false">IF(C130&lt;&gt;"","F27-"&amp;COUNT($C$4:C130),"")</f>
        <v/>
      </c>
      <c r="B130" s="9" t="str">
        <f aca="false">IF(OR(F130="LOC - INITIAL",F130="CONSOLIDATION - UPFRONT COMM",F130="REVERSE - TOTAL FUNDING"),A130,"")</f>
        <v/>
      </c>
      <c r="C130" s="10"/>
      <c r="D130" s="11"/>
      <c r="E130" s="11"/>
      <c r="F130" s="11"/>
      <c r="G130" s="12"/>
      <c r="H130" s="13"/>
      <c r="I130" s="11"/>
      <c r="J130" s="14" t="str">
        <f aca="false">IF(AND(G130&lt;&gt;"",H130&lt;&gt;""),G130*H130,"")</f>
        <v/>
      </c>
      <c r="K130" s="11"/>
      <c r="L130" s="15"/>
      <c r="M130" s="15"/>
      <c r="N130" s="14" t="n">
        <f aca="false">IF(OR(G130="",M130=""),0,IF(M130&gt;100,M130,G130*IF(M130&gt;1,M130/100,M130)))</f>
        <v>0</v>
      </c>
      <c r="O130" s="14" t="str">
        <f aca="false">IF(G130="","",G130*IF(L130="",0,IF(L130&gt;1,L130/100,L130))+N130)</f>
        <v/>
      </c>
      <c r="P130" s="11"/>
      <c r="Q130" s="16" t="str">
        <f aca="false">IF(P130="","",IFERROR(VLOOKUP(P130,PARTNERS!$A$2:$B$30,2,0),""))</f>
        <v/>
      </c>
      <c r="R130" s="17" t="str">
        <f aca="false">IF(O130="","",IF(OR(P130="",Q130=""),0,(O130-N130)*IF(Q130&gt;1,Q130/100,Q130)))</f>
        <v/>
      </c>
      <c r="S130" s="14" t="str">
        <f aca="false">IF(O130="","",O130-R130)</f>
        <v/>
      </c>
      <c r="T130" s="11"/>
      <c r="U130" s="18" t="str">
        <f aca="false">IF(T130="","",IFERROR(VLOOKUP(T130,REPS!$A$2:$D$40,2,0),""))</f>
        <v/>
      </c>
      <c r="V130" s="14" t="str">
        <f aca="false">IF(O130="","",IF(U130="",0,O130*IF(U130&gt;1,U130/100,U130)))</f>
        <v/>
      </c>
      <c r="W130" s="11"/>
      <c r="X130" s="18" t="str">
        <f aca="false">IF(W130="","",IFERROR(VLOOKUP(W130,REPS!$A$2:$D$40,3,0),""))</f>
        <v/>
      </c>
      <c r="Y130" s="14" t="str">
        <f aca="false">IF(O130="","",IF(X130="",0,O130*IF(X130&gt;1,X130/100,X130)))</f>
        <v/>
      </c>
      <c r="Z130" s="11"/>
      <c r="AA130" s="18" t="str">
        <f aca="false">IF(Z130="","",IFERROR(VLOOKUP(Z130,REPS!$A$2:$D$40,4,0),""))</f>
        <v/>
      </c>
      <c r="AB130" s="14" t="str">
        <f aca="false">IF(O130="","",IF(AA130="",0,O130*IF(AA130&gt;1,AA130/100,AA130)))</f>
        <v/>
      </c>
      <c r="AC130" s="14" t="str">
        <f aca="false">IF(O130="","",V130+Y130+AB130)</f>
        <v/>
      </c>
      <c r="AD130" s="19" t="str">
        <f aca="false">IF(O130="","",O130-R130-AC130)</f>
        <v/>
      </c>
      <c r="AE130" s="20"/>
      <c r="AF130" s="10"/>
      <c r="AG130" s="21" t="n">
        <f aca="false">IF(OR(AE130="",AE130=0),0,AE130*IF(U130="",0,IF(U130&gt;1,U130/100,U130)))</f>
        <v>0</v>
      </c>
      <c r="AH130" s="21" t="n">
        <f aca="false">IF(OR(AE130="",AE130=0),0,AE130*IF(X130="",0,IF(X130&gt;1,X130/100,X130)))</f>
        <v>0</v>
      </c>
      <c r="AI130" s="21" t="n">
        <f aca="false">IF(OR(AE130="",AE130=0),0,AE130*IF(AA130="",0,IF(AA130&gt;1,AA130/100,AA130)))</f>
        <v>0</v>
      </c>
      <c r="AJ130" s="21" t="n">
        <f aca="false">AG130+AH130+AI130</f>
        <v>0</v>
      </c>
      <c r="AK130" s="21" t="n">
        <f aca="false">IF(OR(AE130="",AE130=0),0,AE130-AJ130)</f>
        <v>0</v>
      </c>
      <c r="AL130" s="19" t="str">
        <f aca="false">IF(AD130="","",AD130-AK130)</f>
        <v/>
      </c>
      <c r="AM130" s="9" t="str">
        <f aca="false">IF(C130="","","Waiting for payment")</f>
        <v/>
      </c>
      <c r="AN130" s="10"/>
      <c r="AO130" s="10"/>
      <c r="AP130" s="22" t="str">
        <f aca="false">IF(OR(C130="",I130="",K130=""),"",IF(K130="Monthly",EDATE(C130,ROUND(I130*SETTINGS!$I$8,0)),WORKDAY(C130,ROUND(I130*SETTINGS!$I$8,0))))</f>
        <v/>
      </c>
      <c r="AQ130" s="9" t="str">
        <f aca="true">IF(C130="","",IF(AND(AP130&lt;&gt;"",TODAY()&gt;=AP130),"Refi Ready",IF(TODAY()-C130&gt;=SETTINGS!$I$11,"Prospecting","Performing")))</f>
        <v/>
      </c>
      <c r="AR130" s="22" t="str">
        <f aca="false">IF(OR(C130="",I130="",K130=""),"",IF(K130="Monthly",EDATE(C130,I130),WORKDAY(C130,I130)))</f>
        <v/>
      </c>
      <c r="AS130" s="11"/>
      <c r="AT130" s="23" t="str">
        <f aca="true">IF(C130="","",IF(AM130="Clawed Back","CLAWED",IF(TODAY()&lt;=C130+SETTINGS!$I$2,"⚠ AT RISK","SAFE")))</f>
        <v/>
      </c>
      <c r="AU130" s="11"/>
      <c r="AW130" s="24" t="n">
        <f aca="false">AW129+IF(AND(C130&lt;&gt;"",AO130&lt;&gt;"",OR('REP COMMISSION'!$B$3="",T130='REP COMMISSION'!$B$3,W130='REP COMMISSION'!$B$3,Z130='REP COMMISSION'!$B$3)),1,0)</f>
        <v>0</v>
      </c>
      <c r="AX130" s="24" t="n">
        <f aca="false">AX129+IF(AND(C130&lt;&gt;"",OR(F130="LOC - INITIAL",F130="CONSOLIDATION - UPFRONT COMM",F130="REVERSE - TOTAL FUNDING")),1,0)</f>
        <v>0</v>
      </c>
    </row>
    <row r="131" customFormat="false" ht="15" hidden="false" customHeight="false" outlineLevel="0" collapsed="false">
      <c r="A131" s="25" t="str">
        <f aca="false">IF(C131&lt;&gt;"","F27-"&amp;COUNT($C$4:C131),"")</f>
        <v/>
      </c>
      <c r="B131" s="26" t="str">
        <f aca="false">IF(OR(F131="LOC - INITIAL",F131="CONSOLIDATION - UPFRONT COMM",F131="REVERSE - TOTAL FUNDING"),A131,"")</f>
        <v/>
      </c>
      <c r="C131" s="27"/>
      <c r="D131" s="28"/>
      <c r="E131" s="28"/>
      <c r="F131" s="28"/>
      <c r="G131" s="29"/>
      <c r="H131" s="30"/>
      <c r="I131" s="28"/>
      <c r="J131" s="31" t="str">
        <f aca="false">IF(AND(G131&lt;&gt;"",H131&lt;&gt;""),G131*H131,"")</f>
        <v/>
      </c>
      <c r="K131" s="28"/>
      <c r="L131" s="32"/>
      <c r="M131" s="32"/>
      <c r="N131" s="31" t="n">
        <f aca="false">IF(OR(G131="",M131=""),0,IF(M131&gt;100,M131,G131*IF(M131&gt;1,M131/100,M131)))</f>
        <v>0</v>
      </c>
      <c r="O131" s="31" t="str">
        <f aca="false">IF(G131="","",G131*IF(L131="",0,IF(L131&gt;1,L131/100,L131))+N131)</f>
        <v/>
      </c>
      <c r="P131" s="28"/>
      <c r="Q131" s="33" t="str">
        <f aca="false">IF(P131="","",IFERROR(VLOOKUP(P131,PARTNERS!$A$2:$B$30,2,0),""))</f>
        <v/>
      </c>
      <c r="R131" s="17" t="str">
        <f aca="false">IF(O131="","",IF(OR(P131="",Q131=""),0,(O131-N131)*IF(Q131&gt;1,Q131/100,Q131)))</f>
        <v/>
      </c>
      <c r="S131" s="31" t="str">
        <f aca="false">IF(O131="","",O131-R131)</f>
        <v/>
      </c>
      <c r="T131" s="28"/>
      <c r="U131" s="34" t="str">
        <f aca="false">IF(T131="","",IFERROR(VLOOKUP(T131,REPS!$A$2:$D$40,2,0),""))</f>
        <v/>
      </c>
      <c r="V131" s="31" t="str">
        <f aca="false">IF(O131="","",IF(U131="",0,O131*IF(U131&gt;1,U131/100,U131)))</f>
        <v/>
      </c>
      <c r="W131" s="28"/>
      <c r="X131" s="34" t="str">
        <f aca="false">IF(W131="","",IFERROR(VLOOKUP(W131,REPS!$A$2:$D$40,3,0),""))</f>
        <v/>
      </c>
      <c r="Y131" s="31" t="str">
        <f aca="false">IF(O131="","",IF(X131="",0,O131*IF(X131&gt;1,X131/100,X131)))</f>
        <v/>
      </c>
      <c r="Z131" s="28"/>
      <c r="AA131" s="34" t="str">
        <f aca="false">IF(Z131="","",IFERROR(VLOOKUP(Z131,REPS!$A$2:$D$40,4,0),""))</f>
        <v/>
      </c>
      <c r="AB131" s="31" t="str">
        <f aca="false">IF(O131="","",IF(AA131="",0,O131*IF(AA131&gt;1,AA131/100,AA131)))</f>
        <v/>
      </c>
      <c r="AC131" s="31" t="str">
        <f aca="false">IF(O131="","",V131+Y131+AB131)</f>
        <v/>
      </c>
      <c r="AD131" s="19" t="str">
        <f aca="false">IF(O131="","",O131-R131-AC131)</f>
        <v/>
      </c>
      <c r="AE131" s="20"/>
      <c r="AF131" s="27"/>
      <c r="AG131" s="21" t="n">
        <f aca="false">IF(OR(AE131="",AE131=0),0,AE131*IF(U131="",0,IF(U131&gt;1,U131/100,U131)))</f>
        <v>0</v>
      </c>
      <c r="AH131" s="21" t="n">
        <f aca="false">IF(OR(AE131="",AE131=0),0,AE131*IF(X131="",0,IF(X131&gt;1,X131/100,X131)))</f>
        <v>0</v>
      </c>
      <c r="AI131" s="21" t="n">
        <f aca="false">IF(OR(AE131="",AE131=0),0,AE131*IF(AA131="",0,IF(AA131&gt;1,AA131/100,AA131)))</f>
        <v>0</v>
      </c>
      <c r="AJ131" s="21" t="n">
        <f aca="false">AG131+AH131+AI131</f>
        <v>0</v>
      </c>
      <c r="AK131" s="21" t="n">
        <f aca="false">IF(OR(AE131="",AE131=0),0,AE131-AJ131)</f>
        <v>0</v>
      </c>
      <c r="AL131" s="19" t="str">
        <f aca="false">IF(AD131="","",AD131-AK131)</f>
        <v/>
      </c>
      <c r="AM131" s="26" t="str">
        <f aca="false">IF(C131="","","Waiting for payment")</f>
        <v/>
      </c>
      <c r="AN131" s="27"/>
      <c r="AO131" s="27"/>
      <c r="AP131" s="35" t="str">
        <f aca="false">IF(OR(C131="",I131="",K131=""),"",IF(K131="Monthly",EDATE(C131,ROUND(I131*SETTINGS!$I$8,0)),WORKDAY(C131,ROUND(I131*SETTINGS!$I$8,0))))</f>
        <v/>
      </c>
      <c r="AQ131" s="26" t="str">
        <f aca="true">IF(C131="","",IF(AND(AP131&lt;&gt;"",TODAY()&gt;=AP131),"Refi Ready",IF(TODAY()-C131&gt;=SETTINGS!$I$11,"Prospecting","Performing")))</f>
        <v/>
      </c>
      <c r="AR131" s="35" t="str">
        <f aca="false">IF(OR(C131="",I131="",K131=""),"",IF(K131="Monthly",EDATE(C131,I131),WORKDAY(C131,I131)))</f>
        <v/>
      </c>
      <c r="AS131" s="28"/>
      <c r="AT131" s="36" t="str">
        <f aca="true">IF(C131="","",IF(AM131="Clawed Back","CLAWED",IF(TODAY()&lt;=C131+SETTINGS!$I$2,"⚠ AT RISK","SAFE")))</f>
        <v/>
      </c>
      <c r="AU131" s="28"/>
      <c r="AW131" s="24" t="n">
        <f aca="false">AW130+IF(AND(C131&lt;&gt;"",AO131&lt;&gt;"",OR('REP COMMISSION'!$B$3="",T131='REP COMMISSION'!$B$3,W131='REP COMMISSION'!$B$3,Z131='REP COMMISSION'!$B$3)),1,0)</f>
        <v>0</v>
      </c>
      <c r="AX131" s="24" t="n">
        <f aca="false">AX130+IF(AND(C131&lt;&gt;"",OR(F131="LOC - INITIAL",F131="CONSOLIDATION - UPFRONT COMM",F131="REVERSE - TOTAL FUNDING")),1,0)</f>
        <v>0</v>
      </c>
    </row>
    <row r="132" customFormat="false" ht="15" hidden="false" customHeight="false" outlineLevel="0" collapsed="false">
      <c r="A132" s="8" t="str">
        <f aca="false">IF(C132&lt;&gt;"","F27-"&amp;COUNT($C$4:C132),"")</f>
        <v/>
      </c>
      <c r="B132" s="9" t="str">
        <f aca="false">IF(OR(F132="LOC - INITIAL",F132="CONSOLIDATION - UPFRONT COMM",F132="REVERSE - TOTAL FUNDING"),A132,"")</f>
        <v/>
      </c>
      <c r="C132" s="10"/>
      <c r="D132" s="11"/>
      <c r="E132" s="11"/>
      <c r="F132" s="11"/>
      <c r="G132" s="12"/>
      <c r="H132" s="13"/>
      <c r="I132" s="11"/>
      <c r="J132" s="14" t="str">
        <f aca="false">IF(AND(G132&lt;&gt;"",H132&lt;&gt;""),G132*H132,"")</f>
        <v/>
      </c>
      <c r="K132" s="11"/>
      <c r="L132" s="15"/>
      <c r="M132" s="15"/>
      <c r="N132" s="14" t="n">
        <f aca="false">IF(OR(G132="",M132=""),0,IF(M132&gt;100,M132,G132*IF(M132&gt;1,M132/100,M132)))</f>
        <v>0</v>
      </c>
      <c r="O132" s="14" t="str">
        <f aca="false">IF(G132="","",G132*IF(L132="",0,IF(L132&gt;1,L132/100,L132))+N132)</f>
        <v/>
      </c>
      <c r="P132" s="11"/>
      <c r="Q132" s="16" t="str">
        <f aca="false">IF(P132="","",IFERROR(VLOOKUP(P132,PARTNERS!$A$2:$B$30,2,0),""))</f>
        <v/>
      </c>
      <c r="R132" s="17" t="str">
        <f aca="false">IF(O132="","",IF(OR(P132="",Q132=""),0,(O132-N132)*IF(Q132&gt;1,Q132/100,Q132)))</f>
        <v/>
      </c>
      <c r="S132" s="14" t="str">
        <f aca="false">IF(O132="","",O132-R132)</f>
        <v/>
      </c>
      <c r="T132" s="11"/>
      <c r="U132" s="18" t="str">
        <f aca="false">IF(T132="","",IFERROR(VLOOKUP(T132,REPS!$A$2:$D$40,2,0),""))</f>
        <v/>
      </c>
      <c r="V132" s="14" t="str">
        <f aca="false">IF(O132="","",IF(U132="",0,O132*IF(U132&gt;1,U132/100,U132)))</f>
        <v/>
      </c>
      <c r="W132" s="11"/>
      <c r="X132" s="18" t="str">
        <f aca="false">IF(W132="","",IFERROR(VLOOKUP(W132,REPS!$A$2:$D$40,3,0),""))</f>
        <v/>
      </c>
      <c r="Y132" s="14" t="str">
        <f aca="false">IF(O132="","",IF(X132="",0,O132*IF(X132&gt;1,X132/100,X132)))</f>
        <v/>
      </c>
      <c r="Z132" s="11"/>
      <c r="AA132" s="18" t="str">
        <f aca="false">IF(Z132="","",IFERROR(VLOOKUP(Z132,REPS!$A$2:$D$40,4,0),""))</f>
        <v/>
      </c>
      <c r="AB132" s="14" t="str">
        <f aca="false">IF(O132="","",IF(AA132="",0,O132*IF(AA132&gt;1,AA132/100,AA132)))</f>
        <v/>
      </c>
      <c r="AC132" s="14" t="str">
        <f aca="false">IF(O132="","",V132+Y132+AB132)</f>
        <v/>
      </c>
      <c r="AD132" s="19" t="str">
        <f aca="false">IF(O132="","",O132-R132-AC132)</f>
        <v/>
      </c>
      <c r="AE132" s="20"/>
      <c r="AF132" s="10"/>
      <c r="AG132" s="21" t="n">
        <f aca="false">IF(OR(AE132="",AE132=0),0,AE132*IF(U132="",0,IF(U132&gt;1,U132/100,U132)))</f>
        <v>0</v>
      </c>
      <c r="AH132" s="21" t="n">
        <f aca="false">IF(OR(AE132="",AE132=0),0,AE132*IF(X132="",0,IF(X132&gt;1,X132/100,X132)))</f>
        <v>0</v>
      </c>
      <c r="AI132" s="21" t="n">
        <f aca="false">IF(OR(AE132="",AE132=0),0,AE132*IF(AA132="",0,IF(AA132&gt;1,AA132/100,AA132)))</f>
        <v>0</v>
      </c>
      <c r="AJ132" s="21" t="n">
        <f aca="false">AG132+AH132+AI132</f>
        <v>0</v>
      </c>
      <c r="AK132" s="21" t="n">
        <f aca="false">IF(OR(AE132="",AE132=0),0,AE132-AJ132)</f>
        <v>0</v>
      </c>
      <c r="AL132" s="19" t="str">
        <f aca="false">IF(AD132="","",AD132-AK132)</f>
        <v/>
      </c>
      <c r="AM132" s="9" t="str">
        <f aca="false">IF(C132="","","Waiting for payment")</f>
        <v/>
      </c>
      <c r="AN132" s="10"/>
      <c r="AO132" s="10"/>
      <c r="AP132" s="22" t="str">
        <f aca="false">IF(OR(C132="",I132="",K132=""),"",IF(K132="Monthly",EDATE(C132,ROUND(I132*SETTINGS!$I$8,0)),WORKDAY(C132,ROUND(I132*SETTINGS!$I$8,0))))</f>
        <v/>
      </c>
      <c r="AQ132" s="9" t="str">
        <f aca="true">IF(C132="","",IF(AND(AP132&lt;&gt;"",TODAY()&gt;=AP132),"Refi Ready",IF(TODAY()-C132&gt;=SETTINGS!$I$11,"Prospecting","Performing")))</f>
        <v/>
      </c>
      <c r="AR132" s="22" t="str">
        <f aca="false">IF(OR(C132="",I132="",K132=""),"",IF(K132="Monthly",EDATE(C132,I132),WORKDAY(C132,I132)))</f>
        <v/>
      </c>
      <c r="AS132" s="11"/>
      <c r="AT132" s="23" t="str">
        <f aca="true">IF(C132="","",IF(AM132="Clawed Back","CLAWED",IF(TODAY()&lt;=C132+SETTINGS!$I$2,"⚠ AT RISK","SAFE")))</f>
        <v/>
      </c>
      <c r="AU132" s="11"/>
      <c r="AW132" s="24" t="n">
        <f aca="false">AW131+IF(AND(C132&lt;&gt;"",AO132&lt;&gt;"",OR('REP COMMISSION'!$B$3="",T132='REP COMMISSION'!$B$3,W132='REP COMMISSION'!$B$3,Z132='REP COMMISSION'!$B$3)),1,0)</f>
        <v>0</v>
      </c>
      <c r="AX132" s="24" t="n">
        <f aca="false">AX131+IF(AND(C132&lt;&gt;"",OR(F132="LOC - INITIAL",F132="CONSOLIDATION - UPFRONT COMM",F132="REVERSE - TOTAL FUNDING")),1,0)</f>
        <v>0</v>
      </c>
    </row>
    <row r="133" customFormat="false" ht="15" hidden="false" customHeight="false" outlineLevel="0" collapsed="false">
      <c r="A133" s="25" t="str">
        <f aca="false">IF(C133&lt;&gt;"","F27-"&amp;COUNT($C$4:C133),"")</f>
        <v/>
      </c>
      <c r="B133" s="26" t="str">
        <f aca="false">IF(OR(F133="LOC - INITIAL",F133="CONSOLIDATION - UPFRONT COMM",F133="REVERSE - TOTAL FUNDING"),A133,"")</f>
        <v/>
      </c>
      <c r="C133" s="27"/>
      <c r="D133" s="28"/>
      <c r="E133" s="28"/>
      <c r="F133" s="28"/>
      <c r="G133" s="29"/>
      <c r="H133" s="30"/>
      <c r="I133" s="28"/>
      <c r="J133" s="31" t="str">
        <f aca="false">IF(AND(G133&lt;&gt;"",H133&lt;&gt;""),G133*H133,"")</f>
        <v/>
      </c>
      <c r="K133" s="28"/>
      <c r="L133" s="32"/>
      <c r="M133" s="32"/>
      <c r="N133" s="31" t="n">
        <f aca="false">IF(OR(G133="",M133=""),0,IF(M133&gt;100,M133,G133*IF(M133&gt;1,M133/100,M133)))</f>
        <v>0</v>
      </c>
      <c r="O133" s="31" t="str">
        <f aca="false">IF(G133="","",G133*IF(L133="",0,IF(L133&gt;1,L133/100,L133))+N133)</f>
        <v/>
      </c>
      <c r="P133" s="28"/>
      <c r="Q133" s="33" t="str">
        <f aca="false">IF(P133="","",IFERROR(VLOOKUP(P133,PARTNERS!$A$2:$B$30,2,0),""))</f>
        <v/>
      </c>
      <c r="R133" s="17" t="str">
        <f aca="false">IF(O133="","",IF(OR(P133="",Q133=""),0,(O133-N133)*IF(Q133&gt;1,Q133/100,Q133)))</f>
        <v/>
      </c>
      <c r="S133" s="31" t="str">
        <f aca="false">IF(O133="","",O133-R133)</f>
        <v/>
      </c>
      <c r="T133" s="28"/>
      <c r="U133" s="34" t="str">
        <f aca="false">IF(T133="","",IFERROR(VLOOKUP(T133,REPS!$A$2:$D$40,2,0),""))</f>
        <v/>
      </c>
      <c r="V133" s="31" t="str">
        <f aca="false">IF(O133="","",IF(U133="",0,O133*IF(U133&gt;1,U133/100,U133)))</f>
        <v/>
      </c>
      <c r="W133" s="28"/>
      <c r="X133" s="34" t="str">
        <f aca="false">IF(W133="","",IFERROR(VLOOKUP(W133,REPS!$A$2:$D$40,3,0),""))</f>
        <v/>
      </c>
      <c r="Y133" s="31" t="str">
        <f aca="false">IF(O133="","",IF(X133="",0,O133*IF(X133&gt;1,X133/100,X133)))</f>
        <v/>
      </c>
      <c r="Z133" s="28"/>
      <c r="AA133" s="34" t="str">
        <f aca="false">IF(Z133="","",IFERROR(VLOOKUP(Z133,REPS!$A$2:$D$40,4,0),""))</f>
        <v/>
      </c>
      <c r="AB133" s="31" t="str">
        <f aca="false">IF(O133="","",IF(AA133="",0,O133*IF(AA133&gt;1,AA133/100,AA133)))</f>
        <v/>
      </c>
      <c r="AC133" s="31" t="str">
        <f aca="false">IF(O133="","",V133+Y133+AB133)</f>
        <v/>
      </c>
      <c r="AD133" s="19" t="str">
        <f aca="false">IF(O133="","",O133-R133-AC133)</f>
        <v/>
      </c>
      <c r="AE133" s="20"/>
      <c r="AF133" s="27"/>
      <c r="AG133" s="21" t="n">
        <f aca="false">IF(OR(AE133="",AE133=0),0,AE133*IF(U133="",0,IF(U133&gt;1,U133/100,U133)))</f>
        <v>0</v>
      </c>
      <c r="AH133" s="21" t="n">
        <f aca="false">IF(OR(AE133="",AE133=0),0,AE133*IF(X133="",0,IF(X133&gt;1,X133/100,X133)))</f>
        <v>0</v>
      </c>
      <c r="AI133" s="21" t="n">
        <f aca="false">IF(OR(AE133="",AE133=0),0,AE133*IF(AA133="",0,IF(AA133&gt;1,AA133/100,AA133)))</f>
        <v>0</v>
      </c>
      <c r="AJ133" s="21" t="n">
        <f aca="false">AG133+AH133+AI133</f>
        <v>0</v>
      </c>
      <c r="AK133" s="21" t="n">
        <f aca="false">IF(OR(AE133="",AE133=0),0,AE133-AJ133)</f>
        <v>0</v>
      </c>
      <c r="AL133" s="19" t="str">
        <f aca="false">IF(AD133="","",AD133-AK133)</f>
        <v/>
      </c>
      <c r="AM133" s="26" t="str">
        <f aca="false">IF(C133="","","Waiting for payment")</f>
        <v/>
      </c>
      <c r="AN133" s="27"/>
      <c r="AO133" s="27"/>
      <c r="AP133" s="35" t="str">
        <f aca="false">IF(OR(C133="",I133="",K133=""),"",IF(K133="Monthly",EDATE(C133,ROUND(I133*SETTINGS!$I$8,0)),WORKDAY(C133,ROUND(I133*SETTINGS!$I$8,0))))</f>
        <v/>
      </c>
      <c r="AQ133" s="26" t="str">
        <f aca="true">IF(C133="","",IF(AND(AP133&lt;&gt;"",TODAY()&gt;=AP133),"Refi Ready",IF(TODAY()-C133&gt;=SETTINGS!$I$11,"Prospecting","Performing")))</f>
        <v/>
      </c>
      <c r="AR133" s="35" t="str">
        <f aca="false">IF(OR(C133="",I133="",K133=""),"",IF(K133="Monthly",EDATE(C133,I133),WORKDAY(C133,I133)))</f>
        <v/>
      </c>
      <c r="AS133" s="28"/>
      <c r="AT133" s="36" t="str">
        <f aca="true">IF(C133="","",IF(AM133="Clawed Back","CLAWED",IF(TODAY()&lt;=C133+SETTINGS!$I$2,"⚠ AT RISK","SAFE")))</f>
        <v/>
      </c>
      <c r="AU133" s="28"/>
      <c r="AW133" s="24" t="n">
        <f aca="false">AW132+IF(AND(C133&lt;&gt;"",AO133&lt;&gt;"",OR('REP COMMISSION'!$B$3="",T133='REP COMMISSION'!$B$3,W133='REP COMMISSION'!$B$3,Z133='REP COMMISSION'!$B$3)),1,0)</f>
        <v>0</v>
      </c>
      <c r="AX133" s="24" t="n">
        <f aca="false">AX132+IF(AND(C133&lt;&gt;"",OR(F133="LOC - INITIAL",F133="CONSOLIDATION - UPFRONT COMM",F133="REVERSE - TOTAL FUNDING")),1,0)</f>
        <v>0</v>
      </c>
    </row>
    <row r="134" customFormat="false" ht="15" hidden="false" customHeight="false" outlineLevel="0" collapsed="false">
      <c r="A134" s="8" t="str">
        <f aca="false">IF(C134&lt;&gt;"","F27-"&amp;COUNT($C$4:C134),"")</f>
        <v/>
      </c>
      <c r="B134" s="9" t="str">
        <f aca="false">IF(OR(F134="LOC - INITIAL",F134="CONSOLIDATION - UPFRONT COMM",F134="REVERSE - TOTAL FUNDING"),A134,"")</f>
        <v/>
      </c>
      <c r="C134" s="10"/>
      <c r="D134" s="11"/>
      <c r="E134" s="11"/>
      <c r="F134" s="11"/>
      <c r="G134" s="12"/>
      <c r="H134" s="13"/>
      <c r="I134" s="11"/>
      <c r="J134" s="14" t="str">
        <f aca="false">IF(AND(G134&lt;&gt;"",H134&lt;&gt;""),G134*H134,"")</f>
        <v/>
      </c>
      <c r="K134" s="11"/>
      <c r="L134" s="15"/>
      <c r="M134" s="15"/>
      <c r="N134" s="14" t="n">
        <f aca="false">IF(OR(G134="",M134=""),0,IF(M134&gt;100,M134,G134*IF(M134&gt;1,M134/100,M134)))</f>
        <v>0</v>
      </c>
      <c r="O134" s="14" t="str">
        <f aca="false">IF(G134="","",G134*IF(L134="",0,IF(L134&gt;1,L134/100,L134))+N134)</f>
        <v/>
      </c>
      <c r="P134" s="11"/>
      <c r="Q134" s="16" t="str">
        <f aca="false">IF(P134="","",IFERROR(VLOOKUP(P134,PARTNERS!$A$2:$B$30,2,0),""))</f>
        <v/>
      </c>
      <c r="R134" s="17" t="str">
        <f aca="false">IF(O134="","",IF(OR(P134="",Q134=""),0,(O134-N134)*IF(Q134&gt;1,Q134/100,Q134)))</f>
        <v/>
      </c>
      <c r="S134" s="14" t="str">
        <f aca="false">IF(O134="","",O134-R134)</f>
        <v/>
      </c>
      <c r="T134" s="11"/>
      <c r="U134" s="18" t="str">
        <f aca="false">IF(T134="","",IFERROR(VLOOKUP(T134,REPS!$A$2:$D$40,2,0),""))</f>
        <v/>
      </c>
      <c r="V134" s="14" t="str">
        <f aca="false">IF(O134="","",IF(U134="",0,O134*IF(U134&gt;1,U134/100,U134)))</f>
        <v/>
      </c>
      <c r="W134" s="11"/>
      <c r="X134" s="18" t="str">
        <f aca="false">IF(W134="","",IFERROR(VLOOKUP(W134,REPS!$A$2:$D$40,3,0),""))</f>
        <v/>
      </c>
      <c r="Y134" s="14" t="str">
        <f aca="false">IF(O134="","",IF(X134="",0,O134*IF(X134&gt;1,X134/100,X134)))</f>
        <v/>
      </c>
      <c r="Z134" s="11"/>
      <c r="AA134" s="18" t="str">
        <f aca="false">IF(Z134="","",IFERROR(VLOOKUP(Z134,REPS!$A$2:$D$40,4,0),""))</f>
        <v/>
      </c>
      <c r="AB134" s="14" t="str">
        <f aca="false">IF(O134="","",IF(AA134="",0,O134*IF(AA134&gt;1,AA134/100,AA134)))</f>
        <v/>
      </c>
      <c r="AC134" s="14" t="str">
        <f aca="false">IF(O134="","",V134+Y134+AB134)</f>
        <v/>
      </c>
      <c r="AD134" s="19" t="str">
        <f aca="false">IF(O134="","",O134-R134-AC134)</f>
        <v/>
      </c>
      <c r="AE134" s="20"/>
      <c r="AF134" s="10"/>
      <c r="AG134" s="21" t="n">
        <f aca="false">IF(OR(AE134="",AE134=0),0,AE134*IF(U134="",0,IF(U134&gt;1,U134/100,U134)))</f>
        <v>0</v>
      </c>
      <c r="AH134" s="21" t="n">
        <f aca="false">IF(OR(AE134="",AE134=0),0,AE134*IF(X134="",0,IF(X134&gt;1,X134/100,X134)))</f>
        <v>0</v>
      </c>
      <c r="AI134" s="21" t="n">
        <f aca="false">IF(OR(AE134="",AE134=0),0,AE134*IF(AA134="",0,IF(AA134&gt;1,AA134/100,AA134)))</f>
        <v>0</v>
      </c>
      <c r="AJ134" s="21" t="n">
        <f aca="false">AG134+AH134+AI134</f>
        <v>0</v>
      </c>
      <c r="AK134" s="21" t="n">
        <f aca="false">IF(OR(AE134="",AE134=0),0,AE134-AJ134)</f>
        <v>0</v>
      </c>
      <c r="AL134" s="19" t="str">
        <f aca="false">IF(AD134="","",AD134-AK134)</f>
        <v/>
      </c>
      <c r="AM134" s="9" t="str">
        <f aca="false">IF(C134="","","Waiting for payment")</f>
        <v/>
      </c>
      <c r="AN134" s="10"/>
      <c r="AO134" s="10"/>
      <c r="AP134" s="22" t="str">
        <f aca="false">IF(OR(C134="",I134="",K134=""),"",IF(K134="Monthly",EDATE(C134,ROUND(I134*SETTINGS!$I$8,0)),WORKDAY(C134,ROUND(I134*SETTINGS!$I$8,0))))</f>
        <v/>
      </c>
      <c r="AQ134" s="9" t="str">
        <f aca="true">IF(C134="","",IF(AND(AP134&lt;&gt;"",TODAY()&gt;=AP134),"Refi Ready",IF(TODAY()-C134&gt;=SETTINGS!$I$11,"Prospecting","Performing")))</f>
        <v/>
      </c>
      <c r="AR134" s="22" t="str">
        <f aca="false">IF(OR(C134="",I134="",K134=""),"",IF(K134="Monthly",EDATE(C134,I134),WORKDAY(C134,I134)))</f>
        <v/>
      </c>
      <c r="AS134" s="11"/>
      <c r="AT134" s="23" t="str">
        <f aca="true">IF(C134="","",IF(AM134="Clawed Back","CLAWED",IF(TODAY()&lt;=C134+SETTINGS!$I$2,"⚠ AT RISK","SAFE")))</f>
        <v/>
      </c>
      <c r="AU134" s="11"/>
      <c r="AW134" s="24" t="n">
        <f aca="false">AW133+IF(AND(C134&lt;&gt;"",AO134&lt;&gt;"",OR('REP COMMISSION'!$B$3="",T134='REP COMMISSION'!$B$3,W134='REP COMMISSION'!$B$3,Z134='REP COMMISSION'!$B$3)),1,0)</f>
        <v>0</v>
      </c>
      <c r="AX134" s="24" t="n">
        <f aca="false">AX133+IF(AND(C134&lt;&gt;"",OR(F134="LOC - INITIAL",F134="CONSOLIDATION - UPFRONT COMM",F134="REVERSE - TOTAL FUNDING")),1,0)</f>
        <v>0</v>
      </c>
    </row>
    <row r="135" customFormat="false" ht="15" hidden="false" customHeight="false" outlineLevel="0" collapsed="false">
      <c r="A135" s="25" t="str">
        <f aca="false">IF(C135&lt;&gt;"","F27-"&amp;COUNT($C$4:C135),"")</f>
        <v/>
      </c>
      <c r="B135" s="26" t="str">
        <f aca="false">IF(OR(F135="LOC - INITIAL",F135="CONSOLIDATION - UPFRONT COMM",F135="REVERSE - TOTAL FUNDING"),A135,"")</f>
        <v/>
      </c>
      <c r="C135" s="27"/>
      <c r="D135" s="28"/>
      <c r="E135" s="28"/>
      <c r="F135" s="28"/>
      <c r="G135" s="29"/>
      <c r="H135" s="30"/>
      <c r="I135" s="28"/>
      <c r="J135" s="31" t="str">
        <f aca="false">IF(AND(G135&lt;&gt;"",H135&lt;&gt;""),G135*H135,"")</f>
        <v/>
      </c>
      <c r="K135" s="28"/>
      <c r="L135" s="32"/>
      <c r="M135" s="32"/>
      <c r="N135" s="31" t="n">
        <f aca="false">IF(OR(G135="",M135=""),0,IF(M135&gt;100,M135,G135*IF(M135&gt;1,M135/100,M135)))</f>
        <v>0</v>
      </c>
      <c r="O135" s="31" t="str">
        <f aca="false">IF(G135="","",G135*IF(L135="",0,IF(L135&gt;1,L135/100,L135))+N135)</f>
        <v/>
      </c>
      <c r="P135" s="28"/>
      <c r="Q135" s="33" t="str">
        <f aca="false">IF(P135="","",IFERROR(VLOOKUP(P135,PARTNERS!$A$2:$B$30,2,0),""))</f>
        <v/>
      </c>
      <c r="R135" s="17" t="str">
        <f aca="false">IF(O135="","",IF(OR(P135="",Q135=""),0,(O135-N135)*IF(Q135&gt;1,Q135/100,Q135)))</f>
        <v/>
      </c>
      <c r="S135" s="31" t="str">
        <f aca="false">IF(O135="","",O135-R135)</f>
        <v/>
      </c>
      <c r="T135" s="28"/>
      <c r="U135" s="34" t="str">
        <f aca="false">IF(T135="","",IFERROR(VLOOKUP(T135,REPS!$A$2:$D$40,2,0),""))</f>
        <v/>
      </c>
      <c r="V135" s="31" t="str">
        <f aca="false">IF(O135="","",IF(U135="",0,O135*IF(U135&gt;1,U135/100,U135)))</f>
        <v/>
      </c>
      <c r="W135" s="28"/>
      <c r="X135" s="34" t="str">
        <f aca="false">IF(W135="","",IFERROR(VLOOKUP(W135,REPS!$A$2:$D$40,3,0),""))</f>
        <v/>
      </c>
      <c r="Y135" s="31" t="str">
        <f aca="false">IF(O135="","",IF(X135="",0,O135*IF(X135&gt;1,X135/100,X135)))</f>
        <v/>
      </c>
      <c r="Z135" s="28"/>
      <c r="AA135" s="34" t="str">
        <f aca="false">IF(Z135="","",IFERROR(VLOOKUP(Z135,REPS!$A$2:$D$40,4,0),""))</f>
        <v/>
      </c>
      <c r="AB135" s="31" t="str">
        <f aca="false">IF(O135="","",IF(AA135="",0,O135*IF(AA135&gt;1,AA135/100,AA135)))</f>
        <v/>
      </c>
      <c r="AC135" s="31" t="str">
        <f aca="false">IF(O135="","",V135+Y135+AB135)</f>
        <v/>
      </c>
      <c r="AD135" s="19" t="str">
        <f aca="false">IF(O135="","",O135-R135-AC135)</f>
        <v/>
      </c>
      <c r="AE135" s="20"/>
      <c r="AF135" s="27"/>
      <c r="AG135" s="21" t="n">
        <f aca="false">IF(OR(AE135="",AE135=0),0,AE135*IF(U135="",0,IF(U135&gt;1,U135/100,U135)))</f>
        <v>0</v>
      </c>
      <c r="AH135" s="21" t="n">
        <f aca="false">IF(OR(AE135="",AE135=0),0,AE135*IF(X135="",0,IF(X135&gt;1,X135/100,X135)))</f>
        <v>0</v>
      </c>
      <c r="AI135" s="21" t="n">
        <f aca="false">IF(OR(AE135="",AE135=0),0,AE135*IF(AA135="",0,IF(AA135&gt;1,AA135/100,AA135)))</f>
        <v>0</v>
      </c>
      <c r="AJ135" s="21" t="n">
        <f aca="false">AG135+AH135+AI135</f>
        <v>0</v>
      </c>
      <c r="AK135" s="21" t="n">
        <f aca="false">IF(OR(AE135="",AE135=0),0,AE135-AJ135)</f>
        <v>0</v>
      </c>
      <c r="AL135" s="19" t="str">
        <f aca="false">IF(AD135="","",AD135-AK135)</f>
        <v/>
      </c>
      <c r="AM135" s="26" t="str">
        <f aca="false">IF(C135="","","Waiting for payment")</f>
        <v/>
      </c>
      <c r="AN135" s="27"/>
      <c r="AO135" s="27"/>
      <c r="AP135" s="35" t="str">
        <f aca="false">IF(OR(C135="",I135="",K135=""),"",IF(K135="Monthly",EDATE(C135,ROUND(I135*SETTINGS!$I$8,0)),WORKDAY(C135,ROUND(I135*SETTINGS!$I$8,0))))</f>
        <v/>
      </c>
      <c r="AQ135" s="26" t="str">
        <f aca="true">IF(C135="","",IF(AND(AP135&lt;&gt;"",TODAY()&gt;=AP135),"Refi Ready",IF(TODAY()-C135&gt;=SETTINGS!$I$11,"Prospecting","Performing")))</f>
        <v/>
      </c>
      <c r="AR135" s="35" t="str">
        <f aca="false">IF(OR(C135="",I135="",K135=""),"",IF(K135="Monthly",EDATE(C135,I135),WORKDAY(C135,I135)))</f>
        <v/>
      </c>
      <c r="AS135" s="28"/>
      <c r="AT135" s="36" t="str">
        <f aca="true">IF(C135="","",IF(AM135="Clawed Back","CLAWED",IF(TODAY()&lt;=C135+SETTINGS!$I$2,"⚠ AT RISK","SAFE")))</f>
        <v/>
      </c>
      <c r="AU135" s="28"/>
      <c r="AW135" s="24" t="n">
        <f aca="false">AW134+IF(AND(C135&lt;&gt;"",AO135&lt;&gt;"",OR('REP COMMISSION'!$B$3="",T135='REP COMMISSION'!$B$3,W135='REP COMMISSION'!$B$3,Z135='REP COMMISSION'!$B$3)),1,0)</f>
        <v>0</v>
      </c>
      <c r="AX135" s="24" t="n">
        <f aca="false">AX134+IF(AND(C135&lt;&gt;"",OR(F135="LOC - INITIAL",F135="CONSOLIDATION - UPFRONT COMM",F135="REVERSE - TOTAL FUNDING")),1,0)</f>
        <v>0</v>
      </c>
    </row>
    <row r="136" customFormat="false" ht="15" hidden="false" customHeight="false" outlineLevel="0" collapsed="false">
      <c r="A136" s="8" t="str">
        <f aca="false">IF(C136&lt;&gt;"","F27-"&amp;COUNT($C$4:C136),"")</f>
        <v/>
      </c>
      <c r="B136" s="9" t="str">
        <f aca="false">IF(OR(F136="LOC - INITIAL",F136="CONSOLIDATION - UPFRONT COMM",F136="REVERSE - TOTAL FUNDING"),A136,"")</f>
        <v/>
      </c>
      <c r="C136" s="10"/>
      <c r="D136" s="11"/>
      <c r="E136" s="11"/>
      <c r="F136" s="11"/>
      <c r="G136" s="12"/>
      <c r="H136" s="13"/>
      <c r="I136" s="11"/>
      <c r="J136" s="14" t="str">
        <f aca="false">IF(AND(G136&lt;&gt;"",H136&lt;&gt;""),G136*H136,"")</f>
        <v/>
      </c>
      <c r="K136" s="11"/>
      <c r="L136" s="15"/>
      <c r="M136" s="15"/>
      <c r="N136" s="14" t="n">
        <f aca="false">IF(OR(G136="",M136=""),0,IF(M136&gt;100,M136,G136*IF(M136&gt;1,M136/100,M136)))</f>
        <v>0</v>
      </c>
      <c r="O136" s="14" t="str">
        <f aca="false">IF(G136="","",G136*IF(L136="",0,IF(L136&gt;1,L136/100,L136))+N136)</f>
        <v/>
      </c>
      <c r="P136" s="11"/>
      <c r="Q136" s="16" t="str">
        <f aca="false">IF(P136="","",IFERROR(VLOOKUP(P136,PARTNERS!$A$2:$B$30,2,0),""))</f>
        <v/>
      </c>
      <c r="R136" s="17" t="str">
        <f aca="false">IF(O136="","",IF(OR(P136="",Q136=""),0,(O136-N136)*IF(Q136&gt;1,Q136/100,Q136)))</f>
        <v/>
      </c>
      <c r="S136" s="14" t="str">
        <f aca="false">IF(O136="","",O136-R136)</f>
        <v/>
      </c>
      <c r="T136" s="11"/>
      <c r="U136" s="18" t="str">
        <f aca="false">IF(T136="","",IFERROR(VLOOKUP(T136,REPS!$A$2:$D$40,2,0),""))</f>
        <v/>
      </c>
      <c r="V136" s="14" t="str">
        <f aca="false">IF(O136="","",IF(U136="",0,O136*IF(U136&gt;1,U136/100,U136)))</f>
        <v/>
      </c>
      <c r="W136" s="11"/>
      <c r="X136" s="18" t="str">
        <f aca="false">IF(W136="","",IFERROR(VLOOKUP(W136,REPS!$A$2:$D$40,3,0),""))</f>
        <v/>
      </c>
      <c r="Y136" s="14" t="str">
        <f aca="false">IF(O136="","",IF(X136="",0,O136*IF(X136&gt;1,X136/100,X136)))</f>
        <v/>
      </c>
      <c r="Z136" s="11"/>
      <c r="AA136" s="18" t="str">
        <f aca="false">IF(Z136="","",IFERROR(VLOOKUP(Z136,REPS!$A$2:$D$40,4,0),""))</f>
        <v/>
      </c>
      <c r="AB136" s="14" t="str">
        <f aca="false">IF(O136="","",IF(AA136="",0,O136*IF(AA136&gt;1,AA136/100,AA136)))</f>
        <v/>
      </c>
      <c r="AC136" s="14" t="str">
        <f aca="false">IF(O136="","",V136+Y136+AB136)</f>
        <v/>
      </c>
      <c r="AD136" s="19" t="str">
        <f aca="false">IF(O136="","",O136-R136-AC136)</f>
        <v/>
      </c>
      <c r="AE136" s="20"/>
      <c r="AF136" s="10"/>
      <c r="AG136" s="21" t="n">
        <f aca="false">IF(OR(AE136="",AE136=0),0,AE136*IF(U136="",0,IF(U136&gt;1,U136/100,U136)))</f>
        <v>0</v>
      </c>
      <c r="AH136" s="21" t="n">
        <f aca="false">IF(OR(AE136="",AE136=0),0,AE136*IF(X136="",0,IF(X136&gt;1,X136/100,X136)))</f>
        <v>0</v>
      </c>
      <c r="AI136" s="21" t="n">
        <f aca="false">IF(OR(AE136="",AE136=0),0,AE136*IF(AA136="",0,IF(AA136&gt;1,AA136/100,AA136)))</f>
        <v>0</v>
      </c>
      <c r="AJ136" s="21" t="n">
        <f aca="false">AG136+AH136+AI136</f>
        <v>0</v>
      </c>
      <c r="AK136" s="21" t="n">
        <f aca="false">IF(OR(AE136="",AE136=0),0,AE136-AJ136)</f>
        <v>0</v>
      </c>
      <c r="AL136" s="19" t="str">
        <f aca="false">IF(AD136="","",AD136-AK136)</f>
        <v/>
      </c>
      <c r="AM136" s="9" t="str">
        <f aca="false">IF(C136="","","Waiting for payment")</f>
        <v/>
      </c>
      <c r="AN136" s="10"/>
      <c r="AO136" s="10"/>
      <c r="AP136" s="22" t="str">
        <f aca="false">IF(OR(C136="",I136="",K136=""),"",IF(K136="Monthly",EDATE(C136,ROUND(I136*SETTINGS!$I$8,0)),WORKDAY(C136,ROUND(I136*SETTINGS!$I$8,0))))</f>
        <v/>
      </c>
      <c r="AQ136" s="9" t="str">
        <f aca="true">IF(C136="","",IF(AND(AP136&lt;&gt;"",TODAY()&gt;=AP136),"Refi Ready",IF(TODAY()-C136&gt;=SETTINGS!$I$11,"Prospecting","Performing")))</f>
        <v/>
      </c>
      <c r="AR136" s="22" t="str">
        <f aca="false">IF(OR(C136="",I136="",K136=""),"",IF(K136="Monthly",EDATE(C136,I136),WORKDAY(C136,I136)))</f>
        <v/>
      </c>
      <c r="AS136" s="11"/>
      <c r="AT136" s="23" t="str">
        <f aca="true">IF(C136="","",IF(AM136="Clawed Back","CLAWED",IF(TODAY()&lt;=C136+SETTINGS!$I$2,"⚠ AT RISK","SAFE")))</f>
        <v/>
      </c>
      <c r="AU136" s="11"/>
      <c r="AW136" s="24" t="n">
        <f aca="false">AW135+IF(AND(C136&lt;&gt;"",AO136&lt;&gt;"",OR('REP COMMISSION'!$B$3="",T136='REP COMMISSION'!$B$3,W136='REP COMMISSION'!$B$3,Z136='REP COMMISSION'!$B$3)),1,0)</f>
        <v>0</v>
      </c>
      <c r="AX136" s="24" t="n">
        <f aca="false">AX135+IF(AND(C136&lt;&gt;"",OR(F136="LOC - INITIAL",F136="CONSOLIDATION - UPFRONT COMM",F136="REVERSE - TOTAL FUNDING")),1,0)</f>
        <v>0</v>
      </c>
    </row>
    <row r="137" customFormat="false" ht="15" hidden="false" customHeight="false" outlineLevel="0" collapsed="false">
      <c r="A137" s="25" t="str">
        <f aca="false">IF(C137&lt;&gt;"","F27-"&amp;COUNT($C$4:C137),"")</f>
        <v/>
      </c>
      <c r="B137" s="26" t="str">
        <f aca="false">IF(OR(F137="LOC - INITIAL",F137="CONSOLIDATION - UPFRONT COMM",F137="REVERSE - TOTAL FUNDING"),A137,"")</f>
        <v/>
      </c>
      <c r="C137" s="27"/>
      <c r="D137" s="28"/>
      <c r="E137" s="28"/>
      <c r="F137" s="28"/>
      <c r="G137" s="29"/>
      <c r="H137" s="30"/>
      <c r="I137" s="28"/>
      <c r="J137" s="31" t="str">
        <f aca="false">IF(AND(G137&lt;&gt;"",H137&lt;&gt;""),G137*H137,"")</f>
        <v/>
      </c>
      <c r="K137" s="28"/>
      <c r="L137" s="32"/>
      <c r="M137" s="32"/>
      <c r="N137" s="31" t="n">
        <f aca="false">IF(OR(G137="",M137=""),0,IF(M137&gt;100,M137,G137*IF(M137&gt;1,M137/100,M137)))</f>
        <v>0</v>
      </c>
      <c r="O137" s="31" t="str">
        <f aca="false">IF(G137="","",G137*IF(L137="",0,IF(L137&gt;1,L137/100,L137))+N137)</f>
        <v/>
      </c>
      <c r="P137" s="28"/>
      <c r="Q137" s="33" t="str">
        <f aca="false">IF(P137="","",IFERROR(VLOOKUP(P137,PARTNERS!$A$2:$B$30,2,0),""))</f>
        <v/>
      </c>
      <c r="R137" s="17" t="str">
        <f aca="false">IF(O137="","",IF(OR(P137="",Q137=""),0,(O137-N137)*IF(Q137&gt;1,Q137/100,Q137)))</f>
        <v/>
      </c>
      <c r="S137" s="31" t="str">
        <f aca="false">IF(O137="","",O137-R137)</f>
        <v/>
      </c>
      <c r="T137" s="28"/>
      <c r="U137" s="34" t="str">
        <f aca="false">IF(T137="","",IFERROR(VLOOKUP(T137,REPS!$A$2:$D$40,2,0),""))</f>
        <v/>
      </c>
      <c r="V137" s="31" t="str">
        <f aca="false">IF(O137="","",IF(U137="",0,O137*IF(U137&gt;1,U137/100,U137)))</f>
        <v/>
      </c>
      <c r="W137" s="28"/>
      <c r="X137" s="34" t="str">
        <f aca="false">IF(W137="","",IFERROR(VLOOKUP(W137,REPS!$A$2:$D$40,3,0),""))</f>
        <v/>
      </c>
      <c r="Y137" s="31" t="str">
        <f aca="false">IF(O137="","",IF(X137="",0,O137*IF(X137&gt;1,X137/100,X137)))</f>
        <v/>
      </c>
      <c r="Z137" s="28"/>
      <c r="AA137" s="34" t="str">
        <f aca="false">IF(Z137="","",IFERROR(VLOOKUP(Z137,REPS!$A$2:$D$40,4,0),""))</f>
        <v/>
      </c>
      <c r="AB137" s="31" t="str">
        <f aca="false">IF(O137="","",IF(AA137="",0,O137*IF(AA137&gt;1,AA137/100,AA137)))</f>
        <v/>
      </c>
      <c r="AC137" s="31" t="str">
        <f aca="false">IF(O137="","",V137+Y137+AB137)</f>
        <v/>
      </c>
      <c r="AD137" s="19" t="str">
        <f aca="false">IF(O137="","",O137-R137-AC137)</f>
        <v/>
      </c>
      <c r="AE137" s="20"/>
      <c r="AF137" s="27"/>
      <c r="AG137" s="21" t="n">
        <f aca="false">IF(OR(AE137="",AE137=0),0,AE137*IF(U137="",0,IF(U137&gt;1,U137/100,U137)))</f>
        <v>0</v>
      </c>
      <c r="AH137" s="21" t="n">
        <f aca="false">IF(OR(AE137="",AE137=0),0,AE137*IF(X137="",0,IF(X137&gt;1,X137/100,X137)))</f>
        <v>0</v>
      </c>
      <c r="AI137" s="21" t="n">
        <f aca="false">IF(OR(AE137="",AE137=0),0,AE137*IF(AA137="",0,IF(AA137&gt;1,AA137/100,AA137)))</f>
        <v>0</v>
      </c>
      <c r="AJ137" s="21" t="n">
        <f aca="false">AG137+AH137+AI137</f>
        <v>0</v>
      </c>
      <c r="AK137" s="21" t="n">
        <f aca="false">IF(OR(AE137="",AE137=0),0,AE137-AJ137)</f>
        <v>0</v>
      </c>
      <c r="AL137" s="19" t="str">
        <f aca="false">IF(AD137="","",AD137-AK137)</f>
        <v/>
      </c>
      <c r="AM137" s="26" t="str">
        <f aca="false">IF(C137="","","Waiting for payment")</f>
        <v/>
      </c>
      <c r="AN137" s="27"/>
      <c r="AO137" s="27"/>
      <c r="AP137" s="35" t="str">
        <f aca="false">IF(OR(C137="",I137="",K137=""),"",IF(K137="Monthly",EDATE(C137,ROUND(I137*SETTINGS!$I$8,0)),WORKDAY(C137,ROUND(I137*SETTINGS!$I$8,0))))</f>
        <v/>
      </c>
      <c r="AQ137" s="26" t="str">
        <f aca="true">IF(C137="","",IF(AND(AP137&lt;&gt;"",TODAY()&gt;=AP137),"Refi Ready",IF(TODAY()-C137&gt;=SETTINGS!$I$11,"Prospecting","Performing")))</f>
        <v/>
      </c>
      <c r="AR137" s="35" t="str">
        <f aca="false">IF(OR(C137="",I137="",K137=""),"",IF(K137="Monthly",EDATE(C137,I137),WORKDAY(C137,I137)))</f>
        <v/>
      </c>
      <c r="AS137" s="28"/>
      <c r="AT137" s="36" t="str">
        <f aca="true">IF(C137="","",IF(AM137="Clawed Back","CLAWED",IF(TODAY()&lt;=C137+SETTINGS!$I$2,"⚠ AT RISK","SAFE")))</f>
        <v/>
      </c>
      <c r="AU137" s="28"/>
      <c r="AW137" s="24" t="n">
        <f aca="false">AW136+IF(AND(C137&lt;&gt;"",AO137&lt;&gt;"",OR('REP COMMISSION'!$B$3="",T137='REP COMMISSION'!$B$3,W137='REP COMMISSION'!$B$3,Z137='REP COMMISSION'!$B$3)),1,0)</f>
        <v>0</v>
      </c>
      <c r="AX137" s="24" t="n">
        <f aca="false">AX136+IF(AND(C137&lt;&gt;"",OR(F137="LOC - INITIAL",F137="CONSOLIDATION - UPFRONT COMM",F137="REVERSE - TOTAL FUNDING")),1,0)</f>
        <v>0</v>
      </c>
    </row>
    <row r="138" customFormat="false" ht="15" hidden="false" customHeight="false" outlineLevel="0" collapsed="false">
      <c r="A138" s="8" t="str">
        <f aca="false">IF(C138&lt;&gt;"","F27-"&amp;COUNT($C$4:C138),"")</f>
        <v/>
      </c>
      <c r="B138" s="9" t="str">
        <f aca="false">IF(OR(F138="LOC - INITIAL",F138="CONSOLIDATION - UPFRONT COMM",F138="REVERSE - TOTAL FUNDING"),A138,"")</f>
        <v/>
      </c>
      <c r="C138" s="10"/>
      <c r="D138" s="11"/>
      <c r="E138" s="11"/>
      <c r="F138" s="11"/>
      <c r="G138" s="12"/>
      <c r="H138" s="13"/>
      <c r="I138" s="11"/>
      <c r="J138" s="14" t="str">
        <f aca="false">IF(AND(G138&lt;&gt;"",H138&lt;&gt;""),G138*H138,"")</f>
        <v/>
      </c>
      <c r="K138" s="11"/>
      <c r="L138" s="15"/>
      <c r="M138" s="15"/>
      <c r="N138" s="14" t="n">
        <f aca="false">IF(OR(G138="",M138=""),0,IF(M138&gt;100,M138,G138*IF(M138&gt;1,M138/100,M138)))</f>
        <v>0</v>
      </c>
      <c r="O138" s="14" t="str">
        <f aca="false">IF(G138="","",G138*IF(L138="",0,IF(L138&gt;1,L138/100,L138))+N138)</f>
        <v/>
      </c>
      <c r="P138" s="11"/>
      <c r="Q138" s="16" t="str">
        <f aca="false">IF(P138="","",IFERROR(VLOOKUP(P138,PARTNERS!$A$2:$B$30,2,0),""))</f>
        <v/>
      </c>
      <c r="R138" s="17" t="str">
        <f aca="false">IF(O138="","",IF(OR(P138="",Q138=""),0,(O138-N138)*IF(Q138&gt;1,Q138/100,Q138)))</f>
        <v/>
      </c>
      <c r="S138" s="14" t="str">
        <f aca="false">IF(O138="","",O138-R138)</f>
        <v/>
      </c>
      <c r="T138" s="11"/>
      <c r="U138" s="18" t="str">
        <f aca="false">IF(T138="","",IFERROR(VLOOKUP(T138,REPS!$A$2:$D$40,2,0),""))</f>
        <v/>
      </c>
      <c r="V138" s="14" t="str">
        <f aca="false">IF(O138="","",IF(U138="",0,O138*IF(U138&gt;1,U138/100,U138)))</f>
        <v/>
      </c>
      <c r="W138" s="11"/>
      <c r="X138" s="18" t="str">
        <f aca="false">IF(W138="","",IFERROR(VLOOKUP(W138,REPS!$A$2:$D$40,3,0),""))</f>
        <v/>
      </c>
      <c r="Y138" s="14" t="str">
        <f aca="false">IF(O138="","",IF(X138="",0,O138*IF(X138&gt;1,X138/100,X138)))</f>
        <v/>
      </c>
      <c r="Z138" s="11"/>
      <c r="AA138" s="18" t="str">
        <f aca="false">IF(Z138="","",IFERROR(VLOOKUP(Z138,REPS!$A$2:$D$40,4,0),""))</f>
        <v/>
      </c>
      <c r="AB138" s="14" t="str">
        <f aca="false">IF(O138="","",IF(AA138="",0,O138*IF(AA138&gt;1,AA138/100,AA138)))</f>
        <v/>
      </c>
      <c r="AC138" s="14" t="str">
        <f aca="false">IF(O138="","",V138+Y138+AB138)</f>
        <v/>
      </c>
      <c r="AD138" s="19" t="str">
        <f aca="false">IF(O138="","",O138-R138-AC138)</f>
        <v/>
      </c>
      <c r="AE138" s="20"/>
      <c r="AF138" s="10"/>
      <c r="AG138" s="21" t="n">
        <f aca="false">IF(OR(AE138="",AE138=0),0,AE138*IF(U138="",0,IF(U138&gt;1,U138/100,U138)))</f>
        <v>0</v>
      </c>
      <c r="AH138" s="21" t="n">
        <f aca="false">IF(OR(AE138="",AE138=0),0,AE138*IF(X138="",0,IF(X138&gt;1,X138/100,X138)))</f>
        <v>0</v>
      </c>
      <c r="AI138" s="21" t="n">
        <f aca="false">IF(OR(AE138="",AE138=0),0,AE138*IF(AA138="",0,IF(AA138&gt;1,AA138/100,AA138)))</f>
        <v>0</v>
      </c>
      <c r="AJ138" s="21" t="n">
        <f aca="false">AG138+AH138+AI138</f>
        <v>0</v>
      </c>
      <c r="AK138" s="21" t="n">
        <f aca="false">IF(OR(AE138="",AE138=0),0,AE138-AJ138)</f>
        <v>0</v>
      </c>
      <c r="AL138" s="19" t="str">
        <f aca="false">IF(AD138="","",AD138-AK138)</f>
        <v/>
      </c>
      <c r="AM138" s="9" t="str">
        <f aca="false">IF(C138="","","Waiting for payment")</f>
        <v/>
      </c>
      <c r="AN138" s="10"/>
      <c r="AO138" s="10"/>
      <c r="AP138" s="22" t="str">
        <f aca="false">IF(OR(C138="",I138="",K138=""),"",IF(K138="Monthly",EDATE(C138,ROUND(I138*SETTINGS!$I$8,0)),WORKDAY(C138,ROUND(I138*SETTINGS!$I$8,0))))</f>
        <v/>
      </c>
      <c r="AQ138" s="9" t="str">
        <f aca="true">IF(C138="","",IF(AND(AP138&lt;&gt;"",TODAY()&gt;=AP138),"Refi Ready",IF(TODAY()-C138&gt;=SETTINGS!$I$11,"Prospecting","Performing")))</f>
        <v/>
      </c>
      <c r="AR138" s="22" t="str">
        <f aca="false">IF(OR(C138="",I138="",K138=""),"",IF(K138="Monthly",EDATE(C138,I138),WORKDAY(C138,I138)))</f>
        <v/>
      </c>
      <c r="AS138" s="11"/>
      <c r="AT138" s="23" t="str">
        <f aca="true">IF(C138="","",IF(AM138="Clawed Back","CLAWED",IF(TODAY()&lt;=C138+SETTINGS!$I$2,"⚠ AT RISK","SAFE")))</f>
        <v/>
      </c>
      <c r="AU138" s="11"/>
      <c r="AW138" s="24" t="n">
        <f aca="false">AW137+IF(AND(C138&lt;&gt;"",AO138&lt;&gt;"",OR('REP COMMISSION'!$B$3="",T138='REP COMMISSION'!$B$3,W138='REP COMMISSION'!$B$3,Z138='REP COMMISSION'!$B$3)),1,0)</f>
        <v>0</v>
      </c>
      <c r="AX138" s="24" t="n">
        <f aca="false">AX137+IF(AND(C138&lt;&gt;"",OR(F138="LOC - INITIAL",F138="CONSOLIDATION - UPFRONT COMM",F138="REVERSE - TOTAL FUNDING")),1,0)</f>
        <v>0</v>
      </c>
    </row>
    <row r="139" customFormat="false" ht="15" hidden="false" customHeight="false" outlineLevel="0" collapsed="false">
      <c r="A139" s="25" t="str">
        <f aca="false">IF(C139&lt;&gt;"","F27-"&amp;COUNT($C$4:C139),"")</f>
        <v/>
      </c>
      <c r="B139" s="26" t="str">
        <f aca="false">IF(OR(F139="LOC - INITIAL",F139="CONSOLIDATION - UPFRONT COMM",F139="REVERSE - TOTAL FUNDING"),A139,"")</f>
        <v/>
      </c>
      <c r="C139" s="27"/>
      <c r="D139" s="28"/>
      <c r="E139" s="28"/>
      <c r="F139" s="28"/>
      <c r="G139" s="29"/>
      <c r="H139" s="30"/>
      <c r="I139" s="28"/>
      <c r="J139" s="31" t="str">
        <f aca="false">IF(AND(G139&lt;&gt;"",H139&lt;&gt;""),G139*H139,"")</f>
        <v/>
      </c>
      <c r="K139" s="28"/>
      <c r="L139" s="32"/>
      <c r="M139" s="32"/>
      <c r="N139" s="31" t="n">
        <f aca="false">IF(OR(G139="",M139=""),0,IF(M139&gt;100,M139,G139*IF(M139&gt;1,M139/100,M139)))</f>
        <v>0</v>
      </c>
      <c r="O139" s="31" t="str">
        <f aca="false">IF(G139="","",G139*IF(L139="",0,IF(L139&gt;1,L139/100,L139))+N139)</f>
        <v/>
      </c>
      <c r="P139" s="28"/>
      <c r="Q139" s="33" t="str">
        <f aca="false">IF(P139="","",IFERROR(VLOOKUP(P139,PARTNERS!$A$2:$B$30,2,0),""))</f>
        <v/>
      </c>
      <c r="R139" s="17" t="str">
        <f aca="false">IF(O139="","",IF(OR(P139="",Q139=""),0,(O139-N139)*IF(Q139&gt;1,Q139/100,Q139)))</f>
        <v/>
      </c>
      <c r="S139" s="31" t="str">
        <f aca="false">IF(O139="","",O139-R139)</f>
        <v/>
      </c>
      <c r="T139" s="28"/>
      <c r="U139" s="34" t="str">
        <f aca="false">IF(T139="","",IFERROR(VLOOKUP(T139,REPS!$A$2:$D$40,2,0),""))</f>
        <v/>
      </c>
      <c r="V139" s="31" t="str">
        <f aca="false">IF(O139="","",IF(U139="",0,O139*IF(U139&gt;1,U139/100,U139)))</f>
        <v/>
      </c>
      <c r="W139" s="28"/>
      <c r="X139" s="34" t="str">
        <f aca="false">IF(W139="","",IFERROR(VLOOKUP(W139,REPS!$A$2:$D$40,3,0),""))</f>
        <v/>
      </c>
      <c r="Y139" s="31" t="str">
        <f aca="false">IF(O139="","",IF(X139="",0,O139*IF(X139&gt;1,X139/100,X139)))</f>
        <v/>
      </c>
      <c r="Z139" s="28"/>
      <c r="AA139" s="34" t="str">
        <f aca="false">IF(Z139="","",IFERROR(VLOOKUP(Z139,REPS!$A$2:$D$40,4,0),""))</f>
        <v/>
      </c>
      <c r="AB139" s="31" t="str">
        <f aca="false">IF(O139="","",IF(AA139="",0,O139*IF(AA139&gt;1,AA139/100,AA139)))</f>
        <v/>
      </c>
      <c r="AC139" s="31" t="str">
        <f aca="false">IF(O139="","",V139+Y139+AB139)</f>
        <v/>
      </c>
      <c r="AD139" s="19" t="str">
        <f aca="false">IF(O139="","",O139-R139-AC139)</f>
        <v/>
      </c>
      <c r="AE139" s="20"/>
      <c r="AF139" s="27"/>
      <c r="AG139" s="21" t="n">
        <f aca="false">IF(OR(AE139="",AE139=0),0,AE139*IF(U139="",0,IF(U139&gt;1,U139/100,U139)))</f>
        <v>0</v>
      </c>
      <c r="AH139" s="21" t="n">
        <f aca="false">IF(OR(AE139="",AE139=0),0,AE139*IF(X139="",0,IF(X139&gt;1,X139/100,X139)))</f>
        <v>0</v>
      </c>
      <c r="AI139" s="21" t="n">
        <f aca="false">IF(OR(AE139="",AE139=0),0,AE139*IF(AA139="",0,IF(AA139&gt;1,AA139/100,AA139)))</f>
        <v>0</v>
      </c>
      <c r="AJ139" s="21" t="n">
        <f aca="false">AG139+AH139+AI139</f>
        <v>0</v>
      </c>
      <c r="AK139" s="21" t="n">
        <f aca="false">IF(OR(AE139="",AE139=0),0,AE139-AJ139)</f>
        <v>0</v>
      </c>
      <c r="AL139" s="19" t="str">
        <f aca="false">IF(AD139="","",AD139-AK139)</f>
        <v/>
      </c>
      <c r="AM139" s="26" t="str">
        <f aca="false">IF(C139="","","Waiting for payment")</f>
        <v/>
      </c>
      <c r="AN139" s="27"/>
      <c r="AO139" s="27"/>
      <c r="AP139" s="35" t="str">
        <f aca="false">IF(OR(C139="",I139="",K139=""),"",IF(K139="Monthly",EDATE(C139,ROUND(I139*SETTINGS!$I$8,0)),WORKDAY(C139,ROUND(I139*SETTINGS!$I$8,0))))</f>
        <v/>
      </c>
      <c r="AQ139" s="26" t="str">
        <f aca="true">IF(C139="","",IF(AND(AP139&lt;&gt;"",TODAY()&gt;=AP139),"Refi Ready",IF(TODAY()-C139&gt;=SETTINGS!$I$11,"Prospecting","Performing")))</f>
        <v/>
      </c>
      <c r="AR139" s="35" t="str">
        <f aca="false">IF(OR(C139="",I139="",K139=""),"",IF(K139="Monthly",EDATE(C139,I139),WORKDAY(C139,I139)))</f>
        <v/>
      </c>
      <c r="AS139" s="28"/>
      <c r="AT139" s="36" t="str">
        <f aca="true">IF(C139="","",IF(AM139="Clawed Back","CLAWED",IF(TODAY()&lt;=C139+SETTINGS!$I$2,"⚠ AT RISK","SAFE")))</f>
        <v/>
      </c>
      <c r="AU139" s="28"/>
      <c r="AW139" s="24" t="n">
        <f aca="false">AW138+IF(AND(C139&lt;&gt;"",AO139&lt;&gt;"",OR('REP COMMISSION'!$B$3="",T139='REP COMMISSION'!$B$3,W139='REP COMMISSION'!$B$3,Z139='REP COMMISSION'!$B$3)),1,0)</f>
        <v>0</v>
      </c>
      <c r="AX139" s="24" t="n">
        <f aca="false">AX138+IF(AND(C139&lt;&gt;"",OR(F139="LOC - INITIAL",F139="CONSOLIDATION - UPFRONT COMM",F139="REVERSE - TOTAL FUNDING")),1,0)</f>
        <v>0</v>
      </c>
    </row>
    <row r="140" customFormat="false" ht="15" hidden="false" customHeight="false" outlineLevel="0" collapsed="false">
      <c r="A140" s="8" t="str">
        <f aca="false">IF(C140&lt;&gt;"","F27-"&amp;COUNT($C$4:C140),"")</f>
        <v/>
      </c>
      <c r="B140" s="9" t="str">
        <f aca="false">IF(OR(F140="LOC - INITIAL",F140="CONSOLIDATION - UPFRONT COMM",F140="REVERSE - TOTAL FUNDING"),A140,"")</f>
        <v/>
      </c>
      <c r="C140" s="10"/>
      <c r="D140" s="11"/>
      <c r="E140" s="11"/>
      <c r="F140" s="11"/>
      <c r="G140" s="12"/>
      <c r="H140" s="13"/>
      <c r="I140" s="11"/>
      <c r="J140" s="14" t="str">
        <f aca="false">IF(AND(G140&lt;&gt;"",H140&lt;&gt;""),G140*H140,"")</f>
        <v/>
      </c>
      <c r="K140" s="11"/>
      <c r="L140" s="15"/>
      <c r="M140" s="15"/>
      <c r="N140" s="14" t="n">
        <f aca="false">IF(OR(G140="",M140=""),0,IF(M140&gt;100,M140,G140*IF(M140&gt;1,M140/100,M140)))</f>
        <v>0</v>
      </c>
      <c r="O140" s="14" t="str">
        <f aca="false">IF(G140="","",G140*IF(L140="",0,IF(L140&gt;1,L140/100,L140))+N140)</f>
        <v/>
      </c>
      <c r="P140" s="11"/>
      <c r="Q140" s="16" t="str">
        <f aca="false">IF(P140="","",IFERROR(VLOOKUP(P140,PARTNERS!$A$2:$B$30,2,0),""))</f>
        <v/>
      </c>
      <c r="R140" s="17" t="str">
        <f aca="false">IF(O140="","",IF(OR(P140="",Q140=""),0,(O140-N140)*IF(Q140&gt;1,Q140/100,Q140)))</f>
        <v/>
      </c>
      <c r="S140" s="14" t="str">
        <f aca="false">IF(O140="","",O140-R140)</f>
        <v/>
      </c>
      <c r="T140" s="11"/>
      <c r="U140" s="18" t="str">
        <f aca="false">IF(T140="","",IFERROR(VLOOKUP(T140,REPS!$A$2:$D$40,2,0),""))</f>
        <v/>
      </c>
      <c r="V140" s="14" t="str">
        <f aca="false">IF(O140="","",IF(U140="",0,O140*IF(U140&gt;1,U140/100,U140)))</f>
        <v/>
      </c>
      <c r="W140" s="11"/>
      <c r="X140" s="18" t="str">
        <f aca="false">IF(W140="","",IFERROR(VLOOKUP(W140,REPS!$A$2:$D$40,3,0),""))</f>
        <v/>
      </c>
      <c r="Y140" s="14" t="str">
        <f aca="false">IF(O140="","",IF(X140="",0,O140*IF(X140&gt;1,X140/100,X140)))</f>
        <v/>
      </c>
      <c r="Z140" s="11"/>
      <c r="AA140" s="18" t="str">
        <f aca="false">IF(Z140="","",IFERROR(VLOOKUP(Z140,REPS!$A$2:$D$40,4,0),""))</f>
        <v/>
      </c>
      <c r="AB140" s="14" t="str">
        <f aca="false">IF(O140="","",IF(AA140="",0,O140*IF(AA140&gt;1,AA140/100,AA140)))</f>
        <v/>
      </c>
      <c r="AC140" s="14" t="str">
        <f aca="false">IF(O140="","",V140+Y140+AB140)</f>
        <v/>
      </c>
      <c r="AD140" s="19" t="str">
        <f aca="false">IF(O140="","",O140-R140-AC140)</f>
        <v/>
      </c>
      <c r="AE140" s="20"/>
      <c r="AF140" s="10"/>
      <c r="AG140" s="21" t="n">
        <f aca="false">IF(OR(AE140="",AE140=0),0,AE140*IF(U140="",0,IF(U140&gt;1,U140/100,U140)))</f>
        <v>0</v>
      </c>
      <c r="AH140" s="21" t="n">
        <f aca="false">IF(OR(AE140="",AE140=0),0,AE140*IF(X140="",0,IF(X140&gt;1,X140/100,X140)))</f>
        <v>0</v>
      </c>
      <c r="AI140" s="21" t="n">
        <f aca="false">IF(OR(AE140="",AE140=0),0,AE140*IF(AA140="",0,IF(AA140&gt;1,AA140/100,AA140)))</f>
        <v>0</v>
      </c>
      <c r="AJ140" s="21" t="n">
        <f aca="false">AG140+AH140+AI140</f>
        <v>0</v>
      </c>
      <c r="AK140" s="21" t="n">
        <f aca="false">IF(OR(AE140="",AE140=0),0,AE140-AJ140)</f>
        <v>0</v>
      </c>
      <c r="AL140" s="19" t="str">
        <f aca="false">IF(AD140="","",AD140-AK140)</f>
        <v/>
      </c>
      <c r="AM140" s="9" t="str">
        <f aca="false">IF(C140="","","Waiting for payment")</f>
        <v/>
      </c>
      <c r="AN140" s="10"/>
      <c r="AO140" s="10"/>
      <c r="AP140" s="22" t="str">
        <f aca="false">IF(OR(C140="",I140="",K140=""),"",IF(K140="Monthly",EDATE(C140,ROUND(I140*SETTINGS!$I$8,0)),WORKDAY(C140,ROUND(I140*SETTINGS!$I$8,0))))</f>
        <v/>
      </c>
      <c r="AQ140" s="9" t="str">
        <f aca="true">IF(C140="","",IF(AND(AP140&lt;&gt;"",TODAY()&gt;=AP140),"Refi Ready",IF(TODAY()-C140&gt;=SETTINGS!$I$11,"Prospecting","Performing")))</f>
        <v/>
      </c>
      <c r="AR140" s="22" t="str">
        <f aca="false">IF(OR(C140="",I140="",K140=""),"",IF(K140="Monthly",EDATE(C140,I140),WORKDAY(C140,I140)))</f>
        <v/>
      </c>
      <c r="AS140" s="11"/>
      <c r="AT140" s="23" t="str">
        <f aca="true">IF(C140="","",IF(AM140="Clawed Back","CLAWED",IF(TODAY()&lt;=C140+SETTINGS!$I$2,"⚠ AT RISK","SAFE")))</f>
        <v/>
      </c>
      <c r="AU140" s="11"/>
      <c r="AW140" s="24" t="n">
        <f aca="false">AW139+IF(AND(C140&lt;&gt;"",AO140&lt;&gt;"",OR('REP COMMISSION'!$B$3="",T140='REP COMMISSION'!$B$3,W140='REP COMMISSION'!$B$3,Z140='REP COMMISSION'!$B$3)),1,0)</f>
        <v>0</v>
      </c>
      <c r="AX140" s="24" t="n">
        <f aca="false">AX139+IF(AND(C140&lt;&gt;"",OR(F140="LOC - INITIAL",F140="CONSOLIDATION - UPFRONT COMM",F140="REVERSE - TOTAL FUNDING")),1,0)</f>
        <v>0</v>
      </c>
    </row>
    <row r="141" customFormat="false" ht="15" hidden="false" customHeight="false" outlineLevel="0" collapsed="false">
      <c r="A141" s="25" t="str">
        <f aca="false">IF(C141&lt;&gt;"","F27-"&amp;COUNT($C$4:C141),"")</f>
        <v/>
      </c>
      <c r="B141" s="26" t="str">
        <f aca="false">IF(OR(F141="LOC - INITIAL",F141="CONSOLIDATION - UPFRONT COMM",F141="REVERSE - TOTAL FUNDING"),A141,"")</f>
        <v/>
      </c>
      <c r="C141" s="27"/>
      <c r="D141" s="28"/>
      <c r="E141" s="28"/>
      <c r="F141" s="28"/>
      <c r="G141" s="29"/>
      <c r="H141" s="30"/>
      <c r="I141" s="28"/>
      <c r="J141" s="31" t="str">
        <f aca="false">IF(AND(G141&lt;&gt;"",H141&lt;&gt;""),G141*H141,"")</f>
        <v/>
      </c>
      <c r="K141" s="28"/>
      <c r="L141" s="32"/>
      <c r="M141" s="32"/>
      <c r="N141" s="31" t="n">
        <f aca="false">IF(OR(G141="",M141=""),0,IF(M141&gt;100,M141,G141*IF(M141&gt;1,M141/100,M141)))</f>
        <v>0</v>
      </c>
      <c r="O141" s="31" t="str">
        <f aca="false">IF(G141="","",G141*IF(L141="",0,IF(L141&gt;1,L141/100,L141))+N141)</f>
        <v/>
      </c>
      <c r="P141" s="28"/>
      <c r="Q141" s="33" t="str">
        <f aca="false">IF(P141="","",IFERROR(VLOOKUP(P141,PARTNERS!$A$2:$B$30,2,0),""))</f>
        <v/>
      </c>
      <c r="R141" s="17" t="str">
        <f aca="false">IF(O141="","",IF(OR(P141="",Q141=""),0,(O141-N141)*IF(Q141&gt;1,Q141/100,Q141)))</f>
        <v/>
      </c>
      <c r="S141" s="31" t="str">
        <f aca="false">IF(O141="","",O141-R141)</f>
        <v/>
      </c>
      <c r="T141" s="28"/>
      <c r="U141" s="34" t="str">
        <f aca="false">IF(T141="","",IFERROR(VLOOKUP(T141,REPS!$A$2:$D$40,2,0),""))</f>
        <v/>
      </c>
      <c r="V141" s="31" t="str">
        <f aca="false">IF(O141="","",IF(U141="",0,O141*IF(U141&gt;1,U141/100,U141)))</f>
        <v/>
      </c>
      <c r="W141" s="28"/>
      <c r="X141" s="34" t="str">
        <f aca="false">IF(W141="","",IFERROR(VLOOKUP(W141,REPS!$A$2:$D$40,3,0),""))</f>
        <v/>
      </c>
      <c r="Y141" s="31" t="str">
        <f aca="false">IF(O141="","",IF(X141="",0,O141*IF(X141&gt;1,X141/100,X141)))</f>
        <v/>
      </c>
      <c r="Z141" s="28"/>
      <c r="AA141" s="34" t="str">
        <f aca="false">IF(Z141="","",IFERROR(VLOOKUP(Z141,REPS!$A$2:$D$40,4,0),""))</f>
        <v/>
      </c>
      <c r="AB141" s="31" t="str">
        <f aca="false">IF(O141="","",IF(AA141="",0,O141*IF(AA141&gt;1,AA141/100,AA141)))</f>
        <v/>
      </c>
      <c r="AC141" s="31" t="str">
        <f aca="false">IF(O141="","",V141+Y141+AB141)</f>
        <v/>
      </c>
      <c r="AD141" s="19" t="str">
        <f aca="false">IF(O141="","",O141-R141-AC141)</f>
        <v/>
      </c>
      <c r="AE141" s="20"/>
      <c r="AF141" s="27"/>
      <c r="AG141" s="21" t="n">
        <f aca="false">IF(OR(AE141="",AE141=0),0,AE141*IF(U141="",0,IF(U141&gt;1,U141/100,U141)))</f>
        <v>0</v>
      </c>
      <c r="AH141" s="21" t="n">
        <f aca="false">IF(OR(AE141="",AE141=0),0,AE141*IF(X141="",0,IF(X141&gt;1,X141/100,X141)))</f>
        <v>0</v>
      </c>
      <c r="AI141" s="21" t="n">
        <f aca="false">IF(OR(AE141="",AE141=0),0,AE141*IF(AA141="",0,IF(AA141&gt;1,AA141/100,AA141)))</f>
        <v>0</v>
      </c>
      <c r="AJ141" s="21" t="n">
        <f aca="false">AG141+AH141+AI141</f>
        <v>0</v>
      </c>
      <c r="AK141" s="21" t="n">
        <f aca="false">IF(OR(AE141="",AE141=0),0,AE141-AJ141)</f>
        <v>0</v>
      </c>
      <c r="AL141" s="19" t="str">
        <f aca="false">IF(AD141="","",AD141-AK141)</f>
        <v/>
      </c>
      <c r="AM141" s="26" t="str">
        <f aca="false">IF(C141="","","Waiting for payment")</f>
        <v/>
      </c>
      <c r="AN141" s="27"/>
      <c r="AO141" s="27"/>
      <c r="AP141" s="35" t="str">
        <f aca="false">IF(OR(C141="",I141="",K141=""),"",IF(K141="Monthly",EDATE(C141,ROUND(I141*SETTINGS!$I$8,0)),WORKDAY(C141,ROUND(I141*SETTINGS!$I$8,0))))</f>
        <v/>
      </c>
      <c r="AQ141" s="26" t="str">
        <f aca="true">IF(C141="","",IF(AND(AP141&lt;&gt;"",TODAY()&gt;=AP141),"Refi Ready",IF(TODAY()-C141&gt;=SETTINGS!$I$11,"Prospecting","Performing")))</f>
        <v/>
      </c>
      <c r="AR141" s="35" t="str">
        <f aca="false">IF(OR(C141="",I141="",K141=""),"",IF(K141="Monthly",EDATE(C141,I141),WORKDAY(C141,I141)))</f>
        <v/>
      </c>
      <c r="AS141" s="28"/>
      <c r="AT141" s="36" t="str">
        <f aca="true">IF(C141="","",IF(AM141="Clawed Back","CLAWED",IF(TODAY()&lt;=C141+SETTINGS!$I$2,"⚠ AT RISK","SAFE")))</f>
        <v/>
      </c>
      <c r="AU141" s="28"/>
      <c r="AW141" s="24" t="n">
        <f aca="false">AW140+IF(AND(C141&lt;&gt;"",AO141&lt;&gt;"",OR('REP COMMISSION'!$B$3="",T141='REP COMMISSION'!$B$3,W141='REP COMMISSION'!$B$3,Z141='REP COMMISSION'!$B$3)),1,0)</f>
        <v>0</v>
      </c>
      <c r="AX141" s="24" t="n">
        <f aca="false">AX140+IF(AND(C141&lt;&gt;"",OR(F141="LOC - INITIAL",F141="CONSOLIDATION - UPFRONT COMM",F141="REVERSE - TOTAL FUNDING")),1,0)</f>
        <v>0</v>
      </c>
    </row>
    <row r="142" customFormat="false" ht="15" hidden="false" customHeight="false" outlineLevel="0" collapsed="false">
      <c r="A142" s="8" t="str">
        <f aca="false">IF(C142&lt;&gt;"","F27-"&amp;COUNT($C$4:C142),"")</f>
        <v/>
      </c>
      <c r="B142" s="9" t="str">
        <f aca="false">IF(OR(F142="LOC - INITIAL",F142="CONSOLIDATION - UPFRONT COMM",F142="REVERSE - TOTAL FUNDING"),A142,"")</f>
        <v/>
      </c>
      <c r="C142" s="10"/>
      <c r="D142" s="11"/>
      <c r="E142" s="11"/>
      <c r="F142" s="11"/>
      <c r="G142" s="12"/>
      <c r="H142" s="13"/>
      <c r="I142" s="11"/>
      <c r="J142" s="14" t="str">
        <f aca="false">IF(AND(G142&lt;&gt;"",H142&lt;&gt;""),G142*H142,"")</f>
        <v/>
      </c>
      <c r="K142" s="11"/>
      <c r="L142" s="15"/>
      <c r="M142" s="15"/>
      <c r="N142" s="14" t="n">
        <f aca="false">IF(OR(G142="",M142=""),0,IF(M142&gt;100,M142,G142*IF(M142&gt;1,M142/100,M142)))</f>
        <v>0</v>
      </c>
      <c r="O142" s="14" t="str">
        <f aca="false">IF(G142="","",G142*IF(L142="",0,IF(L142&gt;1,L142/100,L142))+N142)</f>
        <v/>
      </c>
      <c r="P142" s="11"/>
      <c r="Q142" s="16" t="str">
        <f aca="false">IF(P142="","",IFERROR(VLOOKUP(P142,PARTNERS!$A$2:$B$30,2,0),""))</f>
        <v/>
      </c>
      <c r="R142" s="17" t="str">
        <f aca="false">IF(O142="","",IF(OR(P142="",Q142=""),0,(O142-N142)*IF(Q142&gt;1,Q142/100,Q142)))</f>
        <v/>
      </c>
      <c r="S142" s="14" t="str">
        <f aca="false">IF(O142="","",O142-R142)</f>
        <v/>
      </c>
      <c r="T142" s="11"/>
      <c r="U142" s="18" t="str">
        <f aca="false">IF(T142="","",IFERROR(VLOOKUP(T142,REPS!$A$2:$D$40,2,0),""))</f>
        <v/>
      </c>
      <c r="V142" s="14" t="str">
        <f aca="false">IF(O142="","",IF(U142="",0,O142*IF(U142&gt;1,U142/100,U142)))</f>
        <v/>
      </c>
      <c r="W142" s="11"/>
      <c r="X142" s="18" t="str">
        <f aca="false">IF(W142="","",IFERROR(VLOOKUP(W142,REPS!$A$2:$D$40,3,0),""))</f>
        <v/>
      </c>
      <c r="Y142" s="14" t="str">
        <f aca="false">IF(O142="","",IF(X142="",0,O142*IF(X142&gt;1,X142/100,X142)))</f>
        <v/>
      </c>
      <c r="Z142" s="11"/>
      <c r="AA142" s="18" t="str">
        <f aca="false">IF(Z142="","",IFERROR(VLOOKUP(Z142,REPS!$A$2:$D$40,4,0),""))</f>
        <v/>
      </c>
      <c r="AB142" s="14" t="str">
        <f aca="false">IF(O142="","",IF(AA142="",0,O142*IF(AA142&gt;1,AA142/100,AA142)))</f>
        <v/>
      </c>
      <c r="AC142" s="14" t="str">
        <f aca="false">IF(O142="","",V142+Y142+AB142)</f>
        <v/>
      </c>
      <c r="AD142" s="19" t="str">
        <f aca="false">IF(O142="","",O142-R142-AC142)</f>
        <v/>
      </c>
      <c r="AE142" s="20"/>
      <c r="AF142" s="10"/>
      <c r="AG142" s="21" t="n">
        <f aca="false">IF(OR(AE142="",AE142=0),0,AE142*IF(U142="",0,IF(U142&gt;1,U142/100,U142)))</f>
        <v>0</v>
      </c>
      <c r="AH142" s="21" t="n">
        <f aca="false">IF(OR(AE142="",AE142=0),0,AE142*IF(X142="",0,IF(X142&gt;1,X142/100,X142)))</f>
        <v>0</v>
      </c>
      <c r="AI142" s="21" t="n">
        <f aca="false">IF(OR(AE142="",AE142=0),0,AE142*IF(AA142="",0,IF(AA142&gt;1,AA142/100,AA142)))</f>
        <v>0</v>
      </c>
      <c r="AJ142" s="21" t="n">
        <f aca="false">AG142+AH142+AI142</f>
        <v>0</v>
      </c>
      <c r="AK142" s="21" t="n">
        <f aca="false">IF(OR(AE142="",AE142=0),0,AE142-AJ142)</f>
        <v>0</v>
      </c>
      <c r="AL142" s="19" t="str">
        <f aca="false">IF(AD142="","",AD142-AK142)</f>
        <v/>
      </c>
      <c r="AM142" s="9" t="str">
        <f aca="false">IF(C142="","","Waiting for payment")</f>
        <v/>
      </c>
      <c r="AN142" s="10"/>
      <c r="AO142" s="10"/>
      <c r="AP142" s="22" t="str">
        <f aca="false">IF(OR(C142="",I142="",K142=""),"",IF(K142="Monthly",EDATE(C142,ROUND(I142*SETTINGS!$I$8,0)),WORKDAY(C142,ROUND(I142*SETTINGS!$I$8,0))))</f>
        <v/>
      </c>
      <c r="AQ142" s="9" t="str">
        <f aca="true">IF(C142="","",IF(AND(AP142&lt;&gt;"",TODAY()&gt;=AP142),"Refi Ready",IF(TODAY()-C142&gt;=SETTINGS!$I$11,"Prospecting","Performing")))</f>
        <v/>
      </c>
      <c r="AR142" s="22" t="str">
        <f aca="false">IF(OR(C142="",I142="",K142=""),"",IF(K142="Monthly",EDATE(C142,I142),WORKDAY(C142,I142)))</f>
        <v/>
      </c>
      <c r="AS142" s="11"/>
      <c r="AT142" s="23" t="str">
        <f aca="true">IF(C142="","",IF(AM142="Clawed Back","CLAWED",IF(TODAY()&lt;=C142+SETTINGS!$I$2,"⚠ AT RISK","SAFE")))</f>
        <v/>
      </c>
      <c r="AU142" s="11"/>
      <c r="AW142" s="24" t="n">
        <f aca="false">AW141+IF(AND(C142&lt;&gt;"",AO142&lt;&gt;"",OR('REP COMMISSION'!$B$3="",T142='REP COMMISSION'!$B$3,W142='REP COMMISSION'!$B$3,Z142='REP COMMISSION'!$B$3)),1,0)</f>
        <v>0</v>
      </c>
      <c r="AX142" s="24" t="n">
        <f aca="false">AX141+IF(AND(C142&lt;&gt;"",OR(F142="LOC - INITIAL",F142="CONSOLIDATION - UPFRONT COMM",F142="REVERSE - TOTAL FUNDING")),1,0)</f>
        <v>0</v>
      </c>
    </row>
    <row r="143" customFormat="false" ht="15" hidden="false" customHeight="false" outlineLevel="0" collapsed="false">
      <c r="A143" s="25" t="str">
        <f aca="false">IF(C143&lt;&gt;"","F27-"&amp;COUNT($C$4:C143),"")</f>
        <v/>
      </c>
      <c r="B143" s="26" t="str">
        <f aca="false">IF(OR(F143="LOC - INITIAL",F143="CONSOLIDATION - UPFRONT COMM",F143="REVERSE - TOTAL FUNDING"),A143,"")</f>
        <v/>
      </c>
      <c r="C143" s="27"/>
      <c r="D143" s="28"/>
      <c r="E143" s="28"/>
      <c r="F143" s="28"/>
      <c r="G143" s="29"/>
      <c r="H143" s="30"/>
      <c r="I143" s="28"/>
      <c r="J143" s="31" t="str">
        <f aca="false">IF(AND(G143&lt;&gt;"",H143&lt;&gt;""),G143*H143,"")</f>
        <v/>
      </c>
      <c r="K143" s="28"/>
      <c r="L143" s="32"/>
      <c r="M143" s="32"/>
      <c r="N143" s="31" t="n">
        <f aca="false">IF(OR(G143="",M143=""),0,IF(M143&gt;100,M143,G143*IF(M143&gt;1,M143/100,M143)))</f>
        <v>0</v>
      </c>
      <c r="O143" s="31" t="str">
        <f aca="false">IF(G143="","",G143*IF(L143="",0,IF(L143&gt;1,L143/100,L143))+N143)</f>
        <v/>
      </c>
      <c r="P143" s="28"/>
      <c r="Q143" s="33" t="str">
        <f aca="false">IF(P143="","",IFERROR(VLOOKUP(P143,PARTNERS!$A$2:$B$30,2,0),""))</f>
        <v/>
      </c>
      <c r="R143" s="17" t="str">
        <f aca="false">IF(O143="","",IF(OR(P143="",Q143=""),0,(O143-N143)*IF(Q143&gt;1,Q143/100,Q143)))</f>
        <v/>
      </c>
      <c r="S143" s="31" t="str">
        <f aca="false">IF(O143="","",O143-R143)</f>
        <v/>
      </c>
      <c r="T143" s="28"/>
      <c r="U143" s="34" t="str">
        <f aca="false">IF(T143="","",IFERROR(VLOOKUP(T143,REPS!$A$2:$D$40,2,0),""))</f>
        <v/>
      </c>
      <c r="V143" s="31" t="str">
        <f aca="false">IF(O143="","",IF(U143="",0,O143*IF(U143&gt;1,U143/100,U143)))</f>
        <v/>
      </c>
      <c r="W143" s="28"/>
      <c r="X143" s="34" t="str">
        <f aca="false">IF(W143="","",IFERROR(VLOOKUP(W143,REPS!$A$2:$D$40,3,0),""))</f>
        <v/>
      </c>
      <c r="Y143" s="31" t="str">
        <f aca="false">IF(O143="","",IF(X143="",0,O143*IF(X143&gt;1,X143/100,X143)))</f>
        <v/>
      </c>
      <c r="Z143" s="28"/>
      <c r="AA143" s="34" t="str">
        <f aca="false">IF(Z143="","",IFERROR(VLOOKUP(Z143,REPS!$A$2:$D$40,4,0),""))</f>
        <v/>
      </c>
      <c r="AB143" s="31" t="str">
        <f aca="false">IF(O143="","",IF(AA143="",0,O143*IF(AA143&gt;1,AA143/100,AA143)))</f>
        <v/>
      </c>
      <c r="AC143" s="31" t="str">
        <f aca="false">IF(O143="","",V143+Y143+AB143)</f>
        <v/>
      </c>
      <c r="AD143" s="19" t="str">
        <f aca="false">IF(O143="","",O143-R143-AC143)</f>
        <v/>
      </c>
      <c r="AE143" s="20"/>
      <c r="AF143" s="27"/>
      <c r="AG143" s="21" t="n">
        <f aca="false">IF(OR(AE143="",AE143=0),0,AE143*IF(U143="",0,IF(U143&gt;1,U143/100,U143)))</f>
        <v>0</v>
      </c>
      <c r="AH143" s="21" t="n">
        <f aca="false">IF(OR(AE143="",AE143=0),0,AE143*IF(X143="",0,IF(X143&gt;1,X143/100,X143)))</f>
        <v>0</v>
      </c>
      <c r="AI143" s="21" t="n">
        <f aca="false">IF(OR(AE143="",AE143=0),0,AE143*IF(AA143="",0,IF(AA143&gt;1,AA143/100,AA143)))</f>
        <v>0</v>
      </c>
      <c r="AJ143" s="21" t="n">
        <f aca="false">AG143+AH143+AI143</f>
        <v>0</v>
      </c>
      <c r="AK143" s="21" t="n">
        <f aca="false">IF(OR(AE143="",AE143=0),0,AE143-AJ143)</f>
        <v>0</v>
      </c>
      <c r="AL143" s="19" t="str">
        <f aca="false">IF(AD143="","",AD143-AK143)</f>
        <v/>
      </c>
      <c r="AM143" s="26" t="str">
        <f aca="false">IF(C143="","","Waiting for payment")</f>
        <v/>
      </c>
      <c r="AN143" s="27"/>
      <c r="AO143" s="27"/>
      <c r="AP143" s="35" t="str">
        <f aca="false">IF(OR(C143="",I143="",K143=""),"",IF(K143="Monthly",EDATE(C143,ROUND(I143*SETTINGS!$I$8,0)),WORKDAY(C143,ROUND(I143*SETTINGS!$I$8,0))))</f>
        <v/>
      </c>
      <c r="AQ143" s="26" t="str">
        <f aca="true">IF(C143="","",IF(AND(AP143&lt;&gt;"",TODAY()&gt;=AP143),"Refi Ready",IF(TODAY()-C143&gt;=SETTINGS!$I$11,"Prospecting","Performing")))</f>
        <v/>
      </c>
      <c r="AR143" s="35" t="str">
        <f aca="false">IF(OR(C143="",I143="",K143=""),"",IF(K143="Monthly",EDATE(C143,I143),WORKDAY(C143,I143)))</f>
        <v/>
      </c>
      <c r="AS143" s="28"/>
      <c r="AT143" s="36" t="str">
        <f aca="true">IF(C143="","",IF(AM143="Clawed Back","CLAWED",IF(TODAY()&lt;=C143+SETTINGS!$I$2,"⚠ AT RISK","SAFE")))</f>
        <v/>
      </c>
      <c r="AU143" s="28"/>
      <c r="AW143" s="24" t="n">
        <f aca="false">AW142+IF(AND(C143&lt;&gt;"",AO143&lt;&gt;"",OR('REP COMMISSION'!$B$3="",T143='REP COMMISSION'!$B$3,W143='REP COMMISSION'!$B$3,Z143='REP COMMISSION'!$B$3)),1,0)</f>
        <v>0</v>
      </c>
      <c r="AX143" s="24" t="n">
        <f aca="false">AX142+IF(AND(C143&lt;&gt;"",OR(F143="LOC - INITIAL",F143="CONSOLIDATION - UPFRONT COMM",F143="REVERSE - TOTAL FUNDING")),1,0)</f>
        <v>0</v>
      </c>
    </row>
    <row r="144" customFormat="false" ht="15" hidden="false" customHeight="false" outlineLevel="0" collapsed="false">
      <c r="A144" s="8" t="str">
        <f aca="false">IF(C144&lt;&gt;"","F27-"&amp;COUNT($C$4:C144),"")</f>
        <v/>
      </c>
      <c r="B144" s="9" t="str">
        <f aca="false">IF(OR(F144="LOC - INITIAL",F144="CONSOLIDATION - UPFRONT COMM",F144="REVERSE - TOTAL FUNDING"),A144,"")</f>
        <v/>
      </c>
      <c r="C144" s="10"/>
      <c r="D144" s="11"/>
      <c r="E144" s="11"/>
      <c r="F144" s="11"/>
      <c r="G144" s="12"/>
      <c r="H144" s="13"/>
      <c r="I144" s="11"/>
      <c r="J144" s="14" t="str">
        <f aca="false">IF(AND(G144&lt;&gt;"",H144&lt;&gt;""),G144*H144,"")</f>
        <v/>
      </c>
      <c r="K144" s="11"/>
      <c r="L144" s="15"/>
      <c r="M144" s="15"/>
      <c r="N144" s="14" t="n">
        <f aca="false">IF(OR(G144="",M144=""),0,IF(M144&gt;100,M144,G144*IF(M144&gt;1,M144/100,M144)))</f>
        <v>0</v>
      </c>
      <c r="O144" s="14" t="str">
        <f aca="false">IF(G144="","",G144*IF(L144="",0,IF(L144&gt;1,L144/100,L144))+N144)</f>
        <v/>
      </c>
      <c r="P144" s="11"/>
      <c r="Q144" s="16" t="str">
        <f aca="false">IF(P144="","",IFERROR(VLOOKUP(P144,PARTNERS!$A$2:$B$30,2,0),""))</f>
        <v/>
      </c>
      <c r="R144" s="17" t="str">
        <f aca="false">IF(O144="","",IF(OR(P144="",Q144=""),0,(O144-N144)*IF(Q144&gt;1,Q144/100,Q144)))</f>
        <v/>
      </c>
      <c r="S144" s="14" t="str">
        <f aca="false">IF(O144="","",O144-R144)</f>
        <v/>
      </c>
      <c r="T144" s="11"/>
      <c r="U144" s="18" t="str">
        <f aca="false">IF(T144="","",IFERROR(VLOOKUP(T144,REPS!$A$2:$D$40,2,0),""))</f>
        <v/>
      </c>
      <c r="V144" s="14" t="str">
        <f aca="false">IF(O144="","",IF(U144="",0,O144*IF(U144&gt;1,U144/100,U144)))</f>
        <v/>
      </c>
      <c r="W144" s="11"/>
      <c r="X144" s="18" t="str">
        <f aca="false">IF(W144="","",IFERROR(VLOOKUP(W144,REPS!$A$2:$D$40,3,0),""))</f>
        <v/>
      </c>
      <c r="Y144" s="14" t="str">
        <f aca="false">IF(O144="","",IF(X144="",0,O144*IF(X144&gt;1,X144/100,X144)))</f>
        <v/>
      </c>
      <c r="Z144" s="11"/>
      <c r="AA144" s="18" t="str">
        <f aca="false">IF(Z144="","",IFERROR(VLOOKUP(Z144,REPS!$A$2:$D$40,4,0),""))</f>
        <v/>
      </c>
      <c r="AB144" s="14" t="str">
        <f aca="false">IF(O144="","",IF(AA144="",0,O144*IF(AA144&gt;1,AA144/100,AA144)))</f>
        <v/>
      </c>
      <c r="AC144" s="14" t="str">
        <f aca="false">IF(O144="","",V144+Y144+AB144)</f>
        <v/>
      </c>
      <c r="AD144" s="19" t="str">
        <f aca="false">IF(O144="","",O144-R144-AC144)</f>
        <v/>
      </c>
      <c r="AE144" s="20"/>
      <c r="AF144" s="10"/>
      <c r="AG144" s="21" t="n">
        <f aca="false">IF(OR(AE144="",AE144=0),0,AE144*IF(U144="",0,IF(U144&gt;1,U144/100,U144)))</f>
        <v>0</v>
      </c>
      <c r="AH144" s="21" t="n">
        <f aca="false">IF(OR(AE144="",AE144=0),0,AE144*IF(X144="",0,IF(X144&gt;1,X144/100,X144)))</f>
        <v>0</v>
      </c>
      <c r="AI144" s="21" t="n">
        <f aca="false">IF(OR(AE144="",AE144=0),0,AE144*IF(AA144="",0,IF(AA144&gt;1,AA144/100,AA144)))</f>
        <v>0</v>
      </c>
      <c r="AJ144" s="21" t="n">
        <f aca="false">AG144+AH144+AI144</f>
        <v>0</v>
      </c>
      <c r="AK144" s="21" t="n">
        <f aca="false">IF(OR(AE144="",AE144=0),0,AE144-AJ144)</f>
        <v>0</v>
      </c>
      <c r="AL144" s="19" t="str">
        <f aca="false">IF(AD144="","",AD144-AK144)</f>
        <v/>
      </c>
      <c r="AM144" s="9" t="str">
        <f aca="false">IF(C144="","","Waiting for payment")</f>
        <v/>
      </c>
      <c r="AN144" s="10"/>
      <c r="AO144" s="10"/>
      <c r="AP144" s="22" t="str">
        <f aca="false">IF(OR(C144="",I144="",K144=""),"",IF(K144="Monthly",EDATE(C144,ROUND(I144*SETTINGS!$I$8,0)),WORKDAY(C144,ROUND(I144*SETTINGS!$I$8,0))))</f>
        <v/>
      </c>
      <c r="AQ144" s="9" t="str">
        <f aca="true">IF(C144="","",IF(AND(AP144&lt;&gt;"",TODAY()&gt;=AP144),"Refi Ready",IF(TODAY()-C144&gt;=SETTINGS!$I$11,"Prospecting","Performing")))</f>
        <v/>
      </c>
      <c r="AR144" s="22" t="str">
        <f aca="false">IF(OR(C144="",I144="",K144=""),"",IF(K144="Monthly",EDATE(C144,I144),WORKDAY(C144,I144)))</f>
        <v/>
      </c>
      <c r="AS144" s="11"/>
      <c r="AT144" s="23" t="str">
        <f aca="true">IF(C144="","",IF(AM144="Clawed Back","CLAWED",IF(TODAY()&lt;=C144+SETTINGS!$I$2,"⚠ AT RISK","SAFE")))</f>
        <v/>
      </c>
      <c r="AU144" s="11"/>
      <c r="AW144" s="24" t="n">
        <f aca="false">AW143+IF(AND(C144&lt;&gt;"",AO144&lt;&gt;"",OR('REP COMMISSION'!$B$3="",T144='REP COMMISSION'!$B$3,W144='REP COMMISSION'!$B$3,Z144='REP COMMISSION'!$B$3)),1,0)</f>
        <v>0</v>
      </c>
      <c r="AX144" s="24" t="n">
        <f aca="false">AX143+IF(AND(C144&lt;&gt;"",OR(F144="LOC - INITIAL",F144="CONSOLIDATION - UPFRONT COMM",F144="REVERSE - TOTAL FUNDING")),1,0)</f>
        <v>0</v>
      </c>
    </row>
    <row r="145" customFormat="false" ht="15" hidden="false" customHeight="false" outlineLevel="0" collapsed="false">
      <c r="A145" s="25" t="str">
        <f aca="false">IF(C145&lt;&gt;"","F27-"&amp;COUNT($C$4:C145),"")</f>
        <v/>
      </c>
      <c r="B145" s="26" t="str">
        <f aca="false">IF(OR(F145="LOC - INITIAL",F145="CONSOLIDATION - UPFRONT COMM",F145="REVERSE - TOTAL FUNDING"),A145,"")</f>
        <v/>
      </c>
      <c r="C145" s="27"/>
      <c r="D145" s="28"/>
      <c r="E145" s="28"/>
      <c r="F145" s="28"/>
      <c r="G145" s="29"/>
      <c r="H145" s="30"/>
      <c r="I145" s="28"/>
      <c r="J145" s="31" t="str">
        <f aca="false">IF(AND(G145&lt;&gt;"",H145&lt;&gt;""),G145*H145,"")</f>
        <v/>
      </c>
      <c r="K145" s="28"/>
      <c r="L145" s="32"/>
      <c r="M145" s="32"/>
      <c r="N145" s="31" t="n">
        <f aca="false">IF(OR(G145="",M145=""),0,IF(M145&gt;100,M145,G145*IF(M145&gt;1,M145/100,M145)))</f>
        <v>0</v>
      </c>
      <c r="O145" s="31" t="str">
        <f aca="false">IF(G145="","",G145*IF(L145="",0,IF(L145&gt;1,L145/100,L145))+N145)</f>
        <v/>
      </c>
      <c r="P145" s="28"/>
      <c r="Q145" s="33" t="str">
        <f aca="false">IF(P145="","",IFERROR(VLOOKUP(P145,PARTNERS!$A$2:$B$30,2,0),""))</f>
        <v/>
      </c>
      <c r="R145" s="17" t="str">
        <f aca="false">IF(O145="","",IF(OR(P145="",Q145=""),0,(O145-N145)*IF(Q145&gt;1,Q145/100,Q145)))</f>
        <v/>
      </c>
      <c r="S145" s="31" t="str">
        <f aca="false">IF(O145="","",O145-R145)</f>
        <v/>
      </c>
      <c r="T145" s="28"/>
      <c r="U145" s="34" t="str">
        <f aca="false">IF(T145="","",IFERROR(VLOOKUP(T145,REPS!$A$2:$D$40,2,0),""))</f>
        <v/>
      </c>
      <c r="V145" s="31" t="str">
        <f aca="false">IF(O145="","",IF(U145="",0,O145*IF(U145&gt;1,U145/100,U145)))</f>
        <v/>
      </c>
      <c r="W145" s="28"/>
      <c r="X145" s="34" t="str">
        <f aca="false">IF(W145="","",IFERROR(VLOOKUP(W145,REPS!$A$2:$D$40,3,0),""))</f>
        <v/>
      </c>
      <c r="Y145" s="31" t="str">
        <f aca="false">IF(O145="","",IF(X145="",0,O145*IF(X145&gt;1,X145/100,X145)))</f>
        <v/>
      </c>
      <c r="Z145" s="28"/>
      <c r="AA145" s="34" t="str">
        <f aca="false">IF(Z145="","",IFERROR(VLOOKUP(Z145,REPS!$A$2:$D$40,4,0),""))</f>
        <v/>
      </c>
      <c r="AB145" s="31" t="str">
        <f aca="false">IF(O145="","",IF(AA145="",0,O145*IF(AA145&gt;1,AA145/100,AA145)))</f>
        <v/>
      </c>
      <c r="AC145" s="31" t="str">
        <f aca="false">IF(O145="","",V145+Y145+AB145)</f>
        <v/>
      </c>
      <c r="AD145" s="19" t="str">
        <f aca="false">IF(O145="","",O145-R145-AC145)</f>
        <v/>
      </c>
      <c r="AE145" s="20"/>
      <c r="AF145" s="27"/>
      <c r="AG145" s="21" t="n">
        <f aca="false">IF(OR(AE145="",AE145=0),0,AE145*IF(U145="",0,IF(U145&gt;1,U145/100,U145)))</f>
        <v>0</v>
      </c>
      <c r="AH145" s="21" t="n">
        <f aca="false">IF(OR(AE145="",AE145=0),0,AE145*IF(X145="",0,IF(X145&gt;1,X145/100,X145)))</f>
        <v>0</v>
      </c>
      <c r="AI145" s="21" t="n">
        <f aca="false">IF(OR(AE145="",AE145=0),0,AE145*IF(AA145="",0,IF(AA145&gt;1,AA145/100,AA145)))</f>
        <v>0</v>
      </c>
      <c r="AJ145" s="21" t="n">
        <f aca="false">AG145+AH145+AI145</f>
        <v>0</v>
      </c>
      <c r="AK145" s="21" t="n">
        <f aca="false">IF(OR(AE145="",AE145=0),0,AE145-AJ145)</f>
        <v>0</v>
      </c>
      <c r="AL145" s="19" t="str">
        <f aca="false">IF(AD145="","",AD145-AK145)</f>
        <v/>
      </c>
      <c r="AM145" s="26" t="str">
        <f aca="false">IF(C145="","","Waiting for payment")</f>
        <v/>
      </c>
      <c r="AN145" s="27"/>
      <c r="AO145" s="27"/>
      <c r="AP145" s="35" t="str">
        <f aca="false">IF(OR(C145="",I145="",K145=""),"",IF(K145="Monthly",EDATE(C145,ROUND(I145*SETTINGS!$I$8,0)),WORKDAY(C145,ROUND(I145*SETTINGS!$I$8,0))))</f>
        <v/>
      </c>
      <c r="AQ145" s="26" t="str">
        <f aca="true">IF(C145="","",IF(AND(AP145&lt;&gt;"",TODAY()&gt;=AP145),"Refi Ready",IF(TODAY()-C145&gt;=SETTINGS!$I$11,"Prospecting","Performing")))</f>
        <v/>
      </c>
      <c r="AR145" s="35" t="str">
        <f aca="false">IF(OR(C145="",I145="",K145=""),"",IF(K145="Monthly",EDATE(C145,I145),WORKDAY(C145,I145)))</f>
        <v/>
      </c>
      <c r="AS145" s="28"/>
      <c r="AT145" s="36" t="str">
        <f aca="true">IF(C145="","",IF(AM145="Clawed Back","CLAWED",IF(TODAY()&lt;=C145+SETTINGS!$I$2,"⚠ AT RISK","SAFE")))</f>
        <v/>
      </c>
      <c r="AU145" s="28"/>
      <c r="AW145" s="24" t="n">
        <f aca="false">AW144+IF(AND(C145&lt;&gt;"",AO145&lt;&gt;"",OR('REP COMMISSION'!$B$3="",T145='REP COMMISSION'!$B$3,W145='REP COMMISSION'!$B$3,Z145='REP COMMISSION'!$B$3)),1,0)</f>
        <v>0</v>
      </c>
      <c r="AX145" s="24" t="n">
        <f aca="false">AX144+IF(AND(C145&lt;&gt;"",OR(F145="LOC - INITIAL",F145="CONSOLIDATION - UPFRONT COMM",F145="REVERSE - TOTAL FUNDING")),1,0)</f>
        <v>0</v>
      </c>
    </row>
    <row r="146" customFormat="false" ht="15" hidden="false" customHeight="false" outlineLevel="0" collapsed="false">
      <c r="A146" s="8" t="str">
        <f aca="false">IF(C146&lt;&gt;"","F27-"&amp;COUNT($C$4:C146),"")</f>
        <v/>
      </c>
      <c r="B146" s="9" t="str">
        <f aca="false">IF(OR(F146="LOC - INITIAL",F146="CONSOLIDATION - UPFRONT COMM",F146="REVERSE - TOTAL FUNDING"),A146,"")</f>
        <v/>
      </c>
      <c r="C146" s="10"/>
      <c r="D146" s="11"/>
      <c r="E146" s="11"/>
      <c r="F146" s="11"/>
      <c r="G146" s="12"/>
      <c r="H146" s="13"/>
      <c r="I146" s="11"/>
      <c r="J146" s="14" t="str">
        <f aca="false">IF(AND(G146&lt;&gt;"",H146&lt;&gt;""),G146*H146,"")</f>
        <v/>
      </c>
      <c r="K146" s="11"/>
      <c r="L146" s="15"/>
      <c r="M146" s="15"/>
      <c r="N146" s="14" t="n">
        <f aca="false">IF(OR(G146="",M146=""),0,IF(M146&gt;100,M146,G146*IF(M146&gt;1,M146/100,M146)))</f>
        <v>0</v>
      </c>
      <c r="O146" s="14" t="str">
        <f aca="false">IF(G146="","",G146*IF(L146="",0,IF(L146&gt;1,L146/100,L146))+N146)</f>
        <v/>
      </c>
      <c r="P146" s="11"/>
      <c r="Q146" s="16" t="str">
        <f aca="false">IF(P146="","",IFERROR(VLOOKUP(P146,PARTNERS!$A$2:$B$30,2,0),""))</f>
        <v/>
      </c>
      <c r="R146" s="17" t="str">
        <f aca="false">IF(O146="","",IF(OR(P146="",Q146=""),0,(O146-N146)*IF(Q146&gt;1,Q146/100,Q146)))</f>
        <v/>
      </c>
      <c r="S146" s="14" t="str">
        <f aca="false">IF(O146="","",O146-R146)</f>
        <v/>
      </c>
      <c r="T146" s="11"/>
      <c r="U146" s="18" t="str">
        <f aca="false">IF(T146="","",IFERROR(VLOOKUP(T146,REPS!$A$2:$D$40,2,0),""))</f>
        <v/>
      </c>
      <c r="V146" s="14" t="str">
        <f aca="false">IF(O146="","",IF(U146="",0,O146*IF(U146&gt;1,U146/100,U146)))</f>
        <v/>
      </c>
      <c r="W146" s="11"/>
      <c r="X146" s="18" t="str">
        <f aca="false">IF(W146="","",IFERROR(VLOOKUP(W146,REPS!$A$2:$D$40,3,0),""))</f>
        <v/>
      </c>
      <c r="Y146" s="14" t="str">
        <f aca="false">IF(O146="","",IF(X146="",0,O146*IF(X146&gt;1,X146/100,X146)))</f>
        <v/>
      </c>
      <c r="Z146" s="11"/>
      <c r="AA146" s="18" t="str">
        <f aca="false">IF(Z146="","",IFERROR(VLOOKUP(Z146,REPS!$A$2:$D$40,4,0),""))</f>
        <v/>
      </c>
      <c r="AB146" s="14" t="str">
        <f aca="false">IF(O146="","",IF(AA146="",0,O146*IF(AA146&gt;1,AA146/100,AA146)))</f>
        <v/>
      </c>
      <c r="AC146" s="14" t="str">
        <f aca="false">IF(O146="","",V146+Y146+AB146)</f>
        <v/>
      </c>
      <c r="AD146" s="19" t="str">
        <f aca="false">IF(O146="","",O146-R146-AC146)</f>
        <v/>
      </c>
      <c r="AE146" s="20"/>
      <c r="AF146" s="10"/>
      <c r="AG146" s="21" t="n">
        <f aca="false">IF(OR(AE146="",AE146=0),0,AE146*IF(U146="",0,IF(U146&gt;1,U146/100,U146)))</f>
        <v>0</v>
      </c>
      <c r="AH146" s="21" t="n">
        <f aca="false">IF(OR(AE146="",AE146=0),0,AE146*IF(X146="",0,IF(X146&gt;1,X146/100,X146)))</f>
        <v>0</v>
      </c>
      <c r="AI146" s="21" t="n">
        <f aca="false">IF(OR(AE146="",AE146=0),0,AE146*IF(AA146="",0,IF(AA146&gt;1,AA146/100,AA146)))</f>
        <v>0</v>
      </c>
      <c r="AJ146" s="21" t="n">
        <f aca="false">AG146+AH146+AI146</f>
        <v>0</v>
      </c>
      <c r="AK146" s="21" t="n">
        <f aca="false">IF(OR(AE146="",AE146=0),0,AE146-AJ146)</f>
        <v>0</v>
      </c>
      <c r="AL146" s="19" t="str">
        <f aca="false">IF(AD146="","",AD146-AK146)</f>
        <v/>
      </c>
      <c r="AM146" s="9" t="str">
        <f aca="false">IF(C146="","","Waiting for payment")</f>
        <v/>
      </c>
      <c r="AN146" s="10"/>
      <c r="AO146" s="10"/>
      <c r="AP146" s="22" t="str">
        <f aca="false">IF(OR(C146="",I146="",K146=""),"",IF(K146="Monthly",EDATE(C146,ROUND(I146*SETTINGS!$I$8,0)),WORKDAY(C146,ROUND(I146*SETTINGS!$I$8,0))))</f>
        <v/>
      </c>
      <c r="AQ146" s="9" t="str">
        <f aca="true">IF(C146="","",IF(AND(AP146&lt;&gt;"",TODAY()&gt;=AP146),"Refi Ready",IF(TODAY()-C146&gt;=SETTINGS!$I$11,"Prospecting","Performing")))</f>
        <v/>
      </c>
      <c r="AR146" s="22" t="str">
        <f aca="false">IF(OR(C146="",I146="",K146=""),"",IF(K146="Monthly",EDATE(C146,I146),WORKDAY(C146,I146)))</f>
        <v/>
      </c>
      <c r="AS146" s="11"/>
      <c r="AT146" s="23" t="str">
        <f aca="true">IF(C146="","",IF(AM146="Clawed Back","CLAWED",IF(TODAY()&lt;=C146+SETTINGS!$I$2,"⚠ AT RISK","SAFE")))</f>
        <v/>
      </c>
      <c r="AU146" s="11"/>
      <c r="AW146" s="24" t="n">
        <f aca="false">AW145+IF(AND(C146&lt;&gt;"",AO146&lt;&gt;"",OR('REP COMMISSION'!$B$3="",T146='REP COMMISSION'!$B$3,W146='REP COMMISSION'!$B$3,Z146='REP COMMISSION'!$B$3)),1,0)</f>
        <v>0</v>
      </c>
      <c r="AX146" s="24" t="n">
        <f aca="false">AX145+IF(AND(C146&lt;&gt;"",OR(F146="LOC - INITIAL",F146="CONSOLIDATION - UPFRONT COMM",F146="REVERSE - TOTAL FUNDING")),1,0)</f>
        <v>0</v>
      </c>
    </row>
    <row r="147" customFormat="false" ht="15" hidden="false" customHeight="false" outlineLevel="0" collapsed="false">
      <c r="A147" s="25" t="str">
        <f aca="false">IF(C147&lt;&gt;"","F27-"&amp;COUNT($C$4:C147),"")</f>
        <v/>
      </c>
      <c r="B147" s="26" t="str">
        <f aca="false">IF(OR(F147="LOC - INITIAL",F147="CONSOLIDATION - UPFRONT COMM",F147="REVERSE - TOTAL FUNDING"),A147,"")</f>
        <v/>
      </c>
      <c r="C147" s="27"/>
      <c r="D147" s="28"/>
      <c r="E147" s="28"/>
      <c r="F147" s="28"/>
      <c r="G147" s="29"/>
      <c r="H147" s="30"/>
      <c r="I147" s="28"/>
      <c r="J147" s="31" t="str">
        <f aca="false">IF(AND(G147&lt;&gt;"",H147&lt;&gt;""),G147*H147,"")</f>
        <v/>
      </c>
      <c r="K147" s="28"/>
      <c r="L147" s="32"/>
      <c r="M147" s="32"/>
      <c r="N147" s="31" t="n">
        <f aca="false">IF(OR(G147="",M147=""),0,IF(M147&gt;100,M147,G147*IF(M147&gt;1,M147/100,M147)))</f>
        <v>0</v>
      </c>
      <c r="O147" s="31" t="str">
        <f aca="false">IF(G147="","",G147*IF(L147="",0,IF(L147&gt;1,L147/100,L147))+N147)</f>
        <v/>
      </c>
      <c r="P147" s="28"/>
      <c r="Q147" s="33" t="str">
        <f aca="false">IF(P147="","",IFERROR(VLOOKUP(P147,PARTNERS!$A$2:$B$30,2,0),""))</f>
        <v/>
      </c>
      <c r="R147" s="17" t="str">
        <f aca="false">IF(O147="","",IF(OR(P147="",Q147=""),0,(O147-N147)*IF(Q147&gt;1,Q147/100,Q147)))</f>
        <v/>
      </c>
      <c r="S147" s="31" t="str">
        <f aca="false">IF(O147="","",O147-R147)</f>
        <v/>
      </c>
      <c r="T147" s="28"/>
      <c r="U147" s="34" t="str">
        <f aca="false">IF(T147="","",IFERROR(VLOOKUP(T147,REPS!$A$2:$D$40,2,0),""))</f>
        <v/>
      </c>
      <c r="V147" s="31" t="str">
        <f aca="false">IF(O147="","",IF(U147="",0,O147*IF(U147&gt;1,U147/100,U147)))</f>
        <v/>
      </c>
      <c r="W147" s="28"/>
      <c r="X147" s="34" t="str">
        <f aca="false">IF(W147="","",IFERROR(VLOOKUP(W147,REPS!$A$2:$D$40,3,0),""))</f>
        <v/>
      </c>
      <c r="Y147" s="31" t="str">
        <f aca="false">IF(O147="","",IF(X147="",0,O147*IF(X147&gt;1,X147/100,X147)))</f>
        <v/>
      </c>
      <c r="Z147" s="28"/>
      <c r="AA147" s="34" t="str">
        <f aca="false">IF(Z147="","",IFERROR(VLOOKUP(Z147,REPS!$A$2:$D$40,4,0),""))</f>
        <v/>
      </c>
      <c r="AB147" s="31" t="str">
        <f aca="false">IF(O147="","",IF(AA147="",0,O147*IF(AA147&gt;1,AA147/100,AA147)))</f>
        <v/>
      </c>
      <c r="AC147" s="31" t="str">
        <f aca="false">IF(O147="","",V147+Y147+AB147)</f>
        <v/>
      </c>
      <c r="AD147" s="19" t="str">
        <f aca="false">IF(O147="","",O147-R147-AC147)</f>
        <v/>
      </c>
      <c r="AE147" s="20"/>
      <c r="AF147" s="27"/>
      <c r="AG147" s="21" t="n">
        <f aca="false">IF(OR(AE147="",AE147=0),0,AE147*IF(U147="",0,IF(U147&gt;1,U147/100,U147)))</f>
        <v>0</v>
      </c>
      <c r="AH147" s="21" t="n">
        <f aca="false">IF(OR(AE147="",AE147=0),0,AE147*IF(X147="",0,IF(X147&gt;1,X147/100,X147)))</f>
        <v>0</v>
      </c>
      <c r="AI147" s="21" t="n">
        <f aca="false">IF(OR(AE147="",AE147=0),0,AE147*IF(AA147="",0,IF(AA147&gt;1,AA147/100,AA147)))</f>
        <v>0</v>
      </c>
      <c r="AJ147" s="21" t="n">
        <f aca="false">AG147+AH147+AI147</f>
        <v>0</v>
      </c>
      <c r="AK147" s="21" t="n">
        <f aca="false">IF(OR(AE147="",AE147=0),0,AE147-AJ147)</f>
        <v>0</v>
      </c>
      <c r="AL147" s="19" t="str">
        <f aca="false">IF(AD147="","",AD147-AK147)</f>
        <v/>
      </c>
      <c r="AM147" s="26" t="str">
        <f aca="false">IF(C147="","","Waiting for payment")</f>
        <v/>
      </c>
      <c r="AN147" s="27"/>
      <c r="AO147" s="27"/>
      <c r="AP147" s="35" t="str">
        <f aca="false">IF(OR(C147="",I147="",K147=""),"",IF(K147="Monthly",EDATE(C147,ROUND(I147*SETTINGS!$I$8,0)),WORKDAY(C147,ROUND(I147*SETTINGS!$I$8,0))))</f>
        <v/>
      </c>
      <c r="AQ147" s="26" t="str">
        <f aca="true">IF(C147="","",IF(AND(AP147&lt;&gt;"",TODAY()&gt;=AP147),"Refi Ready",IF(TODAY()-C147&gt;=SETTINGS!$I$11,"Prospecting","Performing")))</f>
        <v/>
      </c>
      <c r="AR147" s="35" t="str">
        <f aca="false">IF(OR(C147="",I147="",K147=""),"",IF(K147="Monthly",EDATE(C147,I147),WORKDAY(C147,I147)))</f>
        <v/>
      </c>
      <c r="AS147" s="28"/>
      <c r="AT147" s="36" t="str">
        <f aca="true">IF(C147="","",IF(AM147="Clawed Back","CLAWED",IF(TODAY()&lt;=C147+SETTINGS!$I$2,"⚠ AT RISK","SAFE")))</f>
        <v/>
      </c>
      <c r="AU147" s="28"/>
      <c r="AW147" s="24" t="n">
        <f aca="false">AW146+IF(AND(C147&lt;&gt;"",AO147&lt;&gt;"",OR('REP COMMISSION'!$B$3="",T147='REP COMMISSION'!$B$3,W147='REP COMMISSION'!$B$3,Z147='REP COMMISSION'!$B$3)),1,0)</f>
        <v>0</v>
      </c>
      <c r="AX147" s="24" t="n">
        <f aca="false">AX146+IF(AND(C147&lt;&gt;"",OR(F147="LOC - INITIAL",F147="CONSOLIDATION - UPFRONT COMM",F147="REVERSE - TOTAL FUNDING")),1,0)</f>
        <v>0</v>
      </c>
    </row>
    <row r="148" customFormat="false" ht="15" hidden="false" customHeight="false" outlineLevel="0" collapsed="false">
      <c r="A148" s="8" t="str">
        <f aca="false">IF(C148&lt;&gt;"","F27-"&amp;COUNT($C$4:C148),"")</f>
        <v/>
      </c>
      <c r="B148" s="9" t="str">
        <f aca="false">IF(OR(F148="LOC - INITIAL",F148="CONSOLIDATION - UPFRONT COMM",F148="REVERSE - TOTAL FUNDING"),A148,"")</f>
        <v/>
      </c>
      <c r="C148" s="10"/>
      <c r="D148" s="11"/>
      <c r="E148" s="11"/>
      <c r="F148" s="11"/>
      <c r="G148" s="12"/>
      <c r="H148" s="13"/>
      <c r="I148" s="11"/>
      <c r="J148" s="14" t="str">
        <f aca="false">IF(AND(G148&lt;&gt;"",H148&lt;&gt;""),G148*H148,"")</f>
        <v/>
      </c>
      <c r="K148" s="11"/>
      <c r="L148" s="15"/>
      <c r="M148" s="15"/>
      <c r="N148" s="14" t="n">
        <f aca="false">IF(OR(G148="",M148=""),0,IF(M148&gt;100,M148,G148*IF(M148&gt;1,M148/100,M148)))</f>
        <v>0</v>
      </c>
      <c r="O148" s="14" t="str">
        <f aca="false">IF(G148="","",G148*IF(L148="",0,IF(L148&gt;1,L148/100,L148))+N148)</f>
        <v/>
      </c>
      <c r="P148" s="11"/>
      <c r="Q148" s="16" t="str">
        <f aca="false">IF(P148="","",IFERROR(VLOOKUP(P148,PARTNERS!$A$2:$B$30,2,0),""))</f>
        <v/>
      </c>
      <c r="R148" s="17" t="str">
        <f aca="false">IF(O148="","",IF(OR(P148="",Q148=""),0,(O148-N148)*IF(Q148&gt;1,Q148/100,Q148)))</f>
        <v/>
      </c>
      <c r="S148" s="14" t="str">
        <f aca="false">IF(O148="","",O148-R148)</f>
        <v/>
      </c>
      <c r="T148" s="11"/>
      <c r="U148" s="18" t="str">
        <f aca="false">IF(T148="","",IFERROR(VLOOKUP(T148,REPS!$A$2:$D$40,2,0),""))</f>
        <v/>
      </c>
      <c r="V148" s="14" t="str">
        <f aca="false">IF(O148="","",IF(U148="",0,O148*IF(U148&gt;1,U148/100,U148)))</f>
        <v/>
      </c>
      <c r="W148" s="11"/>
      <c r="X148" s="18" t="str">
        <f aca="false">IF(W148="","",IFERROR(VLOOKUP(W148,REPS!$A$2:$D$40,3,0),""))</f>
        <v/>
      </c>
      <c r="Y148" s="14" t="str">
        <f aca="false">IF(O148="","",IF(X148="",0,O148*IF(X148&gt;1,X148/100,X148)))</f>
        <v/>
      </c>
      <c r="Z148" s="11"/>
      <c r="AA148" s="18" t="str">
        <f aca="false">IF(Z148="","",IFERROR(VLOOKUP(Z148,REPS!$A$2:$D$40,4,0),""))</f>
        <v/>
      </c>
      <c r="AB148" s="14" t="str">
        <f aca="false">IF(O148="","",IF(AA148="",0,O148*IF(AA148&gt;1,AA148/100,AA148)))</f>
        <v/>
      </c>
      <c r="AC148" s="14" t="str">
        <f aca="false">IF(O148="","",V148+Y148+AB148)</f>
        <v/>
      </c>
      <c r="AD148" s="19" t="str">
        <f aca="false">IF(O148="","",O148-R148-AC148)</f>
        <v/>
      </c>
      <c r="AE148" s="20"/>
      <c r="AF148" s="10"/>
      <c r="AG148" s="21" t="n">
        <f aca="false">IF(OR(AE148="",AE148=0),0,AE148*IF(U148="",0,IF(U148&gt;1,U148/100,U148)))</f>
        <v>0</v>
      </c>
      <c r="AH148" s="21" t="n">
        <f aca="false">IF(OR(AE148="",AE148=0),0,AE148*IF(X148="",0,IF(X148&gt;1,X148/100,X148)))</f>
        <v>0</v>
      </c>
      <c r="AI148" s="21" t="n">
        <f aca="false">IF(OR(AE148="",AE148=0),0,AE148*IF(AA148="",0,IF(AA148&gt;1,AA148/100,AA148)))</f>
        <v>0</v>
      </c>
      <c r="AJ148" s="21" t="n">
        <f aca="false">AG148+AH148+AI148</f>
        <v>0</v>
      </c>
      <c r="AK148" s="21" t="n">
        <f aca="false">IF(OR(AE148="",AE148=0),0,AE148-AJ148)</f>
        <v>0</v>
      </c>
      <c r="AL148" s="19" t="str">
        <f aca="false">IF(AD148="","",AD148-AK148)</f>
        <v/>
      </c>
      <c r="AM148" s="9" t="str">
        <f aca="false">IF(C148="","","Waiting for payment")</f>
        <v/>
      </c>
      <c r="AN148" s="10"/>
      <c r="AO148" s="10"/>
      <c r="AP148" s="22" t="str">
        <f aca="false">IF(OR(C148="",I148="",K148=""),"",IF(K148="Monthly",EDATE(C148,ROUND(I148*SETTINGS!$I$8,0)),WORKDAY(C148,ROUND(I148*SETTINGS!$I$8,0))))</f>
        <v/>
      </c>
      <c r="AQ148" s="9" t="str">
        <f aca="true">IF(C148="","",IF(AND(AP148&lt;&gt;"",TODAY()&gt;=AP148),"Refi Ready",IF(TODAY()-C148&gt;=SETTINGS!$I$11,"Prospecting","Performing")))</f>
        <v/>
      </c>
      <c r="AR148" s="22" t="str">
        <f aca="false">IF(OR(C148="",I148="",K148=""),"",IF(K148="Monthly",EDATE(C148,I148),WORKDAY(C148,I148)))</f>
        <v/>
      </c>
      <c r="AS148" s="11"/>
      <c r="AT148" s="23" t="str">
        <f aca="true">IF(C148="","",IF(AM148="Clawed Back","CLAWED",IF(TODAY()&lt;=C148+SETTINGS!$I$2,"⚠ AT RISK","SAFE")))</f>
        <v/>
      </c>
      <c r="AU148" s="11"/>
      <c r="AW148" s="24" t="n">
        <f aca="false">AW147+IF(AND(C148&lt;&gt;"",AO148&lt;&gt;"",OR('REP COMMISSION'!$B$3="",T148='REP COMMISSION'!$B$3,W148='REP COMMISSION'!$B$3,Z148='REP COMMISSION'!$B$3)),1,0)</f>
        <v>0</v>
      </c>
      <c r="AX148" s="24" t="n">
        <f aca="false">AX147+IF(AND(C148&lt;&gt;"",OR(F148="LOC - INITIAL",F148="CONSOLIDATION - UPFRONT COMM",F148="REVERSE - TOTAL FUNDING")),1,0)</f>
        <v>0</v>
      </c>
    </row>
    <row r="149" customFormat="false" ht="15" hidden="false" customHeight="false" outlineLevel="0" collapsed="false">
      <c r="A149" s="25" t="str">
        <f aca="false">IF(C149&lt;&gt;"","F27-"&amp;COUNT($C$4:C149),"")</f>
        <v/>
      </c>
      <c r="B149" s="26" t="str">
        <f aca="false">IF(OR(F149="LOC - INITIAL",F149="CONSOLIDATION - UPFRONT COMM",F149="REVERSE - TOTAL FUNDING"),A149,"")</f>
        <v/>
      </c>
      <c r="C149" s="27"/>
      <c r="D149" s="28"/>
      <c r="E149" s="28"/>
      <c r="F149" s="28"/>
      <c r="G149" s="29"/>
      <c r="H149" s="30"/>
      <c r="I149" s="28"/>
      <c r="J149" s="31" t="str">
        <f aca="false">IF(AND(G149&lt;&gt;"",H149&lt;&gt;""),G149*H149,"")</f>
        <v/>
      </c>
      <c r="K149" s="28"/>
      <c r="L149" s="32"/>
      <c r="M149" s="32"/>
      <c r="N149" s="31" t="n">
        <f aca="false">IF(OR(G149="",M149=""),0,IF(M149&gt;100,M149,G149*IF(M149&gt;1,M149/100,M149)))</f>
        <v>0</v>
      </c>
      <c r="O149" s="31" t="str">
        <f aca="false">IF(G149="","",G149*IF(L149="",0,IF(L149&gt;1,L149/100,L149))+N149)</f>
        <v/>
      </c>
      <c r="P149" s="28"/>
      <c r="Q149" s="33" t="str">
        <f aca="false">IF(P149="","",IFERROR(VLOOKUP(P149,PARTNERS!$A$2:$B$30,2,0),""))</f>
        <v/>
      </c>
      <c r="R149" s="17" t="str">
        <f aca="false">IF(O149="","",IF(OR(P149="",Q149=""),0,(O149-N149)*IF(Q149&gt;1,Q149/100,Q149)))</f>
        <v/>
      </c>
      <c r="S149" s="31" t="str">
        <f aca="false">IF(O149="","",O149-R149)</f>
        <v/>
      </c>
      <c r="T149" s="28"/>
      <c r="U149" s="34" t="str">
        <f aca="false">IF(T149="","",IFERROR(VLOOKUP(T149,REPS!$A$2:$D$40,2,0),""))</f>
        <v/>
      </c>
      <c r="V149" s="31" t="str">
        <f aca="false">IF(O149="","",IF(U149="",0,O149*IF(U149&gt;1,U149/100,U149)))</f>
        <v/>
      </c>
      <c r="W149" s="28"/>
      <c r="X149" s="34" t="str">
        <f aca="false">IF(W149="","",IFERROR(VLOOKUP(W149,REPS!$A$2:$D$40,3,0),""))</f>
        <v/>
      </c>
      <c r="Y149" s="31" t="str">
        <f aca="false">IF(O149="","",IF(X149="",0,O149*IF(X149&gt;1,X149/100,X149)))</f>
        <v/>
      </c>
      <c r="Z149" s="28"/>
      <c r="AA149" s="34" t="str">
        <f aca="false">IF(Z149="","",IFERROR(VLOOKUP(Z149,REPS!$A$2:$D$40,4,0),""))</f>
        <v/>
      </c>
      <c r="AB149" s="31" t="str">
        <f aca="false">IF(O149="","",IF(AA149="",0,O149*IF(AA149&gt;1,AA149/100,AA149)))</f>
        <v/>
      </c>
      <c r="AC149" s="31" t="str">
        <f aca="false">IF(O149="","",V149+Y149+AB149)</f>
        <v/>
      </c>
      <c r="AD149" s="19" t="str">
        <f aca="false">IF(O149="","",O149-R149-AC149)</f>
        <v/>
      </c>
      <c r="AE149" s="20"/>
      <c r="AF149" s="27"/>
      <c r="AG149" s="21" t="n">
        <f aca="false">IF(OR(AE149="",AE149=0),0,AE149*IF(U149="",0,IF(U149&gt;1,U149/100,U149)))</f>
        <v>0</v>
      </c>
      <c r="AH149" s="21" t="n">
        <f aca="false">IF(OR(AE149="",AE149=0),0,AE149*IF(X149="",0,IF(X149&gt;1,X149/100,X149)))</f>
        <v>0</v>
      </c>
      <c r="AI149" s="21" t="n">
        <f aca="false">IF(OR(AE149="",AE149=0),0,AE149*IF(AA149="",0,IF(AA149&gt;1,AA149/100,AA149)))</f>
        <v>0</v>
      </c>
      <c r="AJ149" s="21" t="n">
        <f aca="false">AG149+AH149+AI149</f>
        <v>0</v>
      </c>
      <c r="AK149" s="21" t="n">
        <f aca="false">IF(OR(AE149="",AE149=0),0,AE149-AJ149)</f>
        <v>0</v>
      </c>
      <c r="AL149" s="19" t="str">
        <f aca="false">IF(AD149="","",AD149-AK149)</f>
        <v/>
      </c>
      <c r="AM149" s="26" t="str">
        <f aca="false">IF(C149="","","Waiting for payment")</f>
        <v/>
      </c>
      <c r="AN149" s="27"/>
      <c r="AO149" s="27"/>
      <c r="AP149" s="35" t="str">
        <f aca="false">IF(OR(C149="",I149="",K149=""),"",IF(K149="Monthly",EDATE(C149,ROUND(I149*SETTINGS!$I$8,0)),WORKDAY(C149,ROUND(I149*SETTINGS!$I$8,0))))</f>
        <v/>
      </c>
      <c r="AQ149" s="26" t="str">
        <f aca="true">IF(C149="","",IF(AND(AP149&lt;&gt;"",TODAY()&gt;=AP149),"Refi Ready",IF(TODAY()-C149&gt;=SETTINGS!$I$11,"Prospecting","Performing")))</f>
        <v/>
      </c>
      <c r="AR149" s="35" t="str">
        <f aca="false">IF(OR(C149="",I149="",K149=""),"",IF(K149="Monthly",EDATE(C149,I149),WORKDAY(C149,I149)))</f>
        <v/>
      </c>
      <c r="AS149" s="28"/>
      <c r="AT149" s="36" t="str">
        <f aca="true">IF(C149="","",IF(AM149="Clawed Back","CLAWED",IF(TODAY()&lt;=C149+SETTINGS!$I$2,"⚠ AT RISK","SAFE")))</f>
        <v/>
      </c>
      <c r="AU149" s="28"/>
      <c r="AW149" s="24" t="n">
        <f aca="false">AW148+IF(AND(C149&lt;&gt;"",AO149&lt;&gt;"",OR('REP COMMISSION'!$B$3="",T149='REP COMMISSION'!$B$3,W149='REP COMMISSION'!$B$3,Z149='REP COMMISSION'!$B$3)),1,0)</f>
        <v>0</v>
      </c>
      <c r="AX149" s="24" t="n">
        <f aca="false">AX148+IF(AND(C149&lt;&gt;"",OR(F149="LOC - INITIAL",F149="CONSOLIDATION - UPFRONT COMM",F149="REVERSE - TOTAL FUNDING")),1,0)</f>
        <v>0</v>
      </c>
    </row>
    <row r="150" customFormat="false" ht="15" hidden="false" customHeight="false" outlineLevel="0" collapsed="false">
      <c r="A150" s="8" t="str">
        <f aca="false">IF(C150&lt;&gt;"","F27-"&amp;COUNT($C$4:C150),"")</f>
        <v/>
      </c>
      <c r="B150" s="9" t="str">
        <f aca="false">IF(OR(F150="LOC - INITIAL",F150="CONSOLIDATION - UPFRONT COMM",F150="REVERSE - TOTAL FUNDING"),A150,"")</f>
        <v/>
      </c>
      <c r="C150" s="10"/>
      <c r="D150" s="11"/>
      <c r="E150" s="11"/>
      <c r="F150" s="11"/>
      <c r="G150" s="12"/>
      <c r="H150" s="13"/>
      <c r="I150" s="11"/>
      <c r="J150" s="14" t="str">
        <f aca="false">IF(AND(G150&lt;&gt;"",H150&lt;&gt;""),G150*H150,"")</f>
        <v/>
      </c>
      <c r="K150" s="11"/>
      <c r="L150" s="15"/>
      <c r="M150" s="15"/>
      <c r="N150" s="14" t="n">
        <f aca="false">IF(OR(G150="",M150=""),0,IF(M150&gt;100,M150,G150*IF(M150&gt;1,M150/100,M150)))</f>
        <v>0</v>
      </c>
      <c r="O150" s="14" t="str">
        <f aca="false">IF(G150="","",G150*IF(L150="",0,IF(L150&gt;1,L150/100,L150))+N150)</f>
        <v/>
      </c>
      <c r="P150" s="11"/>
      <c r="Q150" s="16" t="str">
        <f aca="false">IF(P150="","",IFERROR(VLOOKUP(P150,PARTNERS!$A$2:$B$30,2,0),""))</f>
        <v/>
      </c>
      <c r="R150" s="17" t="str">
        <f aca="false">IF(O150="","",IF(OR(P150="",Q150=""),0,(O150-N150)*IF(Q150&gt;1,Q150/100,Q150)))</f>
        <v/>
      </c>
      <c r="S150" s="14" t="str">
        <f aca="false">IF(O150="","",O150-R150)</f>
        <v/>
      </c>
      <c r="T150" s="11"/>
      <c r="U150" s="18" t="str">
        <f aca="false">IF(T150="","",IFERROR(VLOOKUP(T150,REPS!$A$2:$D$40,2,0),""))</f>
        <v/>
      </c>
      <c r="V150" s="14" t="str">
        <f aca="false">IF(O150="","",IF(U150="",0,O150*IF(U150&gt;1,U150/100,U150)))</f>
        <v/>
      </c>
      <c r="W150" s="11"/>
      <c r="X150" s="18" t="str">
        <f aca="false">IF(W150="","",IFERROR(VLOOKUP(W150,REPS!$A$2:$D$40,3,0),""))</f>
        <v/>
      </c>
      <c r="Y150" s="14" t="str">
        <f aca="false">IF(O150="","",IF(X150="",0,O150*IF(X150&gt;1,X150/100,X150)))</f>
        <v/>
      </c>
      <c r="Z150" s="11"/>
      <c r="AA150" s="18" t="str">
        <f aca="false">IF(Z150="","",IFERROR(VLOOKUP(Z150,REPS!$A$2:$D$40,4,0),""))</f>
        <v/>
      </c>
      <c r="AB150" s="14" t="str">
        <f aca="false">IF(O150="","",IF(AA150="",0,O150*IF(AA150&gt;1,AA150/100,AA150)))</f>
        <v/>
      </c>
      <c r="AC150" s="14" t="str">
        <f aca="false">IF(O150="","",V150+Y150+AB150)</f>
        <v/>
      </c>
      <c r="AD150" s="19" t="str">
        <f aca="false">IF(O150="","",O150-R150-AC150)</f>
        <v/>
      </c>
      <c r="AE150" s="20"/>
      <c r="AF150" s="10"/>
      <c r="AG150" s="21" t="n">
        <f aca="false">IF(OR(AE150="",AE150=0),0,AE150*IF(U150="",0,IF(U150&gt;1,U150/100,U150)))</f>
        <v>0</v>
      </c>
      <c r="AH150" s="21" t="n">
        <f aca="false">IF(OR(AE150="",AE150=0),0,AE150*IF(X150="",0,IF(X150&gt;1,X150/100,X150)))</f>
        <v>0</v>
      </c>
      <c r="AI150" s="21" t="n">
        <f aca="false">IF(OR(AE150="",AE150=0),0,AE150*IF(AA150="",0,IF(AA150&gt;1,AA150/100,AA150)))</f>
        <v>0</v>
      </c>
      <c r="AJ150" s="21" t="n">
        <f aca="false">AG150+AH150+AI150</f>
        <v>0</v>
      </c>
      <c r="AK150" s="21" t="n">
        <f aca="false">IF(OR(AE150="",AE150=0),0,AE150-AJ150)</f>
        <v>0</v>
      </c>
      <c r="AL150" s="19" t="str">
        <f aca="false">IF(AD150="","",AD150-AK150)</f>
        <v/>
      </c>
      <c r="AM150" s="9" t="str">
        <f aca="false">IF(C150="","","Waiting for payment")</f>
        <v/>
      </c>
      <c r="AN150" s="10"/>
      <c r="AO150" s="10"/>
      <c r="AP150" s="22" t="str">
        <f aca="false">IF(OR(C150="",I150="",K150=""),"",IF(K150="Monthly",EDATE(C150,ROUND(I150*SETTINGS!$I$8,0)),WORKDAY(C150,ROUND(I150*SETTINGS!$I$8,0))))</f>
        <v/>
      </c>
      <c r="AQ150" s="9" t="str">
        <f aca="true">IF(C150="","",IF(AND(AP150&lt;&gt;"",TODAY()&gt;=AP150),"Refi Ready",IF(TODAY()-C150&gt;=SETTINGS!$I$11,"Prospecting","Performing")))</f>
        <v/>
      </c>
      <c r="AR150" s="22" t="str">
        <f aca="false">IF(OR(C150="",I150="",K150=""),"",IF(K150="Monthly",EDATE(C150,I150),WORKDAY(C150,I150)))</f>
        <v/>
      </c>
      <c r="AS150" s="11"/>
      <c r="AT150" s="23" t="str">
        <f aca="true">IF(C150="","",IF(AM150="Clawed Back","CLAWED",IF(TODAY()&lt;=C150+SETTINGS!$I$2,"⚠ AT RISK","SAFE")))</f>
        <v/>
      </c>
      <c r="AU150" s="11"/>
      <c r="AW150" s="24" t="n">
        <f aca="false">AW149+IF(AND(C150&lt;&gt;"",AO150&lt;&gt;"",OR('REP COMMISSION'!$B$3="",T150='REP COMMISSION'!$B$3,W150='REP COMMISSION'!$B$3,Z150='REP COMMISSION'!$B$3)),1,0)</f>
        <v>0</v>
      </c>
      <c r="AX150" s="24" t="n">
        <f aca="false">AX149+IF(AND(C150&lt;&gt;"",OR(F150="LOC - INITIAL",F150="CONSOLIDATION - UPFRONT COMM",F150="REVERSE - TOTAL FUNDING")),1,0)</f>
        <v>0</v>
      </c>
    </row>
    <row r="151" customFormat="false" ht="15" hidden="false" customHeight="false" outlineLevel="0" collapsed="false">
      <c r="A151" s="25" t="str">
        <f aca="false">IF(C151&lt;&gt;"","F27-"&amp;COUNT($C$4:C151),"")</f>
        <v/>
      </c>
      <c r="B151" s="26" t="str">
        <f aca="false">IF(OR(F151="LOC - INITIAL",F151="CONSOLIDATION - UPFRONT COMM",F151="REVERSE - TOTAL FUNDING"),A151,"")</f>
        <v/>
      </c>
      <c r="C151" s="27"/>
      <c r="D151" s="28"/>
      <c r="E151" s="28"/>
      <c r="F151" s="28"/>
      <c r="G151" s="29"/>
      <c r="H151" s="30"/>
      <c r="I151" s="28"/>
      <c r="J151" s="31" t="str">
        <f aca="false">IF(AND(G151&lt;&gt;"",H151&lt;&gt;""),G151*H151,"")</f>
        <v/>
      </c>
      <c r="K151" s="28"/>
      <c r="L151" s="32"/>
      <c r="M151" s="32"/>
      <c r="N151" s="31" t="n">
        <f aca="false">IF(OR(G151="",M151=""),0,IF(M151&gt;100,M151,G151*IF(M151&gt;1,M151/100,M151)))</f>
        <v>0</v>
      </c>
      <c r="O151" s="31" t="str">
        <f aca="false">IF(G151="","",G151*IF(L151="",0,IF(L151&gt;1,L151/100,L151))+N151)</f>
        <v/>
      </c>
      <c r="P151" s="28"/>
      <c r="Q151" s="33" t="str">
        <f aca="false">IF(P151="","",IFERROR(VLOOKUP(P151,PARTNERS!$A$2:$B$30,2,0),""))</f>
        <v/>
      </c>
      <c r="R151" s="17" t="str">
        <f aca="false">IF(O151="","",IF(OR(P151="",Q151=""),0,(O151-N151)*IF(Q151&gt;1,Q151/100,Q151)))</f>
        <v/>
      </c>
      <c r="S151" s="31" t="str">
        <f aca="false">IF(O151="","",O151-R151)</f>
        <v/>
      </c>
      <c r="T151" s="28"/>
      <c r="U151" s="34" t="str">
        <f aca="false">IF(T151="","",IFERROR(VLOOKUP(T151,REPS!$A$2:$D$40,2,0),""))</f>
        <v/>
      </c>
      <c r="V151" s="31" t="str">
        <f aca="false">IF(O151="","",IF(U151="",0,O151*IF(U151&gt;1,U151/100,U151)))</f>
        <v/>
      </c>
      <c r="W151" s="28"/>
      <c r="X151" s="34" t="str">
        <f aca="false">IF(W151="","",IFERROR(VLOOKUP(W151,REPS!$A$2:$D$40,3,0),""))</f>
        <v/>
      </c>
      <c r="Y151" s="31" t="str">
        <f aca="false">IF(O151="","",IF(X151="",0,O151*IF(X151&gt;1,X151/100,X151)))</f>
        <v/>
      </c>
      <c r="Z151" s="28"/>
      <c r="AA151" s="34" t="str">
        <f aca="false">IF(Z151="","",IFERROR(VLOOKUP(Z151,REPS!$A$2:$D$40,4,0),""))</f>
        <v/>
      </c>
      <c r="AB151" s="31" t="str">
        <f aca="false">IF(O151="","",IF(AA151="",0,O151*IF(AA151&gt;1,AA151/100,AA151)))</f>
        <v/>
      </c>
      <c r="AC151" s="31" t="str">
        <f aca="false">IF(O151="","",V151+Y151+AB151)</f>
        <v/>
      </c>
      <c r="AD151" s="19" t="str">
        <f aca="false">IF(O151="","",O151-R151-AC151)</f>
        <v/>
      </c>
      <c r="AE151" s="20"/>
      <c r="AF151" s="27"/>
      <c r="AG151" s="21" t="n">
        <f aca="false">IF(OR(AE151="",AE151=0),0,AE151*IF(U151="",0,IF(U151&gt;1,U151/100,U151)))</f>
        <v>0</v>
      </c>
      <c r="AH151" s="21" t="n">
        <f aca="false">IF(OR(AE151="",AE151=0),0,AE151*IF(X151="",0,IF(X151&gt;1,X151/100,X151)))</f>
        <v>0</v>
      </c>
      <c r="AI151" s="21" t="n">
        <f aca="false">IF(OR(AE151="",AE151=0),0,AE151*IF(AA151="",0,IF(AA151&gt;1,AA151/100,AA151)))</f>
        <v>0</v>
      </c>
      <c r="AJ151" s="21" t="n">
        <f aca="false">AG151+AH151+AI151</f>
        <v>0</v>
      </c>
      <c r="AK151" s="21" t="n">
        <f aca="false">IF(OR(AE151="",AE151=0),0,AE151-AJ151)</f>
        <v>0</v>
      </c>
      <c r="AL151" s="19" t="str">
        <f aca="false">IF(AD151="","",AD151-AK151)</f>
        <v/>
      </c>
      <c r="AM151" s="26" t="str">
        <f aca="false">IF(C151="","","Waiting for payment")</f>
        <v/>
      </c>
      <c r="AN151" s="27"/>
      <c r="AO151" s="27"/>
      <c r="AP151" s="35" t="str">
        <f aca="false">IF(OR(C151="",I151="",K151=""),"",IF(K151="Monthly",EDATE(C151,ROUND(I151*SETTINGS!$I$8,0)),WORKDAY(C151,ROUND(I151*SETTINGS!$I$8,0))))</f>
        <v/>
      </c>
      <c r="AQ151" s="26" t="str">
        <f aca="true">IF(C151="","",IF(AND(AP151&lt;&gt;"",TODAY()&gt;=AP151),"Refi Ready",IF(TODAY()-C151&gt;=SETTINGS!$I$11,"Prospecting","Performing")))</f>
        <v/>
      </c>
      <c r="AR151" s="35" t="str">
        <f aca="false">IF(OR(C151="",I151="",K151=""),"",IF(K151="Monthly",EDATE(C151,I151),WORKDAY(C151,I151)))</f>
        <v/>
      </c>
      <c r="AS151" s="28"/>
      <c r="AT151" s="36" t="str">
        <f aca="true">IF(C151="","",IF(AM151="Clawed Back","CLAWED",IF(TODAY()&lt;=C151+SETTINGS!$I$2,"⚠ AT RISK","SAFE")))</f>
        <v/>
      </c>
      <c r="AU151" s="28"/>
      <c r="AW151" s="24" t="n">
        <f aca="false">AW150+IF(AND(C151&lt;&gt;"",AO151&lt;&gt;"",OR('REP COMMISSION'!$B$3="",T151='REP COMMISSION'!$B$3,W151='REP COMMISSION'!$B$3,Z151='REP COMMISSION'!$B$3)),1,0)</f>
        <v>0</v>
      </c>
      <c r="AX151" s="24" t="n">
        <f aca="false">AX150+IF(AND(C151&lt;&gt;"",OR(F151="LOC - INITIAL",F151="CONSOLIDATION - UPFRONT COMM",F151="REVERSE - TOTAL FUNDING")),1,0)</f>
        <v>0</v>
      </c>
    </row>
    <row r="152" customFormat="false" ht="15" hidden="false" customHeight="false" outlineLevel="0" collapsed="false">
      <c r="A152" s="8" t="str">
        <f aca="false">IF(C152&lt;&gt;"","F27-"&amp;COUNT($C$4:C152),"")</f>
        <v/>
      </c>
      <c r="B152" s="9" t="str">
        <f aca="false">IF(OR(F152="LOC - INITIAL",F152="CONSOLIDATION - UPFRONT COMM",F152="REVERSE - TOTAL FUNDING"),A152,"")</f>
        <v/>
      </c>
      <c r="C152" s="10"/>
      <c r="D152" s="11"/>
      <c r="E152" s="11"/>
      <c r="F152" s="11"/>
      <c r="G152" s="12"/>
      <c r="H152" s="13"/>
      <c r="I152" s="11"/>
      <c r="J152" s="14" t="str">
        <f aca="false">IF(AND(G152&lt;&gt;"",H152&lt;&gt;""),G152*H152,"")</f>
        <v/>
      </c>
      <c r="K152" s="11"/>
      <c r="L152" s="15"/>
      <c r="M152" s="15"/>
      <c r="N152" s="14" t="n">
        <f aca="false">IF(OR(G152="",M152=""),0,IF(M152&gt;100,M152,G152*IF(M152&gt;1,M152/100,M152)))</f>
        <v>0</v>
      </c>
      <c r="O152" s="14" t="str">
        <f aca="false">IF(G152="","",G152*IF(L152="",0,IF(L152&gt;1,L152/100,L152))+N152)</f>
        <v/>
      </c>
      <c r="P152" s="11"/>
      <c r="Q152" s="16" t="str">
        <f aca="false">IF(P152="","",IFERROR(VLOOKUP(P152,PARTNERS!$A$2:$B$30,2,0),""))</f>
        <v/>
      </c>
      <c r="R152" s="17" t="str">
        <f aca="false">IF(O152="","",IF(OR(P152="",Q152=""),0,(O152-N152)*IF(Q152&gt;1,Q152/100,Q152)))</f>
        <v/>
      </c>
      <c r="S152" s="14" t="str">
        <f aca="false">IF(O152="","",O152-R152)</f>
        <v/>
      </c>
      <c r="T152" s="11"/>
      <c r="U152" s="18" t="str">
        <f aca="false">IF(T152="","",IFERROR(VLOOKUP(T152,REPS!$A$2:$D$40,2,0),""))</f>
        <v/>
      </c>
      <c r="V152" s="14" t="str">
        <f aca="false">IF(O152="","",IF(U152="",0,O152*IF(U152&gt;1,U152/100,U152)))</f>
        <v/>
      </c>
      <c r="W152" s="11"/>
      <c r="X152" s="18" t="str">
        <f aca="false">IF(W152="","",IFERROR(VLOOKUP(W152,REPS!$A$2:$D$40,3,0),""))</f>
        <v/>
      </c>
      <c r="Y152" s="14" t="str">
        <f aca="false">IF(O152="","",IF(X152="",0,O152*IF(X152&gt;1,X152/100,X152)))</f>
        <v/>
      </c>
      <c r="Z152" s="11"/>
      <c r="AA152" s="18" t="str">
        <f aca="false">IF(Z152="","",IFERROR(VLOOKUP(Z152,REPS!$A$2:$D$40,4,0),""))</f>
        <v/>
      </c>
      <c r="AB152" s="14" t="str">
        <f aca="false">IF(O152="","",IF(AA152="",0,O152*IF(AA152&gt;1,AA152/100,AA152)))</f>
        <v/>
      </c>
      <c r="AC152" s="14" t="str">
        <f aca="false">IF(O152="","",V152+Y152+AB152)</f>
        <v/>
      </c>
      <c r="AD152" s="19" t="str">
        <f aca="false">IF(O152="","",O152-R152-AC152)</f>
        <v/>
      </c>
      <c r="AE152" s="20"/>
      <c r="AF152" s="10"/>
      <c r="AG152" s="21" t="n">
        <f aca="false">IF(OR(AE152="",AE152=0),0,AE152*IF(U152="",0,IF(U152&gt;1,U152/100,U152)))</f>
        <v>0</v>
      </c>
      <c r="AH152" s="21" t="n">
        <f aca="false">IF(OR(AE152="",AE152=0),0,AE152*IF(X152="",0,IF(X152&gt;1,X152/100,X152)))</f>
        <v>0</v>
      </c>
      <c r="AI152" s="21" t="n">
        <f aca="false">IF(OR(AE152="",AE152=0),0,AE152*IF(AA152="",0,IF(AA152&gt;1,AA152/100,AA152)))</f>
        <v>0</v>
      </c>
      <c r="AJ152" s="21" t="n">
        <f aca="false">AG152+AH152+AI152</f>
        <v>0</v>
      </c>
      <c r="AK152" s="21" t="n">
        <f aca="false">IF(OR(AE152="",AE152=0),0,AE152-AJ152)</f>
        <v>0</v>
      </c>
      <c r="AL152" s="19" t="str">
        <f aca="false">IF(AD152="","",AD152-AK152)</f>
        <v/>
      </c>
      <c r="AM152" s="9" t="str">
        <f aca="false">IF(C152="","","Waiting for payment")</f>
        <v/>
      </c>
      <c r="AN152" s="10"/>
      <c r="AO152" s="10"/>
      <c r="AP152" s="22" t="str">
        <f aca="false">IF(OR(C152="",I152="",K152=""),"",IF(K152="Monthly",EDATE(C152,ROUND(I152*SETTINGS!$I$8,0)),WORKDAY(C152,ROUND(I152*SETTINGS!$I$8,0))))</f>
        <v/>
      </c>
      <c r="AQ152" s="9" t="str">
        <f aca="true">IF(C152="","",IF(AND(AP152&lt;&gt;"",TODAY()&gt;=AP152),"Refi Ready",IF(TODAY()-C152&gt;=SETTINGS!$I$11,"Prospecting","Performing")))</f>
        <v/>
      </c>
      <c r="AR152" s="22" t="str">
        <f aca="false">IF(OR(C152="",I152="",K152=""),"",IF(K152="Monthly",EDATE(C152,I152),WORKDAY(C152,I152)))</f>
        <v/>
      </c>
      <c r="AS152" s="11"/>
      <c r="AT152" s="23" t="str">
        <f aca="true">IF(C152="","",IF(AM152="Clawed Back","CLAWED",IF(TODAY()&lt;=C152+SETTINGS!$I$2,"⚠ AT RISK","SAFE")))</f>
        <v/>
      </c>
      <c r="AU152" s="11"/>
      <c r="AW152" s="24" t="n">
        <f aca="false">AW151+IF(AND(C152&lt;&gt;"",AO152&lt;&gt;"",OR('REP COMMISSION'!$B$3="",T152='REP COMMISSION'!$B$3,W152='REP COMMISSION'!$B$3,Z152='REP COMMISSION'!$B$3)),1,0)</f>
        <v>0</v>
      </c>
      <c r="AX152" s="24" t="n">
        <f aca="false">AX151+IF(AND(C152&lt;&gt;"",OR(F152="LOC - INITIAL",F152="CONSOLIDATION - UPFRONT COMM",F152="REVERSE - TOTAL FUNDING")),1,0)</f>
        <v>0</v>
      </c>
    </row>
    <row r="153" customFormat="false" ht="15" hidden="false" customHeight="false" outlineLevel="0" collapsed="false">
      <c r="A153" s="25" t="str">
        <f aca="false">IF(C153&lt;&gt;"","F27-"&amp;COUNT($C$4:C153),"")</f>
        <v/>
      </c>
      <c r="B153" s="26" t="str">
        <f aca="false">IF(OR(F153="LOC - INITIAL",F153="CONSOLIDATION - UPFRONT COMM",F153="REVERSE - TOTAL FUNDING"),A153,"")</f>
        <v/>
      </c>
      <c r="C153" s="27"/>
      <c r="D153" s="28"/>
      <c r="E153" s="28"/>
      <c r="F153" s="28"/>
      <c r="G153" s="29"/>
      <c r="H153" s="30"/>
      <c r="I153" s="28"/>
      <c r="J153" s="31" t="str">
        <f aca="false">IF(AND(G153&lt;&gt;"",H153&lt;&gt;""),G153*H153,"")</f>
        <v/>
      </c>
      <c r="K153" s="28"/>
      <c r="L153" s="32"/>
      <c r="M153" s="32"/>
      <c r="N153" s="31" t="n">
        <f aca="false">IF(OR(G153="",M153=""),0,IF(M153&gt;100,M153,G153*IF(M153&gt;1,M153/100,M153)))</f>
        <v>0</v>
      </c>
      <c r="O153" s="31" t="str">
        <f aca="false">IF(G153="","",G153*IF(L153="",0,IF(L153&gt;1,L153/100,L153))+N153)</f>
        <v/>
      </c>
      <c r="P153" s="28"/>
      <c r="Q153" s="33" t="str">
        <f aca="false">IF(P153="","",IFERROR(VLOOKUP(P153,PARTNERS!$A$2:$B$30,2,0),""))</f>
        <v/>
      </c>
      <c r="R153" s="17" t="str">
        <f aca="false">IF(O153="","",IF(OR(P153="",Q153=""),0,(O153-N153)*IF(Q153&gt;1,Q153/100,Q153)))</f>
        <v/>
      </c>
      <c r="S153" s="31" t="str">
        <f aca="false">IF(O153="","",O153-R153)</f>
        <v/>
      </c>
      <c r="T153" s="28"/>
      <c r="U153" s="34" t="str">
        <f aca="false">IF(T153="","",IFERROR(VLOOKUP(T153,REPS!$A$2:$D$40,2,0),""))</f>
        <v/>
      </c>
      <c r="V153" s="31" t="str">
        <f aca="false">IF(O153="","",IF(U153="",0,O153*IF(U153&gt;1,U153/100,U153)))</f>
        <v/>
      </c>
      <c r="W153" s="28"/>
      <c r="X153" s="34" t="str">
        <f aca="false">IF(W153="","",IFERROR(VLOOKUP(W153,REPS!$A$2:$D$40,3,0),""))</f>
        <v/>
      </c>
      <c r="Y153" s="31" t="str">
        <f aca="false">IF(O153="","",IF(X153="",0,O153*IF(X153&gt;1,X153/100,X153)))</f>
        <v/>
      </c>
      <c r="Z153" s="28"/>
      <c r="AA153" s="34" t="str">
        <f aca="false">IF(Z153="","",IFERROR(VLOOKUP(Z153,REPS!$A$2:$D$40,4,0),""))</f>
        <v/>
      </c>
      <c r="AB153" s="31" t="str">
        <f aca="false">IF(O153="","",IF(AA153="",0,O153*IF(AA153&gt;1,AA153/100,AA153)))</f>
        <v/>
      </c>
      <c r="AC153" s="31" t="str">
        <f aca="false">IF(O153="","",V153+Y153+AB153)</f>
        <v/>
      </c>
      <c r="AD153" s="19" t="str">
        <f aca="false">IF(O153="","",O153-R153-AC153)</f>
        <v/>
      </c>
      <c r="AE153" s="20"/>
      <c r="AF153" s="27"/>
      <c r="AG153" s="21" t="n">
        <f aca="false">IF(OR(AE153="",AE153=0),0,AE153*IF(U153="",0,IF(U153&gt;1,U153/100,U153)))</f>
        <v>0</v>
      </c>
      <c r="AH153" s="21" t="n">
        <f aca="false">IF(OR(AE153="",AE153=0),0,AE153*IF(X153="",0,IF(X153&gt;1,X153/100,X153)))</f>
        <v>0</v>
      </c>
      <c r="AI153" s="21" t="n">
        <f aca="false">IF(OR(AE153="",AE153=0),0,AE153*IF(AA153="",0,IF(AA153&gt;1,AA153/100,AA153)))</f>
        <v>0</v>
      </c>
      <c r="AJ153" s="21" t="n">
        <f aca="false">AG153+AH153+AI153</f>
        <v>0</v>
      </c>
      <c r="AK153" s="21" t="n">
        <f aca="false">IF(OR(AE153="",AE153=0),0,AE153-AJ153)</f>
        <v>0</v>
      </c>
      <c r="AL153" s="19" t="str">
        <f aca="false">IF(AD153="","",AD153-AK153)</f>
        <v/>
      </c>
      <c r="AM153" s="26" t="str">
        <f aca="false">IF(C153="","","Waiting for payment")</f>
        <v/>
      </c>
      <c r="AN153" s="27"/>
      <c r="AO153" s="27"/>
      <c r="AP153" s="35" t="str">
        <f aca="false">IF(OR(C153="",I153="",K153=""),"",IF(K153="Monthly",EDATE(C153,ROUND(I153*SETTINGS!$I$8,0)),WORKDAY(C153,ROUND(I153*SETTINGS!$I$8,0))))</f>
        <v/>
      </c>
      <c r="AQ153" s="26" t="str">
        <f aca="true">IF(C153="","",IF(AND(AP153&lt;&gt;"",TODAY()&gt;=AP153),"Refi Ready",IF(TODAY()-C153&gt;=SETTINGS!$I$11,"Prospecting","Performing")))</f>
        <v/>
      </c>
      <c r="AR153" s="35" t="str">
        <f aca="false">IF(OR(C153="",I153="",K153=""),"",IF(K153="Monthly",EDATE(C153,I153),WORKDAY(C153,I153)))</f>
        <v/>
      </c>
      <c r="AS153" s="28"/>
      <c r="AT153" s="36" t="str">
        <f aca="true">IF(C153="","",IF(AM153="Clawed Back","CLAWED",IF(TODAY()&lt;=C153+SETTINGS!$I$2,"⚠ AT RISK","SAFE")))</f>
        <v/>
      </c>
      <c r="AU153" s="28"/>
      <c r="AW153" s="24" t="n">
        <f aca="false">AW152+IF(AND(C153&lt;&gt;"",AO153&lt;&gt;"",OR('REP COMMISSION'!$B$3="",T153='REP COMMISSION'!$B$3,W153='REP COMMISSION'!$B$3,Z153='REP COMMISSION'!$B$3)),1,0)</f>
        <v>0</v>
      </c>
      <c r="AX153" s="24" t="n">
        <f aca="false">AX152+IF(AND(C153&lt;&gt;"",OR(F153="LOC - INITIAL",F153="CONSOLIDATION - UPFRONT COMM",F153="REVERSE - TOTAL FUNDING")),1,0)</f>
        <v>0</v>
      </c>
    </row>
    <row r="154" customFormat="false" ht="15" hidden="false" customHeight="false" outlineLevel="0" collapsed="false">
      <c r="A154" s="8" t="str">
        <f aca="false">IF(C154&lt;&gt;"","F27-"&amp;COUNT($C$4:C154),"")</f>
        <v/>
      </c>
      <c r="B154" s="9" t="str">
        <f aca="false">IF(OR(F154="LOC - INITIAL",F154="CONSOLIDATION - UPFRONT COMM",F154="REVERSE - TOTAL FUNDING"),A154,"")</f>
        <v/>
      </c>
      <c r="C154" s="10"/>
      <c r="D154" s="11"/>
      <c r="E154" s="11"/>
      <c r="F154" s="11"/>
      <c r="G154" s="12"/>
      <c r="H154" s="13"/>
      <c r="I154" s="11"/>
      <c r="J154" s="14" t="str">
        <f aca="false">IF(AND(G154&lt;&gt;"",H154&lt;&gt;""),G154*H154,"")</f>
        <v/>
      </c>
      <c r="K154" s="11"/>
      <c r="L154" s="15"/>
      <c r="M154" s="15"/>
      <c r="N154" s="14" t="n">
        <f aca="false">IF(OR(G154="",M154=""),0,IF(M154&gt;100,M154,G154*IF(M154&gt;1,M154/100,M154)))</f>
        <v>0</v>
      </c>
      <c r="O154" s="14" t="str">
        <f aca="false">IF(G154="","",G154*IF(L154="",0,IF(L154&gt;1,L154/100,L154))+N154)</f>
        <v/>
      </c>
      <c r="P154" s="11"/>
      <c r="Q154" s="16" t="str">
        <f aca="false">IF(P154="","",IFERROR(VLOOKUP(P154,PARTNERS!$A$2:$B$30,2,0),""))</f>
        <v/>
      </c>
      <c r="R154" s="17" t="str">
        <f aca="false">IF(O154="","",IF(OR(P154="",Q154=""),0,(O154-N154)*IF(Q154&gt;1,Q154/100,Q154)))</f>
        <v/>
      </c>
      <c r="S154" s="14" t="str">
        <f aca="false">IF(O154="","",O154-R154)</f>
        <v/>
      </c>
      <c r="T154" s="11"/>
      <c r="U154" s="18" t="str">
        <f aca="false">IF(T154="","",IFERROR(VLOOKUP(T154,REPS!$A$2:$D$40,2,0),""))</f>
        <v/>
      </c>
      <c r="V154" s="14" t="str">
        <f aca="false">IF(O154="","",IF(U154="",0,O154*IF(U154&gt;1,U154/100,U154)))</f>
        <v/>
      </c>
      <c r="W154" s="11"/>
      <c r="X154" s="18" t="str">
        <f aca="false">IF(W154="","",IFERROR(VLOOKUP(W154,REPS!$A$2:$D$40,3,0),""))</f>
        <v/>
      </c>
      <c r="Y154" s="14" t="str">
        <f aca="false">IF(O154="","",IF(X154="",0,O154*IF(X154&gt;1,X154/100,X154)))</f>
        <v/>
      </c>
      <c r="Z154" s="11"/>
      <c r="AA154" s="18" t="str">
        <f aca="false">IF(Z154="","",IFERROR(VLOOKUP(Z154,REPS!$A$2:$D$40,4,0),""))</f>
        <v/>
      </c>
      <c r="AB154" s="14" t="str">
        <f aca="false">IF(O154="","",IF(AA154="",0,O154*IF(AA154&gt;1,AA154/100,AA154)))</f>
        <v/>
      </c>
      <c r="AC154" s="14" t="str">
        <f aca="false">IF(O154="","",V154+Y154+AB154)</f>
        <v/>
      </c>
      <c r="AD154" s="19" t="str">
        <f aca="false">IF(O154="","",O154-R154-AC154)</f>
        <v/>
      </c>
      <c r="AE154" s="20"/>
      <c r="AF154" s="10"/>
      <c r="AG154" s="21" t="n">
        <f aca="false">IF(OR(AE154="",AE154=0),0,AE154*IF(U154="",0,IF(U154&gt;1,U154/100,U154)))</f>
        <v>0</v>
      </c>
      <c r="AH154" s="21" t="n">
        <f aca="false">IF(OR(AE154="",AE154=0),0,AE154*IF(X154="",0,IF(X154&gt;1,X154/100,X154)))</f>
        <v>0</v>
      </c>
      <c r="AI154" s="21" t="n">
        <f aca="false">IF(OR(AE154="",AE154=0),0,AE154*IF(AA154="",0,IF(AA154&gt;1,AA154/100,AA154)))</f>
        <v>0</v>
      </c>
      <c r="AJ154" s="21" t="n">
        <f aca="false">AG154+AH154+AI154</f>
        <v>0</v>
      </c>
      <c r="AK154" s="21" t="n">
        <f aca="false">IF(OR(AE154="",AE154=0),0,AE154-AJ154)</f>
        <v>0</v>
      </c>
      <c r="AL154" s="19" t="str">
        <f aca="false">IF(AD154="","",AD154-AK154)</f>
        <v/>
      </c>
      <c r="AM154" s="9" t="str">
        <f aca="false">IF(C154="","","Waiting for payment")</f>
        <v/>
      </c>
      <c r="AN154" s="10"/>
      <c r="AO154" s="10"/>
      <c r="AP154" s="22" t="str">
        <f aca="false">IF(OR(C154="",I154="",K154=""),"",IF(K154="Monthly",EDATE(C154,ROUND(I154*SETTINGS!$I$8,0)),WORKDAY(C154,ROUND(I154*SETTINGS!$I$8,0))))</f>
        <v/>
      </c>
      <c r="AQ154" s="9" t="str">
        <f aca="true">IF(C154="","",IF(AND(AP154&lt;&gt;"",TODAY()&gt;=AP154),"Refi Ready",IF(TODAY()-C154&gt;=SETTINGS!$I$11,"Prospecting","Performing")))</f>
        <v/>
      </c>
      <c r="AR154" s="22" t="str">
        <f aca="false">IF(OR(C154="",I154="",K154=""),"",IF(K154="Monthly",EDATE(C154,I154),WORKDAY(C154,I154)))</f>
        <v/>
      </c>
      <c r="AS154" s="11"/>
      <c r="AT154" s="23" t="str">
        <f aca="true">IF(C154="","",IF(AM154="Clawed Back","CLAWED",IF(TODAY()&lt;=C154+SETTINGS!$I$2,"⚠ AT RISK","SAFE")))</f>
        <v/>
      </c>
      <c r="AU154" s="11"/>
      <c r="AW154" s="24" t="n">
        <f aca="false">AW153+IF(AND(C154&lt;&gt;"",AO154&lt;&gt;"",OR('REP COMMISSION'!$B$3="",T154='REP COMMISSION'!$B$3,W154='REP COMMISSION'!$B$3,Z154='REP COMMISSION'!$B$3)),1,0)</f>
        <v>0</v>
      </c>
      <c r="AX154" s="24" t="n">
        <f aca="false">AX153+IF(AND(C154&lt;&gt;"",OR(F154="LOC - INITIAL",F154="CONSOLIDATION - UPFRONT COMM",F154="REVERSE - TOTAL FUNDING")),1,0)</f>
        <v>0</v>
      </c>
    </row>
    <row r="155" customFormat="false" ht="15" hidden="false" customHeight="false" outlineLevel="0" collapsed="false">
      <c r="A155" s="25" t="str">
        <f aca="false">IF(C155&lt;&gt;"","F27-"&amp;COUNT($C$4:C155),"")</f>
        <v/>
      </c>
      <c r="B155" s="26" t="str">
        <f aca="false">IF(OR(F155="LOC - INITIAL",F155="CONSOLIDATION - UPFRONT COMM",F155="REVERSE - TOTAL FUNDING"),A155,"")</f>
        <v/>
      </c>
      <c r="C155" s="27"/>
      <c r="D155" s="28"/>
      <c r="E155" s="28"/>
      <c r="F155" s="28"/>
      <c r="G155" s="29"/>
      <c r="H155" s="30"/>
      <c r="I155" s="28"/>
      <c r="J155" s="31" t="str">
        <f aca="false">IF(AND(G155&lt;&gt;"",H155&lt;&gt;""),G155*H155,"")</f>
        <v/>
      </c>
      <c r="K155" s="28"/>
      <c r="L155" s="32"/>
      <c r="M155" s="32"/>
      <c r="N155" s="31" t="n">
        <f aca="false">IF(OR(G155="",M155=""),0,IF(M155&gt;100,M155,G155*IF(M155&gt;1,M155/100,M155)))</f>
        <v>0</v>
      </c>
      <c r="O155" s="31" t="str">
        <f aca="false">IF(G155="","",G155*IF(L155="",0,IF(L155&gt;1,L155/100,L155))+N155)</f>
        <v/>
      </c>
      <c r="P155" s="28"/>
      <c r="Q155" s="33" t="str">
        <f aca="false">IF(P155="","",IFERROR(VLOOKUP(P155,PARTNERS!$A$2:$B$30,2,0),""))</f>
        <v/>
      </c>
      <c r="R155" s="17" t="str">
        <f aca="false">IF(O155="","",IF(OR(P155="",Q155=""),0,(O155-N155)*IF(Q155&gt;1,Q155/100,Q155)))</f>
        <v/>
      </c>
      <c r="S155" s="31" t="str">
        <f aca="false">IF(O155="","",O155-R155)</f>
        <v/>
      </c>
      <c r="T155" s="28"/>
      <c r="U155" s="34" t="str">
        <f aca="false">IF(T155="","",IFERROR(VLOOKUP(T155,REPS!$A$2:$D$40,2,0),""))</f>
        <v/>
      </c>
      <c r="V155" s="31" t="str">
        <f aca="false">IF(O155="","",IF(U155="",0,O155*IF(U155&gt;1,U155/100,U155)))</f>
        <v/>
      </c>
      <c r="W155" s="28"/>
      <c r="X155" s="34" t="str">
        <f aca="false">IF(W155="","",IFERROR(VLOOKUP(W155,REPS!$A$2:$D$40,3,0),""))</f>
        <v/>
      </c>
      <c r="Y155" s="31" t="str">
        <f aca="false">IF(O155="","",IF(X155="",0,O155*IF(X155&gt;1,X155/100,X155)))</f>
        <v/>
      </c>
      <c r="Z155" s="28"/>
      <c r="AA155" s="34" t="str">
        <f aca="false">IF(Z155="","",IFERROR(VLOOKUP(Z155,REPS!$A$2:$D$40,4,0),""))</f>
        <v/>
      </c>
      <c r="AB155" s="31" t="str">
        <f aca="false">IF(O155="","",IF(AA155="",0,O155*IF(AA155&gt;1,AA155/100,AA155)))</f>
        <v/>
      </c>
      <c r="AC155" s="31" t="str">
        <f aca="false">IF(O155="","",V155+Y155+AB155)</f>
        <v/>
      </c>
      <c r="AD155" s="19" t="str">
        <f aca="false">IF(O155="","",O155-R155-AC155)</f>
        <v/>
      </c>
      <c r="AE155" s="20"/>
      <c r="AF155" s="27"/>
      <c r="AG155" s="21" t="n">
        <f aca="false">IF(OR(AE155="",AE155=0),0,AE155*IF(U155="",0,IF(U155&gt;1,U155/100,U155)))</f>
        <v>0</v>
      </c>
      <c r="AH155" s="21" t="n">
        <f aca="false">IF(OR(AE155="",AE155=0),0,AE155*IF(X155="",0,IF(X155&gt;1,X155/100,X155)))</f>
        <v>0</v>
      </c>
      <c r="AI155" s="21" t="n">
        <f aca="false">IF(OR(AE155="",AE155=0),0,AE155*IF(AA155="",0,IF(AA155&gt;1,AA155/100,AA155)))</f>
        <v>0</v>
      </c>
      <c r="AJ155" s="21" t="n">
        <f aca="false">AG155+AH155+AI155</f>
        <v>0</v>
      </c>
      <c r="AK155" s="21" t="n">
        <f aca="false">IF(OR(AE155="",AE155=0),0,AE155-AJ155)</f>
        <v>0</v>
      </c>
      <c r="AL155" s="19" t="str">
        <f aca="false">IF(AD155="","",AD155-AK155)</f>
        <v/>
      </c>
      <c r="AM155" s="26" t="str">
        <f aca="false">IF(C155="","","Waiting for payment")</f>
        <v/>
      </c>
      <c r="AN155" s="27"/>
      <c r="AO155" s="27"/>
      <c r="AP155" s="35" t="str">
        <f aca="false">IF(OR(C155="",I155="",K155=""),"",IF(K155="Monthly",EDATE(C155,ROUND(I155*SETTINGS!$I$8,0)),WORKDAY(C155,ROUND(I155*SETTINGS!$I$8,0))))</f>
        <v/>
      </c>
      <c r="AQ155" s="26" t="str">
        <f aca="true">IF(C155="","",IF(AND(AP155&lt;&gt;"",TODAY()&gt;=AP155),"Refi Ready",IF(TODAY()-C155&gt;=SETTINGS!$I$11,"Prospecting","Performing")))</f>
        <v/>
      </c>
      <c r="AR155" s="35" t="str">
        <f aca="false">IF(OR(C155="",I155="",K155=""),"",IF(K155="Monthly",EDATE(C155,I155),WORKDAY(C155,I155)))</f>
        <v/>
      </c>
      <c r="AS155" s="28"/>
      <c r="AT155" s="36" t="str">
        <f aca="true">IF(C155="","",IF(AM155="Clawed Back","CLAWED",IF(TODAY()&lt;=C155+SETTINGS!$I$2,"⚠ AT RISK","SAFE")))</f>
        <v/>
      </c>
      <c r="AU155" s="28"/>
      <c r="AW155" s="24" t="n">
        <f aca="false">AW154+IF(AND(C155&lt;&gt;"",AO155&lt;&gt;"",OR('REP COMMISSION'!$B$3="",T155='REP COMMISSION'!$B$3,W155='REP COMMISSION'!$B$3,Z155='REP COMMISSION'!$B$3)),1,0)</f>
        <v>0</v>
      </c>
      <c r="AX155" s="24" t="n">
        <f aca="false">AX154+IF(AND(C155&lt;&gt;"",OR(F155="LOC - INITIAL",F155="CONSOLIDATION - UPFRONT COMM",F155="REVERSE - TOTAL FUNDING")),1,0)</f>
        <v>0</v>
      </c>
    </row>
    <row r="156" customFormat="false" ht="15" hidden="false" customHeight="false" outlineLevel="0" collapsed="false">
      <c r="A156" s="8" t="str">
        <f aca="false">IF(C156&lt;&gt;"","F27-"&amp;COUNT($C$4:C156),"")</f>
        <v/>
      </c>
      <c r="B156" s="9" t="str">
        <f aca="false">IF(OR(F156="LOC - INITIAL",F156="CONSOLIDATION - UPFRONT COMM",F156="REVERSE - TOTAL FUNDING"),A156,"")</f>
        <v/>
      </c>
      <c r="C156" s="10"/>
      <c r="D156" s="11"/>
      <c r="E156" s="11"/>
      <c r="F156" s="11"/>
      <c r="G156" s="12"/>
      <c r="H156" s="13"/>
      <c r="I156" s="11"/>
      <c r="J156" s="14" t="str">
        <f aca="false">IF(AND(G156&lt;&gt;"",H156&lt;&gt;""),G156*H156,"")</f>
        <v/>
      </c>
      <c r="K156" s="11"/>
      <c r="L156" s="15"/>
      <c r="M156" s="15"/>
      <c r="N156" s="14" t="n">
        <f aca="false">IF(OR(G156="",M156=""),0,IF(M156&gt;100,M156,G156*IF(M156&gt;1,M156/100,M156)))</f>
        <v>0</v>
      </c>
      <c r="O156" s="14" t="str">
        <f aca="false">IF(G156="","",G156*IF(L156="",0,IF(L156&gt;1,L156/100,L156))+N156)</f>
        <v/>
      </c>
      <c r="P156" s="11"/>
      <c r="Q156" s="16" t="str">
        <f aca="false">IF(P156="","",IFERROR(VLOOKUP(P156,PARTNERS!$A$2:$B$30,2,0),""))</f>
        <v/>
      </c>
      <c r="R156" s="17" t="str">
        <f aca="false">IF(O156="","",IF(OR(P156="",Q156=""),0,(O156-N156)*IF(Q156&gt;1,Q156/100,Q156)))</f>
        <v/>
      </c>
      <c r="S156" s="14" t="str">
        <f aca="false">IF(O156="","",O156-R156)</f>
        <v/>
      </c>
      <c r="T156" s="11"/>
      <c r="U156" s="18" t="str">
        <f aca="false">IF(T156="","",IFERROR(VLOOKUP(T156,REPS!$A$2:$D$40,2,0),""))</f>
        <v/>
      </c>
      <c r="V156" s="14" t="str">
        <f aca="false">IF(O156="","",IF(U156="",0,O156*IF(U156&gt;1,U156/100,U156)))</f>
        <v/>
      </c>
      <c r="W156" s="11"/>
      <c r="X156" s="18" t="str">
        <f aca="false">IF(W156="","",IFERROR(VLOOKUP(W156,REPS!$A$2:$D$40,3,0),""))</f>
        <v/>
      </c>
      <c r="Y156" s="14" t="str">
        <f aca="false">IF(O156="","",IF(X156="",0,O156*IF(X156&gt;1,X156/100,X156)))</f>
        <v/>
      </c>
      <c r="Z156" s="11"/>
      <c r="AA156" s="18" t="str">
        <f aca="false">IF(Z156="","",IFERROR(VLOOKUP(Z156,REPS!$A$2:$D$40,4,0),""))</f>
        <v/>
      </c>
      <c r="AB156" s="14" t="str">
        <f aca="false">IF(O156="","",IF(AA156="",0,O156*IF(AA156&gt;1,AA156/100,AA156)))</f>
        <v/>
      </c>
      <c r="AC156" s="14" t="str">
        <f aca="false">IF(O156="","",V156+Y156+AB156)</f>
        <v/>
      </c>
      <c r="AD156" s="19" t="str">
        <f aca="false">IF(O156="","",O156-R156-AC156)</f>
        <v/>
      </c>
      <c r="AE156" s="20"/>
      <c r="AF156" s="10"/>
      <c r="AG156" s="21" t="n">
        <f aca="false">IF(OR(AE156="",AE156=0),0,AE156*IF(U156="",0,IF(U156&gt;1,U156/100,U156)))</f>
        <v>0</v>
      </c>
      <c r="AH156" s="21" t="n">
        <f aca="false">IF(OR(AE156="",AE156=0),0,AE156*IF(X156="",0,IF(X156&gt;1,X156/100,X156)))</f>
        <v>0</v>
      </c>
      <c r="AI156" s="21" t="n">
        <f aca="false">IF(OR(AE156="",AE156=0),0,AE156*IF(AA156="",0,IF(AA156&gt;1,AA156/100,AA156)))</f>
        <v>0</v>
      </c>
      <c r="AJ156" s="21" t="n">
        <f aca="false">AG156+AH156+AI156</f>
        <v>0</v>
      </c>
      <c r="AK156" s="21" t="n">
        <f aca="false">IF(OR(AE156="",AE156=0),0,AE156-AJ156)</f>
        <v>0</v>
      </c>
      <c r="AL156" s="19" t="str">
        <f aca="false">IF(AD156="","",AD156-AK156)</f>
        <v/>
      </c>
      <c r="AM156" s="9" t="str">
        <f aca="false">IF(C156="","","Waiting for payment")</f>
        <v/>
      </c>
      <c r="AN156" s="10"/>
      <c r="AO156" s="10"/>
      <c r="AP156" s="22" t="str">
        <f aca="false">IF(OR(C156="",I156="",K156=""),"",IF(K156="Monthly",EDATE(C156,ROUND(I156*SETTINGS!$I$8,0)),WORKDAY(C156,ROUND(I156*SETTINGS!$I$8,0))))</f>
        <v/>
      </c>
      <c r="AQ156" s="9" t="str">
        <f aca="true">IF(C156="","",IF(AND(AP156&lt;&gt;"",TODAY()&gt;=AP156),"Refi Ready",IF(TODAY()-C156&gt;=SETTINGS!$I$11,"Prospecting","Performing")))</f>
        <v/>
      </c>
      <c r="AR156" s="22" t="str">
        <f aca="false">IF(OR(C156="",I156="",K156=""),"",IF(K156="Monthly",EDATE(C156,I156),WORKDAY(C156,I156)))</f>
        <v/>
      </c>
      <c r="AS156" s="11"/>
      <c r="AT156" s="23" t="str">
        <f aca="true">IF(C156="","",IF(AM156="Clawed Back","CLAWED",IF(TODAY()&lt;=C156+SETTINGS!$I$2,"⚠ AT RISK","SAFE")))</f>
        <v/>
      </c>
      <c r="AU156" s="11"/>
      <c r="AW156" s="24" t="n">
        <f aca="false">AW155+IF(AND(C156&lt;&gt;"",AO156&lt;&gt;"",OR('REP COMMISSION'!$B$3="",T156='REP COMMISSION'!$B$3,W156='REP COMMISSION'!$B$3,Z156='REP COMMISSION'!$B$3)),1,0)</f>
        <v>0</v>
      </c>
      <c r="AX156" s="24" t="n">
        <f aca="false">AX155+IF(AND(C156&lt;&gt;"",OR(F156="LOC - INITIAL",F156="CONSOLIDATION - UPFRONT COMM",F156="REVERSE - TOTAL FUNDING")),1,0)</f>
        <v>0</v>
      </c>
    </row>
    <row r="157" customFormat="false" ht="15" hidden="false" customHeight="false" outlineLevel="0" collapsed="false">
      <c r="A157" s="25" t="str">
        <f aca="false">IF(C157&lt;&gt;"","F27-"&amp;COUNT($C$4:C157),"")</f>
        <v/>
      </c>
      <c r="B157" s="26" t="str">
        <f aca="false">IF(OR(F157="LOC - INITIAL",F157="CONSOLIDATION - UPFRONT COMM",F157="REVERSE - TOTAL FUNDING"),A157,"")</f>
        <v/>
      </c>
      <c r="C157" s="27"/>
      <c r="D157" s="28"/>
      <c r="E157" s="28"/>
      <c r="F157" s="28"/>
      <c r="G157" s="29"/>
      <c r="H157" s="30"/>
      <c r="I157" s="28"/>
      <c r="J157" s="31" t="str">
        <f aca="false">IF(AND(G157&lt;&gt;"",H157&lt;&gt;""),G157*H157,"")</f>
        <v/>
      </c>
      <c r="K157" s="28"/>
      <c r="L157" s="32"/>
      <c r="M157" s="32"/>
      <c r="N157" s="31" t="n">
        <f aca="false">IF(OR(G157="",M157=""),0,IF(M157&gt;100,M157,G157*IF(M157&gt;1,M157/100,M157)))</f>
        <v>0</v>
      </c>
      <c r="O157" s="31" t="str">
        <f aca="false">IF(G157="","",G157*IF(L157="",0,IF(L157&gt;1,L157/100,L157))+N157)</f>
        <v/>
      </c>
      <c r="P157" s="28"/>
      <c r="Q157" s="33" t="str">
        <f aca="false">IF(P157="","",IFERROR(VLOOKUP(P157,PARTNERS!$A$2:$B$30,2,0),""))</f>
        <v/>
      </c>
      <c r="R157" s="17" t="str">
        <f aca="false">IF(O157="","",IF(OR(P157="",Q157=""),0,(O157-N157)*IF(Q157&gt;1,Q157/100,Q157)))</f>
        <v/>
      </c>
      <c r="S157" s="31" t="str">
        <f aca="false">IF(O157="","",O157-R157)</f>
        <v/>
      </c>
      <c r="T157" s="28"/>
      <c r="U157" s="34" t="str">
        <f aca="false">IF(T157="","",IFERROR(VLOOKUP(T157,REPS!$A$2:$D$40,2,0),""))</f>
        <v/>
      </c>
      <c r="V157" s="31" t="str">
        <f aca="false">IF(O157="","",IF(U157="",0,O157*IF(U157&gt;1,U157/100,U157)))</f>
        <v/>
      </c>
      <c r="W157" s="28"/>
      <c r="X157" s="34" t="str">
        <f aca="false">IF(W157="","",IFERROR(VLOOKUP(W157,REPS!$A$2:$D$40,3,0),""))</f>
        <v/>
      </c>
      <c r="Y157" s="31" t="str">
        <f aca="false">IF(O157="","",IF(X157="",0,O157*IF(X157&gt;1,X157/100,X157)))</f>
        <v/>
      </c>
      <c r="Z157" s="28"/>
      <c r="AA157" s="34" t="str">
        <f aca="false">IF(Z157="","",IFERROR(VLOOKUP(Z157,REPS!$A$2:$D$40,4,0),""))</f>
        <v/>
      </c>
      <c r="AB157" s="31" t="str">
        <f aca="false">IF(O157="","",IF(AA157="",0,O157*IF(AA157&gt;1,AA157/100,AA157)))</f>
        <v/>
      </c>
      <c r="AC157" s="31" t="str">
        <f aca="false">IF(O157="","",V157+Y157+AB157)</f>
        <v/>
      </c>
      <c r="AD157" s="19" t="str">
        <f aca="false">IF(O157="","",O157-R157-AC157)</f>
        <v/>
      </c>
      <c r="AE157" s="20"/>
      <c r="AF157" s="27"/>
      <c r="AG157" s="21" t="n">
        <f aca="false">IF(OR(AE157="",AE157=0),0,AE157*IF(U157="",0,IF(U157&gt;1,U157/100,U157)))</f>
        <v>0</v>
      </c>
      <c r="AH157" s="21" t="n">
        <f aca="false">IF(OR(AE157="",AE157=0),0,AE157*IF(X157="",0,IF(X157&gt;1,X157/100,X157)))</f>
        <v>0</v>
      </c>
      <c r="AI157" s="21" t="n">
        <f aca="false">IF(OR(AE157="",AE157=0),0,AE157*IF(AA157="",0,IF(AA157&gt;1,AA157/100,AA157)))</f>
        <v>0</v>
      </c>
      <c r="AJ157" s="21" t="n">
        <f aca="false">AG157+AH157+AI157</f>
        <v>0</v>
      </c>
      <c r="AK157" s="21" t="n">
        <f aca="false">IF(OR(AE157="",AE157=0),0,AE157-AJ157)</f>
        <v>0</v>
      </c>
      <c r="AL157" s="19" t="str">
        <f aca="false">IF(AD157="","",AD157-AK157)</f>
        <v/>
      </c>
      <c r="AM157" s="26" t="str">
        <f aca="false">IF(C157="","","Waiting for payment")</f>
        <v/>
      </c>
      <c r="AN157" s="27"/>
      <c r="AO157" s="27"/>
      <c r="AP157" s="35" t="str">
        <f aca="false">IF(OR(C157="",I157="",K157=""),"",IF(K157="Monthly",EDATE(C157,ROUND(I157*SETTINGS!$I$8,0)),WORKDAY(C157,ROUND(I157*SETTINGS!$I$8,0))))</f>
        <v/>
      </c>
      <c r="AQ157" s="26" t="str">
        <f aca="true">IF(C157="","",IF(AND(AP157&lt;&gt;"",TODAY()&gt;=AP157),"Refi Ready",IF(TODAY()-C157&gt;=SETTINGS!$I$11,"Prospecting","Performing")))</f>
        <v/>
      </c>
      <c r="AR157" s="35" t="str">
        <f aca="false">IF(OR(C157="",I157="",K157=""),"",IF(K157="Monthly",EDATE(C157,I157),WORKDAY(C157,I157)))</f>
        <v/>
      </c>
      <c r="AS157" s="28"/>
      <c r="AT157" s="36" t="str">
        <f aca="true">IF(C157="","",IF(AM157="Clawed Back","CLAWED",IF(TODAY()&lt;=C157+SETTINGS!$I$2,"⚠ AT RISK","SAFE")))</f>
        <v/>
      </c>
      <c r="AU157" s="28"/>
      <c r="AW157" s="24" t="n">
        <f aca="false">AW156+IF(AND(C157&lt;&gt;"",AO157&lt;&gt;"",OR('REP COMMISSION'!$B$3="",T157='REP COMMISSION'!$B$3,W157='REP COMMISSION'!$B$3,Z157='REP COMMISSION'!$B$3)),1,0)</f>
        <v>0</v>
      </c>
      <c r="AX157" s="24" t="n">
        <f aca="false">AX156+IF(AND(C157&lt;&gt;"",OR(F157="LOC - INITIAL",F157="CONSOLIDATION - UPFRONT COMM",F157="REVERSE - TOTAL FUNDING")),1,0)</f>
        <v>0</v>
      </c>
    </row>
    <row r="158" customFormat="false" ht="15" hidden="false" customHeight="false" outlineLevel="0" collapsed="false">
      <c r="A158" s="8" t="str">
        <f aca="false">IF(C158&lt;&gt;"","F27-"&amp;COUNT($C$4:C158),"")</f>
        <v/>
      </c>
      <c r="B158" s="9" t="str">
        <f aca="false">IF(OR(F158="LOC - INITIAL",F158="CONSOLIDATION - UPFRONT COMM",F158="REVERSE - TOTAL FUNDING"),A158,"")</f>
        <v/>
      </c>
      <c r="C158" s="10"/>
      <c r="D158" s="11"/>
      <c r="E158" s="11"/>
      <c r="F158" s="11"/>
      <c r="G158" s="12"/>
      <c r="H158" s="13"/>
      <c r="I158" s="11"/>
      <c r="J158" s="14" t="str">
        <f aca="false">IF(AND(G158&lt;&gt;"",H158&lt;&gt;""),G158*H158,"")</f>
        <v/>
      </c>
      <c r="K158" s="11"/>
      <c r="L158" s="15"/>
      <c r="M158" s="15"/>
      <c r="N158" s="14" t="n">
        <f aca="false">IF(OR(G158="",M158=""),0,IF(M158&gt;100,M158,G158*IF(M158&gt;1,M158/100,M158)))</f>
        <v>0</v>
      </c>
      <c r="O158" s="14" t="str">
        <f aca="false">IF(G158="","",G158*IF(L158="",0,IF(L158&gt;1,L158/100,L158))+N158)</f>
        <v/>
      </c>
      <c r="P158" s="11"/>
      <c r="Q158" s="16" t="str">
        <f aca="false">IF(P158="","",IFERROR(VLOOKUP(P158,PARTNERS!$A$2:$B$30,2,0),""))</f>
        <v/>
      </c>
      <c r="R158" s="17" t="str">
        <f aca="false">IF(O158="","",IF(OR(P158="",Q158=""),0,(O158-N158)*IF(Q158&gt;1,Q158/100,Q158)))</f>
        <v/>
      </c>
      <c r="S158" s="14" t="str">
        <f aca="false">IF(O158="","",O158-R158)</f>
        <v/>
      </c>
      <c r="T158" s="11"/>
      <c r="U158" s="18" t="str">
        <f aca="false">IF(T158="","",IFERROR(VLOOKUP(T158,REPS!$A$2:$D$40,2,0),""))</f>
        <v/>
      </c>
      <c r="V158" s="14" t="str">
        <f aca="false">IF(O158="","",IF(U158="",0,O158*IF(U158&gt;1,U158/100,U158)))</f>
        <v/>
      </c>
      <c r="W158" s="11"/>
      <c r="X158" s="18" t="str">
        <f aca="false">IF(W158="","",IFERROR(VLOOKUP(W158,REPS!$A$2:$D$40,3,0),""))</f>
        <v/>
      </c>
      <c r="Y158" s="14" t="str">
        <f aca="false">IF(O158="","",IF(X158="",0,O158*IF(X158&gt;1,X158/100,X158)))</f>
        <v/>
      </c>
      <c r="Z158" s="11"/>
      <c r="AA158" s="18" t="str">
        <f aca="false">IF(Z158="","",IFERROR(VLOOKUP(Z158,REPS!$A$2:$D$40,4,0),""))</f>
        <v/>
      </c>
      <c r="AB158" s="14" t="str">
        <f aca="false">IF(O158="","",IF(AA158="",0,O158*IF(AA158&gt;1,AA158/100,AA158)))</f>
        <v/>
      </c>
      <c r="AC158" s="14" t="str">
        <f aca="false">IF(O158="","",V158+Y158+AB158)</f>
        <v/>
      </c>
      <c r="AD158" s="19" t="str">
        <f aca="false">IF(O158="","",O158-R158-AC158)</f>
        <v/>
      </c>
      <c r="AE158" s="20"/>
      <c r="AF158" s="10"/>
      <c r="AG158" s="21" t="n">
        <f aca="false">IF(OR(AE158="",AE158=0),0,AE158*IF(U158="",0,IF(U158&gt;1,U158/100,U158)))</f>
        <v>0</v>
      </c>
      <c r="AH158" s="21" t="n">
        <f aca="false">IF(OR(AE158="",AE158=0),0,AE158*IF(X158="",0,IF(X158&gt;1,X158/100,X158)))</f>
        <v>0</v>
      </c>
      <c r="AI158" s="21" t="n">
        <f aca="false">IF(OR(AE158="",AE158=0),0,AE158*IF(AA158="",0,IF(AA158&gt;1,AA158/100,AA158)))</f>
        <v>0</v>
      </c>
      <c r="AJ158" s="21" t="n">
        <f aca="false">AG158+AH158+AI158</f>
        <v>0</v>
      </c>
      <c r="AK158" s="21" t="n">
        <f aca="false">IF(OR(AE158="",AE158=0),0,AE158-AJ158)</f>
        <v>0</v>
      </c>
      <c r="AL158" s="19" t="str">
        <f aca="false">IF(AD158="","",AD158-AK158)</f>
        <v/>
      </c>
      <c r="AM158" s="9" t="str">
        <f aca="false">IF(C158="","","Waiting for payment")</f>
        <v/>
      </c>
      <c r="AN158" s="10"/>
      <c r="AO158" s="10"/>
      <c r="AP158" s="22" t="str">
        <f aca="false">IF(OR(C158="",I158="",K158=""),"",IF(K158="Monthly",EDATE(C158,ROUND(I158*SETTINGS!$I$8,0)),WORKDAY(C158,ROUND(I158*SETTINGS!$I$8,0))))</f>
        <v/>
      </c>
      <c r="AQ158" s="9" t="str">
        <f aca="true">IF(C158="","",IF(AND(AP158&lt;&gt;"",TODAY()&gt;=AP158),"Refi Ready",IF(TODAY()-C158&gt;=SETTINGS!$I$11,"Prospecting","Performing")))</f>
        <v/>
      </c>
      <c r="AR158" s="22" t="str">
        <f aca="false">IF(OR(C158="",I158="",K158=""),"",IF(K158="Monthly",EDATE(C158,I158),WORKDAY(C158,I158)))</f>
        <v/>
      </c>
      <c r="AS158" s="11"/>
      <c r="AT158" s="23" t="str">
        <f aca="true">IF(C158="","",IF(AM158="Clawed Back","CLAWED",IF(TODAY()&lt;=C158+SETTINGS!$I$2,"⚠ AT RISK","SAFE")))</f>
        <v/>
      </c>
      <c r="AU158" s="11"/>
      <c r="AW158" s="24" t="n">
        <f aca="false">AW157+IF(AND(C158&lt;&gt;"",AO158&lt;&gt;"",OR('REP COMMISSION'!$B$3="",T158='REP COMMISSION'!$B$3,W158='REP COMMISSION'!$B$3,Z158='REP COMMISSION'!$B$3)),1,0)</f>
        <v>0</v>
      </c>
      <c r="AX158" s="24" t="n">
        <f aca="false">AX157+IF(AND(C158&lt;&gt;"",OR(F158="LOC - INITIAL",F158="CONSOLIDATION - UPFRONT COMM",F158="REVERSE - TOTAL FUNDING")),1,0)</f>
        <v>0</v>
      </c>
    </row>
    <row r="159" customFormat="false" ht="15" hidden="false" customHeight="false" outlineLevel="0" collapsed="false">
      <c r="A159" s="25" t="str">
        <f aca="false">IF(C159&lt;&gt;"","F27-"&amp;COUNT($C$4:C159),"")</f>
        <v/>
      </c>
      <c r="B159" s="26" t="str">
        <f aca="false">IF(OR(F159="LOC - INITIAL",F159="CONSOLIDATION - UPFRONT COMM",F159="REVERSE - TOTAL FUNDING"),A159,"")</f>
        <v/>
      </c>
      <c r="C159" s="27"/>
      <c r="D159" s="28"/>
      <c r="E159" s="28"/>
      <c r="F159" s="28"/>
      <c r="G159" s="29"/>
      <c r="H159" s="30"/>
      <c r="I159" s="28"/>
      <c r="J159" s="31" t="str">
        <f aca="false">IF(AND(G159&lt;&gt;"",H159&lt;&gt;""),G159*H159,"")</f>
        <v/>
      </c>
      <c r="K159" s="28"/>
      <c r="L159" s="32"/>
      <c r="M159" s="32"/>
      <c r="N159" s="31" t="n">
        <f aca="false">IF(OR(G159="",M159=""),0,IF(M159&gt;100,M159,G159*IF(M159&gt;1,M159/100,M159)))</f>
        <v>0</v>
      </c>
      <c r="O159" s="31" t="str">
        <f aca="false">IF(G159="","",G159*IF(L159="",0,IF(L159&gt;1,L159/100,L159))+N159)</f>
        <v/>
      </c>
      <c r="P159" s="28"/>
      <c r="Q159" s="33" t="str">
        <f aca="false">IF(P159="","",IFERROR(VLOOKUP(P159,PARTNERS!$A$2:$B$30,2,0),""))</f>
        <v/>
      </c>
      <c r="R159" s="17" t="str">
        <f aca="false">IF(O159="","",IF(OR(P159="",Q159=""),0,(O159-N159)*IF(Q159&gt;1,Q159/100,Q159)))</f>
        <v/>
      </c>
      <c r="S159" s="31" t="str">
        <f aca="false">IF(O159="","",O159-R159)</f>
        <v/>
      </c>
      <c r="T159" s="28"/>
      <c r="U159" s="34" t="str">
        <f aca="false">IF(T159="","",IFERROR(VLOOKUP(T159,REPS!$A$2:$D$40,2,0),""))</f>
        <v/>
      </c>
      <c r="V159" s="31" t="str">
        <f aca="false">IF(O159="","",IF(U159="",0,O159*IF(U159&gt;1,U159/100,U159)))</f>
        <v/>
      </c>
      <c r="W159" s="28"/>
      <c r="X159" s="34" t="str">
        <f aca="false">IF(W159="","",IFERROR(VLOOKUP(W159,REPS!$A$2:$D$40,3,0),""))</f>
        <v/>
      </c>
      <c r="Y159" s="31" t="str">
        <f aca="false">IF(O159="","",IF(X159="",0,O159*IF(X159&gt;1,X159/100,X159)))</f>
        <v/>
      </c>
      <c r="Z159" s="28"/>
      <c r="AA159" s="34" t="str">
        <f aca="false">IF(Z159="","",IFERROR(VLOOKUP(Z159,REPS!$A$2:$D$40,4,0),""))</f>
        <v/>
      </c>
      <c r="AB159" s="31" t="str">
        <f aca="false">IF(O159="","",IF(AA159="",0,O159*IF(AA159&gt;1,AA159/100,AA159)))</f>
        <v/>
      </c>
      <c r="AC159" s="31" t="str">
        <f aca="false">IF(O159="","",V159+Y159+AB159)</f>
        <v/>
      </c>
      <c r="AD159" s="19" t="str">
        <f aca="false">IF(O159="","",O159-R159-AC159)</f>
        <v/>
      </c>
      <c r="AE159" s="20"/>
      <c r="AF159" s="27"/>
      <c r="AG159" s="21" t="n">
        <f aca="false">IF(OR(AE159="",AE159=0),0,AE159*IF(U159="",0,IF(U159&gt;1,U159/100,U159)))</f>
        <v>0</v>
      </c>
      <c r="AH159" s="21" t="n">
        <f aca="false">IF(OR(AE159="",AE159=0),0,AE159*IF(X159="",0,IF(X159&gt;1,X159/100,X159)))</f>
        <v>0</v>
      </c>
      <c r="AI159" s="21" t="n">
        <f aca="false">IF(OR(AE159="",AE159=0),0,AE159*IF(AA159="",0,IF(AA159&gt;1,AA159/100,AA159)))</f>
        <v>0</v>
      </c>
      <c r="AJ159" s="21" t="n">
        <f aca="false">AG159+AH159+AI159</f>
        <v>0</v>
      </c>
      <c r="AK159" s="21" t="n">
        <f aca="false">IF(OR(AE159="",AE159=0),0,AE159-AJ159)</f>
        <v>0</v>
      </c>
      <c r="AL159" s="19" t="str">
        <f aca="false">IF(AD159="","",AD159-AK159)</f>
        <v/>
      </c>
      <c r="AM159" s="26" t="str">
        <f aca="false">IF(C159="","","Waiting for payment")</f>
        <v/>
      </c>
      <c r="AN159" s="27"/>
      <c r="AO159" s="27"/>
      <c r="AP159" s="35" t="str">
        <f aca="false">IF(OR(C159="",I159="",K159=""),"",IF(K159="Monthly",EDATE(C159,ROUND(I159*SETTINGS!$I$8,0)),WORKDAY(C159,ROUND(I159*SETTINGS!$I$8,0))))</f>
        <v/>
      </c>
      <c r="AQ159" s="26" t="str">
        <f aca="true">IF(C159="","",IF(AND(AP159&lt;&gt;"",TODAY()&gt;=AP159),"Refi Ready",IF(TODAY()-C159&gt;=SETTINGS!$I$11,"Prospecting","Performing")))</f>
        <v/>
      </c>
      <c r="AR159" s="35" t="str">
        <f aca="false">IF(OR(C159="",I159="",K159=""),"",IF(K159="Monthly",EDATE(C159,I159),WORKDAY(C159,I159)))</f>
        <v/>
      </c>
      <c r="AS159" s="28"/>
      <c r="AT159" s="36" t="str">
        <f aca="true">IF(C159="","",IF(AM159="Clawed Back","CLAWED",IF(TODAY()&lt;=C159+SETTINGS!$I$2,"⚠ AT RISK","SAFE")))</f>
        <v/>
      </c>
      <c r="AU159" s="28"/>
      <c r="AW159" s="24" t="n">
        <f aca="false">AW158+IF(AND(C159&lt;&gt;"",AO159&lt;&gt;"",OR('REP COMMISSION'!$B$3="",T159='REP COMMISSION'!$B$3,W159='REP COMMISSION'!$B$3,Z159='REP COMMISSION'!$B$3)),1,0)</f>
        <v>0</v>
      </c>
      <c r="AX159" s="24" t="n">
        <f aca="false">AX158+IF(AND(C159&lt;&gt;"",OR(F159="LOC - INITIAL",F159="CONSOLIDATION - UPFRONT COMM",F159="REVERSE - TOTAL FUNDING")),1,0)</f>
        <v>0</v>
      </c>
    </row>
    <row r="160" customFormat="false" ht="15" hidden="false" customHeight="false" outlineLevel="0" collapsed="false">
      <c r="A160" s="8" t="str">
        <f aca="false">IF(C160&lt;&gt;"","F27-"&amp;COUNT($C$4:C160),"")</f>
        <v/>
      </c>
      <c r="B160" s="9" t="str">
        <f aca="false">IF(OR(F160="LOC - INITIAL",F160="CONSOLIDATION - UPFRONT COMM",F160="REVERSE - TOTAL FUNDING"),A160,"")</f>
        <v/>
      </c>
      <c r="C160" s="10"/>
      <c r="D160" s="11"/>
      <c r="E160" s="11"/>
      <c r="F160" s="11"/>
      <c r="G160" s="12"/>
      <c r="H160" s="13"/>
      <c r="I160" s="11"/>
      <c r="J160" s="14" t="str">
        <f aca="false">IF(AND(G160&lt;&gt;"",H160&lt;&gt;""),G160*H160,"")</f>
        <v/>
      </c>
      <c r="K160" s="11"/>
      <c r="L160" s="15"/>
      <c r="M160" s="15"/>
      <c r="N160" s="14" t="n">
        <f aca="false">IF(OR(G160="",M160=""),0,IF(M160&gt;100,M160,G160*IF(M160&gt;1,M160/100,M160)))</f>
        <v>0</v>
      </c>
      <c r="O160" s="14" t="str">
        <f aca="false">IF(G160="","",G160*IF(L160="",0,IF(L160&gt;1,L160/100,L160))+N160)</f>
        <v/>
      </c>
      <c r="P160" s="11"/>
      <c r="Q160" s="16" t="str">
        <f aca="false">IF(P160="","",IFERROR(VLOOKUP(P160,PARTNERS!$A$2:$B$30,2,0),""))</f>
        <v/>
      </c>
      <c r="R160" s="17" t="str">
        <f aca="false">IF(O160="","",IF(OR(P160="",Q160=""),0,(O160-N160)*IF(Q160&gt;1,Q160/100,Q160)))</f>
        <v/>
      </c>
      <c r="S160" s="14" t="str">
        <f aca="false">IF(O160="","",O160-R160)</f>
        <v/>
      </c>
      <c r="T160" s="11"/>
      <c r="U160" s="18" t="str">
        <f aca="false">IF(T160="","",IFERROR(VLOOKUP(T160,REPS!$A$2:$D$40,2,0),""))</f>
        <v/>
      </c>
      <c r="V160" s="14" t="str">
        <f aca="false">IF(O160="","",IF(U160="",0,O160*IF(U160&gt;1,U160/100,U160)))</f>
        <v/>
      </c>
      <c r="W160" s="11"/>
      <c r="X160" s="18" t="str">
        <f aca="false">IF(W160="","",IFERROR(VLOOKUP(W160,REPS!$A$2:$D$40,3,0),""))</f>
        <v/>
      </c>
      <c r="Y160" s="14" t="str">
        <f aca="false">IF(O160="","",IF(X160="",0,O160*IF(X160&gt;1,X160/100,X160)))</f>
        <v/>
      </c>
      <c r="Z160" s="11"/>
      <c r="AA160" s="18" t="str">
        <f aca="false">IF(Z160="","",IFERROR(VLOOKUP(Z160,REPS!$A$2:$D$40,4,0),""))</f>
        <v/>
      </c>
      <c r="AB160" s="14" t="str">
        <f aca="false">IF(O160="","",IF(AA160="",0,O160*IF(AA160&gt;1,AA160/100,AA160)))</f>
        <v/>
      </c>
      <c r="AC160" s="14" t="str">
        <f aca="false">IF(O160="","",V160+Y160+AB160)</f>
        <v/>
      </c>
      <c r="AD160" s="19" t="str">
        <f aca="false">IF(O160="","",O160-R160-AC160)</f>
        <v/>
      </c>
      <c r="AE160" s="20"/>
      <c r="AF160" s="10"/>
      <c r="AG160" s="21" t="n">
        <f aca="false">IF(OR(AE160="",AE160=0),0,AE160*IF(U160="",0,IF(U160&gt;1,U160/100,U160)))</f>
        <v>0</v>
      </c>
      <c r="AH160" s="21" t="n">
        <f aca="false">IF(OR(AE160="",AE160=0),0,AE160*IF(X160="",0,IF(X160&gt;1,X160/100,X160)))</f>
        <v>0</v>
      </c>
      <c r="AI160" s="21" t="n">
        <f aca="false">IF(OR(AE160="",AE160=0),0,AE160*IF(AA160="",0,IF(AA160&gt;1,AA160/100,AA160)))</f>
        <v>0</v>
      </c>
      <c r="AJ160" s="21" t="n">
        <f aca="false">AG160+AH160+AI160</f>
        <v>0</v>
      </c>
      <c r="AK160" s="21" t="n">
        <f aca="false">IF(OR(AE160="",AE160=0),0,AE160-AJ160)</f>
        <v>0</v>
      </c>
      <c r="AL160" s="19" t="str">
        <f aca="false">IF(AD160="","",AD160-AK160)</f>
        <v/>
      </c>
      <c r="AM160" s="9" t="str">
        <f aca="false">IF(C160="","","Waiting for payment")</f>
        <v/>
      </c>
      <c r="AN160" s="10"/>
      <c r="AO160" s="10"/>
      <c r="AP160" s="22" t="str">
        <f aca="false">IF(OR(C160="",I160="",K160=""),"",IF(K160="Monthly",EDATE(C160,ROUND(I160*SETTINGS!$I$8,0)),WORKDAY(C160,ROUND(I160*SETTINGS!$I$8,0))))</f>
        <v/>
      </c>
      <c r="AQ160" s="9" t="str">
        <f aca="true">IF(C160="","",IF(AND(AP160&lt;&gt;"",TODAY()&gt;=AP160),"Refi Ready",IF(TODAY()-C160&gt;=SETTINGS!$I$11,"Prospecting","Performing")))</f>
        <v/>
      </c>
      <c r="AR160" s="22" t="str">
        <f aca="false">IF(OR(C160="",I160="",K160=""),"",IF(K160="Monthly",EDATE(C160,I160),WORKDAY(C160,I160)))</f>
        <v/>
      </c>
      <c r="AS160" s="11"/>
      <c r="AT160" s="23" t="str">
        <f aca="true">IF(C160="","",IF(AM160="Clawed Back","CLAWED",IF(TODAY()&lt;=C160+SETTINGS!$I$2,"⚠ AT RISK","SAFE")))</f>
        <v/>
      </c>
      <c r="AU160" s="11"/>
      <c r="AW160" s="24" t="n">
        <f aca="false">AW159+IF(AND(C160&lt;&gt;"",AO160&lt;&gt;"",OR('REP COMMISSION'!$B$3="",T160='REP COMMISSION'!$B$3,W160='REP COMMISSION'!$B$3,Z160='REP COMMISSION'!$B$3)),1,0)</f>
        <v>0</v>
      </c>
      <c r="AX160" s="24" t="n">
        <f aca="false">AX159+IF(AND(C160&lt;&gt;"",OR(F160="LOC - INITIAL",F160="CONSOLIDATION - UPFRONT COMM",F160="REVERSE - TOTAL FUNDING")),1,0)</f>
        <v>0</v>
      </c>
    </row>
    <row r="161" customFormat="false" ht="15" hidden="false" customHeight="false" outlineLevel="0" collapsed="false">
      <c r="A161" s="25" t="str">
        <f aca="false">IF(C161&lt;&gt;"","F27-"&amp;COUNT($C$4:C161),"")</f>
        <v/>
      </c>
      <c r="B161" s="26" t="str">
        <f aca="false">IF(OR(F161="LOC - INITIAL",F161="CONSOLIDATION - UPFRONT COMM",F161="REVERSE - TOTAL FUNDING"),A161,"")</f>
        <v/>
      </c>
      <c r="C161" s="27"/>
      <c r="D161" s="28"/>
      <c r="E161" s="28"/>
      <c r="F161" s="28"/>
      <c r="G161" s="29"/>
      <c r="H161" s="30"/>
      <c r="I161" s="28"/>
      <c r="J161" s="31" t="str">
        <f aca="false">IF(AND(G161&lt;&gt;"",H161&lt;&gt;""),G161*H161,"")</f>
        <v/>
      </c>
      <c r="K161" s="28"/>
      <c r="L161" s="32"/>
      <c r="M161" s="32"/>
      <c r="N161" s="31" t="n">
        <f aca="false">IF(OR(G161="",M161=""),0,IF(M161&gt;100,M161,G161*IF(M161&gt;1,M161/100,M161)))</f>
        <v>0</v>
      </c>
      <c r="O161" s="31" t="str">
        <f aca="false">IF(G161="","",G161*IF(L161="",0,IF(L161&gt;1,L161/100,L161))+N161)</f>
        <v/>
      </c>
      <c r="P161" s="28"/>
      <c r="Q161" s="33" t="str">
        <f aca="false">IF(P161="","",IFERROR(VLOOKUP(P161,PARTNERS!$A$2:$B$30,2,0),""))</f>
        <v/>
      </c>
      <c r="R161" s="17" t="str">
        <f aca="false">IF(O161="","",IF(OR(P161="",Q161=""),0,(O161-N161)*IF(Q161&gt;1,Q161/100,Q161)))</f>
        <v/>
      </c>
      <c r="S161" s="31" t="str">
        <f aca="false">IF(O161="","",O161-R161)</f>
        <v/>
      </c>
      <c r="T161" s="28"/>
      <c r="U161" s="34" t="str">
        <f aca="false">IF(T161="","",IFERROR(VLOOKUP(T161,REPS!$A$2:$D$40,2,0),""))</f>
        <v/>
      </c>
      <c r="V161" s="31" t="str">
        <f aca="false">IF(O161="","",IF(U161="",0,O161*IF(U161&gt;1,U161/100,U161)))</f>
        <v/>
      </c>
      <c r="W161" s="28"/>
      <c r="X161" s="34" t="str">
        <f aca="false">IF(W161="","",IFERROR(VLOOKUP(W161,REPS!$A$2:$D$40,3,0),""))</f>
        <v/>
      </c>
      <c r="Y161" s="31" t="str">
        <f aca="false">IF(O161="","",IF(X161="",0,O161*IF(X161&gt;1,X161/100,X161)))</f>
        <v/>
      </c>
      <c r="Z161" s="28"/>
      <c r="AA161" s="34" t="str">
        <f aca="false">IF(Z161="","",IFERROR(VLOOKUP(Z161,REPS!$A$2:$D$40,4,0),""))</f>
        <v/>
      </c>
      <c r="AB161" s="31" t="str">
        <f aca="false">IF(O161="","",IF(AA161="",0,O161*IF(AA161&gt;1,AA161/100,AA161)))</f>
        <v/>
      </c>
      <c r="AC161" s="31" t="str">
        <f aca="false">IF(O161="","",V161+Y161+AB161)</f>
        <v/>
      </c>
      <c r="AD161" s="19" t="str">
        <f aca="false">IF(O161="","",O161-R161-AC161)</f>
        <v/>
      </c>
      <c r="AE161" s="20"/>
      <c r="AF161" s="27"/>
      <c r="AG161" s="21" t="n">
        <f aca="false">IF(OR(AE161="",AE161=0),0,AE161*IF(U161="",0,IF(U161&gt;1,U161/100,U161)))</f>
        <v>0</v>
      </c>
      <c r="AH161" s="21" t="n">
        <f aca="false">IF(OR(AE161="",AE161=0),0,AE161*IF(X161="",0,IF(X161&gt;1,X161/100,X161)))</f>
        <v>0</v>
      </c>
      <c r="AI161" s="21" t="n">
        <f aca="false">IF(OR(AE161="",AE161=0),0,AE161*IF(AA161="",0,IF(AA161&gt;1,AA161/100,AA161)))</f>
        <v>0</v>
      </c>
      <c r="AJ161" s="21" t="n">
        <f aca="false">AG161+AH161+AI161</f>
        <v>0</v>
      </c>
      <c r="AK161" s="21" t="n">
        <f aca="false">IF(OR(AE161="",AE161=0),0,AE161-AJ161)</f>
        <v>0</v>
      </c>
      <c r="AL161" s="19" t="str">
        <f aca="false">IF(AD161="","",AD161-AK161)</f>
        <v/>
      </c>
      <c r="AM161" s="26" t="str">
        <f aca="false">IF(C161="","","Waiting for payment")</f>
        <v/>
      </c>
      <c r="AN161" s="27"/>
      <c r="AO161" s="27"/>
      <c r="AP161" s="35" t="str">
        <f aca="false">IF(OR(C161="",I161="",K161=""),"",IF(K161="Monthly",EDATE(C161,ROUND(I161*SETTINGS!$I$8,0)),WORKDAY(C161,ROUND(I161*SETTINGS!$I$8,0))))</f>
        <v/>
      </c>
      <c r="AQ161" s="26" t="str">
        <f aca="true">IF(C161="","",IF(AND(AP161&lt;&gt;"",TODAY()&gt;=AP161),"Refi Ready",IF(TODAY()-C161&gt;=SETTINGS!$I$11,"Prospecting","Performing")))</f>
        <v/>
      </c>
      <c r="AR161" s="35" t="str">
        <f aca="false">IF(OR(C161="",I161="",K161=""),"",IF(K161="Monthly",EDATE(C161,I161),WORKDAY(C161,I161)))</f>
        <v/>
      </c>
      <c r="AS161" s="28"/>
      <c r="AT161" s="36" t="str">
        <f aca="true">IF(C161="","",IF(AM161="Clawed Back","CLAWED",IF(TODAY()&lt;=C161+SETTINGS!$I$2,"⚠ AT RISK","SAFE")))</f>
        <v/>
      </c>
      <c r="AU161" s="28"/>
      <c r="AW161" s="24" t="n">
        <f aca="false">AW160+IF(AND(C161&lt;&gt;"",AO161&lt;&gt;"",OR('REP COMMISSION'!$B$3="",T161='REP COMMISSION'!$B$3,W161='REP COMMISSION'!$B$3,Z161='REP COMMISSION'!$B$3)),1,0)</f>
        <v>0</v>
      </c>
      <c r="AX161" s="24" t="n">
        <f aca="false">AX160+IF(AND(C161&lt;&gt;"",OR(F161="LOC - INITIAL",F161="CONSOLIDATION - UPFRONT COMM",F161="REVERSE - TOTAL FUNDING")),1,0)</f>
        <v>0</v>
      </c>
    </row>
    <row r="162" customFormat="false" ht="15" hidden="false" customHeight="false" outlineLevel="0" collapsed="false">
      <c r="A162" s="8" t="str">
        <f aca="false">IF(C162&lt;&gt;"","F27-"&amp;COUNT($C$4:C162),"")</f>
        <v/>
      </c>
      <c r="B162" s="9" t="str">
        <f aca="false">IF(OR(F162="LOC - INITIAL",F162="CONSOLIDATION - UPFRONT COMM",F162="REVERSE - TOTAL FUNDING"),A162,"")</f>
        <v/>
      </c>
      <c r="C162" s="10"/>
      <c r="D162" s="11"/>
      <c r="E162" s="11"/>
      <c r="F162" s="11"/>
      <c r="G162" s="12"/>
      <c r="H162" s="13"/>
      <c r="I162" s="11"/>
      <c r="J162" s="14" t="str">
        <f aca="false">IF(AND(G162&lt;&gt;"",H162&lt;&gt;""),G162*H162,"")</f>
        <v/>
      </c>
      <c r="K162" s="11"/>
      <c r="L162" s="15"/>
      <c r="M162" s="15"/>
      <c r="N162" s="14" t="n">
        <f aca="false">IF(OR(G162="",M162=""),0,IF(M162&gt;100,M162,G162*IF(M162&gt;1,M162/100,M162)))</f>
        <v>0</v>
      </c>
      <c r="O162" s="14" t="str">
        <f aca="false">IF(G162="","",G162*IF(L162="",0,IF(L162&gt;1,L162/100,L162))+N162)</f>
        <v/>
      </c>
      <c r="P162" s="11"/>
      <c r="Q162" s="16" t="str">
        <f aca="false">IF(P162="","",IFERROR(VLOOKUP(P162,PARTNERS!$A$2:$B$30,2,0),""))</f>
        <v/>
      </c>
      <c r="R162" s="17" t="str">
        <f aca="false">IF(O162="","",IF(OR(P162="",Q162=""),0,(O162-N162)*IF(Q162&gt;1,Q162/100,Q162)))</f>
        <v/>
      </c>
      <c r="S162" s="14" t="str">
        <f aca="false">IF(O162="","",O162-R162)</f>
        <v/>
      </c>
      <c r="T162" s="11"/>
      <c r="U162" s="18" t="str">
        <f aca="false">IF(T162="","",IFERROR(VLOOKUP(T162,REPS!$A$2:$D$40,2,0),""))</f>
        <v/>
      </c>
      <c r="V162" s="14" t="str">
        <f aca="false">IF(O162="","",IF(U162="",0,O162*IF(U162&gt;1,U162/100,U162)))</f>
        <v/>
      </c>
      <c r="W162" s="11"/>
      <c r="X162" s="18" t="str">
        <f aca="false">IF(W162="","",IFERROR(VLOOKUP(W162,REPS!$A$2:$D$40,3,0),""))</f>
        <v/>
      </c>
      <c r="Y162" s="14" t="str">
        <f aca="false">IF(O162="","",IF(X162="",0,O162*IF(X162&gt;1,X162/100,X162)))</f>
        <v/>
      </c>
      <c r="Z162" s="11"/>
      <c r="AA162" s="18" t="str">
        <f aca="false">IF(Z162="","",IFERROR(VLOOKUP(Z162,REPS!$A$2:$D$40,4,0),""))</f>
        <v/>
      </c>
      <c r="AB162" s="14" t="str">
        <f aca="false">IF(O162="","",IF(AA162="",0,O162*IF(AA162&gt;1,AA162/100,AA162)))</f>
        <v/>
      </c>
      <c r="AC162" s="14" t="str">
        <f aca="false">IF(O162="","",V162+Y162+AB162)</f>
        <v/>
      </c>
      <c r="AD162" s="19" t="str">
        <f aca="false">IF(O162="","",O162-R162-AC162)</f>
        <v/>
      </c>
      <c r="AE162" s="20"/>
      <c r="AF162" s="10"/>
      <c r="AG162" s="21" t="n">
        <f aca="false">IF(OR(AE162="",AE162=0),0,AE162*IF(U162="",0,IF(U162&gt;1,U162/100,U162)))</f>
        <v>0</v>
      </c>
      <c r="AH162" s="21" t="n">
        <f aca="false">IF(OR(AE162="",AE162=0),0,AE162*IF(X162="",0,IF(X162&gt;1,X162/100,X162)))</f>
        <v>0</v>
      </c>
      <c r="AI162" s="21" t="n">
        <f aca="false">IF(OR(AE162="",AE162=0),0,AE162*IF(AA162="",0,IF(AA162&gt;1,AA162/100,AA162)))</f>
        <v>0</v>
      </c>
      <c r="AJ162" s="21" t="n">
        <f aca="false">AG162+AH162+AI162</f>
        <v>0</v>
      </c>
      <c r="AK162" s="21" t="n">
        <f aca="false">IF(OR(AE162="",AE162=0),0,AE162-AJ162)</f>
        <v>0</v>
      </c>
      <c r="AL162" s="19" t="str">
        <f aca="false">IF(AD162="","",AD162-AK162)</f>
        <v/>
      </c>
      <c r="AM162" s="9" t="str">
        <f aca="false">IF(C162="","","Waiting for payment")</f>
        <v/>
      </c>
      <c r="AN162" s="10"/>
      <c r="AO162" s="10"/>
      <c r="AP162" s="22" t="str">
        <f aca="false">IF(OR(C162="",I162="",K162=""),"",IF(K162="Monthly",EDATE(C162,ROUND(I162*SETTINGS!$I$8,0)),WORKDAY(C162,ROUND(I162*SETTINGS!$I$8,0))))</f>
        <v/>
      </c>
      <c r="AQ162" s="9" t="str">
        <f aca="true">IF(C162="","",IF(AND(AP162&lt;&gt;"",TODAY()&gt;=AP162),"Refi Ready",IF(TODAY()-C162&gt;=SETTINGS!$I$11,"Prospecting","Performing")))</f>
        <v/>
      </c>
      <c r="AR162" s="22" t="str">
        <f aca="false">IF(OR(C162="",I162="",K162=""),"",IF(K162="Monthly",EDATE(C162,I162),WORKDAY(C162,I162)))</f>
        <v/>
      </c>
      <c r="AS162" s="11"/>
      <c r="AT162" s="23" t="str">
        <f aca="true">IF(C162="","",IF(AM162="Clawed Back","CLAWED",IF(TODAY()&lt;=C162+SETTINGS!$I$2,"⚠ AT RISK","SAFE")))</f>
        <v/>
      </c>
      <c r="AU162" s="11"/>
      <c r="AW162" s="24" t="n">
        <f aca="false">AW161+IF(AND(C162&lt;&gt;"",AO162&lt;&gt;"",OR('REP COMMISSION'!$B$3="",T162='REP COMMISSION'!$B$3,W162='REP COMMISSION'!$B$3,Z162='REP COMMISSION'!$B$3)),1,0)</f>
        <v>0</v>
      </c>
      <c r="AX162" s="24" t="n">
        <f aca="false">AX161+IF(AND(C162&lt;&gt;"",OR(F162="LOC - INITIAL",F162="CONSOLIDATION - UPFRONT COMM",F162="REVERSE - TOTAL FUNDING")),1,0)</f>
        <v>0</v>
      </c>
    </row>
    <row r="163" customFormat="false" ht="15" hidden="false" customHeight="false" outlineLevel="0" collapsed="false">
      <c r="A163" s="25" t="str">
        <f aca="false">IF(C163&lt;&gt;"","F27-"&amp;COUNT($C$4:C163),"")</f>
        <v/>
      </c>
      <c r="B163" s="26" t="str">
        <f aca="false">IF(OR(F163="LOC - INITIAL",F163="CONSOLIDATION - UPFRONT COMM",F163="REVERSE - TOTAL FUNDING"),A163,"")</f>
        <v/>
      </c>
      <c r="C163" s="27"/>
      <c r="D163" s="28"/>
      <c r="E163" s="28"/>
      <c r="F163" s="28"/>
      <c r="G163" s="29"/>
      <c r="H163" s="30"/>
      <c r="I163" s="28"/>
      <c r="J163" s="31" t="str">
        <f aca="false">IF(AND(G163&lt;&gt;"",H163&lt;&gt;""),G163*H163,"")</f>
        <v/>
      </c>
      <c r="K163" s="28"/>
      <c r="L163" s="32"/>
      <c r="M163" s="32"/>
      <c r="N163" s="31" t="n">
        <f aca="false">IF(OR(G163="",M163=""),0,IF(M163&gt;100,M163,G163*IF(M163&gt;1,M163/100,M163)))</f>
        <v>0</v>
      </c>
      <c r="O163" s="31" t="str">
        <f aca="false">IF(G163="","",G163*IF(L163="",0,IF(L163&gt;1,L163/100,L163))+N163)</f>
        <v/>
      </c>
      <c r="P163" s="28"/>
      <c r="Q163" s="33" t="str">
        <f aca="false">IF(P163="","",IFERROR(VLOOKUP(P163,PARTNERS!$A$2:$B$30,2,0),""))</f>
        <v/>
      </c>
      <c r="R163" s="17" t="str">
        <f aca="false">IF(O163="","",IF(OR(P163="",Q163=""),0,(O163-N163)*IF(Q163&gt;1,Q163/100,Q163)))</f>
        <v/>
      </c>
      <c r="S163" s="31" t="str">
        <f aca="false">IF(O163="","",O163-R163)</f>
        <v/>
      </c>
      <c r="T163" s="28"/>
      <c r="U163" s="34" t="str">
        <f aca="false">IF(T163="","",IFERROR(VLOOKUP(T163,REPS!$A$2:$D$40,2,0),""))</f>
        <v/>
      </c>
      <c r="V163" s="31" t="str">
        <f aca="false">IF(O163="","",IF(U163="",0,O163*IF(U163&gt;1,U163/100,U163)))</f>
        <v/>
      </c>
      <c r="W163" s="28"/>
      <c r="X163" s="34" t="str">
        <f aca="false">IF(W163="","",IFERROR(VLOOKUP(W163,REPS!$A$2:$D$40,3,0),""))</f>
        <v/>
      </c>
      <c r="Y163" s="31" t="str">
        <f aca="false">IF(O163="","",IF(X163="",0,O163*IF(X163&gt;1,X163/100,X163)))</f>
        <v/>
      </c>
      <c r="Z163" s="28"/>
      <c r="AA163" s="34" t="str">
        <f aca="false">IF(Z163="","",IFERROR(VLOOKUP(Z163,REPS!$A$2:$D$40,4,0),""))</f>
        <v/>
      </c>
      <c r="AB163" s="31" t="str">
        <f aca="false">IF(O163="","",IF(AA163="",0,O163*IF(AA163&gt;1,AA163/100,AA163)))</f>
        <v/>
      </c>
      <c r="AC163" s="31" t="str">
        <f aca="false">IF(O163="","",V163+Y163+AB163)</f>
        <v/>
      </c>
      <c r="AD163" s="19" t="str">
        <f aca="false">IF(O163="","",O163-R163-AC163)</f>
        <v/>
      </c>
      <c r="AE163" s="20"/>
      <c r="AF163" s="27"/>
      <c r="AG163" s="21" t="n">
        <f aca="false">IF(OR(AE163="",AE163=0),0,AE163*IF(U163="",0,IF(U163&gt;1,U163/100,U163)))</f>
        <v>0</v>
      </c>
      <c r="AH163" s="21" t="n">
        <f aca="false">IF(OR(AE163="",AE163=0),0,AE163*IF(X163="",0,IF(X163&gt;1,X163/100,X163)))</f>
        <v>0</v>
      </c>
      <c r="AI163" s="21" t="n">
        <f aca="false">IF(OR(AE163="",AE163=0),0,AE163*IF(AA163="",0,IF(AA163&gt;1,AA163/100,AA163)))</f>
        <v>0</v>
      </c>
      <c r="AJ163" s="21" t="n">
        <f aca="false">AG163+AH163+AI163</f>
        <v>0</v>
      </c>
      <c r="AK163" s="21" t="n">
        <f aca="false">IF(OR(AE163="",AE163=0),0,AE163-AJ163)</f>
        <v>0</v>
      </c>
      <c r="AL163" s="19" t="str">
        <f aca="false">IF(AD163="","",AD163-AK163)</f>
        <v/>
      </c>
      <c r="AM163" s="26" t="str">
        <f aca="false">IF(C163="","","Waiting for payment")</f>
        <v/>
      </c>
      <c r="AN163" s="27"/>
      <c r="AO163" s="27"/>
      <c r="AP163" s="35" t="str">
        <f aca="false">IF(OR(C163="",I163="",K163=""),"",IF(K163="Monthly",EDATE(C163,ROUND(I163*SETTINGS!$I$8,0)),WORKDAY(C163,ROUND(I163*SETTINGS!$I$8,0))))</f>
        <v/>
      </c>
      <c r="AQ163" s="26" t="str">
        <f aca="true">IF(C163="","",IF(AND(AP163&lt;&gt;"",TODAY()&gt;=AP163),"Refi Ready",IF(TODAY()-C163&gt;=SETTINGS!$I$11,"Prospecting","Performing")))</f>
        <v/>
      </c>
      <c r="AR163" s="35" t="str">
        <f aca="false">IF(OR(C163="",I163="",K163=""),"",IF(K163="Monthly",EDATE(C163,I163),WORKDAY(C163,I163)))</f>
        <v/>
      </c>
      <c r="AS163" s="28"/>
      <c r="AT163" s="36" t="str">
        <f aca="true">IF(C163="","",IF(AM163="Clawed Back","CLAWED",IF(TODAY()&lt;=C163+SETTINGS!$I$2,"⚠ AT RISK","SAFE")))</f>
        <v/>
      </c>
      <c r="AU163" s="28"/>
      <c r="AW163" s="24" t="n">
        <f aca="false">AW162+IF(AND(C163&lt;&gt;"",AO163&lt;&gt;"",OR('REP COMMISSION'!$B$3="",T163='REP COMMISSION'!$B$3,W163='REP COMMISSION'!$B$3,Z163='REP COMMISSION'!$B$3)),1,0)</f>
        <v>0</v>
      </c>
      <c r="AX163" s="24" t="n">
        <f aca="false">AX162+IF(AND(C163&lt;&gt;"",OR(F163="LOC - INITIAL",F163="CONSOLIDATION - UPFRONT COMM",F163="REVERSE - TOTAL FUNDING")),1,0)</f>
        <v>0</v>
      </c>
    </row>
    <row r="164" customFormat="false" ht="15" hidden="false" customHeight="false" outlineLevel="0" collapsed="false">
      <c r="A164" s="8" t="str">
        <f aca="false">IF(C164&lt;&gt;"","F27-"&amp;COUNT($C$4:C164),"")</f>
        <v/>
      </c>
      <c r="B164" s="9" t="str">
        <f aca="false">IF(OR(F164="LOC - INITIAL",F164="CONSOLIDATION - UPFRONT COMM",F164="REVERSE - TOTAL FUNDING"),A164,"")</f>
        <v/>
      </c>
      <c r="C164" s="10"/>
      <c r="D164" s="11"/>
      <c r="E164" s="11"/>
      <c r="F164" s="11"/>
      <c r="G164" s="12"/>
      <c r="H164" s="13"/>
      <c r="I164" s="11"/>
      <c r="J164" s="14" t="str">
        <f aca="false">IF(AND(G164&lt;&gt;"",H164&lt;&gt;""),G164*H164,"")</f>
        <v/>
      </c>
      <c r="K164" s="11"/>
      <c r="L164" s="15"/>
      <c r="M164" s="15"/>
      <c r="N164" s="14" t="n">
        <f aca="false">IF(OR(G164="",M164=""),0,IF(M164&gt;100,M164,G164*IF(M164&gt;1,M164/100,M164)))</f>
        <v>0</v>
      </c>
      <c r="O164" s="14" t="str">
        <f aca="false">IF(G164="","",G164*IF(L164="",0,IF(L164&gt;1,L164/100,L164))+N164)</f>
        <v/>
      </c>
      <c r="P164" s="11"/>
      <c r="Q164" s="16" t="str">
        <f aca="false">IF(P164="","",IFERROR(VLOOKUP(P164,PARTNERS!$A$2:$B$30,2,0),""))</f>
        <v/>
      </c>
      <c r="R164" s="17" t="str">
        <f aca="false">IF(O164="","",IF(OR(P164="",Q164=""),0,(O164-N164)*IF(Q164&gt;1,Q164/100,Q164)))</f>
        <v/>
      </c>
      <c r="S164" s="14" t="str">
        <f aca="false">IF(O164="","",O164-R164)</f>
        <v/>
      </c>
      <c r="T164" s="11"/>
      <c r="U164" s="18" t="str">
        <f aca="false">IF(T164="","",IFERROR(VLOOKUP(T164,REPS!$A$2:$D$40,2,0),""))</f>
        <v/>
      </c>
      <c r="V164" s="14" t="str">
        <f aca="false">IF(O164="","",IF(U164="",0,O164*IF(U164&gt;1,U164/100,U164)))</f>
        <v/>
      </c>
      <c r="W164" s="11"/>
      <c r="X164" s="18" t="str">
        <f aca="false">IF(W164="","",IFERROR(VLOOKUP(W164,REPS!$A$2:$D$40,3,0),""))</f>
        <v/>
      </c>
      <c r="Y164" s="14" t="str">
        <f aca="false">IF(O164="","",IF(X164="",0,O164*IF(X164&gt;1,X164/100,X164)))</f>
        <v/>
      </c>
      <c r="Z164" s="11"/>
      <c r="AA164" s="18" t="str">
        <f aca="false">IF(Z164="","",IFERROR(VLOOKUP(Z164,REPS!$A$2:$D$40,4,0),""))</f>
        <v/>
      </c>
      <c r="AB164" s="14" t="str">
        <f aca="false">IF(O164="","",IF(AA164="",0,O164*IF(AA164&gt;1,AA164/100,AA164)))</f>
        <v/>
      </c>
      <c r="AC164" s="14" t="str">
        <f aca="false">IF(O164="","",V164+Y164+AB164)</f>
        <v/>
      </c>
      <c r="AD164" s="19" t="str">
        <f aca="false">IF(O164="","",O164-R164-AC164)</f>
        <v/>
      </c>
      <c r="AE164" s="20"/>
      <c r="AF164" s="10"/>
      <c r="AG164" s="21" t="n">
        <f aca="false">IF(OR(AE164="",AE164=0),0,AE164*IF(U164="",0,IF(U164&gt;1,U164/100,U164)))</f>
        <v>0</v>
      </c>
      <c r="AH164" s="21" t="n">
        <f aca="false">IF(OR(AE164="",AE164=0),0,AE164*IF(X164="",0,IF(X164&gt;1,X164/100,X164)))</f>
        <v>0</v>
      </c>
      <c r="AI164" s="21" t="n">
        <f aca="false">IF(OR(AE164="",AE164=0),0,AE164*IF(AA164="",0,IF(AA164&gt;1,AA164/100,AA164)))</f>
        <v>0</v>
      </c>
      <c r="AJ164" s="21" t="n">
        <f aca="false">AG164+AH164+AI164</f>
        <v>0</v>
      </c>
      <c r="AK164" s="21" t="n">
        <f aca="false">IF(OR(AE164="",AE164=0),0,AE164-AJ164)</f>
        <v>0</v>
      </c>
      <c r="AL164" s="19" t="str">
        <f aca="false">IF(AD164="","",AD164-AK164)</f>
        <v/>
      </c>
      <c r="AM164" s="9" t="str">
        <f aca="false">IF(C164="","","Waiting for payment")</f>
        <v/>
      </c>
      <c r="AN164" s="10"/>
      <c r="AO164" s="10"/>
      <c r="AP164" s="22" t="str">
        <f aca="false">IF(OR(C164="",I164="",K164=""),"",IF(K164="Monthly",EDATE(C164,ROUND(I164*SETTINGS!$I$8,0)),WORKDAY(C164,ROUND(I164*SETTINGS!$I$8,0))))</f>
        <v/>
      </c>
      <c r="AQ164" s="9" t="str">
        <f aca="true">IF(C164="","",IF(AND(AP164&lt;&gt;"",TODAY()&gt;=AP164),"Refi Ready",IF(TODAY()-C164&gt;=SETTINGS!$I$11,"Prospecting","Performing")))</f>
        <v/>
      </c>
      <c r="AR164" s="22" t="str">
        <f aca="false">IF(OR(C164="",I164="",K164=""),"",IF(K164="Monthly",EDATE(C164,I164),WORKDAY(C164,I164)))</f>
        <v/>
      </c>
      <c r="AS164" s="11"/>
      <c r="AT164" s="23" t="str">
        <f aca="true">IF(C164="","",IF(AM164="Clawed Back","CLAWED",IF(TODAY()&lt;=C164+SETTINGS!$I$2,"⚠ AT RISK","SAFE")))</f>
        <v/>
      </c>
      <c r="AU164" s="11"/>
      <c r="AW164" s="24" t="n">
        <f aca="false">AW163+IF(AND(C164&lt;&gt;"",AO164&lt;&gt;"",OR('REP COMMISSION'!$B$3="",T164='REP COMMISSION'!$B$3,W164='REP COMMISSION'!$B$3,Z164='REP COMMISSION'!$B$3)),1,0)</f>
        <v>0</v>
      </c>
      <c r="AX164" s="24" t="n">
        <f aca="false">AX163+IF(AND(C164&lt;&gt;"",OR(F164="LOC - INITIAL",F164="CONSOLIDATION - UPFRONT COMM",F164="REVERSE - TOTAL FUNDING")),1,0)</f>
        <v>0</v>
      </c>
    </row>
    <row r="165" customFormat="false" ht="15" hidden="false" customHeight="false" outlineLevel="0" collapsed="false">
      <c r="A165" s="25" t="str">
        <f aca="false">IF(C165&lt;&gt;"","F27-"&amp;COUNT($C$4:C165),"")</f>
        <v/>
      </c>
      <c r="B165" s="26" t="str">
        <f aca="false">IF(OR(F165="LOC - INITIAL",F165="CONSOLIDATION - UPFRONT COMM",F165="REVERSE - TOTAL FUNDING"),A165,"")</f>
        <v/>
      </c>
      <c r="C165" s="27"/>
      <c r="D165" s="28"/>
      <c r="E165" s="28"/>
      <c r="F165" s="28"/>
      <c r="G165" s="29"/>
      <c r="H165" s="30"/>
      <c r="I165" s="28"/>
      <c r="J165" s="31" t="str">
        <f aca="false">IF(AND(G165&lt;&gt;"",H165&lt;&gt;""),G165*H165,"")</f>
        <v/>
      </c>
      <c r="K165" s="28"/>
      <c r="L165" s="32"/>
      <c r="M165" s="32"/>
      <c r="N165" s="31" t="n">
        <f aca="false">IF(OR(G165="",M165=""),0,IF(M165&gt;100,M165,G165*IF(M165&gt;1,M165/100,M165)))</f>
        <v>0</v>
      </c>
      <c r="O165" s="31" t="str">
        <f aca="false">IF(G165="","",G165*IF(L165="",0,IF(L165&gt;1,L165/100,L165))+N165)</f>
        <v/>
      </c>
      <c r="P165" s="28"/>
      <c r="Q165" s="33" t="str">
        <f aca="false">IF(P165="","",IFERROR(VLOOKUP(P165,PARTNERS!$A$2:$B$30,2,0),""))</f>
        <v/>
      </c>
      <c r="R165" s="17" t="str">
        <f aca="false">IF(O165="","",IF(OR(P165="",Q165=""),0,(O165-N165)*IF(Q165&gt;1,Q165/100,Q165)))</f>
        <v/>
      </c>
      <c r="S165" s="31" t="str">
        <f aca="false">IF(O165="","",O165-R165)</f>
        <v/>
      </c>
      <c r="T165" s="28"/>
      <c r="U165" s="34" t="str">
        <f aca="false">IF(T165="","",IFERROR(VLOOKUP(T165,REPS!$A$2:$D$40,2,0),""))</f>
        <v/>
      </c>
      <c r="V165" s="31" t="str">
        <f aca="false">IF(O165="","",IF(U165="",0,O165*IF(U165&gt;1,U165/100,U165)))</f>
        <v/>
      </c>
      <c r="W165" s="28"/>
      <c r="X165" s="34" t="str">
        <f aca="false">IF(W165="","",IFERROR(VLOOKUP(W165,REPS!$A$2:$D$40,3,0),""))</f>
        <v/>
      </c>
      <c r="Y165" s="31" t="str">
        <f aca="false">IF(O165="","",IF(X165="",0,O165*IF(X165&gt;1,X165/100,X165)))</f>
        <v/>
      </c>
      <c r="Z165" s="28"/>
      <c r="AA165" s="34" t="str">
        <f aca="false">IF(Z165="","",IFERROR(VLOOKUP(Z165,REPS!$A$2:$D$40,4,0),""))</f>
        <v/>
      </c>
      <c r="AB165" s="31" t="str">
        <f aca="false">IF(O165="","",IF(AA165="",0,O165*IF(AA165&gt;1,AA165/100,AA165)))</f>
        <v/>
      </c>
      <c r="AC165" s="31" t="str">
        <f aca="false">IF(O165="","",V165+Y165+AB165)</f>
        <v/>
      </c>
      <c r="AD165" s="19" t="str">
        <f aca="false">IF(O165="","",O165-R165-AC165)</f>
        <v/>
      </c>
      <c r="AE165" s="20"/>
      <c r="AF165" s="27"/>
      <c r="AG165" s="21" t="n">
        <f aca="false">IF(OR(AE165="",AE165=0),0,AE165*IF(U165="",0,IF(U165&gt;1,U165/100,U165)))</f>
        <v>0</v>
      </c>
      <c r="AH165" s="21" t="n">
        <f aca="false">IF(OR(AE165="",AE165=0),0,AE165*IF(X165="",0,IF(X165&gt;1,X165/100,X165)))</f>
        <v>0</v>
      </c>
      <c r="AI165" s="21" t="n">
        <f aca="false">IF(OR(AE165="",AE165=0),0,AE165*IF(AA165="",0,IF(AA165&gt;1,AA165/100,AA165)))</f>
        <v>0</v>
      </c>
      <c r="AJ165" s="21" t="n">
        <f aca="false">AG165+AH165+AI165</f>
        <v>0</v>
      </c>
      <c r="AK165" s="21" t="n">
        <f aca="false">IF(OR(AE165="",AE165=0),0,AE165-AJ165)</f>
        <v>0</v>
      </c>
      <c r="AL165" s="19" t="str">
        <f aca="false">IF(AD165="","",AD165-AK165)</f>
        <v/>
      </c>
      <c r="AM165" s="26" t="str">
        <f aca="false">IF(C165="","","Waiting for payment")</f>
        <v/>
      </c>
      <c r="AN165" s="27"/>
      <c r="AO165" s="27"/>
      <c r="AP165" s="35" t="str">
        <f aca="false">IF(OR(C165="",I165="",K165=""),"",IF(K165="Monthly",EDATE(C165,ROUND(I165*SETTINGS!$I$8,0)),WORKDAY(C165,ROUND(I165*SETTINGS!$I$8,0))))</f>
        <v/>
      </c>
      <c r="AQ165" s="26" t="str">
        <f aca="true">IF(C165="","",IF(AND(AP165&lt;&gt;"",TODAY()&gt;=AP165),"Refi Ready",IF(TODAY()-C165&gt;=SETTINGS!$I$11,"Prospecting","Performing")))</f>
        <v/>
      </c>
      <c r="AR165" s="35" t="str">
        <f aca="false">IF(OR(C165="",I165="",K165=""),"",IF(K165="Monthly",EDATE(C165,I165),WORKDAY(C165,I165)))</f>
        <v/>
      </c>
      <c r="AS165" s="28"/>
      <c r="AT165" s="36" t="str">
        <f aca="true">IF(C165="","",IF(AM165="Clawed Back","CLAWED",IF(TODAY()&lt;=C165+SETTINGS!$I$2,"⚠ AT RISK","SAFE")))</f>
        <v/>
      </c>
      <c r="AU165" s="28"/>
      <c r="AW165" s="24" t="n">
        <f aca="false">AW164+IF(AND(C165&lt;&gt;"",AO165&lt;&gt;"",OR('REP COMMISSION'!$B$3="",T165='REP COMMISSION'!$B$3,W165='REP COMMISSION'!$B$3,Z165='REP COMMISSION'!$B$3)),1,0)</f>
        <v>0</v>
      </c>
      <c r="AX165" s="24" t="n">
        <f aca="false">AX164+IF(AND(C165&lt;&gt;"",OR(F165="LOC - INITIAL",F165="CONSOLIDATION - UPFRONT COMM",F165="REVERSE - TOTAL FUNDING")),1,0)</f>
        <v>0</v>
      </c>
    </row>
    <row r="166" customFormat="false" ht="15" hidden="false" customHeight="false" outlineLevel="0" collapsed="false">
      <c r="A166" s="8" t="str">
        <f aca="false">IF(C166&lt;&gt;"","F27-"&amp;COUNT($C$4:C166),"")</f>
        <v/>
      </c>
      <c r="B166" s="9" t="str">
        <f aca="false">IF(OR(F166="LOC - INITIAL",F166="CONSOLIDATION - UPFRONT COMM",F166="REVERSE - TOTAL FUNDING"),A166,"")</f>
        <v/>
      </c>
      <c r="C166" s="10"/>
      <c r="D166" s="11"/>
      <c r="E166" s="11"/>
      <c r="F166" s="11"/>
      <c r="G166" s="12"/>
      <c r="H166" s="13"/>
      <c r="I166" s="11"/>
      <c r="J166" s="14" t="str">
        <f aca="false">IF(AND(G166&lt;&gt;"",H166&lt;&gt;""),G166*H166,"")</f>
        <v/>
      </c>
      <c r="K166" s="11"/>
      <c r="L166" s="15"/>
      <c r="M166" s="15"/>
      <c r="N166" s="14" t="n">
        <f aca="false">IF(OR(G166="",M166=""),0,IF(M166&gt;100,M166,G166*IF(M166&gt;1,M166/100,M166)))</f>
        <v>0</v>
      </c>
      <c r="O166" s="14" t="str">
        <f aca="false">IF(G166="","",G166*IF(L166="",0,IF(L166&gt;1,L166/100,L166))+N166)</f>
        <v/>
      </c>
      <c r="P166" s="11"/>
      <c r="Q166" s="16" t="str">
        <f aca="false">IF(P166="","",IFERROR(VLOOKUP(P166,PARTNERS!$A$2:$B$30,2,0),""))</f>
        <v/>
      </c>
      <c r="R166" s="17" t="str">
        <f aca="false">IF(O166="","",IF(OR(P166="",Q166=""),0,(O166-N166)*IF(Q166&gt;1,Q166/100,Q166)))</f>
        <v/>
      </c>
      <c r="S166" s="14" t="str">
        <f aca="false">IF(O166="","",O166-R166)</f>
        <v/>
      </c>
      <c r="T166" s="11"/>
      <c r="U166" s="18" t="str">
        <f aca="false">IF(T166="","",IFERROR(VLOOKUP(T166,REPS!$A$2:$D$40,2,0),""))</f>
        <v/>
      </c>
      <c r="V166" s="14" t="str">
        <f aca="false">IF(O166="","",IF(U166="",0,O166*IF(U166&gt;1,U166/100,U166)))</f>
        <v/>
      </c>
      <c r="W166" s="11"/>
      <c r="X166" s="18" t="str">
        <f aca="false">IF(W166="","",IFERROR(VLOOKUP(W166,REPS!$A$2:$D$40,3,0),""))</f>
        <v/>
      </c>
      <c r="Y166" s="14" t="str">
        <f aca="false">IF(O166="","",IF(X166="",0,O166*IF(X166&gt;1,X166/100,X166)))</f>
        <v/>
      </c>
      <c r="Z166" s="11"/>
      <c r="AA166" s="18" t="str">
        <f aca="false">IF(Z166="","",IFERROR(VLOOKUP(Z166,REPS!$A$2:$D$40,4,0),""))</f>
        <v/>
      </c>
      <c r="AB166" s="14" t="str">
        <f aca="false">IF(O166="","",IF(AA166="",0,O166*IF(AA166&gt;1,AA166/100,AA166)))</f>
        <v/>
      </c>
      <c r="AC166" s="14" t="str">
        <f aca="false">IF(O166="","",V166+Y166+AB166)</f>
        <v/>
      </c>
      <c r="AD166" s="19" t="str">
        <f aca="false">IF(O166="","",O166-R166-AC166)</f>
        <v/>
      </c>
      <c r="AE166" s="20"/>
      <c r="AF166" s="10"/>
      <c r="AG166" s="21" t="n">
        <f aca="false">IF(OR(AE166="",AE166=0),0,AE166*IF(U166="",0,IF(U166&gt;1,U166/100,U166)))</f>
        <v>0</v>
      </c>
      <c r="AH166" s="21" t="n">
        <f aca="false">IF(OR(AE166="",AE166=0),0,AE166*IF(X166="",0,IF(X166&gt;1,X166/100,X166)))</f>
        <v>0</v>
      </c>
      <c r="AI166" s="21" t="n">
        <f aca="false">IF(OR(AE166="",AE166=0),0,AE166*IF(AA166="",0,IF(AA166&gt;1,AA166/100,AA166)))</f>
        <v>0</v>
      </c>
      <c r="AJ166" s="21" t="n">
        <f aca="false">AG166+AH166+AI166</f>
        <v>0</v>
      </c>
      <c r="AK166" s="21" t="n">
        <f aca="false">IF(OR(AE166="",AE166=0),0,AE166-AJ166)</f>
        <v>0</v>
      </c>
      <c r="AL166" s="19" t="str">
        <f aca="false">IF(AD166="","",AD166-AK166)</f>
        <v/>
      </c>
      <c r="AM166" s="9" t="str">
        <f aca="false">IF(C166="","","Waiting for payment")</f>
        <v/>
      </c>
      <c r="AN166" s="10"/>
      <c r="AO166" s="10"/>
      <c r="AP166" s="22" t="str">
        <f aca="false">IF(OR(C166="",I166="",K166=""),"",IF(K166="Monthly",EDATE(C166,ROUND(I166*SETTINGS!$I$8,0)),WORKDAY(C166,ROUND(I166*SETTINGS!$I$8,0))))</f>
        <v/>
      </c>
      <c r="AQ166" s="9" t="str">
        <f aca="true">IF(C166="","",IF(AND(AP166&lt;&gt;"",TODAY()&gt;=AP166),"Refi Ready",IF(TODAY()-C166&gt;=SETTINGS!$I$11,"Prospecting","Performing")))</f>
        <v/>
      </c>
      <c r="AR166" s="22" t="str">
        <f aca="false">IF(OR(C166="",I166="",K166=""),"",IF(K166="Monthly",EDATE(C166,I166),WORKDAY(C166,I166)))</f>
        <v/>
      </c>
      <c r="AS166" s="11"/>
      <c r="AT166" s="23" t="str">
        <f aca="true">IF(C166="","",IF(AM166="Clawed Back","CLAWED",IF(TODAY()&lt;=C166+SETTINGS!$I$2,"⚠ AT RISK","SAFE")))</f>
        <v/>
      </c>
      <c r="AU166" s="11"/>
      <c r="AW166" s="24" t="n">
        <f aca="false">AW165+IF(AND(C166&lt;&gt;"",AO166&lt;&gt;"",OR('REP COMMISSION'!$B$3="",T166='REP COMMISSION'!$B$3,W166='REP COMMISSION'!$B$3,Z166='REP COMMISSION'!$B$3)),1,0)</f>
        <v>0</v>
      </c>
      <c r="AX166" s="24" t="n">
        <f aca="false">AX165+IF(AND(C166&lt;&gt;"",OR(F166="LOC - INITIAL",F166="CONSOLIDATION - UPFRONT COMM",F166="REVERSE - TOTAL FUNDING")),1,0)</f>
        <v>0</v>
      </c>
    </row>
    <row r="167" customFormat="false" ht="15" hidden="false" customHeight="false" outlineLevel="0" collapsed="false">
      <c r="A167" s="25" t="str">
        <f aca="false">IF(C167&lt;&gt;"","F27-"&amp;COUNT($C$4:C167),"")</f>
        <v/>
      </c>
      <c r="B167" s="26" t="str">
        <f aca="false">IF(OR(F167="LOC - INITIAL",F167="CONSOLIDATION - UPFRONT COMM",F167="REVERSE - TOTAL FUNDING"),A167,"")</f>
        <v/>
      </c>
      <c r="C167" s="27"/>
      <c r="D167" s="28"/>
      <c r="E167" s="28"/>
      <c r="F167" s="28"/>
      <c r="G167" s="29"/>
      <c r="H167" s="30"/>
      <c r="I167" s="28"/>
      <c r="J167" s="31" t="str">
        <f aca="false">IF(AND(G167&lt;&gt;"",H167&lt;&gt;""),G167*H167,"")</f>
        <v/>
      </c>
      <c r="K167" s="28"/>
      <c r="L167" s="32"/>
      <c r="M167" s="32"/>
      <c r="N167" s="31" t="n">
        <f aca="false">IF(OR(G167="",M167=""),0,IF(M167&gt;100,M167,G167*IF(M167&gt;1,M167/100,M167)))</f>
        <v>0</v>
      </c>
      <c r="O167" s="31" t="str">
        <f aca="false">IF(G167="","",G167*IF(L167="",0,IF(L167&gt;1,L167/100,L167))+N167)</f>
        <v/>
      </c>
      <c r="P167" s="28"/>
      <c r="Q167" s="33" t="str">
        <f aca="false">IF(P167="","",IFERROR(VLOOKUP(P167,PARTNERS!$A$2:$B$30,2,0),""))</f>
        <v/>
      </c>
      <c r="R167" s="17" t="str">
        <f aca="false">IF(O167="","",IF(OR(P167="",Q167=""),0,(O167-N167)*IF(Q167&gt;1,Q167/100,Q167)))</f>
        <v/>
      </c>
      <c r="S167" s="31" t="str">
        <f aca="false">IF(O167="","",O167-R167)</f>
        <v/>
      </c>
      <c r="T167" s="28"/>
      <c r="U167" s="34" t="str">
        <f aca="false">IF(T167="","",IFERROR(VLOOKUP(T167,REPS!$A$2:$D$40,2,0),""))</f>
        <v/>
      </c>
      <c r="V167" s="31" t="str">
        <f aca="false">IF(O167="","",IF(U167="",0,O167*IF(U167&gt;1,U167/100,U167)))</f>
        <v/>
      </c>
      <c r="W167" s="28"/>
      <c r="X167" s="34" t="str">
        <f aca="false">IF(W167="","",IFERROR(VLOOKUP(W167,REPS!$A$2:$D$40,3,0),""))</f>
        <v/>
      </c>
      <c r="Y167" s="31" t="str">
        <f aca="false">IF(O167="","",IF(X167="",0,O167*IF(X167&gt;1,X167/100,X167)))</f>
        <v/>
      </c>
      <c r="Z167" s="28"/>
      <c r="AA167" s="34" t="str">
        <f aca="false">IF(Z167="","",IFERROR(VLOOKUP(Z167,REPS!$A$2:$D$40,4,0),""))</f>
        <v/>
      </c>
      <c r="AB167" s="31" t="str">
        <f aca="false">IF(O167="","",IF(AA167="",0,O167*IF(AA167&gt;1,AA167/100,AA167)))</f>
        <v/>
      </c>
      <c r="AC167" s="31" t="str">
        <f aca="false">IF(O167="","",V167+Y167+AB167)</f>
        <v/>
      </c>
      <c r="AD167" s="19" t="str">
        <f aca="false">IF(O167="","",O167-R167-AC167)</f>
        <v/>
      </c>
      <c r="AE167" s="20"/>
      <c r="AF167" s="27"/>
      <c r="AG167" s="21" t="n">
        <f aca="false">IF(OR(AE167="",AE167=0),0,AE167*IF(U167="",0,IF(U167&gt;1,U167/100,U167)))</f>
        <v>0</v>
      </c>
      <c r="AH167" s="21" t="n">
        <f aca="false">IF(OR(AE167="",AE167=0),0,AE167*IF(X167="",0,IF(X167&gt;1,X167/100,X167)))</f>
        <v>0</v>
      </c>
      <c r="AI167" s="21" t="n">
        <f aca="false">IF(OR(AE167="",AE167=0),0,AE167*IF(AA167="",0,IF(AA167&gt;1,AA167/100,AA167)))</f>
        <v>0</v>
      </c>
      <c r="AJ167" s="21" t="n">
        <f aca="false">AG167+AH167+AI167</f>
        <v>0</v>
      </c>
      <c r="AK167" s="21" t="n">
        <f aca="false">IF(OR(AE167="",AE167=0),0,AE167-AJ167)</f>
        <v>0</v>
      </c>
      <c r="AL167" s="19" t="str">
        <f aca="false">IF(AD167="","",AD167-AK167)</f>
        <v/>
      </c>
      <c r="AM167" s="26" t="str">
        <f aca="false">IF(C167="","","Waiting for payment")</f>
        <v/>
      </c>
      <c r="AN167" s="27"/>
      <c r="AO167" s="27"/>
      <c r="AP167" s="35" t="str">
        <f aca="false">IF(OR(C167="",I167="",K167=""),"",IF(K167="Monthly",EDATE(C167,ROUND(I167*SETTINGS!$I$8,0)),WORKDAY(C167,ROUND(I167*SETTINGS!$I$8,0))))</f>
        <v/>
      </c>
      <c r="AQ167" s="26" t="str">
        <f aca="true">IF(C167="","",IF(AND(AP167&lt;&gt;"",TODAY()&gt;=AP167),"Refi Ready",IF(TODAY()-C167&gt;=SETTINGS!$I$11,"Prospecting","Performing")))</f>
        <v/>
      </c>
      <c r="AR167" s="35" t="str">
        <f aca="false">IF(OR(C167="",I167="",K167=""),"",IF(K167="Monthly",EDATE(C167,I167),WORKDAY(C167,I167)))</f>
        <v/>
      </c>
      <c r="AS167" s="28"/>
      <c r="AT167" s="36" t="str">
        <f aca="true">IF(C167="","",IF(AM167="Clawed Back","CLAWED",IF(TODAY()&lt;=C167+SETTINGS!$I$2,"⚠ AT RISK","SAFE")))</f>
        <v/>
      </c>
      <c r="AU167" s="28"/>
      <c r="AW167" s="24" t="n">
        <f aca="false">AW166+IF(AND(C167&lt;&gt;"",AO167&lt;&gt;"",OR('REP COMMISSION'!$B$3="",T167='REP COMMISSION'!$B$3,W167='REP COMMISSION'!$B$3,Z167='REP COMMISSION'!$B$3)),1,0)</f>
        <v>0</v>
      </c>
      <c r="AX167" s="24" t="n">
        <f aca="false">AX166+IF(AND(C167&lt;&gt;"",OR(F167="LOC - INITIAL",F167="CONSOLIDATION - UPFRONT COMM",F167="REVERSE - TOTAL FUNDING")),1,0)</f>
        <v>0</v>
      </c>
    </row>
    <row r="168" customFormat="false" ht="15" hidden="false" customHeight="false" outlineLevel="0" collapsed="false">
      <c r="A168" s="8" t="str">
        <f aca="false">IF(C168&lt;&gt;"","F27-"&amp;COUNT($C$4:C168),"")</f>
        <v/>
      </c>
      <c r="B168" s="9" t="str">
        <f aca="false">IF(OR(F168="LOC - INITIAL",F168="CONSOLIDATION - UPFRONT COMM",F168="REVERSE - TOTAL FUNDING"),A168,"")</f>
        <v/>
      </c>
      <c r="C168" s="10"/>
      <c r="D168" s="11"/>
      <c r="E168" s="11"/>
      <c r="F168" s="11"/>
      <c r="G168" s="12"/>
      <c r="H168" s="13"/>
      <c r="I168" s="11"/>
      <c r="J168" s="14" t="str">
        <f aca="false">IF(AND(G168&lt;&gt;"",H168&lt;&gt;""),G168*H168,"")</f>
        <v/>
      </c>
      <c r="K168" s="11"/>
      <c r="L168" s="15"/>
      <c r="M168" s="15"/>
      <c r="N168" s="14" t="n">
        <f aca="false">IF(OR(G168="",M168=""),0,IF(M168&gt;100,M168,G168*IF(M168&gt;1,M168/100,M168)))</f>
        <v>0</v>
      </c>
      <c r="O168" s="14" t="str">
        <f aca="false">IF(G168="","",G168*IF(L168="",0,IF(L168&gt;1,L168/100,L168))+N168)</f>
        <v/>
      </c>
      <c r="P168" s="11"/>
      <c r="Q168" s="16" t="str">
        <f aca="false">IF(P168="","",IFERROR(VLOOKUP(P168,PARTNERS!$A$2:$B$30,2,0),""))</f>
        <v/>
      </c>
      <c r="R168" s="17" t="str">
        <f aca="false">IF(O168="","",IF(OR(P168="",Q168=""),0,(O168-N168)*IF(Q168&gt;1,Q168/100,Q168)))</f>
        <v/>
      </c>
      <c r="S168" s="14" t="str">
        <f aca="false">IF(O168="","",O168-R168)</f>
        <v/>
      </c>
      <c r="T168" s="11"/>
      <c r="U168" s="18" t="str">
        <f aca="false">IF(T168="","",IFERROR(VLOOKUP(T168,REPS!$A$2:$D$40,2,0),""))</f>
        <v/>
      </c>
      <c r="V168" s="14" t="str">
        <f aca="false">IF(O168="","",IF(U168="",0,O168*IF(U168&gt;1,U168/100,U168)))</f>
        <v/>
      </c>
      <c r="W168" s="11"/>
      <c r="X168" s="18" t="str">
        <f aca="false">IF(W168="","",IFERROR(VLOOKUP(W168,REPS!$A$2:$D$40,3,0),""))</f>
        <v/>
      </c>
      <c r="Y168" s="14" t="str">
        <f aca="false">IF(O168="","",IF(X168="",0,O168*IF(X168&gt;1,X168/100,X168)))</f>
        <v/>
      </c>
      <c r="Z168" s="11"/>
      <c r="AA168" s="18" t="str">
        <f aca="false">IF(Z168="","",IFERROR(VLOOKUP(Z168,REPS!$A$2:$D$40,4,0),""))</f>
        <v/>
      </c>
      <c r="AB168" s="14" t="str">
        <f aca="false">IF(O168="","",IF(AA168="",0,O168*IF(AA168&gt;1,AA168/100,AA168)))</f>
        <v/>
      </c>
      <c r="AC168" s="14" t="str">
        <f aca="false">IF(O168="","",V168+Y168+AB168)</f>
        <v/>
      </c>
      <c r="AD168" s="19" t="str">
        <f aca="false">IF(O168="","",O168-R168-AC168)</f>
        <v/>
      </c>
      <c r="AE168" s="20"/>
      <c r="AF168" s="10"/>
      <c r="AG168" s="21" t="n">
        <f aca="false">IF(OR(AE168="",AE168=0),0,AE168*IF(U168="",0,IF(U168&gt;1,U168/100,U168)))</f>
        <v>0</v>
      </c>
      <c r="AH168" s="21" t="n">
        <f aca="false">IF(OR(AE168="",AE168=0),0,AE168*IF(X168="",0,IF(X168&gt;1,X168/100,X168)))</f>
        <v>0</v>
      </c>
      <c r="AI168" s="21" t="n">
        <f aca="false">IF(OR(AE168="",AE168=0),0,AE168*IF(AA168="",0,IF(AA168&gt;1,AA168/100,AA168)))</f>
        <v>0</v>
      </c>
      <c r="AJ168" s="21" t="n">
        <f aca="false">AG168+AH168+AI168</f>
        <v>0</v>
      </c>
      <c r="AK168" s="21" t="n">
        <f aca="false">IF(OR(AE168="",AE168=0),0,AE168-AJ168)</f>
        <v>0</v>
      </c>
      <c r="AL168" s="19" t="str">
        <f aca="false">IF(AD168="","",AD168-AK168)</f>
        <v/>
      </c>
      <c r="AM168" s="9" t="str">
        <f aca="false">IF(C168="","","Waiting for payment")</f>
        <v/>
      </c>
      <c r="AN168" s="10"/>
      <c r="AO168" s="10"/>
      <c r="AP168" s="22" t="str">
        <f aca="false">IF(OR(C168="",I168="",K168=""),"",IF(K168="Monthly",EDATE(C168,ROUND(I168*SETTINGS!$I$8,0)),WORKDAY(C168,ROUND(I168*SETTINGS!$I$8,0))))</f>
        <v/>
      </c>
      <c r="AQ168" s="9" t="str">
        <f aca="true">IF(C168="","",IF(AND(AP168&lt;&gt;"",TODAY()&gt;=AP168),"Refi Ready",IF(TODAY()-C168&gt;=SETTINGS!$I$11,"Prospecting","Performing")))</f>
        <v/>
      </c>
      <c r="AR168" s="22" t="str">
        <f aca="false">IF(OR(C168="",I168="",K168=""),"",IF(K168="Monthly",EDATE(C168,I168),WORKDAY(C168,I168)))</f>
        <v/>
      </c>
      <c r="AS168" s="11"/>
      <c r="AT168" s="23" t="str">
        <f aca="true">IF(C168="","",IF(AM168="Clawed Back","CLAWED",IF(TODAY()&lt;=C168+SETTINGS!$I$2,"⚠ AT RISK","SAFE")))</f>
        <v/>
      </c>
      <c r="AU168" s="11"/>
      <c r="AW168" s="24" t="n">
        <f aca="false">AW167+IF(AND(C168&lt;&gt;"",AO168&lt;&gt;"",OR('REP COMMISSION'!$B$3="",T168='REP COMMISSION'!$B$3,W168='REP COMMISSION'!$B$3,Z168='REP COMMISSION'!$B$3)),1,0)</f>
        <v>0</v>
      </c>
      <c r="AX168" s="24" t="n">
        <f aca="false">AX167+IF(AND(C168&lt;&gt;"",OR(F168="LOC - INITIAL",F168="CONSOLIDATION - UPFRONT COMM",F168="REVERSE - TOTAL FUNDING")),1,0)</f>
        <v>0</v>
      </c>
    </row>
    <row r="169" customFormat="false" ht="15" hidden="false" customHeight="false" outlineLevel="0" collapsed="false">
      <c r="A169" s="25" t="str">
        <f aca="false">IF(C169&lt;&gt;"","F27-"&amp;COUNT($C$4:C169),"")</f>
        <v/>
      </c>
      <c r="B169" s="26" t="str">
        <f aca="false">IF(OR(F169="LOC - INITIAL",F169="CONSOLIDATION - UPFRONT COMM",F169="REVERSE - TOTAL FUNDING"),A169,"")</f>
        <v/>
      </c>
      <c r="C169" s="27"/>
      <c r="D169" s="28"/>
      <c r="E169" s="28"/>
      <c r="F169" s="28"/>
      <c r="G169" s="29"/>
      <c r="H169" s="30"/>
      <c r="I169" s="28"/>
      <c r="J169" s="31" t="str">
        <f aca="false">IF(AND(G169&lt;&gt;"",H169&lt;&gt;""),G169*H169,"")</f>
        <v/>
      </c>
      <c r="K169" s="28"/>
      <c r="L169" s="32"/>
      <c r="M169" s="32"/>
      <c r="N169" s="31" t="n">
        <f aca="false">IF(OR(G169="",M169=""),0,IF(M169&gt;100,M169,G169*IF(M169&gt;1,M169/100,M169)))</f>
        <v>0</v>
      </c>
      <c r="O169" s="31" t="str">
        <f aca="false">IF(G169="","",G169*IF(L169="",0,IF(L169&gt;1,L169/100,L169))+N169)</f>
        <v/>
      </c>
      <c r="P169" s="28"/>
      <c r="Q169" s="33" t="str">
        <f aca="false">IF(P169="","",IFERROR(VLOOKUP(P169,PARTNERS!$A$2:$B$30,2,0),""))</f>
        <v/>
      </c>
      <c r="R169" s="17" t="str">
        <f aca="false">IF(O169="","",IF(OR(P169="",Q169=""),0,(O169-N169)*IF(Q169&gt;1,Q169/100,Q169)))</f>
        <v/>
      </c>
      <c r="S169" s="31" t="str">
        <f aca="false">IF(O169="","",O169-R169)</f>
        <v/>
      </c>
      <c r="T169" s="28"/>
      <c r="U169" s="34" t="str">
        <f aca="false">IF(T169="","",IFERROR(VLOOKUP(T169,REPS!$A$2:$D$40,2,0),""))</f>
        <v/>
      </c>
      <c r="V169" s="31" t="str">
        <f aca="false">IF(O169="","",IF(U169="",0,O169*IF(U169&gt;1,U169/100,U169)))</f>
        <v/>
      </c>
      <c r="W169" s="28"/>
      <c r="X169" s="34" t="str">
        <f aca="false">IF(W169="","",IFERROR(VLOOKUP(W169,REPS!$A$2:$D$40,3,0),""))</f>
        <v/>
      </c>
      <c r="Y169" s="31" t="str">
        <f aca="false">IF(O169="","",IF(X169="",0,O169*IF(X169&gt;1,X169/100,X169)))</f>
        <v/>
      </c>
      <c r="Z169" s="28"/>
      <c r="AA169" s="34" t="str">
        <f aca="false">IF(Z169="","",IFERROR(VLOOKUP(Z169,REPS!$A$2:$D$40,4,0),""))</f>
        <v/>
      </c>
      <c r="AB169" s="31" t="str">
        <f aca="false">IF(O169="","",IF(AA169="",0,O169*IF(AA169&gt;1,AA169/100,AA169)))</f>
        <v/>
      </c>
      <c r="AC169" s="31" t="str">
        <f aca="false">IF(O169="","",V169+Y169+AB169)</f>
        <v/>
      </c>
      <c r="AD169" s="19" t="str">
        <f aca="false">IF(O169="","",O169-R169-AC169)</f>
        <v/>
      </c>
      <c r="AE169" s="20"/>
      <c r="AF169" s="27"/>
      <c r="AG169" s="21" t="n">
        <f aca="false">IF(OR(AE169="",AE169=0),0,AE169*IF(U169="",0,IF(U169&gt;1,U169/100,U169)))</f>
        <v>0</v>
      </c>
      <c r="AH169" s="21" t="n">
        <f aca="false">IF(OR(AE169="",AE169=0),0,AE169*IF(X169="",0,IF(X169&gt;1,X169/100,X169)))</f>
        <v>0</v>
      </c>
      <c r="AI169" s="21" t="n">
        <f aca="false">IF(OR(AE169="",AE169=0),0,AE169*IF(AA169="",0,IF(AA169&gt;1,AA169/100,AA169)))</f>
        <v>0</v>
      </c>
      <c r="AJ169" s="21" t="n">
        <f aca="false">AG169+AH169+AI169</f>
        <v>0</v>
      </c>
      <c r="AK169" s="21" t="n">
        <f aca="false">IF(OR(AE169="",AE169=0),0,AE169-AJ169)</f>
        <v>0</v>
      </c>
      <c r="AL169" s="19" t="str">
        <f aca="false">IF(AD169="","",AD169-AK169)</f>
        <v/>
      </c>
      <c r="AM169" s="26" t="str">
        <f aca="false">IF(C169="","","Waiting for payment")</f>
        <v/>
      </c>
      <c r="AN169" s="27"/>
      <c r="AO169" s="27"/>
      <c r="AP169" s="35" t="str">
        <f aca="false">IF(OR(C169="",I169="",K169=""),"",IF(K169="Monthly",EDATE(C169,ROUND(I169*SETTINGS!$I$8,0)),WORKDAY(C169,ROUND(I169*SETTINGS!$I$8,0))))</f>
        <v/>
      </c>
      <c r="AQ169" s="26" t="str">
        <f aca="true">IF(C169="","",IF(AND(AP169&lt;&gt;"",TODAY()&gt;=AP169),"Refi Ready",IF(TODAY()-C169&gt;=SETTINGS!$I$11,"Prospecting","Performing")))</f>
        <v/>
      </c>
      <c r="AR169" s="35" t="str">
        <f aca="false">IF(OR(C169="",I169="",K169=""),"",IF(K169="Monthly",EDATE(C169,I169),WORKDAY(C169,I169)))</f>
        <v/>
      </c>
      <c r="AS169" s="28"/>
      <c r="AT169" s="36" t="str">
        <f aca="true">IF(C169="","",IF(AM169="Clawed Back","CLAWED",IF(TODAY()&lt;=C169+SETTINGS!$I$2,"⚠ AT RISK","SAFE")))</f>
        <v/>
      </c>
      <c r="AU169" s="28"/>
      <c r="AW169" s="24" t="n">
        <f aca="false">AW168+IF(AND(C169&lt;&gt;"",AO169&lt;&gt;"",OR('REP COMMISSION'!$B$3="",T169='REP COMMISSION'!$B$3,W169='REP COMMISSION'!$B$3,Z169='REP COMMISSION'!$B$3)),1,0)</f>
        <v>0</v>
      </c>
      <c r="AX169" s="24" t="n">
        <f aca="false">AX168+IF(AND(C169&lt;&gt;"",OR(F169="LOC - INITIAL",F169="CONSOLIDATION - UPFRONT COMM",F169="REVERSE - TOTAL FUNDING")),1,0)</f>
        <v>0</v>
      </c>
    </row>
    <row r="170" customFormat="false" ht="15" hidden="false" customHeight="false" outlineLevel="0" collapsed="false">
      <c r="A170" s="8" t="str">
        <f aca="false">IF(C170&lt;&gt;"","F27-"&amp;COUNT($C$4:C170),"")</f>
        <v/>
      </c>
      <c r="B170" s="9" t="str">
        <f aca="false">IF(OR(F170="LOC - INITIAL",F170="CONSOLIDATION - UPFRONT COMM",F170="REVERSE - TOTAL FUNDING"),A170,"")</f>
        <v/>
      </c>
      <c r="C170" s="10"/>
      <c r="D170" s="11"/>
      <c r="E170" s="11"/>
      <c r="F170" s="11"/>
      <c r="G170" s="12"/>
      <c r="H170" s="13"/>
      <c r="I170" s="11"/>
      <c r="J170" s="14" t="str">
        <f aca="false">IF(AND(G170&lt;&gt;"",H170&lt;&gt;""),G170*H170,"")</f>
        <v/>
      </c>
      <c r="K170" s="11"/>
      <c r="L170" s="15"/>
      <c r="M170" s="15"/>
      <c r="N170" s="14" t="n">
        <f aca="false">IF(OR(G170="",M170=""),0,IF(M170&gt;100,M170,G170*IF(M170&gt;1,M170/100,M170)))</f>
        <v>0</v>
      </c>
      <c r="O170" s="14" t="str">
        <f aca="false">IF(G170="","",G170*IF(L170="",0,IF(L170&gt;1,L170/100,L170))+N170)</f>
        <v/>
      </c>
      <c r="P170" s="11"/>
      <c r="Q170" s="16" t="str">
        <f aca="false">IF(P170="","",IFERROR(VLOOKUP(P170,PARTNERS!$A$2:$B$30,2,0),""))</f>
        <v/>
      </c>
      <c r="R170" s="17" t="str">
        <f aca="false">IF(O170="","",IF(OR(P170="",Q170=""),0,(O170-N170)*IF(Q170&gt;1,Q170/100,Q170)))</f>
        <v/>
      </c>
      <c r="S170" s="14" t="str">
        <f aca="false">IF(O170="","",O170-R170)</f>
        <v/>
      </c>
      <c r="T170" s="11"/>
      <c r="U170" s="18" t="str">
        <f aca="false">IF(T170="","",IFERROR(VLOOKUP(T170,REPS!$A$2:$D$40,2,0),""))</f>
        <v/>
      </c>
      <c r="V170" s="14" t="str">
        <f aca="false">IF(O170="","",IF(U170="",0,O170*IF(U170&gt;1,U170/100,U170)))</f>
        <v/>
      </c>
      <c r="W170" s="11"/>
      <c r="X170" s="18" t="str">
        <f aca="false">IF(W170="","",IFERROR(VLOOKUP(W170,REPS!$A$2:$D$40,3,0),""))</f>
        <v/>
      </c>
      <c r="Y170" s="14" t="str">
        <f aca="false">IF(O170="","",IF(X170="",0,O170*IF(X170&gt;1,X170/100,X170)))</f>
        <v/>
      </c>
      <c r="Z170" s="11"/>
      <c r="AA170" s="18" t="str">
        <f aca="false">IF(Z170="","",IFERROR(VLOOKUP(Z170,REPS!$A$2:$D$40,4,0),""))</f>
        <v/>
      </c>
      <c r="AB170" s="14" t="str">
        <f aca="false">IF(O170="","",IF(AA170="",0,O170*IF(AA170&gt;1,AA170/100,AA170)))</f>
        <v/>
      </c>
      <c r="AC170" s="14" t="str">
        <f aca="false">IF(O170="","",V170+Y170+AB170)</f>
        <v/>
      </c>
      <c r="AD170" s="19" t="str">
        <f aca="false">IF(O170="","",O170-R170-AC170)</f>
        <v/>
      </c>
      <c r="AE170" s="20"/>
      <c r="AF170" s="10"/>
      <c r="AG170" s="21" t="n">
        <f aca="false">IF(OR(AE170="",AE170=0),0,AE170*IF(U170="",0,IF(U170&gt;1,U170/100,U170)))</f>
        <v>0</v>
      </c>
      <c r="AH170" s="21" t="n">
        <f aca="false">IF(OR(AE170="",AE170=0),0,AE170*IF(X170="",0,IF(X170&gt;1,X170/100,X170)))</f>
        <v>0</v>
      </c>
      <c r="AI170" s="21" t="n">
        <f aca="false">IF(OR(AE170="",AE170=0),0,AE170*IF(AA170="",0,IF(AA170&gt;1,AA170/100,AA170)))</f>
        <v>0</v>
      </c>
      <c r="AJ170" s="21" t="n">
        <f aca="false">AG170+AH170+AI170</f>
        <v>0</v>
      </c>
      <c r="AK170" s="21" t="n">
        <f aca="false">IF(OR(AE170="",AE170=0),0,AE170-AJ170)</f>
        <v>0</v>
      </c>
      <c r="AL170" s="19" t="str">
        <f aca="false">IF(AD170="","",AD170-AK170)</f>
        <v/>
      </c>
      <c r="AM170" s="9" t="str">
        <f aca="false">IF(C170="","","Waiting for payment")</f>
        <v/>
      </c>
      <c r="AN170" s="10"/>
      <c r="AO170" s="10"/>
      <c r="AP170" s="22" t="str">
        <f aca="false">IF(OR(C170="",I170="",K170=""),"",IF(K170="Monthly",EDATE(C170,ROUND(I170*SETTINGS!$I$8,0)),WORKDAY(C170,ROUND(I170*SETTINGS!$I$8,0))))</f>
        <v/>
      </c>
      <c r="AQ170" s="9" t="str">
        <f aca="true">IF(C170="","",IF(AND(AP170&lt;&gt;"",TODAY()&gt;=AP170),"Refi Ready",IF(TODAY()-C170&gt;=SETTINGS!$I$11,"Prospecting","Performing")))</f>
        <v/>
      </c>
      <c r="AR170" s="22" t="str">
        <f aca="false">IF(OR(C170="",I170="",K170=""),"",IF(K170="Monthly",EDATE(C170,I170),WORKDAY(C170,I170)))</f>
        <v/>
      </c>
      <c r="AS170" s="11"/>
      <c r="AT170" s="23" t="str">
        <f aca="true">IF(C170="","",IF(AM170="Clawed Back","CLAWED",IF(TODAY()&lt;=C170+SETTINGS!$I$2,"⚠ AT RISK","SAFE")))</f>
        <v/>
      </c>
      <c r="AU170" s="11"/>
      <c r="AW170" s="24" t="n">
        <f aca="false">AW169+IF(AND(C170&lt;&gt;"",AO170&lt;&gt;"",OR('REP COMMISSION'!$B$3="",T170='REP COMMISSION'!$B$3,W170='REP COMMISSION'!$B$3,Z170='REP COMMISSION'!$B$3)),1,0)</f>
        <v>0</v>
      </c>
      <c r="AX170" s="24" t="n">
        <f aca="false">AX169+IF(AND(C170&lt;&gt;"",OR(F170="LOC - INITIAL",F170="CONSOLIDATION - UPFRONT COMM",F170="REVERSE - TOTAL FUNDING")),1,0)</f>
        <v>0</v>
      </c>
    </row>
    <row r="171" customFormat="false" ht="15" hidden="false" customHeight="false" outlineLevel="0" collapsed="false">
      <c r="A171" s="25" t="str">
        <f aca="false">IF(C171&lt;&gt;"","F27-"&amp;COUNT($C$4:C171),"")</f>
        <v/>
      </c>
      <c r="B171" s="26" t="str">
        <f aca="false">IF(OR(F171="LOC - INITIAL",F171="CONSOLIDATION - UPFRONT COMM",F171="REVERSE - TOTAL FUNDING"),A171,"")</f>
        <v/>
      </c>
      <c r="C171" s="27"/>
      <c r="D171" s="28"/>
      <c r="E171" s="28"/>
      <c r="F171" s="28"/>
      <c r="G171" s="29"/>
      <c r="H171" s="30"/>
      <c r="I171" s="28"/>
      <c r="J171" s="31" t="str">
        <f aca="false">IF(AND(G171&lt;&gt;"",H171&lt;&gt;""),G171*H171,"")</f>
        <v/>
      </c>
      <c r="K171" s="28"/>
      <c r="L171" s="32"/>
      <c r="M171" s="32"/>
      <c r="N171" s="31" t="n">
        <f aca="false">IF(OR(G171="",M171=""),0,IF(M171&gt;100,M171,G171*IF(M171&gt;1,M171/100,M171)))</f>
        <v>0</v>
      </c>
      <c r="O171" s="31" t="str">
        <f aca="false">IF(G171="","",G171*IF(L171="",0,IF(L171&gt;1,L171/100,L171))+N171)</f>
        <v/>
      </c>
      <c r="P171" s="28"/>
      <c r="Q171" s="33" t="str">
        <f aca="false">IF(P171="","",IFERROR(VLOOKUP(P171,PARTNERS!$A$2:$B$30,2,0),""))</f>
        <v/>
      </c>
      <c r="R171" s="17" t="str">
        <f aca="false">IF(O171="","",IF(OR(P171="",Q171=""),0,(O171-N171)*IF(Q171&gt;1,Q171/100,Q171)))</f>
        <v/>
      </c>
      <c r="S171" s="31" t="str">
        <f aca="false">IF(O171="","",O171-R171)</f>
        <v/>
      </c>
      <c r="T171" s="28"/>
      <c r="U171" s="34" t="str">
        <f aca="false">IF(T171="","",IFERROR(VLOOKUP(T171,REPS!$A$2:$D$40,2,0),""))</f>
        <v/>
      </c>
      <c r="V171" s="31" t="str">
        <f aca="false">IF(O171="","",IF(U171="",0,O171*IF(U171&gt;1,U171/100,U171)))</f>
        <v/>
      </c>
      <c r="W171" s="28"/>
      <c r="X171" s="34" t="str">
        <f aca="false">IF(W171="","",IFERROR(VLOOKUP(W171,REPS!$A$2:$D$40,3,0),""))</f>
        <v/>
      </c>
      <c r="Y171" s="31" t="str">
        <f aca="false">IF(O171="","",IF(X171="",0,O171*IF(X171&gt;1,X171/100,X171)))</f>
        <v/>
      </c>
      <c r="Z171" s="28"/>
      <c r="AA171" s="34" t="str">
        <f aca="false">IF(Z171="","",IFERROR(VLOOKUP(Z171,REPS!$A$2:$D$40,4,0),""))</f>
        <v/>
      </c>
      <c r="AB171" s="31" t="str">
        <f aca="false">IF(O171="","",IF(AA171="",0,O171*IF(AA171&gt;1,AA171/100,AA171)))</f>
        <v/>
      </c>
      <c r="AC171" s="31" t="str">
        <f aca="false">IF(O171="","",V171+Y171+AB171)</f>
        <v/>
      </c>
      <c r="AD171" s="19" t="str">
        <f aca="false">IF(O171="","",O171-R171-AC171)</f>
        <v/>
      </c>
      <c r="AE171" s="20"/>
      <c r="AF171" s="27"/>
      <c r="AG171" s="21" t="n">
        <f aca="false">IF(OR(AE171="",AE171=0),0,AE171*IF(U171="",0,IF(U171&gt;1,U171/100,U171)))</f>
        <v>0</v>
      </c>
      <c r="AH171" s="21" t="n">
        <f aca="false">IF(OR(AE171="",AE171=0),0,AE171*IF(X171="",0,IF(X171&gt;1,X171/100,X171)))</f>
        <v>0</v>
      </c>
      <c r="AI171" s="21" t="n">
        <f aca="false">IF(OR(AE171="",AE171=0),0,AE171*IF(AA171="",0,IF(AA171&gt;1,AA171/100,AA171)))</f>
        <v>0</v>
      </c>
      <c r="AJ171" s="21" t="n">
        <f aca="false">AG171+AH171+AI171</f>
        <v>0</v>
      </c>
      <c r="AK171" s="21" t="n">
        <f aca="false">IF(OR(AE171="",AE171=0),0,AE171-AJ171)</f>
        <v>0</v>
      </c>
      <c r="AL171" s="19" t="str">
        <f aca="false">IF(AD171="","",AD171-AK171)</f>
        <v/>
      </c>
      <c r="AM171" s="26" t="str">
        <f aca="false">IF(C171="","","Waiting for payment")</f>
        <v/>
      </c>
      <c r="AN171" s="27"/>
      <c r="AO171" s="27"/>
      <c r="AP171" s="35" t="str">
        <f aca="false">IF(OR(C171="",I171="",K171=""),"",IF(K171="Monthly",EDATE(C171,ROUND(I171*SETTINGS!$I$8,0)),WORKDAY(C171,ROUND(I171*SETTINGS!$I$8,0))))</f>
        <v/>
      </c>
      <c r="AQ171" s="26" t="str">
        <f aca="true">IF(C171="","",IF(AND(AP171&lt;&gt;"",TODAY()&gt;=AP171),"Refi Ready",IF(TODAY()-C171&gt;=SETTINGS!$I$11,"Prospecting","Performing")))</f>
        <v/>
      </c>
      <c r="AR171" s="35" t="str">
        <f aca="false">IF(OR(C171="",I171="",K171=""),"",IF(K171="Monthly",EDATE(C171,I171),WORKDAY(C171,I171)))</f>
        <v/>
      </c>
      <c r="AS171" s="28"/>
      <c r="AT171" s="36" t="str">
        <f aca="true">IF(C171="","",IF(AM171="Clawed Back","CLAWED",IF(TODAY()&lt;=C171+SETTINGS!$I$2,"⚠ AT RISK","SAFE")))</f>
        <v/>
      </c>
      <c r="AU171" s="28"/>
      <c r="AW171" s="24" t="n">
        <f aca="false">AW170+IF(AND(C171&lt;&gt;"",AO171&lt;&gt;"",OR('REP COMMISSION'!$B$3="",T171='REP COMMISSION'!$B$3,W171='REP COMMISSION'!$B$3,Z171='REP COMMISSION'!$B$3)),1,0)</f>
        <v>0</v>
      </c>
      <c r="AX171" s="24" t="n">
        <f aca="false">AX170+IF(AND(C171&lt;&gt;"",OR(F171="LOC - INITIAL",F171="CONSOLIDATION - UPFRONT COMM",F171="REVERSE - TOTAL FUNDING")),1,0)</f>
        <v>0</v>
      </c>
    </row>
    <row r="172" customFormat="false" ht="15" hidden="false" customHeight="false" outlineLevel="0" collapsed="false">
      <c r="A172" s="8" t="str">
        <f aca="false">IF(C172&lt;&gt;"","F27-"&amp;COUNT($C$4:C172),"")</f>
        <v/>
      </c>
      <c r="B172" s="9" t="str">
        <f aca="false">IF(OR(F172="LOC - INITIAL",F172="CONSOLIDATION - UPFRONT COMM",F172="REVERSE - TOTAL FUNDING"),A172,"")</f>
        <v/>
      </c>
      <c r="C172" s="10"/>
      <c r="D172" s="11"/>
      <c r="E172" s="11"/>
      <c r="F172" s="11"/>
      <c r="G172" s="12"/>
      <c r="H172" s="13"/>
      <c r="I172" s="11"/>
      <c r="J172" s="14" t="str">
        <f aca="false">IF(AND(G172&lt;&gt;"",H172&lt;&gt;""),G172*H172,"")</f>
        <v/>
      </c>
      <c r="K172" s="11"/>
      <c r="L172" s="15"/>
      <c r="M172" s="15"/>
      <c r="N172" s="14" t="n">
        <f aca="false">IF(OR(G172="",M172=""),0,IF(M172&gt;100,M172,G172*IF(M172&gt;1,M172/100,M172)))</f>
        <v>0</v>
      </c>
      <c r="O172" s="14" t="str">
        <f aca="false">IF(G172="","",G172*IF(L172="",0,IF(L172&gt;1,L172/100,L172))+N172)</f>
        <v/>
      </c>
      <c r="P172" s="11"/>
      <c r="Q172" s="16" t="str">
        <f aca="false">IF(P172="","",IFERROR(VLOOKUP(P172,PARTNERS!$A$2:$B$30,2,0),""))</f>
        <v/>
      </c>
      <c r="R172" s="17" t="str">
        <f aca="false">IF(O172="","",IF(OR(P172="",Q172=""),0,(O172-N172)*IF(Q172&gt;1,Q172/100,Q172)))</f>
        <v/>
      </c>
      <c r="S172" s="14" t="str">
        <f aca="false">IF(O172="","",O172-R172)</f>
        <v/>
      </c>
      <c r="T172" s="11"/>
      <c r="U172" s="18" t="str">
        <f aca="false">IF(T172="","",IFERROR(VLOOKUP(T172,REPS!$A$2:$D$40,2,0),""))</f>
        <v/>
      </c>
      <c r="V172" s="14" t="str">
        <f aca="false">IF(O172="","",IF(U172="",0,O172*IF(U172&gt;1,U172/100,U172)))</f>
        <v/>
      </c>
      <c r="W172" s="11"/>
      <c r="X172" s="18" t="str">
        <f aca="false">IF(W172="","",IFERROR(VLOOKUP(W172,REPS!$A$2:$D$40,3,0),""))</f>
        <v/>
      </c>
      <c r="Y172" s="14" t="str">
        <f aca="false">IF(O172="","",IF(X172="",0,O172*IF(X172&gt;1,X172/100,X172)))</f>
        <v/>
      </c>
      <c r="Z172" s="11"/>
      <c r="AA172" s="18" t="str">
        <f aca="false">IF(Z172="","",IFERROR(VLOOKUP(Z172,REPS!$A$2:$D$40,4,0),""))</f>
        <v/>
      </c>
      <c r="AB172" s="14" t="str">
        <f aca="false">IF(O172="","",IF(AA172="",0,O172*IF(AA172&gt;1,AA172/100,AA172)))</f>
        <v/>
      </c>
      <c r="AC172" s="14" t="str">
        <f aca="false">IF(O172="","",V172+Y172+AB172)</f>
        <v/>
      </c>
      <c r="AD172" s="19" t="str">
        <f aca="false">IF(O172="","",O172-R172-AC172)</f>
        <v/>
      </c>
      <c r="AE172" s="20"/>
      <c r="AF172" s="10"/>
      <c r="AG172" s="21" t="n">
        <f aca="false">IF(OR(AE172="",AE172=0),0,AE172*IF(U172="",0,IF(U172&gt;1,U172/100,U172)))</f>
        <v>0</v>
      </c>
      <c r="AH172" s="21" t="n">
        <f aca="false">IF(OR(AE172="",AE172=0),0,AE172*IF(X172="",0,IF(X172&gt;1,X172/100,X172)))</f>
        <v>0</v>
      </c>
      <c r="AI172" s="21" t="n">
        <f aca="false">IF(OR(AE172="",AE172=0),0,AE172*IF(AA172="",0,IF(AA172&gt;1,AA172/100,AA172)))</f>
        <v>0</v>
      </c>
      <c r="AJ172" s="21" t="n">
        <f aca="false">AG172+AH172+AI172</f>
        <v>0</v>
      </c>
      <c r="AK172" s="21" t="n">
        <f aca="false">IF(OR(AE172="",AE172=0),0,AE172-AJ172)</f>
        <v>0</v>
      </c>
      <c r="AL172" s="19" t="str">
        <f aca="false">IF(AD172="","",AD172-AK172)</f>
        <v/>
      </c>
      <c r="AM172" s="9" t="str">
        <f aca="false">IF(C172="","","Waiting for payment")</f>
        <v/>
      </c>
      <c r="AN172" s="10"/>
      <c r="AO172" s="10"/>
      <c r="AP172" s="22" t="str">
        <f aca="false">IF(OR(C172="",I172="",K172=""),"",IF(K172="Monthly",EDATE(C172,ROUND(I172*SETTINGS!$I$8,0)),WORKDAY(C172,ROUND(I172*SETTINGS!$I$8,0))))</f>
        <v/>
      </c>
      <c r="AQ172" s="9" t="str">
        <f aca="true">IF(C172="","",IF(AND(AP172&lt;&gt;"",TODAY()&gt;=AP172),"Refi Ready",IF(TODAY()-C172&gt;=SETTINGS!$I$11,"Prospecting","Performing")))</f>
        <v/>
      </c>
      <c r="AR172" s="22" t="str">
        <f aca="false">IF(OR(C172="",I172="",K172=""),"",IF(K172="Monthly",EDATE(C172,I172),WORKDAY(C172,I172)))</f>
        <v/>
      </c>
      <c r="AS172" s="11"/>
      <c r="AT172" s="23" t="str">
        <f aca="true">IF(C172="","",IF(AM172="Clawed Back","CLAWED",IF(TODAY()&lt;=C172+SETTINGS!$I$2,"⚠ AT RISK","SAFE")))</f>
        <v/>
      </c>
      <c r="AU172" s="11"/>
      <c r="AW172" s="24" t="n">
        <f aca="false">AW171+IF(AND(C172&lt;&gt;"",AO172&lt;&gt;"",OR('REP COMMISSION'!$B$3="",T172='REP COMMISSION'!$B$3,W172='REP COMMISSION'!$B$3,Z172='REP COMMISSION'!$B$3)),1,0)</f>
        <v>0</v>
      </c>
      <c r="AX172" s="24" t="n">
        <f aca="false">AX171+IF(AND(C172&lt;&gt;"",OR(F172="LOC - INITIAL",F172="CONSOLIDATION - UPFRONT COMM",F172="REVERSE - TOTAL FUNDING")),1,0)</f>
        <v>0</v>
      </c>
    </row>
    <row r="173" customFormat="false" ht="15" hidden="false" customHeight="false" outlineLevel="0" collapsed="false">
      <c r="A173" s="25" t="str">
        <f aca="false">IF(C173&lt;&gt;"","F27-"&amp;COUNT($C$4:C173),"")</f>
        <v/>
      </c>
      <c r="B173" s="26" t="str">
        <f aca="false">IF(OR(F173="LOC - INITIAL",F173="CONSOLIDATION - UPFRONT COMM",F173="REVERSE - TOTAL FUNDING"),A173,"")</f>
        <v/>
      </c>
      <c r="C173" s="27"/>
      <c r="D173" s="28"/>
      <c r="E173" s="28"/>
      <c r="F173" s="28"/>
      <c r="G173" s="29"/>
      <c r="H173" s="30"/>
      <c r="I173" s="28"/>
      <c r="J173" s="31" t="str">
        <f aca="false">IF(AND(G173&lt;&gt;"",H173&lt;&gt;""),G173*H173,"")</f>
        <v/>
      </c>
      <c r="K173" s="28"/>
      <c r="L173" s="32"/>
      <c r="M173" s="32"/>
      <c r="N173" s="31" t="n">
        <f aca="false">IF(OR(G173="",M173=""),0,IF(M173&gt;100,M173,G173*IF(M173&gt;1,M173/100,M173)))</f>
        <v>0</v>
      </c>
      <c r="O173" s="31" t="str">
        <f aca="false">IF(G173="","",G173*IF(L173="",0,IF(L173&gt;1,L173/100,L173))+N173)</f>
        <v/>
      </c>
      <c r="P173" s="28"/>
      <c r="Q173" s="33" t="str">
        <f aca="false">IF(P173="","",IFERROR(VLOOKUP(P173,PARTNERS!$A$2:$B$30,2,0),""))</f>
        <v/>
      </c>
      <c r="R173" s="17" t="str">
        <f aca="false">IF(O173="","",IF(OR(P173="",Q173=""),0,(O173-N173)*IF(Q173&gt;1,Q173/100,Q173)))</f>
        <v/>
      </c>
      <c r="S173" s="31" t="str">
        <f aca="false">IF(O173="","",O173-R173)</f>
        <v/>
      </c>
      <c r="T173" s="28"/>
      <c r="U173" s="34" t="str">
        <f aca="false">IF(T173="","",IFERROR(VLOOKUP(T173,REPS!$A$2:$D$40,2,0),""))</f>
        <v/>
      </c>
      <c r="V173" s="31" t="str">
        <f aca="false">IF(O173="","",IF(U173="",0,O173*IF(U173&gt;1,U173/100,U173)))</f>
        <v/>
      </c>
      <c r="W173" s="28"/>
      <c r="X173" s="34" t="str">
        <f aca="false">IF(W173="","",IFERROR(VLOOKUP(W173,REPS!$A$2:$D$40,3,0),""))</f>
        <v/>
      </c>
      <c r="Y173" s="31" t="str">
        <f aca="false">IF(O173="","",IF(X173="",0,O173*IF(X173&gt;1,X173/100,X173)))</f>
        <v/>
      </c>
      <c r="Z173" s="28"/>
      <c r="AA173" s="34" t="str">
        <f aca="false">IF(Z173="","",IFERROR(VLOOKUP(Z173,REPS!$A$2:$D$40,4,0),""))</f>
        <v/>
      </c>
      <c r="AB173" s="31" t="str">
        <f aca="false">IF(O173="","",IF(AA173="",0,O173*IF(AA173&gt;1,AA173/100,AA173)))</f>
        <v/>
      </c>
      <c r="AC173" s="31" t="str">
        <f aca="false">IF(O173="","",V173+Y173+AB173)</f>
        <v/>
      </c>
      <c r="AD173" s="19" t="str">
        <f aca="false">IF(O173="","",O173-R173-AC173)</f>
        <v/>
      </c>
      <c r="AE173" s="20"/>
      <c r="AF173" s="27"/>
      <c r="AG173" s="21" t="n">
        <f aca="false">IF(OR(AE173="",AE173=0),0,AE173*IF(U173="",0,IF(U173&gt;1,U173/100,U173)))</f>
        <v>0</v>
      </c>
      <c r="AH173" s="21" t="n">
        <f aca="false">IF(OR(AE173="",AE173=0),0,AE173*IF(X173="",0,IF(X173&gt;1,X173/100,X173)))</f>
        <v>0</v>
      </c>
      <c r="AI173" s="21" t="n">
        <f aca="false">IF(OR(AE173="",AE173=0),0,AE173*IF(AA173="",0,IF(AA173&gt;1,AA173/100,AA173)))</f>
        <v>0</v>
      </c>
      <c r="AJ173" s="21" t="n">
        <f aca="false">AG173+AH173+AI173</f>
        <v>0</v>
      </c>
      <c r="AK173" s="21" t="n">
        <f aca="false">IF(OR(AE173="",AE173=0),0,AE173-AJ173)</f>
        <v>0</v>
      </c>
      <c r="AL173" s="19" t="str">
        <f aca="false">IF(AD173="","",AD173-AK173)</f>
        <v/>
      </c>
      <c r="AM173" s="26" t="str">
        <f aca="false">IF(C173="","","Waiting for payment")</f>
        <v/>
      </c>
      <c r="AN173" s="27"/>
      <c r="AO173" s="27"/>
      <c r="AP173" s="35" t="str">
        <f aca="false">IF(OR(C173="",I173="",K173=""),"",IF(K173="Monthly",EDATE(C173,ROUND(I173*SETTINGS!$I$8,0)),WORKDAY(C173,ROUND(I173*SETTINGS!$I$8,0))))</f>
        <v/>
      </c>
      <c r="AQ173" s="26" t="str">
        <f aca="true">IF(C173="","",IF(AND(AP173&lt;&gt;"",TODAY()&gt;=AP173),"Refi Ready",IF(TODAY()-C173&gt;=SETTINGS!$I$11,"Prospecting","Performing")))</f>
        <v/>
      </c>
      <c r="AR173" s="35" t="str">
        <f aca="false">IF(OR(C173="",I173="",K173=""),"",IF(K173="Monthly",EDATE(C173,I173),WORKDAY(C173,I173)))</f>
        <v/>
      </c>
      <c r="AS173" s="28"/>
      <c r="AT173" s="36" t="str">
        <f aca="true">IF(C173="","",IF(AM173="Clawed Back","CLAWED",IF(TODAY()&lt;=C173+SETTINGS!$I$2,"⚠ AT RISK","SAFE")))</f>
        <v/>
      </c>
      <c r="AU173" s="28"/>
      <c r="AW173" s="24" t="n">
        <f aca="false">AW172+IF(AND(C173&lt;&gt;"",AO173&lt;&gt;"",OR('REP COMMISSION'!$B$3="",T173='REP COMMISSION'!$B$3,W173='REP COMMISSION'!$B$3,Z173='REP COMMISSION'!$B$3)),1,0)</f>
        <v>0</v>
      </c>
      <c r="AX173" s="24" t="n">
        <f aca="false">AX172+IF(AND(C173&lt;&gt;"",OR(F173="LOC - INITIAL",F173="CONSOLIDATION - UPFRONT COMM",F173="REVERSE - TOTAL FUNDING")),1,0)</f>
        <v>0</v>
      </c>
    </row>
    <row r="174" customFormat="false" ht="15" hidden="false" customHeight="false" outlineLevel="0" collapsed="false">
      <c r="A174" s="8" t="str">
        <f aca="false">IF(C174&lt;&gt;"","F27-"&amp;COUNT($C$4:C174),"")</f>
        <v/>
      </c>
      <c r="B174" s="9" t="str">
        <f aca="false">IF(OR(F174="LOC - INITIAL",F174="CONSOLIDATION - UPFRONT COMM",F174="REVERSE - TOTAL FUNDING"),A174,"")</f>
        <v/>
      </c>
      <c r="C174" s="10"/>
      <c r="D174" s="11"/>
      <c r="E174" s="11"/>
      <c r="F174" s="11"/>
      <c r="G174" s="12"/>
      <c r="H174" s="13"/>
      <c r="I174" s="11"/>
      <c r="J174" s="14" t="str">
        <f aca="false">IF(AND(G174&lt;&gt;"",H174&lt;&gt;""),G174*H174,"")</f>
        <v/>
      </c>
      <c r="K174" s="11"/>
      <c r="L174" s="15"/>
      <c r="M174" s="15"/>
      <c r="N174" s="14" t="n">
        <f aca="false">IF(OR(G174="",M174=""),0,IF(M174&gt;100,M174,G174*IF(M174&gt;1,M174/100,M174)))</f>
        <v>0</v>
      </c>
      <c r="O174" s="14" t="str">
        <f aca="false">IF(G174="","",G174*IF(L174="",0,IF(L174&gt;1,L174/100,L174))+N174)</f>
        <v/>
      </c>
      <c r="P174" s="11"/>
      <c r="Q174" s="16" t="str">
        <f aca="false">IF(P174="","",IFERROR(VLOOKUP(P174,PARTNERS!$A$2:$B$30,2,0),""))</f>
        <v/>
      </c>
      <c r="R174" s="17" t="str">
        <f aca="false">IF(O174="","",IF(OR(P174="",Q174=""),0,(O174-N174)*IF(Q174&gt;1,Q174/100,Q174)))</f>
        <v/>
      </c>
      <c r="S174" s="14" t="str">
        <f aca="false">IF(O174="","",O174-R174)</f>
        <v/>
      </c>
      <c r="T174" s="11"/>
      <c r="U174" s="18" t="str">
        <f aca="false">IF(T174="","",IFERROR(VLOOKUP(T174,REPS!$A$2:$D$40,2,0),""))</f>
        <v/>
      </c>
      <c r="V174" s="14" t="str">
        <f aca="false">IF(O174="","",IF(U174="",0,O174*IF(U174&gt;1,U174/100,U174)))</f>
        <v/>
      </c>
      <c r="W174" s="11"/>
      <c r="X174" s="18" t="str">
        <f aca="false">IF(W174="","",IFERROR(VLOOKUP(W174,REPS!$A$2:$D$40,3,0),""))</f>
        <v/>
      </c>
      <c r="Y174" s="14" t="str">
        <f aca="false">IF(O174="","",IF(X174="",0,O174*IF(X174&gt;1,X174/100,X174)))</f>
        <v/>
      </c>
      <c r="Z174" s="11"/>
      <c r="AA174" s="18" t="str">
        <f aca="false">IF(Z174="","",IFERROR(VLOOKUP(Z174,REPS!$A$2:$D$40,4,0),""))</f>
        <v/>
      </c>
      <c r="AB174" s="14" t="str">
        <f aca="false">IF(O174="","",IF(AA174="",0,O174*IF(AA174&gt;1,AA174/100,AA174)))</f>
        <v/>
      </c>
      <c r="AC174" s="14" t="str">
        <f aca="false">IF(O174="","",V174+Y174+AB174)</f>
        <v/>
      </c>
      <c r="AD174" s="19" t="str">
        <f aca="false">IF(O174="","",O174-R174-AC174)</f>
        <v/>
      </c>
      <c r="AE174" s="20"/>
      <c r="AF174" s="10"/>
      <c r="AG174" s="21" t="n">
        <f aca="false">IF(OR(AE174="",AE174=0),0,AE174*IF(U174="",0,IF(U174&gt;1,U174/100,U174)))</f>
        <v>0</v>
      </c>
      <c r="AH174" s="21" t="n">
        <f aca="false">IF(OR(AE174="",AE174=0),0,AE174*IF(X174="",0,IF(X174&gt;1,X174/100,X174)))</f>
        <v>0</v>
      </c>
      <c r="AI174" s="21" t="n">
        <f aca="false">IF(OR(AE174="",AE174=0),0,AE174*IF(AA174="",0,IF(AA174&gt;1,AA174/100,AA174)))</f>
        <v>0</v>
      </c>
      <c r="AJ174" s="21" t="n">
        <f aca="false">AG174+AH174+AI174</f>
        <v>0</v>
      </c>
      <c r="AK174" s="21" t="n">
        <f aca="false">IF(OR(AE174="",AE174=0),0,AE174-AJ174)</f>
        <v>0</v>
      </c>
      <c r="AL174" s="19" t="str">
        <f aca="false">IF(AD174="","",AD174-AK174)</f>
        <v/>
      </c>
      <c r="AM174" s="9" t="str">
        <f aca="false">IF(C174="","","Waiting for payment")</f>
        <v/>
      </c>
      <c r="AN174" s="10"/>
      <c r="AO174" s="10"/>
      <c r="AP174" s="22" t="str">
        <f aca="false">IF(OR(C174="",I174="",K174=""),"",IF(K174="Monthly",EDATE(C174,ROUND(I174*SETTINGS!$I$8,0)),WORKDAY(C174,ROUND(I174*SETTINGS!$I$8,0))))</f>
        <v/>
      </c>
      <c r="AQ174" s="9" t="str">
        <f aca="true">IF(C174="","",IF(AND(AP174&lt;&gt;"",TODAY()&gt;=AP174),"Refi Ready",IF(TODAY()-C174&gt;=SETTINGS!$I$11,"Prospecting","Performing")))</f>
        <v/>
      </c>
      <c r="AR174" s="22" t="str">
        <f aca="false">IF(OR(C174="",I174="",K174=""),"",IF(K174="Monthly",EDATE(C174,I174),WORKDAY(C174,I174)))</f>
        <v/>
      </c>
      <c r="AS174" s="11"/>
      <c r="AT174" s="23" t="str">
        <f aca="true">IF(C174="","",IF(AM174="Clawed Back","CLAWED",IF(TODAY()&lt;=C174+SETTINGS!$I$2,"⚠ AT RISK","SAFE")))</f>
        <v/>
      </c>
      <c r="AU174" s="11"/>
      <c r="AW174" s="24" t="n">
        <f aca="false">AW173+IF(AND(C174&lt;&gt;"",AO174&lt;&gt;"",OR('REP COMMISSION'!$B$3="",T174='REP COMMISSION'!$B$3,W174='REP COMMISSION'!$B$3,Z174='REP COMMISSION'!$B$3)),1,0)</f>
        <v>0</v>
      </c>
      <c r="AX174" s="24" t="n">
        <f aca="false">AX173+IF(AND(C174&lt;&gt;"",OR(F174="LOC - INITIAL",F174="CONSOLIDATION - UPFRONT COMM",F174="REVERSE - TOTAL FUNDING")),1,0)</f>
        <v>0</v>
      </c>
    </row>
    <row r="175" customFormat="false" ht="15" hidden="false" customHeight="false" outlineLevel="0" collapsed="false">
      <c r="A175" s="25" t="str">
        <f aca="false">IF(C175&lt;&gt;"","F27-"&amp;COUNT($C$4:C175),"")</f>
        <v/>
      </c>
      <c r="B175" s="26" t="str">
        <f aca="false">IF(OR(F175="LOC - INITIAL",F175="CONSOLIDATION - UPFRONT COMM",F175="REVERSE - TOTAL FUNDING"),A175,"")</f>
        <v/>
      </c>
      <c r="C175" s="27"/>
      <c r="D175" s="28"/>
      <c r="E175" s="28"/>
      <c r="F175" s="28"/>
      <c r="G175" s="29"/>
      <c r="H175" s="30"/>
      <c r="I175" s="28"/>
      <c r="J175" s="31" t="str">
        <f aca="false">IF(AND(G175&lt;&gt;"",H175&lt;&gt;""),G175*H175,"")</f>
        <v/>
      </c>
      <c r="K175" s="28"/>
      <c r="L175" s="32"/>
      <c r="M175" s="32"/>
      <c r="N175" s="31" t="n">
        <f aca="false">IF(OR(G175="",M175=""),0,IF(M175&gt;100,M175,G175*IF(M175&gt;1,M175/100,M175)))</f>
        <v>0</v>
      </c>
      <c r="O175" s="31" t="str">
        <f aca="false">IF(G175="","",G175*IF(L175="",0,IF(L175&gt;1,L175/100,L175))+N175)</f>
        <v/>
      </c>
      <c r="P175" s="28"/>
      <c r="Q175" s="33" t="str">
        <f aca="false">IF(P175="","",IFERROR(VLOOKUP(P175,PARTNERS!$A$2:$B$30,2,0),""))</f>
        <v/>
      </c>
      <c r="R175" s="17" t="str">
        <f aca="false">IF(O175="","",IF(OR(P175="",Q175=""),0,(O175-N175)*IF(Q175&gt;1,Q175/100,Q175)))</f>
        <v/>
      </c>
      <c r="S175" s="31" t="str">
        <f aca="false">IF(O175="","",O175-R175)</f>
        <v/>
      </c>
      <c r="T175" s="28"/>
      <c r="U175" s="34" t="str">
        <f aca="false">IF(T175="","",IFERROR(VLOOKUP(T175,REPS!$A$2:$D$40,2,0),""))</f>
        <v/>
      </c>
      <c r="V175" s="31" t="str">
        <f aca="false">IF(O175="","",IF(U175="",0,O175*IF(U175&gt;1,U175/100,U175)))</f>
        <v/>
      </c>
      <c r="W175" s="28"/>
      <c r="X175" s="34" t="str">
        <f aca="false">IF(W175="","",IFERROR(VLOOKUP(W175,REPS!$A$2:$D$40,3,0),""))</f>
        <v/>
      </c>
      <c r="Y175" s="31" t="str">
        <f aca="false">IF(O175="","",IF(X175="",0,O175*IF(X175&gt;1,X175/100,X175)))</f>
        <v/>
      </c>
      <c r="Z175" s="28"/>
      <c r="AA175" s="34" t="str">
        <f aca="false">IF(Z175="","",IFERROR(VLOOKUP(Z175,REPS!$A$2:$D$40,4,0),""))</f>
        <v/>
      </c>
      <c r="AB175" s="31" t="str">
        <f aca="false">IF(O175="","",IF(AA175="",0,O175*IF(AA175&gt;1,AA175/100,AA175)))</f>
        <v/>
      </c>
      <c r="AC175" s="31" t="str">
        <f aca="false">IF(O175="","",V175+Y175+AB175)</f>
        <v/>
      </c>
      <c r="AD175" s="19" t="str">
        <f aca="false">IF(O175="","",O175-R175-AC175)</f>
        <v/>
      </c>
      <c r="AE175" s="20"/>
      <c r="AF175" s="27"/>
      <c r="AG175" s="21" t="n">
        <f aca="false">IF(OR(AE175="",AE175=0),0,AE175*IF(U175="",0,IF(U175&gt;1,U175/100,U175)))</f>
        <v>0</v>
      </c>
      <c r="AH175" s="21" t="n">
        <f aca="false">IF(OR(AE175="",AE175=0),0,AE175*IF(X175="",0,IF(X175&gt;1,X175/100,X175)))</f>
        <v>0</v>
      </c>
      <c r="AI175" s="21" t="n">
        <f aca="false">IF(OR(AE175="",AE175=0),0,AE175*IF(AA175="",0,IF(AA175&gt;1,AA175/100,AA175)))</f>
        <v>0</v>
      </c>
      <c r="AJ175" s="21" t="n">
        <f aca="false">AG175+AH175+AI175</f>
        <v>0</v>
      </c>
      <c r="AK175" s="21" t="n">
        <f aca="false">IF(OR(AE175="",AE175=0),0,AE175-AJ175)</f>
        <v>0</v>
      </c>
      <c r="AL175" s="19" t="str">
        <f aca="false">IF(AD175="","",AD175-AK175)</f>
        <v/>
      </c>
      <c r="AM175" s="26" t="str">
        <f aca="false">IF(C175="","","Waiting for payment")</f>
        <v/>
      </c>
      <c r="AN175" s="27"/>
      <c r="AO175" s="27"/>
      <c r="AP175" s="35" t="str">
        <f aca="false">IF(OR(C175="",I175="",K175=""),"",IF(K175="Monthly",EDATE(C175,ROUND(I175*SETTINGS!$I$8,0)),WORKDAY(C175,ROUND(I175*SETTINGS!$I$8,0))))</f>
        <v/>
      </c>
      <c r="AQ175" s="26" t="str">
        <f aca="true">IF(C175="","",IF(AND(AP175&lt;&gt;"",TODAY()&gt;=AP175),"Refi Ready",IF(TODAY()-C175&gt;=SETTINGS!$I$11,"Prospecting","Performing")))</f>
        <v/>
      </c>
      <c r="AR175" s="35" t="str">
        <f aca="false">IF(OR(C175="",I175="",K175=""),"",IF(K175="Monthly",EDATE(C175,I175),WORKDAY(C175,I175)))</f>
        <v/>
      </c>
      <c r="AS175" s="28"/>
      <c r="AT175" s="36" t="str">
        <f aca="true">IF(C175="","",IF(AM175="Clawed Back","CLAWED",IF(TODAY()&lt;=C175+SETTINGS!$I$2,"⚠ AT RISK","SAFE")))</f>
        <v/>
      </c>
      <c r="AU175" s="28"/>
      <c r="AW175" s="24" t="n">
        <f aca="false">AW174+IF(AND(C175&lt;&gt;"",AO175&lt;&gt;"",OR('REP COMMISSION'!$B$3="",T175='REP COMMISSION'!$B$3,W175='REP COMMISSION'!$B$3,Z175='REP COMMISSION'!$B$3)),1,0)</f>
        <v>0</v>
      </c>
      <c r="AX175" s="24" t="n">
        <f aca="false">AX174+IF(AND(C175&lt;&gt;"",OR(F175="LOC - INITIAL",F175="CONSOLIDATION - UPFRONT COMM",F175="REVERSE - TOTAL FUNDING")),1,0)</f>
        <v>0</v>
      </c>
    </row>
    <row r="176" customFormat="false" ht="15" hidden="false" customHeight="false" outlineLevel="0" collapsed="false">
      <c r="A176" s="8" t="str">
        <f aca="false">IF(C176&lt;&gt;"","F27-"&amp;COUNT($C$4:C176),"")</f>
        <v/>
      </c>
      <c r="B176" s="9" t="str">
        <f aca="false">IF(OR(F176="LOC - INITIAL",F176="CONSOLIDATION - UPFRONT COMM",F176="REVERSE - TOTAL FUNDING"),A176,"")</f>
        <v/>
      </c>
      <c r="C176" s="10"/>
      <c r="D176" s="11"/>
      <c r="E176" s="11"/>
      <c r="F176" s="11"/>
      <c r="G176" s="12"/>
      <c r="H176" s="13"/>
      <c r="I176" s="11"/>
      <c r="J176" s="14" t="str">
        <f aca="false">IF(AND(G176&lt;&gt;"",H176&lt;&gt;""),G176*H176,"")</f>
        <v/>
      </c>
      <c r="K176" s="11"/>
      <c r="L176" s="15"/>
      <c r="M176" s="15"/>
      <c r="N176" s="14" t="n">
        <f aca="false">IF(OR(G176="",M176=""),0,IF(M176&gt;100,M176,G176*IF(M176&gt;1,M176/100,M176)))</f>
        <v>0</v>
      </c>
      <c r="O176" s="14" t="str">
        <f aca="false">IF(G176="","",G176*IF(L176="",0,IF(L176&gt;1,L176/100,L176))+N176)</f>
        <v/>
      </c>
      <c r="P176" s="11"/>
      <c r="Q176" s="16" t="str">
        <f aca="false">IF(P176="","",IFERROR(VLOOKUP(P176,PARTNERS!$A$2:$B$30,2,0),""))</f>
        <v/>
      </c>
      <c r="R176" s="17" t="str">
        <f aca="false">IF(O176="","",IF(OR(P176="",Q176=""),0,(O176-N176)*IF(Q176&gt;1,Q176/100,Q176)))</f>
        <v/>
      </c>
      <c r="S176" s="14" t="str">
        <f aca="false">IF(O176="","",O176-R176)</f>
        <v/>
      </c>
      <c r="T176" s="11"/>
      <c r="U176" s="18" t="str">
        <f aca="false">IF(T176="","",IFERROR(VLOOKUP(T176,REPS!$A$2:$D$40,2,0),""))</f>
        <v/>
      </c>
      <c r="V176" s="14" t="str">
        <f aca="false">IF(O176="","",IF(U176="",0,O176*IF(U176&gt;1,U176/100,U176)))</f>
        <v/>
      </c>
      <c r="W176" s="11"/>
      <c r="X176" s="18" t="str">
        <f aca="false">IF(W176="","",IFERROR(VLOOKUP(W176,REPS!$A$2:$D$40,3,0),""))</f>
        <v/>
      </c>
      <c r="Y176" s="14" t="str">
        <f aca="false">IF(O176="","",IF(X176="",0,O176*IF(X176&gt;1,X176/100,X176)))</f>
        <v/>
      </c>
      <c r="Z176" s="11"/>
      <c r="AA176" s="18" t="str">
        <f aca="false">IF(Z176="","",IFERROR(VLOOKUP(Z176,REPS!$A$2:$D$40,4,0),""))</f>
        <v/>
      </c>
      <c r="AB176" s="14" t="str">
        <f aca="false">IF(O176="","",IF(AA176="",0,O176*IF(AA176&gt;1,AA176/100,AA176)))</f>
        <v/>
      </c>
      <c r="AC176" s="14" t="str">
        <f aca="false">IF(O176="","",V176+Y176+AB176)</f>
        <v/>
      </c>
      <c r="AD176" s="19" t="str">
        <f aca="false">IF(O176="","",O176-R176-AC176)</f>
        <v/>
      </c>
      <c r="AE176" s="20"/>
      <c r="AF176" s="10"/>
      <c r="AG176" s="21" t="n">
        <f aca="false">IF(OR(AE176="",AE176=0),0,AE176*IF(U176="",0,IF(U176&gt;1,U176/100,U176)))</f>
        <v>0</v>
      </c>
      <c r="AH176" s="21" t="n">
        <f aca="false">IF(OR(AE176="",AE176=0),0,AE176*IF(X176="",0,IF(X176&gt;1,X176/100,X176)))</f>
        <v>0</v>
      </c>
      <c r="AI176" s="21" t="n">
        <f aca="false">IF(OR(AE176="",AE176=0),0,AE176*IF(AA176="",0,IF(AA176&gt;1,AA176/100,AA176)))</f>
        <v>0</v>
      </c>
      <c r="AJ176" s="21" t="n">
        <f aca="false">AG176+AH176+AI176</f>
        <v>0</v>
      </c>
      <c r="AK176" s="21" t="n">
        <f aca="false">IF(OR(AE176="",AE176=0),0,AE176-AJ176)</f>
        <v>0</v>
      </c>
      <c r="AL176" s="19" t="str">
        <f aca="false">IF(AD176="","",AD176-AK176)</f>
        <v/>
      </c>
      <c r="AM176" s="9" t="str">
        <f aca="false">IF(C176="","","Waiting for payment")</f>
        <v/>
      </c>
      <c r="AN176" s="10"/>
      <c r="AO176" s="10"/>
      <c r="AP176" s="22" t="str">
        <f aca="false">IF(OR(C176="",I176="",K176=""),"",IF(K176="Monthly",EDATE(C176,ROUND(I176*SETTINGS!$I$8,0)),WORKDAY(C176,ROUND(I176*SETTINGS!$I$8,0))))</f>
        <v/>
      </c>
      <c r="AQ176" s="9" t="str">
        <f aca="true">IF(C176="","",IF(AND(AP176&lt;&gt;"",TODAY()&gt;=AP176),"Refi Ready",IF(TODAY()-C176&gt;=SETTINGS!$I$11,"Prospecting","Performing")))</f>
        <v/>
      </c>
      <c r="AR176" s="22" t="str">
        <f aca="false">IF(OR(C176="",I176="",K176=""),"",IF(K176="Monthly",EDATE(C176,I176),WORKDAY(C176,I176)))</f>
        <v/>
      </c>
      <c r="AS176" s="11"/>
      <c r="AT176" s="23" t="str">
        <f aca="true">IF(C176="","",IF(AM176="Clawed Back","CLAWED",IF(TODAY()&lt;=C176+SETTINGS!$I$2,"⚠ AT RISK","SAFE")))</f>
        <v/>
      </c>
      <c r="AU176" s="11"/>
      <c r="AW176" s="24" t="n">
        <f aca="false">AW175+IF(AND(C176&lt;&gt;"",AO176&lt;&gt;"",OR('REP COMMISSION'!$B$3="",T176='REP COMMISSION'!$B$3,W176='REP COMMISSION'!$B$3,Z176='REP COMMISSION'!$B$3)),1,0)</f>
        <v>0</v>
      </c>
      <c r="AX176" s="24" t="n">
        <f aca="false">AX175+IF(AND(C176&lt;&gt;"",OR(F176="LOC - INITIAL",F176="CONSOLIDATION - UPFRONT COMM",F176="REVERSE - TOTAL FUNDING")),1,0)</f>
        <v>0</v>
      </c>
    </row>
    <row r="177" customFormat="false" ht="15" hidden="false" customHeight="false" outlineLevel="0" collapsed="false">
      <c r="A177" s="25" t="str">
        <f aca="false">IF(C177&lt;&gt;"","F27-"&amp;COUNT($C$4:C177),"")</f>
        <v/>
      </c>
      <c r="B177" s="26" t="str">
        <f aca="false">IF(OR(F177="LOC - INITIAL",F177="CONSOLIDATION - UPFRONT COMM",F177="REVERSE - TOTAL FUNDING"),A177,"")</f>
        <v/>
      </c>
      <c r="C177" s="27"/>
      <c r="D177" s="28"/>
      <c r="E177" s="28"/>
      <c r="F177" s="28"/>
      <c r="G177" s="29"/>
      <c r="H177" s="30"/>
      <c r="I177" s="28"/>
      <c r="J177" s="31" t="str">
        <f aca="false">IF(AND(G177&lt;&gt;"",H177&lt;&gt;""),G177*H177,"")</f>
        <v/>
      </c>
      <c r="K177" s="28"/>
      <c r="L177" s="32"/>
      <c r="M177" s="32"/>
      <c r="N177" s="31" t="n">
        <f aca="false">IF(OR(G177="",M177=""),0,IF(M177&gt;100,M177,G177*IF(M177&gt;1,M177/100,M177)))</f>
        <v>0</v>
      </c>
      <c r="O177" s="31" t="str">
        <f aca="false">IF(G177="","",G177*IF(L177="",0,IF(L177&gt;1,L177/100,L177))+N177)</f>
        <v/>
      </c>
      <c r="P177" s="28"/>
      <c r="Q177" s="33" t="str">
        <f aca="false">IF(P177="","",IFERROR(VLOOKUP(P177,PARTNERS!$A$2:$B$30,2,0),""))</f>
        <v/>
      </c>
      <c r="R177" s="17" t="str">
        <f aca="false">IF(O177="","",IF(OR(P177="",Q177=""),0,(O177-N177)*IF(Q177&gt;1,Q177/100,Q177)))</f>
        <v/>
      </c>
      <c r="S177" s="31" t="str">
        <f aca="false">IF(O177="","",O177-R177)</f>
        <v/>
      </c>
      <c r="T177" s="28"/>
      <c r="U177" s="34" t="str">
        <f aca="false">IF(T177="","",IFERROR(VLOOKUP(T177,REPS!$A$2:$D$40,2,0),""))</f>
        <v/>
      </c>
      <c r="V177" s="31" t="str">
        <f aca="false">IF(O177="","",IF(U177="",0,O177*IF(U177&gt;1,U177/100,U177)))</f>
        <v/>
      </c>
      <c r="W177" s="28"/>
      <c r="X177" s="34" t="str">
        <f aca="false">IF(W177="","",IFERROR(VLOOKUP(W177,REPS!$A$2:$D$40,3,0),""))</f>
        <v/>
      </c>
      <c r="Y177" s="31" t="str">
        <f aca="false">IF(O177="","",IF(X177="",0,O177*IF(X177&gt;1,X177/100,X177)))</f>
        <v/>
      </c>
      <c r="Z177" s="28"/>
      <c r="AA177" s="34" t="str">
        <f aca="false">IF(Z177="","",IFERROR(VLOOKUP(Z177,REPS!$A$2:$D$40,4,0),""))</f>
        <v/>
      </c>
      <c r="AB177" s="31" t="str">
        <f aca="false">IF(O177="","",IF(AA177="",0,O177*IF(AA177&gt;1,AA177/100,AA177)))</f>
        <v/>
      </c>
      <c r="AC177" s="31" t="str">
        <f aca="false">IF(O177="","",V177+Y177+AB177)</f>
        <v/>
      </c>
      <c r="AD177" s="19" t="str">
        <f aca="false">IF(O177="","",O177-R177-AC177)</f>
        <v/>
      </c>
      <c r="AE177" s="20"/>
      <c r="AF177" s="27"/>
      <c r="AG177" s="21" t="n">
        <f aca="false">IF(OR(AE177="",AE177=0),0,AE177*IF(U177="",0,IF(U177&gt;1,U177/100,U177)))</f>
        <v>0</v>
      </c>
      <c r="AH177" s="21" t="n">
        <f aca="false">IF(OR(AE177="",AE177=0),0,AE177*IF(X177="",0,IF(X177&gt;1,X177/100,X177)))</f>
        <v>0</v>
      </c>
      <c r="AI177" s="21" t="n">
        <f aca="false">IF(OR(AE177="",AE177=0),0,AE177*IF(AA177="",0,IF(AA177&gt;1,AA177/100,AA177)))</f>
        <v>0</v>
      </c>
      <c r="AJ177" s="21" t="n">
        <f aca="false">AG177+AH177+AI177</f>
        <v>0</v>
      </c>
      <c r="AK177" s="21" t="n">
        <f aca="false">IF(OR(AE177="",AE177=0),0,AE177-AJ177)</f>
        <v>0</v>
      </c>
      <c r="AL177" s="19" t="str">
        <f aca="false">IF(AD177="","",AD177-AK177)</f>
        <v/>
      </c>
      <c r="AM177" s="26" t="str">
        <f aca="false">IF(C177="","","Waiting for payment")</f>
        <v/>
      </c>
      <c r="AN177" s="27"/>
      <c r="AO177" s="27"/>
      <c r="AP177" s="35" t="str">
        <f aca="false">IF(OR(C177="",I177="",K177=""),"",IF(K177="Monthly",EDATE(C177,ROUND(I177*SETTINGS!$I$8,0)),WORKDAY(C177,ROUND(I177*SETTINGS!$I$8,0))))</f>
        <v/>
      </c>
      <c r="AQ177" s="26" t="str">
        <f aca="true">IF(C177="","",IF(AND(AP177&lt;&gt;"",TODAY()&gt;=AP177),"Refi Ready",IF(TODAY()-C177&gt;=SETTINGS!$I$11,"Prospecting","Performing")))</f>
        <v/>
      </c>
      <c r="AR177" s="35" t="str">
        <f aca="false">IF(OR(C177="",I177="",K177=""),"",IF(K177="Monthly",EDATE(C177,I177),WORKDAY(C177,I177)))</f>
        <v/>
      </c>
      <c r="AS177" s="28"/>
      <c r="AT177" s="36" t="str">
        <f aca="true">IF(C177="","",IF(AM177="Clawed Back","CLAWED",IF(TODAY()&lt;=C177+SETTINGS!$I$2,"⚠ AT RISK","SAFE")))</f>
        <v/>
      </c>
      <c r="AU177" s="28"/>
      <c r="AW177" s="24" t="n">
        <f aca="false">AW176+IF(AND(C177&lt;&gt;"",AO177&lt;&gt;"",OR('REP COMMISSION'!$B$3="",T177='REP COMMISSION'!$B$3,W177='REP COMMISSION'!$B$3,Z177='REP COMMISSION'!$B$3)),1,0)</f>
        <v>0</v>
      </c>
      <c r="AX177" s="24" t="n">
        <f aca="false">AX176+IF(AND(C177&lt;&gt;"",OR(F177="LOC - INITIAL",F177="CONSOLIDATION - UPFRONT COMM",F177="REVERSE - TOTAL FUNDING")),1,0)</f>
        <v>0</v>
      </c>
    </row>
    <row r="178" customFormat="false" ht="15" hidden="false" customHeight="false" outlineLevel="0" collapsed="false">
      <c r="A178" s="8" t="str">
        <f aca="false">IF(C178&lt;&gt;"","F27-"&amp;COUNT($C$4:C178),"")</f>
        <v/>
      </c>
      <c r="B178" s="9" t="str">
        <f aca="false">IF(OR(F178="LOC - INITIAL",F178="CONSOLIDATION - UPFRONT COMM",F178="REVERSE - TOTAL FUNDING"),A178,"")</f>
        <v/>
      </c>
      <c r="C178" s="10"/>
      <c r="D178" s="11"/>
      <c r="E178" s="11"/>
      <c r="F178" s="11"/>
      <c r="G178" s="12"/>
      <c r="H178" s="13"/>
      <c r="I178" s="11"/>
      <c r="J178" s="14" t="str">
        <f aca="false">IF(AND(G178&lt;&gt;"",H178&lt;&gt;""),G178*H178,"")</f>
        <v/>
      </c>
      <c r="K178" s="11"/>
      <c r="L178" s="15"/>
      <c r="M178" s="15"/>
      <c r="N178" s="14" t="n">
        <f aca="false">IF(OR(G178="",M178=""),0,IF(M178&gt;100,M178,G178*IF(M178&gt;1,M178/100,M178)))</f>
        <v>0</v>
      </c>
      <c r="O178" s="14" t="str">
        <f aca="false">IF(G178="","",G178*IF(L178="",0,IF(L178&gt;1,L178/100,L178))+N178)</f>
        <v/>
      </c>
      <c r="P178" s="11"/>
      <c r="Q178" s="16" t="str">
        <f aca="false">IF(P178="","",IFERROR(VLOOKUP(P178,PARTNERS!$A$2:$B$30,2,0),""))</f>
        <v/>
      </c>
      <c r="R178" s="17" t="str">
        <f aca="false">IF(O178="","",IF(OR(P178="",Q178=""),0,(O178-N178)*IF(Q178&gt;1,Q178/100,Q178)))</f>
        <v/>
      </c>
      <c r="S178" s="14" t="str">
        <f aca="false">IF(O178="","",O178-R178)</f>
        <v/>
      </c>
      <c r="T178" s="11"/>
      <c r="U178" s="18" t="str">
        <f aca="false">IF(T178="","",IFERROR(VLOOKUP(T178,REPS!$A$2:$D$40,2,0),""))</f>
        <v/>
      </c>
      <c r="V178" s="14" t="str">
        <f aca="false">IF(O178="","",IF(U178="",0,O178*IF(U178&gt;1,U178/100,U178)))</f>
        <v/>
      </c>
      <c r="W178" s="11"/>
      <c r="X178" s="18" t="str">
        <f aca="false">IF(W178="","",IFERROR(VLOOKUP(W178,REPS!$A$2:$D$40,3,0),""))</f>
        <v/>
      </c>
      <c r="Y178" s="14" t="str">
        <f aca="false">IF(O178="","",IF(X178="",0,O178*IF(X178&gt;1,X178/100,X178)))</f>
        <v/>
      </c>
      <c r="Z178" s="11"/>
      <c r="AA178" s="18" t="str">
        <f aca="false">IF(Z178="","",IFERROR(VLOOKUP(Z178,REPS!$A$2:$D$40,4,0),""))</f>
        <v/>
      </c>
      <c r="AB178" s="14" t="str">
        <f aca="false">IF(O178="","",IF(AA178="",0,O178*IF(AA178&gt;1,AA178/100,AA178)))</f>
        <v/>
      </c>
      <c r="AC178" s="14" t="str">
        <f aca="false">IF(O178="","",V178+Y178+AB178)</f>
        <v/>
      </c>
      <c r="AD178" s="19" t="str">
        <f aca="false">IF(O178="","",O178-R178-AC178)</f>
        <v/>
      </c>
      <c r="AE178" s="20"/>
      <c r="AF178" s="10"/>
      <c r="AG178" s="21" t="n">
        <f aca="false">IF(OR(AE178="",AE178=0),0,AE178*IF(U178="",0,IF(U178&gt;1,U178/100,U178)))</f>
        <v>0</v>
      </c>
      <c r="AH178" s="21" t="n">
        <f aca="false">IF(OR(AE178="",AE178=0),0,AE178*IF(X178="",0,IF(X178&gt;1,X178/100,X178)))</f>
        <v>0</v>
      </c>
      <c r="AI178" s="21" t="n">
        <f aca="false">IF(OR(AE178="",AE178=0),0,AE178*IF(AA178="",0,IF(AA178&gt;1,AA178/100,AA178)))</f>
        <v>0</v>
      </c>
      <c r="AJ178" s="21" t="n">
        <f aca="false">AG178+AH178+AI178</f>
        <v>0</v>
      </c>
      <c r="AK178" s="21" t="n">
        <f aca="false">IF(OR(AE178="",AE178=0),0,AE178-AJ178)</f>
        <v>0</v>
      </c>
      <c r="AL178" s="19" t="str">
        <f aca="false">IF(AD178="","",AD178-AK178)</f>
        <v/>
      </c>
      <c r="AM178" s="9" t="str">
        <f aca="false">IF(C178="","","Waiting for payment")</f>
        <v/>
      </c>
      <c r="AN178" s="10"/>
      <c r="AO178" s="10"/>
      <c r="AP178" s="22" t="str">
        <f aca="false">IF(OR(C178="",I178="",K178=""),"",IF(K178="Monthly",EDATE(C178,ROUND(I178*SETTINGS!$I$8,0)),WORKDAY(C178,ROUND(I178*SETTINGS!$I$8,0))))</f>
        <v/>
      </c>
      <c r="AQ178" s="9" t="str">
        <f aca="true">IF(C178="","",IF(AND(AP178&lt;&gt;"",TODAY()&gt;=AP178),"Refi Ready",IF(TODAY()-C178&gt;=SETTINGS!$I$11,"Prospecting","Performing")))</f>
        <v/>
      </c>
      <c r="AR178" s="22" t="str">
        <f aca="false">IF(OR(C178="",I178="",K178=""),"",IF(K178="Monthly",EDATE(C178,I178),WORKDAY(C178,I178)))</f>
        <v/>
      </c>
      <c r="AS178" s="11"/>
      <c r="AT178" s="23" t="str">
        <f aca="true">IF(C178="","",IF(AM178="Clawed Back","CLAWED",IF(TODAY()&lt;=C178+SETTINGS!$I$2,"⚠ AT RISK","SAFE")))</f>
        <v/>
      </c>
      <c r="AU178" s="11"/>
      <c r="AW178" s="24" t="n">
        <f aca="false">AW177+IF(AND(C178&lt;&gt;"",AO178&lt;&gt;"",OR('REP COMMISSION'!$B$3="",T178='REP COMMISSION'!$B$3,W178='REP COMMISSION'!$B$3,Z178='REP COMMISSION'!$B$3)),1,0)</f>
        <v>0</v>
      </c>
      <c r="AX178" s="24" t="n">
        <f aca="false">AX177+IF(AND(C178&lt;&gt;"",OR(F178="LOC - INITIAL",F178="CONSOLIDATION - UPFRONT COMM",F178="REVERSE - TOTAL FUNDING")),1,0)</f>
        <v>0</v>
      </c>
    </row>
    <row r="179" customFormat="false" ht="15" hidden="false" customHeight="false" outlineLevel="0" collapsed="false">
      <c r="A179" s="25" t="str">
        <f aca="false">IF(C179&lt;&gt;"","F27-"&amp;COUNT($C$4:C179),"")</f>
        <v/>
      </c>
      <c r="B179" s="26" t="str">
        <f aca="false">IF(OR(F179="LOC - INITIAL",F179="CONSOLIDATION - UPFRONT COMM",F179="REVERSE - TOTAL FUNDING"),A179,"")</f>
        <v/>
      </c>
      <c r="C179" s="27"/>
      <c r="D179" s="28"/>
      <c r="E179" s="28"/>
      <c r="F179" s="28"/>
      <c r="G179" s="29"/>
      <c r="H179" s="30"/>
      <c r="I179" s="28"/>
      <c r="J179" s="31" t="str">
        <f aca="false">IF(AND(G179&lt;&gt;"",H179&lt;&gt;""),G179*H179,"")</f>
        <v/>
      </c>
      <c r="K179" s="28"/>
      <c r="L179" s="32"/>
      <c r="M179" s="32"/>
      <c r="N179" s="31" t="n">
        <f aca="false">IF(OR(G179="",M179=""),0,IF(M179&gt;100,M179,G179*IF(M179&gt;1,M179/100,M179)))</f>
        <v>0</v>
      </c>
      <c r="O179" s="31" t="str">
        <f aca="false">IF(G179="","",G179*IF(L179="",0,IF(L179&gt;1,L179/100,L179))+N179)</f>
        <v/>
      </c>
      <c r="P179" s="28"/>
      <c r="Q179" s="33" t="str">
        <f aca="false">IF(P179="","",IFERROR(VLOOKUP(P179,PARTNERS!$A$2:$B$30,2,0),""))</f>
        <v/>
      </c>
      <c r="R179" s="17" t="str">
        <f aca="false">IF(O179="","",IF(OR(P179="",Q179=""),0,(O179-N179)*IF(Q179&gt;1,Q179/100,Q179)))</f>
        <v/>
      </c>
      <c r="S179" s="31" t="str">
        <f aca="false">IF(O179="","",O179-R179)</f>
        <v/>
      </c>
      <c r="T179" s="28"/>
      <c r="U179" s="34" t="str">
        <f aca="false">IF(T179="","",IFERROR(VLOOKUP(T179,REPS!$A$2:$D$40,2,0),""))</f>
        <v/>
      </c>
      <c r="V179" s="31" t="str">
        <f aca="false">IF(O179="","",IF(U179="",0,O179*IF(U179&gt;1,U179/100,U179)))</f>
        <v/>
      </c>
      <c r="W179" s="28"/>
      <c r="X179" s="34" t="str">
        <f aca="false">IF(W179="","",IFERROR(VLOOKUP(W179,REPS!$A$2:$D$40,3,0),""))</f>
        <v/>
      </c>
      <c r="Y179" s="31" t="str">
        <f aca="false">IF(O179="","",IF(X179="",0,O179*IF(X179&gt;1,X179/100,X179)))</f>
        <v/>
      </c>
      <c r="Z179" s="28"/>
      <c r="AA179" s="34" t="str">
        <f aca="false">IF(Z179="","",IFERROR(VLOOKUP(Z179,REPS!$A$2:$D$40,4,0),""))</f>
        <v/>
      </c>
      <c r="AB179" s="31" t="str">
        <f aca="false">IF(O179="","",IF(AA179="",0,O179*IF(AA179&gt;1,AA179/100,AA179)))</f>
        <v/>
      </c>
      <c r="AC179" s="31" t="str">
        <f aca="false">IF(O179="","",V179+Y179+AB179)</f>
        <v/>
      </c>
      <c r="AD179" s="19" t="str">
        <f aca="false">IF(O179="","",O179-R179-AC179)</f>
        <v/>
      </c>
      <c r="AE179" s="20"/>
      <c r="AF179" s="27"/>
      <c r="AG179" s="21" t="n">
        <f aca="false">IF(OR(AE179="",AE179=0),0,AE179*IF(U179="",0,IF(U179&gt;1,U179/100,U179)))</f>
        <v>0</v>
      </c>
      <c r="AH179" s="21" t="n">
        <f aca="false">IF(OR(AE179="",AE179=0),0,AE179*IF(X179="",0,IF(X179&gt;1,X179/100,X179)))</f>
        <v>0</v>
      </c>
      <c r="AI179" s="21" t="n">
        <f aca="false">IF(OR(AE179="",AE179=0),0,AE179*IF(AA179="",0,IF(AA179&gt;1,AA179/100,AA179)))</f>
        <v>0</v>
      </c>
      <c r="AJ179" s="21" t="n">
        <f aca="false">AG179+AH179+AI179</f>
        <v>0</v>
      </c>
      <c r="AK179" s="21" t="n">
        <f aca="false">IF(OR(AE179="",AE179=0),0,AE179-AJ179)</f>
        <v>0</v>
      </c>
      <c r="AL179" s="19" t="str">
        <f aca="false">IF(AD179="","",AD179-AK179)</f>
        <v/>
      </c>
      <c r="AM179" s="26" t="str">
        <f aca="false">IF(C179="","","Waiting for payment")</f>
        <v/>
      </c>
      <c r="AN179" s="27"/>
      <c r="AO179" s="27"/>
      <c r="AP179" s="35" t="str">
        <f aca="false">IF(OR(C179="",I179="",K179=""),"",IF(K179="Monthly",EDATE(C179,ROUND(I179*SETTINGS!$I$8,0)),WORKDAY(C179,ROUND(I179*SETTINGS!$I$8,0))))</f>
        <v/>
      </c>
      <c r="AQ179" s="26" t="str">
        <f aca="true">IF(C179="","",IF(AND(AP179&lt;&gt;"",TODAY()&gt;=AP179),"Refi Ready",IF(TODAY()-C179&gt;=SETTINGS!$I$11,"Prospecting","Performing")))</f>
        <v/>
      </c>
      <c r="AR179" s="35" t="str">
        <f aca="false">IF(OR(C179="",I179="",K179=""),"",IF(K179="Monthly",EDATE(C179,I179),WORKDAY(C179,I179)))</f>
        <v/>
      </c>
      <c r="AS179" s="28"/>
      <c r="AT179" s="36" t="str">
        <f aca="true">IF(C179="","",IF(AM179="Clawed Back","CLAWED",IF(TODAY()&lt;=C179+SETTINGS!$I$2,"⚠ AT RISK","SAFE")))</f>
        <v/>
      </c>
      <c r="AU179" s="28"/>
      <c r="AW179" s="24" t="n">
        <f aca="false">AW178+IF(AND(C179&lt;&gt;"",AO179&lt;&gt;"",OR('REP COMMISSION'!$B$3="",T179='REP COMMISSION'!$B$3,W179='REP COMMISSION'!$B$3,Z179='REP COMMISSION'!$B$3)),1,0)</f>
        <v>0</v>
      </c>
      <c r="AX179" s="24" t="n">
        <f aca="false">AX178+IF(AND(C179&lt;&gt;"",OR(F179="LOC - INITIAL",F179="CONSOLIDATION - UPFRONT COMM",F179="REVERSE - TOTAL FUNDING")),1,0)</f>
        <v>0</v>
      </c>
    </row>
    <row r="180" customFormat="false" ht="15" hidden="false" customHeight="false" outlineLevel="0" collapsed="false">
      <c r="A180" s="8" t="str">
        <f aca="false">IF(C180&lt;&gt;"","F27-"&amp;COUNT($C$4:C180),"")</f>
        <v/>
      </c>
      <c r="B180" s="9" t="str">
        <f aca="false">IF(OR(F180="LOC - INITIAL",F180="CONSOLIDATION - UPFRONT COMM",F180="REVERSE - TOTAL FUNDING"),A180,"")</f>
        <v/>
      </c>
      <c r="C180" s="10"/>
      <c r="D180" s="11"/>
      <c r="E180" s="11"/>
      <c r="F180" s="11"/>
      <c r="G180" s="12"/>
      <c r="H180" s="13"/>
      <c r="I180" s="11"/>
      <c r="J180" s="14" t="str">
        <f aca="false">IF(AND(G180&lt;&gt;"",H180&lt;&gt;""),G180*H180,"")</f>
        <v/>
      </c>
      <c r="K180" s="11"/>
      <c r="L180" s="15"/>
      <c r="M180" s="15"/>
      <c r="N180" s="14" t="n">
        <f aca="false">IF(OR(G180="",M180=""),0,IF(M180&gt;100,M180,G180*IF(M180&gt;1,M180/100,M180)))</f>
        <v>0</v>
      </c>
      <c r="O180" s="14" t="str">
        <f aca="false">IF(G180="","",G180*IF(L180="",0,IF(L180&gt;1,L180/100,L180))+N180)</f>
        <v/>
      </c>
      <c r="P180" s="11"/>
      <c r="Q180" s="16" t="str">
        <f aca="false">IF(P180="","",IFERROR(VLOOKUP(P180,PARTNERS!$A$2:$B$30,2,0),""))</f>
        <v/>
      </c>
      <c r="R180" s="17" t="str">
        <f aca="false">IF(O180="","",IF(OR(P180="",Q180=""),0,(O180-N180)*IF(Q180&gt;1,Q180/100,Q180)))</f>
        <v/>
      </c>
      <c r="S180" s="14" t="str">
        <f aca="false">IF(O180="","",O180-R180)</f>
        <v/>
      </c>
      <c r="T180" s="11"/>
      <c r="U180" s="18" t="str">
        <f aca="false">IF(T180="","",IFERROR(VLOOKUP(T180,REPS!$A$2:$D$40,2,0),""))</f>
        <v/>
      </c>
      <c r="V180" s="14" t="str">
        <f aca="false">IF(O180="","",IF(U180="",0,O180*IF(U180&gt;1,U180/100,U180)))</f>
        <v/>
      </c>
      <c r="W180" s="11"/>
      <c r="X180" s="18" t="str">
        <f aca="false">IF(W180="","",IFERROR(VLOOKUP(W180,REPS!$A$2:$D$40,3,0),""))</f>
        <v/>
      </c>
      <c r="Y180" s="14" t="str">
        <f aca="false">IF(O180="","",IF(X180="",0,O180*IF(X180&gt;1,X180/100,X180)))</f>
        <v/>
      </c>
      <c r="Z180" s="11"/>
      <c r="AA180" s="18" t="str">
        <f aca="false">IF(Z180="","",IFERROR(VLOOKUP(Z180,REPS!$A$2:$D$40,4,0),""))</f>
        <v/>
      </c>
      <c r="AB180" s="14" t="str">
        <f aca="false">IF(O180="","",IF(AA180="",0,O180*IF(AA180&gt;1,AA180/100,AA180)))</f>
        <v/>
      </c>
      <c r="AC180" s="14" t="str">
        <f aca="false">IF(O180="","",V180+Y180+AB180)</f>
        <v/>
      </c>
      <c r="AD180" s="19" t="str">
        <f aca="false">IF(O180="","",O180-R180-AC180)</f>
        <v/>
      </c>
      <c r="AE180" s="20"/>
      <c r="AF180" s="10"/>
      <c r="AG180" s="21" t="n">
        <f aca="false">IF(OR(AE180="",AE180=0),0,AE180*IF(U180="",0,IF(U180&gt;1,U180/100,U180)))</f>
        <v>0</v>
      </c>
      <c r="AH180" s="21" t="n">
        <f aca="false">IF(OR(AE180="",AE180=0),0,AE180*IF(X180="",0,IF(X180&gt;1,X180/100,X180)))</f>
        <v>0</v>
      </c>
      <c r="AI180" s="21" t="n">
        <f aca="false">IF(OR(AE180="",AE180=0),0,AE180*IF(AA180="",0,IF(AA180&gt;1,AA180/100,AA180)))</f>
        <v>0</v>
      </c>
      <c r="AJ180" s="21" t="n">
        <f aca="false">AG180+AH180+AI180</f>
        <v>0</v>
      </c>
      <c r="AK180" s="21" t="n">
        <f aca="false">IF(OR(AE180="",AE180=0),0,AE180-AJ180)</f>
        <v>0</v>
      </c>
      <c r="AL180" s="19" t="str">
        <f aca="false">IF(AD180="","",AD180-AK180)</f>
        <v/>
      </c>
      <c r="AM180" s="9" t="str">
        <f aca="false">IF(C180="","","Waiting for payment")</f>
        <v/>
      </c>
      <c r="AN180" s="10"/>
      <c r="AO180" s="10"/>
      <c r="AP180" s="22" t="str">
        <f aca="false">IF(OR(C180="",I180="",K180=""),"",IF(K180="Monthly",EDATE(C180,ROUND(I180*SETTINGS!$I$8,0)),WORKDAY(C180,ROUND(I180*SETTINGS!$I$8,0))))</f>
        <v/>
      </c>
      <c r="AQ180" s="9" t="str">
        <f aca="true">IF(C180="","",IF(AND(AP180&lt;&gt;"",TODAY()&gt;=AP180),"Refi Ready",IF(TODAY()-C180&gt;=SETTINGS!$I$11,"Prospecting","Performing")))</f>
        <v/>
      </c>
      <c r="AR180" s="22" t="str">
        <f aca="false">IF(OR(C180="",I180="",K180=""),"",IF(K180="Monthly",EDATE(C180,I180),WORKDAY(C180,I180)))</f>
        <v/>
      </c>
      <c r="AS180" s="11"/>
      <c r="AT180" s="23" t="str">
        <f aca="true">IF(C180="","",IF(AM180="Clawed Back","CLAWED",IF(TODAY()&lt;=C180+SETTINGS!$I$2,"⚠ AT RISK","SAFE")))</f>
        <v/>
      </c>
      <c r="AU180" s="11"/>
      <c r="AW180" s="24" t="n">
        <f aca="false">AW179+IF(AND(C180&lt;&gt;"",AO180&lt;&gt;"",OR('REP COMMISSION'!$B$3="",T180='REP COMMISSION'!$B$3,W180='REP COMMISSION'!$B$3,Z180='REP COMMISSION'!$B$3)),1,0)</f>
        <v>0</v>
      </c>
      <c r="AX180" s="24" t="n">
        <f aca="false">AX179+IF(AND(C180&lt;&gt;"",OR(F180="LOC - INITIAL",F180="CONSOLIDATION - UPFRONT COMM",F180="REVERSE - TOTAL FUNDING")),1,0)</f>
        <v>0</v>
      </c>
    </row>
    <row r="181" customFormat="false" ht="15" hidden="false" customHeight="false" outlineLevel="0" collapsed="false">
      <c r="A181" s="25" t="str">
        <f aca="false">IF(C181&lt;&gt;"","F27-"&amp;COUNT($C$4:C181),"")</f>
        <v/>
      </c>
      <c r="B181" s="26" t="str">
        <f aca="false">IF(OR(F181="LOC - INITIAL",F181="CONSOLIDATION - UPFRONT COMM",F181="REVERSE - TOTAL FUNDING"),A181,"")</f>
        <v/>
      </c>
      <c r="C181" s="27"/>
      <c r="D181" s="28"/>
      <c r="E181" s="28"/>
      <c r="F181" s="28"/>
      <c r="G181" s="29"/>
      <c r="H181" s="30"/>
      <c r="I181" s="28"/>
      <c r="J181" s="31" t="str">
        <f aca="false">IF(AND(G181&lt;&gt;"",H181&lt;&gt;""),G181*H181,"")</f>
        <v/>
      </c>
      <c r="K181" s="28"/>
      <c r="L181" s="32"/>
      <c r="M181" s="32"/>
      <c r="N181" s="31" t="n">
        <f aca="false">IF(OR(G181="",M181=""),0,IF(M181&gt;100,M181,G181*IF(M181&gt;1,M181/100,M181)))</f>
        <v>0</v>
      </c>
      <c r="O181" s="31" t="str">
        <f aca="false">IF(G181="","",G181*IF(L181="",0,IF(L181&gt;1,L181/100,L181))+N181)</f>
        <v/>
      </c>
      <c r="P181" s="28"/>
      <c r="Q181" s="33" t="str">
        <f aca="false">IF(P181="","",IFERROR(VLOOKUP(P181,PARTNERS!$A$2:$B$30,2,0),""))</f>
        <v/>
      </c>
      <c r="R181" s="17" t="str">
        <f aca="false">IF(O181="","",IF(OR(P181="",Q181=""),0,(O181-N181)*IF(Q181&gt;1,Q181/100,Q181)))</f>
        <v/>
      </c>
      <c r="S181" s="31" t="str">
        <f aca="false">IF(O181="","",O181-R181)</f>
        <v/>
      </c>
      <c r="T181" s="28"/>
      <c r="U181" s="34" t="str">
        <f aca="false">IF(T181="","",IFERROR(VLOOKUP(T181,REPS!$A$2:$D$40,2,0),""))</f>
        <v/>
      </c>
      <c r="V181" s="31" t="str">
        <f aca="false">IF(O181="","",IF(U181="",0,O181*IF(U181&gt;1,U181/100,U181)))</f>
        <v/>
      </c>
      <c r="W181" s="28"/>
      <c r="X181" s="34" t="str">
        <f aca="false">IF(W181="","",IFERROR(VLOOKUP(W181,REPS!$A$2:$D$40,3,0),""))</f>
        <v/>
      </c>
      <c r="Y181" s="31" t="str">
        <f aca="false">IF(O181="","",IF(X181="",0,O181*IF(X181&gt;1,X181/100,X181)))</f>
        <v/>
      </c>
      <c r="Z181" s="28"/>
      <c r="AA181" s="34" t="str">
        <f aca="false">IF(Z181="","",IFERROR(VLOOKUP(Z181,REPS!$A$2:$D$40,4,0),""))</f>
        <v/>
      </c>
      <c r="AB181" s="31" t="str">
        <f aca="false">IF(O181="","",IF(AA181="",0,O181*IF(AA181&gt;1,AA181/100,AA181)))</f>
        <v/>
      </c>
      <c r="AC181" s="31" t="str">
        <f aca="false">IF(O181="","",V181+Y181+AB181)</f>
        <v/>
      </c>
      <c r="AD181" s="19" t="str">
        <f aca="false">IF(O181="","",O181-R181-AC181)</f>
        <v/>
      </c>
      <c r="AE181" s="20"/>
      <c r="AF181" s="27"/>
      <c r="AG181" s="21" t="n">
        <f aca="false">IF(OR(AE181="",AE181=0),0,AE181*IF(U181="",0,IF(U181&gt;1,U181/100,U181)))</f>
        <v>0</v>
      </c>
      <c r="AH181" s="21" t="n">
        <f aca="false">IF(OR(AE181="",AE181=0),0,AE181*IF(X181="",0,IF(X181&gt;1,X181/100,X181)))</f>
        <v>0</v>
      </c>
      <c r="AI181" s="21" t="n">
        <f aca="false">IF(OR(AE181="",AE181=0),0,AE181*IF(AA181="",0,IF(AA181&gt;1,AA181/100,AA181)))</f>
        <v>0</v>
      </c>
      <c r="AJ181" s="21" t="n">
        <f aca="false">AG181+AH181+AI181</f>
        <v>0</v>
      </c>
      <c r="AK181" s="21" t="n">
        <f aca="false">IF(OR(AE181="",AE181=0),0,AE181-AJ181)</f>
        <v>0</v>
      </c>
      <c r="AL181" s="19" t="str">
        <f aca="false">IF(AD181="","",AD181-AK181)</f>
        <v/>
      </c>
      <c r="AM181" s="26" t="str">
        <f aca="false">IF(C181="","","Waiting for payment")</f>
        <v/>
      </c>
      <c r="AN181" s="27"/>
      <c r="AO181" s="27"/>
      <c r="AP181" s="35" t="str">
        <f aca="false">IF(OR(C181="",I181="",K181=""),"",IF(K181="Monthly",EDATE(C181,ROUND(I181*SETTINGS!$I$8,0)),WORKDAY(C181,ROUND(I181*SETTINGS!$I$8,0))))</f>
        <v/>
      </c>
      <c r="AQ181" s="26" t="str">
        <f aca="true">IF(C181="","",IF(AND(AP181&lt;&gt;"",TODAY()&gt;=AP181),"Refi Ready",IF(TODAY()-C181&gt;=SETTINGS!$I$11,"Prospecting","Performing")))</f>
        <v/>
      </c>
      <c r="AR181" s="35" t="str">
        <f aca="false">IF(OR(C181="",I181="",K181=""),"",IF(K181="Monthly",EDATE(C181,I181),WORKDAY(C181,I181)))</f>
        <v/>
      </c>
      <c r="AS181" s="28"/>
      <c r="AT181" s="36" t="str">
        <f aca="true">IF(C181="","",IF(AM181="Clawed Back","CLAWED",IF(TODAY()&lt;=C181+SETTINGS!$I$2,"⚠ AT RISK","SAFE")))</f>
        <v/>
      </c>
      <c r="AU181" s="28"/>
      <c r="AW181" s="24" t="n">
        <f aca="false">AW180+IF(AND(C181&lt;&gt;"",AO181&lt;&gt;"",OR('REP COMMISSION'!$B$3="",T181='REP COMMISSION'!$B$3,W181='REP COMMISSION'!$B$3,Z181='REP COMMISSION'!$B$3)),1,0)</f>
        <v>0</v>
      </c>
      <c r="AX181" s="24" t="n">
        <f aca="false">AX180+IF(AND(C181&lt;&gt;"",OR(F181="LOC - INITIAL",F181="CONSOLIDATION - UPFRONT COMM",F181="REVERSE - TOTAL FUNDING")),1,0)</f>
        <v>0</v>
      </c>
    </row>
    <row r="182" customFormat="false" ht="15" hidden="false" customHeight="false" outlineLevel="0" collapsed="false">
      <c r="A182" s="8" t="str">
        <f aca="false">IF(C182&lt;&gt;"","F27-"&amp;COUNT($C$4:C182),"")</f>
        <v/>
      </c>
      <c r="B182" s="9" t="str">
        <f aca="false">IF(OR(F182="LOC - INITIAL",F182="CONSOLIDATION - UPFRONT COMM",F182="REVERSE - TOTAL FUNDING"),A182,"")</f>
        <v/>
      </c>
      <c r="C182" s="10"/>
      <c r="D182" s="11"/>
      <c r="E182" s="11"/>
      <c r="F182" s="11"/>
      <c r="G182" s="12"/>
      <c r="H182" s="13"/>
      <c r="I182" s="11"/>
      <c r="J182" s="14" t="str">
        <f aca="false">IF(AND(G182&lt;&gt;"",H182&lt;&gt;""),G182*H182,"")</f>
        <v/>
      </c>
      <c r="K182" s="11"/>
      <c r="L182" s="15"/>
      <c r="M182" s="15"/>
      <c r="N182" s="14" t="n">
        <f aca="false">IF(OR(G182="",M182=""),0,IF(M182&gt;100,M182,G182*IF(M182&gt;1,M182/100,M182)))</f>
        <v>0</v>
      </c>
      <c r="O182" s="14" t="str">
        <f aca="false">IF(G182="","",G182*IF(L182="",0,IF(L182&gt;1,L182/100,L182))+N182)</f>
        <v/>
      </c>
      <c r="P182" s="11"/>
      <c r="Q182" s="16" t="str">
        <f aca="false">IF(P182="","",IFERROR(VLOOKUP(P182,PARTNERS!$A$2:$B$30,2,0),""))</f>
        <v/>
      </c>
      <c r="R182" s="17" t="str">
        <f aca="false">IF(O182="","",IF(OR(P182="",Q182=""),0,(O182-N182)*IF(Q182&gt;1,Q182/100,Q182)))</f>
        <v/>
      </c>
      <c r="S182" s="14" t="str">
        <f aca="false">IF(O182="","",O182-R182)</f>
        <v/>
      </c>
      <c r="T182" s="11"/>
      <c r="U182" s="18" t="str">
        <f aca="false">IF(T182="","",IFERROR(VLOOKUP(T182,REPS!$A$2:$D$40,2,0),""))</f>
        <v/>
      </c>
      <c r="V182" s="14" t="str">
        <f aca="false">IF(O182="","",IF(U182="",0,O182*IF(U182&gt;1,U182/100,U182)))</f>
        <v/>
      </c>
      <c r="W182" s="11"/>
      <c r="X182" s="18" t="str">
        <f aca="false">IF(W182="","",IFERROR(VLOOKUP(W182,REPS!$A$2:$D$40,3,0),""))</f>
        <v/>
      </c>
      <c r="Y182" s="14" t="str">
        <f aca="false">IF(O182="","",IF(X182="",0,O182*IF(X182&gt;1,X182/100,X182)))</f>
        <v/>
      </c>
      <c r="Z182" s="11"/>
      <c r="AA182" s="18" t="str">
        <f aca="false">IF(Z182="","",IFERROR(VLOOKUP(Z182,REPS!$A$2:$D$40,4,0),""))</f>
        <v/>
      </c>
      <c r="AB182" s="14" t="str">
        <f aca="false">IF(O182="","",IF(AA182="",0,O182*IF(AA182&gt;1,AA182/100,AA182)))</f>
        <v/>
      </c>
      <c r="AC182" s="14" t="str">
        <f aca="false">IF(O182="","",V182+Y182+AB182)</f>
        <v/>
      </c>
      <c r="AD182" s="19" t="str">
        <f aca="false">IF(O182="","",O182-R182-AC182)</f>
        <v/>
      </c>
      <c r="AE182" s="20"/>
      <c r="AF182" s="10"/>
      <c r="AG182" s="21" t="n">
        <f aca="false">IF(OR(AE182="",AE182=0),0,AE182*IF(U182="",0,IF(U182&gt;1,U182/100,U182)))</f>
        <v>0</v>
      </c>
      <c r="AH182" s="21" t="n">
        <f aca="false">IF(OR(AE182="",AE182=0),0,AE182*IF(X182="",0,IF(X182&gt;1,X182/100,X182)))</f>
        <v>0</v>
      </c>
      <c r="AI182" s="21" t="n">
        <f aca="false">IF(OR(AE182="",AE182=0),0,AE182*IF(AA182="",0,IF(AA182&gt;1,AA182/100,AA182)))</f>
        <v>0</v>
      </c>
      <c r="AJ182" s="21" t="n">
        <f aca="false">AG182+AH182+AI182</f>
        <v>0</v>
      </c>
      <c r="AK182" s="21" t="n">
        <f aca="false">IF(OR(AE182="",AE182=0),0,AE182-AJ182)</f>
        <v>0</v>
      </c>
      <c r="AL182" s="19" t="str">
        <f aca="false">IF(AD182="","",AD182-AK182)</f>
        <v/>
      </c>
      <c r="AM182" s="9" t="str">
        <f aca="false">IF(C182="","","Waiting for payment")</f>
        <v/>
      </c>
      <c r="AN182" s="10"/>
      <c r="AO182" s="10"/>
      <c r="AP182" s="22" t="str">
        <f aca="false">IF(OR(C182="",I182="",K182=""),"",IF(K182="Monthly",EDATE(C182,ROUND(I182*SETTINGS!$I$8,0)),WORKDAY(C182,ROUND(I182*SETTINGS!$I$8,0))))</f>
        <v/>
      </c>
      <c r="AQ182" s="9" t="str">
        <f aca="true">IF(C182="","",IF(AND(AP182&lt;&gt;"",TODAY()&gt;=AP182),"Refi Ready",IF(TODAY()-C182&gt;=SETTINGS!$I$11,"Prospecting","Performing")))</f>
        <v/>
      </c>
      <c r="AR182" s="22" t="str">
        <f aca="false">IF(OR(C182="",I182="",K182=""),"",IF(K182="Monthly",EDATE(C182,I182),WORKDAY(C182,I182)))</f>
        <v/>
      </c>
      <c r="AS182" s="11"/>
      <c r="AT182" s="23" t="str">
        <f aca="true">IF(C182="","",IF(AM182="Clawed Back","CLAWED",IF(TODAY()&lt;=C182+SETTINGS!$I$2,"⚠ AT RISK","SAFE")))</f>
        <v/>
      </c>
      <c r="AU182" s="11"/>
      <c r="AW182" s="24" t="n">
        <f aca="false">AW181+IF(AND(C182&lt;&gt;"",AO182&lt;&gt;"",OR('REP COMMISSION'!$B$3="",T182='REP COMMISSION'!$B$3,W182='REP COMMISSION'!$B$3,Z182='REP COMMISSION'!$B$3)),1,0)</f>
        <v>0</v>
      </c>
      <c r="AX182" s="24" t="n">
        <f aca="false">AX181+IF(AND(C182&lt;&gt;"",OR(F182="LOC - INITIAL",F182="CONSOLIDATION - UPFRONT COMM",F182="REVERSE - TOTAL FUNDING")),1,0)</f>
        <v>0</v>
      </c>
    </row>
    <row r="183" customFormat="false" ht="15" hidden="false" customHeight="false" outlineLevel="0" collapsed="false">
      <c r="A183" s="25" t="str">
        <f aca="false">IF(C183&lt;&gt;"","F27-"&amp;COUNT($C$4:C183),"")</f>
        <v/>
      </c>
      <c r="B183" s="26" t="str">
        <f aca="false">IF(OR(F183="LOC - INITIAL",F183="CONSOLIDATION - UPFRONT COMM",F183="REVERSE - TOTAL FUNDING"),A183,"")</f>
        <v/>
      </c>
      <c r="C183" s="27"/>
      <c r="D183" s="28"/>
      <c r="E183" s="28"/>
      <c r="F183" s="28"/>
      <c r="G183" s="29"/>
      <c r="H183" s="30"/>
      <c r="I183" s="28"/>
      <c r="J183" s="31" t="str">
        <f aca="false">IF(AND(G183&lt;&gt;"",H183&lt;&gt;""),G183*H183,"")</f>
        <v/>
      </c>
      <c r="K183" s="28"/>
      <c r="L183" s="32"/>
      <c r="M183" s="32"/>
      <c r="N183" s="31" t="n">
        <f aca="false">IF(OR(G183="",M183=""),0,IF(M183&gt;100,M183,G183*IF(M183&gt;1,M183/100,M183)))</f>
        <v>0</v>
      </c>
      <c r="O183" s="31" t="str">
        <f aca="false">IF(G183="","",G183*IF(L183="",0,IF(L183&gt;1,L183/100,L183))+N183)</f>
        <v/>
      </c>
      <c r="P183" s="28"/>
      <c r="Q183" s="33" t="str">
        <f aca="false">IF(P183="","",IFERROR(VLOOKUP(P183,PARTNERS!$A$2:$B$30,2,0),""))</f>
        <v/>
      </c>
      <c r="R183" s="17" t="str">
        <f aca="false">IF(O183="","",IF(OR(P183="",Q183=""),0,(O183-N183)*IF(Q183&gt;1,Q183/100,Q183)))</f>
        <v/>
      </c>
      <c r="S183" s="31" t="str">
        <f aca="false">IF(O183="","",O183-R183)</f>
        <v/>
      </c>
      <c r="T183" s="28"/>
      <c r="U183" s="34" t="str">
        <f aca="false">IF(T183="","",IFERROR(VLOOKUP(T183,REPS!$A$2:$D$40,2,0),""))</f>
        <v/>
      </c>
      <c r="V183" s="31" t="str">
        <f aca="false">IF(O183="","",IF(U183="",0,O183*IF(U183&gt;1,U183/100,U183)))</f>
        <v/>
      </c>
      <c r="W183" s="28"/>
      <c r="X183" s="34" t="str">
        <f aca="false">IF(W183="","",IFERROR(VLOOKUP(W183,REPS!$A$2:$D$40,3,0),""))</f>
        <v/>
      </c>
      <c r="Y183" s="31" t="str">
        <f aca="false">IF(O183="","",IF(X183="",0,O183*IF(X183&gt;1,X183/100,X183)))</f>
        <v/>
      </c>
      <c r="Z183" s="28"/>
      <c r="AA183" s="34" t="str">
        <f aca="false">IF(Z183="","",IFERROR(VLOOKUP(Z183,REPS!$A$2:$D$40,4,0),""))</f>
        <v/>
      </c>
      <c r="AB183" s="31" t="str">
        <f aca="false">IF(O183="","",IF(AA183="",0,O183*IF(AA183&gt;1,AA183/100,AA183)))</f>
        <v/>
      </c>
      <c r="AC183" s="31" t="str">
        <f aca="false">IF(O183="","",V183+Y183+AB183)</f>
        <v/>
      </c>
      <c r="AD183" s="19" t="str">
        <f aca="false">IF(O183="","",O183-R183-AC183)</f>
        <v/>
      </c>
      <c r="AE183" s="20"/>
      <c r="AF183" s="27"/>
      <c r="AG183" s="21" t="n">
        <f aca="false">IF(OR(AE183="",AE183=0),0,AE183*IF(U183="",0,IF(U183&gt;1,U183/100,U183)))</f>
        <v>0</v>
      </c>
      <c r="AH183" s="21" t="n">
        <f aca="false">IF(OR(AE183="",AE183=0),0,AE183*IF(X183="",0,IF(X183&gt;1,X183/100,X183)))</f>
        <v>0</v>
      </c>
      <c r="AI183" s="21" t="n">
        <f aca="false">IF(OR(AE183="",AE183=0),0,AE183*IF(AA183="",0,IF(AA183&gt;1,AA183/100,AA183)))</f>
        <v>0</v>
      </c>
      <c r="AJ183" s="21" t="n">
        <f aca="false">AG183+AH183+AI183</f>
        <v>0</v>
      </c>
      <c r="AK183" s="21" t="n">
        <f aca="false">IF(OR(AE183="",AE183=0),0,AE183-AJ183)</f>
        <v>0</v>
      </c>
      <c r="AL183" s="19" t="str">
        <f aca="false">IF(AD183="","",AD183-AK183)</f>
        <v/>
      </c>
      <c r="AM183" s="26" t="str">
        <f aca="false">IF(C183="","","Waiting for payment")</f>
        <v/>
      </c>
      <c r="AN183" s="27"/>
      <c r="AO183" s="27"/>
      <c r="AP183" s="35" t="str">
        <f aca="false">IF(OR(C183="",I183="",K183=""),"",IF(K183="Monthly",EDATE(C183,ROUND(I183*SETTINGS!$I$8,0)),WORKDAY(C183,ROUND(I183*SETTINGS!$I$8,0))))</f>
        <v/>
      </c>
      <c r="AQ183" s="26" t="str">
        <f aca="true">IF(C183="","",IF(AND(AP183&lt;&gt;"",TODAY()&gt;=AP183),"Refi Ready",IF(TODAY()-C183&gt;=SETTINGS!$I$11,"Prospecting","Performing")))</f>
        <v/>
      </c>
      <c r="AR183" s="35" t="str">
        <f aca="false">IF(OR(C183="",I183="",K183=""),"",IF(K183="Monthly",EDATE(C183,I183),WORKDAY(C183,I183)))</f>
        <v/>
      </c>
      <c r="AS183" s="28"/>
      <c r="AT183" s="36" t="str">
        <f aca="true">IF(C183="","",IF(AM183="Clawed Back","CLAWED",IF(TODAY()&lt;=C183+SETTINGS!$I$2,"⚠ AT RISK","SAFE")))</f>
        <v/>
      </c>
      <c r="AU183" s="28"/>
      <c r="AW183" s="24" t="n">
        <f aca="false">AW182+IF(AND(C183&lt;&gt;"",AO183&lt;&gt;"",OR('REP COMMISSION'!$B$3="",T183='REP COMMISSION'!$B$3,W183='REP COMMISSION'!$B$3,Z183='REP COMMISSION'!$B$3)),1,0)</f>
        <v>0</v>
      </c>
      <c r="AX183" s="24" t="n">
        <f aca="false">AX182+IF(AND(C183&lt;&gt;"",OR(F183="LOC - INITIAL",F183="CONSOLIDATION - UPFRONT COMM",F183="REVERSE - TOTAL FUNDING")),1,0)</f>
        <v>0</v>
      </c>
    </row>
    <row r="184" customFormat="false" ht="15" hidden="false" customHeight="false" outlineLevel="0" collapsed="false">
      <c r="A184" s="8" t="str">
        <f aca="false">IF(C184&lt;&gt;"","F27-"&amp;COUNT($C$4:C184),"")</f>
        <v/>
      </c>
      <c r="B184" s="9" t="str">
        <f aca="false">IF(OR(F184="LOC - INITIAL",F184="CONSOLIDATION - UPFRONT COMM",F184="REVERSE - TOTAL FUNDING"),A184,"")</f>
        <v/>
      </c>
      <c r="C184" s="10"/>
      <c r="D184" s="11"/>
      <c r="E184" s="11"/>
      <c r="F184" s="11"/>
      <c r="G184" s="12"/>
      <c r="H184" s="13"/>
      <c r="I184" s="11"/>
      <c r="J184" s="14" t="str">
        <f aca="false">IF(AND(G184&lt;&gt;"",H184&lt;&gt;""),G184*H184,"")</f>
        <v/>
      </c>
      <c r="K184" s="11"/>
      <c r="L184" s="15"/>
      <c r="M184" s="15"/>
      <c r="N184" s="14" t="n">
        <f aca="false">IF(OR(G184="",M184=""),0,IF(M184&gt;100,M184,G184*IF(M184&gt;1,M184/100,M184)))</f>
        <v>0</v>
      </c>
      <c r="O184" s="14" t="str">
        <f aca="false">IF(G184="","",G184*IF(L184="",0,IF(L184&gt;1,L184/100,L184))+N184)</f>
        <v/>
      </c>
      <c r="P184" s="11"/>
      <c r="Q184" s="16" t="str">
        <f aca="false">IF(P184="","",IFERROR(VLOOKUP(P184,PARTNERS!$A$2:$B$30,2,0),""))</f>
        <v/>
      </c>
      <c r="R184" s="17" t="str">
        <f aca="false">IF(O184="","",IF(OR(P184="",Q184=""),0,(O184-N184)*IF(Q184&gt;1,Q184/100,Q184)))</f>
        <v/>
      </c>
      <c r="S184" s="14" t="str">
        <f aca="false">IF(O184="","",O184-R184)</f>
        <v/>
      </c>
      <c r="T184" s="11"/>
      <c r="U184" s="18" t="str">
        <f aca="false">IF(T184="","",IFERROR(VLOOKUP(T184,REPS!$A$2:$D$40,2,0),""))</f>
        <v/>
      </c>
      <c r="V184" s="14" t="str">
        <f aca="false">IF(O184="","",IF(U184="",0,O184*IF(U184&gt;1,U184/100,U184)))</f>
        <v/>
      </c>
      <c r="W184" s="11"/>
      <c r="X184" s="18" t="str">
        <f aca="false">IF(W184="","",IFERROR(VLOOKUP(W184,REPS!$A$2:$D$40,3,0),""))</f>
        <v/>
      </c>
      <c r="Y184" s="14" t="str">
        <f aca="false">IF(O184="","",IF(X184="",0,O184*IF(X184&gt;1,X184/100,X184)))</f>
        <v/>
      </c>
      <c r="Z184" s="11"/>
      <c r="AA184" s="18" t="str">
        <f aca="false">IF(Z184="","",IFERROR(VLOOKUP(Z184,REPS!$A$2:$D$40,4,0),""))</f>
        <v/>
      </c>
      <c r="AB184" s="14" t="str">
        <f aca="false">IF(O184="","",IF(AA184="",0,O184*IF(AA184&gt;1,AA184/100,AA184)))</f>
        <v/>
      </c>
      <c r="AC184" s="14" t="str">
        <f aca="false">IF(O184="","",V184+Y184+AB184)</f>
        <v/>
      </c>
      <c r="AD184" s="19" t="str">
        <f aca="false">IF(O184="","",O184-R184-AC184)</f>
        <v/>
      </c>
      <c r="AE184" s="20"/>
      <c r="AF184" s="10"/>
      <c r="AG184" s="21" t="n">
        <f aca="false">IF(OR(AE184="",AE184=0),0,AE184*IF(U184="",0,IF(U184&gt;1,U184/100,U184)))</f>
        <v>0</v>
      </c>
      <c r="AH184" s="21" t="n">
        <f aca="false">IF(OR(AE184="",AE184=0),0,AE184*IF(X184="",0,IF(X184&gt;1,X184/100,X184)))</f>
        <v>0</v>
      </c>
      <c r="AI184" s="21" t="n">
        <f aca="false">IF(OR(AE184="",AE184=0),0,AE184*IF(AA184="",0,IF(AA184&gt;1,AA184/100,AA184)))</f>
        <v>0</v>
      </c>
      <c r="AJ184" s="21" t="n">
        <f aca="false">AG184+AH184+AI184</f>
        <v>0</v>
      </c>
      <c r="AK184" s="21" t="n">
        <f aca="false">IF(OR(AE184="",AE184=0),0,AE184-AJ184)</f>
        <v>0</v>
      </c>
      <c r="AL184" s="19" t="str">
        <f aca="false">IF(AD184="","",AD184-AK184)</f>
        <v/>
      </c>
      <c r="AM184" s="9" t="str">
        <f aca="false">IF(C184="","","Waiting for payment")</f>
        <v/>
      </c>
      <c r="AN184" s="10"/>
      <c r="AO184" s="10"/>
      <c r="AP184" s="22" t="str">
        <f aca="false">IF(OR(C184="",I184="",K184=""),"",IF(K184="Monthly",EDATE(C184,ROUND(I184*SETTINGS!$I$8,0)),WORKDAY(C184,ROUND(I184*SETTINGS!$I$8,0))))</f>
        <v/>
      </c>
      <c r="AQ184" s="9" t="str">
        <f aca="true">IF(C184="","",IF(AND(AP184&lt;&gt;"",TODAY()&gt;=AP184),"Refi Ready",IF(TODAY()-C184&gt;=SETTINGS!$I$11,"Prospecting","Performing")))</f>
        <v/>
      </c>
      <c r="AR184" s="22" t="str">
        <f aca="false">IF(OR(C184="",I184="",K184=""),"",IF(K184="Monthly",EDATE(C184,I184),WORKDAY(C184,I184)))</f>
        <v/>
      </c>
      <c r="AS184" s="11"/>
      <c r="AT184" s="23" t="str">
        <f aca="true">IF(C184="","",IF(AM184="Clawed Back","CLAWED",IF(TODAY()&lt;=C184+SETTINGS!$I$2,"⚠ AT RISK","SAFE")))</f>
        <v/>
      </c>
      <c r="AU184" s="11"/>
      <c r="AW184" s="24" t="n">
        <f aca="false">AW183+IF(AND(C184&lt;&gt;"",AO184&lt;&gt;"",OR('REP COMMISSION'!$B$3="",T184='REP COMMISSION'!$B$3,W184='REP COMMISSION'!$B$3,Z184='REP COMMISSION'!$B$3)),1,0)</f>
        <v>0</v>
      </c>
      <c r="AX184" s="24" t="n">
        <f aca="false">AX183+IF(AND(C184&lt;&gt;"",OR(F184="LOC - INITIAL",F184="CONSOLIDATION - UPFRONT COMM",F184="REVERSE - TOTAL FUNDING")),1,0)</f>
        <v>0</v>
      </c>
    </row>
    <row r="185" customFormat="false" ht="15" hidden="false" customHeight="false" outlineLevel="0" collapsed="false">
      <c r="A185" s="25" t="str">
        <f aca="false">IF(C185&lt;&gt;"","F27-"&amp;COUNT($C$4:C185),"")</f>
        <v/>
      </c>
      <c r="B185" s="26" t="str">
        <f aca="false">IF(OR(F185="LOC - INITIAL",F185="CONSOLIDATION - UPFRONT COMM",F185="REVERSE - TOTAL FUNDING"),A185,"")</f>
        <v/>
      </c>
      <c r="C185" s="27"/>
      <c r="D185" s="28"/>
      <c r="E185" s="28"/>
      <c r="F185" s="28"/>
      <c r="G185" s="29"/>
      <c r="H185" s="30"/>
      <c r="I185" s="28"/>
      <c r="J185" s="31" t="str">
        <f aca="false">IF(AND(G185&lt;&gt;"",H185&lt;&gt;""),G185*H185,"")</f>
        <v/>
      </c>
      <c r="K185" s="28"/>
      <c r="L185" s="32"/>
      <c r="M185" s="32"/>
      <c r="N185" s="31" t="n">
        <f aca="false">IF(OR(G185="",M185=""),0,IF(M185&gt;100,M185,G185*IF(M185&gt;1,M185/100,M185)))</f>
        <v>0</v>
      </c>
      <c r="O185" s="31" t="str">
        <f aca="false">IF(G185="","",G185*IF(L185="",0,IF(L185&gt;1,L185/100,L185))+N185)</f>
        <v/>
      </c>
      <c r="P185" s="28"/>
      <c r="Q185" s="33" t="str">
        <f aca="false">IF(P185="","",IFERROR(VLOOKUP(P185,PARTNERS!$A$2:$B$30,2,0),""))</f>
        <v/>
      </c>
      <c r="R185" s="17" t="str">
        <f aca="false">IF(O185="","",IF(OR(P185="",Q185=""),0,(O185-N185)*IF(Q185&gt;1,Q185/100,Q185)))</f>
        <v/>
      </c>
      <c r="S185" s="31" t="str">
        <f aca="false">IF(O185="","",O185-R185)</f>
        <v/>
      </c>
      <c r="T185" s="28"/>
      <c r="U185" s="34" t="str">
        <f aca="false">IF(T185="","",IFERROR(VLOOKUP(T185,REPS!$A$2:$D$40,2,0),""))</f>
        <v/>
      </c>
      <c r="V185" s="31" t="str">
        <f aca="false">IF(O185="","",IF(U185="",0,O185*IF(U185&gt;1,U185/100,U185)))</f>
        <v/>
      </c>
      <c r="W185" s="28"/>
      <c r="X185" s="34" t="str">
        <f aca="false">IF(W185="","",IFERROR(VLOOKUP(W185,REPS!$A$2:$D$40,3,0),""))</f>
        <v/>
      </c>
      <c r="Y185" s="31" t="str">
        <f aca="false">IF(O185="","",IF(X185="",0,O185*IF(X185&gt;1,X185/100,X185)))</f>
        <v/>
      </c>
      <c r="Z185" s="28"/>
      <c r="AA185" s="34" t="str">
        <f aca="false">IF(Z185="","",IFERROR(VLOOKUP(Z185,REPS!$A$2:$D$40,4,0),""))</f>
        <v/>
      </c>
      <c r="AB185" s="31" t="str">
        <f aca="false">IF(O185="","",IF(AA185="",0,O185*IF(AA185&gt;1,AA185/100,AA185)))</f>
        <v/>
      </c>
      <c r="AC185" s="31" t="str">
        <f aca="false">IF(O185="","",V185+Y185+AB185)</f>
        <v/>
      </c>
      <c r="AD185" s="19" t="str">
        <f aca="false">IF(O185="","",O185-R185-AC185)</f>
        <v/>
      </c>
      <c r="AE185" s="20"/>
      <c r="AF185" s="27"/>
      <c r="AG185" s="21" t="n">
        <f aca="false">IF(OR(AE185="",AE185=0),0,AE185*IF(U185="",0,IF(U185&gt;1,U185/100,U185)))</f>
        <v>0</v>
      </c>
      <c r="AH185" s="21" t="n">
        <f aca="false">IF(OR(AE185="",AE185=0),0,AE185*IF(X185="",0,IF(X185&gt;1,X185/100,X185)))</f>
        <v>0</v>
      </c>
      <c r="AI185" s="21" t="n">
        <f aca="false">IF(OR(AE185="",AE185=0),0,AE185*IF(AA185="",0,IF(AA185&gt;1,AA185/100,AA185)))</f>
        <v>0</v>
      </c>
      <c r="AJ185" s="21" t="n">
        <f aca="false">AG185+AH185+AI185</f>
        <v>0</v>
      </c>
      <c r="AK185" s="21" t="n">
        <f aca="false">IF(OR(AE185="",AE185=0),0,AE185-AJ185)</f>
        <v>0</v>
      </c>
      <c r="AL185" s="19" t="str">
        <f aca="false">IF(AD185="","",AD185-AK185)</f>
        <v/>
      </c>
      <c r="AM185" s="26" t="str">
        <f aca="false">IF(C185="","","Waiting for payment")</f>
        <v/>
      </c>
      <c r="AN185" s="27"/>
      <c r="AO185" s="27"/>
      <c r="AP185" s="35" t="str">
        <f aca="false">IF(OR(C185="",I185="",K185=""),"",IF(K185="Monthly",EDATE(C185,ROUND(I185*SETTINGS!$I$8,0)),WORKDAY(C185,ROUND(I185*SETTINGS!$I$8,0))))</f>
        <v/>
      </c>
      <c r="AQ185" s="26" t="str">
        <f aca="true">IF(C185="","",IF(AND(AP185&lt;&gt;"",TODAY()&gt;=AP185),"Refi Ready",IF(TODAY()-C185&gt;=SETTINGS!$I$11,"Prospecting","Performing")))</f>
        <v/>
      </c>
      <c r="AR185" s="35" t="str">
        <f aca="false">IF(OR(C185="",I185="",K185=""),"",IF(K185="Monthly",EDATE(C185,I185),WORKDAY(C185,I185)))</f>
        <v/>
      </c>
      <c r="AS185" s="28"/>
      <c r="AT185" s="36" t="str">
        <f aca="true">IF(C185="","",IF(AM185="Clawed Back","CLAWED",IF(TODAY()&lt;=C185+SETTINGS!$I$2,"⚠ AT RISK","SAFE")))</f>
        <v/>
      </c>
      <c r="AU185" s="28"/>
      <c r="AW185" s="24" t="n">
        <f aca="false">AW184+IF(AND(C185&lt;&gt;"",AO185&lt;&gt;"",OR('REP COMMISSION'!$B$3="",T185='REP COMMISSION'!$B$3,W185='REP COMMISSION'!$B$3,Z185='REP COMMISSION'!$B$3)),1,0)</f>
        <v>0</v>
      </c>
      <c r="AX185" s="24" t="n">
        <f aca="false">AX184+IF(AND(C185&lt;&gt;"",OR(F185="LOC - INITIAL",F185="CONSOLIDATION - UPFRONT COMM",F185="REVERSE - TOTAL FUNDING")),1,0)</f>
        <v>0</v>
      </c>
    </row>
    <row r="186" customFormat="false" ht="15" hidden="false" customHeight="false" outlineLevel="0" collapsed="false">
      <c r="A186" s="8" t="str">
        <f aca="false">IF(C186&lt;&gt;"","F27-"&amp;COUNT($C$4:C186),"")</f>
        <v/>
      </c>
      <c r="B186" s="9" t="str">
        <f aca="false">IF(OR(F186="LOC - INITIAL",F186="CONSOLIDATION - UPFRONT COMM",F186="REVERSE - TOTAL FUNDING"),A186,"")</f>
        <v/>
      </c>
      <c r="C186" s="10"/>
      <c r="D186" s="11"/>
      <c r="E186" s="11"/>
      <c r="F186" s="11"/>
      <c r="G186" s="12"/>
      <c r="H186" s="13"/>
      <c r="I186" s="11"/>
      <c r="J186" s="14" t="str">
        <f aca="false">IF(AND(G186&lt;&gt;"",H186&lt;&gt;""),G186*H186,"")</f>
        <v/>
      </c>
      <c r="K186" s="11"/>
      <c r="L186" s="15"/>
      <c r="M186" s="15"/>
      <c r="N186" s="14" t="n">
        <f aca="false">IF(OR(G186="",M186=""),0,IF(M186&gt;100,M186,G186*IF(M186&gt;1,M186/100,M186)))</f>
        <v>0</v>
      </c>
      <c r="O186" s="14" t="str">
        <f aca="false">IF(G186="","",G186*IF(L186="",0,IF(L186&gt;1,L186/100,L186))+N186)</f>
        <v/>
      </c>
      <c r="P186" s="11"/>
      <c r="Q186" s="16" t="str">
        <f aca="false">IF(P186="","",IFERROR(VLOOKUP(P186,PARTNERS!$A$2:$B$30,2,0),""))</f>
        <v/>
      </c>
      <c r="R186" s="17" t="str">
        <f aca="false">IF(O186="","",IF(OR(P186="",Q186=""),0,(O186-N186)*IF(Q186&gt;1,Q186/100,Q186)))</f>
        <v/>
      </c>
      <c r="S186" s="14" t="str">
        <f aca="false">IF(O186="","",O186-R186)</f>
        <v/>
      </c>
      <c r="T186" s="11"/>
      <c r="U186" s="18" t="str">
        <f aca="false">IF(T186="","",IFERROR(VLOOKUP(T186,REPS!$A$2:$D$40,2,0),""))</f>
        <v/>
      </c>
      <c r="V186" s="14" t="str">
        <f aca="false">IF(O186="","",IF(U186="",0,O186*IF(U186&gt;1,U186/100,U186)))</f>
        <v/>
      </c>
      <c r="W186" s="11"/>
      <c r="X186" s="18" t="str">
        <f aca="false">IF(W186="","",IFERROR(VLOOKUP(W186,REPS!$A$2:$D$40,3,0),""))</f>
        <v/>
      </c>
      <c r="Y186" s="14" t="str">
        <f aca="false">IF(O186="","",IF(X186="",0,O186*IF(X186&gt;1,X186/100,X186)))</f>
        <v/>
      </c>
      <c r="Z186" s="11"/>
      <c r="AA186" s="18" t="str">
        <f aca="false">IF(Z186="","",IFERROR(VLOOKUP(Z186,REPS!$A$2:$D$40,4,0),""))</f>
        <v/>
      </c>
      <c r="AB186" s="14" t="str">
        <f aca="false">IF(O186="","",IF(AA186="",0,O186*IF(AA186&gt;1,AA186/100,AA186)))</f>
        <v/>
      </c>
      <c r="AC186" s="14" t="str">
        <f aca="false">IF(O186="","",V186+Y186+AB186)</f>
        <v/>
      </c>
      <c r="AD186" s="19" t="str">
        <f aca="false">IF(O186="","",O186-R186-AC186)</f>
        <v/>
      </c>
      <c r="AE186" s="20"/>
      <c r="AF186" s="10"/>
      <c r="AG186" s="21" t="n">
        <f aca="false">IF(OR(AE186="",AE186=0),0,AE186*IF(U186="",0,IF(U186&gt;1,U186/100,U186)))</f>
        <v>0</v>
      </c>
      <c r="AH186" s="21" t="n">
        <f aca="false">IF(OR(AE186="",AE186=0),0,AE186*IF(X186="",0,IF(X186&gt;1,X186/100,X186)))</f>
        <v>0</v>
      </c>
      <c r="AI186" s="21" t="n">
        <f aca="false">IF(OR(AE186="",AE186=0),0,AE186*IF(AA186="",0,IF(AA186&gt;1,AA186/100,AA186)))</f>
        <v>0</v>
      </c>
      <c r="AJ186" s="21" t="n">
        <f aca="false">AG186+AH186+AI186</f>
        <v>0</v>
      </c>
      <c r="AK186" s="21" t="n">
        <f aca="false">IF(OR(AE186="",AE186=0),0,AE186-AJ186)</f>
        <v>0</v>
      </c>
      <c r="AL186" s="19" t="str">
        <f aca="false">IF(AD186="","",AD186-AK186)</f>
        <v/>
      </c>
      <c r="AM186" s="9" t="str">
        <f aca="false">IF(C186="","","Waiting for payment")</f>
        <v/>
      </c>
      <c r="AN186" s="10"/>
      <c r="AO186" s="10"/>
      <c r="AP186" s="22" t="str">
        <f aca="false">IF(OR(C186="",I186="",K186=""),"",IF(K186="Monthly",EDATE(C186,ROUND(I186*SETTINGS!$I$8,0)),WORKDAY(C186,ROUND(I186*SETTINGS!$I$8,0))))</f>
        <v/>
      </c>
      <c r="AQ186" s="9" t="str">
        <f aca="true">IF(C186="","",IF(AND(AP186&lt;&gt;"",TODAY()&gt;=AP186),"Refi Ready",IF(TODAY()-C186&gt;=SETTINGS!$I$11,"Prospecting","Performing")))</f>
        <v/>
      </c>
      <c r="AR186" s="22" t="str">
        <f aca="false">IF(OR(C186="",I186="",K186=""),"",IF(K186="Monthly",EDATE(C186,I186),WORKDAY(C186,I186)))</f>
        <v/>
      </c>
      <c r="AS186" s="11"/>
      <c r="AT186" s="23" t="str">
        <f aca="true">IF(C186="","",IF(AM186="Clawed Back","CLAWED",IF(TODAY()&lt;=C186+SETTINGS!$I$2,"⚠ AT RISK","SAFE")))</f>
        <v/>
      </c>
      <c r="AU186" s="11"/>
      <c r="AW186" s="24" t="n">
        <f aca="false">AW185+IF(AND(C186&lt;&gt;"",AO186&lt;&gt;"",OR('REP COMMISSION'!$B$3="",T186='REP COMMISSION'!$B$3,W186='REP COMMISSION'!$B$3,Z186='REP COMMISSION'!$B$3)),1,0)</f>
        <v>0</v>
      </c>
      <c r="AX186" s="24" t="n">
        <f aca="false">AX185+IF(AND(C186&lt;&gt;"",OR(F186="LOC - INITIAL",F186="CONSOLIDATION - UPFRONT COMM",F186="REVERSE - TOTAL FUNDING")),1,0)</f>
        <v>0</v>
      </c>
    </row>
    <row r="187" customFormat="false" ht="15" hidden="false" customHeight="false" outlineLevel="0" collapsed="false">
      <c r="A187" s="25" t="str">
        <f aca="false">IF(C187&lt;&gt;"","F27-"&amp;COUNT($C$4:C187),"")</f>
        <v/>
      </c>
      <c r="B187" s="26" t="str">
        <f aca="false">IF(OR(F187="LOC - INITIAL",F187="CONSOLIDATION - UPFRONT COMM",F187="REVERSE - TOTAL FUNDING"),A187,"")</f>
        <v/>
      </c>
      <c r="C187" s="27"/>
      <c r="D187" s="28"/>
      <c r="E187" s="28"/>
      <c r="F187" s="28"/>
      <c r="G187" s="29"/>
      <c r="H187" s="30"/>
      <c r="I187" s="28"/>
      <c r="J187" s="31" t="str">
        <f aca="false">IF(AND(G187&lt;&gt;"",H187&lt;&gt;""),G187*H187,"")</f>
        <v/>
      </c>
      <c r="K187" s="28"/>
      <c r="L187" s="32"/>
      <c r="M187" s="32"/>
      <c r="N187" s="31" t="n">
        <f aca="false">IF(OR(G187="",M187=""),0,IF(M187&gt;100,M187,G187*IF(M187&gt;1,M187/100,M187)))</f>
        <v>0</v>
      </c>
      <c r="O187" s="31" t="str">
        <f aca="false">IF(G187="","",G187*IF(L187="",0,IF(L187&gt;1,L187/100,L187))+N187)</f>
        <v/>
      </c>
      <c r="P187" s="28"/>
      <c r="Q187" s="33" t="str">
        <f aca="false">IF(P187="","",IFERROR(VLOOKUP(P187,PARTNERS!$A$2:$B$30,2,0),""))</f>
        <v/>
      </c>
      <c r="R187" s="17" t="str">
        <f aca="false">IF(O187="","",IF(OR(P187="",Q187=""),0,(O187-N187)*IF(Q187&gt;1,Q187/100,Q187)))</f>
        <v/>
      </c>
      <c r="S187" s="31" t="str">
        <f aca="false">IF(O187="","",O187-R187)</f>
        <v/>
      </c>
      <c r="T187" s="28"/>
      <c r="U187" s="34" t="str">
        <f aca="false">IF(T187="","",IFERROR(VLOOKUP(T187,REPS!$A$2:$D$40,2,0),""))</f>
        <v/>
      </c>
      <c r="V187" s="31" t="str">
        <f aca="false">IF(O187="","",IF(U187="",0,O187*IF(U187&gt;1,U187/100,U187)))</f>
        <v/>
      </c>
      <c r="W187" s="28"/>
      <c r="X187" s="34" t="str">
        <f aca="false">IF(W187="","",IFERROR(VLOOKUP(W187,REPS!$A$2:$D$40,3,0),""))</f>
        <v/>
      </c>
      <c r="Y187" s="31" t="str">
        <f aca="false">IF(O187="","",IF(X187="",0,O187*IF(X187&gt;1,X187/100,X187)))</f>
        <v/>
      </c>
      <c r="Z187" s="28"/>
      <c r="AA187" s="34" t="str">
        <f aca="false">IF(Z187="","",IFERROR(VLOOKUP(Z187,REPS!$A$2:$D$40,4,0),""))</f>
        <v/>
      </c>
      <c r="AB187" s="31" t="str">
        <f aca="false">IF(O187="","",IF(AA187="",0,O187*IF(AA187&gt;1,AA187/100,AA187)))</f>
        <v/>
      </c>
      <c r="AC187" s="31" t="str">
        <f aca="false">IF(O187="","",V187+Y187+AB187)</f>
        <v/>
      </c>
      <c r="AD187" s="19" t="str">
        <f aca="false">IF(O187="","",O187-R187-AC187)</f>
        <v/>
      </c>
      <c r="AE187" s="20"/>
      <c r="AF187" s="27"/>
      <c r="AG187" s="21" t="n">
        <f aca="false">IF(OR(AE187="",AE187=0),0,AE187*IF(U187="",0,IF(U187&gt;1,U187/100,U187)))</f>
        <v>0</v>
      </c>
      <c r="AH187" s="21" t="n">
        <f aca="false">IF(OR(AE187="",AE187=0),0,AE187*IF(X187="",0,IF(X187&gt;1,X187/100,X187)))</f>
        <v>0</v>
      </c>
      <c r="AI187" s="21" t="n">
        <f aca="false">IF(OR(AE187="",AE187=0),0,AE187*IF(AA187="",0,IF(AA187&gt;1,AA187/100,AA187)))</f>
        <v>0</v>
      </c>
      <c r="AJ187" s="21" t="n">
        <f aca="false">AG187+AH187+AI187</f>
        <v>0</v>
      </c>
      <c r="AK187" s="21" t="n">
        <f aca="false">IF(OR(AE187="",AE187=0),0,AE187-AJ187)</f>
        <v>0</v>
      </c>
      <c r="AL187" s="19" t="str">
        <f aca="false">IF(AD187="","",AD187-AK187)</f>
        <v/>
      </c>
      <c r="AM187" s="26" t="str">
        <f aca="false">IF(C187="","","Waiting for payment")</f>
        <v/>
      </c>
      <c r="AN187" s="27"/>
      <c r="AO187" s="27"/>
      <c r="AP187" s="35" t="str">
        <f aca="false">IF(OR(C187="",I187="",K187=""),"",IF(K187="Monthly",EDATE(C187,ROUND(I187*SETTINGS!$I$8,0)),WORKDAY(C187,ROUND(I187*SETTINGS!$I$8,0))))</f>
        <v/>
      </c>
      <c r="AQ187" s="26" t="str">
        <f aca="true">IF(C187="","",IF(AND(AP187&lt;&gt;"",TODAY()&gt;=AP187),"Refi Ready",IF(TODAY()-C187&gt;=SETTINGS!$I$11,"Prospecting","Performing")))</f>
        <v/>
      </c>
      <c r="AR187" s="35" t="str">
        <f aca="false">IF(OR(C187="",I187="",K187=""),"",IF(K187="Monthly",EDATE(C187,I187),WORKDAY(C187,I187)))</f>
        <v/>
      </c>
      <c r="AS187" s="28"/>
      <c r="AT187" s="36" t="str">
        <f aca="true">IF(C187="","",IF(AM187="Clawed Back","CLAWED",IF(TODAY()&lt;=C187+SETTINGS!$I$2,"⚠ AT RISK","SAFE")))</f>
        <v/>
      </c>
      <c r="AU187" s="28"/>
      <c r="AW187" s="24" t="n">
        <f aca="false">AW186+IF(AND(C187&lt;&gt;"",AO187&lt;&gt;"",OR('REP COMMISSION'!$B$3="",T187='REP COMMISSION'!$B$3,W187='REP COMMISSION'!$B$3,Z187='REP COMMISSION'!$B$3)),1,0)</f>
        <v>0</v>
      </c>
      <c r="AX187" s="24" t="n">
        <f aca="false">AX186+IF(AND(C187&lt;&gt;"",OR(F187="LOC - INITIAL",F187="CONSOLIDATION - UPFRONT COMM",F187="REVERSE - TOTAL FUNDING")),1,0)</f>
        <v>0</v>
      </c>
    </row>
    <row r="188" customFormat="false" ht="15" hidden="false" customHeight="false" outlineLevel="0" collapsed="false">
      <c r="A188" s="8" t="str">
        <f aca="false">IF(C188&lt;&gt;"","F27-"&amp;COUNT($C$4:C188),"")</f>
        <v/>
      </c>
      <c r="B188" s="9" t="str">
        <f aca="false">IF(OR(F188="LOC - INITIAL",F188="CONSOLIDATION - UPFRONT COMM",F188="REVERSE - TOTAL FUNDING"),A188,"")</f>
        <v/>
      </c>
      <c r="C188" s="10"/>
      <c r="D188" s="11"/>
      <c r="E188" s="11"/>
      <c r="F188" s="11"/>
      <c r="G188" s="12"/>
      <c r="H188" s="13"/>
      <c r="I188" s="11"/>
      <c r="J188" s="14" t="str">
        <f aca="false">IF(AND(G188&lt;&gt;"",H188&lt;&gt;""),G188*H188,"")</f>
        <v/>
      </c>
      <c r="K188" s="11"/>
      <c r="L188" s="15"/>
      <c r="M188" s="15"/>
      <c r="N188" s="14" t="n">
        <f aca="false">IF(OR(G188="",M188=""),0,IF(M188&gt;100,M188,G188*IF(M188&gt;1,M188/100,M188)))</f>
        <v>0</v>
      </c>
      <c r="O188" s="14" t="str">
        <f aca="false">IF(G188="","",G188*IF(L188="",0,IF(L188&gt;1,L188/100,L188))+N188)</f>
        <v/>
      </c>
      <c r="P188" s="11"/>
      <c r="Q188" s="16" t="str">
        <f aca="false">IF(P188="","",IFERROR(VLOOKUP(P188,PARTNERS!$A$2:$B$30,2,0),""))</f>
        <v/>
      </c>
      <c r="R188" s="17" t="str">
        <f aca="false">IF(O188="","",IF(OR(P188="",Q188=""),0,(O188-N188)*IF(Q188&gt;1,Q188/100,Q188)))</f>
        <v/>
      </c>
      <c r="S188" s="14" t="str">
        <f aca="false">IF(O188="","",O188-R188)</f>
        <v/>
      </c>
      <c r="T188" s="11"/>
      <c r="U188" s="18" t="str">
        <f aca="false">IF(T188="","",IFERROR(VLOOKUP(T188,REPS!$A$2:$D$40,2,0),""))</f>
        <v/>
      </c>
      <c r="V188" s="14" t="str">
        <f aca="false">IF(O188="","",IF(U188="",0,O188*IF(U188&gt;1,U188/100,U188)))</f>
        <v/>
      </c>
      <c r="W188" s="11"/>
      <c r="X188" s="18" t="str">
        <f aca="false">IF(W188="","",IFERROR(VLOOKUP(W188,REPS!$A$2:$D$40,3,0),""))</f>
        <v/>
      </c>
      <c r="Y188" s="14" t="str">
        <f aca="false">IF(O188="","",IF(X188="",0,O188*IF(X188&gt;1,X188/100,X188)))</f>
        <v/>
      </c>
      <c r="Z188" s="11"/>
      <c r="AA188" s="18" t="str">
        <f aca="false">IF(Z188="","",IFERROR(VLOOKUP(Z188,REPS!$A$2:$D$40,4,0),""))</f>
        <v/>
      </c>
      <c r="AB188" s="14" t="str">
        <f aca="false">IF(O188="","",IF(AA188="",0,O188*IF(AA188&gt;1,AA188/100,AA188)))</f>
        <v/>
      </c>
      <c r="AC188" s="14" t="str">
        <f aca="false">IF(O188="","",V188+Y188+AB188)</f>
        <v/>
      </c>
      <c r="AD188" s="19" t="str">
        <f aca="false">IF(O188="","",O188-R188-AC188)</f>
        <v/>
      </c>
      <c r="AE188" s="20"/>
      <c r="AF188" s="10"/>
      <c r="AG188" s="21" t="n">
        <f aca="false">IF(OR(AE188="",AE188=0),0,AE188*IF(U188="",0,IF(U188&gt;1,U188/100,U188)))</f>
        <v>0</v>
      </c>
      <c r="AH188" s="21" t="n">
        <f aca="false">IF(OR(AE188="",AE188=0),0,AE188*IF(X188="",0,IF(X188&gt;1,X188/100,X188)))</f>
        <v>0</v>
      </c>
      <c r="AI188" s="21" t="n">
        <f aca="false">IF(OR(AE188="",AE188=0),0,AE188*IF(AA188="",0,IF(AA188&gt;1,AA188/100,AA188)))</f>
        <v>0</v>
      </c>
      <c r="AJ188" s="21" t="n">
        <f aca="false">AG188+AH188+AI188</f>
        <v>0</v>
      </c>
      <c r="AK188" s="21" t="n">
        <f aca="false">IF(OR(AE188="",AE188=0),0,AE188-AJ188)</f>
        <v>0</v>
      </c>
      <c r="AL188" s="19" t="str">
        <f aca="false">IF(AD188="","",AD188-AK188)</f>
        <v/>
      </c>
      <c r="AM188" s="9" t="str">
        <f aca="false">IF(C188="","","Waiting for payment")</f>
        <v/>
      </c>
      <c r="AN188" s="10"/>
      <c r="AO188" s="10"/>
      <c r="AP188" s="22" t="str">
        <f aca="false">IF(OR(C188="",I188="",K188=""),"",IF(K188="Monthly",EDATE(C188,ROUND(I188*SETTINGS!$I$8,0)),WORKDAY(C188,ROUND(I188*SETTINGS!$I$8,0))))</f>
        <v/>
      </c>
      <c r="AQ188" s="9" t="str">
        <f aca="true">IF(C188="","",IF(AND(AP188&lt;&gt;"",TODAY()&gt;=AP188),"Refi Ready",IF(TODAY()-C188&gt;=SETTINGS!$I$11,"Prospecting","Performing")))</f>
        <v/>
      </c>
      <c r="AR188" s="22" t="str">
        <f aca="false">IF(OR(C188="",I188="",K188=""),"",IF(K188="Monthly",EDATE(C188,I188),WORKDAY(C188,I188)))</f>
        <v/>
      </c>
      <c r="AS188" s="11"/>
      <c r="AT188" s="23" t="str">
        <f aca="true">IF(C188="","",IF(AM188="Clawed Back","CLAWED",IF(TODAY()&lt;=C188+SETTINGS!$I$2,"⚠ AT RISK","SAFE")))</f>
        <v/>
      </c>
      <c r="AU188" s="11"/>
      <c r="AW188" s="24" t="n">
        <f aca="false">AW187+IF(AND(C188&lt;&gt;"",AO188&lt;&gt;"",OR('REP COMMISSION'!$B$3="",T188='REP COMMISSION'!$B$3,W188='REP COMMISSION'!$B$3,Z188='REP COMMISSION'!$B$3)),1,0)</f>
        <v>0</v>
      </c>
      <c r="AX188" s="24" t="n">
        <f aca="false">AX187+IF(AND(C188&lt;&gt;"",OR(F188="LOC - INITIAL",F188="CONSOLIDATION - UPFRONT COMM",F188="REVERSE - TOTAL FUNDING")),1,0)</f>
        <v>0</v>
      </c>
    </row>
    <row r="189" customFormat="false" ht="15" hidden="false" customHeight="false" outlineLevel="0" collapsed="false">
      <c r="A189" s="25" t="str">
        <f aca="false">IF(C189&lt;&gt;"","F27-"&amp;COUNT($C$4:C189),"")</f>
        <v/>
      </c>
      <c r="B189" s="26" t="str">
        <f aca="false">IF(OR(F189="LOC - INITIAL",F189="CONSOLIDATION - UPFRONT COMM",F189="REVERSE - TOTAL FUNDING"),A189,"")</f>
        <v/>
      </c>
      <c r="C189" s="27"/>
      <c r="D189" s="28"/>
      <c r="E189" s="28"/>
      <c r="F189" s="28"/>
      <c r="G189" s="29"/>
      <c r="H189" s="30"/>
      <c r="I189" s="28"/>
      <c r="J189" s="31" t="str">
        <f aca="false">IF(AND(G189&lt;&gt;"",H189&lt;&gt;""),G189*H189,"")</f>
        <v/>
      </c>
      <c r="K189" s="28"/>
      <c r="L189" s="32"/>
      <c r="M189" s="32"/>
      <c r="N189" s="31" t="n">
        <f aca="false">IF(OR(G189="",M189=""),0,IF(M189&gt;100,M189,G189*IF(M189&gt;1,M189/100,M189)))</f>
        <v>0</v>
      </c>
      <c r="O189" s="31" t="str">
        <f aca="false">IF(G189="","",G189*IF(L189="",0,IF(L189&gt;1,L189/100,L189))+N189)</f>
        <v/>
      </c>
      <c r="P189" s="28"/>
      <c r="Q189" s="33" t="str">
        <f aca="false">IF(P189="","",IFERROR(VLOOKUP(P189,PARTNERS!$A$2:$B$30,2,0),""))</f>
        <v/>
      </c>
      <c r="R189" s="17" t="str">
        <f aca="false">IF(O189="","",IF(OR(P189="",Q189=""),0,(O189-N189)*IF(Q189&gt;1,Q189/100,Q189)))</f>
        <v/>
      </c>
      <c r="S189" s="31" t="str">
        <f aca="false">IF(O189="","",O189-R189)</f>
        <v/>
      </c>
      <c r="T189" s="28"/>
      <c r="U189" s="34" t="str">
        <f aca="false">IF(T189="","",IFERROR(VLOOKUP(T189,REPS!$A$2:$D$40,2,0),""))</f>
        <v/>
      </c>
      <c r="V189" s="31" t="str">
        <f aca="false">IF(O189="","",IF(U189="",0,O189*IF(U189&gt;1,U189/100,U189)))</f>
        <v/>
      </c>
      <c r="W189" s="28"/>
      <c r="X189" s="34" t="str">
        <f aca="false">IF(W189="","",IFERROR(VLOOKUP(W189,REPS!$A$2:$D$40,3,0),""))</f>
        <v/>
      </c>
      <c r="Y189" s="31" t="str">
        <f aca="false">IF(O189="","",IF(X189="",0,O189*IF(X189&gt;1,X189/100,X189)))</f>
        <v/>
      </c>
      <c r="Z189" s="28"/>
      <c r="AA189" s="34" t="str">
        <f aca="false">IF(Z189="","",IFERROR(VLOOKUP(Z189,REPS!$A$2:$D$40,4,0),""))</f>
        <v/>
      </c>
      <c r="AB189" s="31" t="str">
        <f aca="false">IF(O189="","",IF(AA189="",0,O189*IF(AA189&gt;1,AA189/100,AA189)))</f>
        <v/>
      </c>
      <c r="AC189" s="31" t="str">
        <f aca="false">IF(O189="","",V189+Y189+AB189)</f>
        <v/>
      </c>
      <c r="AD189" s="19" t="str">
        <f aca="false">IF(O189="","",O189-R189-AC189)</f>
        <v/>
      </c>
      <c r="AE189" s="20"/>
      <c r="AF189" s="27"/>
      <c r="AG189" s="21" t="n">
        <f aca="false">IF(OR(AE189="",AE189=0),0,AE189*IF(U189="",0,IF(U189&gt;1,U189/100,U189)))</f>
        <v>0</v>
      </c>
      <c r="AH189" s="21" t="n">
        <f aca="false">IF(OR(AE189="",AE189=0),0,AE189*IF(X189="",0,IF(X189&gt;1,X189/100,X189)))</f>
        <v>0</v>
      </c>
      <c r="AI189" s="21" t="n">
        <f aca="false">IF(OR(AE189="",AE189=0),0,AE189*IF(AA189="",0,IF(AA189&gt;1,AA189/100,AA189)))</f>
        <v>0</v>
      </c>
      <c r="AJ189" s="21" t="n">
        <f aca="false">AG189+AH189+AI189</f>
        <v>0</v>
      </c>
      <c r="AK189" s="21" t="n">
        <f aca="false">IF(OR(AE189="",AE189=0),0,AE189-AJ189)</f>
        <v>0</v>
      </c>
      <c r="AL189" s="19" t="str">
        <f aca="false">IF(AD189="","",AD189-AK189)</f>
        <v/>
      </c>
      <c r="AM189" s="26" t="str">
        <f aca="false">IF(C189="","","Waiting for payment")</f>
        <v/>
      </c>
      <c r="AN189" s="27"/>
      <c r="AO189" s="27"/>
      <c r="AP189" s="35" t="str">
        <f aca="false">IF(OR(C189="",I189="",K189=""),"",IF(K189="Monthly",EDATE(C189,ROUND(I189*SETTINGS!$I$8,0)),WORKDAY(C189,ROUND(I189*SETTINGS!$I$8,0))))</f>
        <v/>
      </c>
      <c r="AQ189" s="26" t="str">
        <f aca="true">IF(C189="","",IF(AND(AP189&lt;&gt;"",TODAY()&gt;=AP189),"Refi Ready",IF(TODAY()-C189&gt;=SETTINGS!$I$11,"Prospecting","Performing")))</f>
        <v/>
      </c>
      <c r="AR189" s="35" t="str">
        <f aca="false">IF(OR(C189="",I189="",K189=""),"",IF(K189="Monthly",EDATE(C189,I189),WORKDAY(C189,I189)))</f>
        <v/>
      </c>
      <c r="AS189" s="28"/>
      <c r="AT189" s="36" t="str">
        <f aca="true">IF(C189="","",IF(AM189="Clawed Back","CLAWED",IF(TODAY()&lt;=C189+SETTINGS!$I$2,"⚠ AT RISK","SAFE")))</f>
        <v/>
      </c>
      <c r="AU189" s="28"/>
      <c r="AW189" s="24" t="n">
        <f aca="false">AW188+IF(AND(C189&lt;&gt;"",AO189&lt;&gt;"",OR('REP COMMISSION'!$B$3="",T189='REP COMMISSION'!$B$3,W189='REP COMMISSION'!$B$3,Z189='REP COMMISSION'!$B$3)),1,0)</f>
        <v>0</v>
      </c>
      <c r="AX189" s="24" t="n">
        <f aca="false">AX188+IF(AND(C189&lt;&gt;"",OR(F189="LOC - INITIAL",F189="CONSOLIDATION - UPFRONT COMM",F189="REVERSE - TOTAL FUNDING")),1,0)</f>
        <v>0</v>
      </c>
    </row>
    <row r="190" customFormat="false" ht="15" hidden="false" customHeight="false" outlineLevel="0" collapsed="false">
      <c r="A190" s="8" t="str">
        <f aca="false">IF(C190&lt;&gt;"","F27-"&amp;COUNT($C$4:C190),"")</f>
        <v/>
      </c>
      <c r="B190" s="9" t="str">
        <f aca="false">IF(OR(F190="LOC - INITIAL",F190="CONSOLIDATION - UPFRONT COMM",F190="REVERSE - TOTAL FUNDING"),A190,"")</f>
        <v/>
      </c>
      <c r="C190" s="10"/>
      <c r="D190" s="11"/>
      <c r="E190" s="11"/>
      <c r="F190" s="11"/>
      <c r="G190" s="12"/>
      <c r="H190" s="13"/>
      <c r="I190" s="11"/>
      <c r="J190" s="14" t="str">
        <f aca="false">IF(AND(G190&lt;&gt;"",H190&lt;&gt;""),G190*H190,"")</f>
        <v/>
      </c>
      <c r="K190" s="11"/>
      <c r="L190" s="15"/>
      <c r="M190" s="15"/>
      <c r="N190" s="14" t="n">
        <f aca="false">IF(OR(G190="",M190=""),0,IF(M190&gt;100,M190,G190*IF(M190&gt;1,M190/100,M190)))</f>
        <v>0</v>
      </c>
      <c r="O190" s="14" t="str">
        <f aca="false">IF(G190="","",G190*IF(L190="",0,IF(L190&gt;1,L190/100,L190))+N190)</f>
        <v/>
      </c>
      <c r="P190" s="11"/>
      <c r="Q190" s="16" t="str">
        <f aca="false">IF(P190="","",IFERROR(VLOOKUP(P190,PARTNERS!$A$2:$B$30,2,0),""))</f>
        <v/>
      </c>
      <c r="R190" s="17" t="str">
        <f aca="false">IF(O190="","",IF(OR(P190="",Q190=""),0,(O190-N190)*IF(Q190&gt;1,Q190/100,Q190)))</f>
        <v/>
      </c>
      <c r="S190" s="14" t="str">
        <f aca="false">IF(O190="","",O190-R190)</f>
        <v/>
      </c>
      <c r="T190" s="11"/>
      <c r="U190" s="18" t="str">
        <f aca="false">IF(T190="","",IFERROR(VLOOKUP(T190,REPS!$A$2:$D$40,2,0),""))</f>
        <v/>
      </c>
      <c r="V190" s="14" t="str">
        <f aca="false">IF(O190="","",IF(U190="",0,O190*IF(U190&gt;1,U190/100,U190)))</f>
        <v/>
      </c>
      <c r="W190" s="11"/>
      <c r="X190" s="18" t="str">
        <f aca="false">IF(W190="","",IFERROR(VLOOKUP(W190,REPS!$A$2:$D$40,3,0),""))</f>
        <v/>
      </c>
      <c r="Y190" s="14" t="str">
        <f aca="false">IF(O190="","",IF(X190="",0,O190*IF(X190&gt;1,X190/100,X190)))</f>
        <v/>
      </c>
      <c r="Z190" s="11"/>
      <c r="AA190" s="18" t="str">
        <f aca="false">IF(Z190="","",IFERROR(VLOOKUP(Z190,REPS!$A$2:$D$40,4,0),""))</f>
        <v/>
      </c>
      <c r="AB190" s="14" t="str">
        <f aca="false">IF(O190="","",IF(AA190="",0,O190*IF(AA190&gt;1,AA190/100,AA190)))</f>
        <v/>
      </c>
      <c r="AC190" s="14" t="str">
        <f aca="false">IF(O190="","",V190+Y190+AB190)</f>
        <v/>
      </c>
      <c r="AD190" s="19" t="str">
        <f aca="false">IF(O190="","",O190-R190-AC190)</f>
        <v/>
      </c>
      <c r="AE190" s="20"/>
      <c r="AF190" s="10"/>
      <c r="AG190" s="21" t="n">
        <f aca="false">IF(OR(AE190="",AE190=0),0,AE190*IF(U190="",0,IF(U190&gt;1,U190/100,U190)))</f>
        <v>0</v>
      </c>
      <c r="AH190" s="21" t="n">
        <f aca="false">IF(OR(AE190="",AE190=0),0,AE190*IF(X190="",0,IF(X190&gt;1,X190/100,X190)))</f>
        <v>0</v>
      </c>
      <c r="AI190" s="21" t="n">
        <f aca="false">IF(OR(AE190="",AE190=0),0,AE190*IF(AA190="",0,IF(AA190&gt;1,AA190/100,AA190)))</f>
        <v>0</v>
      </c>
      <c r="AJ190" s="21" t="n">
        <f aca="false">AG190+AH190+AI190</f>
        <v>0</v>
      </c>
      <c r="AK190" s="21" t="n">
        <f aca="false">IF(OR(AE190="",AE190=0),0,AE190-AJ190)</f>
        <v>0</v>
      </c>
      <c r="AL190" s="19" t="str">
        <f aca="false">IF(AD190="","",AD190-AK190)</f>
        <v/>
      </c>
      <c r="AM190" s="9" t="str">
        <f aca="false">IF(C190="","","Waiting for payment")</f>
        <v/>
      </c>
      <c r="AN190" s="10"/>
      <c r="AO190" s="10"/>
      <c r="AP190" s="22" t="str">
        <f aca="false">IF(OR(C190="",I190="",K190=""),"",IF(K190="Monthly",EDATE(C190,ROUND(I190*SETTINGS!$I$8,0)),WORKDAY(C190,ROUND(I190*SETTINGS!$I$8,0))))</f>
        <v/>
      </c>
      <c r="AQ190" s="9" t="str">
        <f aca="true">IF(C190="","",IF(AND(AP190&lt;&gt;"",TODAY()&gt;=AP190),"Refi Ready",IF(TODAY()-C190&gt;=SETTINGS!$I$11,"Prospecting","Performing")))</f>
        <v/>
      </c>
      <c r="AR190" s="22" t="str">
        <f aca="false">IF(OR(C190="",I190="",K190=""),"",IF(K190="Monthly",EDATE(C190,I190),WORKDAY(C190,I190)))</f>
        <v/>
      </c>
      <c r="AS190" s="11"/>
      <c r="AT190" s="23" t="str">
        <f aca="true">IF(C190="","",IF(AM190="Clawed Back","CLAWED",IF(TODAY()&lt;=C190+SETTINGS!$I$2,"⚠ AT RISK","SAFE")))</f>
        <v/>
      </c>
      <c r="AU190" s="11"/>
      <c r="AW190" s="24" t="n">
        <f aca="false">AW189+IF(AND(C190&lt;&gt;"",AO190&lt;&gt;"",OR('REP COMMISSION'!$B$3="",T190='REP COMMISSION'!$B$3,W190='REP COMMISSION'!$B$3,Z190='REP COMMISSION'!$B$3)),1,0)</f>
        <v>0</v>
      </c>
      <c r="AX190" s="24" t="n">
        <f aca="false">AX189+IF(AND(C190&lt;&gt;"",OR(F190="LOC - INITIAL",F190="CONSOLIDATION - UPFRONT COMM",F190="REVERSE - TOTAL FUNDING")),1,0)</f>
        <v>0</v>
      </c>
    </row>
    <row r="191" customFormat="false" ht="15" hidden="false" customHeight="false" outlineLevel="0" collapsed="false">
      <c r="A191" s="25" t="str">
        <f aca="false">IF(C191&lt;&gt;"","F27-"&amp;COUNT($C$4:C191),"")</f>
        <v/>
      </c>
      <c r="B191" s="26" t="str">
        <f aca="false">IF(OR(F191="LOC - INITIAL",F191="CONSOLIDATION - UPFRONT COMM",F191="REVERSE - TOTAL FUNDING"),A191,"")</f>
        <v/>
      </c>
      <c r="C191" s="27"/>
      <c r="D191" s="28"/>
      <c r="E191" s="28"/>
      <c r="F191" s="28"/>
      <c r="G191" s="29"/>
      <c r="H191" s="30"/>
      <c r="I191" s="28"/>
      <c r="J191" s="31" t="str">
        <f aca="false">IF(AND(G191&lt;&gt;"",H191&lt;&gt;""),G191*H191,"")</f>
        <v/>
      </c>
      <c r="K191" s="28"/>
      <c r="L191" s="32"/>
      <c r="M191" s="32"/>
      <c r="N191" s="31" t="n">
        <f aca="false">IF(OR(G191="",M191=""),0,IF(M191&gt;100,M191,G191*IF(M191&gt;1,M191/100,M191)))</f>
        <v>0</v>
      </c>
      <c r="O191" s="31" t="str">
        <f aca="false">IF(G191="","",G191*IF(L191="",0,IF(L191&gt;1,L191/100,L191))+N191)</f>
        <v/>
      </c>
      <c r="P191" s="28"/>
      <c r="Q191" s="33" t="str">
        <f aca="false">IF(P191="","",IFERROR(VLOOKUP(P191,PARTNERS!$A$2:$B$30,2,0),""))</f>
        <v/>
      </c>
      <c r="R191" s="17" t="str">
        <f aca="false">IF(O191="","",IF(OR(P191="",Q191=""),0,(O191-N191)*IF(Q191&gt;1,Q191/100,Q191)))</f>
        <v/>
      </c>
      <c r="S191" s="31" t="str">
        <f aca="false">IF(O191="","",O191-R191)</f>
        <v/>
      </c>
      <c r="T191" s="28"/>
      <c r="U191" s="34" t="str">
        <f aca="false">IF(T191="","",IFERROR(VLOOKUP(T191,REPS!$A$2:$D$40,2,0),""))</f>
        <v/>
      </c>
      <c r="V191" s="31" t="str">
        <f aca="false">IF(O191="","",IF(U191="",0,O191*IF(U191&gt;1,U191/100,U191)))</f>
        <v/>
      </c>
      <c r="W191" s="28"/>
      <c r="X191" s="34" t="str">
        <f aca="false">IF(W191="","",IFERROR(VLOOKUP(W191,REPS!$A$2:$D$40,3,0),""))</f>
        <v/>
      </c>
      <c r="Y191" s="31" t="str">
        <f aca="false">IF(O191="","",IF(X191="",0,O191*IF(X191&gt;1,X191/100,X191)))</f>
        <v/>
      </c>
      <c r="Z191" s="28"/>
      <c r="AA191" s="34" t="str">
        <f aca="false">IF(Z191="","",IFERROR(VLOOKUP(Z191,REPS!$A$2:$D$40,4,0),""))</f>
        <v/>
      </c>
      <c r="AB191" s="31" t="str">
        <f aca="false">IF(O191="","",IF(AA191="",0,O191*IF(AA191&gt;1,AA191/100,AA191)))</f>
        <v/>
      </c>
      <c r="AC191" s="31" t="str">
        <f aca="false">IF(O191="","",V191+Y191+AB191)</f>
        <v/>
      </c>
      <c r="AD191" s="19" t="str">
        <f aca="false">IF(O191="","",O191-R191-AC191)</f>
        <v/>
      </c>
      <c r="AE191" s="20"/>
      <c r="AF191" s="27"/>
      <c r="AG191" s="21" t="n">
        <f aca="false">IF(OR(AE191="",AE191=0),0,AE191*IF(U191="",0,IF(U191&gt;1,U191/100,U191)))</f>
        <v>0</v>
      </c>
      <c r="AH191" s="21" t="n">
        <f aca="false">IF(OR(AE191="",AE191=0),0,AE191*IF(X191="",0,IF(X191&gt;1,X191/100,X191)))</f>
        <v>0</v>
      </c>
      <c r="AI191" s="21" t="n">
        <f aca="false">IF(OR(AE191="",AE191=0),0,AE191*IF(AA191="",0,IF(AA191&gt;1,AA191/100,AA191)))</f>
        <v>0</v>
      </c>
      <c r="AJ191" s="21" t="n">
        <f aca="false">AG191+AH191+AI191</f>
        <v>0</v>
      </c>
      <c r="AK191" s="21" t="n">
        <f aca="false">IF(OR(AE191="",AE191=0),0,AE191-AJ191)</f>
        <v>0</v>
      </c>
      <c r="AL191" s="19" t="str">
        <f aca="false">IF(AD191="","",AD191-AK191)</f>
        <v/>
      </c>
      <c r="AM191" s="26" t="str">
        <f aca="false">IF(C191="","","Waiting for payment")</f>
        <v/>
      </c>
      <c r="AN191" s="27"/>
      <c r="AO191" s="27"/>
      <c r="AP191" s="35" t="str">
        <f aca="false">IF(OR(C191="",I191="",K191=""),"",IF(K191="Monthly",EDATE(C191,ROUND(I191*SETTINGS!$I$8,0)),WORKDAY(C191,ROUND(I191*SETTINGS!$I$8,0))))</f>
        <v/>
      </c>
      <c r="AQ191" s="26" t="str">
        <f aca="true">IF(C191="","",IF(AND(AP191&lt;&gt;"",TODAY()&gt;=AP191),"Refi Ready",IF(TODAY()-C191&gt;=SETTINGS!$I$11,"Prospecting","Performing")))</f>
        <v/>
      </c>
      <c r="AR191" s="35" t="str">
        <f aca="false">IF(OR(C191="",I191="",K191=""),"",IF(K191="Monthly",EDATE(C191,I191),WORKDAY(C191,I191)))</f>
        <v/>
      </c>
      <c r="AS191" s="28"/>
      <c r="AT191" s="36" t="str">
        <f aca="true">IF(C191="","",IF(AM191="Clawed Back","CLAWED",IF(TODAY()&lt;=C191+SETTINGS!$I$2,"⚠ AT RISK","SAFE")))</f>
        <v/>
      </c>
      <c r="AU191" s="28"/>
      <c r="AW191" s="24" t="n">
        <f aca="false">AW190+IF(AND(C191&lt;&gt;"",AO191&lt;&gt;"",OR('REP COMMISSION'!$B$3="",T191='REP COMMISSION'!$B$3,W191='REP COMMISSION'!$B$3,Z191='REP COMMISSION'!$B$3)),1,0)</f>
        <v>0</v>
      </c>
      <c r="AX191" s="24" t="n">
        <f aca="false">AX190+IF(AND(C191&lt;&gt;"",OR(F191="LOC - INITIAL",F191="CONSOLIDATION - UPFRONT COMM",F191="REVERSE - TOTAL FUNDING")),1,0)</f>
        <v>0</v>
      </c>
    </row>
    <row r="192" customFormat="false" ht="15" hidden="false" customHeight="false" outlineLevel="0" collapsed="false">
      <c r="A192" s="8" t="str">
        <f aca="false">IF(C192&lt;&gt;"","F27-"&amp;COUNT($C$4:C192),"")</f>
        <v/>
      </c>
      <c r="B192" s="9" t="str">
        <f aca="false">IF(OR(F192="LOC - INITIAL",F192="CONSOLIDATION - UPFRONT COMM",F192="REVERSE - TOTAL FUNDING"),A192,"")</f>
        <v/>
      </c>
      <c r="C192" s="10"/>
      <c r="D192" s="11"/>
      <c r="E192" s="11"/>
      <c r="F192" s="11"/>
      <c r="G192" s="12"/>
      <c r="H192" s="13"/>
      <c r="I192" s="11"/>
      <c r="J192" s="14" t="str">
        <f aca="false">IF(AND(G192&lt;&gt;"",H192&lt;&gt;""),G192*H192,"")</f>
        <v/>
      </c>
      <c r="K192" s="11"/>
      <c r="L192" s="15"/>
      <c r="M192" s="15"/>
      <c r="N192" s="14" t="n">
        <f aca="false">IF(OR(G192="",M192=""),0,IF(M192&gt;100,M192,G192*IF(M192&gt;1,M192/100,M192)))</f>
        <v>0</v>
      </c>
      <c r="O192" s="14" t="str">
        <f aca="false">IF(G192="","",G192*IF(L192="",0,IF(L192&gt;1,L192/100,L192))+N192)</f>
        <v/>
      </c>
      <c r="P192" s="11"/>
      <c r="Q192" s="16" t="str">
        <f aca="false">IF(P192="","",IFERROR(VLOOKUP(P192,PARTNERS!$A$2:$B$30,2,0),""))</f>
        <v/>
      </c>
      <c r="R192" s="17" t="str">
        <f aca="false">IF(O192="","",IF(OR(P192="",Q192=""),0,(O192-N192)*IF(Q192&gt;1,Q192/100,Q192)))</f>
        <v/>
      </c>
      <c r="S192" s="14" t="str">
        <f aca="false">IF(O192="","",O192-R192)</f>
        <v/>
      </c>
      <c r="T192" s="11"/>
      <c r="U192" s="18" t="str">
        <f aca="false">IF(T192="","",IFERROR(VLOOKUP(T192,REPS!$A$2:$D$40,2,0),""))</f>
        <v/>
      </c>
      <c r="V192" s="14" t="str">
        <f aca="false">IF(O192="","",IF(U192="",0,O192*IF(U192&gt;1,U192/100,U192)))</f>
        <v/>
      </c>
      <c r="W192" s="11"/>
      <c r="X192" s="18" t="str">
        <f aca="false">IF(W192="","",IFERROR(VLOOKUP(W192,REPS!$A$2:$D$40,3,0),""))</f>
        <v/>
      </c>
      <c r="Y192" s="14" t="str">
        <f aca="false">IF(O192="","",IF(X192="",0,O192*IF(X192&gt;1,X192/100,X192)))</f>
        <v/>
      </c>
      <c r="Z192" s="11"/>
      <c r="AA192" s="18" t="str">
        <f aca="false">IF(Z192="","",IFERROR(VLOOKUP(Z192,REPS!$A$2:$D$40,4,0),""))</f>
        <v/>
      </c>
      <c r="AB192" s="14" t="str">
        <f aca="false">IF(O192="","",IF(AA192="",0,O192*IF(AA192&gt;1,AA192/100,AA192)))</f>
        <v/>
      </c>
      <c r="AC192" s="14" t="str">
        <f aca="false">IF(O192="","",V192+Y192+AB192)</f>
        <v/>
      </c>
      <c r="AD192" s="19" t="str">
        <f aca="false">IF(O192="","",O192-R192-AC192)</f>
        <v/>
      </c>
      <c r="AE192" s="20"/>
      <c r="AF192" s="10"/>
      <c r="AG192" s="21" t="n">
        <f aca="false">IF(OR(AE192="",AE192=0),0,AE192*IF(U192="",0,IF(U192&gt;1,U192/100,U192)))</f>
        <v>0</v>
      </c>
      <c r="AH192" s="21" t="n">
        <f aca="false">IF(OR(AE192="",AE192=0),0,AE192*IF(X192="",0,IF(X192&gt;1,X192/100,X192)))</f>
        <v>0</v>
      </c>
      <c r="AI192" s="21" t="n">
        <f aca="false">IF(OR(AE192="",AE192=0),0,AE192*IF(AA192="",0,IF(AA192&gt;1,AA192/100,AA192)))</f>
        <v>0</v>
      </c>
      <c r="AJ192" s="21" t="n">
        <f aca="false">AG192+AH192+AI192</f>
        <v>0</v>
      </c>
      <c r="AK192" s="21" t="n">
        <f aca="false">IF(OR(AE192="",AE192=0),0,AE192-AJ192)</f>
        <v>0</v>
      </c>
      <c r="AL192" s="19" t="str">
        <f aca="false">IF(AD192="","",AD192-AK192)</f>
        <v/>
      </c>
      <c r="AM192" s="9" t="str">
        <f aca="false">IF(C192="","","Waiting for payment")</f>
        <v/>
      </c>
      <c r="AN192" s="10"/>
      <c r="AO192" s="10"/>
      <c r="AP192" s="22" t="str">
        <f aca="false">IF(OR(C192="",I192="",K192=""),"",IF(K192="Monthly",EDATE(C192,ROUND(I192*SETTINGS!$I$8,0)),WORKDAY(C192,ROUND(I192*SETTINGS!$I$8,0))))</f>
        <v/>
      </c>
      <c r="AQ192" s="9" t="str">
        <f aca="true">IF(C192="","",IF(AND(AP192&lt;&gt;"",TODAY()&gt;=AP192),"Refi Ready",IF(TODAY()-C192&gt;=SETTINGS!$I$11,"Prospecting","Performing")))</f>
        <v/>
      </c>
      <c r="AR192" s="22" t="str">
        <f aca="false">IF(OR(C192="",I192="",K192=""),"",IF(K192="Monthly",EDATE(C192,I192),WORKDAY(C192,I192)))</f>
        <v/>
      </c>
      <c r="AS192" s="11"/>
      <c r="AT192" s="23" t="str">
        <f aca="true">IF(C192="","",IF(AM192="Clawed Back","CLAWED",IF(TODAY()&lt;=C192+SETTINGS!$I$2,"⚠ AT RISK","SAFE")))</f>
        <v/>
      </c>
      <c r="AU192" s="11"/>
      <c r="AW192" s="24" t="n">
        <f aca="false">AW191+IF(AND(C192&lt;&gt;"",AO192&lt;&gt;"",OR('REP COMMISSION'!$B$3="",T192='REP COMMISSION'!$B$3,W192='REP COMMISSION'!$B$3,Z192='REP COMMISSION'!$B$3)),1,0)</f>
        <v>0</v>
      </c>
      <c r="AX192" s="24" t="n">
        <f aca="false">AX191+IF(AND(C192&lt;&gt;"",OR(F192="LOC - INITIAL",F192="CONSOLIDATION - UPFRONT COMM",F192="REVERSE - TOTAL FUNDING")),1,0)</f>
        <v>0</v>
      </c>
    </row>
    <row r="193" customFormat="false" ht="15" hidden="false" customHeight="false" outlineLevel="0" collapsed="false">
      <c r="A193" s="25" t="str">
        <f aca="false">IF(C193&lt;&gt;"","F27-"&amp;COUNT($C$4:C193),"")</f>
        <v/>
      </c>
      <c r="B193" s="26" t="str">
        <f aca="false">IF(OR(F193="LOC - INITIAL",F193="CONSOLIDATION - UPFRONT COMM",F193="REVERSE - TOTAL FUNDING"),A193,"")</f>
        <v/>
      </c>
      <c r="C193" s="27"/>
      <c r="D193" s="28"/>
      <c r="E193" s="28"/>
      <c r="F193" s="28"/>
      <c r="G193" s="29"/>
      <c r="H193" s="30"/>
      <c r="I193" s="28"/>
      <c r="J193" s="31" t="str">
        <f aca="false">IF(AND(G193&lt;&gt;"",H193&lt;&gt;""),G193*H193,"")</f>
        <v/>
      </c>
      <c r="K193" s="28"/>
      <c r="L193" s="32"/>
      <c r="M193" s="32"/>
      <c r="N193" s="31" t="n">
        <f aca="false">IF(OR(G193="",M193=""),0,IF(M193&gt;100,M193,G193*IF(M193&gt;1,M193/100,M193)))</f>
        <v>0</v>
      </c>
      <c r="O193" s="31" t="str">
        <f aca="false">IF(G193="","",G193*IF(L193="",0,IF(L193&gt;1,L193/100,L193))+N193)</f>
        <v/>
      </c>
      <c r="P193" s="28"/>
      <c r="Q193" s="33" t="str">
        <f aca="false">IF(P193="","",IFERROR(VLOOKUP(P193,PARTNERS!$A$2:$B$30,2,0),""))</f>
        <v/>
      </c>
      <c r="R193" s="17" t="str">
        <f aca="false">IF(O193="","",IF(OR(P193="",Q193=""),0,(O193-N193)*IF(Q193&gt;1,Q193/100,Q193)))</f>
        <v/>
      </c>
      <c r="S193" s="31" t="str">
        <f aca="false">IF(O193="","",O193-R193)</f>
        <v/>
      </c>
      <c r="T193" s="28"/>
      <c r="U193" s="34" t="str">
        <f aca="false">IF(T193="","",IFERROR(VLOOKUP(T193,REPS!$A$2:$D$40,2,0),""))</f>
        <v/>
      </c>
      <c r="V193" s="31" t="str">
        <f aca="false">IF(O193="","",IF(U193="",0,O193*IF(U193&gt;1,U193/100,U193)))</f>
        <v/>
      </c>
      <c r="W193" s="28"/>
      <c r="X193" s="34" t="str">
        <f aca="false">IF(W193="","",IFERROR(VLOOKUP(W193,REPS!$A$2:$D$40,3,0),""))</f>
        <v/>
      </c>
      <c r="Y193" s="31" t="str">
        <f aca="false">IF(O193="","",IF(X193="",0,O193*IF(X193&gt;1,X193/100,X193)))</f>
        <v/>
      </c>
      <c r="Z193" s="28"/>
      <c r="AA193" s="34" t="str">
        <f aca="false">IF(Z193="","",IFERROR(VLOOKUP(Z193,REPS!$A$2:$D$40,4,0),""))</f>
        <v/>
      </c>
      <c r="AB193" s="31" t="str">
        <f aca="false">IF(O193="","",IF(AA193="",0,O193*IF(AA193&gt;1,AA193/100,AA193)))</f>
        <v/>
      </c>
      <c r="AC193" s="31" t="str">
        <f aca="false">IF(O193="","",V193+Y193+AB193)</f>
        <v/>
      </c>
      <c r="AD193" s="19" t="str">
        <f aca="false">IF(O193="","",O193-R193-AC193)</f>
        <v/>
      </c>
      <c r="AE193" s="20"/>
      <c r="AF193" s="27"/>
      <c r="AG193" s="21" t="n">
        <f aca="false">IF(OR(AE193="",AE193=0),0,AE193*IF(U193="",0,IF(U193&gt;1,U193/100,U193)))</f>
        <v>0</v>
      </c>
      <c r="AH193" s="21" t="n">
        <f aca="false">IF(OR(AE193="",AE193=0),0,AE193*IF(X193="",0,IF(X193&gt;1,X193/100,X193)))</f>
        <v>0</v>
      </c>
      <c r="AI193" s="21" t="n">
        <f aca="false">IF(OR(AE193="",AE193=0),0,AE193*IF(AA193="",0,IF(AA193&gt;1,AA193/100,AA193)))</f>
        <v>0</v>
      </c>
      <c r="AJ193" s="21" t="n">
        <f aca="false">AG193+AH193+AI193</f>
        <v>0</v>
      </c>
      <c r="AK193" s="21" t="n">
        <f aca="false">IF(OR(AE193="",AE193=0),0,AE193-AJ193)</f>
        <v>0</v>
      </c>
      <c r="AL193" s="19" t="str">
        <f aca="false">IF(AD193="","",AD193-AK193)</f>
        <v/>
      </c>
      <c r="AM193" s="26" t="str">
        <f aca="false">IF(C193="","","Waiting for payment")</f>
        <v/>
      </c>
      <c r="AN193" s="27"/>
      <c r="AO193" s="27"/>
      <c r="AP193" s="35" t="str">
        <f aca="false">IF(OR(C193="",I193="",K193=""),"",IF(K193="Monthly",EDATE(C193,ROUND(I193*SETTINGS!$I$8,0)),WORKDAY(C193,ROUND(I193*SETTINGS!$I$8,0))))</f>
        <v/>
      </c>
      <c r="AQ193" s="26" t="str">
        <f aca="true">IF(C193="","",IF(AND(AP193&lt;&gt;"",TODAY()&gt;=AP193),"Refi Ready",IF(TODAY()-C193&gt;=SETTINGS!$I$11,"Prospecting","Performing")))</f>
        <v/>
      </c>
      <c r="AR193" s="35" t="str">
        <f aca="false">IF(OR(C193="",I193="",K193=""),"",IF(K193="Monthly",EDATE(C193,I193),WORKDAY(C193,I193)))</f>
        <v/>
      </c>
      <c r="AS193" s="28"/>
      <c r="AT193" s="36" t="str">
        <f aca="true">IF(C193="","",IF(AM193="Clawed Back","CLAWED",IF(TODAY()&lt;=C193+SETTINGS!$I$2,"⚠ AT RISK","SAFE")))</f>
        <v/>
      </c>
      <c r="AU193" s="28"/>
      <c r="AW193" s="24" t="n">
        <f aca="false">AW192+IF(AND(C193&lt;&gt;"",AO193&lt;&gt;"",OR('REP COMMISSION'!$B$3="",T193='REP COMMISSION'!$B$3,W193='REP COMMISSION'!$B$3,Z193='REP COMMISSION'!$B$3)),1,0)</f>
        <v>0</v>
      </c>
      <c r="AX193" s="24" t="n">
        <f aca="false">AX192+IF(AND(C193&lt;&gt;"",OR(F193="LOC - INITIAL",F193="CONSOLIDATION - UPFRONT COMM",F193="REVERSE - TOTAL FUNDING")),1,0)</f>
        <v>0</v>
      </c>
    </row>
    <row r="194" customFormat="false" ht="15" hidden="false" customHeight="false" outlineLevel="0" collapsed="false">
      <c r="A194" s="8" t="str">
        <f aca="false">IF(C194&lt;&gt;"","F27-"&amp;COUNT($C$4:C194),"")</f>
        <v/>
      </c>
      <c r="B194" s="9" t="str">
        <f aca="false">IF(OR(F194="LOC - INITIAL",F194="CONSOLIDATION - UPFRONT COMM",F194="REVERSE - TOTAL FUNDING"),A194,"")</f>
        <v/>
      </c>
      <c r="C194" s="10"/>
      <c r="D194" s="11"/>
      <c r="E194" s="11"/>
      <c r="F194" s="11"/>
      <c r="G194" s="12"/>
      <c r="H194" s="13"/>
      <c r="I194" s="11"/>
      <c r="J194" s="14" t="str">
        <f aca="false">IF(AND(G194&lt;&gt;"",H194&lt;&gt;""),G194*H194,"")</f>
        <v/>
      </c>
      <c r="K194" s="11"/>
      <c r="L194" s="15"/>
      <c r="M194" s="15"/>
      <c r="N194" s="14" t="n">
        <f aca="false">IF(OR(G194="",M194=""),0,IF(M194&gt;100,M194,G194*IF(M194&gt;1,M194/100,M194)))</f>
        <v>0</v>
      </c>
      <c r="O194" s="14" t="str">
        <f aca="false">IF(G194="","",G194*IF(L194="",0,IF(L194&gt;1,L194/100,L194))+N194)</f>
        <v/>
      </c>
      <c r="P194" s="11"/>
      <c r="Q194" s="16" t="str">
        <f aca="false">IF(P194="","",IFERROR(VLOOKUP(P194,PARTNERS!$A$2:$B$30,2,0),""))</f>
        <v/>
      </c>
      <c r="R194" s="17" t="str">
        <f aca="false">IF(O194="","",IF(OR(P194="",Q194=""),0,(O194-N194)*IF(Q194&gt;1,Q194/100,Q194)))</f>
        <v/>
      </c>
      <c r="S194" s="14" t="str">
        <f aca="false">IF(O194="","",O194-R194)</f>
        <v/>
      </c>
      <c r="T194" s="11"/>
      <c r="U194" s="18" t="str">
        <f aca="false">IF(T194="","",IFERROR(VLOOKUP(T194,REPS!$A$2:$D$40,2,0),""))</f>
        <v/>
      </c>
      <c r="V194" s="14" t="str">
        <f aca="false">IF(O194="","",IF(U194="",0,O194*IF(U194&gt;1,U194/100,U194)))</f>
        <v/>
      </c>
      <c r="W194" s="11"/>
      <c r="X194" s="18" t="str">
        <f aca="false">IF(W194="","",IFERROR(VLOOKUP(W194,REPS!$A$2:$D$40,3,0),""))</f>
        <v/>
      </c>
      <c r="Y194" s="14" t="str">
        <f aca="false">IF(O194="","",IF(X194="",0,O194*IF(X194&gt;1,X194/100,X194)))</f>
        <v/>
      </c>
      <c r="Z194" s="11"/>
      <c r="AA194" s="18" t="str">
        <f aca="false">IF(Z194="","",IFERROR(VLOOKUP(Z194,REPS!$A$2:$D$40,4,0),""))</f>
        <v/>
      </c>
      <c r="AB194" s="14" t="str">
        <f aca="false">IF(O194="","",IF(AA194="",0,O194*IF(AA194&gt;1,AA194/100,AA194)))</f>
        <v/>
      </c>
      <c r="AC194" s="14" t="str">
        <f aca="false">IF(O194="","",V194+Y194+AB194)</f>
        <v/>
      </c>
      <c r="AD194" s="19" t="str">
        <f aca="false">IF(O194="","",O194-R194-AC194)</f>
        <v/>
      </c>
      <c r="AE194" s="20"/>
      <c r="AF194" s="10"/>
      <c r="AG194" s="21" t="n">
        <f aca="false">IF(OR(AE194="",AE194=0),0,AE194*IF(U194="",0,IF(U194&gt;1,U194/100,U194)))</f>
        <v>0</v>
      </c>
      <c r="AH194" s="21" t="n">
        <f aca="false">IF(OR(AE194="",AE194=0),0,AE194*IF(X194="",0,IF(X194&gt;1,X194/100,X194)))</f>
        <v>0</v>
      </c>
      <c r="AI194" s="21" t="n">
        <f aca="false">IF(OR(AE194="",AE194=0),0,AE194*IF(AA194="",0,IF(AA194&gt;1,AA194/100,AA194)))</f>
        <v>0</v>
      </c>
      <c r="AJ194" s="21" t="n">
        <f aca="false">AG194+AH194+AI194</f>
        <v>0</v>
      </c>
      <c r="AK194" s="21" t="n">
        <f aca="false">IF(OR(AE194="",AE194=0),0,AE194-AJ194)</f>
        <v>0</v>
      </c>
      <c r="AL194" s="19" t="str">
        <f aca="false">IF(AD194="","",AD194-AK194)</f>
        <v/>
      </c>
      <c r="AM194" s="9" t="str">
        <f aca="false">IF(C194="","","Waiting for payment")</f>
        <v/>
      </c>
      <c r="AN194" s="10"/>
      <c r="AO194" s="10"/>
      <c r="AP194" s="22" t="str">
        <f aca="false">IF(OR(C194="",I194="",K194=""),"",IF(K194="Monthly",EDATE(C194,ROUND(I194*SETTINGS!$I$8,0)),WORKDAY(C194,ROUND(I194*SETTINGS!$I$8,0))))</f>
        <v/>
      </c>
      <c r="AQ194" s="9" t="str">
        <f aca="true">IF(C194="","",IF(AND(AP194&lt;&gt;"",TODAY()&gt;=AP194),"Refi Ready",IF(TODAY()-C194&gt;=SETTINGS!$I$11,"Prospecting","Performing")))</f>
        <v/>
      </c>
      <c r="AR194" s="22" t="str">
        <f aca="false">IF(OR(C194="",I194="",K194=""),"",IF(K194="Monthly",EDATE(C194,I194),WORKDAY(C194,I194)))</f>
        <v/>
      </c>
      <c r="AS194" s="11"/>
      <c r="AT194" s="23" t="str">
        <f aca="true">IF(C194="","",IF(AM194="Clawed Back","CLAWED",IF(TODAY()&lt;=C194+SETTINGS!$I$2,"⚠ AT RISK","SAFE")))</f>
        <v/>
      </c>
      <c r="AU194" s="11"/>
      <c r="AW194" s="24" t="n">
        <f aca="false">AW193+IF(AND(C194&lt;&gt;"",AO194&lt;&gt;"",OR('REP COMMISSION'!$B$3="",T194='REP COMMISSION'!$B$3,W194='REP COMMISSION'!$B$3,Z194='REP COMMISSION'!$B$3)),1,0)</f>
        <v>0</v>
      </c>
      <c r="AX194" s="24" t="n">
        <f aca="false">AX193+IF(AND(C194&lt;&gt;"",OR(F194="LOC - INITIAL",F194="CONSOLIDATION - UPFRONT COMM",F194="REVERSE - TOTAL FUNDING")),1,0)</f>
        <v>0</v>
      </c>
    </row>
    <row r="195" customFormat="false" ht="15" hidden="false" customHeight="false" outlineLevel="0" collapsed="false">
      <c r="A195" s="25" t="str">
        <f aca="false">IF(C195&lt;&gt;"","F27-"&amp;COUNT($C$4:C195),"")</f>
        <v/>
      </c>
      <c r="B195" s="26" t="str">
        <f aca="false">IF(OR(F195="LOC - INITIAL",F195="CONSOLIDATION - UPFRONT COMM",F195="REVERSE - TOTAL FUNDING"),A195,"")</f>
        <v/>
      </c>
      <c r="C195" s="27"/>
      <c r="D195" s="28"/>
      <c r="E195" s="28"/>
      <c r="F195" s="28"/>
      <c r="G195" s="29"/>
      <c r="H195" s="30"/>
      <c r="I195" s="28"/>
      <c r="J195" s="31" t="str">
        <f aca="false">IF(AND(G195&lt;&gt;"",H195&lt;&gt;""),G195*H195,"")</f>
        <v/>
      </c>
      <c r="K195" s="28"/>
      <c r="L195" s="32"/>
      <c r="M195" s="32"/>
      <c r="N195" s="31" t="n">
        <f aca="false">IF(OR(G195="",M195=""),0,IF(M195&gt;100,M195,G195*IF(M195&gt;1,M195/100,M195)))</f>
        <v>0</v>
      </c>
      <c r="O195" s="31" t="str">
        <f aca="false">IF(G195="","",G195*IF(L195="",0,IF(L195&gt;1,L195/100,L195))+N195)</f>
        <v/>
      </c>
      <c r="P195" s="28"/>
      <c r="Q195" s="33" t="str">
        <f aca="false">IF(P195="","",IFERROR(VLOOKUP(P195,PARTNERS!$A$2:$B$30,2,0),""))</f>
        <v/>
      </c>
      <c r="R195" s="17" t="str">
        <f aca="false">IF(O195="","",IF(OR(P195="",Q195=""),0,(O195-N195)*IF(Q195&gt;1,Q195/100,Q195)))</f>
        <v/>
      </c>
      <c r="S195" s="31" t="str">
        <f aca="false">IF(O195="","",O195-R195)</f>
        <v/>
      </c>
      <c r="T195" s="28"/>
      <c r="U195" s="34" t="str">
        <f aca="false">IF(T195="","",IFERROR(VLOOKUP(T195,REPS!$A$2:$D$40,2,0),""))</f>
        <v/>
      </c>
      <c r="V195" s="31" t="str">
        <f aca="false">IF(O195="","",IF(U195="",0,O195*IF(U195&gt;1,U195/100,U195)))</f>
        <v/>
      </c>
      <c r="W195" s="28"/>
      <c r="X195" s="34" t="str">
        <f aca="false">IF(W195="","",IFERROR(VLOOKUP(W195,REPS!$A$2:$D$40,3,0),""))</f>
        <v/>
      </c>
      <c r="Y195" s="31" t="str">
        <f aca="false">IF(O195="","",IF(X195="",0,O195*IF(X195&gt;1,X195/100,X195)))</f>
        <v/>
      </c>
      <c r="Z195" s="28"/>
      <c r="AA195" s="34" t="str">
        <f aca="false">IF(Z195="","",IFERROR(VLOOKUP(Z195,REPS!$A$2:$D$40,4,0),""))</f>
        <v/>
      </c>
      <c r="AB195" s="31" t="str">
        <f aca="false">IF(O195="","",IF(AA195="",0,O195*IF(AA195&gt;1,AA195/100,AA195)))</f>
        <v/>
      </c>
      <c r="AC195" s="31" t="str">
        <f aca="false">IF(O195="","",V195+Y195+AB195)</f>
        <v/>
      </c>
      <c r="AD195" s="19" t="str">
        <f aca="false">IF(O195="","",O195-R195-AC195)</f>
        <v/>
      </c>
      <c r="AE195" s="20"/>
      <c r="AF195" s="27"/>
      <c r="AG195" s="21" t="n">
        <f aca="false">IF(OR(AE195="",AE195=0),0,AE195*IF(U195="",0,IF(U195&gt;1,U195/100,U195)))</f>
        <v>0</v>
      </c>
      <c r="AH195" s="21" t="n">
        <f aca="false">IF(OR(AE195="",AE195=0),0,AE195*IF(X195="",0,IF(X195&gt;1,X195/100,X195)))</f>
        <v>0</v>
      </c>
      <c r="AI195" s="21" t="n">
        <f aca="false">IF(OR(AE195="",AE195=0),0,AE195*IF(AA195="",0,IF(AA195&gt;1,AA195/100,AA195)))</f>
        <v>0</v>
      </c>
      <c r="AJ195" s="21" t="n">
        <f aca="false">AG195+AH195+AI195</f>
        <v>0</v>
      </c>
      <c r="AK195" s="21" t="n">
        <f aca="false">IF(OR(AE195="",AE195=0),0,AE195-AJ195)</f>
        <v>0</v>
      </c>
      <c r="AL195" s="19" t="str">
        <f aca="false">IF(AD195="","",AD195-AK195)</f>
        <v/>
      </c>
      <c r="AM195" s="26" t="str">
        <f aca="false">IF(C195="","","Waiting for payment")</f>
        <v/>
      </c>
      <c r="AN195" s="27"/>
      <c r="AO195" s="27"/>
      <c r="AP195" s="35" t="str">
        <f aca="false">IF(OR(C195="",I195="",K195=""),"",IF(K195="Monthly",EDATE(C195,ROUND(I195*SETTINGS!$I$8,0)),WORKDAY(C195,ROUND(I195*SETTINGS!$I$8,0))))</f>
        <v/>
      </c>
      <c r="AQ195" s="26" t="str">
        <f aca="true">IF(C195="","",IF(AND(AP195&lt;&gt;"",TODAY()&gt;=AP195),"Refi Ready",IF(TODAY()-C195&gt;=SETTINGS!$I$11,"Prospecting","Performing")))</f>
        <v/>
      </c>
      <c r="AR195" s="35" t="str">
        <f aca="false">IF(OR(C195="",I195="",K195=""),"",IF(K195="Monthly",EDATE(C195,I195),WORKDAY(C195,I195)))</f>
        <v/>
      </c>
      <c r="AS195" s="28"/>
      <c r="AT195" s="36" t="str">
        <f aca="true">IF(C195="","",IF(AM195="Clawed Back","CLAWED",IF(TODAY()&lt;=C195+SETTINGS!$I$2,"⚠ AT RISK","SAFE")))</f>
        <v/>
      </c>
      <c r="AU195" s="28"/>
      <c r="AW195" s="24" t="n">
        <f aca="false">AW194+IF(AND(C195&lt;&gt;"",AO195&lt;&gt;"",OR('REP COMMISSION'!$B$3="",T195='REP COMMISSION'!$B$3,W195='REP COMMISSION'!$B$3,Z195='REP COMMISSION'!$B$3)),1,0)</f>
        <v>0</v>
      </c>
      <c r="AX195" s="24" t="n">
        <f aca="false">AX194+IF(AND(C195&lt;&gt;"",OR(F195="LOC - INITIAL",F195="CONSOLIDATION - UPFRONT COMM",F195="REVERSE - TOTAL FUNDING")),1,0)</f>
        <v>0</v>
      </c>
    </row>
    <row r="196" customFormat="false" ht="15" hidden="false" customHeight="false" outlineLevel="0" collapsed="false">
      <c r="A196" s="8" t="str">
        <f aca="false">IF(C196&lt;&gt;"","F27-"&amp;COUNT($C$4:C196),"")</f>
        <v/>
      </c>
      <c r="B196" s="9" t="str">
        <f aca="false">IF(OR(F196="LOC - INITIAL",F196="CONSOLIDATION - UPFRONT COMM",F196="REVERSE - TOTAL FUNDING"),A196,"")</f>
        <v/>
      </c>
      <c r="C196" s="10"/>
      <c r="D196" s="11"/>
      <c r="E196" s="11"/>
      <c r="F196" s="11"/>
      <c r="G196" s="12"/>
      <c r="H196" s="13"/>
      <c r="I196" s="11"/>
      <c r="J196" s="14" t="str">
        <f aca="false">IF(AND(G196&lt;&gt;"",H196&lt;&gt;""),G196*H196,"")</f>
        <v/>
      </c>
      <c r="K196" s="11"/>
      <c r="L196" s="15"/>
      <c r="M196" s="15"/>
      <c r="N196" s="14" t="n">
        <f aca="false">IF(OR(G196="",M196=""),0,IF(M196&gt;100,M196,G196*IF(M196&gt;1,M196/100,M196)))</f>
        <v>0</v>
      </c>
      <c r="O196" s="14" t="str">
        <f aca="false">IF(G196="","",G196*IF(L196="",0,IF(L196&gt;1,L196/100,L196))+N196)</f>
        <v/>
      </c>
      <c r="P196" s="11"/>
      <c r="Q196" s="16" t="str">
        <f aca="false">IF(P196="","",IFERROR(VLOOKUP(P196,PARTNERS!$A$2:$B$30,2,0),""))</f>
        <v/>
      </c>
      <c r="R196" s="17" t="str">
        <f aca="false">IF(O196="","",IF(OR(P196="",Q196=""),0,(O196-N196)*IF(Q196&gt;1,Q196/100,Q196)))</f>
        <v/>
      </c>
      <c r="S196" s="14" t="str">
        <f aca="false">IF(O196="","",O196-R196)</f>
        <v/>
      </c>
      <c r="T196" s="11"/>
      <c r="U196" s="18" t="str">
        <f aca="false">IF(T196="","",IFERROR(VLOOKUP(T196,REPS!$A$2:$D$40,2,0),""))</f>
        <v/>
      </c>
      <c r="V196" s="14" t="str">
        <f aca="false">IF(O196="","",IF(U196="",0,O196*IF(U196&gt;1,U196/100,U196)))</f>
        <v/>
      </c>
      <c r="W196" s="11"/>
      <c r="X196" s="18" t="str">
        <f aca="false">IF(W196="","",IFERROR(VLOOKUP(W196,REPS!$A$2:$D$40,3,0),""))</f>
        <v/>
      </c>
      <c r="Y196" s="14" t="str">
        <f aca="false">IF(O196="","",IF(X196="",0,O196*IF(X196&gt;1,X196/100,X196)))</f>
        <v/>
      </c>
      <c r="Z196" s="11"/>
      <c r="AA196" s="18" t="str">
        <f aca="false">IF(Z196="","",IFERROR(VLOOKUP(Z196,REPS!$A$2:$D$40,4,0),""))</f>
        <v/>
      </c>
      <c r="AB196" s="14" t="str">
        <f aca="false">IF(O196="","",IF(AA196="",0,O196*IF(AA196&gt;1,AA196/100,AA196)))</f>
        <v/>
      </c>
      <c r="AC196" s="14" t="str">
        <f aca="false">IF(O196="","",V196+Y196+AB196)</f>
        <v/>
      </c>
      <c r="AD196" s="19" t="str">
        <f aca="false">IF(O196="","",O196-R196-AC196)</f>
        <v/>
      </c>
      <c r="AE196" s="20"/>
      <c r="AF196" s="10"/>
      <c r="AG196" s="21" t="n">
        <f aca="false">IF(OR(AE196="",AE196=0),0,AE196*IF(U196="",0,IF(U196&gt;1,U196/100,U196)))</f>
        <v>0</v>
      </c>
      <c r="AH196" s="21" t="n">
        <f aca="false">IF(OR(AE196="",AE196=0),0,AE196*IF(X196="",0,IF(X196&gt;1,X196/100,X196)))</f>
        <v>0</v>
      </c>
      <c r="AI196" s="21" t="n">
        <f aca="false">IF(OR(AE196="",AE196=0),0,AE196*IF(AA196="",0,IF(AA196&gt;1,AA196/100,AA196)))</f>
        <v>0</v>
      </c>
      <c r="AJ196" s="21" t="n">
        <f aca="false">AG196+AH196+AI196</f>
        <v>0</v>
      </c>
      <c r="AK196" s="21" t="n">
        <f aca="false">IF(OR(AE196="",AE196=0),0,AE196-AJ196)</f>
        <v>0</v>
      </c>
      <c r="AL196" s="19" t="str">
        <f aca="false">IF(AD196="","",AD196-AK196)</f>
        <v/>
      </c>
      <c r="AM196" s="9" t="str">
        <f aca="false">IF(C196="","","Waiting for payment")</f>
        <v/>
      </c>
      <c r="AN196" s="10"/>
      <c r="AO196" s="10"/>
      <c r="AP196" s="22" t="str">
        <f aca="false">IF(OR(C196="",I196="",K196=""),"",IF(K196="Monthly",EDATE(C196,ROUND(I196*SETTINGS!$I$8,0)),WORKDAY(C196,ROUND(I196*SETTINGS!$I$8,0))))</f>
        <v/>
      </c>
      <c r="AQ196" s="9" t="str">
        <f aca="true">IF(C196="","",IF(AND(AP196&lt;&gt;"",TODAY()&gt;=AP196),"Refi Ready",IF(TODAY()-C196&gt;=SETTINGS!$I$11,"Prospecting","Performing")))</f>
        <v/>
      </c>
      <c r="AR196" s="22" t="str">
        <f aca="false">IF(OR(C196="",I196="",K196=""),"",IF(K196="Monthly",EDATE(C196,I196),WORKDAY(C196,I196)))</f>
        <v/>
      </c>
      <c r="AS196" s="11"/>
      <c r="AT196" s="23" t="str">
        <f aca="true">IF(C196="","",IF(AM196="Clawed Back","CLAWED",IF(TODAY()&lt;=C196+SETTINGS!$I$2,"⚠ AT RISK","SAFE")))</f>
        <v/>
      </c>
      <c r="AU196" s="11"/>
      <c r="AW196" s="24" t="n">
        <f aca="false">AW195+IF(AND(C196&lt;&gt;"",AO196&lt;&gt;"",OR('REP COMMISSION'!$B$3="",T196='REP COMMISSION'!$B$3,W196='REP COMMISSION'!$B$3,Z196='REP COMMISSION'!$B$3)),1,0)</f>
        <v>0</v>
      </c>
      <c r="AX196" s="24" t="n">
        <f aca="false">AX195+IF(AND(C196&lt;&gt;"",OR(F196="LOC - INITIAL",F196="CONSOLIDATION - UPFRONT COMM",F196="REVERSE - TOTAL FUNDING")),1,0)</f>
        <v>0</v>
      </c>
    </row>
    <row r="197" customFormat="false" ht="15" hidden="false" customHeight="false" outlineLevel="0" collapsed="false">
      <c r="A197" s="25" t="str">
        <f aca="false">IF(C197&lt;&gt;"","F27-"&amp;COUNT($C$4:C197),"")</f>
        <v/>
      </c>
      <c r="B197" s="26" t="str">
        <f aca="false">IF(OR(F197="LOC - INITIAL",F197="CONSOLIDATION - UPFRONT COMM",F197="REVERSE - TOTAL FUNDING"),A197,"")</f>
        <v/>
      </c>
      <c r="C197" s="27"/>
      <c r="D197" s="28"/>
      <c r="E197" s="28"/>
      <c r="F197" s="28"/>
      <c r="G197" s="29"/>
      <c r="H197" s="30"/>
      <c r="I197" s="28"/>
      <c r="J197" s="31" t="str">
        <f aca="false">IF(AND(G197&lt;&gt;"",H197&lt;&gt;""),G197*H197,"")</f>
        <v/>
      </c>
      <c r="K197" s="28"/>
      <c r="L197" s="32"/>
      <c r="M197" s="32"/>
      <c r="N197" s="31" t="n">
        <f aca="false">IF(OR(G197="",M197=""),0,IF(M197&gt;100,M197,G197*IF(M197&gt;1,M197/100,M197)))</f>
        <v>0</v>
      </c>
      <c r="O197" s="31" t="str">
        <f aca="false">IF(G197="","",G197*IF(L197="",0,IF(L197&gt;1,L197/100,L197))+N197)</f>
        <v/>
      </c>
      <c r="P197" s="28"/>
      <c r="Q197" s="33" t="str">
        <f aca="false">IF(P197="","",IFERROR(VLOOKUP(P197,PARTNERS!$A$2:$B$30,2,0),""))</f>
        <v/>
      </c>
      <c r="R197" s="17" t="str">
        <f aca="false">IF(O197="","",IF(OR(P197="",Q197=""),0,(O197-N197)*IF(Q197&gt;1,Q197/100,Q197)))</f>
        <v/>
      </c>
      <c r="S197" s="31" t="str">
        <f aca="false">IF(O197="","",O197-R197)</f>
        <v/>
      </c>
      <c r="T197" s="28"/>
      <c r="U197" s="34" t="str">
        <f aca="false">IF(T197="","",IFERROR(VLOOKUP(T197,REPS!$A$2:$D$40,2,0),""))</f>
        <v/>
      </c>
      <c r="V197" s="31" t="str">
        <f aca="false">IF(O197="","",IF(U197="",0,O197*IF(U197&gt;1,U197/100,U197)))</f>
        <v/>
      </c>
      <c r="W197" s="28"/>
      <c r="X197" s="34" t="str">
        <f aca="false">IF(W197="","",IFERROR(VLOOKUP(W197,REPS!$A$2:$D$40,3,0),""))</f>
        <v/>
      </c>
      <c r="Y197" s="31" t="str">
        <f aca="false">IF(O197="","",IF(X197="",0,O197*IF(X197&gt;1,X197/100,X197)))</f>
        <v/>
      </c>
      <c r="Z197" s="28"/>
      <c r="AA197" s="34" t="str">
        <f aca="false">IF(Z197="","",IFERROR(VLOOKUP(Z197,REPS!$A$2:$D$40,4,0),""))</f>
        <v/>
      </c>
      <c r="AB197" s="31" t="str">
        <f aca="false">IF(O197="","",IF(AA197="",0,O197*IF(AA197&gt;1,AA197/100,AA197)))</f>
        <v/>
      </c>
      <c r="AC197" s="31" t="str">
        <f aca="false">IF(O197="","",V197+Y197+AB197)</f>
        <v/>
      </c>
      <c r="AD197" s="19" t="str">
        <f aca="false">IF(O197="","",O197-R197-AC197)</f>
        <v/>
      </c>
      <c r="AE197" s="20"/>
      <c r="AF197" s="27"/>
      <c r="AG197" s="21" t="n">
        <f aca="false">IF(OR(AE197="",AE197=0),0,AE197*IF(U197="",0,IF(U197&gt;1,U197/100,U197)))</f>
        <v>0</v>
      </c>
      <c r="AH197" s="21" t="n">
        <f aca="false">IF(OR(AE197="",AE197=0),0,AE197*IF(X197="",0,IF(X197&gt;1,X197/100,X197)))</f>
        <v>0</v>
      </c>
      <c r="AI197" s="21" t="n">
        <f aca="false">IF(OR(AE197="",AE197=0),0,AE197*IF(AA197="",0,IF(AA197&gt;1,AA197/100,AA197)))</f>
        <v>0</v>
      </c>
      <c r="AJ197" s="21" t="n">
        <f aca="false">AG197+AH197+AI197</f>
        <v>0</v>
      </c>
      <c r="AK197" s="21" t="n">
        <f aca="false">IF(OR(AE197="",AE197=0),0,AE197-AJ197)</f>
        <v>0</v>
      </c>
      <c r="AL197" s="19" t="str">
        <f aca="false">IF(AD197="","",AD197-AK197)</f>
        <v/>
      </c>
      <c r="AM197" s="26" t="str">
        <f aca="false">IF(C197="","","Waiting for payment")</f>
        <v/>
      </c>
      <c r="AN197" s="27"/>
      <c r="AO197" s="27"/>
      <c r="AP197" s="35" t="str">
        <f aca="false">IF(OR(C197="",I197="",K197=""),"",IF(K197="Monthly",EDATE(C197,ROUND(I197*SETTINGS!$I$8,0)),WORKDAY(C197,ROUND(I197*SETTINGS!$I$8,0))))</f>
        <v/>
      </c>
      <c r="AQ197" s="26" t="str">
        <f aca="true">IF(C197="","",IF(AND(AP197&lt;&gt;"",TODAY()&gt;=AP197),"Refi Ready",IF(TODAY()-C197&gt;=SETTINGS!$I$11,"Prospecting","Performing")))</f>
        <v/>
      </c>
      <c r="AR197" s="35" t="str">
        <f aca="false">IF(OR(C197="",I197="",K197=""),"",IF(K197="Monthly",EDATE(C197,I197),WORKDAY(C197,I197)))</f>
        <v/>
      </c>
      <c r="AS197" s="28"/>
      <c r="AT197" s="36" t="str">
        <f aca="true">IF(C197="","",IF(AM197="Clawed Back","CLAWED",IF(TODAY()&lt;=C197+SETTINGS!$I$2,"⚠ AT RISK","SAFE")))</f>
        <v/>
      </c>
      <c r="AU197" s="28"/>
      <c r="AW197" s="24" t="n">
        <f aca="false">AW196+IF(AND(C197&lt;&gt;"",AO197&lt;&gt;"",OR('REP COMMISSION'!$B$3="",T197='REP COMMISSION'!$B$3,W197='REP COMMISSION'!$B$3,Z197='REP COMMISSION'!$B$3)),1,0)</f>
        <v>0</v>
      </c>
      <c r="AX197" s="24" t="n">
        <f aca="false">AX196+IF(AND(C197&lt;&gt;"",OR(F197="LOC - INITIAL",F197="CONSOLIDATION - UPFRONT COMM",F197="REVERSE - TOTAL FUNDING")),1,0)</f>
        <v>0</v>
      </c>
    </row>
    <row r="198" customFormat="false" ht="15" hidden="false" customHeight="false" outlineLevel="0" collapsed="false">
      <c r="A198" s="8" t="str">
        <f aca="false">IF(C198&lt;&gt;"","F27-"&amp;COUNT($C$4:C198),"")</f>
        <v/>
      </c>
      <c r="B198" s="9" t="str">
        <f aca="false">IF(OR(F198="LOC - INITIAL",F198="CONSOLIDATION - UPFRONT COMM",F198="REVERSE - TOTAL FUNDING"),A198,"")</f>
        <v/>
      </c>
      <c r="C198" s="10"/>
      <c r="D198" s="11"/>
      <c r="E198" s="11"/>
      <c r="F198" s="11"/>
      <c r="G198" s="12"/>
      <c r="H198" s="13"/>
      <c r="I198" s="11"/>
      <c r="J198" s="14" t="str">
        <f aca="false">IF(AND(G198&lt;&gt;"",H198&lt;&gt;""),G198*H198,"")</f>
        <v/>
      </c>
      <c r="K198" s="11"/>
      <c r="L198" s="15"/>
      <c r="M198" s="15"/>
      <c r="N198" s="14" t="n">
        <f aca="false">IF(OR(G198="",M198=""),0,IF(M198&gt;100,M198,G198*IF(M198&gt;1,M198/100,M198)))</f>
        <v>0</v>
      </c>
      <c r="O198" s="14" t="str">
        <f aca="false">IF(G198="","",G198*IF(L198="",0,IF(L198&gt;1,L198/100,L198))+N198)</f>
        <v/>
      </c>
      <c r="P198" s="11"/>
      <c r="Q198" s="16" t="str">
        <f aca="false">IF(P198="","",IFERROR(VLOOKUP(P198,PARTNERS!$A$2:$B$30,2,0),""))</f>
        <v/>
      </c>
      <c r="R198" s="17" t="str">
        <f aca="false">IF(O198="","",IF(OR(P198="",Q198=""),0,(O198-N198)*IF(Q198&gt;1,Q198/100,Q198)))</f>
        <v/>
      </c>
      <c r="S198" s="14" t="str">
        <f aca="false">IF(O198="","",O198-R198)</f>
        <v/>
      </c>
      <c r="T198" s="11"/>
      <c r="U198" s="18" t="str">
        <f aca="false">IF(T198="","",IFERROR(VLOOKUP(T198,REPS!$A$2:$D$40,2,0),""))</f>
        <v/>
      </c>
      <c r="V198" s="14" t="str">
        <f aca="false">IF(O198="","",IF(U198="",0,O198*IF(U198&gt;1,U198/100,U198)))</f>
        <v/>
      </c>
      <c r="W198" s="11"/>
      <c r="X198" s="18" t="str">
        <f aca="false">IF(W198="","",IFERROR(VLOOKUP(W198,REPS!$A$2:$D$40,3,0),""))</f>
        <v/>
      </c>
      <c r="Y198" s="14" t="str">
        <f aca="false">IF(O198="","",IF(X198="",0,O198*IF(X198&gt;1,X198/100,X198)))</f>
        <v/>
      </c>
      <c r="Z198" s="11"/>
      <c r="AA198" s="18" t="str">
        <f aca="false">IF(Z198="","",IFERROR(VLOOKUP(Z198,REPS!$A$2:$D$40,4,0),""))</f>
        <v/>
      </c>
      <c r="AB198" s="14" t="str">
        <f aca="false">IF(O198="","",IF(AA198="",0,O198*IF(AA198&gt;1,AA198/100,AA198)))</f>
        <v/>
      </c>
      <c r="AC198" s="14" t="str">
        <f aca="false">IF(O198="","",V198+Y198+AB198)</f>
        <v/>
      </c>
      <c r="AD198" s="19" t="str">
        <f aca="false">IF(O198="","",O198-R198-AC198)</f>
        <v/>
      </c>
      <c r="AE198" s="20"/>
      <c r="AF198" s="10"/>
      <c r="AG198" s="21" t="n">
        <f aca="false">IF(OR(AE198="",AE198=0),0,AE198*IF(U198="",0,IF(U198&gt;1,U198/100,U198)))</f>
        <v>0</v>
      </c>
      <c r="AH198" s="21" t="n">
        <f aca="false">IF(OR(AE198="",AE198=0),0,AE198*IF(X198="",0,IF(X198&gt;1,X198/100,X198)))</f>
        <v>0</v>
      </c>
      <c r="AI198" s="21" t="n">
        <f aca="false">IF(OR(AE198="",AE198=0),0,AE198*IF(AA198="",0,IF(AA198&gt;1,AA198/100,AA198)))</f>
        <v>0</v>
      </c>
      <c r="AJ198" s="21" t="n">
        <f aca="false">AG198+AH198+AI198</f>
        <v>0</v>
      </c>
      <c r="AK198" s="21" t="n">
        <f aca="false">IF(OR(AE198="",AE198=0),0,AE198-AJ198)</f>
        <v>0</v>
      </c>
      <c r="AL198" s="19" t="str">
        <f aca="false">IF(AD198="","",AD198-AK198)</f>
        <v/>
      </c>
      <c r="AM198" s="9" t="str">
        <f aca="false">IF(C198="","","Waiting for payment")</f>
        <v/>
      </c>
      <c r="AN198" s="10"/>
      <c r="AO198" s="10"/>
      <c r="AP198" s="22" t="str">
        <f aca="false">IF(OR(C198="",I198="",K198=""),"",IF(K198="Monthly",EDATE(C198,ROUND(I198*SETTINGS!$I$8,0)),WORKDAY(C198,ROUND(I198*SETTINGS!$I$8,0))))</f>
        <v/>
      </c>
      <c r="AQ198" s="9" t="str">
        <f aca="true">IF(C198="","",IF(AND(AP198&lt;&gt;"",TODAY()&gt;=AP198),"Refi Ready",IF(TODAY()-C198&gt;=SETTINGS!$I$11,"Prospecting","Performing")))</f>
        <v/>
      </c>
      <c r="AR198" s="22" t="str">
        <f aca="false">IF(OR(C198="",I198="",K198=""),"",IF(K198="Monthly",EDATE(C198,I198),WORKDAY(C198,I198)))</f>
        <v/>
      </c>
      <c r="AS198" s="11"/>
      <c r="AT198" s="23" t="str">
        <f aca="true">IF(C198="","",IF(AM198="Clawed Back","CLAWED",IF(TODAY()&lt;=C198+SETTINGS!$I$2,"⚠ AT RISK","SAFE")))</f>
        <v/>
      </c>
      <c r="AU198" s="11"/>
      <c r="AW198" s="24" t="n">
        <f aca="false">AW197+IF(AND(C198&lt;&gt;"",AO198&lt;&gt;"",OR('REP COMMISSION'!$B$3="",T198='REP COMMISSION'!$B$3,W198='REP COMMISSION'!$B$3,Z198='REP COMMISSION'!$B$3)),1,0)</f>
        <v>0</v>
      </c>
      <c r="AX198" s="24" t="n">
        <f aca="false">AX197+IF(AND(C198&lt;&gt;"",OR(F198="LOC - INITIAL",F198="CONSOLIDATION - UPFRONT COMM",F198="REVERSE - TOTAL FUNDING")),1,0)</f>
        <v>0</v>
      </c>
    </row>
    <row r="199" customFormat="false" ht="15" hidden="false" customHeight="false" outlineLevel="0" collapsed="false">
      <c r="A199" s="25" t="str">
        <f aca="false">IF(C199&lt;&gt;"","F27-"&amp;COUNT($C$4:C199),"")</f>
        <v/>
      </c>
      <c r="B199" s="26" t="str">
        <f aca="false">IF(OR(F199="LOC - INITIAL",F199="CONSOLIDATION - UPFRONT COMM",F199="REVERSE - TOTAL FUNDING"),A199,"")</f>
        <v/>
      </c>
      <c r="C199" s="27"/>
      <c r="D199" s="28"/>
      <c r="E199" s="28"/>
      <c r="F199" s="28"/>
      <c r="G199" s="29"/>
      <c r="H199" s="30"/>
      <c r="I199" s="28"/>
      <c r="J199" s="31" t="str">
        <f aca="false">IF(AND(G199&lt;&gt;"",H199&lt;&gt;""),G199*H199,"")</f>
        <v/>
      </c>
      <c r="K199" s="28"/>
      <c r="L199" s="32"/>
      <c r="M199" s="32"/>
      <c r="N199" s="31" t="n">
        <f aca="false">IF(OR(G199="",M199=""),0,IF(M199&gt;100,M199,G199*IF(M199&gt;1,M199/100,M199)))</f>
        <v>0</v>
      </c>
      <c r="O199" s="31" t="str">
        <f aca="false">IF(G199="","",G199*IF(L199="",0,IF(L199&gt;1,L199/100,L199))+N199)</f>
        <v/>
      </c>
      <c r="P199" s="28"/>
      <c r="Q199" s="33" t="str">
        <f aca="false">IF(P199="","",IFERROR(VLOOKUP(P199,PARTNERS!$A$2:$B$30,2,0),""))</f>
        <v/>
      </c>
      <c r="R199" s="17" t="str">
        <f aca="false">IF(O199="","",IF(OR(P199="",Q199=""),0,(O199-N199)*IF(Q199&gt;1,Q199/100,Q199)))</f>
        <v/>
      </c>
      <c r="S199" s="31" t="str">
        <f aca="false">IF(O199="","",O199-R199)</f>
        <v/>
      </c>
      <c r="T199" s="28"/>
      <c r="U199" s="34" t="str">
        <f aca="false">IF(T199="","",IFERROR(VLOOKUP(T199,REPS!$A$2:$D$40,2,0),""))</f>
        <v/>
      </c>
      <c r="V199" s="31" t="str">
        <f aca="false">IF(O199="","",IF(U199="",0,O199*IF(U199&gt;1,U199/100,U199)))</f>
        <v/>
      </c>
      <c r="W199" s="28"/>
      <c r="X199" s="34" t="str">
        <f aca="false">IF(W199="","",IFERROR(VLOOKUP(W199,REPS!$A$2:$D$40,3,0),""))</f>
        <v/>
      </c>
      <c r="Y199" s="31" t="str">
        <f aca="false">IF(O199="","",IF(X199="",0,O199*IF(X199&gt;1,X199/100,X199)))</f>
        <v/>
      </c>
      <c r="Z199" s="28"/>
      <c r="AA199" s="34" t="str">
        <f aca="false">IF(Z199="","",IFERROR(VLOOKUP(Z199,REPS!$A$2:$D$40,4,0),""))</f>
        <v/>
      </c>
      <c r="AB199" s="31" t="str">
        <f aca="false">IF(O199="","",IF(AA199="",0,O199*IF(AA199&gt;1,AA199/100,AA199)))</f>
        <v/>
      </c>
      <c r="AC199" s="31" t="str">
        <f aca="false">IF(O199="","",V199+Y199+AB199)</f>
        <v/>
      </c>
      <c r="AD199" s="19" t="str">
        <f aca="false">IF(O199="","",O199-R199-AC199)</f>
        <v/>
      </c>
      <c r="AE199" s="20"/>
      <c r="AF199" s="27"/>
      <c r="AG199" s="21" t="n">
        <f aca="false">IF(OR(AE199="",AE199=0),0,AE199*IF(U199="",0,IF(U199&gt;1,U199/100,U199)))</f>
        <v>0</v>
      </c>
      <c r="AH199" s="21" t="n">
        <f aca="false">IF(OR(AE199="",AE199=0),0,AE199*IF(X199="",0,IF(X199&gt;1,X199/100,X199)))</f>
        <v>0</v>
      </c>
      <c r="AI199" s="21" t="n">
        <f aca="false">IF(OR(AE199="",AE199=0),0,AE199*IF(AA199="",0,IF(AA199&gt;1,AA199/100,AA199)))</f>
        <v>0</v>
      </c>
      <c r="AJ199" s="21" t="n">
        <f aca="false">AG199+AH199+AI199</f>
        <v>0</v>
      </c>
      <c r="AK199" s="21" t="n">
        <f aca="false">IF(OR(AE199="",AE199=0),0,AE199-AJ199)</f>
        <v>0</v>
      </c>
      <c r="AL199" s="19" t="str">
        <f aca="false">IF(AD199="","",AD199-AK199)</f>
        <v/>
      </c>
      <c r="AM199" s="26" t="str">
        <f aca="false">IF(C199="","","Waiting for payment")</f>
        <v/>
      </c>
      <c r="AN199" s="27"/>
      <c r="AO199" s="27"/>
      <c r="AP199" s="35" t="str">
        <f aca="false">IF(OR(C199="",I199="",K199=""),"",IF(K199="Monthly",EDATE(C199,ROUND(I199*SETTINGS!$I$8,0)),WORKDAY(C199,ROUND(I199*SETTINGS!$I$8,0))))</f>
        <v/>
      </c>
      <c r="AQ199" s="26" t="str">
        <f aca="true">IF(C199="","",IF(AND(AP199&lt;&gt;"",TODAY()&gt;=AP199),"Refi Ready",IF(TODAY()-C199&gt;=SETTINGS!$I$11,"Prospecting","Performing")))</f>
        <v/>
      </c>
      <c r="AR199" s="35" t="str">
        <f aca="false">IF(OR(C199="",I199="",K199=""),"",IF(K199="Monthly",EDATE(C199,I199),WORKDAY(C199,I199)))</f>
        <v/>
      </c>
      <c r="AS199" s="28"/>
      <c r="AT199" s="36" t="str">
        <f aca="true">IF(C199="","",IF(AM199="Clawed Back","CLAWED",IF(TODAY()&lt;=C199+SETTINGS!$I$2,"⚠ AT RISK","SAFE")))</f>
        <v/>
      </c>
      <c r="AU199" s="28"/>
      <c r="AW199" s="24" t="n">
        <f aca="false">AW198+IF(AND(C199&lt;&gt;"",AO199&lt;&gt;"",OR('REP COMMISSION'!$B$3="",T199='REP COMMISSION'!$B$3,W199='REP COMMISSION'!$B$3,Z199='REP COMMISSION'!$B$3)),1,0)</f>
        <v>0</v>
      </c>
      <c r="AX199" s="24" t="n">
        <f aca="false">AX198+IF(AND(C199&lt;&gt;"",OR(F199="LOC - INITIAL",F199="CONSOLIDATION - UPFRONT COMM",F199="REVERSE - TOTAL FUNDING")),1,0)</f>
        <v>0</v>
      </c>
    </row>
    <row r="200" customFormat="false" ht="15" hidden="false" customHeight="false" outlineLevel="0" collapsed="false">
      <c r="A200" s="8" t="str">
        <f aca="false">IF(C200&lt;&gt;"","F27-"&amp;COUNT($C$4:C200),"")</f>
        <v/>
      </c>
      <c r="B200" s="9" t="str">
        <f aca="false">IF(OR(F200="LOC - INITIAL",F200="CONSOLIDATION - UPFRONT COMM",F200="REVERSE - TOTAL FUNDING"),A200,"")</f>
        <v/>
      </c>
      <c r="C200" s="10"/>
      <c r="D200" s="11"/>
      <c r="E200" s="11"/>
      <c r="F200" s="11"/>
      <c r="G200" s="12"/>
      <c r="H200" s="13"/>
      <c r="I200" s="11"/>
      <c r="J200" s="14" t="str">
        <f aca="false">IF(AND(G200&lt;&gt;"",H200&lt;&gt;""),G200*H200,"")</f>
        <v/>
      </c>
      <c r="K200" s="11"/>
      <c r="L200" s="15"/>
      <c r="M200" s="15"/>
      <c r="N200" s="14" t="n">
        <f aca="false">IF(OR(G200="",M200=""),0,IF(M200&gt;100,M200,G200*IF(M200&gt;1,M200/100,M200)))</f>
        <v>0</v>
      </c>
      <c r="O200" s="14" t="str">
        <f aca="false">IF(G200="","",G200*IF(L200="",0,IF(L200&gt;1,L200/100,L200))+N200)</f>
        <v/>
      </c>
      <c r="P200" s="11"/>
      <c r="Q200" s="16" t="str">
        <f aca="false">IF(P200="","",IFERROR(VLOOKUP(P200,PARTNERS!$A$2:$B$30,2,0),""))</f>
        <v/>
      </c>
      <c r="R200" s="17" t="str">
        <f aca="false">IF(O200="","",IF(OR(P200="",Q200=""),0,(O200-N200)*IF(Q200&gt;1,Q200/100,Q200)))</f>
        <v/>
      </c>
      <c r="S200" s="14" t="str">
        <f aca="false">IF(O200="","",O200-R200)</f>
        <v/>
      </c>
      <c r="T200" s="11"/>
      <c r="U200" s="18" t="str">
        <f aca="false">IF(T200="","",IFERROR(VLOOKUP(T200,REPS!$A$2:$D$40,2,0),""))</f>
        <v/>
      </c>
      <c r="V200" s="14" t="str">
        <f aca="false">IF(O200="","",IF(U200="",0,O200*IF(U200&gt;1,U200/100,U200)))</f>
        <v/>
      </c>
      <c r="W200" s="11"/>
      <c r="X200" s="18" t="str">
        <f aca="false">IF(W200="","",IFERROR(VLOOKUP(W200,REPS!$A$2:$D$40,3,0),""))</f>
        <v/>
      </c>
      <c r="Y200" s="14" t="str">
        <f aca="false">IF(O200="","",IF(X200="",0,O200*IF(X200&gt;1,X200/100,X200)))</f>
        <v/>
      </c>
      <c r="Z200" s="11"/>
      <c r="AA200" s="18" t="str">
        <f aca="false">IF(Z200="","",IFERROR(VLOOKUP(Z200,REPS!$A$2:$D$40,4,0),""))</f>
        <v/>
      </c>
      <c r="AB200" s="14" t="str">
        <f aca="false">IF(O200="","",IF(AA200="",0,O200*IF(AA200&gt;1,AA200/100,AA200)))</f>
        <v/>
      </c>
      <c r="AC200" s="14" t="str">
        <f aca="false">IF(O200="","",V200+Y200+AB200)</f>
        <v/>
      </c>
      <c r="AD200" s="19" t="str">
        <f aca="false">IF(O200="","",O200-R200-AC200)</f>
        <v/>
      </c>
      <c r="AE200" s="20"/>
      <c r="AF200" s="10"/>
      <c r="AG200" s="21" t="n">
        <f aca="false">IF(OR(AE200="",AE200=0),0,AE200*IF(U200="",0,IF(U200&gt;1,U200/100,U200)))</f>
        <v>0</v>
      </c>
      <c r="AH200" s="21" t="n">
        <f aca="false">IF(OR(AE200="",AE200=0),0,AE200*IF(X200="",0,IF(X200&gt;1,X200/100,X200)))</f>
        <v>0</v>
      </c>
      <c r="AI200" s="21" t="n">
        <f aca="false">IF(OR(AE200="",AE200=0),0,AE200*IF(AA200="",0,IF(AA200&gt;1,AA200/100,AA200)))</f>
        <v>0</v>
      </c>
      <c r="AJ200" s="21" t="n">
        <f aca="false">AG200+AH200+AI200</f>
        <v>0</v>
      </c>
      <c r="AK200" s="21" t="n">
        <f aca="false">IF(OR(AE200="",AE200=0),0,AE200-AJ200)</f>
        <v>0</v>
      </c>
      <c r="AL200" s="19" t="str">
        <f aca="false">IF(AD200="","",AD200-AK200)</f>
        <v/>
      </c>
      <c r="AM200" s="9" t="str">
        <f aca="false">IF(C200="","","Waiting for payment")</f>
        <v/>
      </c>
      <c r="AN200" s="10"/>
      <c r="AO200" s="10"/>
      <c r="AP200" s="22" t="str">
        <f aca="false">IF(OR(C200="",I200="",K200=""),"",IF(K200="Monthly",EDATE(C200,ROUND(I200*SETTINGS!$I$8,0)),WORKDAY(C200,ROUND(I200*SETTINGS!$I$8,0))))</f>
        <v/>
      </c>
      <c r="AQ200" s="9" t="str">
        <f aca="true">IF(C200="","",IF(AND(AP200&lt;&gt;"",TODAY()&gt;=AP200),"Refi Ready",IF(TODAY()-C200&gt;=SETTINGS!$I$11,"Prospecting","Performing")))</f>
        <v/>
      </c>
      <c r="AR200" s="22" t="str">
        <f aca="false">IF(OR(C200="",I200="",K200=""),"",IF(K200="Monthly",EDATE(C200,I200),WORKDAY(C200,I200)))</f>
        <v/>
      </c>
      <c r="AS200" s="11"/>
      <c r="AT200" s="23" t="str">
        <f aca="true">IF(C200="","",IF(AM200="Clawed Back","CLAWED",IF(TODAY()&lt;=C200+SETTINGS!$I$2,"⚠ AT RISK","SAFE")))</f>
        <v/>
      </c>
      <c r="AU200" s="11"/>
      <c r="AW200" s="24" t="n">
        <f aca="false">AW199+IF(AND(C200&lt;&gt;"",AO200&lt;&gt;"",OR('REP COMMISSION'!$B$3="",T200='REP COMMISSION'!$B$3,W200='REP COMMISSION'!$B$3,Z200='REP COMMISSION'!$B$3)),1,0)</f>
        <v>0</v>
      </c>
      <c r="AX200" s="24" t="n">
        <f aca="false">AX199+IF(AND(C200&lt;&gt;"",OR(F200="LOC - INITIAL",F200="CONSOLIDATION - UPFRONT COMM",F200="REVERSE - TOTAL FUNDING")),1,0)</f>
        <v>0</v>
      </c>
    </row>
    <row r="201" customFormat="false" ht="15" hidden="false" customHeight="false" outlineLevel="0" collapsed="false">
      <c r="A201" s="25" t="str">
        <f aca="false">IF(C201&lt;&gt;"","F27-"&amp;COUNT($C$4:C201),"")</f>
        <v/>
      </c>
      <c r="B201" s="26" t="str">
        <f aca="false">IF(OR(F201="LOC - INITIAL",F201="CONSOLIDATION - UPFRONT COMM",F201="REVERSE - TOTAL FUNDING"),A201,"")</f>
        <v/>
      </c>
      <c r="C201" s="27"/>
      <c r="D201" s="28"/>
      <c r="E201" s="28"/>
      <c r="F201" s="28"/>
      <c r="G201" s="29"/>
      <c r="H201" s="30"/>
      <c r="I201" s="28"/>
      <c r="J201" s="31" t="str">
        <f aca="false">IF(AND(G201&lt;&gt;"",H201&lt;&gt;""),G201*H201,"")</f>
        <v/>
      </c>
      <c r="K201" s="28"/>
      <c r="L201" s="32"/>
      <c r="M201" s="32"/>
      <c r="N201" s="31" t="n">
        <f aca="false">IF(OR(G201="",M201=""),0,IF(M201&gt;100,M201,G201*IF(M201&gt;1,M201/100,M201)))</f>
        <v>0</v>
      </c>
      <c r="O201" s="31" t="str">
        <f aca="false">IF(G201="","",G201*IF(L201="",0,IF(L201&gt;1,L201/100,L201))+N201)</f>
        <v/>
      </c>
      <c r="P201" s="28"/>
      <c r="Q201" s="33" t="str">
        <f aca="false">IF(P201="","",IFERROR(VLOOKUP(P201,PARTNERS!$A$2:$B$30,2,0),""))</f>
        <v/>
      </c>
      <c r="R201" s="17" t="str">
        <f aca="false">IF(O201="","",IF(OR(P201="",Q201=""),0,(O201-N201)*IF(Q201&gt;1,Q201/100,Q201)))</f>
        <v/>
      </c>
      <c r="S201" s="31" t="str">
        <f aca="false">IF(O201="","",O201-R201)</f>
        <v/>
      </c>
      <c r="T201" s="28"/>
      <c r="U201" s="34" t="str">
        <f aca="false">IF(T201="","",IFERROR(VLOOKUP(T201,REPS!$A$2:$D$40,2,0),""))</f>
        <v/>
      </c>
      <c r="V201" s="31" t="str">
        <f aca="false">IF(O201="","",IF(U201="",0,O201*IF(U201&gt;1,U201/100,U201)))</f>
        <v/>
      </c>
      <c r="W201" s="28"/>
      <c r="X201" s="34" t="str">
        <f aca="false">IF(W201="","",IFERROR(VLOOKUP(W201,REPS!$A$2:$D$40,3,0),""))</f>
        <v/>
      </c>
      <c r="Y201" s="31" t="str">
        <f aca="false">IF(O201="","",IF(X201="",0,O201*IF(X201&gt;1,X201/100,X201)))</f>
        <v/>
      </c>
      <c r="Z201" s="28"/>
      <c r="AA201" s="34" t="str">
        <f aca="false">IF(Z201="","",IFERROR(VLOOKUP(Z201,REPS!$A$2:$D$40,4,0),""))</f>
        <v/>
      </c>
      <c r="AB201" s="31" t="str">
        <f aca="false">IF(O201="","",IF(AA201="",0,O201*IF(AA201&gt;1,AA201/100,AA201)))</f>
        <v/>
      </c>
      <c r="AC201" s="31" t="str">
        <f aca="false">IF(O201="","",V201+Y201+AB201)</f>
        <v/>
      </c>
      <c r="AD201" s="19" t="str">
        <f aca="false">IF(O201="","",O201-R201-AC201)</f>
        <v/>
      </c>
      <c r="AE201" s="20"/>
      <c r="AF201" s="27"/>
      <c r="AG201" s="21" t="n">
        <f aca="false">IF(OR(AE201="",AE201=0),0,AE201*IF(U201="",0,IF(U201&gt;1,U201/100,U201)))</f>
        <v>0</v>
      </c>
      <c r="AH201" s="21" t="n">
        <f aca="false">IF(OR(AE201="",AE201=0),0,AE201*IF(X201="",0,IF(X201&gt;1,X201/100,X201)))</f>
        <v>0</v>
      </c>
      <c r="AI201" s="21" t="n">
        <f aca="false">IF(OR(AE201="",AE201=0),0,AE201*IF(AA201="",0,IF(AA201&gt;1,AA201/100,AA201)))</f>
        <v>0</v>
      </c>
      <c r="AJ201" s="21" t="n">
        <f aca="false">AG201+AH201+AI201</f>
        <v>0</v>
      </c>
      <c r="AK201" s="21" t="n">
        <f aca="false">IF(OR(AE201="",AE201=0),0,AE201-AJ201)</f>
        <v>0</v>
      </c>
      <c r="AL201" s="19" t="str">
        <f aca="false">IF(AD201="","",AD201-AK201)</f>
        <v/>
      </c>
      <c r="AM201" s="26" t="str">
        <f aca="false">IF(C201="","","Waiting for payment")</f>
        <v/>
      </c>
      <c r="AN201" s="27"/>
      <c r="AO201" s="27"/>
      <c r="AP201" s="35" t="str">
        <f aca="false">IF(OR(C201="",I201="",K201=""),"",IF(K201="Monthly",EDATE(C201,ROUND(I201*SETTINGS!$I$8,0)),WORKDAY(C201,ROUND(I201*SETTINGS!$I$8,0))))</f>
        <v/>
      </c>
      <c r="AQ201" s="26" t="str">
        <f aca="true">IF(C201="","",IF(AND(AP201&lt;&gt;"",TODAY()&gt;=AP201),"Refi Ready",IF(TODAY()-C201&gt;=SETTINGS!$I$11,"Prospecting","Performing")))</f>
        <v/>
      </c>
      <c r="AR201" s="35" t="str">
        <f aca="false">IF(OR(C201="",I201="",K201=""),"",IF(K201="Monthly",EDATE(C201,I201),WORKDAY(C201,I201)))</f>
        <v/>
      </c>
      <c r="AS201" s="28"/>
      <c r="AT201" s="36" t="str">
        <f aca="true">IF(C201="","",IF(AM201="Clawed Back","CLAWED",IF(TODAY()&lt;=C201+SETTINGS!$I$2,"⚠ AT RISK","SAFE")))</f>
        <v/>
      </c>
      <c r="AU201" s="28"/>
      <c r="AW201" s="24" t="n">
        <f aca="false">AW200+IF(AND(C201&lt;&gt;"",AO201&lt;&gt;"",OR('REP COMMISSION'!$B$3="",T201='REP COMMISSION'!$B$3,W201='REP COMMISSION'!$B$3,Z201='REP COMMISSION'!$B$3)),1,0)</f>
        <v>0</v>
      </c>
      <c r="AX201" s="24" t="n">
        <f aca="false">AX200+IF(AND(C201&lt;&gt;"",OR(F201="LOC - INITIAL",F201="CONSOLIDATION - UPFRONT COMM",F201="REVERSE - TOTAL FUNDING")),1,0)</f>
        <v>0</v>
      </c>
    </row>
    <row r="202" customFormat="false" ht="15" hidden="false" customHeight="false" outlineLevel="0" collapsed="false">
      <c r="A202" s="8" t="str">
        <f aca="false">IF(C202&lt;&gt;"","F27-"&amp;COUNT($C$4:C202),"")</f>
        <v/>
      </c>
      <c r="B202" s="9" t="str">
        <f aca="false">IF(OR(F202="LOC - INITIAL",F202="CONSOLIDATION - UPFRONT COMM",F202="REVERSE - TOTAL FUNDING"),A202,"")</f>
        <v/>
      </c>
      <c r="C202" s="10"/>
      <c r="D202" s="11"/>
      <c r="E202" s="11"/>
      <c r="F202" s="11"/>
      <c r="G202" s="12"/>
      <c r="H202" s="13"/>
      <c r="I202" s="11"/>
      <c r="J202" s="14" t="str">
        <f aca="false">IF(AND(G202&lt;&gt;"",H202&lt;&gt;""),G202*H202,"")</f>
        <v/>
      </c>
      <c r="K202" s="11"/>
      <c r="L202" s="15"/>
      <c r="M202" s="15"/>
      <c r="N202" s="14" t="n">
        <f aca="false">IF(OR(G202="",M202=""),0,IF(M202&gt;100,M202,G202*IF(M202&gt;1,M202/100,M202)))</f>
        <v>0</v>
      </c>
      <c r="O202" s="14" t="str">
        <f aca="false">IF(G202="","",G202*IF(L202="",0,IF(L202&gt;1,L202/100,L202))+N202)</f>
        <v/>
      </c>
      <c r="P202" s="11"/>
      <c r="Q202" s="16" t="str">
        <f aca="false">IF(P202="","",IFERROR(VLOOKUP(P202,PARTNERS!$A$2:$B$30,2,0),""))</f>
        <v/>
      </c>
      <c r="R202" s="17" t="str">
        <f aca="false">IF(O202="","",IF(OR(P202="",Q202=""),0,(O202-N202)*IF(Q202&gt;1,Q202/100,Q202)))</f>
        <v/>
      </c>
      <c r="S202" s="14" t="str">
        <f aca="false">IF(O202="","",O202-R202)</f>
        <v/>
      </c>
      <c r="T202" s="11"/>
      <c r="U202" s="18" t="str">
        <f aca="false">IF(T202="","",IFERROR(VLOOKUP(T202,REPS!$A$2:$D$40,2,0),""))</f>
        <v/>
      </c>
      <c r="V202" s="14" t="str">
        <f aca="false">IF(O202="","",IF(U202="",0,O202*IF(U202&gt;1,U202/100,U202)))</f>
        <v/>
      </c>
      <c r="W202" s="11"/>
      <c r="X202" s="18" t="str">
        <f aca="false">IF(W202="","",IFERROR(VLOOKUP(W202,REPS!$A$2:$D$40,3,0),""))</f>
        <v/>
      </c>
      <c r="Y202" s="14" t="str">
        <f aca="false">IF(O202="","",IF(X202="",0,O202*IF(X202&gt;1,X202/100,X202)))</f>
        <v/>
      </c>
      <c r="Z202" s="11"/>
      <c r="AA202" s="18" t="str">
        <f aca="false">IF(Z202="","",IFERROR(VLOOKUP(Z202,REPS!$A$2:$D$40,4,0),""))</f>
        <v/>
      </c>
      <c r="AB202" s="14" t="str">
        <f aca="false">IF(O202="","",IF(AA202="",0,O202*IF(AA202&gt;1,AA202/100,AA202)))</f>
        <v/>
      </c>
      <c r="AC202" s="14" t="str">
        <f aca="false">IF(O202="","",V202+Y202+AB202)</f>
        <v/>
      </c>
      <c r="AD202" s="19" t="str">
        <f aca="false">IF(O202="","",O202-R202-AC202)</f>
        <v/>
      </c>
      <c r="AE202" s="20"/>
      <c r="AF202" s="10"/>
      <c r="AG202" s="21" t="n">
        <f aca="false">IF(OR(AE202="",AE202=0),0,AE202*IF(U202="",0,IF(U202&gt;1,U202/100,U202)))</f>
        <v>0</v>
      </c>
      <c r="AH202" s="21" t="n">
        <f aca="false">IF(OR(AE202="",AE202=0),0,AE202*IF(X202="",0,IF(X202&gt;1,X202/100,X202)))</f>
        <v>0</v>
      </c>
      <c r="AI202" s="21" t="n">
        <f aca="false">IF(OR(AE202="",AE202=0),0,AE202*IF(AA202="",0,IF(AA202&gt;1,AA202/100,AA202)))</f>
        <v>0</v>
      </c>
      <c r="AJ202" s="21" t="n">
        <f aca="false">AG202+AH202+AI202</f>
        <v>0</v>
      </c>
      <c r="AK202" s="21" t="n">
        <f aca="false">IF(OR(AE202="",AE202=0),0,AE202-AJ202)</f>
        <v>0</v>
      </c>
      <c r="AL202" s="19" t="str">
        <f aca="false">IF(AD202="","",AD202-AK202)</f>
        <v/>
      </c>
      <c r="AM202" s="9" t="str">
        <f aca="false">IF(C202="","","Waiting for payment")</f>
        <v/>
      </c>
      <c r="AN202" s="10"/>
      <c r="AO202" s="10"/>
      <c r="AP202" s="22" t="str">
        <f aca="false">IF(OR(C202="",I202="",K202=""),"",IF(K202="Monthly",EDATE(C202,ROUND(I202*SETTINGS!$I$8,0)),WORKDAY(C202,ROUND(I202*SETTINGS!$I$8,0))))</f>
        <v/>
      </c>
      <c r="AQ202" s="9" t="str">
        <f aca="true">IF(C202="","",IF(AND(AP202&lt;&gt;"",TODAY()&gt;=AP202),"Refi Ready",IF(TODAY()-C202&gt;=SETTINGS!$I$11,"Prospecting","Performing")))</f>
        <v/>
      </c>
      <c r="AR202" s="22" t="str">
        <f aca="false">IF(OR(C202="",I202="",K202=""),"",IF(K202="Monthly",EDATE(C202,I202),WORKDAY(C202,I202)))</f>
        <v/>
      </c>
      <c r="AS202" s="11"/>
      <c r="AT202" s="23" t="str">
        <f aca="true">IF(C202="","",IF(AM202="Clawed Back","CLAWED",IF(TODAY()&lt;=C202+SETTINGS!$I$2,"⚠ AT RISK","SAFE")))</f>
        <v/>
      </c>
      <c r="AU202" s="11"/>
      <c r="AW202" s="24" t="n">
        <f aca="false">AW201+IF(AND(C202&lt;&gt;"",AO202&lt;&gt;"",OR('REP COMMISSION'!$B$3="",T202='REP COMMISSION'!$B$3,W202='REP COMMISSION'!$B$3,Z202='REP COMMISSION'!$B$3)),1,0)</f>
        <v>0</v>
      </c>
      <c r="AX202" s="24" t="n">
        <f aca="false">AX201+IF(AND(C202&lt;&gt;"",OR(F202="LOC - INITIAL",F202="CONSOLIDATION - UPFRONT COMM",F202="REVERSE - TOTAL FUNDING")),1,0)</f>
        <v>0</v>
      </c>
    </row>
    <row r="203" customFormat="false" ht="15" hidden="false" customHeight="false" outlineLevel="0" collapsed="false">
      <c r="A203" s="25" t="str">
        <f aca="false">IF(C203&lt;&gt;"","F27-"&amp;COUNT($C$4:C203),"")</f>
        <v/>
      </c>
      <c r="B203" s="26" t="str">
        <f aca="false">IF(OR(F203="LOC - INITIAL",F203="CONSOLIDATION - UPFRONT COMM",F203="REVERSE - TOTAL FUNDING"),A203,"")</f>
        <v/>
      </c>
      <c r="C203" s="27"/>
      <c r="D203" s="28"/>
      <c r="E203" s="28"/>
      <c r="F203" s="28"/>
      <c r="G203" s="29"/>
      <c r="H203" s="30"/>
      <c r="I203" s="28"/>
      <c r="J203" s="31" t="str">
        <f aca="false">IF(AND(G203&lt;&gt;"",H203&lt;&gt;""),G203*H203,"")</f>
        <v/>
      </c>
      <c r="K203" s="28"/>
      <c r="L203" s="32"/>
      <c r="M203" s="32"/>
      <c r="N203" s="31" t="n">
        <f aca="false">IF(OR(G203="",M203=""),0,IF(M203&gt;100,M203,G203*IF(M203&gt;1,M203/100,M203)))</f>
        <v>0</v>
      </c>
      <c r="O203" s="31" t="str">
        <f aca="false">IF(G203="","",G203*IF(L203="",0,IF(L203&gt;1,L203/100,L203))+N203)</f>
        <v/>
      </c>
      <c r="P203" s="28"/>
      <c r="Q203" s="33" t="str">
        <f aca="false">IF(P203="","",IFERROR(VLOOKUP(P203,PARTNERS!$A$2:$B$30,2,0),""))</f>
        <v/>
      </c>
      <c r="R203" s="17" t="str">
        <f aca="false">IF(O203="","",IF(OR(P203="",Q203=""),0,(O203-N203)*IF(Q203&gt;1,Q203/100,Q203)))</f>
        <v/>
      </c>
      <c r="S203" s="31" t="str">
        <f aca="false">IF(O203="","",O203-R203)</f>
        <v/>
      </c>
      <c r="T203" s="28"/>
      <c r="U203" s="34" t="str">
        <f aca="false">IF(T203="","",IFERROR(VLOOKUP(T203,REPS!$A$2:$D$40,2,0),""))</f>
        <v/>
      </c>
      <c r="V203" s="31" t="str">
        <f aca="false">IF(O203="","",IF(U203="",0,O203*IF(U203&gt;1,U203/100,U203)))</f>
        <v/>
      </c>
      <c r="W203" s="28"/>
      <c r="X203" s="34" t="str">
        <f aca="false">IF(W203="","",IFERROR(VLOOKUP(W203,REPS!$A$2:$D$40,3,0),""))</f>
        <v/>
      </c>
      <c r="Y203" s="31" t="str">
        <f aca="false">IF(O203="","",IF(X203="",0,O203*IF(X203&gt;1,X203/100,X203)))</f>
        <v/>
      </c>
      <c r="Z203" s="28"/>
      <c r="AA203" s="34" t="str">
        <f aca="false">IF(Z203="","",IFERROR(VLOOKUP(Z203,REPS!$A$2:$D$40,4,0),""))</f>
        <v/>
      </c>
      <c r="AB203" s="31" t="str">
        <f aca="false">IF(O203="","",IF(AA203="",0,O203*IF(AA203&gt;1,AA203/100,AA203)))</f>
        <v/>
      </c>
      <c r="AC203" s="31" t="str">
        <f aca="false">IF(O203="","",V203+Y203+AB203)</f>
        <v/>
      </c>
      <c r="AD203" s="19" t="str">
        <f aca="false">IF(O203="","",O203-R203-AC203)</f>
        <v/>
      </c>
      <c r="AE203" s="20"/>
      <c r="AF203" s="27"/>
      <c r="AG203" s="21" t="n">
        <f aca="false">IF(OR(AE203="",AE203=0),0,AE203*IF(U203="",0,IF(U203&gt;1,U203/100,U203)))</f>
        <v>0</v>
      </c>
      <c r="AH203" s="21" t="n">
        <f aca="false">IF(OR(AE203="",AE203=0),0,AE203*IF(X203="",0,IF(X203&gt;1,X203/100,X203)))</f>
        <v>0</v>
      </c>
      <c r="AI203" s="21" t="n">
        <f aca="false">IF(OR(AE203="",AE203=0),0,AE203*IF(AA203="",0,IF(AA203&gt;1,AA203/100,AA203)))</f>
        <v>0</v>
      </c>
      <c r="AJ203" s="21" t="n">
        <f aca="false">AG203+AH203+AI203</f>
        <v>0</v>
      </c>
      <c r="AK203" s="21" t="n">
        <f aca="false">IF(OR(AE203="",AE203=0),0,AE203-AJ203)</f>
        <v>0</v>
      </c>
      <c r="AL203" s="19" t="str">
        <f aca="false">IF(AD203="","",AD203-AK203)</f>
        <v/>
      </c>
      <c r="AM203" s="26" t="str">
        <f aca="false">IF(C203="","","Waiting for payment")</f>
        <v/>
      </c>
      <c r="AN203" s="27"/>
      <c r="AO203" s="27"/>
      <c r="AP203" s="35" t="str">
        <f aca="false">IF(OR(C203="",I203="",K203=""),"",IF(K203="Monthly",EDATE(C203,ROUND(I203*SETTINGS!$I$8,0)),WORKDAY(C203,ROUND(I203*SETTINGS!$I$8,0))))</f>
        <v/>
      </c>
      <c r="AQ203" s="26" t="str">
        <f aca="true">IF(C203="","",IF(AND(AP203&lt;&gt;"",TODAY()&gt;=AP203),"Refi Ready",IF(TODAY()-C203&gt;=SETTINGS!$I$11,"Prospecting","Performing")))</f>
        <v/>
      </c>
      <c r="AR203" s="35" t="str">
        <f aca="false">IF(OR(C203="",I203="",K203=""),"",IF(K203="Monthly",EDATE(C203,I203),WORKDAY(C203,I203)))</f>
        <v/>
      </c>
      <c r="AS203" s="28"/>
      <c r="AT203" s="36" t="str">
        <f aca="true">IF(C203="","",IF(AM203="Clawed Back","CLAWED",IF(TODAY()&lt;=C203+SETTINGS!$I$2,"⚠ AT RISK","SAFE")))</f>
        <v/>
      </c>
      <c r="AU203" s="28"/>
      <c r="AW203" s="24" t="n">
        <f aca="false">AW202+IF(AND(C203&lt;&gt;"",AO203&lt;&gt;"",OR('REP COMMISSION'!$B$3="",T203='REP COMMISSION'!$B$3,W203='REP COMMISSION'!$B$3,Z203='REP COMMISSION'!$B$3)),1,0)</f>
        <v>0</v>
      </c>
      <c r="AX203" s="24" t="n">
        <f aca="false">AX202+IF(AND(C203&lt;&gt;"",OR(F203="LOC - INITIAL",F203="CONSOLIDATION - UPFRONT COMM",F203="REVERSE - TOTAL FUNDING")),1,0)</f>
        <v>0</v>
      </c>
    </row>
    <row r="204" customFormat="false" ht="15" hidden="false" customHeight="false" outlineLevel="0" collapsed="false">
      <c r="A204" s="8" t="str">
        <f aca="false">IF(C204&lt;&gt;"","F27-"&amp;COUNT($C$4:C204),"")</f>
        <v/>
      </c>
      <c r="B204" s="9" t="str">
        <f aca="false">IF(OR(F204="LOC - INITIAL",F204="CONSOLIDATION - UPFRONT COMM",F204="REVERSE - TOTAL FUNDING"),A204,"")</f>
        <v/>
      </c>
      <c r="C204" s="10"/>
      <c r="D204" s="11"/>
      <c r="E204" s="11"/>
      <c r="F204" s="11"/>
      <c r="G204" s="12"/>
      <c r="H204" s="13"/>
      <c r="I204" s="11"/>
      <c r="J204" s="14" t="str">
        <f aca="false">IF(AND(G204&lt;&gt;"",H204&lt;&gt;""),G204*H204,"")</f>
        <v/>
      </c>
      <c r="K204" s="11"/>
      <c r="L204" s="15"/>
      <c r="M204" s="15"/>
      <c r="N204" s="14" t="n">
        <f aca="false">IF(OR(G204="",M204=""),0,IF(M204&gt;100,M204,G204*IF(M204&gt;1,M204/100,M204)))</f>
        <v>0</v>
      </c>
      <c r="O204" s="14" t="str">
        <f aca="false">IF(G204="","",G204*IF(L204="",0,IF(L204&gt;1,L204/100,L204))+N204)</f>
        <v/>
      </c>
      <c r="P204" s="11"/>
      <c r="Q204" s="16" t="str">
        <f aca="false">IF(P204="","",IFERROR(VLOOKUP(P204,PARTNERS!$A$2:$B$30,2,0),""))</f>
        <v/>
      </c>
      <c r="R204" s="17" t="str">
        <f aca="false">IF(O204="","",IF(OR(P204="",Q204=""),0,(O204-N204)*IF(Q204&gt;1,Q204/100,Q204)))</f>
        <v/>
      </c>
      <c r="S204" s="14" t="str">
        <f aca="false">IF(O204="","",O204-R204)</f>
        <v/>
      </c>
      <c r="T204" s="11"/>
      <c r="U204" s="18" t="str">
        <f aca="false">IF(T204="","",IFERROR(VLOOKUP(T204,REPS!$A$2:$D$40,2,0),""))</f>
        <v/>
      </c>
      <c r="V204" s="14" t="str">
        <f aca="false">IF(O204="","",IF(U204="",0,O204*IF(U204&gt;1,U204/100,U204)))</f>
        <v/>
      </c>
      <c r="W204" s="11"/>
      <c r="X204" s="18" t="str">
        <f aca="false">IF(W204="","",IFERROR(VLOOKUP(W204,REPS!$A$2:$D$40,3,0),""))</f>
        <v/>
      </c>
      <c r="Y204" s="14" t="str">
        <f aca="false">IF(O204="","",IF(X204="",0,O204*IF(X204&gt;1,X204/100,X204)))</f>
        <v/>
      </c>
      <c r="Z204" s="11"/>
      <c r="AA204" s="18" t="str">
        <f aca="false">IF(Z204="","",IFERROR(VLOOKUP(Z204,REPS!$A$2:$D$40,4,0),""))</f>
        <v/>
      </c>
      <c r="AB204" s="14" t="str">
        <f aca="false">IF(O204="","",IF(AA204="",0,O204*IF(AA204&gt;1,AA204/100,AA204)))</f>
        <v/>
      </c>
      <c r="AC204" s="14" t="str">
        <f aca="false">IF(O204="","",V204+Y204+AB204)</f>
        <v/>
      </c>
      <c r="AD204" s="19" t="str">
        <f aca="false">IF(O204="","",O204-R204-AC204)</f>
        <v/>
      </c>
      <c r="AE204" s="20"/>
      <c r="AF204" s="10"/>
      <c r="AG204" s="21" t="n">
        <f aca="false">IF(OR(AE204="",AE204=0),0,AE204*IF(U204="",0,IF(U204&gt;1,U204/100,U204)))</f>
        <v>0</v>
      </c>
      <c r="AH204" s="21" t="n">
        <f aca="false">IF(OR(AE204="",AE204=0),0,AE204*IF(X204="",0,IF(X204&gt;1,X204/100,X204)))</f>
        <v>0</v>
      </c>
      <c r="AI204" s="21" t="n">
        <f aca="false">IF(OR(AE204="",AE204=0),0,AE204*IF(AA204="",0,IF(AA204&gt;1,AA204/100,AA204)))</f>
        <v>0</v>
      </c>
      <c r="AJ204" s="21" t="n">
        <f aca="false">AG204+AH204+AI204</f>
        <v>0</v>
      </c>
      <c r="AK204" s="21" t="n">
        <f aca="false">IF(OR(AE204="",AE204=0),0,AE204-AJ204)</f>
        <v>0</v>
      </c>
      <c r="AL204" s="19" t="str">
        <f aca="false">IF(AD204="","",AD204-AK204)</f>
        <v/>
      </c>
      <c r="AM204" s="9" t="str">
        <f aca="false">IF(C204="","","Waiting for payment")</f>
        <v/>
      </c>
      <c r="AN204" s="10"/>
      <c r="AO204" s="10"/>
      <c r="AP204" s="22" t="str">
        <f aca="false">IF(OR(C204="",I204="",K204=""),"",IF(K204="Monthly",EDATE(C204,ROUND(I204*SETTINGS!$I$8,0)),WORKDAY(C204,ROUND(I204*SETTINGS!$I$8,0))))</f>
        <v/>
      </c>
      <c r="AQ204" s="9" t="str">
        <f aca="true">IF(C204="","",IF(AND(AP204&lt;&gt;"",TODAY()&gt;=AP204),"Refi Ready",IF(TODAY()-C204&gt;=SETTINGS!$I$11,"Prospecting","Performing")))</f>
        <v/>
      </c>
      <c r="AR204" s="22" t="str">
        <f aca="false">IF(OR(C204="",I204="",K204=""),"",IF(K204="Monthly",EDATE(C204,I204),WORKDAY(C204,I204)))</f>
        <v/>
      </c>
      <c r="AS204" s="11"/>
      <c r="AT204" s="23" t="str">
        <f aca="true">IF(C204="","",IF(AM204="Clawed Back","CLAWED",IF(TODAY()&lt;=C204+SETTINGS!$I$2,"⚠ AT RISK","SAFE")))</f>
        <v/>
      </c>
      <c r="AU204" s="11"/>
      <c r="AW204" s="24" t="n">
        <f aca="false">AW203+IF(AND(C204&lt;&gt;"",AO204&lt;&gt;"",OR('REP COMMISSION'!$B$3="",T204='REP COMMISSION'!$B$3,W204='REP COMMISSION'!$B$3,Z204='REP COMMISSION'!$B$3)),1,0)</f>
        <v>0</v>
      </c>
      <c r="AX204" s="24" t="n">
        <f aca="false">AX203+IF(AND(C204&lt;&gt;"",OR(F204="LOC - INITIAL",F204="CONSOLIDATION - UPFRONT COMM",F204="REVERSE - TOTAL FUNDING")),1,0)</f>
        <v>0</v>
      </c>
    </row>
    <row r="205" customFormat="false" ht="15" hidden="false" customHeight="false" outlineLevel="0" collapsed="false">
      <c r="A205" s="25" t="str">
        <f aca="false">IF(C205&lt;&gt;"","F27-"&amp;COUNT($C$4:C205),"")</f>
        <v/>
      </c>
      <c r="B205" s="26" t="str">
        <f aca="false">IF(OR(F205="LOC - INITIAL",F205="CONSOLIDATION - UPFRONT COMM",F205="REVERSE - TOTAL FUNDING"),A205,"")</f>
        <v/>
      </c>
      <c r="C205" s="27"/>
      <c r="D205" s="28"/>
      <c r="E205" s="28"/>
      <c r="F205" s="28"/>
      <c r="G205" s="29"/>
      <c r="H205" s="30"/>
      <c r="I205" s="28"/>
      <c r="J205" s="31" t="str">
        <f aca="false">IF(AND(G205&lt;&gt;"",H205&lt;&gt;""),G205*H205,"")</f>
        <v/>
      </c>
      <c r="K205" s="28"/>
      <c r="L205" s="32"/>
      <c r="M205" s="32"/>
      <c r="N205" s="31" t="n">
        <f aca="false">IF(OR(G205="",M205=""),0,IF(M205&gt;100,M205,G205*IF(M205&gt;1,M205/100,M205)))</f>
        <v>0</v>
      </c>
      <c r="O205" s="31" t="str">
        <f aca="false">IF(G205="","",G205*IF(L205="",0,IF(L205&gt;1,L205/100,L205))+N205)</f>
        <v/>
      </c>
      <c r="P205" s="28"/>
      <c r="Q205" s="33" t="str">
        <f aca="false">IF(P205="","",IFERROR(VLOOKUP(P205,PARTNERS!$A$2:$B$30,2,0),""))</f>
        <v/>
      </c>
      <c r="R205" s="17" t="str">
        <f aca="false">IF(O205="","",IF(OR(P205="",Q205=""),0,(O205-N205)*IF(Q205&gt;1,Q205/100,Q205)))</f>
        <v/>
      </c>
      <c r="S205" s="31" t="str">
        <f aca="false">IF(O205="","",O205-R205)</f>
        <v/>
      </c>
      <c r="T205" s="28"/>
      <c r="U205" s="34" t="str">
        <f aca="false">IF(T205="","",IFERROR(VLOOKUP(T205,REPS!$A$2:$D$40,2,0),""))</f>
        <v/>
      </c>
      <c r="V205" s="31" t="str">
        <f aca="false">IF(O205="","",IF(U205="",0,O205*IF(U205&gt;1,U205/100,U205)))</f>
        <v/>
      </c>
      <c r="W205" s="28"/>
      <c r="X205" s="34" t="str">
        <f aca="false">IF(W205="","",IFERROR(VLOOKUP(W205,REPS!$A$2:$D$40,3,0),""))</f>
        <v/>
      </c>
      <c r="Y205" s="31" t="str">
        <f aca="false">IF(O205="","",IF(X205="",0,O205*IF(X205&gt;1,X205/100,X205)))</f>
        <v/>
      </c>
      <c r="Z205" s="28"/>
      <c r="AA205" s="34" t="str">
        <f aca="false">IF(Z205="","",IFERROR(VLOOKUP(Z205,REPS!$A$2:$D$40,4,0),""))</f>
        <v/>
      </c>
      <c r="AB205" s="31" t="str">
        <f aca="false">IF(O205="","",IF(AA205="",0,O205*IF(AA205&gt;1,AA205/100,AA205)))</f>
        <v/>
      </c>
      <c r="AC205" s="31" t="str">
        <f aca="false">IF(O205="","",V205+Y205+AB205)</f>
        <v/>
      </c>
      <c r="AD205" s="19" t="str">
        <f aca="false">IF(O205="","",O205-R205-AC205)</f>
        <v/>
      </c>
      <c r="AE205" s="20"/>
      <c r="AF205" s="27"/>
      <c r="AG205" s="21" t="n">
        <f aca="false">IF(OR(AE205="",AE205=0),0,AE205*IF(U205="",0,IF(U205&gt;1,U205/100,U205)))</f>
        <v>0</v>
      </c>
      <c r="AH205" s="21" t="n">
        <f aca="false">IF(OR(AE205="",AE205=0),0,AE205*IF(X205="",0,IF(X205&gt;1,X205/100,X205)))</f>
        <v>0</v>
      </c>
      <c r="AI205" s="21" t="n">
        <f aca="false">IF(OR(AE205="",AE205=0),0,AE205*IF(AA205="",0,IF(AA205&gt;1,AA205/100,AA205)))</f>
        <v>0</v>
      </c>
      <c r="AJ205" s="21" t="n">
        <f aca="false">AG205+AH205+AI205</f>
        <v>0</v>
      </c>
      <c r="AK205" s="21" t="n">
        <f aca="false">IF(OR(AE205="",AE205=0),0,AE205-AJ205)</f>
        <v>0</v>
      </c>
      <c r="AL205" s="19" t="str">
        <f aca="false">IF(AD205="","",AD205-AK205)</f>
        <v/>
      </c>
      <c r="AM205" s="26" t="str">
        <f aca="false">IF(C205="","","Waiting for payment")</f>
        <v/>
      </c>
      <c r="AN205" s="27"/>
      <c r="AO205" s="27"/>
      <c r="AP205" s="35" t="str">
        <f aca="false">IF(OR(C205="",I205="",K205=""),"",IF(K205="Monthly",EDATE(C205,ROUND(I205*SETTINGS!$I$8,0)),WORKDAY(C205,ROUND(I205*SETTINGS!$I$8,0))))</f>
        <v/>
      </c>
      <c r="AQ205" s="26" t="str">
        <f aca="true">IF(C205="","",IF(AND(AP205&lt;&gt;"",TODAY()&gt;=AP205),"Refi Ready",IF(TODAY()-C205&gt;=SETTINGS!$I$11,"Prospecting","Performing")))</f>
        <v/>
      </c>
      <c r="AR205" s="35" t="str">
        <f aca="false">IF(OR(C205="",I205="",K205=""),"",IF(K205="Monthly",EDATE(C205,I205),WORKDAY(C205,I205)))</f>
        <v/>
      </c>
      <c r="AS205" s="28"/>
      <c r="AT205" s="36" t="str">
        <f aca="true">IF(C205="","",IF(AM205="Clawed Back","CLAWED",IF(TODAY()&lt;=C205+SETTINGS!$I$2,"⚠ AT RISK","SAFE")))</f>
        <v/>
      </c>
      <c r="AU205" s="28"/>
      <c r="AW205" s="24" t="n">
        <f aca="false">AW204+IF(AND(C205&lt;&gt;"",AO205&lt;&gt;"",OR('REP COMMISSION'!$B$3="",T205='REP COMMISSION'!$B$3,W205='REP COMMISSION'!$B$3,Z205='REP COMMISSION'!$B$3)),1,0)</f>
        <v>0</v>
      </c>
      <c r="AX205" s="24" t="n">
        <f aca="false">AX204+IF(AND(C205&lt;&gt;"",OR(F205="LOC - INITIAL",F205="CONSOLIDATION - UPFRONT COMM",F205="REVERSE - TOTAL FUNDING")),1,0)</f>
        <v>0</v>
      </c>
    </row>
    <row r="206" customFormat="false" ht="18" hidden="false" customHeight="true" outlineLevel="0" collapsed="false">
      <c r="A206" s="37" t="s">
        <v>70</v>
      </c>
      <c r="B206" s="38"/>
      <c r="C206" s="38"/>
      <c r="D206" s="37" t="str">
        <f aca="false">COUNT(C106:C205)&amp;" units"</f>
        <v>0 units</v>
      </c>
      <c r="E206" s="38"/>
      <c r="F206" s="38"/>
      <c r="G206" s="39" t="n">
        <f aca="false">SUM(G106:G205)</f>
        <v>0</v>
      </c>
      <c r="H206" s="38"/>
      <c r="I206" s="38"/>
      <c r="J206" s="38"/>
      <c r="K206" s="38"/>
      <c r="L206" s="38"/>
      <c r="M206" s="38"/>
      <c r="N206" s="39" t="n">
        <f aca="false">SUM(N106:N205)</f>
        <v>0</v>
      </c>
      <c r="O206" s="39" t="n">
        <f aca="false">SUM(O106:O205)</f>
        <v>0</v>
      </c>
      <c r="P206" s="38"/>
      <c r="Q206" s="38"/>
      <c r="R206" s="39" t="n">
        <f aca="false">SUM(R106:R205)</f>
        <v>0</v>
      </c>
      <c r="S206" s="39" t="n">
        <f aca="false">SUM(S106:S205)</f>
        <v>0</v>
      </c>
      <c r="T206" s="38"/>
      <c r="U206" s="38"/>
      <c r="V206" s="38"/>
      <c r="W206" s="38"/>
      <c r="X206" s="38"/>
      <c r="Y206" s="38"/>
      <c r="Z206" s="38"/>
      <c r="AA206" s="38"/>
      <c r="AB206" s="38"/>
      <c r="AC206" s="39" t="n">
        <f aca="false">SUM(AC106:AC205)</f>
        <v>0</v>
      </c>
      <c r="AD206" s="39" t="n">
        <f aca="false">SUM(AD106:AD205)</f>
        <v>0</v>
      </c>
      <c r="AE206" s="39" t="n">
        <f aca="false">SUM(AE106:AE205)</f>
        <v>0</v>
      </c>
      <c r="AF206" s="38"/>
      <c r="AG206" s="38"/>
      <c r="AH206" s="38"/>
      <c r="AI206" s="38"/>
      <c r="AJ206" s="39" t="n">
        <f aca="false">SUM(AJ106:AJ205)</f>
        <v>0</v>
      </c>
      <c r="AK206" s="39" t="n">
        <f aca="false">SUM(AK106:AK205)</f>
        <v>0</v>
      </c>
      <c r="AL206" s="39" t="n">
        <f aca="false">SUM(AL106:AL205)</f>
        <v>0</v>
      </c>
      <c r="AM206" s="38"/>
      <c r="AN206" s="38"/>
      <c r="AO206" s="38"/>
      <c r="AP206" s="38"/>
      <c r="AQ206" s="38"/>
      <c r="AR206" s="38"/>
      <c r="AS206" s="38"/>
      <c r="AT206" s="38"/>
      <c r="AU206" s="38"/>
      <c r="AW206" s="24" t="n">
        <f aca="false">AW205</f>
        <v>0</v>
      </c>
      <c r="AX206" s="24" t="n">
        <f aca="false">AX205</f>
        <v>0</v>
      </c>
    </row>
    <row r="207" customFormat="false" ht="19.5" hidden="false" customHeight="true" outlineLevel="0" collapsed="false">
      <c r="A207" s="6" t="s">
        <v>71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W207" s="24" t="n">
        <f aca="false">AW206</f>
        <v>0</v>
      </c>
      <c r="AX207" s="24" t="n">
        <f aca="false">AX206</f>
        <v>0</v>
      </c>
    </row>
    <row r="208" customFormat="false" ht="15" hidden="false" customHeight="false" outlineLevel="0" collapsed="false">
      <c r="A208" s="8" t="str">
        <f aca="false">IF(C208&lt;&gt;"","F27-"&amp;COUNT($C$4:C208),"")</f>
        <v/>
      </c>
      <c r="B208" s="9" t="str">
        <f aca="false">IF(OR(F208="LOC - INITIAL",F208="CONSOLIDATION - UPFRONT COMM",F208="REVERSE - TOTAL FUNDING"),A208,"")</f>
        <v/>
      </c>
      <c r="C208" s="10"/>
      <c r="D208" s="11"/>
      <c r="E208" s="11"/>
      <c r="F208" s="11"/>
      <c r="G208" s="12"/>
      <c r="H208" s="13"/>
      <c r="I208" s="11"/>
      <c r="J208" s="14" t="str">
        <f aca="false">IF(AND(G208&lt;&gt;"",H208&lt;&gt;""),G208*H208,"")</f>
        <v/>
      </c>
      <c r="K208" s="11"/>
      <c r="L208" s="15"/>
      <c r="M208" s="15"/>
      <c r="N208" s="14" t="n">
        <f aca="false">IF(OR(G208="",M208=""),0,IF(M208&gt;100,M208,G208*IF(M208&gt;1,M208/100,M208)))</f>
        <v>0</v>
      </c>
      <c r="O208" s="14" t="str">
        <f aca="false">IF(G208="","",G208*IF(L208="",0,IF(L208&gt;1,L208/100,L208))+N208)</f>
        <v/>
      </c>
      <c r="P208" s="11"/>
      <c r="Q208" s="16" t="str">
        <f aca="false">IF(P208="","",IFERROR(VLOOKUP(P208,PARTNERS!$A$2:$B$30,2,0),""))</f>
        <v/>
      </c>
      <c r="R208" s="17" t="str">
        <f aca="false">IF(O208="","",IF(OR(P208="",Q208=""),0,(O208-N208)*IF(Q208&gt;1,Q208/100,Q208)))</f>
        <v/>
      </c>
      <c r="S208" s="14" t="str">
        <f aca="false">IF(O208="","",O208-R208)</f>
        <v/>
      </c>
      <c r="T208" s="11"/>
      <c r="U208" s="18" t="str">
        <f aca="false">IF(T208="","",IFERROR(VLOOKUP(T208,REPS!$A$2:$D$40,2,0),""))</f>
        <v/>
      </c>
      <c r="V208" s="14" t="str">
        <f aca="false">IF(O208="","",IF(U208="",0,O208*IF(U208&gt;1,U208/100,U208)))</f>
        <v/>
      </c>
      <c r="W208" s="11"/>
      <c r="X208" s="18" t="str">
        <f aca="false">IF(W208="","",IFERROR(VLOOKUP(W208,REPS!$A$2:$D$40,3,0),""))</f>
        <v/>
      </c>
      <c r="Y208" s="14" t="str">
        <f aca="false">IF(O208="","",IF(X208="",0,O208*IF(X208&gt;1,X208/100,X208)))</f>
        <v/>
      </c>
      <c r="Z208" s="11"/>
      <c r="AA208" s="18" t="str">
        <f aca="false">IF(Z208="","",IFERROR(VLOOKUP(Z208,REPS!$A$2:$D$40,4,0),""))</f>
        <v/>
      </c>
      <c r="AB208" s="14" t="str">
        <f aca="false">IF(O208="","",IF(AA208="",0,O208*IF(AA208&gt;1,AA208/100,AA208)))</f>
        <v/>
      </c>
      <c r="AC208" s="14" t="str">
        <f aca="false">IF(O208="","",V208+Y208+AB208)</f>
        <v/>
      </c>
      <c r="AD208" s="19" t="str">
        <f aca="false">IF(O208="","",O208-R208-AC208)</f>
        <v/>
      </c>
      <c r="AE208" s="20"/>
      <c r="AF208" s="10"/>
      <c r="AG208" s="21" t="n">
        <f aca="false">IF(OR(AE208="",AE208=0),0,AE208*IF(U208="",0,IF(U208&gt;1,U208/100,U208)))</f>
        <v>0</v>
      </c>
      <c r="AH208" s="21" t="n">
        <f aca="false">IF(OR(AE208="",AE208=0),0,AE208*IF(X208="",0,IF(X208&gt;1,X208/100,X208)))</f>
        <v>0</v>
      </c>
      <c r="AI208" s="21" t="n">
        <f aca="false">IF(OR(AE208="",AE208=0),0,AE208*IF(AA208="",0,IF(AA208&gt;1,AA208/100,AA208)))</f>
        <v>0</v>
      </c>
      <c r="AJ208" s="21" t="n">
        <f aca="false">AG208+AH208+AI208</f>
        <v>0</v>
      </c>
      <c r="AK208" s="21" t="n">
        <f aca="false">IF(OR(AE208="",AE208=0),0,AE208-AJ208)</f>
        <v>0</v>
      </c>
      <c r="AL208" s="19" t="str">
        <f aca="false">IF(AD208="","",AD208-AK208)</f>
        <v/>
      </c>
      <c r="AM208" s="9" t="str">
        <f aca="false">IF(C208="","","Waiting for payment")</f>
        <v/>
      </c>
      <c r="AN208" s="10"/>
      <c r="AO208" s="10"/>
      <c r="AP208" s="22" t="str">
        <f aca="false">IF(OR(C208="",I208="",K208=""),"",IF(K208="Monthly",EDATE(C208,ROUND(I208*SETTINGS!$I$8,0)),WORKDAY(C208,ROUND(I208*SETTINGS!$I$8,0))))</f>
        <v/>
      </c>
      <c r="AQ208" s="9" t="str">
        <f aca="true">IF(C208="","",IF(AND(AP208&lt;&gt;"",TODAY()&gt;=AP208),"Refi Ready",IF(TODAY()-C208&gt;=SETTINGS!$I$11,"Prospecting","Performing")))</f>
        <v/>
      </c>
      <c r="AR208" s="22" t="str">
        <f aca="false">IF(OR(C208="",I208="",K208=""),"",IF(K208="Monthly",EDATE(C208,I208),WORKDAY(C208,I208)))</f>
        <v/>
      </c>
      <c r="AS208" s="11"/>
      <c r="AT208" s="23" t="str">
        <f aca="true">IF(C208="","",IF(AM208="Clawed Back","CLAWED",IF(TODAY()&lt;=C208+SETTINGS!$I$2,"⚠ AT RISK","SAFE")))</f>
        <v/>
      </c>
      <c r="AU208" s="11"/>
      <c r="AW208" s="24" t="n">
        <f aca="false">AW207+IF(AND(C208&lt;&gt;"",AO208&lt;&gt;"",OR('REP COMMISSION'!$B$3="",T208='REP COMMISSION'!$B$3,W208='REP COMMISSION'!$B$3,Z208='REP COMMISSION'!$B$3)),1,0)</f>
        <v>0</v>
      </c>
      <c r="AX208" s="24" t="n">
        <f aca="false">AX207+IF(AND(C208&lt;&gt;"",OR(F208="LOC - INITIAL",F208="CONSOLIDATION - UPFRONT COMM",F208="REVERSE - TOTAL FUNDING")),1,0)</f>
        <v>0</v>
      </c>
    </row>
    <row r="209" customFormat="false" ht="15" hidden="false" customHeight="false" outlineLevel="0" collapsed="false">
      <c r="A209" s="25" t="str">
        <f aca="false">IF(C209&lt;&gt;"","F27-"&amp;COUNT($C$4:C209),"")</f>
        <v/>
      </c>
      <c r="B209" s="26" t="str">
        <f aca="false">IF(OR(F209="LOC - INITIAL",F209="CONSOLIDATION - UPFRONT COMM",F209="REVERSE - TOTAL FUNDING"),A209,"")</f>
        <v/>
      </c>
      <c r="C209" s="27"/>
      <c r="D209" s="28"/>
      <c r="E209" s="28"/>
      <c r="F209" s="28"/>
      <c r="G209" s="29"/>
      <c r="H209" s="30"/>
      <c r="I209" s="28"/>
      <c r="J209" s="31" t="str">
        <f aca="false">IF(AND(G209&lt;&gt;"",H209&lt;&gt;""),G209*H209,"")</f>
        <v/>
      </c>
      <c r="K209" s="28"/>
      <c r="L209" s="32"/>
      <c r="M209" s="32"/>
      <c r="N209" s="31" t="n">
        <f aca="false">IF(OR(G209="",M209=""),0,IF(M209&gt;100,M209,G209*IF(M209&gt;1,M209/100,M209)))</f>
        <v>0</v>
      </c>
      <c r="O209" s="31" t="str">
        <f aca="false">IF(G209="","",G209*IF(L209="",0,IF(L209&gt;1,L209/100,L209))+N209)</f>
        <v/>
      </c>
      <c r="P209" s="28"/>
      <c r="Q209" s="33" t="str">
        <f aca="false">IF(P209="","",IFERROR(VLOOKUP(P209,PARTNERS!$A$2:$B$30,2,0),""))</f>
        <v/>
      </c>
      <c r="R209" s="17" t="str">
        <f aca="false">IF(O209="","",IF(OR(P209="",Q209=""),0,(O209-N209)*IF(Q209&gt;1,Q209/100,Q209)))</f>
        <v/>
      </c>
      <c r="S209" s="31" t="str">
        <f aca="false">IF(O209="","",O209-R209)</f>
        <v/>
      </c>
      <c r="T209" s="28"/>
      <c r="U209" s="34" t="str">
        <f aca="false">IF(T209="","",IFERROR(VLOOKUP(T209,REPS!$A$2:$D$40,2,0),""))</f>
        <v/>
      </c>
      <c r="V209" s="31" t="str">
        <f aca="false">IF(O209="","",IF(U209="",0,O209*IF(U209&gt;1,U209/100,U209)))</f>
        <v/>
      </c>
      <c r="W209" s="28"/>
      <c r="X209" s="34" t="str">
        <f aca="false">IF(W209="","",IFERROR(VLOOKUP(W209,REPS!$A$2:$D$40,3,0),""))</f>
        <v/>
      </c>
      <c r="Y209" s="31" t="str">
        <f aca="false">IF(O209="","",IF(X209="",0,O209*IF(X209&gt;1,X209/100,X209)))</f>
        <v/>
      </c>
      <c r="Z209" s="28"/>
      <c r="AA209" s="34" t="str">
        <f aca="false">IF(Z209="","",IFERROR(VLOOKUP(Z209,REPS!$A$2:$D$40,4,0),""))</f>
        <v/>
      </c>
      <c r="AB209" s="31" t="str">
        <f aca="false">IF(O209="","",IF(AA209="",0,O209*IF(AA209&gt;1,AA209/100,AA209)))</f>
        <v/>
      </c>
      <c r="AC209" s="31" t="str">
        <f aca="false">IF(O209="","",V209+Y209+AB209)</f>
        <v/>
      </c>
      <c r="AD209" s="19" t="str">
        <f aca="false">IF(O209="","",O209-R209-AC209)</f>
        <v/>
      </c>
      <c r="AE209" s="20"/>
      <c r="AF209" s="27"/>
      <c r="AG209" s="21" t="n">
        <f aca="false">IF(OR(AE209="",AE209=0),0,AE209*IF(U209="",0,IF(U209&gt;1,U209/100,U209)))</f>
        <v>0</v>
      </c>
      <c r="AH209" s="21" t="n">
        <f aca="false">IF(OR(AE209="",AE209=0),0,AE209*IF(X209="",0,IF(X209&gt;1,X209/100,X209)))</f>
        <v>0</v>
      </c>
      <c r="AI209" s="21" t="n">
        <f aca="false">IF(OR(AE209="",AE209=0),0,AE209*IF(AA209="",0,IF(AA209&gt;1,AA209/100,AA209)))</f>
        <v>0</v>
      </c>
      <c r="AJ209" s="21" t="n">
        <f aca="false">AG209+AH209+AI209</f>
        <v>0</v>
      </c>
      <c r="AK209" s="21" t="n">
        <f aca="false">IF(OR(AE209="",AE209=0),0,AE209-AJ209)</f>
        <v>0</v>
      </c>
      <c r="AL209" s="19" t="str">
        <f aca="false">IF(AD209="","",AD209-AK209)</f>
        <v/>
      </c>
      <c r="AM209" s="26" t="str">
        <f aca="false">IF(C209="","","Waiting for payment")</f>
        <v/>
      </c>
      <c r="AN209" s="27"/>
      <c r="AO209" s="27"/>
      <c r="AP209" s="35" t="str">
        <f aca="false">IF(OR(C209="",I209="",K209=""),"",IF(K209="Monthly",EDATE(C209,ROUND(I209*SETTINGS!$I$8,0)),WORKDAY(C209,ROUND(I209*SETTINGS!$I$8,0))))</f>
        <v/>
      </c>
      <c r="AQ209" s="26" t="str">
        <f aca="true">IF(C209="","",IF(AND(AP209&lt;&gt;"",TODAY()&gt;=AP209),"Refi Ready",IF(TODAY()-C209&gt;=SETTINGS!$I$11,"Prospecting","Performing")))</f>
        <v/>
      </c>
      <c r="AR209" s="35" t="str">
        <f aca="false">IF(OR(C209="",I209="",K209=""),"",IF(K209="Monthly",EDATE(C209,I209),WORKDAY(C209,I209)))</f>
        <v/>
      </c>
      <c r="AS209" s="28"/>
      <c r="AT209" s="36" t="str">
        <f aca="true">IF(C209="","",IF(AM209="Clawed Back","CLAWED",IF(TODAY()&lt;=C209+SETTINGS!$I$2,"⚠ AT RISK","SAFE")))</f>
        <v/>
      </c>
      <c r="AU209" s="28"/>
      <c r="AW209" s="24" t="n">
        <f aca="false">AW208+IF(AND(C209&lt;&gt;"",AO209&lt;&gt;"",OR('REP COMMISSION'!$B$3="",T209='REP COMMISSION'!$B$3,W209='REP COMMISSION'!$B$3,Z209='REP COMMISSION'!$B$3)),1,0)</f>
        <v>0</v>
      </c>
      <c r="AX209" s="24" t="n">
        <f aca="false">AX208+IF(AND(C209&lt;&gt;"",OR(F209="LOC - INITIAL",F209="CONSOLIDATION - UPFRONT COMM",F209="REVERSE - TOTAL FUNDING")),1,0)</f>
        <v>0</v>
      </c>
    </row>
    <row r="210" customFormat="false" ht="15" hidden="false" customHeight="false" outlineLevel="0" collapsed="false">
      <c r="A210" s="8" t="str">
        <f aca="false">IF(C210&lt;&gt;"","F27-"&amp;COUNT($C$4:C210),"")</f>
        <v/>
      </c>
      <c r="B210" s="9" t="str">
        <f aca="false">IF(OR(F210="LOC - INITIAL",F210="CONSOLIDATION - UPFRONT COMM",F210="REVERSE - TOTAL FUNDING"),A210,"")</f>
        <v/>
      </c>
      <c r="C210" s="10"/>
      <c r="D210" s="11"/>
      <c r="E210" s="11"/>
      <c r="F210" s="11"/>
      <c r="G210" s="12"/>
      <c r="H210" s="13"/>
      <c r="I210" s="11"/>
      <c r="J210" s="14" t="str">
        <f aca="false">IF(AND(G210&lt;&gt;"",H210&lt;&gt;""),G210*H210,"")</f>
        <v/>
      </c>
      <c r="K210" s="11"/>
      <c r="L210" s="15"/>
      <c r="M210" s="15"/>
      <c r="N210" s="14" t="n">
        <f aca="false">IF(OR(G210="",M210=""),0,IF(M210&gt;100,M210,G210*IF(M210&gt;1,M210/100,M210)))</f>
        <v>0</v>
      </c>
      <c r="O210" s="14" t="str">
        <f aca="false">IF(G210="","",G210*IF(L210="",0,IF(L210&gt;1,L210/100,L210))+N210)</f>
        <v/>
      </c>
      <c r="P210" s="11"/>
      <c r="Q210" s="16" t="str">
        <f aca="false">IF(P210="","",IFERROR(VLOOKUP(P210,PARTNERS!$A$2:$B$30,2,0),""))</f>
        <v/>
      </c>
      <c r="R210" s="17" t="str">
        <f aca="false">IF(O210="","",IF(OR(P210="",Q210=""),0,(O210-N210)*IF(Q210&gt;1,Q210/100,Q210)))</f>
        <v/>
      </c>
      <c r="S210" s="14" t="str">
        <f aca="false">IF(O210="","",O210-R210)</f>
        <v/>
      </c>
      <c r="T210" s="11"/>
      <c r="U210" s="18" t="str">
        <f aca="false">IF(T210="","",IFERROR(VLOOKUP(T210,REPS!$A$2:$D$40,2,0),""))</f>
        <v/>
      </c>
      <c r="V210" s="14" t="str">
        <f aca="false">IF(O210="","",IF(U210="",0,O210*IF(U210&gt;1,U210/100,U210)))</f>
        <v/>
      </c>
      <c r="W210" s="11"/>
      <c r="X210" s="18" t="str">
        <f aca="false">IF(W210="","",IFERROR(VLOOKUP(W210,REPS!$A$2:$D$40,3,0),""))</f>
        <v/>
      </c>
      <c r="Y210" s="14" t="str">
        <f aca="false">IF(O210="","",IF(X210="",0,O210*IF(X210&gt;1,X210/100,X210)))</f>
        <v/>
      </c>
      <c r="Z210" s="11"/>
      <c r="AA210" s="18" t="str">
        <f aca="false">IF(Z210="","",IFERROR(VLOOKUP(Z210,REPS!$A$2:$D$40,4,0),""))</f>
        <v/>
      </c>
      <c r="AB210" s="14" t="str">
        <f aca="false">IF(O210="","",IF(AA210="",0,O210*IF(AA210&gt;1,AA210/100,AA210)))</f>
        <v/>
      </c>
      <c r="AC210" s="14" t="str">
        <f aca="false">IF(O210="","",V210+Y210+AB210)</f>
        <v/>
      </c>
      <c r="AD210" s="19" t="str">
        <f aca="false">IF(O210="","",O210-R210-AC210)</f>
        <v/>
      </c>
      <c r="AE210" s="20"/>
      <c r="AF210" s="10"/>
      <c r="AG210" s="21" t="n">
        <f aca="false">IF(OR(AE210="",AE210=0),0,AE210*IF(U210="",0,IF(U210&gt;1,U210/100,U210)))</f>
        <v>0</v>
      </c>
      <c r="AH210" s="21" t="n">
        <f aca="false">IF(OR(AE210="",AE210=0),0,AE210*IF(X210="",0,IF(X210&gt;1,X210/100,X210)))</f>
        <v>0</v>
      </c>
      <c r="AI210" s="21" t="n">
        <f aca="false">IF(OR(AE210="",AE210=0),0,AE210*IF(AA210="",0,IF(AA210&gt;1,AA210/100,AA210)))</f>
        <v>0</v>
      </c>
      <c r="AJ210" s="21" t="n">
        <f aca="false">AG210+AH210+AI210</f>
        <v>0</v>
      </c>
      <c r="AK210" s="21" t="n">
        <f aca="false">IF(OR(AE210="",AE210=0),0,AE210-AJ210)</f>
        <v>0</v>
      </c>
      <c r="AL210" s="19" t="str">
        <f aca="false">IF(AD210="","",AD210-AK210)</f>
        <v/>
      </c>
      <c r="AM210" s="9" t="str">
        <f aca="false">IF(C210="","","Waiting for payment")</f>
        <v/>
      </c>
      <c r="AN210" s="10"/>
      <c r="AO210" s="10"/>
      <c r="AP210" s="22" t="str">
        <f aca="false">IF(OR(C210="",I210="",K210=""),"",IF(K210="Monthly",EDATE(C210,ROUND(I210*SETTINGS!$I$8,0)),WORKDAY(C210,ROUND(I210*SETTINGS!$I$8,0))))</f>
        <v/>
      </c>
      <c r="AQ210" s="9" t="str">
        <f aca="true">IF(C210="","",IF(AND(AP210&lt;&gt;"",TODAY()&gt;=AP210),"Refi Ready",IF(TODAY()-C210&gt;=SETTINGS!$I$11,"Prospecting","Performing")))</f>
        <v/>
      </c>
      <c r="AR210" s="22" t="str">
        <f aca="false">IF(OR(C210="",I210="",K210=""),"",IF(K210="Monthly",EDATE(C210,I210),WORKDAY(C210,I210)))</f>
        <v/>
      </c>
      <c r="AS210" s="11"/>
      <c r="AT210" s="23" t="str">
        <f aca="true">IF(C210="","",IF(AM210="Clawed Back","CLAWED",IF(TODAY()&lt;=C210+SETTINGS!$I$2,"⚠ AT RISK","SAFE")))</f>
        <v/>
      </c>
      <c r="AU210" s="11"/>
      <c r="AW210" s="24" t="n">
        <f aca="false">AW209+IF(AND(C210&lt;&gt;"",AO210&lt;&gt;"",OR('REP COMMISSION'!$B$3="",T210='REP COMMISSION'!$B$3,W210='REP COMMISSION'!$B$3,Z210='REP COMMISSION'!$B$3)),1,0)</f>
        <v>0</v>
      </c>
      <c r="AX210" s="24" t="n">
        <f aca="false">AX209+IF(AND(C210&lt;&gt;"",OR(F210="LOC - INITIAL",F210="CONSOLIDATION - UPFRONT COMM",F210="REVERSE - TOTAL FUNDING")),1,0)</f>
        <v>0</v>
      </c>
    </row>
    <row r="211" customFormat="false" ht="15" hidden="false" customHeight="false" outlineLevel="0" collapsed="false">
      <c r="A211" s="25" t="str">
        <f aca="false">IF(C211&lt;&gt;"","F27-"&amp;COUNT($C$4:C211),"")</f>
        <v/>
      </c>
      <c r="B211" s="26" t="str">
        <f aca="false">IF(OR(F211="LOC - INITIAL",F211="CONSOLIDATION - UPFRONT COMM",F211="REVERSE - TOTAL FUNDING"),A211,"")</f>
        <v/>
      </c>
      <c r="C211" s="27"/>
      <c r="D211" s="28"/>
      <c r="E211" s="28"/>
      <c r="F211" s="28"/>
      <c r="G211" s="29"/>
      <c r="H211" s="30"/>
      <c r="I211" s="28"/>
      <c r="J211" s="31" t="str">
        <f aca="false">IF(AND(G211&lt;&gt;"",H211&lt;&gt;""),G211*H211,"")</f>
        <v/>
      </c>
      <c r="K211" s="28"/>
      <c r="L211" s="32"/>
      <c r="M211" s="32"/>
      <c r="N211" s="31" t="n">
        <f aca="false">IF(OR(G211="",M211=""),0,IF(M211&gt;100,M211,G211*IF(M211&gt;1,M211/100,M211)))</f>
        <v>0</v>
      </c>
      <c r="O211" s="31" t="str">
        <f aca="false">IF(G211="","",G211*IF(L211="",0,IF(L211&gt;1,L211/100,L211))+N211)</f>
        <v/>
      </c>
      <c r="P211" s="28"/>
      <c r="Q211" s="33" t="str">
        <f aca="false">IF(P211="","",IFERROR(VLOOKUP(P211,PARTNERS!$A$2:$B$30,2,0),""))</f>
        <v/>
      </c>
      <c r="R211" s="17" t="str">
        <f aca="false">IF(O211="","",IF(OR(P211="",Q211=""),0,(O211-N211)*IF(Q211&gt;1,Q211/100,Q211)))</f>
        <v/>
      </c>
      <c r="S211" s="31" t="str">
        <f aca="false">IF(O211="","",O211-R211)</f>
        <v/>
      </c>
      <c r="T211" s="28"/>
      <c r="U211" s="34" t="str">
        <f aca="false">IF(T211="","",IFERROR(VLOOKUP(T211,REPS!$A$2:$D$40,2,0),""))</f>
        <v/>
      </c>
      <c r="V211" s="31" t="str">
        <f aca="false">IF(O211="","",IF(U211="",0,O211*IF(U211&gt;1,U211/100,U211)))</f>
        <v/>
      </c>
      <c r="W211" s="28"/>
      <c r="X211" s="34" t="str">
        <f aca="false">IF(W211="","",IFERROR(VLOOKUP(W211,REPS!$A$2:$D$40,3,0),""))</f>
        <v/>
      </c>
      <c r="Y211" s="31" t="str">
        <f aca="false">IF(O211="","",IF(X211="",0,O211*IF(X211&gt;1,X211/100,X211)))</f>
        <v/>
      </c>
      <c r="Z211" s="28"/>
      <c r="AA211" s="34" t="str">
        <f aca="false">IF(Z211="","",IFERROR(VLOOKUP(Z211,REPS!$A$2:$D$40,4,0),""))</f>
        <v/>
      </c>
      <c r="AB211" s="31" t="str">
        <f aca="false">IF(O211="","",IF(AA211="",0,O211*IF(AA211&gt;1,AA211/100,AA211)))</f>
        <v/>
      </c>
      <c r="AC211" s="31" t="str">
        <f aca="false">IF(O211="","",V211+Y211+AB211)</f>
        <v/>
      </c>
      <c r="AD211" s="19" t="str">
        <f aca="false">IF(O211="","",O211-R211-AC211)</f>
        <v/>
      </c>
      <c r="AE211" s="20"/>
      <c r="AF211" s="27"/>
      <c r="AG211" s="21" t="n">
        <f aca="false">IF(OR(AE211="",AE211=0),0,AE211*IF(U211="",0,IF(U211&gt;1,U211/100,U211)))</f>
        <v>0</v>
      </c>
      <c r="AH211" s="21" t="n">
        <f aca="false">IF(OR(AE211="",AE211=0),0,AE211*IF(X211="",0,IF(X211&gt;1,X211/100,X211)))</f>
        <v>0</v>
      </c>
      <c r="AI211" s="21" t="n">
        <f aca="false">IF(OR(AE211="",AE211=0),0,AE211*IF(AA211="",0,IF(AA211&gt;1,AA211/100,AA211)))</f>
        <v>0</v>
      </c>
      <c r="AJ211" s="21" t="n">
        <f aca="false">AG211+AH211+AI211</f>
        <v>0</v>
      </c>
      <c r="AK211" s="21" t="n">
        <f aca="false">IF(OR(AE211="",AE211=0),0,AE211-AJ211)</f>
        <v>0</v>
      </c>
      <c r="AL211" s="19" t="str">
        <f aca="false">IF(AD211="","",AD211-AK211)</f>
        <v/>
      </c>
      <c r="AM211" s="26" t="str">
        <f aca="false">IF(C211="","","Waiting for payment")</f>
        <v/>
      </c>
      <c r="AN211" s="27"/>
      <c r="AO211" s="27"/>
      <c r="AP211" s="35" t="str">
        <f aca="false">IF(OR(C211="",I211="",K211=""),"",IF(K211="Monthly",EDATE(C211,ROUND(I211*SETTINGS!$I$8,0)),WORKDAY(C211,ROUND(I211*SETTINGS!$I$8,0))))</f>
        <v/>
      </c>
      <c r="AQ211" s="26" t="str">
        <f aca="true">IF(C211="","",IF(AND(AP211&lt;&gt;"",TODAY()&gt;=AP211),"Refi Ready",IF(TODAY()-C211&gt;=SETTINGS!$I$11,"Prospecting","Performing")))</f>
        <v/>
      </c>
      <c r="AR211" s="35" t="str">
        <f aca="false">IF(OR(C211="",I211="",K211=""),"",IF(K211="Monthly",EDATE(C211,I211),WORKDAY(C211,I211)))</f>
        <v/>
      </c>
      <c r="AS211" s="28"/>
      <c r="AT211" s="36" t="str">
        <f aca="true">IF(C211="","",IF(AM211="Clawed Back","CLAWED",IF(TODAY()&lt;=C211+SETTINGS!$I$2,"⚠ AT RISK","SAFE")))</f>
        <v/>
      </c>
      <c r="AU211" s="28"/>
      <c r="AW211" s="24" t="n">
        <f aca="false">AW210+IF(AND(C211&lt;&gt;"",AO211&lt;&gt;"",OR('REP COMMISSION'!$B$3="",T211='REP COMMISSION'!$B$3,W211='REP COMMISSION'!$B$3,Z211='REP COMMISSION'!$B$3)),1,0)</f>
        <v>0</v>
      </c>
      <c r="AX211" s="24" t="n">
        <f aca="false">AX210+IF(AND(C211&lt;&gt;"",OR(F211="LOC - INITIAL",F211="CONSOLIDATION - UPFRONT COMM",F211="REVERSE - TOTAL FUNDING")),1,0)</f>
        <v>0</v>
      </c>
    </row>
    <row r="212" customFormat="false" ht="15" hidden="false" customHeight="false" outlineLevel="0" collapsed="false">
      <c r="A212" s="8" t="str">
        <f aca="false">IF(C212&lt;&gt;"","F27-"&amp;COUNT($C$4:C212),"")</f>
        <v/>
      </c>
      <c r="B212" s="9" t="str">
        <f aca="false">IF(OR(F212="LOC - INITIAL",F212="CONSOLIDATION - UPFRONT COMM",F212="REVERSE - TOTAL FUNDING"),A212,"")</f>
        <v/>
      </c>
      <c r="C212" s="10"/>
      <c r="D212" s="11"/>
      <c r="E212" s="11"/>
      <c r="F212" s="11"/>
      <c r="G212" s="12"/>
      <c r="H212" s="13"/>
      <c r="I212" s="11"/>
      <c r="J212" s="14" t="str">
        <f aca="false">IF(AND(G212&lt;&gt;"",H212&lt;&gt;""),G212*H212,"")</f>
        <v/>
      </c>
      <c r="K212" s="11"/>
      <c r="L212" s="15"/>
      <c r="M212" s="15"/>
      <c r="N212" s="14" t="n">
        <f aca="false">IF(OR(G212="",M212=""),0,IF(M212&gt;100,M212,G212*IF(M212&gt;1,M212/100,M212)))</f>
        <v>0</v>
      </c>
      <c r="O212" s="14" t="str">
        <f aca="false">IF(G212="","",G212*IF(L212="",0,IF(L212&gt;1,L212/100,L212))+N212)</f>
        <v/>
      </c>
      <c r="P212" s="11"/>
      <c r="Q212" s="16" t="str">
        <f aca="false">IF(P212="","",IFERROR(VLOOKUP(P212,PARTNERS!$A$2:$B$30,2,0),""))</f>
        <v/>
      </c>
      <c r="R212" s="17" t="str">
        <f aca="false">IF(O212="","",IF(OR(P212="",Q212=""),0,(O212-N212)*IF(Q212&gt;1,Q212/100,Q212)))</f>
        <v/>
      </c>
      <c r="S212" s="14" t="str">
        <f aca="false">IF(O212="","",O212-R212)</f>
        <v/>
      </c>
      <c r="T212" s="11"/>
      <c r="U212" s="18" t="str">
        <f aca="false">IF(T212="","",IFERROR(VLOOKUP(T212,REPS!$A$2:$D$40,2,0),""))</f>
        <v/>
      </c>
      <c r="V212" s="14" t="str">
        <f aca="false">IF(O212="","",IF(U212="",0,O212*IF(U212&gt;1,U212/100,U212)))</f>
        <v/>
      </c>
      <c r="W212" s="11"/>
      <c r="X212" s="18" t="str">
        <f aca="false">IF(W212="","",IFERROR(VLOOKUP(W212,REPS!$A$2:$D$40,3,0),""))</f>
        <v/>
      </c>
      <c r="Y212" s="14" t="str">
        <f aca="false">IF(O212="","",IF(X212="",0,O212*IF(X212&gt;1,X212/100,X212)))</f>
        <v/>
      </c>
      <c r="Z212" s="11"/>
      <c r="AA212" s="18" t="str">
        <f aca="false">IF(Z212="","",IFERROR(VLOOKUP(Z212,REPS!$A$2:$D$40,4,0),""))</f>
        <v/>
      </c>
      <c r="AB212" s="14" t="str">
        <f aca="false">IF(O212="","",IF(AA212="",0,O212*IF(AA212&gt;1,AA212/100,AA212)))</f>
        <v/>
      </c>
      <c r="AC212" s="14" t="str">
        <f aca="false">IF(O212="","",V212+Y212+AB212)</f>
        <v/>
      </c>
      <c r="AD212" s="19" t="str">
        <f aca="false">IF(O212="","",O212-R212-AC212)</f>
        <v/>
      </c>
      <c r="AE212" s="20"/>
      <c r="AF212" s="10"/>
      <c r="AG212" s="21" t="n">
        <f aca="false">IF(OR(AE212="",AE212=0),0,AE212*IF(U212="",0,IF(U212&gt;1,U212/100,U212)))</f>
        <v>0</v>
      </c>
      <c r="AH212" s="21" t="n">
        <f aca="false">IF(OR(AE212="",AE212=0),0,AE212*IF(X212="",0,IF(X212&gt;1,X212/100,X212)))</f>
        <v>0</v>
      </c>
      <c r="AI212" s="21" t="n">
        <f aca="false">IF(OR(AE212="",AE212=0),0,AE212*IF(AA212="",0,IF(AA212&gt;1,AA212/100,AA212)))</f>
        <v>0</v>
      </c>
      <c r="AJ212" s="21" t="n">
        <f aca="false">AG212+AH212+AI212</f>
        <v>0</v>
      </c>
      <c r="AK212" s="21" t="n">
        <f aca="false">IF(OR(AE212="",AE212=0),0,AE212-AJ212)</f>
        <v>0</v>
      </c>
      <c r="AL212" s="19" t="str">
        <f aca="false">IF(AD212="","",AD212-AK212)</f>
        <v/>
      </c>
      <c r="AM212" s="9" t="str">
        <f aca="false">IF(C212="","","Waiting for payment")</f>
        <v/>
      </c>
      <c r="AN212" s="10"/>
      <c r="AO212" s="10"/>
      <c r="AP212" s="22" t="str">
        <f aca="false">IF(OR(C212="",I212="",K212=""),"",IF(K212="Monthly",EDATE(C212,ROUND(I212*SETTINGS!$I$8,0)),WORKDAY(C212,ROUND(I212*SETTINGS!$I$8,0))))</f>
        <v/>
      </c>
      <c r="AQ212" s="9" t="str">
        <f aca="true">IF(C212="","",IF(AND(AP212&lt;&gt;"",TODAY()&gt;=AP212),"Refi Ready",IF(TODAY()-C212&gt;=SETTINGS!$I$11,"Prospecting","Performing")))</f>
        <v/>
      </c>
      <c r="AR212" s="22" t="str">
        <f aca="false">IF(OR(C212="",I212="",K212=""),"",IF(K212="Monthly",EDATE(C212,I212),WORKDAY(C212,I212)))</f>
        <v/>
      </c>
      <c r="AS212" s="11"/>
      <c r="AT212" s="23" t="str">
        <f aca="true">IF(C212="","",IF(AM212="Clawed Back","CLAWED",IF(TODAY()&lt;=C212+SETTINGS!$I$2,"⚠ AT RISK","SAFE")))</f>
        <v/>
      </c>
      <c r="AU212" s="11"/>
      <c r="AW212" s="24" t="n">
        <f aca="false">AW211+IF(AND(C212&lt;&gt;"",AO212&lt;&gt;"",OR('REP COMMISSION'!$B$3="",T212='REP COMMISSION'!$B$3,W212='REP COMMISSION'!$B$3,Z212='REP COMMISSION'!$B$3)),1,0)</f>
        <v>0</v>
      </c>
      <c r="AX212" s="24" t="n">
        <f aca="false">AX211+IF(AND(C212&lt;&gt;"",OR(F212="LOC - INITIAL",F212="CONSOLIDATION - UPFRONT COMM",F212="REVERSE - TOTAL FUNDING")),1,0)</f>
        <v>0</v>
      </c>
    </row>
    <row r="213" customFormat="false" ht="15" hidden="false" customHeight="false" outlineLevel="0" collapsed="false">
      <c r="A213" s="25" t="str">
        <f aca="false">IF(C213&lt;&gt;"","F27-"&amp;COUNT($C$4:C213),"")</f>
        <v/>
      </c>
      <c r="B213" s="26" t="str">
        <f aca="false">IF(OR(F213="LOC - INITIAL",F213="CONSOLIDATION - UPFRONT COMM",F213="REVERSE - TOTAL FUNDING"),A213,"")</f>
        <v/>
      </c>
      <c r="C213" s="27"/>
      <c r="D213" s="28"/>
      <c r="E213" s="28"/>
      <c r="F213" s="28"/>
      <c r="G213" s="29"/>
      <c r="H213" s="30"/>
      <c r="I213" s="28"/>
      <c r="J213" s="31" t="str">
        <f aca="false">IF(AND(G213&lt;&gt;"",H213&lt;&gt;""),G213*H213,"")</f>
        <v/>
      </c>
      <c r="K213" s="28"/>
      <c r="L213" s="32"/>
      <c r="M213" s="32"/>
      <c r="N213" s="31" t="n">
        <f aca="false">IF(OR(G213="",M213=""),0,IF(M213&gt;100,M213,G213*IF(M213&gt;1,M213/100,M213)))</f>
        <v>0</v>
      </c>
      <c r="O213" s="31" t="str">
        <f aca="false">IF(G213="","",G213*IF(L213="",0,IF(L213&gt;1,L213/100,L213))+N213)</f>
        <v/>
      </c>
      <c r="P213" s="28"/>
      <c r="Q213" s="33" t="str">
        <f aca="false">IF(P213="","",IFERROR(VLOOKUP(P213,PARTNERS!$A$2:$B$30,2,0),""))</f>
        <v/>
      </c>
      <c r="R213" s="17" t="str">
        <f aca="false">IF(O213="","",IF(OR(P213="",Q213=""),0,(O213-N213)*IF(Q213&gt;1,Q213/100,Q213)))</f>
        <v/>
      </c>
      <c r="S213" s="31" t="str">
        <f aca="false">IF(O213="","",O213-R213)</f>
        <v/>
      </c>
      <c r="T213" s="28"/>
      <c r="U213" s="34" t="str">
        <f aca="false">IF(T213="","",IFERROR(VLOOKUP(T213,REPS!$A$2:$D$40,2,0),""))</f>
        <v/>
      </c>
      <c r="V213" s="31" t="str">
        <f aca="false">IF(O213="","",IF(U213="",0,O213*IF(U213&gt;1,U213/100,U213)))</f>
        <v/>
      </c>
      <c r="W213" s="28"/>
      <c r="X213" s="34" t="str">
        <f aca="false">IF(W213="","",IFERROR(VLOOKUP(W213,REPS!$A$2:$D$40,3,0),""))</f>
        <v/>
      </c>
      <c r="Y213" s="31" t="str">
        <f aca="false">IF(O213="","",IF(X213="",0,O213*IF(X213&gt;1,X213/100,X213)))</f>
        <v/>
      </c>
      <c r="Z213" s="28"/>
      <c r="AA213" s="34" t="str">
        <f aca="false">IF(Z213="","",IFERROR(VLOOKUP(Z213,REPS!$A$2:$D$40,4,0),""))</f>
        <v/>
      </c>
      <c r="AB213" s="31" t="str">
        <f aca="false">IF(O213="","",IF(AA213="",0,O213*IF(AA213&gt;1,AA213/100,AA213)))</f>
        <v/>
      </c>
      <c r="AC213" s="31" t="str">
        <f aca="false">IF(O213="","",V213+Y213+AB213)</f>
        <v/>
      </c>
      <c r="AD213" s="19" t="str">
        <f aca="false">IF(O213="","",O213-R213-AC213)</f>
        <v/>
      </c>
      <c r="AE213" s="20"/>
      <c r="AF213" s="27"/>
      <c r="AG213" s="21" t="n">
        <f aca="false">IF(OR(AE213="",AE213=0),0,AE213*IF(U213="",0,IF(U213&gt;1,U213/100,U213)))</f>
        <v>0</v>
      </c>
      <c r="AH213" s="21" t="n">
        <f aca="false">IF(OR(AE213="",AE213=0),0,AE213*IF(X213="",0,IF(X213&gt;1,X213/100,X213)))</f>
        <v>0</v>
      </c>
      <c r="AI213" s="21" t="n">
        <f aca="false">IF(OR(AE213="",AE213=0),0,AE213*IF(AA213="",0,IF(AA213&gt;1,AA213/100,AA213)))</f>
        <v>0</v>
      </c>
      <c r="AJ213" s="21" t="n">
        <f aca="false">AG213+AH213+AI213</f>
        <v>0</v>
      </c>
      <c r="AK213" s="21" t="n">
        <f aca="false">IF(OR(AE213="",AE213=0),0,AE213-AJ213)</f>
        <v>0</v>
      </c>
      <c r="AL213" s="19" t="str">
        <f aca="false">IF(AD213="","",AD213-AK213)</f>
        <v/>
      </c>
      <c r="AM213" s="26" t="str">
        <f aca="false">IF(C213="","","Waiting for payment")</f>
        <v/>
      </c>
      <c r="AN213" s="27"/>
      <c r="AO213" s="27"/>
      <c r="AP213" s="35" t="str">
        <f aca="false">IF(OR(C213="",I213="",K213=""),"",IF(K213="Monthly",EDATE(C213,ROUND(I213*SETTINGS!$I$8,0)),WORKDAY(C213,ROUND(I213*SETTINGS!$I$8,0))))</f>
        <v/>
      </c>
      <c r="AQ213" s="26" t="str">
        <f aca="true">IF(C213="","",IF(AND(AP213&lt;&gt;"",TODAY()&gt;=AP213),"Refi Ready",IF(TODAY()-C213&gt;=SETTINGS!$I$11,"Prospecting","Performing")))</f>
        <v/>
      </c>
      <c r="AR213" s="35" t="str">
        <f aca="false">IF(OR(C213="",I213="",K213=""),"",IF(K213="Monthly",EDATE(C213,I213),WORKDAY(C213,I213)))</f>
        <v/>
      </c>
      <c r="AS213" s="28"/>
      <c r="AT213" s="36" t="str">
        <f aca="true">IF(C213="","",IF(AM213="Clawed Back","CLAWED",IF(TODAY()&lt;=C213+SETTINGS!$I$2,"⚠ AT RISK","SAFE")))</f>
        <v/>
      </c>
      <c r="AU213" s="28"/>
      <c r="AW213" s="24" t="n">
        <f aca="false">AW212+IF(AND(C213&lt;&gt;"",AO213&lt;&gt;"",OR('REP COMMISSION'!$B$3="",T213='REP COMMISSION'!$B$3,W213='REP COMMISSION'!$B$3,Z213='REP COMMISSION'!$B$3)),1,0)</f>
        <v>0</v>
      </c>
      <c r="AX213" s="24" t="n">
        <f aca="false">AX212+IF(AND(C213&lt;&gt;"",OR(F213="LOC - INITIAL",F213="CONSOLIDATION - UPFRONT COMM",F213="REVERSE - TOTAL FUNDING")),1,0)</f>
        <v>0</v>
      </c>
    </row>
    <row r="214" customFormat="false" ht="15" hidden="false" customHeight="false" outlineLevel="0" collapsed="false">
      <c r="A214" s="8" t="str">
        <f aca="false">IF(C214&lt;&gt;"","F27-"&amp;COUNT($C$4:C214),"")</f>
        <v/>
      </c>
      <c r="B214" s="9" t="str">
        <f aca="false">IF(OR(F214="LOC - INITIAL",F214="CONSOLIDATION - UPFRONT COMM",F214="REVERSE - TOTAL FUNDING"),A214,"")</f>
        <v/>
      </c>
      <c r="C214" s="10"/>
      <c r="D214" s="11"/>
      <c r="E214" s="11"/>
      <c r="F214" s="11"/>
      <c r="G214" s="12"/>
      <c r="H214" s="13"/>
      <c r="I214" s="11"/>
      <c r="J214" s="14" t="str">
        <f aca="false">IF(AND(G214&lt;&gt;"",H214&lt;&gt;""),G214*H214,"")</f>
        <v/>
      </c>
      <c r="K214" s="11"/>
      <c r="L214" s="15"/>
      <c r="M214" s="15"/>
      <c r="N214" s="14" t="n">
        <f aca="false">IF(OR(G214="",M214=""),0,IF(M214&gt;100,M214,G214*IF(M214&gt;1,M214/100,M214)))</f>
        <v>0</v>
      </c>
      <c r="O214" s="14" t="str">
        <f aca="false">IF(G214="","",G214*IF(L214="",0,IF(L214&gt;1,L214/100,L214))+N214)</f>
        <v/>
      </c>
      <c r="P214" s="11"/>
      <c r="Q214" s="16" t="str">
        <f aca="false">IF(P214="","",IFERROR(VLOOKUP(P214,PARTNERS!$A$2:$B$30,2,0),""))</f>
        <v/>
      </c>
      <c r="R214" s="17" t="str">
        <f aca="false">IF(O214="","",IF(OR(P214="",Q214=""),0,(O214-N214)*IF(Q214&gt;1,Q214/100,Q214)))</f>
        <v/>
      </c>
      <c r="S214" s="14" t="str">
        <f aca="false">IF(O214="","",O214-R214)</f>
        <v/>
      </c>
      <c r="T214" s="11"/>
      <c r="U214" s="18" t="str">
        <f aca="false">IF(T214="","",IFERROR(VLOOKUP(T214,REPS!$A$2:$D$40,2,0),""))</f>
        <v/>
      </c>
      <c r="V214" s="14" t="str">
        <f aca="false">IF(O214="","",IF(U214="",0,O214*IF(U214&gt;1,U214/100,U214)))</f>
        <v/>
      </c>
      <c r="W214" s="11"/>
      <c r="X214" s="18" t="str">
        <f aca="false">IF(W214="","",IFERROR(VLOOKUP(W214,REPS!$A$2:$D$40,3,0),""))</f>
        <v/>
      </c>
      <c r="Y214" s="14" t="str">
        <f aca="false">IF(O214="","",IF(X214="",0,O214*IF(X214&gt;1,X214/100,X214)))</f>
        <v/>
      </c>
      <c r="Z214" s="11"/>
      <c r="AA214" s="18" t="str">
        <f aca="false">IF(Z214="","",IFERROR(VLOOKUP(Z214,REPS!$A$2:$D$40,4,0),""))</f>
        <v/>
      </c>
      <c r="AB214" s="14" t="str">
        <f aca="false">IF(O214="","",IF(AA214="",0,O214*IF(AA214&gt;1,AA214/100,AA214)))</f>
        <v/>
      </c>
      <c r="AC214" s="14" t="str">
        <f aca="false">IF(O214="","",V214+Y214+AB214)</f>
        <v/>
      </c>
      <c r="AD214" s="19" t="str">
        <f aca="false">IF(O214="","",O214-R214-AC214)</f>
        <v/>
      </c>
      <c r="AE214" s="20"/>
      <c r="AF214" s="10"/>
      <c r="AG214" s="21" t="n">
        <f aca="false">IF(OR(AE214="",AE214=0),0,AE214*IF(U214="",0,IF(U214&gt;1,U214/100,U214)))</f>
        <v>0</v>
      </c>
      <c r="AH214" s="21" t="n">
        <f aca="false">IF(OR(AE214="",AE214=0),0,AE214*IF(X214="",0,IF(X214&gt;1,X214/100,X214)))</f>
        <v>0</v>
      </c>
      <c r="AI214" s="21" t="n">
        <f aca="false">IF(OR(AE214="",AE214=0),0,AE214*IF(AA214="",0,IF(AA214&gt;1,AA214/100,AA214)))</f>
        <v>0</v>
      </c>
      <c r="AJ214" s="21" t="n">
        <f aca="false">AG214+AH214+AI214</f>
        <v>0</v>
      </c>
      <c r="AK214" s="21" t="n">
        <f aca="false">IF(OR(AE214="",AE214=0),0,AE214-AJ214)</f>
        <v>0</v>
      </c>
      <c r="AL214" s="19" t="str">
        <f aca="false">IF(AD214="","",AD214-AK214)</f>
        <v/>
      </c>
      <c r="AM214" s="9" t="str">
        <f aca="false">IF(C214="","","Waiting for payment")</f>
        <v/>
      </c>
      <c r="AN214" s="10"/>
      <c r="AO214" s="10"/>
      <c r="AP214" s="22" t="str">
        <f aca="false">IF(OR(C214="",I214="",K214=""),"",IF(K214="Monthly",EDATE(C214,ROUND(I214*SETTINGS!$I$8,0)),WORKDAY(C214,ROUND(I214*SETTINGS!$I$8,0))))</f>
        <v/>
      </c>
      <c r="AQ214" s="9" t="str">
        <f aca="true">IF(C214="","",IF(AND(AP214&lt;&gt;"",TODAY()&gt;=AP214),"Refi Ready",IF(TODAY()-C214&gt;=SETTINGS!$I$11,"Prospecting","Performing")))</f>
        <v/>
      </c>
      <c r="AR214" s="22" t="str">
        <f aca="false">IF(OR(C214="",I214="",K214=""),"",IF(K214="Monthly",EDATE(C214,I214),WORKDAY(C214,I214)))</f>
        <v/>
      </c>
      <c r="AS214" s="11"/>
      <c r="AT214" s="23" t="str">
        <f aca="true">IF(C214="","",IF(AM214="Clawed Back","CLAWED",IF(TODAY()&lt;=C214+SETTINGS!$I$2,"⚠ AT RISK","SAFE")))</f>
        <v/>
      </c>
      <c r="AU214" s="11"/>
      <c r="AW214" s="24" t="n">
        <f aca="false">AW213+IF(AND(C214&lt;&gt;"",AO214&lt;&gt;"",OR('REP COMMISSION'!$B$3="",T214='REP COMMISSION'!$B$3,W214='REP COMMISSION'!$B$3,Z214='REP COMMISSION'!$B$3)),1,0)</f>
        <v>0</v>
      </c>
      <c r="AX214" s="24" t="n">
        <f aca="false">AX213+IF(AND(C214&lt;&gt;"",OR(F214="LOC - INITIAL",F214="CONSOLIDATION - UPFRONT COMM",F214="REVERSE - TOTAL FUNDING")),1,0)</f>
        <v>0</v>
      </c>
    </row>
    <row r="215" customFormat="false" ht="15" hidden="false" customHeight="false" outlineLevel="0" collapsed="false">
      <c r="A215" s="25" t="str">
        <f aca="false">IF(C215&lt;&gt;"","F27-"&amp;COUNT($C$4:C215),"")</f>
        <v/>
      </c>
      <c r="B215" s="26" t="str">
        <f aca="false">IF(OR(F215="LOC - INITIAL",F215="CONSOLIDATION - UPFRONT COMM",F215="REVERSE - TOTAL FUNDING"),A215,"")</f>
        <v/>
      </c>
      <c r="C215" s="27"/>
      <c r="D215" s="28"/>
      <c r="E215" s="28"/>
      <c r="F215" s="28"/>
      <c r="G215" s="29"/>
      <c r="H215" s="30"/>
      <c r="I215" s="28"/>
      <c r="J215" s="31" t="str">
        <f aca="false">IF(AND(G215&lt;&gt;"",H215&lt;&gt;""),G215*H215,"")</f>
        <v/>
      </c>
      <c r="K215" s="28"/>
      <c r="L215" s="32"/>
      <c r="M215" s="32"/>
      <c r="N215" s="31" t="n">
        <f aca="false">IF(OR(G215="",M215=""),0,IF(M215&gt;100,M215,G215*IF(M215&gt;1,M215/100,M215)))</f>
        <v>0</v>
      </c>
      <c r="O215" s="31" t="str">
        <f aca="false">IF(G215="","",G215*IF(L215="",0,IF(L215&gt;1,L215/100,L215))+N215)</f>
        <v/>
      </c>
      <c r="P215" s="28"/>
      <c r="Q215" s="33" t="str">
        <f aca="false">IF(P215="","",IFERROR(VLOOKUP(P215,PARTNERS!$A$2:$B$30,2,0),""))</f>
        <v/>
      </c>
      <c r="R215" s="17" t="str">
        <f aca="false">IF(O215="","",IF(OR(P215="",Q215=""),0,(O215-N215)*IF(Q215&gt;1,Q215/100,Q215)))</f>
        <v/>
      </c>
      <c r="S215" s="31" t="str">
        <f aca="false">IF(O215="","",O215-R215)</f>
        <v/>
      </c>
      <c r="T215" s="28"/>
      <c r="U215" s="34" t="str">
        <f aca="false">IF(T215="","",IFERROR(VLOOKUP(T215,REPS!$A$2:$D$40,2,0),""))</f>
        <v/>
      </c>
      <c r="V215" s="31" t="str">
        <f aca="false">IF(O215="","",IF(U215="",0,O215*IF(U215&gt;1,U215/100,U215)))</f>
        <v/>
      </c>
      <c r="W215" s="28"/>
      <c r="X215" s="34" t="str">
        <f aca="false">IF(W215="","",IFERROR(VLOOKUP(W215,REPS!$A$2:$D$40,3,0),""))</f>
        <v/>
      </c>
      <c r="Y215" s="31" t="str">
        <f aca="false">IF(O215="","",IF(X215="",0,O215*IF(X215&gt;1,X215/100,X215)))</f>
        <v/>
      </c>
      <c r="Z215" s="28"/>
      <c r="AA215" s="34" t="str">
        <f aca="false">IF(Z215="","",IFERROR(VLOOKUP(Z215,REPS!$A$2:$D$40,4,0),""))</f>
        <v/>
      </c>
      <c r="AB215" s="31" t="str">
        <f aca="false">IF(O215="","",IF(AA215="",0,O215*IF(AA215&gt;1,AA215/100,AA215)))</f>
        <v/>
      </c>
      <c r="AC215" s="31" t="str">
        <f aca="false">IF(O215="","",V215+Y215+AB215)</f>
        <v/>
      </c>
      <c r="AD215" s="19" t="str">
        <f aca="false">IF(O215="","",O215-R215-AC215)</f>
        <v/>
      </c>
      <c r="AE215" s="20"/>
      <c r="AF215" s="27"/>
      <c r="AG215" s="21" t="n">
        <f aca="false">IF(OR(AE215="",AE215=0),0,AE215*IF(U215="",0,IF(U215&gt;1,U215/100,U215)))</f>
        <v>0</v>
      </c>
      <c r="AH215" s="21" t="n">
        <f aca="false">IF(OR(AE215="",AE215=0),0,AE215*IF(X215="",0,IF(X215&gt;1,X215/100,X215)))</f>
        <v>0</v>
      </c>
      <c r="AI215" s="21" t="n">
        <f aca="false">IF(OR(AE215="",AE215=0),0,AE215*IF(AA215="",0,IF(AA215&gt;1,AA215/100,AA215)))</f>
        <v>0</v>
      </c>
      <c r="AJ215" s="21" t="n">
        <f aca="false">AG215+AH215+AI215</f>
        <v>0</v>
      </c>
      <c r="AK215" s="21" t="n">
        <f aca="false">IF(OR(AE215="",AE215=0),0,AE215-AJ215)</f>
        <v>0</v>
      </c>
      <c r="AL215" s="19" t="str">
        <f aca="false">IF(AD215="","",AD215-AK215)</f>
        <v/>
      </c>
      <c r="AM215" s="26" t="str">
        <f aca="false">IF(C215="","","Waiting for payment")</f>
        <v/>
      </c>
      <c r="AN215" s="27"/>
      <c r="AO215" s="27"/>
      <c r="AP215" s="35" t="str">
        <f aca="false">IF(OR(C215="",I215="",K215=""),"",IF(K215="Monthly",EDATE(C215,ROUND(I215*SETTINGS!$I$8,0)),WORKDAY(C215,ROUND(I215*SETTINGS!$I$8,0))))</f>
        <v/>
      </c>
      <c r="AQ215" s="26" t="str">
        <f aca="true">IF(C215="","",IF(AND(AP215&lt;&gt;"",TODAY()&gt;=AP215),"Refi Ready",IF(TODAY()-C215&gt;=SETTINGS!$I$11,"Prospecting","Performing")))</f>
        <v/>
      </c>
      <c r="AR215" s="35" t="str">
        <f aca="false">IF(OR(C215="",I215="",K215=""),"",IF(K215="Monthly",EDATE(C215,I215),WORKDAY(C215,I215)))</f>
        <v/>
      </c>
      <c r="AS215" s="28"/>
      <c r="AT215" s="36" t="str">
        <f aca="true">IF(C215="","",IF(AM215="Clawed Back","CLAWED",IF(TODAY()&lt;=C215+SETTINGS!$I$2,"⚠ AT RISK","SAFE")))</f>
        <v/>
      </c>
      <c r="AU215" s="28"/>
      <c r="AW215" s="24" t="n">
        <f aca="false">AW214+IF(AND(C215&lt;&gt;"",AO215&lt;&gt;"",OR('REP COMMISSION'!$B$3="",T215='REP COMMISSION'!$B$3,W215='REP COMMISSION'!$B$3,Z215='REP COMMISSION'!$B$3)),1,0)</f>
        <v>0</v>
      </c>
      <c r="AX215" s="24" t="n">
        <f aca="false">AX214+IF(AND(C215&lt;&gt;"",OR(F215="LOC - INITIAL",F215="CONSOLIDATION - UPFRONT COMM",F215="REVERSE - TOTAL FUNDING")),1,0)</f>
        <v>0</v>
      </c>
    </row>
    <row r="216" customFormat="false" ht="15" hidden="false" customHeight="false" outlineLevel="0" collapsed="false">
      <c r="A216" s="8" t="str">
        <f aca="false">IF(C216&lt;&gt;"","F27-"&amp;COUNT($C$4:C216),"")</f>
        <v/>
      </c>
      <c r="B216" s="9" t="str">
        <f aca="false">IF(OR(F216="LOC - INITIAL",F216="CONSOLIDATION - UPFRONT COMM",F216="REVERSE - TOTAL FUNDING"),A216,"")</f>
        <v/>
      </c>
      <c r="C216" s="10"/>
      <c r="D216" s="11"/>
      <c r="E216" s="11"/>
      <c r="F216" s="11"/>
      <c r="G216" s="12"/>
      <c r="H216" s="13"/>
      <c r="I216" s="11"/>
      <c r="J216" s="14" t="str">
        <f aca="false">IF(AND(G216&lt;&gt;"",H216&lt;&gt;""),G216*H216,"")</f>
        <v/>
      </c>
      <c r="K216" s="11"/>
      <c r="L216" s="15"/>
      <c r="M216" s="15"/>
      <c r="N216" s="14" t="n">
        <f aca="false">IF(OR(G216="",M216=""),0,IF(M216&gt;100,M216,G216*IF(M216&gt;1,M216/100,M216)))</f>
        <v>0</v>
      </c>
      <c r="O216" s="14" t="str">
        <f aca="false">IF(G216="","",G216*IF(L216="",0,IF(L216&gt;1,L216/100,L216))+N216)</f>
        <v/>
      </c>
      <c r="P216" s="11"/>
      <c r="Q216" s="16" t="str">
        <f aca="false">IF(P216="","",IFERROR(VLOOKUP(P216,PARTNERS!$A$2:$B$30,2,0),""))</f>
        <v/>
      </c>
      <c r="R216" s="17" t="str">
        <f aca="false">IF(O216="","",IF(OR(P216="",Q216=""),0,(O216-N216)*IF(Q216&gt;1,Q216/100,Q216)))</f>
        <v/>
      </c>
      <c r="S216" s="14" t="str">
        <f aca="false">IF(O216="","",O216-R216)</f>
        <v/>
      </c>
      <c r="T216" s="11"/>
      <c r="U216" s="18" t="str">
        <f aca="false">IF(T216="","",IFERROR(VLOOKUP(T216,REPS!$A$2:$D$40,2,0),""))</f>
        <v/>
      </c>
      <c r="V216" s="14" t="str">
        <f aca="false">IF(O216="","",IF(U216="",0,O216*IF(U216&gt;1,U216/100,U216)))</f>
        <v/>
      </c>
      <c r="W216" s="11"/>
      <c r="X216" s="18" t="str">
        <f aca="false">IF(W216="","",IFERROR(VLOOKUP(W216,REPS!$A$2:$D$40,3,0),""))</f>
        <v/>
      </c>
      <c r="Y216" s="14" t="str">
        <f aca="false">IF(O216="","",IF(X216="",0,O216*IF(X216&gt;1,X216/100,X216)))</f>
        <v/>
      </c>
      <c r="Z216" s="11"/>
      <c r="AA216" s="18" t="str">
        <f aca="false">IF(Z216="","",IFERROR(VLOOKUP(Z216,REPS!$A$2:$D$40,4,0),""))</f>
        <v/>
      </c>
      <c r="AB216" s="14" t="str">
        <f aca="false">IF(O216="","",IF(AA216="",0,O216*IF(AA216&gt;1,AA216/100,AA216)))</f>
        <v/>
      </c>
      <c r="AC216" s="14" t="str">
        <f aca="false">IF(O216="","",V216+Y216+AB216)</f>
        <v/>
      </c>
      <c r="AD216" s="19" t="str">
        <f aca="false">IF(O216="","",O216-R216-AC216)</f>
        <v/>
      </c>
      <c r="AE216" s="20"/>
      <c r="AF216" s="10"/>
      <c r="AG216" s="21" t="n">
        <f aca="false">IF(OR(AE216="",AE216=0),0,AE216*IF(U216="",0,IF(U216&gt;1,U216/100,U216)))</f>
        <v>0</v>
      </c>
      <c r="AH216" s="21" t="n">
        <f aca="false">IF(OR(AE216="",AE216=0),0,AE216*IF(X216="",0,IF(X216&gt;1,X216/100,X216)))</f>
        <v>0</v>
      </c>
      <c r="AI216" s="21" t="n">
        <f aca="false">IF(OR(AE216="",AE216=0),0,AE216*IF(AA216="",0,IF(AA216&gt;1,AA216/100,AA216)))</f>
        <v>0</v>
      </c>
      <c r="AJ216" s="21" t="n">
        <f aca="false">AG216+AH216+AI216</f>
        <v>0</v>
      </c>
      <c r="AK216" s="21" t="n">
        <f aca="false">IF(OR(AE216="",AE216=0),0,AE216-AJ216)</f>
        <v>0</v>
      </c>
      <c r="AL216" s="19" t="str">
        <f aca="false">IF(AD216="","",AD216-AK216)</f>
        <v/>
      </c>
      <c r="AM216" s="9" t="str">
        <f aca="false">IF(C216="","","Waiting for payment")</f>
        <v/>
      </c>
      <c r="AN216" s="10"/>
      <c r="AO216" s="10"/>
      <c r="AP216" s="22" t="str">
        <f aca="false">IF(OR(C216="",I216="",K216=""),"",IF(K216="Monthly",EDATE(C216,ROUND(I216*SETTINGS!$I$8,0)),WORKDAY(C216,ROUND(I216*SETTINGS!$I$8,0))))</f>
        <v/>
      </c>
      <c r="AQ216" s="9" t="str">
        <f aca="true">IF(C216="","",IF(AND(AP216&lt;&gt;"",TODAY()&gt;=AP216),"Refi Ready",IF(TODAY()-C216&gt;=SETTINGS!$I$11,"Prospecting","Performing")))</f>
        <v/>
      </c>
      <c r="AR216" s="22" t="str">
        <f aca="false">IF(OR(C216="",I216="",K216=""),"",IF(K216="Monthly",EDATE(C216,I216),WORKDAY(C216,I216)))</f>
        <v/>
      </c>
      <c r="AS216" s="11"/>
      <c r="AT216" s="23" t="str">
        <f aca="true">IF(C216="","",IF(AM216="Clawed Back","CLAWED",IF(TODAY()&lt;=C216+SETTINGS!$I$2,"⚠ AT RISK","SAFE")))</f>
        <v/>
      </c>
      <c r="AU216" s="11"/>
      <c r="AW216" s="24" t="n">
        <f aca="false">AW215+IF(AND(C216&lt;&gt;"",AO216&lt;&gt;"",OR('REP COMMISSION'!$B$3="",T216='REP COMMISSION'!$B$3,W216='REP COMMISSION'!$B$3,Z216='REP COMMISSION'!$B$3)),1,0)</f>
        <v>0</v>
      </c>
      <c r="AX216" s="24" t="n">
        <f aca="false">AX215+IF(AND(C216&lt;&gt;"",OR(F216="LOC - INITIAL",F216="CONSOLIDATION - UPFRONT COMM",F216="REVERSE - TOTAL FUNDING")),1,0)</f>
        <v>0</v>
      </c>
    </row>
    <row r="217" customFormat="false" ht="15" hidden="false" customHeight="false" outlineLevel="0" collapsed="false">
      <c r="A217" s="25" t="str">
        <f aca="false">IF(C217&lt;&gt;"","F27-"&amp;COUNT($C$4:C217),"")</f>
        <v/>
      </c>
      <c r="B217" s="26" t="str">
        <f aca="false">IF(OR(F217="LOC - INITIAL",F217="CONSOLIDATION - UPFRONT COMM",F217="REVERSE - TOTAL FUNDING"),A217,"")</f>
        <v/>
      </c>
      <c r="C217" s="27"/>
      <c r="D217" s="28"/>
      <c r="E217" s="28"/>
      <c r="F217" s="28"/>
      <c r="G217" s="29"/>
      <c r="H217" s="30"/>
      <c r="I217" s="28"/>
      <c r="J217" s="31" t="str">
        <f aca="false">IF(AND(G217&lt;&gt;"",H217&lt;&gt;""),G217*H217,"")</f>
        <v/>
      </c>
      <c r="K217" s="28"/>
      <c r="L217" s="32"/>
      <c r="M217" s="32"/>
      <c r="N217" s="31" t="n">
        <f aca="false">IF(OR(G217="",M217=""),0,IF(M217&gt;100,M217,G217*IF(M217&gt;1,M217/100,M217)))</f>
        <v>0</v>
      </c>
      <c r="O217" s="31" t="str">
        <f aca="false">IF(G217="","",G217*IF(L217="",0,IF(L217&gt;1,L217/100,L217))+N217)</f>
        <v/>
      </c>
      <c r="P217" s="28"/>
      <c r="Q217" s="33" t="str">
        <f aca="false">IF(P217="","",IFERROR(VLOOKUP(P217,PARTNERS!$A$2:$B$30,2,0),""))</f>
        <v/>
      </c>
      <c r="R217" s="17" t="str">
        <f aca="false">IF(O217="","",IF(OR(P217="",Q217=""),0,(O217-N217)*IF(Q217&gt;1,Q217/100,Q217)))</f>
        <v/>
      </c>
      <c r="S217" s="31" t="str">
        <f aca="false">IF(O217="","",O217-R217)</f>
        <v/>
      </c>
      <c r="T217" s="28"/>
      <c r="U217" s="34" t="str">
        <f aca="false">IF(T217="","",IFERROR(VLOOKUP(T217,REPS!$A$2:$D$40,2,0),""))</f>
        <v/>
      </c>
      <c r="V217" s="31" t="str">
        <f aca="false">IF(O217="","",IF(U217="",0,O217*IF(U217&gt;1,U217/100,U217)))</f>
        <v/>
      </c>
      <c r="W217" s="28"/>
      <c r="X217" s="34" t="str">
        <f aca="false">IF(W217="","",IFERROR(VLOOKUP(W217,REPS!$A$2:$D$40,3,0),""))</f>
        <v/>
      </c>
      <c r="Y217" s="31" t="str">
        <f aca="false">IF(O217="","",IF(X217="",0,O217*IF(X217&gt;1,X217/100,X217)))</f>
        <v/>
      </c>
      <c r="Z217" s="28"/>
      <c r="AA217" s="34" t="str">
        <f aca="false">IF(Z217="","",IFERROR(VLOOKUP(Z217,REPS!$A$2:$D$40,4,0),""))</f>
        <v/>
      </c>
      <c r="AB217" s="31" t="str">
        <f aca="false">IF(O217="","",IF(AA217="",0,O217*IF(AA217&gt;1,AA217/100,AA217)))</f>
        <v/>
      </c>
      <c r="AC217" s="31" t="str">
        <f aca="false">IF(O217="","",V217+Y217+AB217)</f>
        <v/>
      </c>
      <c r="AD217" s="19" t="str">
        <f aca="false">IF(O217="","",O217-R217-AC217)</f>
        <v/>
      </c>
      <c r="AE217" s="20"/>
      <c r="AF217" s="27"/>
      <c r="AG217" s="21" t="n">
        <f aca="false">IF(OR(AE217="",AE217=0),0,AE217*IF(U217="",0,IF(U217&gt;1,U217/100,U217)))</f>
        <v>0</v>
      </c>
      <c r="AH217" s="21" t="n">
        <f aca="false">IF(OR(AE217="",AE217=0),0,AE217*IF(X217="",0,IF(X217&gt;1,X217/100,X217)))</f>
        <v>0</v>
      </c>
      <c r="AI217" s="21" t="n">
        <f aca="false">IF(OR(AE217="",AE217=0),0,AE217*IF(AA217="",0,IF(AA217&gt;1,AA217/100,AA217)))</f>
        <v>0</v>
      </c>
      <c r="AJ217" s="21" t="n">
        <f aca="false">AG217+AH217+AI217</f>
        <v>0</v>
      </c>
      <c r="AK217" s="21" t="n">
        <f aca="false">IF(OR(AE217="",AE217=0),0,AE217-AJ217)</f>
        <v>0</v>
      </c>
      <c r="AL217" s="19" t="str">
        <f aca="false">IF(AD217="","",AD217-AK217)</f>
        <v/>
      </c>
      <c r="AM217" s="26" t="str">
        <f aca="false">IF(C217="","","Waiting for payment")</f>
        <v/>
      </c>
      <c r="AN217" s="27"/>
      <c r="AO217" s="27"/>
      <c r="AP217" s="35" t="str">
        <f aca="false">IF(OR(C217="",I217="",K217=""),"",IF(K217="Monthly",EDATE(C217,ROUND(I217*SETTINGS!$I$8,0)),WORKDAY(C217,ROUND(I217*SETTINGS!$I$8,0))))</f>
        <v/>
      </c>
      <c r="AQ217" s="26" t="str">
        <f aca="true">IF(C217="","",IF(AND(AP217&lt;&gt;"",TODAY()&gt;=AP217),"Refi Ready",IF(TODAY()-C217&gt;=SETTINGS!$I$11,"Prospecting","Performing")))</f>
        <v/>
      </c>
      <c r="AR217" s="35" t="str">
        <f aca="false">IF(OR(C217="",I217="",K217=""),"",IF(K217="Monthly",EDATE(C217,I217),WORKDAY(C217,I217)))</f>
        <v/>
      </c>
      <c r="AS217" s="28"/>
      <c r="AT217" s="36" t="str">
        <f aca="true">IF(C217="","",IF(AM217="Clawed Back","CLAWED",IF(TODAY()&lt;=C217+SETTINGS!$I$2,"⚠ AT RISK","SAFE")))</f>
        <v/>
      </c>
      <c r="AU217" s="28"/>
      <c r="AW217" s="24" t="n">
        <f aca="false">AW216+IF(AND(C217&lt;&gt;"",AO217&lt;&gt;"",OR('REP COMMISSION'!$B$3="",T217='REP COMMISSION'!$B$3,W217='REP COMMISSION'!$B$3,Z217='REP COMMISSION'!$B$3)),1,0)</f>
        <v>0</v>
      </c>
      <c r="AX217" s="24" t="n">
        <f aca="false">AX216+IF(AND(C217&lt;&gt;"",OR(F217="LOC - INITIAL",F217="CONSOLIDATION - UPFRONT COMM",F217="REVERSE - TOTAL FUNDING")),1,0)</f>
        <v>0</v>
      </c>
    </row>
    <row r="218" customFormat="false" ht="15" hidden="false" customHeight="false" outlineLevel="0" collapsed="false">
      <c r="A218" s="8" t="str">
        <f aca="false">IF(C218&lt;&gt;"","F27-"&amp;COUNT($C$4:C218),"")</f>
        <v/>
      </c>
      <c r="B218" s="9" t="str">
        <f aca="false">IF(OR(F218="LOC - INITIAL",F218="CONSOLIDATION - UPFRONT COMM",F218="REVERSE - TOTAL FUNDING"),A218,"")</f>
        <v/>
      </c>
      <c r="C218" s="10"/>
      <c r="D218" s="11"/>
      <c r="E218" s="11"/>
      <c r="F218" s="11"/>
      <c r="G218" s="12"/>
      <c r="H218" s="13"/>
      <c r="I218" s="11"/>
      <c r="J218" s="14" t="str">
        <f aca="false">IF(AND(G218&lt;&gt;"",H218&lt;&gt;""),G218*H218,"")</f>
        <v/>
      </c>
      <c r="K218" s="11"/>
      <c r="L218" s="15"/>
      <c r="M218" s="15"/>
      <c r="N218" s="14" t="n">
        <f aca="false">IF(OR(G218="",M218=""),0,IF(M218&gt;100,M218,G218*IF(M218&gt;1,M218/100,M218)))</f>
        <v>0</v>
      </c>
      <c r="O218" s="14" t="str">
        <f aca="false">IF(G218="","",G218*IF(L218="",0,IF(L218&gt;1,L218/100,L218))+N218)</f>
        <v/>
      </c>
      <c r="P218" s="11"/>
      <c r="Q218" s="16" t="str">
        <f aca="false">IF(P218="","",IFERROR(VLOOKUP(P218,PARTNERS!$A$2:$B$30,2,0),""))</f>
        <v/>
      </c>
      <c r="R218" s="17" t="str">
        <f aca="false">IF(O218="","",IF(OR(P218="",Q218=""),0,(O218-N218)*IF(Q218&gt;1,Q218/100,Q218)))</f>
        <v/>
      </c>
      <c r="S218" s="14" t="str">
        <f aca="false">IF(O218="","",O218-R218)</f>
        <v/>
      </c>
      <c r="T218" s="11"/>
      <c r="U218" s="18" t="str">
        <f aca="false">IF(T218="","",IFERROR(VLOOKUP(T218,REPS!$A$2:$D$40,2,0),""))</f>
        <v/>
      </c>
      <c r="V218" s="14" t="str">
        <f aca="false">IF(O218="","",IF(U218="",0,O218*IF(U218&gt;1,U218/100,U218)))</f>
        <v/>
      </c>
      <c r="W218" s="11"/>
      <c r="X218" s="18" t="str">
        <f aca="false">IF(W218="","",IFERROR(VLOOKUP(W218,REPS!$A$2:$D$40,3,0),""))</f>
        <v/>
      </c>
      <c r="Y218" s="14" t="str">
        <f aca="false">IF(O218="","",IF(X218="",0,O218*IF(X218&gt;1,X218/100,X218)))</f>
        <v/>
      </c>
      <c r="Z218" s="11"/>
      <c r="AA218" s="18" t="str">
        <f aca="false">IF(Z218="","",IFERROR(VLOOKUP(Z218,REPS!$A$2:$D$40,4,0),""))</f>
        <v/>
      </c>
      <c r="AB218" s="14" t="str">
        <f aca="false">IF(O218="","",IF(AA218="",0,O218*IF(AA218&gt;1,AA218/100,AA218)))</f>
        <v/>
      </c>
      <c r="AC218" s="14" t="str">
        <f aca="false">IF(O218="","",V218+Y218+AB218)</f>
        <v/>
      </c>
      <c r="AD218" s="19" t="str">
        <f aca="false">IF(O218="","",O218-R218-AC218)</f>
        <v/>
      </c>
      <c r="AE218" s="20"/>
      <c r="AF218" s="10"/>
      <c r="AG218" s="21" t="n">
        <f aca="false">IF(OR(AE218="",AE218=0),0,AE218*IF(U218="",0,IF(U218&gt;1,U218/100,U218)))</f>
        <v>0</v>
      </c>
      <c r="AH218" s="21" t="n">
        <f aca="false">IF(OR(AE218="",AE218=0),0,AE218*IF(X218="",0,IF(X218&gt;1,X218/100,X218)))</f>
        <v>0</v>
      </c>
      <c r="AI218" s="21" t="n">
        <f aca="false">IF(OR(AE218="",AE218=0),0,AE218*IF(AA218="",0,IF(AA218&gt;1,AA218/100,AA218)))</f>
        <v>0</v>
      </c>
      <c r="AJ218" s="21" t="n">
        <f aca="false">AG218+AH218+AI218</f>
        <v>0</v>
      </c>
      <c r="AK218" s="21" t="n">
        <f aca="false">IF(OR(AE218="",AE218=0),0,AE218-AJ218)</f>
        <v>0</v>
      </c>
      <c r="AL218" s="19" t="str">
        <f aca="false">IF(AD218="","",AD218-AK218)</f>
        <v/>
      </c>
      <c r="AM218" s="9" t="str">
        <f aca="false">IF(C218="","","Waiting for payment")</f>
        <v/>
      </c>
      <c r="AN218" s="10"/>
      <c r="AO218" s="10"/>
      <c r="AP218" s="22" t="str">
        <f aca="false">IF(OR(C218="",I218="",K218=""),"",IF(K218="Monthly",EDATE(C218,ROUND(I218*SETTINGS!$I$8,0)),WORKDAY(C218,ROUND(I218*SETTINGS!$I$8,0))))</f>
        <v/>
      </c>
      <c r="AQ218" s="9" t="str">
        <f aca="true">IF(C218="","",IF(AND(AP218&lt;&gt;"",TODAY()&gt;=AP218),"Refi Ready",IF(TODAY()-C218&gt;=SETTINGS!$I$11,"Prospecting","Performing")))</f>
        <v/>
      </c>
      <c r="AR218" s="22" t="str">
        <f aca="false">IF(OR(C218="",I218="",K218=""),"",IF(K218="Monthly",EDATE(C218,I218),WORKDAY(C218,I218)))</f>
        <v/>
      </c>
      <c r="AS218" s="11"/>
      <c r="AT218" s="23" t="str">
        <f aca="true">IF(C218="","",IF(AM218="Clawed Back","CLAWED",IF(TODAY()&lt;=C218+SETTINGS!$I$2,"⚠ AT RISK","SAFE")))</f>
        <v/>
      </c>
      <c r="AU218" s="11"/>
      <c r="AW218" s="24" t="n">
        <f aca="false">AW217+IF(AND(C218&lt;&gt;"",AO218&lt;&gt;"",OR('REP COMMISSION'!$B$3="",T218='REP COMMISSION'!$B$3,W218='REP COMMISSION'!$B$3,Z218='REP COMMISSION'!$B$3)),1,0)</f>
        <v>0</v>
      </c>
      <c r="AX218" s="24" t="n">
        <f aca="false">AX217+IF(AND(C218&lt;&gt;"",OR(F218="LOC - INITIAL",F218="CONSOLIDATION - UPFRONT COMM",F218="REVERSE - TOTAL FUNDING")),1,0)</f>
        <v>0</v>
      </c>
    </row>
    <row r="219" customFormat="false" ht="15" hidden="false" customHeight="false" outlineLevel="0" collapsed="false">
      <c r="A219" s="25" t="str">
        <f aca="false">IF(C219&lt;&gt;"","F27-"&amp;COUNT($C$4:C219),"")</f>
        <v/>
      </c>
      <c r="B219" s="26" t="str">
        <f aca="false">IF(OR(F219="LOC - INITIAL",F219="CONSOLIDATION - UPFRONT COMM",F219="REVERSE - TOTAL FUNDING"),A219,"")</f>
        <v/>
      </c>
      <c r="C219" s="27"/>
      <c r="D219" s="28"/>
      <c r="E219" s="28"/>
      <c r="F219" s="28"/>
      <c r="G219" s="29"/>
      <c r="H219" s="30"/>
      <c r="I219" s="28"/>
      <c r="J219" s="31" t="str">
        <f aca="false">IF(AND(G219&lt;&gt;"",H219&lt;&gt;""),G219*H219,"")</f>
        <v/>
      </c>
      <c r="K219" s="28"/>
      <c r="L219" s="32"/>
      <c r="M219" s="32"/>
      <c r="N219" s="31" t="n">
        <f aca="false">IF(OR(G219="",M219=""),0,IF(M219&gt;100,M219,G219*IF(M219&gt;1,M219/100,M219)))</f>
        <v>0</v>
      </c>
      <c r="O219" s="31" t="str">
        <f aca="false">IF(G219="","",G219*IF(L219="",0,IF(L219&gt;1,L219/100,L219))+N219)</f>
        <v/>
      </c>
      <c r="P219" s="28"/>
      <c r="Q219" s="33" t="str">
        <f aca="false">IF(P219="","",IFERROR(VLOOKUP(P219,PARTNERS!$A$2:$B$30,2,0),""))</f>
        <v/>
      </c>
      <c r="R219" s="17" t="str">
        <f aca="false">IF(O219="","",IF(OR(P219="",Q219=""),0,(O219-N219)*IF(Q219&gt;1,Q219/100,Q219)))</f>
        <v/>
      </c>
      <c r="S219" s="31" t="str">
        <f aca="false">IF(O219="","",O219-R219)</f>
        <v/>
      </c>
      <c r="T219" s="28"/>
      <c r="U219" s="34" t="str">
        <f aca="false">IF(T219="","",IFERROR(VLOOKUP(T219,REPS!$A$2:$D$40,2,0),""))</f>
        <v/>
      </c>
      <c r="V219" s="31" t="str">
        <f aca="false">IF(O219="","",IF(U219="",0,O219*IF(U219&gt;1,U219/100,U219)))</f>
        <v/>
      </c>
      <c r="W219" s="28"/>
      <c r="X219" s="34" t="str">
        <f aca="false">IF(W219="","",IFERROR(VLOOKUP(W219,REPS!$A$2:$D$40,3,0),""))</f>
        <v/>
      </c>
      <c r="Y219" s="31" t="str">
        <f aca="false">IF(O219="","",IF(X219="",0,O219*IF(X219&gt;1,X219/100,X219)))</f>
        <v/>
      </c>
      <c r="Z219" s="28"/>
      <c r="AA219" s="34" t="str">
        <f aca="false">IF(Z219="","",IFERROR(VLOOKUP(Z219,REPS!$A$2:$D$40,4,0),""))</f>
        <v/>
      </c>
      <c r="AB219" s="31" t="str">
        <f aca="false">IF(O219="","",IF(AA219="",0,O219*IF(AA219&gt;1,AA219/100,AA219)))</f>
        <v/>
      </c>
      <c r="AC219" s="31" t="str">
        <f aca="false">IF(O219="","",V219+Y219+AB219)</f>
        <v/>
      </c>
      <c r="AD219" s="19" t="str">
        <f aca="false">IF(O219="","",O219-R219-AC219)</f>
        <v/>
      </c>
      <c r="AE219" s="20"/>
      <c r="AF219" s="27"/>
      <c r="AG219" s="21" t="n">
        <f aca="false">IF(OR(AE219="",AE219=0),0,AE219*IF(U219="",0,IF(U219&gt;1,U219/100,U219)))</f>
        <v>0</v>
      </c>
      <c r="AH219" s="21" t="n">
        <f aca="false">IF(OR(AE219="",AE219=0),0,AE219*IF(X219="",0,IF(X219&gt;1,X219/100,X219)))</f>
        <v>0</v>
      </c>
      <c r="AI219" s="21" t="n">
        <f aca="false">IF(OR(AE219="",AE219=0),0,AE219*IF(AA219="",0,IF(AA219&gt;1,AA219/100,AA219)))</f>
        <v>0</v>
      </c>
      <c r="AJ219" s="21" t="n">
        <f aca="false">AG219+AH219+AI219</f>
        <v>0</v>
      </c>
      <c r="AK219" s="21" t="n">
        <f aca="false">IF(OR(AE219="",AE219=0),0,AE219-AJ219)</f>
        <v>0</v>
      </c>
      <c r="AL219" s="19" t="str">
        <f aca="false">IF(AD219="","",AD219-AK219)</f>
        <v/>
      </c>
      <c r="AM219" s="26" t="str">
        <f aca="false">IF(C219="","","Waiting for payment")</f>
        <v/>
      </c>
      <c r="AN219" s="27"/>
      <c r="AO219" s="27"/>
      <c r="AP219" s="35" t="str">
        <f aca="false">IF(OR(C219="",I219="",K219=""),"",IF(K219="Monthly",EDATE(C219,ROUND(I219*SETTINGS!$I$8,0)),WORKDAY(C219,ROUND(I219*SETTINGS!$I$8,0))))</f>
        <v/>
      </c>
      <c r="AQ219" s="26" t="str">
        <f aca="true">IF(C219="","",IF(AND(AP219&lt;&gt;"",TODAY()&gt;=AP219),"Refi Ready",IF(TODAY()-C219&gt;=SETTINGS!$I$11,"Prospecting","Performing")))</f>
        <v/>
      </c>
      <c r="AR219" s="35" t="str">
        <f aca="false">IF(OR(C219="",I219="",K219=""),"",IF(K219="Monthly",EDATE(C219,I219),WORKDAY(C219,I219)))</f>
        <v/>
      </c>
      <c r="AS219" s="28"/>
      <c r="AT219" s="36" t="str">
        <f aca="true">IF(C219="","",IF(AM219="Clawed Back","CLAWED",IF(TODAY()&lt;=C219+SETTINGS!$I$2,"⚠ AT RISK","SAFE")))</f>
        <v/>
      </c>
      <c r="AU219" s="28"/>
      <c r="AW219" s="24" t="n">
        <f aca="false">AW218+IF(AND(C219&lt;&gt;"",AO219&lt;&gt;"",OR('REP COMMISSION'!$B$3="",T219='REP COMMISSION'!$B$3,W219='REP COMMISSION'!$B$3,Z219='REP COMMISSION'!$B$3)),1,0)</f>
        <v>0</v>
      </c>
      <c r="AX219" s="24" t="n">
        <f aca="false">AX218+IF(AND(C219&lt;&gt;"",OR(F219="LOC - INITIAL",F219="CONSOLIDATION - UPFRONT COMM",F219="REVERSE - TOTAL FUNDING")),1,0)</f>
        <v>0</v>
      </c>
    </row>
    <row r="220" customFormat="false" ht="15" hidden="false" customHeight="false" outlineLevel="0" collapsed="false">
      <c r="A220" s="8" t="str">
        <f aca="false">IF(C220&lt;&gt;"","F27-"&amp;COUNT($C$4:C220),"")</f>
        <v/>
      </c>
      <c r="B220" s="9" t="str">
        <f aca="false">IF(OR(F220="LOC - INITIAL",F220="CONSOLIDATION - UPFRONT COMM",F220="REVERSE - TOTAL FUNDING"),A220,"")</f>
        <v/>
      </c>
      <c r="C220" s="10"/>
      <c r="D220" s="11"/>
      <c r="E220" s="11"/>
      <c r="F220" s="11"/>
      <c r="G220" s="12"/>
      <c r="H220" s="13"/>
      <c r="I220" s="11"/>
      <c r="J220" s="14" t="str">
        <f aca="false">IF(AND(G220&lt;&gt;"",H220&lt;&gt;""),G220*H220,"")</f>
        <v/>
      </c>
      <c r="K220" s="11"/>
      <c r="L220" s="15"/>
      <c r="M220" s="15"/>
      <c r="N220" s="14" t="n">
        <f aca="false">IF(OR(G220="",M220=""),0,IF(M220&gt;100,M220,G220*IF(M220&gt;1,M220/100,M220)))</f>
        <v>0</v>
      </c>
      <c r="O220" s="14" t="str">
        <f aca="false">IF(G220="","",G220*IF(L220="",0,IF(L220&gt;1,L220/100,L220))+N220)</f>
        <v/>
      </c>
      <c r="P220" s="11"/>
      <c r="Q220" s="16" t="str">
        <f aca="false">IF(P220="","",IFERROR(VLOOKUP(P220,PARTNERS!$A$2:$B$30,2,0),""))</f>
        <v/>
      </c>
      <c r="R220" s="17" t="str">
        <f aca="false">IF(O220="","",IF(OR(P220="",Q220=""),0,(O220-N220)*IF(Q220&gt;1,Q220/100,Q220)))</f>
        <v/>
      </c>
      <c r="S220" s="14" t="str">
        <f aca="false">IF(O220="","",O220-R220)</f>
        <v/>
      </c>
      <c r="T220" s="11"/>
      <c r="U220" s="18" t="str">
        <f aca="false">IF(T220="","",IFERROR(VLOOKUP(T220,REPS!$A$2:$D$40,2,0),""))</f>
        <v/>
      </c>
      <c r="V220" s="14" t="str">
        <f aca="false">IF(O220="","",IF(U220="",0,O220*IF(U220&gt;1,U220/100,U220)))</f>
        <v/>
      </c>
      <c r="W220" s="11"/>
      <c r="X220" s="18" t="str">
        <f aca="false">IF(W220="","",IFERROR(VLOOKUP(W220,REPS!$A$2:$D$40,3,0),""))</f>
        <v/>
      </c>
      <c r="Y220" s="14" t="str">
        <f aca="false">IF(O220="","",IF(X220="",0,O220*IF(X220&gt;1,X220/100,X220)))</f>
        <v/>
      </c>
      <c r="Z220" s="11"/>
      <c r="AA220" s="18" t="str">
        <f aca="false">IF(Z220="","",IFERROR(VLOOKUP(Z220,REPS!$A$2:$D$40,4,0),""))</f>
        <v/>
      </c>
      <c r="AB220" s="14" t="str">
        <f aca="false">IF(O220="","",IF(AA220="",0,O220*IF(AA220&gt;1,AA220/100,AA220)))</f>
        <v/>
      </c>
      <c r="AC220" s="14" t="str">
        <f aca="false">IF(O220="","",V220+Y220+AB220)</f>
        <v/>
      </c>
      <c r="AD220" s="19" t="str">
        <f aca="false">IF(O220="","",O220-R220-AC220)</f>
        <v/>
      </c>
      <c r="AE220" s="20"/>
      <c r="AF220" s="10"/>
      <c r="AG220" s="21" t="n">
        <f aca="false">IF(OR(AE220="",AE220=0),0,AE220*IF(U220="",0,IF(U220&gt;1,U220/100,U220)))</f>
        <v>0</v>
      </c>
      <c r="AH220" s="21" t="n">
        <f aca="false">IF(OR(AE220="",AE220=0),0,AE220*IF(X220="",0,IF(X220&gt;1,X220/100,X220)))</f>
        <v>0</v>
      </c>
      <c r="AI220" s="21" t="n">
        <f aca="false">IF(OR(AE220="",AE220=0),0,AE220*IF(AA220="",0,IF(AA220&gt;1,AA220/100,AA220)))</f>
        <v>0</v>
      </c>
      <c r="AJ220" s="21" t="n">
        <f aca="false">AG220+AH220+AI220</f>
        <v>0</v>
      </c>
      <c r="AK220" s="21" t="n">
        <f aca="false">IF(OR(AE220="",AE220=0),0,AE220-AJ220)</f>
        <v>0</v>
      </c>
      <c r="AL220" s="19" t="str">
        <f aca="false">IF(AD220="","",AD220-AK220)</f>
        <v/>
      </c>
      <c r="AM220" s="9" t="str">
        <f aca="false">IF(C220="","","Waiting for payment")</f>
        <v/>
      </c>
      <c r="AN220" s="10"/>
      <c r="AO220" s="10"/>
      <c r="AP220" s="22" t="str">
        <f aca="false">IF(OR(C220="",I220="",K220=""),"",IF(K220="Monthly",EDATE(C220,ROUND(I220*SETTINGS!$I$8,0)),WORKDAY(C220,ROUND(I220*SETTINGS!$I$8,0))))</f>
        <v/>
      </c>
      <c r="AQ220" s="9" t="str">
        <f aca="true">IF(C220="","",IF(AND(AP220&lt;&gt;"",TODAY()&gt;=AP220),"Refi Ready",IF(TODAY()-C220&gt;=SETTINGS!$I$11,"Prospecting","Performing")))</f>
        <v/>
      </c>
      <c r="AR220" s="22" t="str">
        <f aca="false">IF(OR(C220="",I220="",K220=""),"",IF(K220="Monthly",EDATE(C220,I220),WORKDAY(C220,I220)))</f>
        <v/>
      </c>
      <c r="AS220" s="11"/>
      <c r="AT220" s="23" t="str">
        <f aca="true">IF(C220="","",IF(AM220="Clawed Back","CLAWED",IF(TODAY()&lt;=C220+SETTINGS!$I$2,"⚠ AT RISK","SAFE")))</f>
        <v/>
      </c>
      <c r="AU220" s="11"/>
      <c r="AW220" s="24" t="n">
        <f aca="false">AW219+IF(AND(C220&lt;&gt;"",AO220&lt;&gt;"",OR('REP COMMISSION'!$B$3="",T220='REP COMMISSION'!$B$3,W220='REP COMMISSION'!$B$3,Z220='REP COMMISSION'!$B$3)),1,0)</f>
        <v>0</v>
      </c>
      <c r="AX220" s="24" t="n">
        <f aca="false">AX219+IF(AND(C220&lt;&gt;"",OR(F220="LOC - INITIAL",F220="CONSOLIDATION - UPFRONT COMM",F220="REVERSE - TOTAL FUNDING")),1,0)</f>
        <v>0</v>
      </c>
    </row>
    <row r="221" customFormat="false" ht="15" hidden="false" customHeight="false" outlineLevel="0" collapsed="false">
      <c r="A221" s="25" t="str">
        <f aca="false">IF(C221&lt;&gt;"","F27-"&amp;COUNT($C$4:C221),"")</f>
        <v/>
      </c>
      <c r="B221" s="26" t="str">
        <f aca="false">IF(OR(F221="LOC - INITIAL",F221="CONSOLIDATION - UPFRONT COMM",F221="REVERSE - TOTAL FUNDING"),A221,"")</f>
        <v/>
      </c>
      <c r="C221" s="27"/>
      <c r="D221" s="28"/>
      <c r="E221" s="28"/>
      <c r="F221" s="28"/>
      <c r="G221" s="29"/>
      <c r="H221" s="30"/>
      <c r="I221" s="28"/>
      <c r="J221" s="31" t="str">
        <f aca="false">IF(AND(G221&lt;&gt;"",H221&lt;&gt;""),G221*H221,"")</f>
        <v/>
      </c>
      <c r="K221" s="28"/>
      <c r="L221" s="32"/>
      <c r="M221" s="32"/>
      <c r="N221" s="31" t="n">
        <f aca="false">IF(OR(G221="",M221=""),0,IF(M221&gt;100,M221,G221*IF(M221&gt;1,M221/100,M221)))</f>
        <v>0</v>
      </c>
      <c r="O221" s="31" t="str">
        <f aca="false">IF(G221="","",G221*IF(L221="",0,IF(L221&gt;1,L221/100,L221))+N221)</f>
        <v/>
      </c>
      <c r="P221" s="28"/>
      <c r="Q221" s="33" t="str">
        <f aca="false">IF(P221="","",IFERROR(VLOOKUP(P221,PARTNERS!$A$2:$B$30,2,0),""))</f>
        <v/>
      </c>
      <c r="R221" s="17" t="str">
        <f aca="false">IF(O221="","",IF(OR(P221="",Q221=""),0,(O221-N221)*IF(Q221&gt;1,Q221/100,Q221)))</f>
        <v/>
      </c>
      <c r="S221" s="31" t="str">
        <f aca="false">IF(O221="","",O221-R221)</f>
        <v/>
      </c>
      <c r="T221" s="28"/>
      <c r="U221" s="34" t="str">
        <f aca="false">IF(T221="","",IFERROR(VLOOKUP(T221,REPS!$A$2:$D$40,2,0),""))</f>
        <v/>
      </c>
      <c r="V221" s="31" t="str">
        <f aca="false">IF(O221="","",IF(U221="",0,O221*IF(U221&gt;1,U221/100,U221)))</f>
        <v/>
      </c>
      <c r="W221" s="28"/>
      <c r="X221" s="34" t="str">
        <f aca="false">IF(W221="","",IFERROR(VLOOKUP(W221,REPS!$A$2:$D$40,3,0),""))</f>
        <v/>
      </c>
      <c r="Y221" s="31" t="str">
        <f aca="false">IF(O221="","",IF(X221="",0,O221*IF(X221&gt;1,X221/100,X221)))</f>
        <v/>
      </c>
      <c r="Z221" s="28"/>
      <c r="AA221" s="34" t="str">
        <f aca="false">IF(Z221="","",IFERROR(VLOOKUP(Z221,REPS!$A$2:$D$40,4,0),""))</f>
        <v/>
      </c>
      <c r="AB221" s="31" t="str">
        <f aca="false">IF(O221="","",IF(AA221="",0,O221*IF(AA221&gt;1,AA221/100,AA221)))</f>
        <v/>
      </c>
      <c r="AC221" s="31" t="str">
        <f aca="false">IF(O221="","",V221+Y221+AB221)</f>
        <v/>
      </c>
      <c r="AD221" s="19" t="str">
        <f aca="false">IF(O221="","",O221-R221-AC221)</f>
        <v/>
      </c>
      <c r="AE221" s="20"/>
      <c r="AF221" s="27"/>
      <c r="AG221" s="21" t="n">
        <f aca="false">IF(OR(AE221="",AE221=0),0,AE221*IF(U221="",0,IF(U221&gt;1,U221/100,U221)))</f>
        <v>0</v>
      </c>
      <c r="AH221" s="21" t="n">
        <f aca="false">IF(OR(AE221="",AE221=0),0,AE221*IF(X221="",0,IF(X221&gt;1,X221/100,X221)))</f>
        <v>0</v>
      </c>
      <c r="AI221" s="21" t="n">
        <f aca="false">IF(OR(AE221="",AE221=0),0,AE221*IF(AA221="",0,IF(AA221&gt;1,AA221/100,AA221)))</f>
        <v>0</v>
      </c>
      <c r="AJ221" s="21" t="n">
        <f aca="false">AG221+AH221+AI221</f>
        <v>0</v>
      </c>
      <c r="AK221" s="21" t="n">
        <f aca="false">IF(OR(AE221="",AE221=0),0,AE221-AJ221)</f>
        <v>0</v>
      </c>
      <c r="AL221" s="19" t="str">
        <f aca="false">IF(AD221="","",AD221-AK221)</f>
        <v/>
      </c>
      <c r="AM221" s="26" t="str">
        <f aca="false">IF(C221="","","Waiting for payment")</f>
        <v/>
      </c>
      <c r="AN221" s="27"/>
      <c r="AO221" s="27"/>
      <c r="AP221" s="35" t="str">
        <f aca="false">IF(OR(C221="",I221="",K221=""),"",IF(K221="Monthly",EDATE(C221,ROUND(I221*SETTINGS!$I$8,0)),WORKDAY(C221,ROUND(I221*SETTINGS!$I$8,0))))</f>
        <v/>
      </c>
      <c r="AQ221" s="26" t="str">
        <f aca="true">IF(C221="","",IF(AND(AP221&lt;&gt;"",TODAY()&gt;=AP221),"Refi Ready",IF(TODAY()-C221&gt;=SETTINGS!$I$11,"Prospecting","Performing")))</f>
        <v/>
      </c>
      <c r="AR221" s="35" t="str">
        <f aca="false">IF(OR(C221="",I221="",K221=""),"",IF(K221="Monthly",EDATE(C221,I221),WORKDAY(C221,I221)))</f>
        <v/>
      </c>
      <c r="AS221" s="28"/>
      <c r="AT221" s="36" t="str">
        <f aca="true">IF(C221="","",IF(AM221="Clawed Back","CLAWED",IF(TODAY()&lt;=C221+SETTINGS!$I$2,"⚠ AT RISK","SAFE")))</f>
        <v/>
      </c>
      <c r="AU221" s="28"/>
      <c r="AW221" s="24" t="n">
        <f aca="false">AW220+IF(AND(C221&lt;&gt;"",AO221&lt;&gt;"",OR('REP COMMISSION'!$B$3="",T221='REP COMMISSION'!$B$3,W221='REP COMMISSION'!$B$3,Z221='REP COMMISSION'!$B$3)),1,0)</f>
        <v>0</v>
      </c>
      <c r="AX221" s="24" t="n">
        <f aca="false">AX220+IF(AND(C221&lt;&gt;"",OR(F221="LOC - INITIAL",F221="CONSOLIDATION - UPFRONT COMM",F221="REVERSE - TOTAL FUNDING")),1,0)</f>
        <v>0</v>
      </c>
    </row>
    <row r="222" customFormat="false" ht="15" hidden="false" customHeight="false" outlineLevel="0" collapsed="false">
      <c r="A222" s="8" t="str">
        <f aca="false">IF(C222&lt;&gt;"","F27-"&amp;COUNT($C$4:C222),"")</f>
        <v/>
      </c>
      <c r="B222" s="9" t="str">
        <f aca="false">IF(OR(F222="LOC - INITIAL",F222="CONSOLIDATION - UPFRONT COMM",F222="REVERSE - TOTAL FUNDING"),A222,"")</f>
        <v/>
      </c>
      <c r="C222" s="10"/>
      <c r="D222" s="11"/>
      <c r="E222" s="11"/>
      <c r="F222" s="11"/>
      <c r="G222" s="12"/>
      <c r="H222" s="13"/>
      <c r="I222" s="11"/>
      <c r="J222" s="14" t="str">
        <f aca="false">IF(AND(G222&lt;&gt;"",H222&lt;&gt;""),G222*H222,"")</f>
        <v/>
      </c>
      <c r="K222" s="11"/>
      <c r="L222" s="15"/>
      <c r="M222" s="15"/>
      <c r="N222" s="14" t="n">
        <f aca="false">IF(OR(G222="",M222=""),0,IF(M222&gt;100,M222,G222*IF(M222&gt;1,M222/100,M222)))</f>
        <v>0</v>
      </c>
      <c r="O222" s="14" t="str">
        <f aca="false">IF(G222="","",G222*IF(L222="",0,IF(L222&gt;1,L222/100,L222))+N222)</f>
        <v/>
      </c>
      <c r="P222" s="11"/>
      <c r="Q222" s="16" t="str">
        <f aca="false">IF(P222="","",IFERROR(VLOOKUP(P222,PARTNERS!$A$2:$B$30,2,0),""))</f>
        <v/>
      </c>
      <c r="R222" s="17" t="str">
        <f aca="false">IF(O222="","",IF(OR(P222="",Q222=""),0,(O222-N222)*IF(Q222&gt;1,Q222/100,Q222)))</f>
        <v/>
      </c>
      <c r="S222" s="14" t="str">
        <f aca="false">IF(O222="","",O222-R222)</f>
        <v/>
      </c>
      <c r="T222" s="11"/>
      <c r="U222" s="18" t="str">
        <f aca="false">IF(T222="","",IFERROR(VLOOKUP(T222,REPS!$A$2:$D$40,2,0),""))</f>
        <v/>
      </c>
      <c r="V222" s="14" t="str">
        <f aca="false">IF(O222="","",IF(U222="",0,O222*IF(U222&gt;1,U222/100,U222)))</f>
        <v/>
      </c>
      <c r="W222" s="11"/>
      <c r="X222" s="18" t="str">
        <f aca="false">IF(W222="","",IFERROR(VLOOKUP(W222,REPS!$A$2:$D$40,3,0),""))</f>
        <v/>
      </c>
      <c r="Y222" s="14" t="str">
        <f aca="false">IF(O222="","",IF(X222="",0,O222*IF(X222&gt;1,X222/100,X222)))</f>
        <v/>
      </c>
      <c r="Z222" s="11"/>
      <c r="AA222" s="18" t="str">
        <f aca="false">IF(Z222="","",IFERROR(VLOOKUP(Z222,REPS!$A$2:$D$40,4,0),""))</f>
        <v/>
      </c>
      <c r="AB222" s="14" t="str">
        <f aca="false">IF(O222="","",IF(AA222="",0,O222*IF(AA222&gt;1,AA222/100,AA222)))</f>
        <v/>
      </c>
      <c r="AC222" s="14" t="str">
        <f aca="false">IF(O222="","",V222+Y222+AB222)</f>
        <v/>
      </c>
      <c r="AD222" s="19" t="str">
        <f aca="false">IF(O222="","",O222-R222-AC222)</f>
        <v/>
      </c>
      <c r="AE222" s="20"/>
      <c r="AF222" s="10"/>
      <c r="AG222" s="21" t="n">
        <f aca="false">IF(OR(AE222="",AE222=0),0,AE222*IF(U222="",0,IF(U222&gt;1,U222/100,U222)))</f>
        <v>0</v>
      </c>
      <c r="AH222" s="21" t="n">
        <f aca="false">IF(OR(AE222="",AE222=0),0,AE222*IF(X222="",0,IF(X222&gt;1,X222/100,X222)))</f>
        <v>0</v>
      </c>
      <c r="AI222" s="21" t="n">
        <f aca="false">IF(OR(AE222="",AE222=0),0,AE222*IF(AA222="",0,IF(AA222&gt;1,AA222/100,AA222)))</f>
        <v>0</v>
      </c>
      <c r="AJ222" s="21" t="n">
        <f aca="false">AG222+AH222+AI222</f>
        <v>0</v>
      </c>
      <c r="AK222" s="21" t="n">
        <f aca="false">IF(OR(AE222="",AE222=0),0,AE222-AJ222)</f>
        <v>0</v>
      </c>
      <c r="AL222" s="19" t="str">
        <f aca="false">IF(AD222="","",AD222-AK222)</f>
        <v/>
      </c>
      <c r="AM222" s="9" t="str">
        <f aca="false">IF(C222="","","Waiting for payment")</f>
        <v/>
      </c>
      <c r="AN222" s="10"/>
      <c r="AO222" s="10"/>
      <c r="AP222" s="22" t="str">
        <f aca="false">IF(OR(C222="",I222="",K222=""),"",IF(K222="Monthly",EDATE(C222,ROUND(I222*SETTINGS!$I$8,0)),WORKDAY(C222,ROUND(I222*SETTINGS!$I$8,0))))</f>
        <v/>
      </c>
      <c r="AQ222" s="9" t="str">
        <f aca="true">IF(C222="","",IF(AND(AP222&lt;&gt;"",TODAY()&gt;=AP222),"Refi Ready",IF(TODAY()-C222&gt;=SETTINGS!$I$11,"Prospecting","Performing")))</f>
        <v/>
      </c>
      <c r="AR222" s="22" t="str">
        <f aca="false">IF(OR(C222="",I222="",K222=""),"",IF(K222="Monthly",EDATE(C222,I222),WORKDAY(C222,I222)))</f>
        <v/>
      </c>
      <c r="AS222" s="11"/>
      <c r="AT222" s="23" t="str">
        <f aca="true">IF(C222="","",IF(AM222="Clawed Back","CLAWED",IF(TODAY()&lt;=C222+SETTINGS!$I$2,"⚠ AT RISK","SAFE")))</f>
        <v/>
      </c>
      <c r="AU222" s="11"/>
      <c r="AW222" s="24" t="n">
        <f aca="false">AW221+IF(AND(C222&lt;&gt;"",AO222&lt;&gt;"",OR('REP COMMISSION'!$B$3="",T222='REP COMMISSION'!$B$3,W222='REP COMMISSION'!$B$3,Z222='REP COMMISSION'!$B$3)),1,0)</f>
        <v>0</v>
      </c>
      <c r="AX222" s="24" t="n">
        <f aca="false">AX221+IF(AND(C222&lt;&gt;"",OR(F222="LOC - INITIAL",F222="CONSOLIDATION - UPFRONT COMM",F222="REVERSE - TOTAL FUNDING")),1,0)</f>
        <v>0</v>
      </c>
    </row>
    <row r="223" customFormat="false" ht="15" hidden="false" customHeight="false" outlineLevel="0" collapsed="false">
      <c r="A223" s="25" t="str">
        <f aca="false">IF(C223&lt;&gt;"","F27-"&amp;COUNT($C$4:C223),"")</f>
        <v/>
      </c>
      <c r="B223" s="26" t="str">
        <f aca="false">IF(OR(F223="LOC - INITIAL",F223="CONSOLIDATION - UPFRONT COMM",F223="REVERSE - TOTAL FUNDING"),A223,"")</f>
        <v/>
      </c>
      <c r="C223" s="27"/>
      <c r="D223" s="28"/>
      <c r="E223" s="28"/>
      <c r="F223" s="28"/>
      <c r="G223" s="29"/>
      <c r="H223" s="30"/>
      <c r="I223" s="28"/>
      <c r="J223" s="31" t="str">
        <f aca="false">IF(AND(G223&lt;&gt;"",H223&lt;&gt;""),G223*H223,"")</f>
        <v/>
      </c>
      <c r="K223" s="28"/>
      <c r="L223" s="32"/>
      <c r="M223" s="32"/>
      <c r="N223" s="31" t="n">
        <f aca="false">IF(OR(G223="",M223=""),0,IF(M223&gt;100,M223,G223*IF(M223&gt;1,M223/100,M223)))</f>
        <v>0</v>
      </c>
      <c r="O223" s="31" t="str">
        <f aca="false">IF(G223="","",G223*IF(L223="",0,IF(L223&gt;1,L223/100,L223))+N223)</f>
        <v/>
      </c>
      <c r="P223" s="28"/>
      <c r="Q223" s="33" t="str">
        <f aca="false">IF(P223="","",IFERROR(VLOOKUP(P223,PARTNERS!$A$2:$B$30,2,0),""))</f>
        <v/>
      </c>
      <c r="R223" s="17" t="str">
        <f aca="false">IF(O223="","",IF(OR(P223="",Q223=""),0,(O223-N223)*IF(Q223&gt;1,Q223/100,Q223)))</f>
        <v/>
      </c>
      <c r="S223" s="31" t="str">
        <f aca="false">IF(O223="","",O223-R223)</f>
        <v/>
      </c>
      <c r="T223" s="28"/>
      <c r="U223" s="34" t="str">
        <f aca="false">IF(T223="","",IFERROR(VLOOKUP(T223,REPS!$A$2:$D$40,2,0),""))</f>
        <v/>
      </c>
      <c r="V223" s="31" t="str">
        <f aca="false">IF(O223="","",IF(U223="",0,O223*IF(U223&gt;1,U223/100,U223)))</f>
        <v/>
      </c>
      <c r="W223" s="28"/>
      <c r="X223" s="34" t="str">
        <f aca="false">IF(W223="","",IFERROR(VLOOKUP(W223,REPS!$A$2:$D$40,3,0),""))</f>
        <v/>
      </c>
      <c r="Y223" s="31" t="str">
        <f aca="false">IF(O223="","",IF(X223="",0,O223*IF(X223&gt;1,X223/100,X223)))</f>
        <v/>
      </c>
      <c r="Z223" s="28"/>
      <c r="AA223" s="34" t="str">
        <f aca="false">IF(Z223="","",IFERROR(VLOOKUP(Z223,REPS!$A$2:$D$40,4,0),""))</f>
        <v/>
      </c>
      <c r="AB223" s="31" t="str">
        <f aca="false">IF(O223="","",IF(AA223="",0,O223*IF(AA223&gt;1,AA223/100,AA223)))</f>
        <v/>
      </c>
      <c r="AC223" s="31" t="str">
        <f aca="false">IF(O223="","",V223+Y223+AB223)</f>
        <v/>
      </c>
      <c r="AD223" s="19" t="str">
        <f aca="false">IF(O223="","",O223-R223-AC223)</f>
        <v/>
      </c>
      <c r="AE223" s="20"/>
      <c r="AF223" s="27"/>
      <c r="AG223" s="21" t="n">
        <f aca="false">IF(OR(AE223="",AE223=0),0,AE223*IF(U223="",0,IF(U223&gt;1,U223/100,U223)))</f>
        <v>0</v>
      </c>
      <c r="AH223" s="21" t="n">
        <f aca="false">IF(OR(AE223="",AE223=0),0,AE223*IF(X223="",0,IF(X223&gt;1,X223/100,X223)))</f>
        <v>0</v>
      </c>
      <c r="AI223" s="21" t="n">
        <f aca="false">IF(OR(AE223="",AE223=0),0,AE223*IF(AA223="",0,IF(AA223&gt;1,AA223/100,AA223)))</f>
        <v>0</v>
      </c>
      <c r="AJ223" s="21" t="n">
        <f aca="false">AG223+AH223+AI223</f>
        <v>0</v>
      </c>
      <c r="AK223" s="21" t="n">
        <f aca="false">IF(OR(AE223="",AE223=0),0,AE223-AJ223)</f>
        <v>0</v>
      </c>
      <c r="AL223" s="19" t="str">
        <f aca="false">IF(AD223="","",AD223-AK223)</f>
        <v/>
      </c>
      <c r="AM223" s="26" t="str">
        <f aca="false">IF(C223="","","Waiting for payment")</f>
        <v/>
      </c>
      <c r="AN223" s="27"/>
      <c r="AO223" s="27"/>
      <c r="AP223" s="35" t="str">
        <f aca="false">IF(OR(C223="",I223="",K223=""),"",IF(K223="Monthly",EDATE(C223,ROUND(I223*SETTINGS!$I$8,0)),WORKDAY(C223,ROUND(I223*SETTINGS!$I$8,0))))</f>
        <v/>
      </c>
      <c r="AQ223" s="26" t="str">
        <f aca="true">IF(C223="","",IF(AND(AP223&lt;&gt;"",TODAY()&gt;=AP223),"Refi Ready",IF(TODAY()-C223&gt;=SETTINGS!$I$11,"Prospecting","Performing")))</f>
        <v/>
      </c>
      <c r="AR223" s="35" t="str">
        <f aca="false">IF(OR(C223="",I223="",K223=""),"",IF(K223="Monthly",EDATE(C223,I223),WORKDAY(C223,I223)))</f>
        <v/>
      </c>
      <c r="AS223" s="28"/>
      <c r="AT223" s="36" t="str">
        <f aca="true">IF(C223="","",IF(AM223="Clawed Back","CLAWED",IF(TODAY()&lt;=C223+SETTINGS!$I$2,"⚠ AT RISK","SAFE")))</f>
        <v/>
      </c>
      <c r="AU223" s="28"/>
      <c r="AW223" s="24" t="n">
        <f aca="false">AW222+IF(AND(C223&lt;&gt;"",AO223&lt;&gt;"",OR('REP COMMISSION'!$B$3="",T223='REP COMMISSION'!$B$3,W223='REP COMMISSION'!$B$3,Z223='REP COMMISSION'!$B$3)),1,0)</f>
        <v>0</v>
      </c>
      <c r="AX223" s="24" t="n">
        <f aca="false">AX222+IF(AND(C223&lt;&gt;"",OR(F223="LOC - INITIAL",F223="CONSOLIDATION - UPFRONT COMM",F223="REVERSE - TOTAL FUNDING")),1,0)</f>
        <v>0</v>
      </c>
    </row>
    <row r="224" customFormat="false" ht="15" hidden="false" customHeight="false" outlineLevel="0" collapsed="false">
      <c r="A224" s="8" t="str">
        <f aca="false">IF(C224&lt;&gt;"","F27-"&amp;COUNT($C$4:C224),"")</f>
        <v/>
      </c>
      <c r="B224" s="9" t="str">
        <f aca="false">IF(OR(F224="LOC - INITIAL",F224="CONSOLIDATION - UPFRONT COMM",F224="REVERSE - TOTAL FUNDING"),A224,"")</f>
        <v/>
      </c>
      <c r="C224" s="10"/>
      <c r="D224" s="11"/>
      <c r="E224" s="11"/>
      <c r="F224" s="11"/>
      <c r="G224" s="12"/>
      <c r="H224" s="13"/>
      <c r="I224" s="11"/>
      <c r="J224" s="14" t="str">
        <f aca="false">IF(AND(G224&lt;&gt;"",H224&lt;&gt;""),G224*H224,"")</f>
        <v/>
      </c>
      <c r="K224" s="11"/>
      <c r="L224" s="15"/>
      <c r="M224" s="15"/>
      <c r="N224" s="14" t="n">
        <f aca="false">IF(OR(G224="",M224=""),0,IF(M224&gt;100,M224,G224*IF(M224&gt;1,M224/100,M224)))</f>
        <v>0</v>
      </c>
      <c r="O224" s="14" t="str">
        <f aca="false">IF(G224="","",G224*IF(L224="",0,IF(L224&gt;1,L224/100,L224))+N224)</f>
        <v/>
      </c>
      <c r="P224" s="11"/>
      <c r="Q224" s="16" t="str">
        <f aca="false">IF(P224="","",IFERROR(VLOOKUP(P224,PARTNERS!$A$2:$B$30,2,0),""))</f>
        <v/>
      </c>
      <c r="R224" s="17" t="str">
        <f aca="false">IF(O224="","",IF(OR(P224="",Q224=""),0,(O224-N224)*IF(Q224&gt;1,Q224/100,Q224)))</f>
        <v/>
      </c>
      <c r="S224" s="14" t="str">
        <f aca="false">IF(O224="","",O224-R224)</f>
        <v/>
      </c>
      <c r="T224" s="11"/>
      <c r="U224" s="18" t="str">
        <f aca="false">IF(T224="","",IFERROR(VLOOKUP(T224,REPS!$A$2:$D$40,2,0),""))</f>
        <v/>
      </c>
      <c r="V224" s="14" t="str">
        <f aca="false">IF(O224="","",IF(U224="",0,O224*IF(U224&gt;1,U224/100,U224)))</f>
        <v/>
      </c>
      <c r="W224" s="11"/>
      <c r="X224" s="18" t="str">
        <f aca="false">IF(W224="","",IFERROR(VLOOKUP(W224,REPS!$A$2:$D$40,3,0),""))</f>
        <v/>
      </c>
      <c r="Y224" s="14" t="str">
        <f aca="false">IF(O224="","",IF(X224="",0,O224*IF(X224&gt;1,X224/100,X224)))</f>
        <v/>
      </c>
      <c r="Z224" s="11"/>
      <c r="AA224" s="18" t="str">
        <f aca="false">IF(Z224="","",IFERROR(VLOOKUP(Z224,REPS!$A$2:$D$40,4,0),""))</f>
        <v/>
      </c>
      <c r="AB224" s="14" t="str">
        <f aca="false">IF(O224="","",IF(AA224="",0,O224*IF(AA224&gt;1,AA224/100,AA224)))</f>
        <v/>
      </c>
      <c r="AC224" s="14" t="str">
        <f aca="false">IF(O224="","",V224+Y224+AB224)</f>
        <v/>
      </c>
      <c r="AD224" s="19" t="str">
        <f aca="false">IF(O224="","",O224-R224-AC224)</f>
        <v/>
      </c>
      <c r="AE224" s="20"/>
      <c r="AF224" s="10"/>
      <c r="AG224" s="21" t="n">
        <f aca="false">IF(OR(AE224="",AE224=0),0,AE224*IF(U224="",0,IF(U224&gt;1,U224/100,U224)))</f>
        <v>0</v>
      </c>
      <c r="AH224" s="21" t="n">
        <f aca="false">IF(OR(AE224="",AE224=0),0,AE224*IF(X224="",0,IF(X224&gt;1,X224/100,X224)))</f>
        <v>0</v>
      </c>
      <c r="AI224" s="21" t="n">
        <f aca="false">IF(OR(AE224="",AE224=0),0,AE224*IF(AA224="",0,IF(AA224&gt;1,AA224/100,AA224)))</f>
        <v>0</v>
      </c>
      <c r="AJ224" s="21" t="n">
        <f aca="false">AG224+AH224+AI224</f>
        <v>0</v>
      </c>
      <c r="AK224" s="21" t="n">
        <f aca="false">IF(OR(AE224="",AE224=0),0,AE224-AJ224)</f>
        <v>0</v>
      </c>
      <c r="AL224" s="19" t="str">
        <f aca="false">IF(AD224="","",AD224-AK224)</f>
        <v/>
      </c>
      <c r="AM224" s="9" t="str">
        <f aca="false">IF(C224="","","Waiting for payment")</f>
        <v/>
      </c>
      <c r="AN224" s="10"/>
      <c r="AO224" s="10"/>
      <c r="AP224" s="22" t="str">
        <f aca="false">IF(OR(C224="",I224="",K224=""),"",IF(K224="Monthly",EDATE(C224,ROUND(I224*SETTINGS!$I$8,0)),WORKDAY(C224,ROUND(I224*SETTINGS!$I$8,0))))</f>
        <v/>
      </c>
      <c r="AQ224" s="9" t="str">
        <f aca="true">IF(C224="","",IF(AND(AP224&lt;&gt;"",TODAY()&gt;=AP224),"Refi Ready",IF(TODAY()-C224&gt;=SETTINGS!$I$11,"Prospecting","Performing")))</f>
        <v/>
      </c>
      <c r="AR224" s="22" t="str">
        <f aca="false">IF(OR(C224="",I224="",K224=""),"",IF(K224="Monthly",EDATE(C224,I224),WORKDAY(C224,I224)))</f>
        <v/>
      </c>
      <c r="AS224" s="11"/>
      <c r="AT224" s="23" t="str">
        <f aca="true">IF(C224="","",IF(AM224="Clawed Back","CLAWED",IF(TODAY()&lt;=C224+SETTINGS!$I$2,"⚠ AT RISK","SAFE")))</f>
        <v/>
      </c>
      <c r="AU224" s="11"/>
      <c r="AW224" s="24" t="n">
        <f aca="false">AW223+IF(AND(C224&lt;&gt;"",AO224&lt;&gt;"",OR('REP COMMISSION'!$B$3="",T224='REP COMMISSION'!$B$3,W224='REP COMMISSION'!$B$3,Z224='REP COMMISSION'!$B$3)),1,0)</f>
        <v>0</v>
      </c>
      <c r="AX224" s="24" t="n">
        <f aca="false">AX223+IF(AND(C224&lt;&gt;"",OR(F224="LOC - INITIAL",F224="CONSOLIDATION - UPFRONT COMM",F224="REVERSE - TOTAL FUNDING")),1,0)</f>
        <v>0</v>
      </c>
    </row>
    <row r="225" customFormat="false" ht="15" hidden="false" customHeight="false" outlineLevel="0" collapsed="false">
      <c r="A225" s="25" t="str">
        <f aca="false">IF(C225&lt;&gt;"","F27-"&amp;COUNT($C$4:C225),"")</f>
        <v/>
      </c>
      <c r="B225" s="26" t="str">
        <f aca="false">IF(OR(F225="LOC - INITIAL",F225="CONSOLIDATION - UPFRONT COMM",F225="REVERSE - TOTAL FUNDING"),A225,"")</f>
        <v/>
      </c>
      <c r="C225" s="27"/>
      <c r="D225" s="28"/>
      <c r="E225" s="28"/>
      <c r="F225" s="28"/>
      <c r="G225" s="29"/>
      <c r="H225" s="30"/>
      <c r="I225" s="28"/>
      <c r="J225" s="31" t="str">
        <f aca="false">IF(AND(G225&lt;&gt;"",H225&lt;&gt;""),G225*H225,"")</f>
        <v/>
      </c>
      <c r="K225" s="28"/>
      <c r="L225" s="32"/>
      <c r="M225" s="32"/>
      <c r="N225" s="31" t="n">
        <f aca="false">IF(OR(G225="",M225=""),0,IF(M225&gt;100,M225,G225*IF(M225&gt;1,M225/100,M225)))</f>
        <v>0</v>
      </c>
      <c r="O225" s="31" t="str">
        <f aca="false">IF(G225="","",G225*IF(L225="",0,IF(L225&gt;1,L225/100,L225))+N225)</f>
        <v/>
      </c>
      <c r="P225" s="28"/>
      <c r="Q225" s="33" t="str">
        <f aca="false">IF(P225="","",IFERROR(VLOOKUP(P225,PARTNERS!$A$2:$B$30,2,0),""))</f>
        <v/>
      </c>
      <c r="R225" s="17" t="str">
        <f aca="false">IF(O225="","",IF(OR(P225="",Q225=""),0,(O225-N225)*IF(Q225&gt;1,Q225/100,Q225)))</f>
        <v/>
      </c>
      <c r="S225" s="31" t="str">
        <f aca="false">IF(O225="","",O225-R225)</f>
        <v/>
      </c>
      <c r="T225" s="28"/>
      <c r="U225" s="34" t="str">
        <f aca="false">IF(T225="","",IFERROR(VLOOKUP(T225,REPS!$A$2:$D$40,2,0),""))</f>
        <v/>
      </c>
      <c r="V225" s="31" t="str">
        <f aca="false">IF(O225="","",IF(U225="",0,O225*IF(U225&gt;1,U225/100,U225)))</f>
        <v/>
      </c>
      <c r="W225" s="28"/>
      <c r="X225" s="34" t="str">
        <f aca="false">IF(W225="","",IFERROR(VLOOKUP(W225,REPS!$A$2:$D$40,3,0),""))</f>
        <v/>
      </c>
      <c r="Y225" s="31" t="str">
        <f aca="false">IF(O225="","",IF(X225="",0,O225*IF(X225&gt;1,X225/100,X225)))</f>
        <v/>
      </c>
      <c r="Z225" s="28"/>
      <c r="AA225" s="34" t="str">
        <f aca="false">IF(Z225="","",IFERROR(VLOOKUP(Z225,REPS!$A$2:$D$40,4,0),""))</f>
        <v/>
      </c>
      <c r="AB225" s="31" t="str">
        <f aca="false">IF(O225="","",IF(AA225="",0,O225*IF(AA225&gt;1,AA225/100,AA225)))</f>
        <v/>
      </c>
      <c r="AC225" s="31" t="str">
        <f aca="false">IF(O225="","",V225+Y225+AB225)</f>
        <v/>
      </c>
      <c r="AD225" s="19" t="str">
        <f aca="false">IF(O225="","",O225-R225-AC225)</f>
        <v/>
      </c>
      <c r="AE225" s="20"/>
      <c r="AF225" s="27"/>
      <c r="AG225" s="21" t="n">
        <f aca="false">IF(OR(AE225="",AE225=0),0,AE225*IF(U225="",0,IF(U225&gt;1,U225/100,U225)))</f>
        <v>0</v>
      </c>
      <c r="AH225" s="21" t="n">
        <f aca="false">IF(OR(AE225="",AE225=0),0,AE225*IF(X225="",0,IF(X225&gt;1,X225/100,X225)))</f>
        <v>0</v>
      </c>
      <c r="AI225" s="21" t="n">
        <f aca="false">IF(OR(AE225="",AE225=0),0,AE225*IF(AA225="",0,IF(AA225&gt;1,AA225/100,AA225)))</f>
        <v>0</v>
      </c>
      <c r="AJ225" s="21" t="n">
        <f aca="false">AG225+AH225+AI225</f>
        <v>0</v>
      </c>
      <c r="AK225" s="21" t="n">
        <f aca="false">IF(OR(AE225="",AE225=0),0,AE225-AJ225)</f>
        <v>0</v>
      </c>
      <c r="AL225" s="19" t="str">
        <f aca="false">IF(AD225="","",AD225-AK225)</f>
        <v/>
      </c>
      <c r="AM225" s="26" t="str">
        <f aca="false">IF(C225="","","Waiting for payment")</f>
        <v/>
      </c>
      <c r="AN225" s="27"/>
      <c r="AO225" s="27"/>
      <c r="AP225" s="35" t="str">
        <f aca="false">IF(OR(C225="",I225="",K225=""),"",IF(K225="Monthly",EDATE(C225,ROUND(I225*SETTINGS!$I$8,0)),WORKDAY(C225,ROUND(I225*SETTINGS!$I$8,0))))</f>
        <v/>
      </c>
      <c r="AQ225" s="26" t="str">
        <f aca="true">IF(C225="","",IF(AND(AP225&lt;&gt;"",TODAY()&gt;=AP225),"Refi Ready",IF(TODAY()-C225&gt;=SETTINGS!$I$11,"Prospecting","Performing")))</f>
        <v/>
      </c>
      <c r="AR225" s="35" t="str">
        <f aca="false">IF(OR(C225="",I225="",K225=""),"",IF(K225="Monthly",EDATE(C225,I225),WORKDAY(C225,I225)))</f>
        <v/>
      </c>
      <c r="AS225" s="28"/>
      <c r="AT225" s="36" t="str">
        <f aca="true">IF(C225="","",IF(AM225="Clawed Back","CLAWED",IF(TODAY()&lt;=C225+SETTINGS!$I$2,"⚠ AT RISK","SAFE")))</f>
        <v/>
      </c>
      <c r="AU225" s="28"/>
      <c r="AW225" s="24" t="n">
        <f aca="false">AW224+IF(AND(C225&lt;&gt;"",AO225&lt;&gt;"",OR('REP COMMISSION'!$B$3="",T225='REP COMMISSION'!$B$3,W225='REP COMMISSION'!$B$3,Z225='REP COMMISSION'!$B$3)),1,0)</f>
        <v>0</v>
      </c>
      <c r="AX225" s="24" t="n">
        <f aca="false">AX224+IF(AND(C225&lt;&gt;"",OR(F225="LOC - INITIAL",F225="CONSOLIDATION - UPFRONT COMM",F225="REVERSE - TOTAL FUNDING")),1,0)</f>
        <v>0</v>
      </c>
    </row>
    <row r="226" customFormat="false" ht="15" hidden="false" customHeight="false" outlineLevel="0" collapsed="false">
      <c r="A226" s="8" t="str">
        <f aca="false">IF(C226&lt;&gt;"","F27-"&amp;COUNT($C$4:C226),"")</f>
        <v/>
      </c>
      <c r="B226" s="9" t="str">
        <f aca="false">IF(OR(F226="LOC - INITIAL",F226="CONSOLIDATION - UPFRONT COMM",F226="REVERSE - TOTAL FUNDING"),A226,"")</f>
        <v/>
      </c>
      <c r="C226" s="10"/>
      <c r="D226" s="11"/>
      <c r="E226" s="11"/>
      <c r="F226" s="11"/>
      <c r="G226" s="12"/>
      <c r="H226" s="13"/>
      <c r="I226" s="11"/>
      <c r="J226" s="14" t="str">
        <f aca="false">IF(AND(G226&lt;&gt;"",H226&lt;&gt;""),G226*H226,"")</f>
        <v/>
      </c>
      <c r="K226" s="11"/>
      <c r="L226" s="15"/>
      <c r="M226" s="15"/>
      <c r="N226" s="14" t="n">
        <f aca="false">IF(OR(G226="",M226=""),0,IF(M226&gt;100,M226,G226*IF(M226&gt;1,M226/100,M226)))</f>
        <v>0</v>
      </c>
      <c r="O226" s="14" t="str">
        <f aca="false">IF(G226="","",G226*IF(L226="",0,IF(L226&gt;1,L226/100,L226))+N226)</f>
        <v/>
      </c>
      <c r="P226" s="11"/>
      <c r="Q226" s="16" t="str">
        <f aca="false">IF(P226="","",IFERROR(VLOOKUP(P226,PARTNERS!$A$2:$B$30,2,0),""))</f>
        <v/>
      </c>
      <c r="R226" s="17" t="str">
        <f aca="false">IF(O226="","",IF(OR(P226="",Q226=""),0,(O226-N226)*IF(Q226&gt;1,Q226/100,Q226)))</f>
        <v/>
      </c>
      <c r="S226" s="14" t="str">
        <f aca="false">IF(O226="","",O226-R226)</f>
        <v/>
      </c>
      <c r="T226" s="11"/>
      <c r="U226" s="18" t="str">
        <f aca="false">IF(T226="","",IFERROR(VLOOKUP(T226,REPS!$A$2:$D$40,2,0),""))</f>
        <v/>
      </c>
      <c r="V226" s="14" t="str">
        <f aca="false">IF(O226="","",IF(U226="",0,O226*IF(U226&gt;1,U226/100,U226)))</f>
        <v/>
      </c>
      <c r="W226" s="11"/>
      <c r="X226" s="18" t="str">
        <f aca="false">IF(W226="","",IFERROR(VLOOKUP(W226,REPS!$A$2:$D$40,3,0),""))</f>
        <v/>
      </c>
      <c r="Y226" s="14" t="str">
        <f aca="false">IF(O226="","",IF(X226="",0,O226*IF(X226&gt;1,X226/100,X226)))</f>
        <v/>
      </c>
      <c r="Z226" s="11"/>
      <c r="AA226" s="18" t="str">
        <f aca="false">IF(Z226="","",IFERROR(VLOOKUP(Z226,REPS!$A$2:$D$40,4,0),""))</f>
        <v/>
      </c>
      <c r="AB226" s="14" t="str">
        <f aca="false">IF(O226="","",IF(AA226="",0,O226*IF(AA226&gt;1,AA226/100,AA226)))</f>
        <v/>
      </c>
      <c r="AC226" s="14" t="str">
        <f aca="false">IF(O226="","",V226+Y226+AB226)</f>
        <v/>
      </c>
      <c r="AD226" s="19" t="str">
        <f aca="false">IF(O226="","",O226-R226-AC226)</f>
        <v/>
      </c>
      <c r="AE226" s="20"/>
      <c r="AF226" s="10"/>
      <c r="AG226" s="21" t="n">
        <f aca="false">IF(OR(AE226="",AE226=0),0,AE226*IF(U226="",0,IF(U226&gt;1,U226/100,U226)))</f>
        <v>0</v>
      </c>
      <c r="AH226" s="21" t="n">
        <f aca="false">IF(OR(AE226="",AE226=0),0,AE226*IF(X226="",0,IF(X226&gt;1,X226/100,X226)))</f>
        <v>0</v>
      </c>
      <c r="AI226" s="21" t="n">
        <f aca="false">IF(OR(AE226="",AE226=0),0,AE226*IF(AA226="",0,IF(AA226&gt;1,AA226/100,AA226)))</f>
        <v>0</v>
      </c>
      <c r="AJ226" s="21" t="n">
        <f aca="false">AG226+AH226+AI226</f>
        <v>0</v>
      </c>
      <c r="AK226" s="21" t="n">
        <f aca="false">IF(OR(AE226="",AE226=0),0,AE226-AJ226)</f>
        <v>0</v>
      </c>
      <c r="AL226" s="19" t="str">
        <f aca="false">IF(AD226="","",AD226-AK226)</f>
        <v/>
      </c>
      <c r="AM226" s="9" t="str">
        <f aca="false">IF(C226="","","Waiting for payment")</f>
        <v/>
      </c>
      <c r="AN226" s="10"/>
      <c r="AO226" s="10"/>
      <c r="AP226" s="22" t="str">
        <f aca="false">IF(OR(C226="",I226="",K226=""),"",IF(K226="Monthly",EDATE(C226,ROUND(I226*SETTINGS!$I$8,0)),WORKDAY(C226,ROUND(I226*SETTINGS!$I$8,0))))</f>
        <v/>
      </c>
      <c r="AQ226" s="9" t="str">
        <f aca="true">IF(C226="","",IF(AND(AP226&lt;&gt;"",TODAY()&gt;=AP226),"Refi Ready",IF(TODAY()-C226&gt;=SETTINGS!$I$11,"Prospecting","Performing")))</f>
        <v/>
      </c>
      <c r="AR226" s="22" t="str">
        <f aca="false">IF(OR(C226="",I226="",K226=""),"",IF(K226="Monthly",EDATE(C226,I226),WORKDAY(C226,I226)))</f>
        <v/>
      </c>
      <c r="AS226" s="11"/>
      <c r="AT226" s="23" t="str">
        <f aca="true">IF(C226="","",IF(AM226="Clawed Back","CLAWED",IF(TODAY()&lt;=C226+SETTINGS!$I$2,"⚠ AT RISK","SAFE")))</f>
        <v/>
      </c>
      <c r="AU226" s="11"/>
      <c r="AW226" s="24" t="n">
        <f aca="false">AW225+IF(AND(C226&lt;&gt;"",AO226&lt;&gt;"",OR('REP COMMISSION'!$B$3="",T226='REP COMMISSION'!$B$3,W226='REP COMMISSION'!$B$3,Z226='REP COMMISSION'!$B$3)),1,0)</f>
        <v>0</v>
      </c>
      <c r="AX226" s="24" t="n">
        <f aca="false">AX225+IF(AND(C226&lt;&gt;"",OR(F226="LOC - INITIAL",F226="CONSOLIDATION - UPFRONT COMM",F226="REVERSE - TOTAL FUNDING")),1,0)</f>
        <v>0</v>
      </c>
    </row>
    <row r="227" customFormat="false" ht="15" hidden="false" customHeight="false" outlineLevel="0" collapsed="false">
      <c r="A227" s="25" t="str">
        <f aca="false">IF(C227&lt;&gt;"","F27-"&amp;COUNT($C$4:C227),"")</f>
        <v/>
      </c>
      <c r="B227" s="26" t="str">
        <f aca="false">IF(OR(F227="LOC - INITIAL",F227="CONSOLIDATION - UPFRONT COMM",F227="REVERSE - TOTAL FUNDING"),A227,"")</f>
        <v/>
      </c>
      <c r="C227" s="27"/>
      <c r="D227" s="28"/>
      <c r="E227" s="28"/>
      <c r="F227" s="28"/>
      <c r="G227" s="29"/>
      <c r="H227" s="30"/>
      <c r="I227" s="28"/>
      <c r="J227" s="31" t="str">
        <f aca="false">IF(AND(G227&lt;&gt;"",H227&lt;&gt;""),G227*H227,"")</f>
        <v/>
      </c>
      <c r="K227" s="28"/>
      <c r="L227" s="32"/>
      <c r="M227" s="32"/>
      <c r="N227" s="31" t="n">
        <f aca="false">IF(OR(G227="",M227=""),0,IF(M227&gt;100,M227,G227*IF(M227&gt;1,M227/100,M227)))</f>
        <v>0</v>
      </c>
      <c r="O227" s="31" t="str">
        <f aca="false">IF(G227="","",G227*IF(L227="",0,IF(L227&gt;1,L227/100,L227))+N227)</f>
        <v/>
      </c>
      <c r="P227" s="28"/>
      <c r="Q227" s="33" t="str">
        <f aca="false">IF(P227="","",IFERROR(VLOOKUP(P227,PARTNERS!$A$2:$B$30,2,0),""))</f>
        <v/>
      </c>
      <c r="R227" s="17" t="str">
        <f aca="false">IF(O227="","",IF(OR(P227="",Q227=""),0,(O227-N227)*IF(Q227&gt;1,Q227/100,Q227)))</f>
        <v/>
      </c>
      <c r="S227" s="31" t="str">
        <f aca="false">IF(O227="","",O227-R227)</f>
        <v/>
      </c>
      <c r="T227" s="28"/>
      <c r="U227" s="34" t="str">
        <f aca="false">IF(T227="","",IFERROR(VLOOKUP(T227,REPS!$A$2:$D$40,2,0),""))</f>
        <v/>
      </c>
      <c r="V227" s="31" t="str">
        <f aca="false">IF(O227="","",IF(U227="",0,O227*IF(U227&gt;1,U227/100,U227)))</f>
        <v/>
      </c>
      <c r="W227" s="28"/>
      <c r="X227" s="34" t="str">
        <f aca="false">IF(W227="","",IFERROR(VLOOKUP(W227,REPS!$A$2:$D$40,3,0),""))</f>
        <v/>
      </c>
      <c r="Y227" s="31" t="str">
        <f aca="false">IF(O227="","",IF(X227="",0,O227*IF(X227&gt;1,X227/100,X227)))</f>
        <v/>
      </c>
      <c r="Z227" s="28"/>
      <c r="AA227" s="34" t="str">
        <f aca="false">IF(Z227="","",IFERROR(VLOOKUP(Z227,REPS!$A$2:$D$40,4,0),""))</f>
        <v/>
      </c>
      <c r="AB227" s="31" t="str">
        <f aca="false">IF(O227="","",IF(AA227="",0,O227*IF(AA227&gt;1,AA227/100,AA227)))</f>
        <v/>
      </c>
      <c r="AC227" s="31" t="str">
        <f aca="false">IF(O227="","",V227+Y227+AB227)</f>
        <v/>
      </c>
      <c r="AD227" s="19" t="str">
        <f aca="false">IF(O227="","",O227-R227-AC227)</f>
        <v/>
      </c>
      <c r="AE227" s="20"/>
      <c r="AF227" s="27"/>
      <c r="AG227" s="21" t="n">
        <f aca="false">IF(OR(AE227="",AE227=0),0,AE227*IF(U227="",0,IF(U227&gt;1,U227/100,U227)))</f>
        <v>0</v>
      </c>
      <c r="AH227" s="21" t="n">
        <f aca="false">IF(OR(AE227="",AE227=0),0,AE227*IF(X227="",0,IF(X227&gt;1,X227/100,X227)))</f>
        <v>0</v>
      </c>
      <c r="AI227" s="21" t="n">
        <f aca="false">IF(OR(AE227="",AE227=0),0,AE227*IF(AA227="",0,IF(AA227&gt;1,AA227/100,AA227)))</f>
        <v>0</v>
      </c>
      <c r="AJ227" s="21" t="n">
        <f aca="false">AG227+AH227+AI227</f>
        <v>0</v>
      </c>
      <c r="AK227" s="21" t="n">
        <f aca="false">IF(OR(AE227="",AE227=0),0,AE227-AJ227)</f>
        <v>0</v>
      </c>
      <c r="AL227" s="19" t="str">
        <f aca="false">IF(AD227="","",AD227-AK227)</f>
        <v/>
      </c>
      <c r="AM227" s="26" t="str">
        <f aca="false">IF(C227="","","Waiting for payment")</f>
        <v/>
      </c>
      <c r="AN227" s="27"/>
      <c r="AO227" s="27"/>
      <c r="AP227" s="35" t="str">
        <f aca="false">IF(OR(C227="",I227="",K227=""),"",IF(K227="Monthly",EDATE(C227,ROUND(I227*SETTINGS!$I$8,0)),WORKDAY(C227,ROUND(I227*SETTINGS!$I$8,0))))</f>
        <v/>
      </c>
      <c r="AQ227" s="26" t="str">
        <f aca="true">IF(C227="","",IF(AND(AP227&lt;&gt;"",TODAY()&gt;=AP227),"Refi Ready",IF(TODAY()-C227&gt;=SETTINGS!$I$11,"Prospecting","Performing")))</f>
        <v/>
      </c>
      <c r="AR227" s="35" t="str">
        <f aca="false">IF(OR(C227="",I227="",K227=""),"",IF(K227="Monthly",EDATE(C227,I227),WORKDAY(C227,I227)))</f>
        <v/>
      </c>
      <c r="AS227" s="28"/>
      <c r="AT227" s="36" t="str">
        <f aca="true">IF(C227="","",IF(AM227="Clawed Back","CLAWED",IF(TODAY()&lt;=C227+SETTINGS!$I$2,"⚠ AT RISK","SAFE")))</f>
        <v/>
      </c>
      <c r="AU227" s="28"/>
      <c r="AW227" s="24" t="n">
        <f aca="false">AW226+IF(AND(C227&lt;&gt;"",AO227&lt;&gt;"",OR('REP COMMISSION'!$B$3="",T227='REP COMMISSION'!$B$3,W227='REP COMMISSION'!$B$3,Z227='REP COMMISSION'!$B$3)),1,0)</f>
        <v>0</v>
      </c>
      <c r="AX227" s="24" t="n">
        <f aca="false">AX226+IF(AND(C227&lt;&gt;"",OR(F227="LOC - INITIAL",F227="CONSOLIDATION - UPFRONT COMM",F227="REVERSE - TOTAL FUNDING")),1,0)</f>
        <v>0</v>
      </c>
    </row>
    <row r="228" customFormat="false" ht="15" hidden="false" customHeight="false" outlineLevel="0" collapsed="false">
      <c r="A228" s="8" t="str">
        <f aca="false">IF(C228&lt;&gt;"","F27-"&amp;COUNT($C$4:C228),"")</f>
        <v/>
      </c>
      <c r="B228" s="9" t="str">
        <f aca="false">IF(OR(F228="LOC - INITIAL",F228="CONSOLIDATION - UPFRONT COMM",F228="REVERSE - TOTAL FUNDING"),A228,"")</f>
        <v/>
      </c>
      <c r="C228" s="10"/>
      <c r="D228" s="11"/>
      <c r="E228" s="11"/>
      <c r="F228" s="11"/>
      <c r="G228" s="12"/>
      <c r="H228" s="13"/>
      <c r="I228" s="11"/>
      <c r="J228" s="14" t="str">
        <f aca="false">IF(AND(G228&lt;&gt;"",H228&lt;&gt;""),G228*H228,"")</f>
        <v/>
      </c>
      <c r="K228" s="11"/>
      <c r="L228" s="15"/>
      <c r="M228" s="15"/>
      <c r="N228" s="14" t="n">
        <f aca="false">IF(OR(G228="",M228=""),0,IF(M228&gt;100,M228,G228*IF(M228&gt;1,M228/100,M228)))</f>
        <v>0</v>
      </c>
      <c r="O228" s="14" t="str">
        <f aca="false">IF(G228="","",G228*IF(L228="",0,IF(L228&gt;1,L228/100,L228))+N228)</f>
        <v/>
      </c>
      <c r="P228" s="11"/>
      <c r="Q228" s="16" t="str">
        <f aca="false">IF(P228="","",IFERROR(VLOOKUP(P228,PARTNERS!$A$2:$B$30,2,0),""))</f>
        <v/>
      </c>
      <c r="R228" s="17" t="str">
        <f aca="false">IF(O228="","",IF(OR(P228="",Q228=""),0,(O228-N228)*IF(Q228&gt;1,Q228/100,Q228)))</f>
        <v/>
      </c>
      <c r="S228" s="14" t="str">
        <f aca="false">IF(O228="","",O228-R228)</f>
        <v/>
      </c>
      <c r="T228" s="11"/>
      <c r="U228" s="18" t="str">
        <f aca="false">IF(T228="","",IFERROR(VLOOKUP(T228,REPS!$A$2:$D$40,2,0),""))</f>
        <v/>
      </c>
      <c r="V228" s="14" t="str">
        <f aca="false">IF(O228="","",IF(U228="",0,O228*IF(U228&gt;1,U228/100,U228)))</f>
        <v/>
      </c>
      <c r="W228" s="11"/>
      <c r="X228" s="18" t="str">
        <f aca="false">IF(W228="","",IFERROR(VLOOKUP(W228,REPS!$A$2:$D$40,3,0),""))</f>
        <v/>
      </c>
      <c r="Y228" s="14" t="str">
        <f aca="false">IF(O228="","",IF(X228="",0,O228*IF(X228&gt;1,X228/100,X228)))</f>
        <v/>
      </c>
      <c r="Z228" s="11"/>
      <c r="AA228" s="18" t="str">
        <f aca="false">IF(Z228="","",IFERROR(VLOOKUP(Z228,REPS!$A$2:$D$40,4,0),""))</f>
        <v/>
      </c>
      <c r="AB228" s="14" t="str">
        <f aca="false">IF(O228="","",IF(AA228="",0,O228*IF(AA228&gt;1,AA228/100,AA228)))</f>
        <v/>
      </c>
      <c r="AC228" s="14" t="str">
        <f aca="false">IF(O228="","",V228+Y228+AB228)</f>
        <v/>
      </c>
      <c r="AD228" s="19" t="str">
        <f aca="false">IF(O228="","",O228-R228-AC228)</f>
        <v/>
      </c>
      <c r="AE228" s="20"/>
      <c r="AF228" s="10"/>
      <c r="AG228" s="21" t="n">
        <f aca="false">IF(OR(AE228="",AE228=0),0,AE228*IF(U228="",0,IF(U228&gt;1,U228/100,U228)))</f>
        <v>0</v>
      </c>
      <c r="AH228" s="21" t="n">
        <f aca="false">IF(OR(AE228="",AE228=0),0,AE228*IF(X228="",0,IF(X228&gt;1,X228/100,X228)))</f>
        <v>0</v>
      </c>
      <c r="AI228" s="21" t="n">
        <f aca="false">IF(OR(AE228="",AE228=0),0,AE228*IF(AA228="",0,IF(AA228&gt;1,AA228/100,AA228)))</f>
        <v>0</v>
      </c>
      <c r="AJ228" s="21" t="n">
        <f aca="false">AG228+AH228+AI228</f>
        <v>0</v>
      </c>
      <c r="AK228" s="21" t="n">
        <f aca="false">IF(OR(AE228="",AE228=0),0,AE228-AJ228)</f>
        <v>0</v>
      </c>
      <c r="AL228" s="19" t="str">
        <f aca="false">IF(AD228="","",AD228-AK228)</f>
        <v/>
      </c>
      <c r="AM228" s="9" t="str">
        <f aca="false">IF(C228="","","Waiting for payment")</f>
        <v/>
      </c>
      <c r="AN228" s="10"/>
      <c r="AO228" s="10"/>
      <c r="AP228" s="22" t="str">
        <f aca="false">IF(OR(C228="",I228="",K228=""),"",IF(K228="Monthly",EDATE(C228,ROUND(I228*SETTINGS!$I$8,0)),WORKDAY(C228,ROUND(I228*SETTINGS!$I$8,0))))</f>
        <v/>
      </c>
      <c r="AQ228" s="9" t="str">
        <f aca="true">IF(C228="","",IF(AND(AP228&lt;&gt;"",TODAY()&gt;=AP228),"Refi Ready",IF(TODAY()-C228&gt;=SETTINGS!$I$11,"Prospecting","Performing")))</f>
        <v/>
      </c>
      <c r="AR228" s="22" t="str">
        <f aca="false">IF(OR(C228="",I228="",K228=""),"",IF(K228="Monthly",EDATE(C228,I228),WORKDAY(C228,I228)))</f>
        <v/>
      </c>
      <c r="AS228" s="11"/>
      <c r="AT228" s="23" t="str">
        <f aca="true">IF(C228="","",IF(AM228="Clawed Back","CLAWED",IF(TODAY()&lt;=C228+SETTINGS!$I$2,"⚠ AT RISK","SAFE")))</f>
        <v/>
      </c>
      <c r="AU228" s="11"/>
      <c r="AW228" s="24" t="n">
        <f aca="false">AW227+IF(AND(C228&lt;&gt;"",AO228&lt;&gt;"",OR('REP COMMISSION'!$B$3="",T228='REP COMMISSION'!$B$3,W228='REP COMMISSION'!$B$3,Z228='REP COMMISSION'!$B$3)),1,0)</f>
        <v>0</v>
      </c>
      <c r="AX228" s="24" t="n">
        <f aca="false">AX227+IF(AND(C228&lt;&gt;"",OR(F228="LOC - INITIAL",F228="CONSOLIDATION - UPFRONT COMM",F228="REVERSE - TOTAL FUNDING")),1,0)</f>
        <v>0</v>
      </c>
    </row>
    <row r="229" customFormat="false" ht="15" hidden="false" customHeight="false" outlineLevel="0" collapsed="false">
      <c r="A229" s="25" t="str">
        <f aca="false">IF(C229&lt;&gt;"","F27-"&amp;COUNT($C$4:C229),"")</f>
        <v/>
      </c>
      <c r="B229" s="26" t="str">
        <f aca="false">IF(OR(F229="LOC - INITIAL",F229="CONSOLIDATION - UPFRONT COMM",F229="REVERSE - TOTAL FUNDING"),A229,"")</f>
        <v/>
      </c>
      <c r="C229" s="27"/>
      <c r="D229" s="28"/>
      <c r="E229" s="28"/>
      <c r="F229" s="28"/>
      <c r="G229" s="29"/>
      <c r="H229" s="30"/>
      <c r="I229" s="28"/>
      <c r="J229" s="31" t="str">
        <f aca="false">IF(AND(G229&lt;&gt;"",H229&lt;&gt;""),G229*H229,"")</f>
        <v/>
      </c>
      <c r="K229" s="28"/>
      <c r="L229" s="32"/>
      <c r="M229" s="32"/>
      <c r="N229" s="31" t="n">
        <f aca="false">IF(OR(G229="",M229=""),0,IF(M229&gt;100,M229,G229*IF(M229&gt;1,M229/100,M229)))</f>
        <v>0</v>
      </c>
      <c r="O229" s="31" t="str">
        <f aca="false">IF(G229="","",G229*IF(L229="",0,IF(L229&gt;1,L229/100,L229))+N229)</f>
        <v/>
      </c>
      <c r="P229" s="28"/>
      <c r="Q229" s="33" t="str">
        <f aca="false">IF(P229="","",IFERROR(VLOOKUP(P229,PARTNERS!$A$2:$B$30,2,0),""))</f>
        <v/>
      </c>
      <c r="R229" s="17" t="str">
        <f aca="false">IF(O229="","",IF(OR(P229="",Q229=""),0,(O229-N229)*IF(Q229&gt;1,Q229/100,Q229)))</f>
        <v/>
      </c>
      <c r="S229" s="31" t="str">
        <f aca="false">IF(O229="","",O229-R229)</f>
        <v/>
      </c>
      <c r="T229" s="28"/>
      <c r="U229" s="34" t="str">
        <f aca="false">IF(T229="","",IFERROR(VLOOKUP(T229,REPS!$A$2:$D$40,2,0),""))</f>
        <v/>
      </c>
      <c r="V229" s="31" t="str">
        <f aca="false">IF(O229="","",IF(U229="",0,O229*IF(U229&gt;1,U229/100,U229)))</f>
        <v/>
      </c>
      <c r="W229" s="28"/>
      <c r="X229" s="34" t="str">
        <f aca="false">IF(W229="","",IFERROR(VLOOKUP(W229,REPS!$A$2:$D$40,3,0),""))</f>
        <v/>
      </c>
      <c r="Y229" s="31" t="str">
        <f aca="false">IF(O229="","",IF(X229="",0,O229*IF(X229&gt;1,X229/100,X229)))</f>
        <v/>
      </c>
      <c r="Z229" s="28"/>
      <c r="AA229" s="34" t="str">
        <f aca="false">IF(Z229="","",IFERROR(VLOOKUP(Z229,REPS!$A$2:$D$40,4,0),""))</f>
        <v/>
      </c>
      <c r="AB229" s="31" t="str">
        <f aca="false">IF(O229="","",IF(AA229="",0,O229*IF(AA229&gt;1,AA229/100,AA229)))</f>
        <v/>
      </c>
      <c r="AC229" s="31" t="str">
        <f aca="false">IF(O229="","",V229+Y229+AB229)</f>
        <v/>
      </c>
      <c r="AD229" s="19" t="str">
        <f aca="false">IF(O229="","",O229-R229-AC229)</f>
        <v/>
      </c>
      <c r="AE229" s="20"/>
      <c r="AF229" s="27"/>
      <c r="AG229" s="21" t="n">
        <f aca="false">IF(OR(AE229="",AE229=0),0,AE229*IF(U229="",0,IF(U229&gt;1,U229/100,U229)))</f>
        <v>0</v>
      </c>
      <c r="AH229" s="21" t="n">
        <f aca="false">IF(OR(AE229="",AE229=0),0,AE229*IF(X229="",0,IF(X229&gt;1,X229/100,X229)))</f>
        <v>0</v>
      </c>
      <c r="AI229" s="21" t="n">
        <f aca="false">IF(OR(AE229="",AE229=0),0,AE229*IF(AA229="",0,IF(AA229&gt;1,AA229/100,AA229)))</f>
        <v>0</v>
      </c>
      <c r="AJ229" s="21" t="n">
        <f aca="false">AG229+AH229+AI229</f>
        <v>0</v>
      </c>
      <c r="AK229" s="21" t="n">
        <f aca="false">IF(OR(AE229="",AE229=0),0,AE229-AJ229)</f>
        <v>0</v>
      </c>
      <c r="AL229" s="19" t="str">
        <f aca="false">IF(AD229="","",AD229-AK229)</f>
        <v/>
      </c>
      <c r="AM229" s="26" t="str">
        <f aca="false">IF(C229="","","Waiting for payment")</f>
        <v/>
      </c>
      <c r="AN229" s="27"/>
      <c r="AO229" s="27"/>
      <c r="AP229" s="35" t="str">
        <f aca="false">IF(OR(C229="",I229="",K229=""),"",IF(K229="Monthly",EDATE(C229,ROUND(I229*SETTINGS!$I$8,0)),WORKDAY(C229,ROUND(I229*SETTINGS!$I$8,0))))</f>
        <v/>
      </c>
      <c r="AQ229" s="26" t="str">
        <f aca="true">IF(C229="","",IF(AND(AP229&lt;&gt;"",TODAY()&gt;=AP229),"Refi Ready",IF(TODAY()-C229&gt;=SETTINGS!$I$11,"Prospecting","Performing")))</f>
        <v/>
      </c>
      <c r="AR229" s="35" t="str">
        <f aca="false">IF(OR(C229="",I229="",K229=""),"",IF(K229="Monthly",EDATE(C229,I229),WORKDAY(C229,I229)))</f>
        <v/>
      </c>
      <c r="AS229" s="28"/>
      <c r="AT229" s="36" t="str">
        <f aca="true">IF(C229="","",IF(AM229="Clawed Back","CLAWED",IF(TODAY()&lt;=C229+SETTINGS!$I$2,"⚠ AT RISK","SAFE")))</f>
        <v/>
      </c>
      <c r="AU229" s="28"/>
      <c r="AW229" s="24" t="n">
        <f aca="false">AW228+IF(AND(C229&lt;&gt;"",AO229&lt;&gt;"",OR('REP COMMISSION'!$B$3="",T229='REP COMMISSION'!$B$3,W229='REP COMMISSION'!$B$3,Z229='REP COMMISSION'!$B$3)),1,0)</f>
        <v>0</v>
      </c>
      <c r="AX229" s="24" t="n">
        <f aca="false">AX228+IF(AND(C229&lt;&gt;"",OR(F229="LOC - INITIAL",F229="CONSOLIDATION - UPFRONT COMM",F229="REVERSE - TOTAL FUNDING")),1,0)</f>
        <v>0</v>
      </c>
    </row>
    <row r="230" customFormat="false" ht="15" hidden="false" customHeight="false" outlineLevel="0" collapsed="false">
      <c r="A230" s="8" t="str">
        <f aca="false">IF(C230&lt;&gt;"","F27-"&amp;COUNT($C$4:C230),"")</f>
        <v/>
      </c>
      <c r="B230" s="9" t="str">
        <f aca="false">IF(OR(F230="LOC - INITIAL",F230="CONSOLIDATION - UPFRONT COMM",F230="REVERSE - TOTAL FUNDING"),A230,"")</f>
        <v/>
      </c>
      <c r="C230" s="10"/>
      <c r="D230" s="11"/>
      <c r="E230" s="11"/>
      <c r="F230" s="11"/>
      <c r="G230" s="12"/>
      <c r="H230" s="13"/>
      <c r="I230" s="11"/>
      <c r="J230" s="14" t="str">
        <f aca="false">IF(AND(G230&lt;&gt;"",H230&lt;&gt;""),G230*H230,"")</f>
        <v/>
      </c>
      <c r="K230" s="11"/>
      <c r="L230" s="15"/>
      <c r="M230" s="15"/>
      <c r="N230" s="14" t="n">
        <f aca="false">IF(OR(G230="",M230=""),0,IF(M230&gt;100,M230,G230*IF(M230&gt;1,M230/100,M230)))</f>
        <v>0</v>
      </c>
      <c r="O230" s="14" t="str">
        <f aca="false">IF(G230="","",G230*IF(L230="",0,IF(L230&gt;1,L230/100,L230))+N230)</f>
        <v/>
      </c>
      <c r="P230" s="11"/>
      <c r="Q230" s="16" t="str">
        <f aca="false">IF(P230="","",IFERROR(VLOOKUP(P230,PARTNERS!$A$2:$B$30,2,0),""))</f>
        <v/>
      </c>
      <c r="R230" s="17" t="str">
        <f aca="false">IF(O230="","",IF(OR(P230="",Q230=""),0,(O230-N230)*IF(Q230&gt;1,Q230/100,Q230)))</f>
        <v/>
      </c>
      <c r="S230" s="14" t="str">
        <f aca="false">IF(O230="","",O230-R230)</f>
        <v/>
      </c>
      <c r="T230" s="11"/>
      <c r="U230" s="18" t="str">
        <f aca="false">IF(T230="","",IFERROR(VLOOKUP(T230,REPS!$A$2:$D$40,2,0),""))</f>
        <v/>
      </c>
      <c r="V230" s="14" t="str">
        <f aca="false">IF(O230="","",IF(U230="",0,O230*IF(U230&gt;1,U230/100,U230)))</f>
        <v/>
      </c>
      <c r="W230" s="11"/>
      <c r="X230" s="18" t="str">
        <f aca="false">IF(W230="","",IFERROR(VLOOKUP(W230,REPS!$A$2:$D$40,3,0),""))</f>
        <v/>
      </c>
      <c r="Y230" s="14" t="str">
        <f aca="false">IF(O230="","",IF(X230="",0,O230*IF(X230&gt;1,X230/100,X230)))</f>
        <v/>
      </c>
      <c r="Z230" s="11"/>
      <c r="AA230" s="18" t="str">
        <f aca="false">IF(Z230="","",IFERROR(VLOOKUP(Z230,REPS!$A$2:$D$40,4,0),""))</f>
        <v/>
      </c>
      <c r="AB230" s="14" t="str">
        <f aca="false">IF(O230="","",IF(AA230="",0,O230*IF(AA230&gt;1,AA230/100,AA230)))</f>
        <v/>
      </c>
      <c r="AC230" s="14" t="str">
        <f aca="false">IF(O230="","",V230+Y230+AB230)</f>
        <v/>
      </c>
      <c r="AD230" s="19" t="str">
        <f aca="false">IF(O230="","",O230-R230-AC230)</f>
        <v/>
      </c>
      <c r="AE230" s="20"/>
      <c r="AF230" s="10"/>
      <c r="AG230" s="21" t="n">
        <f aca="false">IF(OR(AE230="",AE230=0),0,AE230*IF(U230="",0,IF(U230&gt;1,U230/100,U230)))</f>
        <v>0</v>
      </c>
      <c r="AH230" s="21" t="n">
        <f aca="false">IF(OR(AE230="",AE230=0),0,AE230*IF(X230="",0,IF(X230&gt;1,X230/100,X230)))</f>
        <v>0</v>
      </c>
      <c r="AI230" s="21" t="n">
        <f aca="false">IF(OR(AE230="",AE230=0),0,AE230*IF(AA230="",0,IF(AA230&gt;1,AA230/100,AA230)))</f>
        <v>0</v>
      </c>
      <c r="AJ230" s="21" t="n">
        <f aca="false">AG230+AH230+AI230</f>
        <v>0</v>
      </c>
      <c r="AK230" s="21" t="n">
        <f aca="false">IF(OR(AE230="",AE230=0),0,AE230-AJ230)</f>
        <v>0</v>
      </c>
      <c r="AL230" s="19" t="str">
        <f aca="false">IF(AD230="","",AD230-AK230)</f>
        <v/>
      </c>
      <c r="AM230" s="9" t="str">
        <f aca="false">IF(C230="","","Waiting for payment")</f>
        <v/>
      </c>
      <c r="AN230" s="10"/>
      <c r="AO230" s="10"/>
      <c r="AP230" s="22" t="str">
        <f aca="false">IF(OR(C230="",I230="",K230=""),"",IF(K230="Monthly",EDATE(C230,ROUND(I230*SETTINGS!$I$8,0)),WORKDAY(C230,ROUND(I230*SETTINGS!$I$8,0))))</f>
        <v/>
      </c>
      <c r="AQ230" s="9" t="str">
        <f aca="true">IF(C230="","",IF(AND(AP230&lt;&gt;"",TODAY()&gt;=AP230),"Refi Ready",IF(TODAY()-C230&gt;=SETTINGS!$I$11,"Prospecting","Performing")))</f>
        <v/>
      </c>
      <c r="AR230" s="22" t="str">
        <f aca="false">IF(OR(C230="",I230="",K230=""),"",IF(K230="Monthly",EDATE(C230,I230),WORKDAY(C230,I230)))</f>
        <v/>
      </c>
      <c r="AS230" s="11"/>
      <c r="AT230" s="23" t="str">
        <f aca="true">IF(C230="","",IF(AM230="Clawed Back","CLAWED",IF(TODAY()&lt;=C230+SETTINGS!$I$2,"⚠ AT RISK","SAFE")))</f>
        <v/>
      </c>
      <c r="AU230" s="11"/>
      <c r="AW230" s="24" t="n">
        <f aca="false">AW229+IF(AND(C230&lt;&gt;"",AO230&lt;&gt;"",OR('REP COMMISSION'!$B$3="",T230='REP COMMISSION'!$B$3,W230='REP COMMISSION'!$B$3,Z230='REP COMMISSION'!$B$3)),1,0)</f>
        <v>0</v>
      </c>
      <c r="AX230" s="24" t="n">
        <f aca="false">AX229+IF(AND(C230&lt;&gt;"",OR(F230="LOC - INITIAL",F230="CONSOLIDATION - UPFRONT COMM",F230="REVERSE - TOTAL FUNDING")),1,0)</f>
        <v>0</v>
      </c>
    </row>
    <row r="231" customFormat="false" ht="15" hidden="false" customHeight="false" outlineLevel="0" collapsed="false">
      <c r="A231" s="25" t="str">
        <f aca="false">IF(C231&lt;&gt;"","F27-"&amp;COUNT($C$4:C231),"")</f>
        <v/>
      </c>
      <c r="B231" s="26" t="str">
        <f aca="false">IF(OR(F231="LOC - INITIAL",F231="CONSOLIDATION - UPFRONT COMM",F231="REVERSE - TOTAL FUNDING"),A231,"")</f>
        <v/>
      </c>
      <c r="C231" s="27"/>
      <c r="D231" s="28"/>
      <c r="E231" s="28"/>
      <c r="F231" s="28"/>
      <c r="G231" s="29"/>
      <c r="H231" s="30"/>
      <c r="I231" s="28"/>
      <c r="J231" s="31" t="str">
        <f aca="false">IF(AND(G231&lt;&gt;"",H231&lt;&gt;""),G231*H231,"")</f>
        <v/>
      </c>
      <c r="K231" s="28"/>
      <c r="L231" s="32"/>
      <c r="M231" s="32"/>
      <c r="N231" s="31" t="n">
        <f aca="false">IF(OR(G231="",M231=""),0,IF(M231&gt;100,M231,G231*IF(M231&gt;1,M231/100,M231)))</f>
        <v>0</v>
      </c>
      <c r="O231" s="31" t="str">
        <f aca="false">IF(G231="","",G231*IF(L231="",0,IF(L231&gt;1,L231/100,L231))+N231)</f>
        <v/>
      </c>
      <c r="P231" s="28"/>
      <c r="Q231" s="33" t="str">
        <f aca="false">IF(P231="","",IFERROR(VLOOKUP(P231,PARTNERS!$A$2:$B$30,2,0),""))</f>
        <v/>
      </c>
      <c r="R231" s="17" t="str">
        <f aca="false">IF(O231="","",IF(OR(P231="",Q231=""),0,(O231-N231)*IF(Q231&gt;1,Q231/100,Q231)))</f>
        <v/>
      </c>
      <c r="S231" s="31" t="str">
        <f aca="false">IF(O231="","",O231-R231)</f>
        <v/>
      </c>
      <c r="T231" s="28"/>
      <c r="U231" s="34" t="str">
        <f aca="false">IF(T231="","",IFERROR(VLOOKUP(T231,REPS!$A$2:$D$40,2,0),""))</f>
        <v/>
      </c>
      <c r="V231" s="31" t="str">
        <f aca="false">IF(O231="","",IF(U231="",0,O231*IF(U231&gt;1,U231/100,U231)))</f>
        <v/>
      </c>
      <c r="W231" s="28"/>
      <c r="X231" s="34" t="str">
        <f aca="false">IF(W231="","",IFERROR(VLOOKUP(W231,REPS!$A$2:$D$40,3,0),""))</f>
        <v/>
      </c>
      <c r="Y231" s="31" t="str">
        <f aca="false">IF(O231="","",IF(X231="",0,O231*IF(X231&gt;1,X231/100,X231)))</f>
        <v/>
      </c>
      <c r="Z231" s="28"/>
      <c r="AA231" s="34" t="str">
        <f aca="false">IF(Z231="","",IFERROR(VLOOKUP(Z231,REPS!$A$2:$D$40,4,0),""))</f>
        <v/>
      </c>
      <c r="AB231" s="31" t="str">
        <f aca="false">IF(O231="","",IF(AA231="",0,O231*IF(AA231&gt;1,AA231/100,AA231)))</f>
        <v/>
      </c>
      <c r="AC231" s="31" t="str">
        <f aca="false">IF(O231="","",V231+Y231+AB231)</f>
        <v/>
      </c>
      <c r="AD231" s="19" t="str">
        <f aca="false">IF(O231="","",O231-R231-AC231)</f>
        <v/>
      </c>
      <c r="AE231" s="20"/>
      <c r="AF231" s="27"/>
      <c r="AG231" s="21" t="n">
        <f aca="false">IF(OR(AE231="",AE231=0),0,AE231*IF(U231="",0,IF(U231&gt;1,U231/100,U231)))</f>
        <v>0</v>
      </c>
      <c r="AH231" s="21" t="n">
        <f aca="false">IF(OR(AE231="",AE231=0),0,AE231*IF(X231="",0,IF(X231&gt;1,X231/100,X231)))</f>
        <v>0</v>
      </c>
      <c r="AI231" s="21" t="n">
        <f aca="false">IF(OR(AE231="",AE231=0),0,AE231*IF(AA231="",0,IF(AA231&gt;1,AA231/100,AA231)))</f>
        <v>0</v>
      </c>
      <c r="AJ231" s="21" t="n">
        <f aca="false">AG231+AH231+AI231</f>
        <v>0</v>
      </c>
      <c r="AK231" s="21" t="n">
        <f aca="false">IF(OR(AE231="",AE231=0),0,AE231-AJ231)</f>
        <v>0</v>
      </c>
      <c r="AL231" s="19" t="str">
        <f aca="false">IF(AD231="","",AD231-AK231)</f>
        <v/>
      </c>
      <c r="AM231" s="26" t="str">
        <f aca="false">IF(C231="","","Waiting for payment")</f>
        <v/>
      </c>
      <c r="AN231" s="27"/>
      <c r="AO231" s="27"/>
      <c r="AP231" s="35" t="str">
        <f aca="false">IF(OR(C231="",I231="",K231=""),"",IF(K231="Monthly",EDATE(C231,ROUND(I231*SETTINGS!$I$8,0)),WORKDAY(C231,ROUND(I231*SETTINGS!$I$8,0))))</f>
        <v/>
      </c>
      <c r="AQ231" s="26" t="str">
        <f aca="true">IF(C231="","",IF(AND(AP231&lt;&gt;"",TODAY()&gt;=AP231),"Refi Ready",IF(TODAY()-C231&gt;=SETTINGS!$I$11,"Prospecting","Performing")))</f>
        <v/>
      </c>
      <c r="AR231" s="35" t="str">
        <f aca="false">IF(OR(C231="",I231="",K231=""),"",IF(K231="Monthly",EDATE(C231,I231),WORKDAY(C231,I231)))</f>
        <v/>
      </c>
      <c r="AS231" s="28"/>
      <c r="AT231" s="36" t="str">
        <f aca="true">IF(C231="","",IF(AM231="Clawed Back","CLAWED",IF(TODAY()&lt;=C231+SETTINGS!$I$2,"⚠ AT RISK","SAFE")))</f>
        <v/>
      </c>
      <c r="AU231" s="28"/>
      <c r="AW231" s="24" t="n">
        <f aca="false">AW230+IF(AND(C231&lt;&gt;"",AO231&lt;&gt;"",OR('REP COMMISSION'!$B$3="",T231='REP COMMISSION'!$B$3,W231='REP COMMISSION'!$B$3,Z231='REP COMMISSION'!$B$3)),1,0)</f>
        <v>0</v>
      </c>
      <c r="AX231" s="24" t="n">
        <f aca="false">AX230+IF(AND(C231&lt;&gt;"",OR(F231="LOC - INITIAL",F231="CONSOLIDATION - UPFRONT COMM",F231="REVERSE - TOTAL FUNDING")),1,0)</f>
        <v>0</v>
      </c>
    </row>
    <row r="232" customFormat="false" ht="15" hidden="false" customHeight="false" outlineLevel="0" collapsed="false">
      <c r="A232" s="8" t="str">
        <f aca="false">IF(C232&lt;&gt;"","F27-"&amp;COUNT($C$4:C232),"")</f>
        <v/>
      </c>
      <c r="B232" s="9" t="str">
        <f aca="false">IF(OR(F232="LOC - INITIAL",F232="CONSOLIDATION - UPFRONT COMM",F232="REVERSE - TOTAL FUNDING"),A232,"")</f>
        <v/>
      </c>
      <c r="C232" s="10"/>
      <c r="D232" s="11"/>
      <c r="E232" s="11"/>
      <c r="F232" s="11"/>
      <c r="G232" s="12"/>
      <c r="H232" s="13"/>
      <c r="I232" s="11"/>
      <c r="J232" s="14" t="str">
        <f aca="false">IF(AND(G232&lt;&gt;"",H232&lt;&gt;""),G232*H232,"")</f>
        <v/>
      </c>
      <c r="K232" s="11"/>
      <c r="L232" s="15"/>
      <c r="M232" s="15"/>
      <c r="N232" s="14" t="n">
        <f aca="false">IF(OR(G232="",M232=""),0,IF(M232&gt;100,M232,G232*IF(M232&gt;1,M232/100,M232)))</f>
        <v>0</v>
      </c>
      <c r="O232" s="14" t="str">
        <f aca="false">IF(G232="","",G232*IF(L232="",0,IF(L232&gt;1,L232/100,L232))+N232)</f>
        <v/>
      </c>
      <c r="P232" s="11"/>
      <c r="Q232" s="16" t="str">
        <f aca="false">IF(P232="","",IFERROR(VLOOKUP(P232,PARTNERS!$A$2:$B$30,2,0),""))</f>
        <v/>
      </c>
      <c r="R232" s="17" t="str">
        <f aca="false">IF(O232="","",IF(OR(P232="",Q232=""),0,(O232-N232)*IF(Q232&gt;1,Q232/100,Q232)))</f>
        <v/>
      </c>
      <c r="S232" s="14" t="str">
        <f aca="false">IF(O232="","",O232-R232)</f>
        <v/>
      </c>
      <c r="T232" s="11"/>
      <c r="U232" s="18" t="str">
        <f aca="false">IF(T232="","",IFERROR(VLOOKUP(T232,REPS!$A$2:$D$40,2,0),""))</f>
        <v/>
      </c>
      <c r="V232" s="14" t="str">
        <f aca="false">IF(O232="","",IF(U232="",0,O232*IF(U232&gt;1,U232/100,U232)))</f>
        <v/>
      </c>
      <c r="W232" s="11"/>
      <c r="X232" s="18" t="str">
        <f aca="false">IF(W232="","",IFERROR(VLOOKUP(W232,REPS!$A$2:$D$40,3,0),""))</f>
        <v/>
      </c>
      <c r="Y232" s="14" t="str">
        <f aca="false">IF(O232="","",IF(X232="",0,O232*IF(X232&gt;1,X232/100,X232)))</f>
        <v/>
      </c>
      <c r="Z232" s="11"/>
      <c r="AA232" s="18" t="str">
        <f aca="false">IF(Z232="","",IFERROR(VLOOKUP(Z232,REPS!$A$2:$D$40,4,0),""))</f>
        <v/>
      </c>
      <c r="AB232" s="14" t="str">
        <f aca="false">IF(O232="","",IF(AA232="",0,O232*IF(AA232&gt;1,AA232/100,AA232)))</f>
        <v/>
      </c>
      <c r="AC232" s="14" t="str">
        <f aca="false">IF(O232="","",V232+Y232+AB232)</f>
        <v/>
      </c>
      <c r="AD232" s="19" t="str">
        <f aca="false">IF(O232="","",O232-R232-AC232)</f>
        <v/>
      </c>
      <c r="AE232" s="20"/>
      <c r="AF232" s="10"/>
      <c r="AG232" s="21" t="n">
        <f aca="false">IF(OR(AE232="",AE232=0),0,AE232*IF(U232="",0,IF(U232&gt;1,U232/100,U232)))</f>
        <v>0</v>
      </c>
      <c r="AH232" s="21" t="n">
        <f aca="false">IF(OR(AE232="",AE232=0),0,AE232*IF(X232="",0,IF(X232&gt;1,X232/100,X232)))</f>
        <v>0</v>
      </c>
      <c r="AI232" s="21" t="n">
        <f aca="false">IF(OR(AE232="",AE232=0),0,AE232*IF(AA232="",0,IF(AA232&gt;1,AA232/100,AA232)))</f>
        <v>0</v>
      </c>
      <c r="AJ232" s="21" t="n">
        <f aca="false">AG232+AH232+AI232</f>
        <v>0</v>
      </c>
      <c r="AK232" s="21" t="n">
        <f aca="false">IF(OR(AE232="",AE232=0),0,AE232-AJ232)</f>
        <v>0</v>
      </c>
      <c r="AL232" s="19" t="str">
        <f aca="false">IF(AD232="","",AD232-AK232)</f>
        <v/>
      </c>
      <c r="AM232" s="9" t="str">
        <f aca="false">IF(C232="","","Waiting for payment")</f>
        <v/>
      </c>
      <c r="AN232" s="10"/>
      <c r="AO232" s="10"/>
      <c r="AP232" s="22" t="str">
        <f aca="false">IF(OR(C232="",I232="",K232=""),"",IF(K232="Monthly",EDATE(C232,ROUND(I232*SETTINGS!$I$8,0)),WORKDAY(C232,ROUND(I232*SETTINGS!$I$8,0))))</f>
        <v/>
      </c>
      <c r="AQ232" s="9" t="str">
        <f aca="true">IF(C232="","",IF(AND(AP232&lt;&gt;"",TODAY()&gt;=AP232),"Refi Ready",IF(TODAY()-C232&gt;=SETTINGS!$I$11,"Prospecting","Performing")))</f>
        <v/>
      </c>
      <c r="AR232" s="22" t="str">
        <f aca="false">IF(OR(C232="",I232="",K232=""),"",IF(K232="Monthly",EDATE(C232,I232),WORKDAY(C232,I232)))</f>
        <v/>
      </c>
      <c r="AS232" s="11"/>
      <c r="AT232" s="23" t="str">
        <f aca="true">IF(C232="","",IF(AM232="Clawed Back","CLAWED",IF(TODAY()&lt;=C232+SETTINGS!$I$2,"⚠ AT RISK","SAFE")))</f>
        <v/>
      </c>
      <c r="AU232" s="11"/>
      <c r="AW232" s="24" t="n">
        <f aca="false">AW231+IF(AND(C232&lt;&gt;"",AO232&lt;&gt;"",OR('REP COMMISSION'!$B$3="",T232='REP COMMISSION'!$B$3,W232='REP COMMISSION'!$B$3,Z232='REP COMMISSION'!$B$3)),1,0)</f>
        <v>0</v>
      </c>
      <c r="AX232" s="24" t="n">
        <f aca="false">AX231+IF(AND(C232&lt;&gt;"",OR(F232="LOC - INITIAL",F232="CONSOLIDATION - UPFRONT COMM",F232="REVERSE - TOTAL FUNDING")),1,0)</f>
        <v>0</v>
      </c>
    </row>
    <row r="233" customFormat="false" ht="15" hidden="false" customHeight="false" outlineLevel="0" collapsed="false">
      <c r="A233" s="25" t="str">
        <f aca="false">IF(C233&lt;&gt;"","F27-"&amp;COUNT($C$4:C233),"")</f>
        <v/>
      </c>
      <c r="B233" s="26" t="str">
        <f aca="false">IF(OR(F233="LOC - INITIAL",F233="CONSOLIDATION - UPFRONT COMM",F233="REVERSE - TOTAL FUNDING"),A233,"")</f>
        <v/>
      </c>
      <c r="C233" s="27"/>
      <c r="D233" s="28"/>
      <c r="E233" s="28"/>
      <c r="F233" s="28"/>
      <c r="G233" s="29"/>
      <c r="H233" s="30"/>
      <c r="I233" s="28"/>
      <c r="J233" s="31" t="str">
        <f aca="false">IF(AND(G233&lt;&gt;"",H233&lt;&gt;""),G233*H233,"")</f>
        <v/>
      </c>
      <c r="K233" s="28"/>
      <c r="L233" s="32"/>
      <c r="M233" s="32"/>
      <c r="N233" s="31" t="n">
        <f aca="false">IF(OR(G233="",M233=""),0,IF(M233&gt;100,M233,G233*IF(M233&gt;1,M233/100,M233)))</f>
        <v>0</v>
      </c>
      <c r="O233" s="31" t="str">
        <f aca="false">IF(G233="","",G233*IF(L233="",0,IF(L233&gt;1,L233/100,L233))+N233)</f>
        <v/>
      </c>
      <c r="P233" s="28"/>
      <c r="Q233" s="33" t="str">
        <f aca="false">IF(P233="","",IFERROR(VLOOKUP(P233,PARTNERS!$A$2:$B$30,2,0),""))</f>
        <v/>
      </c>
      <c r="R233" s="17" t="str">
        <f aca="false">IF(O233="","",IF(OR(P233="",Q233=""),0,(O233-N233)*IF(Q233&gt;1,Q233/100,Q233)))</f>
        <v/>
      </c>
      <c r="S233" s="31" t="str">
        <f aca="false">IF(O233="","",O233-R233)</f>
        <v/>
      </c>
      <c r="T233" s="28"/>
      <c r="U233" s="34" t="str">
        <f aca="false">IF(T233="","",IFERROR(VLOOKUP(T233,REPS!$A$2:$D$40,2,0),""))</f>
        <v/>
      </c>
      <c r="V233" s="31" t="str">
        <f aca="false">IF(O233="","",IF(U233="",0,O233*IF(U233&gt;1,U233/100,U233)))</f>
        <v/>
      </c>
      <c r="W233" s="28"/>
      <c r="X233" s="34" t="str">
        <f aca="false">IF(W233="","",IFERROR(VLOOKUP(W233,REPS!$A$2:$D$40,3,0),""))</f>
        <v/>
      </c>
      <c r="Y233" s="31" t="str">
        <f aca="false">IF(O233="","",IF(X233="",0,O233*IF(X233&gt;1,X233/100,X233)))</f>
        <v/>
      </c>
      <c r="Z233" s="28"/>
      <c r="AA233" s="34" t="str">
        <f aca="false">IF(Z233="","",IFERROR(VLOOKUP(Z233,REPS!$A$2:$D$40,4,0),""))</f>
        <v/>
      </c>
      <c r="AB233" s="31" t="str">
        <f aca="false">IF(O233="","",IF(AA233="",0,O233*IF(AA233&gt;1,AA233/100,AA233)))</f>
        <v/>
      </c>
      <c r="AC233" s="31" t="str">
        <f aca="false">IF(O233="","",V233+Y233+AB233)</f>
        <v/>
      </c>
      <c r="AD233" s="19" t="str">
        <f aca="false">IF(O233="","",O233-R233-AC233)</f>
        <v/>
      </c>
      <c r="AE233" s="20"/>
      <c r="AF233" s="27"/>
      <c r="AG233" s="21" t="n">
        <f aca="false">IF(OR(AE233="",AE233=0),0,AE233*IF(U233="",0,IF(U233&gt;1,U233/100,U233)))</f>
        <v>0</v>
      </c>
      <c r="AH233" s="21" t="n">
        <f aca="false">IF(OR(AE233="",AE233=0),0,AE233*IF(X233="",0,IF(X233&gt;1,X233/100,X233)))</f>
        <v>0</v>
      </c>
      <c r="AI233" s="21" t="n">
        <f aca="false">IF(OR(AE233="",AE233=0),0,AE233*IF(AA233="",0,IF(AA233&gt;1,AA233/100,AA233)))</f>
        <v>0</v>
      </c>
      <c r="AJ233" s="21" t="n">
        <f aca="false">AG233+AH233+AI233</f>
        <v>0</v>
      </c>
      <c r="AK233" s="21" t="n">
        <f aca="false">IF(OR(AE233="",AE233=0),0,AE233-AJ233)</f>
        <v>0</v>
      </c>
      <c r="AL233" s="19" t="str">
        <f aca="false">IF(AD233="","",AD233-AK233)</f>
        <v/>
      </c>
      <c r="AM233" s="26" t="str">
        <f aca="false">IF(C233="","","Waiting for payment")</f>
        <v/>
      </c>
      <c r="AN233" s="27"/>
      <c r="AO233" s="27"/>
      <c r="AP233" s="35" t="str">
        <f aca="false">IF(OR(C233="",I233="",K233=""),"",IF(K233="Monthly",EDATE(C233,ROUND(I233*SETTINGS!$I$8,0)),WORKDAY(C233,ROUND(I233*SETTINGS!$I$8,0))))</f>
        <v/>
      </c>
      <c r="AQ233" s="26" t="str">
        <f aca="true">IF(C233="","",IF(AND(AP233&lt;&gt;"",TODAY()&gt;=AP233),"Refi Ready",IF(TODAY()-C233&gt;=SETTINGS!$I$11,"Prospecting","Performing")))</f>
        <v/>
      </c>
      <c r="AR233" s="35" t="str">
        <f aca="false">IF(OR(C233="",I233="",K233=""),"",IF(K233="Monthly",EDATE(C233,I233),WORKDAY(C233,I233)))</f>
        <v/>
      </c>
      <c r="AS233" s="28"/>
      <c r="AT233" s="36" t="str">
        <f aca="true">IF(C233="","",IF(AM233="Clawed Back","CLAWED",IF(TODAY()&lt;=C233+SETTINGS!$I$2,"⚠ AT RISK","SAFE")))</f>
        <v/>
      </c>
      <c r="AU233" s="28"/>
      <c r="AW233" s="24" t="n">
        <f aca="false">AW232+IF(AND(C233&lt;&gt;"",AO233&lt;&gt;"",OR('REP COMMISSION'!$B$3="",T233='REP COMMISSION'!$B$3,W233='REP COMMISSION'!$B$3,Z233='REP COMMISSION'!$B$3)),1,0)</f>
        <v>0</v>
      </c>
      <c r="AX233" s="24" t="n">
        <f aca="false">AX232+IF(AND(C233&lt;&gt;"",OR(F233="LOC - INITIAL",F233="CONSOLIDATION - UPFRONT COMM",F233="REVERSE - TOTAL FUNDING")),1,0)</f>
        <v>0</v>
      </c>
    </row>
    <row r="234" customFormat="false" ht="15" hidden="false" customHeight="false" outlineLevel="0" collapsed="false">
      <c r="A234" s="8" t="str">
        <f aca="false">IF(C234&lt;&gt;"","F27-"&amp;COUNT($C$4:C234),"")</f>
        <v/>
      </c>
      <c r="B234" s="9" t="str">
        <f aca="false">IF(OR(F234="LOC - INITIAL",F234="CONSOLIDATION - UPFRONT COMM",F234="REVERSE - TOTAL FUNDING"),A234,"")</f>
        <v/>
      </c>
      <c r="C234" s="10"/>
      <c r="D234" s="11"/>
      <c r="E234" s="11"/>
      <c r="F234" s="11"/>
      <c r="G234" s="12"/>
      <c r="H234" s="13"/>
      <c r="I234" s="11"/>
      <c r="J234" s="14" t="str">
        <f aca="false">IF(AND(G234&lt;&gt;"",H234&lt;&gt;""),G234*H234,"")</f>
        <v/>
      </c>
      <c r="K234" s="11"/>
      <c r="L234" s="15"/>
      <c r="M234" s="15"/>
      <c r="N234" s="14" t="n">
        <f aca="false">IF(OR(G234="",M234=""),0,IF(M234&gt;100,M234,G234*IF(M234&gt;1,M234/100,M234)))</f>
        <v>0</v>
      </c>
      <c r="O234" s="14" t="str">
        <f aca="false">IF(G234="","",G234*IF(L234="",0,IF(L234&gt;1,L234/100,L234))+N234)</f>
        <v/>
      </c>
      <c r="P234" s="11"/>
      <c r="Q234" s="16" t="str">
        <f aca="false">IF(P234="","",IFERROR(VLOOKUP(P234,PARTNERS!$A$2:$B$30,2,0),""))</f>
        <v/>
      </c>
      <c r="R234" s="17" t="str">
        <f aca="false">IF(O234="","",IF(OR(P234="",Q234=""),0,(O234-N234)*IF(Q234&gt;1,Q234/100,Q234)))</f>
        <v/>
      </c>
      <c r="S234" s="14" t="str">
        <f aca="false">IF(O234="","",O234-R234)</f>
        <v/>
      </c>
      <c r="T234" s="11"/>
      <c r="U234" s="18" t="str">
        <f aca="false">IF(T234="","",IFERROR(VLOOKUP(T234,REPS!$A$2:$D$40,2,0),""))</f>
        <v/>
      </c>
      <c r="V234" s="14" t="str">
        <f aca="false">IF(O234="","",IF(U234="",0,O234*IF(U234&gt;1,U234/100,U234)))</f>
        <v/>
      </c>
      <c r="W234" s="11"/>
      <c r="X234" s="18" t="str">
        <f aca="false">IF(W234="","",IFERROR(VLOOKUP(W234,REPS!$A$2:$D$40,3,0),""))</f>
        <v/>
      </c>
      <c r="Y234" s="14" t="str">
        <f aca="false">IF(O234="","",IF(X234="",0,O234*IF(X234&gt;1,X234/100,X234)))</f>
        <v/>
      </c>
      <c r="Z234" s="11"/>
      <c r="AA234" s="18" t="str">
        <f aca="false">IF(Z234="","",IFERROR(VLOOKUP(Z234,REPS!$A$2:$D$40,4,0),""))</f>
        <v/>
      </c>
      <c r="AB234" s="14" t="str">
        <f aca="false">IF(O234="","",IF(AA234="",0,O234*IF(AA234&gt;1,AA234/100,AA234)))</f>
        <v/>
      </c>
      <c r="AC234" s="14" t="str">
        <f aca="false">IF(O234="","",V234+Y234+AB234)</f>
        <v/>
      </c>
      <c r="AD234" s="19" t="str">
        <f aca="false">IF(O234="","",O234-R234-AC234)</f>
        <v/>
      </c>
      <c r="AE234" s="20"/>
      <c r="AF234" s="10"/>
      <c r="AG234" s="21" t="n">
        <f aca="false">IF(OR(AE234="",AE234=0),0,AE234*IF(U234="",0,IF(U234&gt;1,U234/100,U234)))</f>
        <v>0</v>
      </c>
      <c r="AH234" s="21" t="n">
        <f aca="false">IF(OR(AE234="",AE234=0),0,AE234*IF(X234="",0,IF(X234&gt;1,X234/100,X234)))</f>
        <v>0</v>
      </c>
      <c r="AI234" s="21" t="n">
        <f aca="false">IF(OR(AE234="",AE234=0),0,AE234*IF(AA234="",0,IF(AA234&gt;1,AA234/100,AA234)))</f>
        <v>0</v>
      </c>
      <c r="AJ234" s="21" t="n">
        <f aca="false">AG234+AH234+AI234</f>
        <v>0</v>
      </c>
      <c r="AK234" s="21" t="n">
        <f aca="false">IF(OR(AE234="",AE234=0),0,AE234-AJ234)</f>
        <v>0</v>
      </c>
      <c r="AL234" s="19" t="str">
        <f aca="false">IF(AD234="","",AD234-AK234)</f>
        <v/>
      </c>
      <c r="AM234" s="9" t="str">
        <f aca="false">IF(C234="","","Waiting for payment")</f>
        <v/>
      </c>
      <c r="AN234" s="10"/>
      <c r="AO234" s="10"/>
      <c r="AP234" s="22" t="str">
        <f aca="false">IF(OR(C234="",I234="",K234=""),"",IF(K234="Monthly",EDATE(C234,ROUND(I234*SETTINGS!$I$8,0)),WORKDAY(C234,ROUND(I234*SETTINGS!$I$8,0))))</f>
        <v/>
      </c>
      <c r="AQ234" s="9" t="str">
        <f aca="true">IF(C234="","",IF(AND(AP234&lt;&gt;"",TODAY()&gt;=AP234),"Refi Ready",IF(TODAY()-C234&gt;=SETTINGS!$I$11,"Prospecting","Performing")))</f>
        <v/>
      </c>
      <c r="AR234" s="22" t="str">
        <f aca="false">IF(OR(C234="",I234="",K234=""),"",IF(K234="Monthly",EDATE(C234,I234),WORKDAY(C234,I234)))</f>
        <v/>
      </c>
      <c r="AS234" s="11"/>
      <c r="AT234" s="23" t="str">
        <f aca="true">IF(C234="","",IF(AM234="Clawed Back","CLAWED",IF(TODAY()&lt;=C234+SETTINGS!$I$2,"⚠ AT RISK","SAFE")))</f>
        <v/>
      </c>
      <c r="AU234" s="11"/>
      <c r="AW234" s="24" t="n">
        <f aca="false">AW233+IF(AND(C234&lt;&gt;"",AO234&lt;&gt;"",OR('REP COMMISSION'!$B$3="",T234='REP COMMISSION'!$B$3,W234='REP COMMISSION'!$B$3,Z234='REP COMMISSION'!$B$3)),1,0)</f>
        <v>0</v>
      </c>
      <c r="AX234" s="24" t="n">
        <f aca="false">AX233+IF(AND(C234&lt;&gt;"",OR(F234="LOC - INITIAL",F234="CONSOLIDATION - UPFRONT COMM",F234="REVERSE - TOTAL FUNDING")),1,0)</f>
        <v>0</v>
      </c>
    </row>
    <row r="235" customFormat="false" ht="15" hidden="false" customHeight="false" outlineLevel="0" collapsed="false">
      <c r="A235" s="25" t="str">
        <f aca="false">IF(C235&lt;&gt;"","F27-"&amp;COUNT($C$4:C235),"")</f>
        <v/>
      </c>
      <c r="B235" s="26" t="str">
        <f aca="false">IF(OR(F235="LOC - INITIAL",F235="CONSOLIDATION - UPFRONT COMM",F235="REVERSE - TOTAL FUNDING"),A235,"")</f>
        <v/>
      </c>
      <c r="C235" s="27"/>
      <c r="D235" s="28"/>
      <c r="E235" s="28"/>
      <c r="F235" s="28"/>
      <c r="G235" s="29"/>
      <c r="H235" s="30"/>
      <c r="I235" s="28"/>
      <c r="J235" s="31" t="str">
        <f aca="false">IF(AND(G235&lt;&gt;"",H235&lt;&gt;""),G235*H235,"")</f>
        <v/>
      </c>
      <c r="K235" s="28"/>
      <c r="L235" s="32"/>
      <c r="M235" s="32"/>
      <c r="N235" s="31" t="n">
        <f aca="false">IF(OR(G235="",M235=""),0,IF(M235&gt;100,M235,G235*IF(M235&gt;1,M235/100,M235)))</f>
        <v>0</v>
      </c>
      <c r="O235" s="31" t="str">
        <f aca="false">IF(G235="","",G235*IF(L235="",0,IF(L235&gt;1,L235/100,L235))+N235)</f>
        <v/>
      </c>
      <c r="P235" s="28"/>
      <c r="Q235" s="33" t="str">
        <f aca="false">IF(P235="","",IFERROR(VLOOKUP(P235,PARTNERS!$A$2:$B$30,2,0),""))</f>
        <v/>
      </c>
      <c r="R235" s="17" t="str">
        <f aca="false">IF(O235="","",IF(OR(P235="",Q235=""),0,(O235-N235)*IF(Q235&gt;1,Q235/100,Q235)))</f>
        <v/>
      </c>
      <c r="S235" s="31" t="str">
        <f aca="false">IF(O235="","",O235-R235)</f>
        <v/>
      </c>
      <c r="T235" s="28"/>
      <c r="U235" s="34" t="str">
        <f aca="false">IF(T235="","",IFERROR(VLOOKUP(T235,REPS!$A$2:$D$40,2,0),""))</f>
        <v/>
      </c>
      <c r="V235" s="31" t="str">
        <f aca="false">IF(O235="","",IF(U235="",0,O235*IF(U235&gt;1,U235/100,U235)))</f>
        <v/>
      </c>
      <c r="W235" s="28"/>
      <c r="X235" s="34" t="str">
        <f aca="false">IF(W235="","",IFERROR(VLOOKUP(W235,REPS!$A$2:$D$40,3,0),""))</f>
        <v/>
      </c>
      <c r="Y235" s="31" t="str">
        <f aca="false">IF(O235="","",IF(X235="",0,O235*IF(X235&gt;1,X235/100,X235)))</f>
        <v/>
      </c>
      <c r="Z235" s="28"/>
      <c r="AA235" s="34" t="str">
        <f aca="false">IF(Z235="","",IFERROR(VLOOKUP(Z235,REPS!$A$2:$D$40,4,0),""))</f>
        <v/>
      </c>
      <c r="AB235" s="31" t="str">
        <f aca="false">IF(O235="","",IF(AA235="",0,O235*IF(AA235&gt;1,AA235/100,AA235)))</f>
        <v/>
      </c>
      <c r="AC235" s="31" t="str">
        <f aca="false">IF(O235="","",V235+Y235+AB235)</f>
        <v/>
      </c>
      <c r="AD235" s="19" t="str">
        <f aca="false">IF(O235="","",O235-R235-AC235)</f>
        <v/>
      </c>
      <c r="AE235" s="20"/>
      <c r="AF235" s="27"/>
      <c r="AG235" s="21" t="n">
        <f aca="false">IF(OR(AE235="",AE235=0),0,AE235*IF(U235="",0,IF(U235&gt;1,U235/100,U235)))</f>
        <v>0</v>
      </c>
      <c r="AH235" s="21" t="n">
        <f aca="false">IF(OR(AE235="",AE235=0),0,AE235*IF(X235="",0,IF(X235&gt;1,X235/100,X235)))</f>
        <v>0</v>
      </c>
      <c r="AI235" s="21" t="n">
        <f aca="false">IF(OR(AE235="",AE235=0),0,AE235*IF(AA235="",0,IF(AA235&gt;1,AA235/100,AA235)))</f>
        <v>0</v>
      </c>
      <c r="AJ235" s="21" t="n">
        <f aca="false">AG235+AH235+AI235</f>
        <v>0</v>
      </c>
      <c r="AK235" s="21" t="n">
        <f aca="false">IF(OR(AE235="",AE235=0),0,AE235-AJ235)</f>
        <v>0</v>
      </c>
      <c r="AL235" s="19" t="str">
        <f aca="false">IF(AD235="","",AD235-AK235)</f>
        <v/>
      </c>
      <c r="AM235" s="26" t="str">
        <f aca="false">IF(C235="","","Waiting for payment")</f>
        <v/>
      </c>
      <c r="AN235" s="27"/>
      <c r="AO235" s="27"/>
      <c r="AP235" s="35" t="str">
        <f aca="false">IF(OR(C235="",I235="",K235=""),"",IF(K235="Monthly",EDATE(C235,ROUND(I235*SETTINGS!$I$8,0)),WORKDAY(C235,ROUND(I235*SETTINGS!$I$8,0))))</f>
        <v/>
      </c>
      <c r="AQ235" s="26" t="str">
        <f aca="true">IF(C235="","",IF(AND(AP235&lt;&gt;"",TODAY()&gt;=AP235),"Refi Ready",IF(TODAY()-C235&gt;=SETTINGS!$I$11,"Prospecting","Performing")))</f>
        <v/>
      </c>
      <c r="AR235" s="35" t="str">
        <f aca="false">IF(OR(C235="",I235="",K235=""),"",IF(K235="Monthly",EDATE(C235,I235),WORKDAY(C235,I235)))</f>
        <v/>
      </c>
      <c r="AS235" s="28"/>
      <c r="AT235" s="36" t="str">
        <f aca="true">IF(C235="","",IF(AM235="Clawed Back","CLAWED",IF(TODAY()&lt;=C235+SETTINGS!$I$2,"⚠ AT RISK","SAFE")))</f>
        <v/>
      </c>
      <c r="AU235" s="28"/>
      <c r="AW235" s="24" t="n">
        <f aca="false">AW234+IF(AND(C235&lt;&gt;"",AO235&lt;&gt;"",OR('REP COMMISSION'!$B$3="",T235='REP COMMISSION'!$B$3,W235='REP COMMISSION'!$B$3,Z235='REP COMMISSION'!$B$3)),1,0)</f>
        <v>0</v>
      </c>
      <c r="AX235" s="24" t="n">
        <f aca="false">AX234+IF(AND(C235&lt;&gt;"",OR(F235="LOC - INITIAL",F235="CONSOLIDATION - UPFRONT COMM",F235="REVERSE - TOTAL FUNDING")),1,0)</f>
        <v>0</v>
      </c>
    </row>
    <row r="236" customFormat="false" ht="15" hidden="false" customHeight="false" outlineLevel="0" collapsed="false">
      <c r="A236" s="8" t="str">
        <f aca="false">IF(C236&lt;&gt;"","F27-"&amp;COUNT($C$4:C236),"")</f>
        <v/>
      </c>
      <c r="B236" s="9" t="str">
        <f aca="false">IF(OR(F236="LOC - INITIAL",F236="CONSOLIDATION - UPFRONT COMM",F236="REVERSE - TOTAL FUNDING"),A236,"")</f>
        <v/>
      </c>
      <c r="C236" s="10"/>
      <c r="D236" s="11"/>
      <c r="E236" s="11"/>
      <c r="F236" s="11"/>
      <c r="G236" s="12"/>
      <c r="H236" s="13"/>
      <c r="I236" s="11"/>
      <c r="J236" s="14" t="str">
        <f aca="false">IF(AND(G236&lt;&gt;"",H236&lt;&gt;""),G236*H236,"")</f>
        <v/>
      </c>
      <c r="K236" s="11"/>
      <c r="L236" s="15"/>
      <c r="M236" s="15"/>
      <c r="N236" s="14" t="n">
        <f aca="false">IF(OR(G236="",M236=""),0,IF(M236&gt;100,M236,G236*IF(M236&gt;1,M236/100,M236)))</f>
        <v>0</v>
      </c>
      <c r="O236" s="14" t="str">
        <f aca="false">IF(G236="","",G236*IF(L236="",0,IF(L236&gt;1,L236/100,L236))+N236)</f>
        <v/>
      </c>
      <c r="P236" s="11"/>
      <c r="Q236" s="16" t="str">
        <f aca="false">IF(P236="","",IFERROR(VLOOKUP(P236,PARTNERS!$A$2:$B$30,2,0),""))</f>
        <v/>
      </c>
      <c r="R236" s="17" t="str">
        <f aca="false">IF(O236="","",IF(OR(P236="",Q236=""),0,(O236-N236)*IF(Q236&gt;1,Q236/100,Q236)))</f>
        <v/>
      </c>
      <c r="S236" s="14" t="str">
        <f aca="false">IF(O236="","",O236-R236)</f>
        <v/>
      </c>
      <c r="T236" s="11"/>
      <c r="U236" s="18" t="str">
        <f aca="false">IF(T236="","",IFERROR(VLOOKUP(T236,REPS!$A$2:$D$40,2,0),""))</f>
        <v/>
      </c>
      <c r="V236" s="14" t="str">
        <f aca="false">IF(O236="","",IF(U236="",0,O236*IF(U236&gt;1,U236/100,U236)))</f>
        <v/>
      </c>
      <c r="W236" s="11"/>
      <c r="X236" s="18" t="str">
        <f aca="false">IF(W236="","",IFERROR(VLOOKUP(W236,REPS!$A$2:$D$40,3,0),""))</f>
        <v/>
      </c>
      <c r="Y236" s="14" t="str">
        <f aca="false">IF(O236="","",IF(X236="",0,O236*IF(X236&gt;1,X236/100,X236)))</f>
        <v/>
      </c>
      <c r="Z236" s="11"/>
      <c r="AA236" s="18" t="str">
        <f aca="false">IF(Z236="","",IFERROR(VLOOKUP(Z236,REPS!$A$2:$D$40,4,0),""))</f>
        <v/>
      </c>
      <c r="AB236" s="14" t="str">
        <f aca="false">IF(O236="","",IF(AA236="",0,O236*IF(AA236&gt;1,AA236/100,AA236)))</f>
        <v/>
      </c>
      <c r="AC236" s="14" t="str">
        <f aca="false">IF(O236="","",V236+Y236+AB236)</f>
        <v/>
      </c>
      <c r="AD236" s="19" t="str">
        <f aca="false">IF(O236="","",O236-R236-AC236)</f>
        <v/>
      </c>
      <c r="AE236" s="20"/>
      <c r="AF236" s="10"/>
      <c r="AG236" s="21" t="n">
        <f aca="false">IF(OR(AE236="",AE236=0),0,AE236*IF(U236="",0,IF(U236&gt;1,U236/100,U236)))</f>
        <v>0</v>
      </c>
      <c r="AH236" s="21" t="n">
        <f aca="false">IF(OR(AE236="",AE236=0),0,AE236*IF(X236="",0,IF(X236&gt;1,X236/100,X236)))</f>
        <v>0</v>
      </c>
      <c r="AI236" s="21" t="n">
        <f aca="false">IF(OR(AE236="",AE236=0),0,AE236*IF(AA236="",0,IF(AA236&gt;1,AA236/100,AA236)))</f>
        <v>0</v>
      </c>
      <c r="AJ236" s="21" t="n">
        <f aca="false">AG236+AH236+AI236</f>
        <v>0</v>
      </c>
      <c r="AK236" s="21" t="n">
        <f aca="false">IF(OR(AE236="",AE236=0),0,AE236-AJ236)</f>
        <v>0</v>
      </c>
      <c r="AL236" s="19" t="str">
        <f aca="false">IF(AD236="","",AD236-AK236)</f>
        <v/>
      </c>
      <c r="AM236" s="9" t="str">
        <f aca="false">IF(C236="","","Waiting for payment")</f>
        <v/>
      </c>
      <c r="AN236" s="10"/>
      <c r="AO236" s="10"/>
      <c r="AP236" s="22" t="str">
        <f aca="false">IF(OR(C236="",I236="",K236=""),"",IF(K236="Monthly",EDATE(C236,ROUND(I236*SETTINGS!$I$8,0)),WORKDAY(C236,ROUND(I236*SETTINGS!$I$8,0))))</f>
        <v/>
      </c>
      <c r="AQ236" s="9" t="str">
        <f aca="true">IF(C236="","",IF(AND(AP236&lt;&gt;"",TODAY()&gt;=AP236),"Refi Ready",IF(TODAY()-C236&gt;=SETTINGS!$I$11,"Prospecting","Performing")))</f>
        <v/>
      </c>
      <c r="AR236" s="22" t="str">
        <f aca="false">IF(OR(C236="",I236="",K236=""),"",IF(K236="Monthly",EDATE(C236,I236),WORKDAY(C236,I236)))</f>
        <v/>
      </c>
      <c r="AS236" s="11"/>
      <c r="AT236" s="23" t="str">
        <f aca="true">IF(C236="","",IF(AM236="Clawed Back","CLAWED",IF(TODAY()&lt;=C236+SETTINGS!$I$2,"⚠ AT RISK","SAFE")))</f>
        <v/>
      </c>
      <c r="AU236" s="11"/>
      <c r="AW236" s="24" t="n">
        <f aca="false">AW235+IF(AND(C236&lt;&gt;"",AO236&lt;&gt;"",OR('REP COMMISSION'!$B$3="",T236='REP COMMISSION'!$B$3,W236='REP COMMISSION'!$B$3,Z236='REP COMMISSION'!$B$3)),1,0)</f>
        <v>0</v>
      </c>
      <c r="AX236" s="24" t="n">
        <f aca="false">AX235+IF(AND(C236&lt;&gt;"",OR(F236="LOC - INITIAL",F236="CONSOLIDATION - UPFRONT COMM",F236="REVERSE - TOTAL FUNDING")),1,0)</f>
        <v>0</v>
      </c>
    </row>
    <row r="237" customFormat="false" ht="15" hidden="false" customHeight="false" outlineLevel="0" collapsed="false">
      <c r="A237" s="25" t="str">
        <f aca="false">IF(C237&lt;&gt;"","F27-"&amp;COUNT($C$4:C237),"")</f>
        <v/>
      </c>
      <c r="B237" s="26" t="str">
        <f aca="false">IF(OR(F237="LOC - INITIAL",F237="CONSOLIDATION - UPFRONT COMM",F237="REVERSE - TOTAL FUNDING"),A237,"")</f>
        <v/>
      </c>
      <c r="C237" s="27"/>
      <c r="D237" s="28"/>
      <c r="E237" s="28"/>
      <c r="F237" s="28"/>
      <c r="G237" s="29"/>
      <c r="H237" s="30"/>
      <c r="I237" s="28"/>
      <c r="J237" s="31" t="str">
        <f aca="false">IF(AND(G237&lt;&gt;"",H237&lt;&gt;""),G237*H237,"")</f>
        <v/>
      </c>
      <c r="K237" s="28"/>
      <c r="L237" s="32"/>
      <c r="M237" s="32"/>
      <c r="N237" s="31" t="n">
        <f aca="false">IF(OR(G237="",M237=""),0,IF(M237&gt;100,M237,G237*IF(M237&gt;1,M237/100,M237)))</f>
        <v>0</v>
      </c>
      <c r="O237" s="31" t="str">
        <f aca="false">IF(G237="","",G237*IF(L237="",0,IF(L237&gt;1,L237/100,L237))+N237)</f>
        <v/>
      </c>
      <c r="P237" s="28"/>
      <c r="Q237" s="33" t="str">
        <f aca="false">IF(P237="","",IFERROR(VLOOKUP(P237,PARTNERS!$A$2:$B$30,2,0),""))</f>
        <v/>
      </c>
      <c r="R237" s="17" t="str">
        <f aca="false">IF(O237="","",IF(OR(P237="",Q237=""),0,(O237-N237)*IF(Q237&gt;1,Q237/100,Q237)))</f>
        <v/>
      </c>
      <c r="S237" s="31" t="str">
        <f aca="false">IF(O237="","",O237-R237)</f>
        <v/>
      </c>
      <c r="T237" s="28"/>
      <c r="U237" s="34" t="str">
        <f aca="false">IF(T237="","",IFERROR(VLOOKUP(T237,REPS!$A$2:$D$40,2,0),""))</f>
        <v/>
      </c>
      <c r="V237" s="31" t="str">
        <f aca="false">IF(O237="","",IF(U237="",0,O237*IF(U237&gt;1,U237/100,U237)))</f>
        <v/>
      </c>
      <c r="W237" s="28"/>
      <c r="X237" s="34" t="str">
        <f aca="false">IF(W237="","",IFERROR(VLOOKUP(W237,REPS!$A$2:$D$40,3,0),""))</f>
        <v/>
      </c>
      <c r="Y237" s="31" t="str">
        <f aca="false">IF(O237="","",IF(X237="",0,O237*IF(X237&gt;1,X237/100,X237)))</f>
        <v/>
      </c>
      <c r="Z237" s="28"/>
      <c r="AA237" s="34" t="str">
        <f aca="false">IF(Z237="","",IFERROR(VLOOKUP(Z237,REPS!$A$2:$D$40,4,0),""))</f>
        <v/>
      </c>
      <c r="AB237" s="31" t="str">
        <f aca="false">IF(O237="","",IF(AA237="",0,O237*IF(AA237&gt;1,AA237/100,AA237)))</f>
        <v/>
      </c>
      <c r="AC237" s="31" t="str">
        <f aca="false">IF(O237="","",V237+Y237+AB237)</f>
        <v/>
      </c>
      <c r="AD237" s="19" t="str">
        <f aca="false">IF(O237="","",O237-R237-AC237)</f>
        <v/>
      </c>
      <c r="AE237" s="20"/>
      <c r="AF237" s="27"/>
      <c r="AG237" s="21" t="n">
        <f aca="false">IF(OR(AE237="",AE237=0),0,AE237*IF(U237="",0,IF(U237&gt;1,U237/100,U237)))</f>
        <v>0</v>
      </c>
      <c r="AH237" s="21" t="n">
        <f aca="false">IF(OR(AE237="",AE237=0),0,AE237*IF(X237="",0,IF(X237&gt;1,X237/100,X237)))</f>
        <v>0</v>
      </c>
      <c r="AI237" s="21" t="n">
        <f aca="false">IF(OR(AE237="",AE237=0),0,AE237*IF(AA237="",0,IF(AA237&gt;1,AA237/100,AA237)))</f>
        <v>0</v>
      </c>
      <c r="AJ237" s="21" t="n">
        <f aca="false">AG237+AH237+AI237</f>
        <v>0</v>
      </c>
      <c r="AK237" s="21" t="n">
        <f aca="false">IF(OR(AE237="",AE237=0),0,AE237-AJ237)</f>
        <v>0</v>
      </c>
      <c r="AL237" s="19" t="str">
        <f aca="false">IF(AD237="","",AD237-AK237)</f>
        <v/>
      </c>
      <c r="AM237" s="26" t="str">
        <f aca="false">IF(C237="","","Waiting for payment")</f>
        <v/>
      </c>
      <c r="AN237" s="27"/>
      <c r="AO237" s="27"/>
      <c r="AP237" s="35" t="str">
        <f aca="false">IF(OR(C237="",I237="",K237=""),"",IF(K237="Monthly",EDATE(C237,ROUND(I237*SETTINGS!$I$8,0)),WORKDAY(C237,ROUND(I237*SETTINGS!$I$8,0))))</f>
        <v/>
      </c>
      <c r="AQ237" s="26" t="str">
        <f aca="true">IF(C237="","",IF(AND(AP237&lt;&gt;"",TODAY()&gt;=AP237),"Refi Ready",IF(TODAY()-C237&gt;=SETTINGS!$I$11,"Prospecting","Performing")))</f>
        <v/>
      </c>
      <c r="AR237" s="35" t="str">
        <f aca="false">IF(OR(C237="",I237="",K237=""),"",IF(K237="Monthly",EDATE(C237,I237),WORKDAY(C237,I237)))</f>
        <v/>
      </c>
      <c r="AS237" s="28"/>
      <c r="AT237" s="36" t="str">
        <f aca="true">IF(C237="","",IF(AM237="Clawed Back","CLAWED",IF(TODAY()&lt;=C237+SETTINGS!$I$2,"⚠ AT RISK","SAFE")))</f>
        <v/>
      </c>
      <c r="AU237" s="28"/>
      <c r="AW237" s="24" t="n">
        <f aca="false">AW236+IF(AND(C237&lt;&gt;"",AO237&lt;&gt;"",OR('REP COMMISSION'!$B$3="",T237='REP COMMISSION'!$B$3,W237='REP COMMISSION'!$B$3,Z237='REP COMMISSION'!$B$3)),1,0)</f>
        <v>0</v>
      </c>
      <c r="AX237" s="24" t="n">
        <f aca="false">AX236+IF(AND(C237&lt;&gt;"",OR(F237="LOC - INITIAL",F237="CONSOLIDATION - UPFRONT COMM",F237="REVERSE - TOTAL FUNDING")),1,0)</f>
        <v>0</v>
      </c>
    </row>
    <row r="238" customFormat="false" ht="15" hidden="false" customHeight="false" outlineLevel="0" collapsed="false">
      <c r="A238" s="8" t="str">
        <f aca="false">IF(C238&lt;&gt;"","F27-"&amp;COUNT($C$4:C238),"")</f>
        <v/>
      </c>
      <c r="B238" s="9" t="str">
        <f aca="false">IF(OR(F238="LOC - INITIAL",F238="CONSOLIDATION - UPFRONT COMM",F238="REVERSE - TOTAL FUNDING"),A238,"")</f>
        <v/>
      </c>
      <c r="C238" s="10"/>
      <c r="D238" s="11"/>
      <c r="E238" s="11"/>
      <c r="F238" s="11"/>
      <c r="G238" s="12"/>
      <c r="H238" s="13"/>
      <c r="I238" s="11"/>
      <c r="J238" s="14" t="str">
        <f aca="false">IF(AND(G238&lt;&gt;"",H238&lt;&gt;""),G238*H238,"")</f>
        <v/>
      </c>
      <c r="K238" s="11"/>
      <c r="L238" s="15"/>
      <c r="M238" s="15"/>
      <c r="N238" s="14" t="n">
        <f aca="false">IF(OR(G238="",M238=""),0,IF(M238&gt;100,M238,G238*IF(M238&gt;1,M238/100,M238)))</f>
        <v>0</v>
      </c>
      <c r="O238" s="14" t="str">
        <f aca="false">IF(G238="","",G238*IF(L238="",0,IF(L238&gt;1,L238/100,L238))+N238)</f>
        <v/>
      </c>
      <c r="P238" s="11"/>
      <c r="Q238" s="16" t="str">
        <f aca="false">IF(P238="","",IFERROR(VLOOKUP(P238,PARTNERS!$A$2:$B$30,2,0),""))</f>
        <v/>
      </c>
      <c r="R238" s="17" t="str">
        <f aca="false">IF(O238="","",IF(OR(P238="",Q238=""),0,(O238-N238)*IF(Q238&gt;1,Q238/100,Q238)))</f>
        <v/>
      </c>
      <c r="S238" s="14" t="str">
        <f aca="false">IF(O238="","",O238-R238)</f>
        <v/>
      </c>
      <c r="T238" s="11"/>
      <c r="U238" s="18" t="str">
        <f aca="false">IF(T238="","",IFERROR(VLOOKUP(T238,REPS!$A$2:$D$40,2,0),""))</f>
        <v/>
      </c>
      <c r="V238" s="14" t="str">
        <f aca="false">IF(O238="","",IF(U238="",0,O238*IF(U238&gt;1,U238/100,U238)))</f>
        <v/>
      </c>
      <c r="W238" s="11"/>
      <c r="X238" s="18" t="str">
        <f aca="false">IF(W238="","",IFERROR(VLOOKUP(W238,REPS!$A$2:$D$40,3,0),""))</f>
        <v/>
      </c>
      <c r="Y238" s="14" t="str">
        <f aca="false">IF(O238="","",IF(X238="",0,O238*IF(X238&gt;1,X238/100,X238)))</f>
        <v/>
      </c>
      <c r="Z238" s="11"/>
      <c r="AA238" s="18" t="str">
        <f aca="false">IF(Z238="","",IFERROR(VLOOKUP(Z238,REPS!$A$2:$D$40,4,0),""))</f>
        <v/>
      </c>
      <c r="AB238" s="14" t="str">
        <f aca="false">IF(O238="","",IF(AA238="",0,O238*IF(AA238&gt;1,AA238/100,AA238)))</f>
        <v/>
      </c>
      <c r="AC238" s="14" t="str">
        <f aca="false">IF(O238="","",V238+Y238+AB238)</f>
        <v/>
      </c>
      <c r="AD238" s="19" t="str">
        <f aca="false">IF(O238="","",O238-R238-AC238)</f>
        <v/>
      </c>
      <c r="AE238" s="20"/>
      <c r="AF238" s="10"/>
      <c r="AG238" s="21" t="n">
        <f aca="false">IF(OR(AE238="",AE238=0),0,AE238*IF(U238="",0,IF(U238&gt;1,U238/100,U238)))</f>
        <v>0</v>
      </c>
      <c r="AH238" s="21" t="n">
        <f aca="false">IF(OR(AE238="",AE238=0),0,AE238*IF(X238="",0,IF(X238&gt;1,X238/100,X238)))</f>
        <v>0</v>
      </c>
      <c r="AI238" s="21" t="n">
        <f aca="false">IF(OR(AE238="",AE238=0),0,AE238*IF(AA238="",0,IF(AA238&gt;1,AA238/100,AA238)))</f>
        <v>0</v>
      </c>
      <c r="AJ238" s="21" t="n">
        <f aca="false">AG238+AH238+AI238</f>
        <v>0</v>
      </c>
      <c r="AK238" s="21" t="n">
        <f aca="false">IF(OR(AE238="",AE238=0),0,AE238-AJ238)</f>
        <v>0</v>
      </c>
      <c r="AL238" s="19" t="str">
        <f aca="false">IF(AD238="","",AD238-AK238)</f>
        <v/>
      </c>
      <c r="AM238" s="9" t="str">
        <f aca="false">IF(C238="","","Waiting for payment")</f>
        <v/>
      </c>
      <c r="AN238" s="10"/>
      <c r="AO238" s="10"/>
      <c r="AP238" s="22" t="str">
        <f aca="false">IF(OR(C238="",I238="",K238=""),"",IF(K238="Monthly",EDATE(C238,ROUND(I238*SETTINGS!$I$8,0)),WORKDAY(C238,ROUND(I238*SETTINGS!$I$8,0))))</f>
        <v/>
      </c>
      <c r="AQ238" s="9" t="str">
        <f aca="true">IF(C238="","",IF(AND(AP238&lt;&gt;"",TODAY()&gt;=AP238),"Refi Ready",IF(TODAY()-C238&gt;=SETTINGS!$I$11,"Prospecting","Performing")))</f>
        <v/>
      </c>
      <c r="AR238" s="22" t="str">
        <f aca="false">IF(OR(C238="",I238="",K238=""),"",IF(K238="Monthly",EDATE(C238,I238),WORKDAY(C238,I238)))</f>
        <v/>
      </c>
      <c r="AS238" s="11"/>
      <c r="AT238" s="23" t="str">
        <f aca="true">IF(C238="","",IF(AM238="Clawed Back","CLAWED",IF(TODAY()&lt;=C238+SETTINGS!$I$2,"⚠ AT RISK","SAFE")))</f>
        <v/>
      </c>
      <c r="AU238" s="11"/>
      <c r="AW238" s="24" t="n">
        <f aca="false">AW237+IF(AND(C238&lt;&gt;"",AO238&lt;&gt;"",OR('REP COMMISSION'!$B$3="",T238='REP COMMISSION'!$B$3,W238='REP COMMISSION'!$B$3,Z238='REP COMMISSION'!$B$3)),1,0)</f>
        <v>0</v>
      </c>
      <c r="AX238" s="24" t="n">
        <f aca="false">AX237+IF(AND(C238&lt;&gt;"",OR(F238="LOC - INITIAL",F238="CONSOLIDATION - UPFRONT COMM",F238="REVERSE - TOTAL FUNDING")),1,0)</f>
        <v>0</v>
      </c>
    </row>
    <row r="239" customFormat="false" ht="15" hidden="false" customHeight="false" outlineLevel="0" collapsed="false">
      <c r="A239" s="25" t="str">
        <f aca="false">IF(C239&lt;&gt;"","F27-"&amp;COUNT($C$4:C239),"")</f>
        <v/>
      </c>
      <c r="B239" s="26" t="str">
        <f aca="false">IF(OR(F239="LOC - INITIAL",F239="CONSOLIDATION - UPFRONT COMM",F239="REVERSE - TOTAL FUNDING"),A239,"")</f>
        <v/>
      </c>
      <c r="C239" s="27"/>
      <c r="D239" s="28"/>
      <c r="E239" s="28"/>
      <c r="F239" s="28"/>
      <c r="G239" s="29"/>
      <c r="H239" s="30"/>
      <c r="I239" s="28"/>
      <c r="J239" s="31" t="str">
        <f aca="false">IF(AND(G239&lt;&gt;"",H239&lt;&gt;""),G239*H239,"")</f>
        <v/>
      </c>
      <c r="K239" s="28"/>
      <c r="L239" s="32"/>
      <c r="M239" s="32"/>
      <c r="N239" s="31" t="n">
        <f aca="false">IF(OR(G239="",M239=""),0,IF(M239&gt;100,M239,G239*IF(M239&gt;1,M239/100,M239)))</f>
        <v>0</v>
      </c>
      <c r="O239" s="31" t="str">
        <f aca="false">IF(G239="","",G239*IF(L239="",0,IF(L239&gt;1,L239/100,L239))+N239)</f>
        <v/>
      </c>
      <c r="P239" s="28"/>
      <c r="Q239" s="33" t="str">
        <f aca="false">IF(P239="","",IFERROR(VLOOKUP(P239,PARTNERS!$A$2:$B$30,2,0),""))</f>
        <v/>
      </c>
      <c r="R239" s="17" t="str">
        <f aca="false">IF(O239="","",IF(OR(P239="",Q239=""),0,(O239-N239)*IF(Q239&gt;1,Q239/100,Q239)))</f>
        <v/>
      </c>
      <c r="S239" s="31" t="str">
        <f aca="false">IF(O239="","",O239-R239)</f>
        <v/>
      </c>
      <c r="T239" s="28"/>
      <c r="U239" s="34" t="str">
        <f aca="false">IF(T239="","",IFERROR(VLOOKUP(T239,REPS!$A$2:$D$40,2,0),""))</f>
        <v/>
      </c>
      <c r="V239" s="31" t="str">
        <f aca="false">IF(O239="","",IF(U239="",0,O239*IF(U239&gt;1,U239/100,U239)))</f>
        <v/>
      </c>
      <c r="W239" s="28"/>
      <c r="X239" s="34" t="str">
        <f aca="false">IF(W239="","",IFERROR(VLOOKUP(W239,REPS!$A$2:$D$40,3,0),""))</f>
        <v/>
      </c>
      <c r="Y239" s="31" t="str">
        <f aca="false">IF(O239="","",IF(X239="",0,O239*IF(X239&gt;1,X239/100,X239)))</f>
        <v/>
      </c>
      <c r="Z239" s="28"/>
      <c r="AA239" s="34" t="str">
        <f aca="false">IF(Z239="","",IFERROR(VLOOKUP(Z239,REPS!$A$2:$D$40,4,0),""))</f>
        <v/>
      </c>
      <c r="AB239" s="31" t="str">
        <f aca="false">IF(O239="","",IF(AA239="",0,O239*IF(AA239&gt;1,AA239/100,AA239)))</f>
        <v/>
      </c>
      <c r="AC239" s="31" t="str">
        <f aca="false">IF(O239="","",V239+Y239+AB239)</f>
        <v/>
      </c>
      <c r="AD239" s="19" t="str">
        <f aca="false">IF(O239="","",O239-R239-AC239)</f>
        <v/>
      </c>
      <c r="AE239" s="20"/>
      <c r="AF239" s="27"/>
      <c r="AG239" s="21" t="n">
        <f aca="false">IF(OR(AE239="",AE239=0),0,AE239*IF(U239="",0,IF(U239&gt;1,U239/100,U239)))</f>
        <v>0</v>
      </c>
      <c r="AH239" s="21" t="n">
        <f aca="false">IF(OR(AE239="",AE239=0),0,AE239*IF(X239="",0,IF(X239&gt;1,X239/100,X239)))</f>
        <v>0</v>
      </c>
      <c r="AI239" s="21" t="n">
        <f aca="false">IF(OR(AE239="",AE239=0),0,AE239*IF(AA239="",0,IF(AA239&gt;1,AA239/100,AA239)))</f>
        <v>0</v>
      </c>
      <c r="AJ239" s="21" t="n">
        <f aca="false">AG239+AH239+AI239</f>
        <v>0</v>
      </c>
      <c r="AK239" s="21" t="n">
        <f aca="false">IF(OR(AE239="",AE239=0),0,AE239-AJ239)</f>
        <v>0</v>
      </c>
      <c r="AL239" s="19" t="str">
        <f aca="false">IF(AD239="","",AD239-AK239)</f>
        <v/>
      </c>
      <c r="AM239" s="26" t="str">
        <f aca="false">IF(C239="","","Waiting for payment")</f>
        <v/>
      </c>
      <c r="AN239" s="27"/>
      <c r="AO239" s="27"/>
      <c r="AP239" s="35" t="str">
        <f aca="false">IF(OR(C239="",I239="",K239=""),"",IF(K239="Monthly",EDATE(C239,ROUND(I239*SETTINGS!$I$8,0)),WORKDAY(C239,ROUND(I239*SETTINGS!$I$8,0))))</f>
        <v/>
      </c>
      <c r="AQ239" s="26" t="str">
        <f aca="true">IF(C239="","",IF(AND(AP239&lt;&gt;"",TODAY()&gt;=AP239),"Refi Ready",IF(TODAY()-C239&gt;=SETTINGS!$I$11,"Prospecting","Performing")))</f>
        <v/>
      </c>
      <c r="AR239" s="35" t="str">
        <f aca="false">IF(OR(C239="",I239="",K239=""),"",IF(K239="Monthly",EDATE(C239,I239),WORKDAY(C239,I239)))</f>
        <v/>
      </c>
      <c r="AS239" s="28"/>
      <c r="AT239" s="36" t="str">
        <f aca="true">IF(C239="","",IF(AM239="Clawed Back","CLAWED",IF(TODAY()&lt;=C239+SETTINGS!$I$2,"⚠ AT RISK","SAFE")))</f>
        <v/>
      </c>
      <c r="AU239" s="28"/>
      <c r="AW239" s="24" t="n">
        <f aca="false">AW238+IF(AND(C239&lt;&gt;"",AO239&lt;&gt;"",OR('REP COMMISSION'!$B$3="",T239='REP COMMISSION'!$B$3,W239='REP COMMISSION'!$B$3,Z239='REP COMMISSION'!$B$3)),1,0)</f>
        <v>0</v>
      </c>
      <c r="AX239" s="24" t="n">
        <f aca="false">AX238+IF(AND(C239&lt;&gt;"",OR(F239="LOC - INITIAL",F239="CONSOLIDATION - UPFRONT COMM",F239="REVERSE - TOTAL FUNDING")),1,0)</f>
        <v>0</v>
      </c>
    </row>
    <row r="240" customFormat="false" ht="15" hidden="false" customHeight="false" outlineLevel="0" collapsed="false">
      <c r="A240" s="8" t="str">
        <f aca="false">IF(C240&lt;&gt;"","F27-"&amp;COUNT($C$4:C240),"")</f>
        <v/>
      </c>
      <c r="B240" s="9" t="str">
        <f aca="false">IF(OR(F240="LOC - INITIAL",F240="CONSOLIDATION - UPFRONT COMM",F240="REVERSE - TOTAL FUNDING"),A240,"")</f>
        <v/>
      </c>
      <c r="C240" s="10"/>
      <c r="D240" s="11"/>
      <c r="E240" s="11"/>
      <c r="F240" s="11"/>
      <c r="G240" s="12"/>
      <c r="H240" s="13"/>
      <c r="I240" s="11"/>
      <c r="J240" s="14" t="str">
        <f aca="false">IF(AND(G240&lt;&gt;"",H240&lt;&gt;""),G240*H240,"")</f>
        <v/>
      </c>
      <c r="K240" s="11"/>
      <c r="L240" s="15"/>
      <c r="M240" s="15"/>
      <c r="N240" s="14" t="n">
        <f aca="false">IF(OR(G240="",M240=""),0,IF(M240&gt;100,M240,G240*IF(M240&gt;1,M240/100,M240)))</f>
        <v>0</v>
      </c>
      <c r="O240" s="14" t="str">
        <f aca="false">IF(G240="","",G240*IF(L240="",0,IF(L240&gt;1,L240/100,L240))+N240)</f>
        <v/>
      </c>
      <c r="P240" s="11"/>
      <c r="Q240" s="16" t="str">
        <f aca="false">IF(P240="","",IFERROR(VLOOKUP(P240,PARTNERS!$A$2:$B$30,2,0),""))</f>
        <v/>
      </c>
      <c r="R240" s="17" t="str">
        <f aca="false">IF(O240="","",IF(OR(P240="",Q240=""),0,(O240-N240)*IF(Q240&gt;1,Q240/100,Q240)))</f>
        <v/>
      </c>
      <c r="S240" s="14" t="str">
        <f aca="false">IF(O240="","",O240-R240)</f>
        <v/>
      </c>
      <c r="T240" s="11"/>
      <c r="U240" s="18" t="str">
        <f aca="false">IF(T240="","",IFERROR(VLOOKUP(T240,REPS!$A$2:$D$40,2,0),""))</f>
        <v/>
      </c>
      <c r="V240" s="14" t="str">
        <f aca="false">IF(O240="","",IF(U240="",0,O240*IF(U240&gt;1,U240/100,U240)))</f>
        <v/>
      </c>
      <c r="W240" s="11"/>
      <c r="X240" s="18" t="str">
        <f aca="false">IF(W240="","",IFERROR(VLOOKUP(W240,REPS!$A$2:$D$40,3,0),""))</f>
        <v/>
      </c>
      <c r="Y240" s="14" t="str">
        <f aca="false">IF(O240="","",IF(X240="",0,O240*IF(X240&gt;1,X240/100,X240)))</f>
        <v/>
      </c>
      <c r="Z240" s="11"/>
      <c r="AA240" s="18" t="str">
        <f aca="false">IF(Z240="","",IFERROR(VLOOKUP(Z240,REPS!$A$2:$D$40,4,0),""))</f>
        <v/>
      </c>
      <c r="AB240" s="14" t="str">
        <f aca="false">IF(O240="","",IF(AA240="",0,O240*IF(AA240&gt;1,AA240/100,AA240)))</f>
        <v/>
      </c>
      <c r="AC240" s="14" t="str">
        <f aca="false">IF(O240="","",V240+Y240+AB240)</f>
        <v/>
      </c>
      <c r="AD240" s="19" t="str">
        <f aca="false">IF(O240="","",O240-R240-AC240)</f>
        <v/>
      </c>
      <c r="AE240" s="20"/>
      <c r="AF240" s="10"/>
      <c r="AG240" s="21" t="n">
        <f aca="false">IF(OR(AE240="",AE240=0),0,AE240*IF(U240="",0,IF(U240&gt;1,U240/100,U240)))</f>
        <v>0</v>
      </c>
      <c r="AH240" s="21" t="n">
        <f aca="false">IF(OR(AE240="",AE240=0),0,AE240*IF(X240="",0,IF(X240&gt;1,X240/100,X240)))</f>
        <v>0</v>
      </c>
      <c r="AI240" s="21" t="n">
        <f aca="false">IF(OR(AE240="",AE240=0),0,AE240*IF(AA240="",0,IF(AA240&gt;1,AA240/100,AA240)))</f>
        <v>0</v>
      </c>
      <c r="AJ240" s="21" t="n">
        <f aca="false">AG240+AH240+AI240</f>
        <v>0</v>
      </c>
      <c r="AK240" s="21" t="n">
        <f aca="false">IF(OR(AE240="",AE240=0),0,AE240-AJ240)</f>
        <v>0</v>
      </c>
      <c r="AL240" s="19" t="str">
        <f aca="false">IF(AD240="","",AD240-AK240)</f>
        <v/>
      </c>
      <c r="AM240" s="9" t="str">
        <f aca="false">IF(C240="","","Waiting for payment")</f>
        <v/>
      </c>
      <c r="AN240" s="10"/>
      <c r="AO240" s="10"/>
      <c r="AP240" s="22" t="str">
        <f aca="false">IF(OR(C240="",I240="",K240=""),"",IF(K240="Monthly",EDATE(C240,ROUND(I240*SETTINGS!$I$8,0)),WORKDAY(C240,ROUND(I240*SETTINGS!$I$8,0))))</f>
        <v/>
      </c>
      <c r="AQ240" s="9" t="str">
        <f aca="true">IF(C240="","",IF(AND(AP240&lt;&gt;"",TODAY()&gt;=AP240),"Refi Ready",IF(TODAY()-C240&gt;=SETTINGS!$I$11,"Prospecting","Performing")))</f>
        <v/>
      </c>
      <c r="AR240" s="22" t="str">
        <f aca="false">IF(OR(C240="",I240="",K240=""),"",IF(K240="Monthly",EDATE(C240,I240),WORKDAY(C240,I240)))</f>
        <v/>
      </c>
      <c r="AS240" s="11"/>
      <c r="AT240" s="23" t="str">
        <f aca="true">IF(C240="","",IF(AM240="Clawed Back","CLAWED",IF(TODAY()&lt;=C240+SETTINGS!$I$2,"⚠ AT RISK","SAFE")))</f>
        <v/>
      </c>
      <c r="AU240" s="11"/>
      <c r="AW240" s="24" t="n">
        <f aca="false">AW239+IF(AND(C240&lt;&gt;"",AO240&lt;&gt;"",OR('REP COMMISSION'!$B$3="",T240='REP COMMISSION'!$B$3,W240='REP COMMISSION'!$B$3,Z240='REP COMMISSION'!$B$3)),1,0)</f>
        <v>0</v>
      </c>
      <c r="AX240" s="24" t="n">
        <f aca="false">AX239+IF(AND(C240&lt;&gt;"",OR(F240="LOC - INITIAL",F240="CONSOLIDATION - UPFRONT COMM",F240="REVERSE - TOTAL FUNDING")),1,0)</f>
        <v>0</v>
      </c>
    </row>
    <row r="241" customFormat="false" ht="15" hidden="false" customHeight="false" outlineLevel="0" collapsed="false">
      <c r="A241" s="25" t="str">
        <f aca="false">IF(C241&lt;&gt;"","F27-"&amp;COUNT($C$4:C241),"")</f>
        <v/>
      </c>
      <c r="B241" s="26" t="str">
        <f aca="false">IF(OR(F241="LOC - INITIAL",F241="CONSOLIDATION - UPFRONT COMM",F241="REVERSE - TOTAL FUNDING"),A241,"")</f>
        <v/>
      </c>
      <c r="C241" s="27"/>
      <c r="D241" s="28"/>
      <c r="E241" s="28"/>
      <c r="F241" s="28"/>
      <c r="G241" s="29"/>
      <c r="H241" s="30"/>
      <c r="I241" s="28"/>
      <c r="J241" s="31" t="str">
        <f aca="false">IF(AND(G241&lt;&gt;"",H241&lt;&gt;""),G241*H241,"")</f>
        <v/>
      </c>
      <c r="K241" s="28"/>
      <c r="L241" s="32"/>
      <c r="M241" s="32"/>
      <c r="N241" s="31" t="n">
        <f aca="false">IF(OR(G241="",M241=""),0,IF(M241&gt;100,M241,G241*IF(M241&gt;1,M241/100,M241)))</f>
        <v>0</v>
      </c>
      <c r="O241" s="31" t="str">
        <f aca="false">IF(G241="","",G241*IF(L241="",0,IF(L241&gt;1,L241/100,L241))+N241)</f>
        <v/>
      </c>
      <c r="P241" s="28"/>
      <c r="Q241" s="33" t="str">
        <f aca="false">IF(P241="","",IFERROR(VLOOKUP(P241,PARTNERS!$A$2:$B$30,2,0),""))</f>
        <v/>
      </c>
      <c r="R241" s="17" t="str">
        <f aca="false">IF(O241="","",IF(OR(P241="",Q241=""),0,(O241-N241)*IF(Q241&gt;1,Q241/100,Q241)))</f>
        <v/>
      </c>
      <c r="S241" s="31" t="str">
        <f aca="false">IF(O241="","",O241-R241)</f>
        <v/>
      </c>
      <c r="T241" s="28"/>
      <c r="U241" s="34" t="str">
        <f aca="false">IF(T241="","",IFERROR(VLOOKUP(T241,REPS!$A$2:$D$40,2,0),""))</f>
        <v/>
      </c>
      <c r="V241" s="31" t="str">
        <f aca="false">IF(O241="","",IF(U241="",0,O241*IF(U241&gt;1,U241/100,U241)))</f>
        <v/>
      </c>
      <c r="W241" s="28"/>
      <c r="X241" s="34" t="str">
        <f aca="false">IF(W241="","",IFERROR(VLOOKUP(W241,REPS!$A$2:$D$40,3,0),""))</f>
        <v/>
      </c>
      <c r="Y241" s="31" t="str">
        <f aca="false">IF(O241="","",IF(X241="",0,O241*IF(X241&gt;1,X241/100,X241)))</f>
        <v/>
      </c>
      <c r="Z241" s="28"/>
      <c r="AA241" s="34" t="str">
        <f aca="false">IF(Z241="","",IFERROR(VLOOKUP(Z241,REPS!$A$2:$D$40,4,0),""))</f>
        <v/>
      </c>
      <c r="AB241" s="31" t="str">
        <f aca="false">IF(O241="","",IF(AA241="",0,O241*IF(AA241&gt;1,AA241/100,AA241)))</f>
        <v/>
      </c>
      <c r="AC241" s="31" t="str">
        <f aca="false">IF(O241="","",V241+Y241+AB241)</f>
        <v/>
      </c>
      <c r="AD241" s="19" t="str">
        <f aca="false">IF(O241="","",O241-R241-AC241)</f>
        <v/>
      </c>
      <c r="AE241" s="20"/>
      <c r="AF241" s="27"/>
      <c r="AG241" s="21" t="n">
        <f aca="false">IF(OR(AE241="",AE241=0),0,AE241*IF(U241="",0,IF(U241&gt;1,U241/100,U241)))</f>
        <v>0</v>
      </c>
      <c r="AH241" s="21" t="n">
        <f aca="false">IF(OR(AE241="",AE241=0),0,AE241*IF(X241="",0,IF(X241&gt;1,X241/100,X241)))</f>
        <v>0</v>
      </c>
      <c r="AI241" s="21" t="n">
        <f aca="false">IF(OR(AE241="",AE241=0),0,AE241*IF(AA241="",0,IF(AA241&gt;1,AA241/100,AA241)))</f>
        <v>0</v>
      </c>
      <c r="AJ241" s="21" t="n">
        <f aca="false">AG241+AH241+AI241</f>
        <v>0</v>
      </c>
      <c r="AK241" s="21" t="n">
        <f aca="false">IF(OR(AE241="",AE241=0),0,AE241-AJ241)</f>
        <v>0</v>
      </c>
      <c r="AL241" s="19" t="str">
        <f aca="false">IF(AD241="","",AD241-AK241)</f>
        <v/>
      </c>
      <c r="AM241" s="26" t="str">
        <f aca="false">IF(C241="","","Waiting for payment")</f>
        <v/>
      </c>
      <c r="AN241" s="27"/>
      <c r="AO241" s="27"/>
      <c r="AP241" s="35" t="str">
        <f aca="false">IF(OR(C241="",I241="",K241=""),"",IF(K241="Monthly",EDATE(C241,ROUND(I241*SETTINGS!$I$8,0)),WORKDAY(C241,ROUND(I241*SETTINGS!$I$8,0))))</f>
        <v/>
      </c>
      <c r="AQ241" s="26" t="str">
        <f aca="true">IF(C241="","",IF(AND(AP241&lt;&gt;"",TODAY()&gt;=AP241),"Refi Ready",IF(TODAY()-C241&gt;=SETTINGS!$I$11,"Prospecting","Performing")))</f>
        <v/>
      </c>
      <c r="AR241" s="35" t="str">
        <f aca="false">IF(OR(C241="",I241="",K241=""),"",IF(K241="Monthly",EDATE(C241,I241),WORKDAY(C241,I241)))</f>
        <v/>
      </c>
      <c r="AS241" s="28"/>
      <c r="AT241" s="36" t="str">
        <f aca="true">IF(C241="","",IF(AM241="Clawed Back","CLAWED",IF(TODAY()&lt;=C241+SETTINGS!$I$2,"⚠ AT RISK","SAFE")))</f>
        <v/>
      </c>
      <c r="AU241" s="28"/>
      <c r="AW241" s="24" t="n">
        <f aca="false">AW240+IF(AND(C241&lt;&gt;"",AO241&lt;&gt;"",OR('REP COMMISSION'!$B$3="",T241='REP COMMISSION'!$B$3,W241='REP COMMISSION'!$B$3,Z241='REP COMMISSION'!$B$3)),1,0)</f>
        <v>0</v>
      </c>
      <c r="AX241" s="24" t="n">
        <f aca="false">AX240+IF(AND(C241&lt;&gt;"",OR(F241="LOC - INITIAL",F241="CONSOLIDATION - UPFRONT COMM",F241="REVERSE - TOTAL FUNDING")),1,0)</f>
        <v>0</v>
      </c>
    </row>
    <row r="242" customFormat="false" ht="15" hidden="false" customHeight="false" outlineLevel="0" collapsed="false">
      <c r="A242" s="8" t="str">
        <f aca="false">IF(C242&lt;&gt;"","F27-"&amp;COUNT($C$4:C242),"")</f>
        <v/>
      </c>
      <c r="B242" s="9" t="str">
        <f aca="false">IF(OR(F242="LOC - INITIAL",F242="CONSOLIDATION - UPFRONT COMM",F242="REVERSE - TOTAL FUNDING"),A242,"")</f>
        <v/>
      </c>
      <c r="C242" s="10"/>
      <c r="D242" s="11"/>
      <c r="E242" s="11"/>
      <c r="F242" s="11"/>
      <c r="G242" s="12"/>
      <c r="H242" s="13"/>
      <c r="I242" s="11"/>
      <c r="J242" s="14" t="str">
        <f aca="false">IF(AND(G242&lt;&gt;"",H242&lt;&gt;""),G242*H242,"")</f>
        <v/>
      </c>
      <c r="K242" s="11"/>
      <c r="L242" s="15"/>
      <c r="M242" s="15"/>
      <c r="N242" s="14" t="n">
        <f aca="false">IF(OR(G242="",M242=""),0,IF(M242&gt;100,M242,G242*IF(M242&gt;1,M242/100,M242)))</f>
        <v>0</v>
      </c>
      <c r="O242" s="14" t="str">
        <f aca="false">IF(G242="","",G242*IF(L242="",0,IF(L242&gt;1,L242/100,L242))+N242)</f>
        <v/>
      </c>
      <c r="P242" s="11"/>
      <c r="Q242" s="16" t="str">
        <f aca="false">IF(P242="","",IFERROR(VLOOKUP(P242,PARTNERS!$A$2:$B$30,2,0),""))</f>
        <v/>
      </c>
      <c r="R242" s="17" t="str">
        <f aca="false">IF(O242="","",IF(OR(P242="",Q242=""),0,(O242-N242)*IF(Q242&gt;1,Q242/100,Q242)))</f>
        <v/>
      </c>
      <c r="S242" s="14" t="str">
        <f aca="false">IF(O242="","",O242-R242)</f>
        <v/>
      </c>
      <c r="T242" s="11"/>
      <c r="U242" s="18" t="str">
        <f aca="false">IF(T242="","",IFERROR(VLOOKUP(T242,REPS!$A$2:$D$40,2,0),""))</f>
        <v/>
      </c>
      <c r="V242" s="14" t="str">
        <f aca="false">IF(O242="","",IF(U242="",0,O242*IF(U242&gt;1,U242/100,U242)))</f>
        <v/>
      </c>
      <c r="W242" s="11"/>
      <c r="X242" s="18" t="str">
        <f aca="false">IF(W242="","",IFERROR(VLOOKUP(W242,REPS!$A$2:$D$40,3,0),""))</f>
        <v/>
      </c>
      <c r="Y242" s="14" t="str">
        <f aca="false">IF(O242="","",IF(X242="",0,O242*IF(X242&gt;1,X242/100,X242)))</f>
        <v/>
      </c>
      <c r="Z242" s="11"/>
      <c r="AA242" s="18" t="str">
        <f aca="false">IF(Z242="","",IFERROR(VLOOKUP(Z242,REPS!$A$2:$D$40,4,0),""))</f>
        <v/>
      </c>
      <c r="AB242" s="14" t="str">
        <f aca="false">IF(O242="","",IF(AA242="",0,O242*IF(AA242&gt;1,AA242/100,AA242)))</f>
        <v/>
      </c>
      <c r="AC242" s="14" t="str">
        <f aca="false">IF(O242="","",V242+Y242+AB242)</f>
        <v/>
      </c>
      <c r="AD242" s="19" t="str">
        <f aca="false">IF(O242="","",O242-R242-AC242)</f>
        <v/>
      </c>
      <c r="AE242" s="20"/>
      <c r="AF242" s="10"/>
      <c r="AG242" s="21" t="n">
        <f aca="false">IF(OR(AE242="",AE242=0),0,AE242*IF(U242="",0,IF(U242&gt;1,U242/100,U242)))</f>
        <v>0</v>
      </c>
      <c r="AH242" s="21" t="n">
        <f aca="false">IF(OR(AE242="",AE242=0),0,AE242*IF(X242="",0,IF(X242&gt;1,X242/100,X242)))</f>
        <v>0</v>
      </c>
      <c r="AI242" s="21" t="n">
        <f aca="false">IF(OR(AE242="",AE242=0),0,AE242*IF(AA242="",0,IF(AA242&gt;1,AA242/100,AA242)))</f>
        <v>0</v>
      </c>
      <c r="AJ242" s="21" t="n">
        <f aca="false">AG242+AH242+AI242</f>
        <v>0</v>
      </c>
      <c r="AK242" s="21" t="n">
        <f aca="false">IF(OR(AE242="",AE242=0),0,AE242-AJ242)</f>
        <v>0</v>
      </c>
      <c r="AL242" s="19" t="str">
        <f aca="false">IF(AD242="","",AD242-AK242)</f>
        <v/>
      </c>
      <c r="AM242" s="9" t="str">
        <f aca="false">IF(C242="","","Waiting for payment")</f>
        <v/>
      </c>
      <c r="AN242" s="10"/>
      <c r="AO242" s="10"/>
      <c r="AP242" s="22" t="str">
        <f aca="false">IF(OR(C242="",I242="",K242=""),"",IF(K242="Monthly",EDATE(C242,ROUND(I242*SETTINGS!$I$8,0)),WORKDAY(C242,ROUND(I242*SETTINGS!$I$8,0))))</f>
        <v/>
      </c>
      <c r="AQ242" s="9" t="str">
        <f aca="true">IF(C242="","",IF(AND(AP242&lt;&gt;"",TODAY()&gt;=AP242),"Refi Ready",IF(TODAY()-C242&gt;=SETTINGS!$I$11,"Prospecting","Performing")))</f>
        <v/>
      </c>
      <c r="AR242" s="22" t="str">
        <f aca="false">IF(OR(C242="",I242="",K242=""),"",IF(K242="Monthly",EDATE(C242,I242),WORKDAY(C242,I242)))</f>
        <v/>
      </c>
      <c r="AS242" s="11"/>
      <c r="AT242" s="23" t="str">
        <f aca="true">IF(C242="","",IF(AM242="Clawed Back","CLAWED",IF(TODAY()&lt;=C242+SETTINGS!$I$2,"⚠ AT RISK","SAFE")))</f>
        <v/>
      </c>
      <c r="AU242" s="11"/>
      <c r="AW242" s="24" t="n">
        <f aca="false">AW241+IF(AND(C242&lt;&gt;"",AO242&lt;&gt;"",OR('REP COMMISSION'!$B$3="",T242='REP COMMISSION'!$B$3,W242='REP COMMISSION'!$B$3,Z242='REP COMMISSION'!$B$3)),1,0)</f>
        <v>0</v>
      </c>
      <c r="AX242" s="24" t="n">
        <f aca="false">AX241+IF(AND(C242&lt;&gt;"",OR(F242="LOC - INITIAL",F242="CONSOLIDATION - UPFRONT COMM",F242="REVERSE - TOTAL FUNDING")),1,0)</f>
        <v>0</v>
      </c>
    </row>
    <row r="243" customFormat="false" ht="15" hidden="false" customHeight="false" outlineLevel="0" collapsed="false">
      <c r="A243" s="25" t="str">
        <f aca="false">IF(C243&lt;&gt;"","F27-"&amp;COUNT($C$4:C243),"")</f>
        <v/>
      </c>
      <c r="B243" s="26" t="str">
        <f aca="false">IF(OR(F243="LOC - INITIAL",F243="CONSOLIDATION - UPFRONT COMM",F243="REVERSE - TOTAL FUNDING"),A243,"")</f>
        <v/>
      </c>
      <c r="C243" s="27"/>
      <c r="D243" s="28"/>
      <c r="E243" s="28"/>
      <c r="F243" s="28"/>
      <c r="G243" s="29"/>
      <c r="H243" s="30"/>
      <c r="I243" s="28"/>
      <c r="J243" s="31" t="str">
        <f aca="false">IF(AND(G243&lt;&gt;"",H243&lt;&gt;""),G243*H243,"")</f>
        <v/>
      </c>
      <c r="K243" s="28"/>
      <c r="L243" s="32"/>
      <c r="M243" s="32"/>
      <c r="N243" s="31" t="n">
        <f aca="false">IF(OR(G243="",M243=""),0,IF(M243&gt;100,M243,G243*IF(M243&gt;1,M243/100,M243)))</f>
        <v>0</v>
      </c>
      <c r="O243" s="31" t="str">
        <f aca="false">IF(G243="","",G243*IF(L243="",0,IF(L243&gt;1,L243/100,L243))+N243)</f>
        <v/>
      </c>
      <c r="P243" s="28"/>
      <c r="Q243" s="33" t="str">
        <f aca="false">IF(P243="","",IFERROR(VLOOKUP(P243,PARTNERS!$A$2:$B$30,2,0),""))</f>
        <v/>
      </c>
      <c r="R243" s="17" t="str">
        <f aca="false">IF(O243="","",IF(OR(P243="",Q243=""),0,(O243-N243)*IF(Q243&gt;1,Q243/100,Q243)))</f>
        <v/>
      </c>
      <c r="S243" s="31" t="str">
        <f aca="false">IF(O243="","",O243-R243)</f>
        <v/>
      </c>
      <c r="T243" s="28"/>
      <c r="U243" s="34" t="str">
        <f aca="false">IF(T243="","",IFERROR(VLOOKUP(T243,REPS!$A$2:$D$40,2,0),""))</f>
        <v/>
      </c>
      <c r="V243" s="31" t="str">
        <f aca="false">IF(O243="","",IF(U243="",0,O243*IF(U243&gt;1,U243/100,U243)))</f>
        <v/>
      </c>
      <c r="W243" s="28"/>
      <c r="X243" s="34" t="str">
        <f aca="false">IF(W243="","",IFERROR(VLOOKUP(W243,REPS!$A$2:$D$40,3,0),""))</f>
        <v/>
      </c>
      <c r="Y243" s="31" t="str">
        <f aca="false">IF(O243="","",IF(X243="",0,O243*IF(X243&gt;1,X243/100,X243)))</f>
        <v/>
      </c>
      <c r="Z243" s="28"/>
      <c r="AA243" s="34" t="str">
        <f aca="false">IF(Z243="","",IFERROR(VLOOKUP(Z243,REPS!$A$2:$D$40,4,0),""))</f>
        <v/>
      </c>
      <c r="AB243" s="31" t="str">
        <f aca="false">IF(O243="","",IF(AA243="",0,O243*IF(AA243&gt;1,AA243/100,AA243)))</f>
        <v/>
      </c>
      <c r="AC243" s="31" t="str">
        <f aca="false">IF(O243="","",V243+Y243+AB243)</f>
        <v/>
      </c>
      <c r="AD243" s="19" t="str">
        <f aca="false">IF(O243="","",O243-R243-AC243)</f>
        <v/>
      </c>
      <c r="AE243" s="20"/>
      <c r="AF243" s="27"/>
      <c r="AG243" s="21" t="n">
        <f aca="false">IF(OR(AE243="",AE243=0),0,AE243*IF(U243="",0,IF(U243&gt;1,U243/100,U243)))</f>
        <v>0</v>
      </c>
      <c r="AH243" s="21" t="n">
        <f aca="false">IF(OR(AE243="",AE243=0),0,AE243*IF(X243="",0,IF(X243&gt;1,X243/100,X243)))</f>
        <v>0</v>
      </c>
      <c r="AI243" s="21" t="n">
        <f aca="false">IF(OR(AE243="",AE243=0),0,AE243*IF(AA243="",0,IF(AA243&gt;1,AA243/100,AA243)))</f>
        <v>0</v>
      </c>
      <c r="AJ243" s="21" t="n">
        <f aca="false">AG243+AH243+AI243</f>
        <v>0</v>
      </c>
      <c r="AK243" s="21" t="n">
        <f aca="false">IF(OR(AE243="",AE243=0),0,AE243-AJ243)</f>
        <v>0</v>
      </c>
      <c r="AL243" s="19" t="str">
        <f aca="false">IF(AD243="","",AD243-AK243)</f>
        <v/>
      </c>
      <c r="AM243" s="26" t="str">
        <f aca="false">IF(C243="","","Waiting for payment")</f>
        <v/>
      </c>
      <c r="AN243" s="27"/>
      <c r="AO243" s="27"/>
      <c r="AP243" s="35" t="str">
        <f aca="false">IF(OR(C243="",I243="",K243=""),"",IF(K243="Monthly",EDATE(C243,ROUND(I243*SETTINGS!$I$8,0)),WORKDAY(C243,ROUND(I243*SETTINGS!$I$8,0))))</f>
        <v/>
      </c>
      <c r="AQ243" s="26" t="str">
        <f aca="true">IF(C243="","",IF(AND(AP243&lt;&gt;"",TODAY()&gt;=AP243),"Refi Ready",IF(TODAY()-C243&gt;=SETTINGS!$I$11,"Prospecting","Performing")))</f>
        <v/>
      </c>
      <c r="AR243" s="35" t="str">
        <f aca="false">IF(OR(C243="",I243="",K243=""),"",IF(K243="Monthly",EDATE(C243,I243),WORKDAY(C243,I243)))</f>
        <v/>
      </c>
      <c r="AS243" s="28"/>
      <c r="AT243" s="36" t="str">
        <f aca="true">IF(C243="","",IF(AM243="Clawed Back","CLAWED",IF(TODAY()&lt;=C243+SETTINGS!$I$2,"⚠ AT RISK","SAFE")))</f>
        <v/>
      </c>
      <c r="AU243" s="28"/>
      <c r="AW243" s="24" t="n">
        <f aca="false">AW242+IF(AND(C243&lt;&gt;"",AO243&lt;&gt;"",OR('REP COMMISSION'!$B$3="",T243='REP COMMISSION'!$B$3,W243='REP COMMISSION'!$B$3,Z243='REP COMMISSION'!$B$3)),1,0)</f>
        <v>0</v>
      </c>
      <c r="AX243" s="24" t="n">
        <f aca="false">AX242+IF(AND(C243&lt;&gt;"",OR(F243="LOC - INITIAL",F243="CONSOLIDATION - UPFRONT COMM",F243="REVERSE - TOTAL FUNDING")),1,0)</f>
        <v>0</v>
      </c>
    </row>
    <row r="244" customFormat="false" ht="15" hidden="false" customHeight="false" outlineLevel="0" collapsed="false">
      <c r="A244" s="8" t="str">
        <f aca="false">IF(C244&lt;&gt;"","F27-"&amp;COUNT($C$4:C244),"")</f>
        <v/>
      </c>
      <c r="B244" s="9" t="str">
        <f aca="false">IF(OR(F244="LOC - INITIAL",F244="CONSOLIDATION - UPFRONT COMM",F244="REVERSE - TOTAL FUNDING"),A244,"")</f>
        <v/>
      </c>
      <c r="C244" s="10"/>
      <c r="D244" s="11"/>
      <c r="E244" s="11"/>
      <c r="F244" s="11"/>
      <c r="G244" s="12"/>
      <c r="H244" s="13"/>
      <c r="I244" s="11"/>
      <c r="J244" s="14" t="str">
        <f aca="false">IF(AND(G244&lt;&gt;"",H244&lt;&gt;""),G244*H244,"")</f>
        <v/>
      </c>
      <c r="K244" s="11"/>
      <c r="L244" s="15"/>
      <c r="M244" s="15"/>
      <c r="N244" s="14" t="n">
        <f aca="false">IF(OR(G244="",M244=""),0,IF(M244&gt;100,M244,G244*IF(M244&gt;1,M244/100,M244)))</f>
        <v>0</v>
      </c>
      <c r="O244" s="14" t="str">
        <f aca="false">IF(G244="","",G244*IF(L244="",0,IF(L244&gt;1,L244/100,L244))+N244)</f>
        <v/>
      </c>
      <c r="P244" s="11"/>
      <c r="Q244" s="16" t="str">
        <f aca="false">IF(P244="","",IFERROR(VLOOKUP(P244,PARTNERS!$A$2:$B$30,2,0),""))</f>
        <v/>
      </c>
      <c r="R244" s="17" t="str">
        <f aca="false">IF(O244="","",IF(OR(P244="",Q244=""),0,(O244-N244)*IF(Q244&gt;1,Q244/100,Q244)))</f>
        <v/>
      </c>
      <c r="S244" s="14" t="str">
        <f aca="false">IF(O244="","",O244-R244)</f>
        <v/>
      </c>
      <c r="T244" s="11"/>
      <c r="U244" s="18" t="str">
        <f aca="false">IF(T244="","",IFERROR(VLOOKUP(T244,REPS!$A$2:$D$40,2,0),""))</f>
        <v/>
      </c>
      <c r="V244" s="14" t="str">
        <f aca="false">IF(O244="","",IF(U244="",0,O244*IF(U244&gt;1,U244/100,U244)))</f>
        <v/>
      </c>
      <c r="W244" s="11"/>
      <c r="X244" s="18" t="str">
        <f aca="false">IF(W244="","",IFERROR(VLOOKUP(W244,REPS!$A$2:$D$40,3,0),""))</f>
        <v/>
      </c>
      <c r="Y244" s="14" t="str">
        <f aca="false">IF(O244="","",IF(X244="",0,O244*IF(X244&gt;1,X244/100,X244)))</f>
        <v/>
      </c>
      <c r="Z244" s="11"/>
      <c r="AA244" s="18" t="str">
        <f aca="false">IF(Z244="","",IFERROR(VLOOKUP(Z244,REPS!$A$2:$D$40,4,0),""))</f>
        <v/>
      </c>
      <c r="AB244" s="14" t="str">
        <f aca="false">IF(O244="","",IF(AA244="",0,O244*IF(AA244&gt;1,AA244/100,AA244)))</f>
        <v/>
      </c>
      <c r="AC244" s="14" t="str">
        <f aca="false">IF(O244="","",V244+Y244+AB244)</f>
        <v/>
      </c>
      <c r="AD244" s="19" t="str">
        <f aca="false">IF(O244="","",O244-R244-AC244)</f>
        <v/>
      </c>
      <c r="AE244" s="20"/>
      <c r="AF244" s="10"/>
      <c r="AG244" s="21" t="n">
        <f aca="false">IF(OR(AE244="",AE244=0),0,AE244*IF(U244="",0,IF(U244&gt;1,U244/100,U244)))</f>
        <v>0</v>
      </c>
      <c r="AH244" s="21" t="n">
        <f aca="false">IF(OR(AE244="",AE244=0),0,AE244*IF(X244="",0,IF(X244&gt;1,X244/100,X244)))</f>
        <v>0</v>
      </c>
      <c r="AI244" s="21" t="n">
        <f aca="false">IF(OR(AE244="",AE244=0),0,AE244*IF(AA244="",0,IF(AA244&gt;1,AA244/100,AA244)))</f>
        <v>0</v>
      </c>
      <c r="AJ244" s="21" t="n">
        <f aca="false">AG244+AH244+AI244</f>
        <v>0</v>
      </c>
      <c r="AK244" s="21" t="n">
        <f aca="false">IF(OR(AE244="",AE244=0),0,AE244-AJ244)</f>
        <v>0</v>
      </c>
      <c r="AL244" s="19" t="str">
        <f aca="false">IF(AD244="","",AD244-AK244)</f>
        <v/>
      </c>
      <c r="AM244" s="9" t="str">
        <f aca="false">IF(C244="","","Waiting for payment")</f>
        <v/>
      </c>
      <c r="AN244" s="10"/>
      <c r="AO244" s="10"/>
      <c r="AP244" s="22" t="str">
        <f aca="false">IF(OR(C244="",I244="",K244=""),"",IF(K244="Monthly",EDATE(C244,ROUND(I244*SETTINGS!$I$8,0)),WORKDAY(C244,ROUND(I244*SETTINGS!$I$8,0))))</f>
        <v/>
      </c>
      <c r="AQ244" s="9" t="str">
        <f aca="true">IF(C244="","",IF(AND(AP244&lt;&gt;"",TODAY()&gt;=AP244),"Refi Ready",IF(TODAY()-C244&gt;=SETTINGS!$I$11,"Prospecting","Performing")))</f>
        <v/>
      </c>
      <c r="AR244" s="22" t="str">
        <f aca="false">IF(OR(C244="",I244="",K244=""),"",IF(K244="Monthly",EDATE(C244,I244),WORKDAY(C244,I244)))</f>
        <v/>
      </c>
      <c r="AS244" s="11"/>
      <c r="AT244" s="23" t="str">
        <f aca="true">IF(C244="","",IF(AM244="Clawed Back","CLAWED",IF(TODAY()&lt;=C244+SETTINGS!$I$2,"⚠ AT RISK","SAFE")))</f>
        <v/>
      </c>
      <c r="AU244" s="11"/>
      <c r="AW244" s="24" t="n">
        <f aca="false">AW243+IF(AND(C244&lt;&gt;"",AO244&lt;&gt;"",OR('REP COMMISSION'!$B$3="",T244='REP COMMISSION'!$B$3,W244='REP COMMISSION'!$B$3,Z244='REP COMMISSION'!$B$3)),1,0)</f>
        <v>0</v>
      </c>
      <c r="AX244" s="24" t="n">
        <f aca="false">AX243+IF(AND(C244&lt;&gt;"",OR(F244="LOC - INITIAL",F244="CONSOLIDATION - UPFRONT COMM",F244="REVERSE - TOTAL FUNDING")),1,0)</f>
        <v>0</v>
      </c>
    </row>
    <row r="245" customFormat="false" ht="15" hidden="false" customHeight="false" outlineLevel="0" collapsed="false">
      <c r="A245" s="25" t="str">
        <f aca="false">IF(C245&lt;&gt;"","F27-"&amp;COUNT($C$4:C245),"")</f>
        <v/>
      </c>
      <c r="B245" s="26" t="str">
        <f aca="false">IF(OR(F245="LOC - INITIAL",F245="CONSOLIDATION - UPFRONT COMM",F245="REVERSE - TOTAL FUNDING"),A245,"")</f>
        <v/>
      </c>
      <c r="C245" s="27"/>
      <c r="D245" s="28"/>
      <c r="E245" s="28"/>
      <c r="F245" s="28"/>
      <c r="G245" s="29"/>
      <c r="H245" s="30"/>
      <c r="I245" s="28"/>
      <c r="J245" s="31" t="str">
        <f aca="false">IF(AND(G245&lt;&gt;"",H245&lt;&gt;""),G245*H245,"")</f>
        <v/>
      </c>
      <c r="K245" s="28"/>
      <c r="L245" s="32"/>
      <c r="M245" s="32"/>
      <c r="N245" s="31" t="n">
        <f aca="false">IF(OR(G245="",M245=""),0,IF(M245&gt;100,M245,G245*IF(M245&gt;1,M245/100,M245)))</f>
        <v>0</v>
      </c>
      <c r="O245" s="31" t="str">
        <f aca="false">IF(G245="","",G245*IF(L245="",0,IF(L245&gt;1,L245/100,L245))+N245)</f>
        <v/>
      </c>
      <c r="P245" s="28"/>
      <c r="Q245" s="33" t="str">
        <f aca="false">IF(P245="","",IFERROR(VLOOKUP(P245,PARTNERS!$A$2:$B$30,2,0),""))</f>
        <v/>
      </c>
      <c r="R245" s="17" t="str">
        <f aca="false">IF(O245="","",IF(OR(P245="",Q245=""),0,(O245-N245)*IF(Q245&gt;1,Q245/100,Q245)))</f>
        <v/>
      </c>
      <c r="S245" s="31" t="str">
        <f aca="false">IF(O245="","",O245-R245)</f>
        <v/>
      </c>
      <c r="T245" s="28"/>
      <c r="U245" s="34" t="str">
        <f aca="false">IF(T245="","",IFERROR(VLOOKUP(T245,REPS!$A$2:$D$40,2,0),""))</f>
        <v/>
      </c>
      <c r="V245" s="31" t="str">
        <f aca="false">IF(O245="","",IF(U245="",0,O245*IF(U245&gt;1,U245/100,U245)))</f>
        <v/>
      </c>
      <c r="W245" s="28"/>
      <c r="X245" s="34" t="str">
        <f aca="false">IF(W245="","",IFERROR(VLOOKUP(W245,REPS!$A$2:$D$40,3,0),""))</f>
        <v/>
      </c>
      <c r="Y245" s="31" t="str">
        <f aca="false">IF(O245="","",IF(X245="",0,O245*IF(X245&gt;1,X245/100,X245)))</f>
        <v/>
      </c>
      <c r="Z245" s="28"/>
      <c r="AA245" s="34" t="str">
        <f aca="false">IF(Z245="","",IFERROR(VLOOKUP(Z245,REPS!$A$2:$D$40,4,0),""))</f>
        <v/>
      </c>
      <c r="AB245" s="31" t="str">
        <f aca="false">IF(O245="","",IF(AA245="",0,O245*IF(AA245&gt;1,AA245/100,AA245)))</f>
        <v/>
      </c>
      <c r="AC245" s="31" t="str">
        <f aca="false">IF(O245="","",V245+Y245+AB245)</f>
        <v/>
      </c>
      <c r="AD245" s="19" t="str">
        <f aca="false">IF(O245="","",O245-R245-AC245)</f>
        <v/>
      </c>
      <c r="AE245" s="20"/>
      <c r="AF245" s="27"/>
      <c r="AG245" s="21" t="n">
        <f aca="false">IF(OR(AE245="",AE245=0),0,AE245*IF(U245="",0,IF(U245&gt;1,U245/100,U245)))</f>
        <v>0</v>
      </c>
      <c r="AH245" s="21" t="n">
        <f aca="false">IF(OR(AE245="",AE245=0),0,AE245*IF(X245="",0,IF(X245&gt;1,X245/100,X245)))</f>
        <v>0</v>
      </c>
      <c r="AI245" s="21" t="n">
        <f aca="false">IF(OR(AE245="",AE245=0),0,AE245*IF(AA245="",0,IF(AA245&gt;1,AA245/100,AA245)))</f>
        <v>0</v>
      </c>
      <c r="AJ245" s="21" t="n">
        <f aca="false">AG245+AH245+AI245</f>
        <v>0</v>
      </c>
      <c r="AK245" s="21" t="n">
        <f aca="false">IF(OR(AE245="",AE245=0),0,AE245-AJ245)</f>
        <v>0</v>
      </c>
      <c r="AL245" s="19" t="str">
        <f aca="false">IF(AD245="","",AD245-AK245)</f>
        <v/>
      </c>
      <c r="AM245" s="26" t="str">
        <f aca="false">IF(C245="","","Waiting for payment")</f>
        <v/>
      </c>
      <c r="AN245" s="27"/>
      <c r="AO245" s="27"/>
      <c r="AP245" s="35" t="str">
        <f aca="false">IF(OR(C245="",I245="",K245=""),"",IF(K245="Monthly",EDATE(C245,ROUND(I245*SETTINGS!$I$8,0)),WORKDAY(C245,ROUND(I245*SETTINGS!$I$8,0))))</f>
        <v/>
      </c>
      <c r="AQ245" s="26" t="str">
        <f aca="true">IF(C245="","",IF(AND(AP245&lt;&gt;"",TODAY()&gt;=AP245),"Refi Ready",IF(TODAY()-C245&gt;=SETTINGS!$I$11,"Prospecting","Performing")))</f>
        <v/>
      </c>
      <c r="AR245" s="35" t="str">
        <f aca="false">IF(OR(C245="",I245="",K245=""),"",IF(K245="Monthly",EDATE(C245,I245),WORKDAY(C245,I245)))</f>
        <v/>
      </c>
      <c r="AS245" s="28"/>
      <c r="AT245" s="36" t="str">
        <f aca="true">IF(C245="","",IF(AM245="Clawed Back","CLAWED",IF(TODAY()&lt;=C245+SETTINGS!$I$2,"⚠ AT RISK","SAFE")))</f>
        <v/>
      </c>
      <c r="AU245" s="28"/>
      <c r="AW245" s="24" t="n">
        <f aca="false">AW244+IF(AND(C245&lt;&gt;"",AO245&lt;&gt;"",OR('REP COMMISSION'!$B$3="",T245='REP COMMISSION'!$B$3,W245='REP COMMISSION'!$B$3,Z245='REP COMMISSION'!$B$3)),1,0)</f>
        <v>0</v>
      </c>
      <c r="AX245" s="24" t="n">
        <f aca="false">AX244+IF(AND(C245&lt;&gt;"",OR(F245="LOC - INITIAL",F245="CONSOLIDATION - UPFRONT COMM",F245="REVERSE - TOTAL FUNDING")),1,0)</f>
        <v>0</v>
      </c>
    </row>
    <row r="246" customFormat="false" ht="15" hidden="false" customHeight="false" outlineLevel="0" collapsed="false">
      <c r="A246" s="8" t="str">
        <f aca="false">IF(C246&lt;&gt;"","F27-"&amp;COUNT($C$4:C246),"")</f>
        <v/>
      </c>
      <c r="B246" s="9" t="str">
        <f aca="false">IF(OR(F246="LOC - INITIAL",F246="CONSOLIDATION - UPFRONT COMM",F246="REVERSE - TOTAL FUNDING"),A246,"")</f>
        <v/>
      </c>
      <c r="C246" s="10"/>
      <c r="D246" s="11"/>
      <c r="E246" s="11"/>
      <c r="F246" s="11"/>
      <c r="G246" s="12"/>
      <c r="H246" s="13"/>
      <c r="I246" s="11"/>
      <c r="J246" s="14" t="str">
        <f aca="false">IF(AND(G246&lt;&gt;"",H246&lt;&gt;""),G246*H246,"")</f>
        <v/>
      </c>
      <c r="K246" s="11"/>
      <c r="L246" s="15"/>
      <c r="M246" s="15"/>
      <c r="N246" s="14" t="n">
        <f aca="false">IF(OR(G246="",M246=""),0,IF(M246&gt;100,M246,G246*IF(M246&gt;1,M246/100,M246)))</f>
        <v>0</v>
      </c>
      <c r="O246" s="14" t="str">
        <f aca="false">IF(G246="","",G246*IF(L246="",0,IF(L246&gt;1,L246/100,L246))+N246)</f>
        <v/>
      </c>
      <c r="P246" s="11"/>
      <c r="Q246" s="16" t="str">
        <f aca="false">IF(P246="","",IFERROR(VLOOKUP(P246,PARTNERS!$A$2:$B$30,2,0),""))</f>
        <v/>
      </c>
      <c r="R246" s="17" t="str">
        <f aca="false">IF(O246="","",IF(OR(P246="",Q246=""),0,(O246-N246)*IF(Q246&gt;1,Q246/100,Q246)))</f>
        <v/>
      </c>
      <c r="S246" s="14" t="str">
        <f aca="false">IF(O246="","",O246-R246)</f>
        <v/>
      </c>
      <c r="T246" s="11"/>
      <c r="U246" s="18" t="str">
        <f aca="false">IF(T246="","",IFERROR(VLOOKUP(T246,REPS!$A$2:$D$40,2,0),""))</f>
        <v/>
      </c>
      <c r="V246" s="14" t="str">
        <f aca="false">IF(O246="","",IF(U246="",0,O246*IF(U246&gt;1,U246/100,U246)))</f>
        <v/>
      </c>
      <c r="W246" s="11"/>
      <c r="X246" s="18" t="str">
        <f aca="false">IF(W246="","",IFERROR(VLOOKUP(W246,REPS!$A$2:$D$40,3,0),""))</f>
        <v/>
      </c>
      <c r="Y246" s="14" t="str">
        <f aca="false">IF(O246="","",IF(X246="",0,O246*IF(X246&gt;1,X246/100,X246)))</f>
        <v/>
      </c>
      <c r="Z246" s="11"/>
      <c r="AA246" s="18" t="str">
        <f aca="false">IF(Z246="","",IFERROR(VLOOKUP(Z246,REPS!$A$2:$D$40,4,0),""))</f>
        <v/>
      </c>
      <c r="AB246" s="14" t="str">
        <f aca="false">IF(O246="","",IF(AA246="",0,O246*IF(AA246&gt;1,AA246/100,AA246)))</f>
        <v/>
      </c>
      <c r="AC246" s="14" t="str">
        <f aca="false">IF(O246="","",V246+Y246+AB246)</f>
        <v/>
      </c>
      <c r="AD246" s="19" t="str">
        <f aca="false">IF(O246="","",O246-R246-AC246)</f>
        <v/>
      </c>
      <c r="AE246" s="20"/>
      <c r="AF246" s="10"/>
      <c r="AG246" s="21" t="n">
        <f aca="false">IF(OR(AE246="",AE246=0),0,AE246*IF(U246="",0,IF(U246&gt;1,U246/100,U246)))</f>
        <v>0</v>
      </c>
      <c r="AH246" s="21" t="n">
        <f aca="false">IF(OR(AE246="",AE246=0),0,AE246*IF(X246="",0,IF(X246&gt;1,X246/100,X246)))</f>
        <v>0</v>
      </c>
      <c r="AI246" s="21" t="n">
        <f aca="false">IF(OR(AE246="",AE246=0),0,AE246*IF(AA246="",0,IF(AA246&gt;1,AA246/100,AA246)))</f>
        <v>0</v>
      </c>
      <c r="AJ246" s="21" t="n">
        <f aca="false">AG246+AH246+AI246</f>
        <v>0</v>
      </c>
      <c r="AK246" s="21" t="n">
        <f aca="false">IF(OR(AE246="",AE246=0),0,AE246-AJ246)</f>
        <v>0</v>
      </c>
      <c r="AL246" s="19" t="str">
        <f aca="false">IF(AD246="","",AD246-AK246)</f>
        <v/>
      </c>
      <c r="AM246" s="9" t="str">
        <f aca="false">IF(C246="","","Waiting for payment")</f>
        <v/>
      </c>
      <c r="AN246" s="10"/>
      <c r="AO246" s="10"/>
      <c r="AP246" s="22" t="str">
        <f aca="false">IF(OR(C246="",I246="",K246=""),"",IF(K246="Monthly",EDATE(C246,ROUND(I246*SETTINGS!$I$8,0)),WORKDAY(C246,ROUND(I246*SETTINGS!$I$8,0))))</f>
        <v/>
      </c>
      <c r="AQ246" s="9" t="str">
        <f aca="true">IF(C246="","",IF(AND(AP246&lt;&gt;"",TODAY()&gt;=AP246),"Refi Ready",IF(TODAY()-C246&gt;=SETTINGS!$I$11,"Prospecting","Performing")))</f>
        <v/>
      </c>
      <c r="AR246" s="22" t="str">
        <f aca="false">IF(OR(C246="",I246="",K246=""),"",IF(K246="Monthly",EDATE(C246,I246),WORKDAY(C246,I246)))</f>
        <v/>
      </c>
      <c r="AS246" s="11"/>
      <c r="AT246" s="23" t="str">
        <f aca="true">IF(C246="","",IF(AM246="Clawed Back","CLAWED",IF(TODAY()&lt;=C246+SETTINGS!$I$2,"⚠ AT RISK","SAFE")))</f>
        <v/>
      </c>
      <c r="AU246" s="11"/>
      <c r="AW246" s="24" t="n">
        <f aca="false">AW245+IF(AND(C246&lt;&gt;"",AO246&lt;&gt;"",OR('REP COMMISSION'!$B$3="",T246='REP COMMISSION'!$B$3,W246='REP COMMISSION'!$B$3,Z246='REP COMMISSION'!$B$3)),1,0)</f>
        <v>0</v>
      </c>
      <c r="AX246" s="24" t="n">
        <f aca="false">AX245+IF(AND(C246&lt;&gt;"",OR(F246="LOC - INITIAL",F246="CONSOLIDATION - UPFRONT COMM",F246="REVERSE - TOTAL FUNDING")),1,0)</f>
        <v>0</v>
      </c>
    </row>
    <row r="247" customFormat="false" ht="15" hidden="false" customHeight="false" outlineLevel="0" collapsed="false">
      <c r="A247" s="25" t="str">
        <f aca="false">IF(C247&lt;&gt;"","F27-"&amp;COUNT($C$4:C247),"")</f>
        <v/>
      </c>
      <c r="B247" s="26" t="str">
        <f aca="false">IF(OR(F247="LOC - INITIAL",F247="CONSOLIDATION - UPFRONT COMM",F247="REVERSE - TOTAL FUNDING"),A247,"")</f>
        <v/>
      </c>
      <c r="C247" s="27"/>
      <c r="D247" s="28"/>
      <c r="E247" s="28"/>
      <c r="F247" s="28"/>
      <c r="G247" s="29"/>
      <c r="H247" s="30"/>
      <c r="I247" s="28"/>
      <c r="J247" s="31" t="str">
        <f aca="false">IF(AND(G247&lt;&gt;"",H247&lt;&gt;""),G247*H247,"")</f>
        <v/>
      </c>
      <c r="K247" s="28"/>
      <c r="L247" s="32"/>
      <c r="M247" s="32"/>
      <c r="N247" s="31" t="n">
        <f aca="false">IF(OR(G247="",M247=""),0,IF(M247&gt;100,M247,G247*IF(M247&gt;1,M247/100,M247)))</f>
        <v>0</v>
      </c>
      <c r="O247" s="31" t="str">
        <f aca="false">IF(G247="","",G247*IF(L247="",0,IF(L247&gt;1,L247/100,L247))+N247)</f>
        <v/>
      </c>
      <c r="P247" s="28"/>
      <c r="Q247" s="33" t="str">
        <f aca="false">IF(P247="","",IFERROR(VLOOKUP(P247,PARTNERS!$A$2:$B$30,2,0),""))</f>
        <v/>
      </c>
      <c r="R247" s="17" t="str">
        <f aca="false">IF(O247="","",IF(OR(P247="",Q247=""),0,(O247-N247)*IF(Q247&gt;1,Q247/100,Q247)))</f>
        <v/>
      </c>
      <c r="S247" s="31" t="str">
        <f aca="false">IF(O247="","",O247-R247)</f>
        <v/>
      </c>
      <c r="T247" s="28"/>
      <c r="U247" s="34" t="str">
        <f aca="false">IF(T247="","",IFERROR(VLOOKUP(T247,REPS!$A$2:$D$40,2,0),""))</f>
        <v/>
      </c>
      <c r="V247" s="31" t="str">
        <f aca="false">IF(O247="","",IF(U247="",0,O247*IF(U247&gt;1,U247/100,U247)))</f>
        <v/>
      </c>
      <c r="W247" s="28"/>
      <c r="X247" s="34" t="str">
        <f aca="false">IF(W247="","",IFERROR(VLOOKUP(W247,REPS!$A$2:$D$40,3,0),""))</f>
        <v/>
      </c>
      <c r="Y247" s="31" t="str">
        <f aca="false">IF(O247="","",IF(X247="",0,O247*IF(X247&gt;1,X247/100,X247)))</f>
        <v/>
      </c>
      <c r="Z247" s="28"/>
      <c r="AA247" s="34" t="str">
        <f aca="false">IF(Z247="","",IFERROR(VLOOKUP(Z247,REPS!$A$2:$D$40,4,0),""))</f>
        <v/>
      </c>
      <c r="AB247" s="31" t="str">
        <f aca="false">IF(O247="","",IF(AA247="",0,O247*IF(AA247&gt;1,AA247/100,AA247)))</f>
        <v/>
      </c>
      <c r="AC247" s="31" t="str">
        <f aca="false">IF(O247="","",V247+Y247+AB247)</f>
        <v/>
      </c>
      <c r="AD247" s="19" t="str">
        <f aca="false">IF(O247="","",O247-R247-AC247)</f>
        <v/>
      </c>
      <c r="AE247" s="20"/>
      <c r="AF247" s="27"/>
      <c r="AG247" s="21" t="n">
        <f aca="false">IF(OR(AE247="",AE247=0),0,AE247*IF(U247="",0,IF(U247&gt;1,U247/100,U247)))</f>
        <v>0</v>
      </c>
      <c r="AH247" s="21" t="n">
        <f aca="false">IF(OR(AE247="",AE247=0),0,AE247*IF(X247="",0,IF(X247&gt;1,X247/100,X247)))</f>
        <v>0</v>
      </c>
      <c r="AI247" s="21" t="n">
        <f aca="false">IF(OR(AE247="",AE247=0),0,AE247*IF(AA247="",0,IF(AA247&gt;1,AA247/100,AA247)))</f>
        <v>0</v>
      </c>
      <c r="AJ247" s="21" t="n">
        <f aca="false">AG247+AH247+AI247</f>
        <v>0</v>
      </c>
      <c r="AK247" s="21" t="n">
        <f aca="false">IF(OR(AE247="",AE247=0),0,AE247-AJ247)</f>
        <v>0</v>
      </c>
      <c r="AL247" s="19" t="str">
        <f aca="false">IF(AD247="","",AD247-AK247)</f>
        <v/>
      </c>
      <c r="AM247" s="26" t="str">
        <f aca="false">IF(C247="","","Waiting for payment")</f>
        <v/>
      </c>
      <c r="AN247" s="27"/>
      <c r="AO247" s="27"/>
      <c r="AP247" s="35" t="str">
        <f aca="false">IF(OR(C247="",I247="",K247=""),"",IF(K247="Monthly",EDATE(C247,ROUND(I247*SETTINGS!$I$8,0)),WORKDAY(C247,ROUND(I247*SETTINGS!$I$8,0))))</f>
        <v/>
      </c>
      <c r="AQ247" s="26" t="str">
        <f aca="true">IF(C247="","",IF(AND(AP247&lt;&gt;"",TODAY()&gt;=AP247),"Refi Ready",IF(TODAY()-C247&gt;=SETTINGS!$I$11,"Prospecting","Performing")))</f>
        <v/>
      </c>
      <c r="AR247" s="35" t="str">
        <f aca="false">IF(OR(C247="",I247="",K247=""),"",IF(K247="Monthly",EDATE(C247,I247),WORKDAY(C247,I247)))</f>
        <v/>
      </c>
      <c r="AS247" s="28"/>
      <c r="AT247" s="36" t="str">
        <f aca="true">IF(C247="","",IF(AM247="Clawed Back","CLAWED",IF(TODAY()&lt;=C247+SETTINGS!$I$2,"⚠ AT RISK","SAFE")))</f>
        <v/>
      </c>
      <c r="AU247" s="28"/>
      <c r="AW247" s="24" t="n">
        <f aca="false">AW246+IF(AND(C247&lt;&gt;"",AO247&lt;&gt;"",OR('REP COMMISSION'!$B$3="",T247='REP COMMISSION'!$B$3,W247='REP COMMISSION'!$B$3,Z247='REP COMMISSION'!$B$3)),1,0)</f>
        <v>0</v>
      </c>
      <c r="AX247" s="24" t="n">
        <f aca="false">AX246+IF(AND(C247&lt;&gt;"",OR(F247="LOC - INITIAL",F247="CONSOLIDATION - UPFRONT COMM",F247="REVERSE - TOTAL FUNDING")),1,0)</f>
        <v>0</v>
      </c>
    </row>
    <row r="248" customFormat="false" ht="15" hidden="false" customHeight="false" outlineLevel="0" collapsed="false">
      <c r="A248" s="8" t="str">
        <f aca="false">IF(C248&lt;&gt;"","F27-"&amp;COUNT($C$4:C248),"")</f>
        <v/>
      </c>
      <c r="B248" s="9" t="str">
        <f aca="false">IF(OR(F248="LOC - INITIAL",F248="CONSOLIDATION - UPFRONT COMM",F248="REVERSE - TOTAL FUNDING"),A248,"")</f>
        <v/>
      </c>
      <c r="C248" s="10"/>
      <c r="D248" s="11"/>
      <c r="E248" s="11"/>
      <c r="F248" s="11"/>
      <c r="G248" s="12"/>
      <c r="H248" s="13"/>
      <c r="I248" s="11"/>
      <c r="J248" s="14" t="str">
        <f aca="false">IF(AND(G248&lt;&gt;"",H248&lt;&gt;""),G248*H248,"")</f>
        <v/>
      </c>
      <c r="K248" s="11"/>
      <c r="L248" s="15"/>
      <c r="M248" s="15"/>
      <c r="N248" s="14" t="n">
        <f aca="false">IF(OR(G248="",M248=""),0,IF(M248&gt;100,M248,G248*IF(M248&gt;1,M248/100,M248)))</f>
        <v>0</v>
      </c>
      <c r="O248" s="14" t="str">
        <f aca="false">IF(G248="","",G248*IF(L248="",0,IF(L248&gt;1,L248/100,L248))+N248)</f>
        <v/>
      </c>
      <c r="P248" s="11"/>
      <c r="Q248" s="16" t="str">
        <f aca="false">IF(P248="","",IFERROR(VLOOKUP(P248,PARTNERS!$A$2:$B$30,2,0),""))</f>
        <v/>
      </c>
      <c r="R248" s="17" t="str">
        <f aca="false">IF(O248="","",IF(OR(P248="",Q248=""),0,(O248-N248)*IF(Q248&gt;1,Q248/100,Q248)))</f>
        <v/>
      </c>
      <c r="S248" s="14" t="str">
        <f aca="false">IF(O248="","",O248-R248)</f>
        <v/>
      </c>
      <c r="T248" s="11"/>
      <c r="U248" s="18" t="str">
        <f aca="false">IF(T248="","",IFERROR(VLOOKUP(T248,REPS!$A$2:$D$40,2,0),""))</f>
        <v/>
      </c>
      <c r="V248" s="14" t="str">
        <f aca="false">IF(O248="","",IF(U248="",0,O248*IF(U248&gt;1,U248/100,U248)))</f>
        <v/>
      </c>
      <c r="W248" s="11"/>
      <c r="X248" s="18" t="str">
        <f aca="false">IF(W248="","",IFERROR(VLOOKUP(W248,REPS!$A$2:$D$40,3,0),""))</f>
        <v/>
      </c>
      <c r="Y248" s="14" t="str">
        <f aca="false">IF(O248="","",IF(X248="",0,O248*IF(X248&gt;1,X248/100,X248)))</f>
        <v/>
      </c>
      <c r="Z248" s="11"/>
      <c r="AA248" s="18" t="str">
        <f aca="false">IF(Z248="","",IFERROR(VLOOKUP(Z248,REPS!$A$2:$D$40,4,0),""))</f>
        <v/>
      </c>
      <c r="AB248" s="14" t="str">
        <f aca="false">IF(O248="","",IF(AA248="",0,O248*IF(AA248&gt;1,AA248/100,AA248)))</f>
        <v/>
      </c>
      <c r="AC248" s="14" t="str">
        <f aca="false">IF(O248="","",V248+Y248+AB248)</f>
        <v/>
      </c>
      <c r="AD248" s="19" t="str">
        <f aca="false">IF(O248="","",O248-R248-AC248)</f>
        <v/>
      </c>
      <c r="AE248" s="20"/>
      <c r="AF248" s="10"/>
      <c r="AG248" s="21" t="n">
        <f aca="false">IF(OR(AE248="",AE248=0),0,AE248*IF(U248="",0,IF(U248&gt;1,U248/100,U248)))</f>
        <v>0</v>
      </c>
      <c r="AH248" s="21" t="n">
        <f aca="false">IF(OR(AE248="",AE248=0),0,AE248*IF(X248="",0,IF(X248&gt;1,X248/100,X248)))</f>
        <v>0</v>
      </c>
      <c r="AI248" s="21" t="n">
        <f aca="false">IF(OR(AE248="",AE248=0),0,AE248*IF(AA248="",0,IF(AA248&gt;1,AA248/100,AA248)))</f>
        <v>0</v>
      </c>
      <c r="AJ248" s="21" t="n">
        <f aca="false">AG248+AH248+AI248</f>
        <v>0</v>
      </c>
      <c r="AK248" s="21" t="n">
        <f aca="false">IF(OR(AE248="",AE248=0),0,AE248-AJ248)</f>
        <v>0</v>
      </c>
      <c r="AL248" s="19" t="str">
        <f aca="false">IF(AD248="","",AD248-AK248)</f>
        <v/>
      </c>
      <c r="AM248" s="9" t="str">
        <f aca="false">IF(C248="","","Waiting for payment")</f>
        <v/>
      </c>
      <c r="AN248" s="10"/>
      <c r="AO248" s="10"/>
      <c r="AP248" s="22" t="str">
        <f aca="false">IF(OR(C248="",I248="",K248=""),"",IF(K248="Monthly",EDATE(C248,ROUND(I248*SETTINGS!$I$8,0)),WORKDAY(C248,ROUND(I248*SETTINGS!$I$8,0))))</f>
        <v/>
      </c>
      <c r="AQ248" s="9" t="str">
        <f aca="true">IF(C248="","",IF(AND(AP248&lt;&gt;"",TODAY()&gt;=AP248),"Refi Ready",IF(TODAY()-C248&gt;=SETTINGS!$I$11,"Prospecting","Performing")))</f>
        <v/>
      </c>
      <c r="AR248" s="22" t="str">
        <f aca="false">IF(OR(C248="",I248="",K248=""),"",IF(K248="Monthly",EDATE(C248,I248),WORKDAY(C248,I248)))</f>
        <v/>
      </c>
      <c r="AS248" s="11"/>
      <c r="AT248" s="23" t="str">
        <f aca="true">IF(C248="","",IF(AM248="Clawed Back","CLAWED",IF(TODAY()&lt;=C248+SETTINGS!$I$2,"⚠ AT RISK","SAFE")))</f>
        <v/>
      </c>
      <c r="AU248" s="11"/>
      <c r="AW248" s="24" t="n">
        <f aca="false">AW247+IF(AND(C248&lt;&gt;"",AO248&lt;&gt;"",OR('REP COMMISSION'!$B$3="",T248='REP COMMISSION'!$B$3,W248='REP COMMISSION'!$B$3,Z248='REP COMMISSION'!$B$3)),1,0)</f>
        <v>0</v>
      </c>
      <c r="AX248" s="24" t="n">
        <f aca="false">AX247+IF(AND(C248&lt;&gt;"",OR(F248="LOC - INITIAL",F248="CONSOLIDATION - UPFRONT COMM",F248="REVERSE - TOTAL FUNDING")),1,0)</f>
        <v>0</v>
      </c>
    </row>
    <row r="249" customFormat="false" ht="15" hidden="false" customHeight="false" outlineLevel="0" collapsed="false">
      <c r="A249" s="25" t="str">
        <f aca="false">IF(C249&lt;&gt;"","F27-"&amp;COUNT($C$4:C249),"")</f>
        <v/>
      </c>
      <c r="B249" s="26" t="str">
        <f aca="false">IF(OR(F249="LOC - INITIAL",F249="CONSOLIDATION - UPFRONT COMM",F249="REVERSE - TOTAL FUNDING"),A249,"")</f>
        <v/>
      </c>
      <c r="C249" s="27"/>
      <c r="D249" s="28"/>
      <c r="E249" s="28"/>
      <c r="F249" s="28"/>
      <c r="G249" s="29"/>
      <c r="H249" s="30"/>
      <c r="I249" s="28"/>
      <c r="J249" s="31" t="str">
        <f aca="false">IF(AND(G249&lt;&gt;"",H249&lt;&gt;""),G249*H249,"")</f>
        <v/>
      </c>
      <c r="K249" s="28"/>
      <c r="L249" s="32"/>
      <c r="M249" s="32"/>
      <c r="N249" s="31" t="n">
        <f aca="false">IF(OR(G249="",M249=""),0,IF(M249&gt;100,M249,G249*IF(M249&gt;1,M249/100,M249)))</f>
        <v>0</v>
      </c>
      <c r="O249" s="31" t="str">
        <f aca="false">IF(G249="","",G249*IF(L249="",0,IF(L249&gt;1,L249/100,L249))+N249)</f>
        <v/>
      </c>
      <c r="P249" s="28"/>
      <c r="Q249" s="33" t="str">
        <f aca="false">IF(P249="","",IFERROR(VLOOKUP(P249,PARTNERS!$A$2:$B$30,2,0),""))</f>
        <v/>
      </c>
      <c r="R249" s="17" t="str">
        <f aca="false">IF(O249="","",IF(OR(P249="",Q249=""),0,(O249-N249)*IF(Q249&gt;1,Q249/100,Q249)))</f>
        <v/>
      </c>
      <c r="S249" s="31" t="str">
        <f aca="false">IF(O249="","",O249-R249)</f>
        <v/>
      </c>
      <c r="T249" s="28"/>
      <c r="U249" s="34" t="str">
        <f aca="false">IF(T249="","",IFERROR(VLOOKUP(T249,REPS!$A$2:$D$40,2,0),""))</f>
        <v/>
      </c>
      <c r="V249" s="31" t="str">
        <f aca="false">IF(O249="","",IF(U249="",0,O249*IF(U249&gt;1,U249/100,U249)))</f>
        <v/>
      </c>
      <c r="W249" s="28"/>
      <c r="X249" s="34" t="str">
        <f aca="false">IF(W249="","",IFERROR(VLOOKUP(W249,REPS!$A$2:$D$40,3,0),""))</f>
        <v/>
      </c>
      <c r="Y249" s="31" t="str">
        <f aca="false">IF(O249="","",IF(X249="",0,O249*IF(X249&gt;1,X249/100,X249)))</f>
        <v/>
      </c>
      <c r="Z249" s="28"/>
      <c r="AA249" s="34" t="str">
        <f aca="false">IF(Z249="","",IFERROR(VLOOKUP(Z249,REPS!$A$2:$D$40,4,0),""))</f>
        <v/>
      </c>
      <c r="AB249" s="31" t="str">
        <f aca="false">IF(O249="","",IF(AA249="",0,O249*IF(AA249&gt;1,AA249/100,AA249)))</f>
        <v/>
      </c>
      <c r="AC249" s="31" t="str">
        <f aca="false">IF(O249="","",V249+Y249+AB249)</f>
        <v/>
      </c>
      <c r="AD249" s="19" t="str">
        <f aca="false">IF(O249="","",O249-R249-AC249)</f>
        <v/>
      </c>
      <c r="AE249" s="20"/>
      <c r="AF249" s="27"/>
      <c r="AG249" s="21" t="n">
        <f aca="false">IF(OR(AE249="",AE249=0),0,AE249*IF(U249="",0,IF(U249&gt;1,U249/100,U249)))</f>
        <v>0</v>
      </c>
      <c r="AH249" s="21" t="n">
        <f aca="false">IF(OR(AE249="",AE249=0),0,AE249*IF(X249="",0,IF(X249&gt;1,X249/100,X249)))</f>
        <v>0</v>
      </c>
      <c r="AI249" s="21" t="n">
        <f aca="false">IF(OR(AE249="",AE249=0),0,AE249*IF(AA249="",0,IF(AA249&gt;1,AA249/100,AA249)))</f>
        <v>0</v>
      </c>
      <c r="AJ249" s="21" t="n">
        <f aca="false">AG249+AH249+AI249</f>
        <v>0</v>
      </c>
      <c r="AK249" s="21" t="n">
        <f aca="false">IF(OR(AE249="",AE249=0),0,AE249-AJ249)</f>
        <v>0</v>
      </c>
      <c r="AL249" s="19" t="str">
        <f aca="false">IF(AD249="","",AD249-AK249)</f>
        <v/>
      </c>
      <c r="AM249" s="26" t="str">
        <f aca="false">IF(C249="","","Waiting for payment")</f>
        <v/>
      </c>
      <c r="AN249" s="27"/>
      <c r="AO249" s="27"/>
      <c r="AP249" s="35" t="str">
        <f aca="false">IF(OR(C249="",I249="",K249=""),"",IF(K249="Monthly",EDATE(C249,ROUND(I249*SETTINGS!$I$8,0)),WORKDAY(C249,ROUND(I249*SETTINGS!$I$8,0))))</f>
        <v/>
      </c>
      <c r="AQ249" s="26" t="str">
        <f aca="true">IF(C249="","",IF(AND(AP249&lt;&gt;"",TODAY()&gt;=AP249),"Refi Ready",IF(TODAY()-C249&gt;=SETTINGS!$I$11,"Prospecting","Performing")))</f>
        <v/>
      </c>
      <c r="AR249" s="35" t="str">
        <f aca="false">IF(OR(C249="",I249="",K249=""),"",IF(K249="Monthly",EDATE(C249,I249),WORKDAY(C249,I249)))</f>
        <v/>
      </c>
      <c r="AS249" s="28"/>
      <c r="AT249" s="36" t="str">
        <f aca="true">IF(C249="","",IF(AM249="Clawed Back","CLAWED",IF(TODAY()&lt;=C249+SETTINGS!$I$2,"⚠ AT RISK","SAFE")))</f>
        <v/>
      </c>
      <c r="AU249" s="28"/>
      <c r="AW249" s="24" t="n">
        <f aca="false">AW248+IF(AND(C249&lt;&gt;"",AO249&lt;&gt;"",OR('REP COMMISSION'!$B$3="",T249='REP COMMISSION'!$B$3,W249='REP COMMISSION'!$B$3,Z249='REP COMMISSION'!$B$3)),1,0)</f>
        <v>0</v>
      </c>
      <c r="AX249" s="24" t="n">
        <f aca="false">AX248+IF(AND(C249&lt;&gt;"",OR(F249="LOC - INITIAL",F249="CONSOLIDATION - UPFRONT COMM",F249="REVERSE - TOTAL FUNDING")),1,0)</f>
        <v>0</v>
      </c>
    </row>
    <row r="250" customFormat="false" ht="15" hidden="false" customHeight="false" outlineLevel="0" collapsed="false">
      <c r="A250" s="8" t="str">
        <f aca="false">IF(C250&lt;&gt;"","F27-"&amp;COUNT($C$4:C250),"")</f>
        <v/>
      </c>
      <c r="B250" s="9" t="str">
        <f aca="false">IF(OR(F250="LOC - INITIAL",F250="CONSOLIDATION - UPFRONT COMM",F250="REVERSE - TOTAL FUNDING"),A250,"")</f>
        <v/>
      </c>
      <c r="C250" s="10"/>
      <c r="D250" s="11"/>
      <c r="E250" s="11"/>
      <c r="F250" s="11"/>
      <c r="G250" s="12"/>
      <c r="H250" s="13"/>
      <c r="I250" s="11"/>
      <c r="J250" s="14" t="str">
        <f aca="false">IF(AND(G250&lt;&gt;"",H250&lt;&gt;""),G250*H250,"")</f>
        <v/>
      </c>
      <c r="K250" s="11"/>
      <c r="L250" s="15"/>
      <c r="M250" s="15"/>
      <c r="N250" s="14" t="n">
        <f aca="false">IF(OR(G250="",M250=""),0,IF(M250&gt;100,M250,G250*IF(M250&gt;1,M250/100,M250)))</f>
        <v>0</v>
      </c>
      <c r="O250" s="14" t="str">
        <f aca="false">IF(G250="","",G250*IF(L250="",0,IF(L250&gt;1,L250/100,L250))+N250)</f>
        <v/>
      </c>
      <c r="P250" s="11"/>
      <c r="Q250" s="16" t="str">
        <f aca="false">IF(P250="","",IFERROR(VLOOKUP(P250,PARTNERS!$A$2:$B$30,2,0),""))</f>
        <v/>
      </c>
      <c r="R250" s="17" t="str">
        <f aca="false">IF(O250="","",IF(OR(P250="",Q250=""),0,(O250-N250)*IF(Q250&gt;1,Q250/100,Q250)))</f>
        <v/>
      </c>
      <c r="S250" s="14" t="str">
        <f aca="false">IF(O250="","",O250-R250)</f>
        <v/>
      </c>
      <c r="T250" s="11"/>
      <c r="U250" s="18" t="str">
        <f aca="false">IF(T250="","",IFERROR(VLOOKUP(T250,REPS!$A$2:$D$40,2,0),""))</f>
        <v/>
      </c>
      <c r="V250" s="14" t="str">
        <f aca="false">IF(O250="","",IF(U250="",0,O250*IF(U250&gt;1,U250/100,U250)))</f>
        <v/>
      </c>
      <c r="W250" s="11"/>
      <c r="X250" s="18" t="str">
        <f aca="false">IF(W250="","",IFERROR(VLOOKUP(W250,REPS!$A$2:$D$40,3,0),""))</f>
        <v/>
      </c>
      <c r="Y250" s="14" t="str">
        <f aca="false">IF(O250="","",IF(X250="",0,O250*IF(X250&gt;1,X250/100,X250)))</f>
        <v/>
      </c>
      <c r="Z250" s="11"/>
      <c r="AA250" s="18" t="str">
        <f aca="false">IF(Z250="","",IFERROR(VLOOKUP(Z250,REPS!$A$2:$D$40,4,0),""))</f>
        <v/>
      </c>
      <c r="AB250" s="14" t="str">
        <f aca="false">IF(O250="","",IF(AA250="",0,O250*IF(AA250&gt;1,AA250/100,AA250)))</f>
        <v/>
      </c>
      <c r="AC250" s="14" t="str">
        <f aca="false">IF(O250="","",V250+Y250+AB250)</f>
        <v/>
      </c>
      <c r="AD250" s="19" t="str">
        <f aca="false">IF(O250="","",O250-R250-AC250)</f>
        <v/>
      </c>
      <c r="AE250" s="20"/>
      <c r="AF250" s="10"/>
      <c r="AG250" s="21" t="n">
        <f aca="false">IF(OR(AE250="",AE250=0),0,AE250*IF(U250="",0,IF(U250&gt;1,U250/100,U250)))</f>
        <v>0</v>
      </c>
      <c r="AH250" s="21" t="n">
        <f aca="false">IF(OR(AE250="",AE250=0),0,AE250*IF(X250="",0,IF(X250&gt;1,X250/100,X250)))</f>
        <v>0</v>
      </c>
      <c r="AI250" s="21" t="n">
        <f aca="false">IF(OR(AE250="",AE250=0),0,AE250*IF(AA250="",0,IF(AA250&gt;1,AA250/100,AA250)))</f>
        <v>0</v>
      </c>
      <c r="AJ250" s="21" t="n">
        <f aca="false">AG250+AH250+AI250</f>
        <v>0</v>
      </c>
      <c r="AK250" s="21" t="n">
        <f aca="false">IF(OR(AE250="",AE250=0),0,AE250-AJ250)</f>
        <v>0</v>
      </c>
      <c r="AL250" s="19" t="str">
        <f aca="false">IF(AD250="","",AD250-AK250)</f>
        <v/>
      </c>
      <c r="AM250" s="9" t="str">
        <f aca="false">IF(C250="","","Waiting for payment")</f>
        <v/>
      </c>
      <c r="AN250" s="10"/>
      <c r="AO250" s="10"/>
      <c r="AP250" s="22" t="str">
        <f aca="false">IF(OR(C250="",I250="",K250=""),"",IF(K250="Monthly",EDATE(C250,ROUND(I250*SETTINGS!$I$8,0)),WORKDAY(C250,ROUND(I250*SETTINGS!$I$8,0))))</f>
        <v/>
      </c>
      <c r="AQ250" s="9" t="str">
        <f aca="true">IF(C250="","",IF(AND(AP250&lt;&gt;"",TODAY()&gt;=AP250),"Refi Ready",IF(TODAY()-C250&gt;=SETTINGS!$I$11,"Prospecting","Performing")))</f>
        <v/>
      </c>
      <c r="AR250" s="22" t="str">
        <f aca="false">IF(OR(C250="",I250="",K250=""),"",IF(K250="Monthly",EDATE(C250,I250),WORKDAY(C250,I250)))</f>
        <v/>
      </c>
      <c r="AS250" s="11"/>
      <c r="AT250" s="23" t="str">
        <f aca="true">IF(C250="","",IF(AM250="Clawed Back","CLAWED",IF(TODAY()&lt;=C250+SETTINGS!$I$2,"⚠ AT RISK","SAFE")))</f>
        <v/>
      </c>
      <c r="AU250" s="11"/>
      <c r="AW250" s="24" t="n">
        <f aca="false">AW249+IF(AND(C250&lt;&gt;"",AO250&lt;&gt;"",OR('REP COMMISSION'!$B$3="",T250='REP COMMISSION'!$B$3,W250='REP COMMISSION'!$B$3,Z250='REP COMMISSION'!$B$3)),1,0)</f>
        <v>0</v>
      </c>
      <c r="AX250" s="24" t="n">
        <f aca="false">AX249+IF(AND(C250&lt;&gt;"",OR(F250="LOC - INITIAL",F250="CONSOLIDATION - UPFRONT COMM",F250="REVERSE - TOTAL FUNDING")),1,0)</f>
        <v>0</v>
      </c>
    </row>
    <row r="251" customFormat="false" ht="15" hidden="false" customHeight="false" outlineLevel="0" collapsed="false">
      <c r="A251" s="25" t="str">
        <f aca="false">IF(C251&lt;&gt;"","F27-"&amp;COUNT($C$4:C251),"")</f>
        <v/>
      </c>
      <c r="B251" s="26" t="str">
        <f aca="false">IF(OR(F251="LOC - INITIAL",F251="CONSOLIDATION - UPFRONT COMM",F251="REVERSE - TOTAL FUNDING"),A251,"")</f>
        <v/>
      </c>
      <c r="C251" s="27"/>
      <c r="D251" s="28"/>
      <c r="E251" s="28"/>
      <c r="F251" s="28"/>
      <c r="G251" s="29"/>
      <c r="H251" s="30"/>
      <c r="I251" s="28"/>
      <c r="J251" s="31" t="str">
        <f aca="false">IF(AND(G251&lt;&gt;"",H251&lt;&gt;""),G251*H251,"")</f>
        <v/>
      </c>
      <c r="K251" s="28"/>
      <c r="L251" s="32"/>
      <c r="M251" s="32"/>
      <c r="N251" s="31" t="n">
        <f aca="false">IF(OR(G251="",M251=""),0,IF(M251&gt;100,M251,G251*IF(M251&gt;1,M251/100,M251)))</f>
        <v>0</v>
      </c>
      <c r="O251" s="31" t="str">
        <f aca="false">IF(G251="","",G251*IF(L251="",0,IF(L251&gt;1,L251/100,L251))+N251)</f>
        <v/>
      </c>
      <c r="P251" s="28"/>
      <c r="Q251" s="33" t="str">
        <f aca="false">IF(P251="","",IFERROR(VLOOKUP(P251,PARTNERS!$A$2:$B$30,2,0),""))</f>
        <v/>
      </c>
      <c r="R251" s="17" t="str">
        <f aca="false">IF(O251="","",IF(OR(P251="",Q251=""),0,(O251-N251)*IF(Q251&gt;1,Q251/100,Q251)))</f>
        <v/>
      </c>
      <c r="S251" s="31" t="str">
        <f aca="false">IF(O251="","",O251-R251)</f>
        <v/>
      </c>
      <c r="T251" s="28"/>
      <c r="U251" s="34" t="str">
        <f aca="false">IF(T251="","",IFERROR(VLOOKUP(T251,REPS!$A$2:$D$40,2,0),""))</f>
        <v/>
      </c>
      <c r="V251" s="31" t="str">
        <f aca="false">IF(O251="","",IF(U251="",0,O251*IF(U251&gt;1,U251/100,U251)))</f>
        <v/>
      </c>
      <c r="W251" s="28"/>
      <c r="X251" s="34" t="str">
        <f aca="false">IF(W251="","",IFERROR(VLOOKUP(W251,REPS!$A$2:$D$40,3,0),""))</f>
        <v/>
      </c>
      <c r="Y251" s="31" t="str">
        <f aca="false">IF(O251="","",IF(X251="",0,O251*IF(X251&gt;1,X251/100,X251)))</f>
        <v/>
      </c>
      <c r="Z251" s="28"/>
      <c r="AA251" s="34" t="str">
        <f aca="false">IF(Z251="","",IFERROR(VLOOKUP(Z251,REPS!$A$2:$D$40,4,0),""))</f>
        <v/>
      </c>
      <c r="AB251" s="31" t="str">
        <f aca="false">IF(O251="","",IF(AA251="",0,O251*IF(AA251&gt;1,AA251/100,AA251)))</f>
        <v/>
      </c>
      <c r="AC251" s="31" t="str">
        <f aca="false">IF(O251="","",V251+Y251+AB251)</f>
        <v/>
      </c>
      <c r="AD251" s="19" t="str">
        <f aca="false">IF(O251="","",O251-R251-AC251)</f>
        <v/>
      </c>
      <c r="AE251" s="20"/>
      <c r="AF251" s="27"/>
      <c r="AG251" s="21" t="n">
        <f aca="false">IF(OR(AE251="",AE251=0),0,AE251*IF(U251="",0,IF(U251&gt;1,U251/100,U251)))</f>
        <v>0</v>
      </c>
      <c r="AH251" s="21" t="n">
        <f aca="false">IF(OR(AE251="",AE251=0),0,AE251*IF(X251="",0,IF(X251&gt;1,X251/100,X251)))</f>
        <v>0</v>
      </c>
      <c r="AI251" s="21" t="n">
        <f aca="false">IF(OR(AE251="",AE251=0),0,AE251*IF(AA251="",0,IF(AA251&gt;1,AA251/100,AA251)))</f>
        <v>0</v>
      </c>
      <c r="AJ251" s="21" t="n">
        <f aca="false">AG251+AH251+AI251</f>
        <v>0</v>
      </c>
      <c r="AK251" s="21" t="n">
        <f aca="false">IF(OR(AE251="",AE251=0),0,AE251-AJ251)</f>
        <v>0</v>
      </c>
      <c r="AL251" s="19" t="str">
        <f aca="false">IF(AD251="","",AD251-AK251)</f>
        <v/>
      </c>
      <c r="AM251" s="26" t="str">
        <f aca="false">IF(C251="","","Waiting for payment")</f>
        <v/>
      </c>
      <c r="AN251" s="27"/>
      <c r="AO251" s="27"/>
      <c r="AP251" s="35" t="str">
        <f aca="false">IF(OR(C251="",I251="",K251=""),"",IF(K251="Monthly",EDATE(C251,ROUND(I251*SETTINGS!$I$8,0)),WORKDAY(C251,ROUND(I251*SETTINGS!$I$8,0))))</f>
        <v/>
      </c>
      <c r="AQ251" s="26" t="str">
        <f aca="true">IF(C251="","",IF(AND(AP251&lt;&gt;"",TODAY()&gt;=AP251),"Refi Ready",IF(TODAY()-C251&gt;=SETTINGS!$I$11,"Prospecting","Performing")))</f>
        <v/>
      </c>
      <c r="AR251" s="35" t="str">
        <f aca="false">IF(OR(C251="",I251="",K251=""),"",IF(K251="Monthly",EDATE(C251,I251),WORKDAY(C251,I251)))</f>
        <v/>
      </c>
      <c r="AS251" s="28"/>
      <c r="AT251" s="36" t="str">
        <f aca="true">IF(C251="","",IF(AM251="Clawed Back","CLAWED",IF(TODAY()&lt;=C251+SETTINGS!$I$2,"⚠ AT RISK","SAFE")))</f>
        <v/>
      </c>
      <c r="AU251" s="28"/>
      <c r="AW251" s="24" t="n">
        <f aca="false">AW250+IF(AND(C251&lt;&gt;"",AO251&lt;&gt;"",OR('REP COMMISSION'!$B$3="",T251='REP COMMISSION'!$B$3,W251='REP COMMISSION'!$B$3,Z251='REP COMMISSION'!$B$3)),1,0)</f>
        <v>0</v>
      </c>
      <c r="AX251" s="24" t="n">
        <f aca="false">AX250+IF(AND(C251&lt;&gt;"",OR(F251="LOC - INITIAL",F251="CONSOLIDATION - UPFRONT COMM",F251="REVERSE - TOTAL FUNDING")),1,0)</f>
        <v>0</v>
      </c>
    </row>
    <row r="252" customFormat="false" ht="15" hidden="false" customHeight="false" outlineLevel="0" collapsed="false">
      <c r="A252" s="8" t="str">
        <f aca="false">IF(C252&lt;&gt;"","F27-"&amp;COUNT($C$4:C252),"")</f>
        <v/>
      </c>
      <c r="B252" s="9" t="str">
        <f aca="false">IF(OR(F252="LOC - INITIAL",F252="CONSOLIDATION - UPFRONT COMM",F252="REVERSE - TOTAL FUNDING"),A252,"")</f>
        <v/>
      </c>
      <c r="C252" s="10"/>
      <c r="D252" s="11"/>
      <c r="E252" s="11"/>
      <c r="F252" s="11"/>
      <c r="G252" s="12"/>
      <c r="H252" s="13"/>
      <c r="I252" s="11"/>
      <c r="J252" s="14" t="str">
        <f aca="false">IF(AND(G252&lt;&gt;"",H252&lt;&gt;""),G252*H252,"")</f>
        <v/>
      </c>
      <c r="K252" s="11"/>
      <c r="L252" s="15"/>
      <c r="M252" s="15"/>
      <c r="N252" s="14" t="n">
        <f aca="false">IF(OR(G252="",M252=""),0,IF(M252&gt;100,M252,G252*IF(M252&gt;1,M252/100,M252)))</f>
        <v>0</v>
      </c>
      <c r="O252" s="14" t="str">
        <f aca="false">IF(G252="","",G252*IF(L252="",0,IF(L252&gt;1,L252/100,L252))+N252)</f>
        <v/>
      </c>
      <c r="P252" s="11"/>
      <c r="Q252" s="16" t="str">
        <f aca="false">IF(P252="","",IFERROR(VLOOKUP(P252,PARTNERS!$A$2:$B$30,2,0),""))</f>
        <v/>
      </c>
      <c r="R252" s="17" t="str">
        <f aca="false">IF(O252="","",IF(OR(P252="",Q252=""),0,(O252-N252)*IF(Q252&gt;1,Q252/100,Q252)))</f>
        <v/>
      </c>
      <c r="S252" s="14" t="str">
        <f aca="false">IF(O252="","",O252-R252)</f>
        <v/>
      </c>
      <c r="T252" s="11"/>
      <c r="U252" s="18" t="str">
        <f aca="false">IF(T252="","",IFERROR(VLOOKUP(T252,REPS!$A$2:$D$40,2,0),""))</f>
        <v/>
      </c>
      <c r="V252" s="14" t="str">
        <f aca="false">IF(O252="","",IF(U252="",0,O252*IF(U252&gt;1,U252/100,U252)))</f>
        <v/>
      </c>
      <c r="W252" s="11"/>
      <c r="X252" s="18" t="str">
        <f aca="false">IF(W252="","",IFERROR(VLOOKUP(W252,REPS!$A$2:$D$40,3,0),""))</f>
        <v/>
      </c>
      <c r="Y252" s="14" t="str">
        <f aca="false">IF(O252="","",IF(X252="",0,O252*IF(X252&gt;1,X252/100,X252)))</f>
        <v/>
      </c>
      <c r="Z252" s="11"/>
      <c r="AA252" s="18" t="str">
        <f aca="false">IF(Z252="","",IFERROR(VLOOKUP(Z252,REPS!$A$2:$D$40,4,0),""))</f>
        <v/>
      </c>
      <c r="AB252" s="14" t="str">
        <f aca="false">IF(O252="","",IF(AA252="",0,O252*IF(AA252&gt;1,AA252/100,AA252)))</f>
        <v/>
      </c>
      <c r="AC252" s="14" t="str">
        <f aca="false">IF(O252="","",V252+Y252+AB252)</f>
        <v/>
      </c>
      <c r="AD252" s="19" t="str">
        <f aca="false">IF(O252="","",O252-R252-AC252)</f>
        <v/>
      </c>
      <c r="AE252" s="20"/>
      <c r="AF252" s="10"/>
      <c r="AG252" s="21" t="n">
        <f aca="false">IF(OR(AE252="",AE252=0),0,AE252*IF(U252="",0,IF(U252&gt;1,U252/100,U252)))</f>
        <v>0</v>
      </c>
      <c r="AH252" s="21" t="n">
        <f aca="false">IF(OR(AE252="",AE252=0),0,AE252*IF(X252="",0,IF(X252&gt;1,X252/100,X252)))</f>
        <v>0</v>
      </c>
      <c r="AI252" s="21" t="n">
        <f aca="false">IF(OR(AE252="",AE252=0),0,AE252*IF(AA252="",0,IF(AA252&gt;1,AA252/100,AA252)))</f>
        <v>0</v>
      </c>
      <c r="AJ252" s="21" t="n">
        <f aca="false">AG252+AH252+AI252</f>
        <v>0</v>
      </c>
      <c r="AK252" s="21" t="n">
        <f aca="false">IF(OR(AE252="",AE252=0),0,AE252-AJ252)</f>
        <v>0</v>
      </c>
      <c r="AL252" s="19" t="str">
        <f aca="false">IF(AD252="","",AD252-AK252)</f>
        <v/>
      </c>
      <c r="AM252" s="9" t="str">
        <f aca="false">IF(C252="","","Waiting for payment")</f>
        <v/>
      </c>
      <c r="AN252" s="10"/>
      <c r="AO252" s="10"/>
      <c r="AP252" s="22" t="str">
        <f aca="false">IF(OR(C252="",I252="",K252=""),"",IF(K252="Monthly",EDATE(C252,ROUND(I252*SETTINGS!$I$8,0)),WORKDAY(C252,ROUND(I252*SETTINGS!$I$8,0))))</f>
        <v/>
      </c>
      <c r="AQ252" s="9" t="str">
        <f aca="true">IF(C252="","",IF(AND(AP252&lt;&gt;"",TODAY()&gt;=AP252),"Refi Ready",IF(TODAY()-C252&gt;=SETTINGS!$I$11,"Prospecting","Performing")))</f>
        <v/>
      </c>
      <c r="AR252" s="22" t="str">
        <f aca="false">IF(OR(C252="",I252="",K252=""),"",IF(K252="Monthly",EDATE(C252,I252),WORKDAY(C252,I252)))</f>
        <v/>
      </c>
      <c r="AS252" s="11"/>
      <c r="AT252" s="23" t="str">
        <f aca="true">IF(C252="","",IF(AM252="Clawed Back","CLAWED",IF(TODAY()&lt;=C252+SETTINGS!$I$2,"⚠ AT RISK","SAFE")))</f>
        <v/>
      </c>
      <c r="AU252" s="11"/>
      <c r="AW252" s="24" t="n">
        <f aca="false">AW251+IF(AND(C252&lt;&gt;"",AO252&lt;&gt;"",OR('REP COMMISSION'!$B$3="",T252='REP COMMISSION'!$B$3,W252='REP COMMISSION'!$B$3,Z252='REP COMMISSION'!$B$3)),1,0)</f>
        <v>0</v>
      </c>
      <c r="AX252" s="24" t="n">
        <f aca="false">AX251+IF(AND(C252&lt;&gt;"",OR(F252="LOC - INITIAL",F252="CONSOLIDATION - UPFRONT COMM",F252="REVERSE - TOTAL FUNDING")),1,0)</f>
        <v>0</v>
      </c>
    </row>
    <row r="253" customFormat="false" ht="15" hidden="false" customHeight="false" outlineLevel="0" collapsed="false">
      <c r="A253" s="25" t="str">
        <f aca="false">IF(C253&lt;&gt;"","F27-"&amp;COUNT($C$4:C253),"")</f>
        <v/>
      </c>
      <c r="B253" s="26" t="str">
        <f aca="false">IF(OR(F253="LOC - INITIAL",F253="CONSOLIDATION - UPFRONT COMM",F253="REVERSE - TOTAL FUNDING"),A253,"")</f>
        <v/>
      </c>
      <c r="C253" s="27"/>
      <c r="D253" s="28"/>
      <c r="E253" s="28"/>
      <c r="F253" s="28"/>
      <c r="G253" s="29"/>
      <c r="H253" s="30"/>
      <c r="I253" s="28"/>
      <c r="J253" s="31" t="str">
        <f aca="false">IF(AND(G253&lt;&gt;"",H253&lt;&gt;""),G253*H253,"")</f>
        <v/>
      </c>
      <c r="K253" s="28"/>
      <c r="L253" s="32"/>
      <c r="M253" s="32"/>
      <c r="N253" s="31" t="n">
        <f aca="false">IF(OR(G253="",M253=""),0,IF(M253&gt;100,M253,G253*IF(M253&gt;1,M253/100,M253)))</f>
        <v>0</v>
      </c>
      <c r="O253" s="31" t="str">
        <f aca="false">IF(G253="","",G253*IF(L253="",0,IF(L253&gt;1,L253/100,L253))+N253)</f>
        <v/>
      </c>
      <c r="P253" s="28"/>
      <c r="Q253" s="33" t="str">
        <f aca="false">IF(P253="","",IFERROR(VLOOKUP(P253,PARTNERS!$A$2:$B$30,2,0),""))</f>
        <v/>
      </c>
      <c r="R253" s="17" t="str">
        <f aca="false">IF(O253="","",IF(OR(P253="",Q253=""),0,(O253-N253)*IF(Q253&gt;1,Q253/100,Q253)))</f>
        <v/>
      </c>
      <c r="S253" s="31" t="str">
        <f aca="false">IF(O253="","",O253-R253)</f>
        <v/>
      </c>
      <c r="T253" s="28"/>
      <c r="U253" s="34" t="str">
        <f aca="false">IF(T253="","",IFERROR(VLOOKUP(T253,REPS!$A$2:$D$40,2,0),""))</f>
        <v/>
      </c>
      <c r="V253" s="31" t="str">
        <f aca="false">IF(O253="","",IF(U253="",0,O253*IF(U253&gt;1,U253/100,U253)))</f>
        <v/>
      </c>
      <c r="W253" s="28"/>
      <c r="X253" s="34" t="str">
        <f aca="false">IF(W253="","",IFERROR(VLOOKUP(W253,REPS!$A$2:$D$40,3,0),""))</f>
        <v/>
      </c>
      <c r="Y253" s="31" t="str">
        <f aca="false">IF(O253="","",IF(X253="",0,O253*IF(X253&gt;1,X253/100,X253)))</f>
        <v/>
      </c>
      <c r="Z253" s="28"/>
      <c r="AA253" s="34" t="str">
        <f aca="false">IF(Z253="","",IFERROR(VLOOKUP(Z253,REPS!$A$2:$D$40,4,0),""))</f>
        <v/>
      </c>
      <c r="AB253" s="31" t="str">
        <f aca="false">IF(O253="","",IF(AA253="",0,O253*IF(AA253&gt;1,AA253/100,AA253)))</f>
        <v/>
      </c>
      <c r="AC253" s="31" t="str">
        <f aca="false">IF(O253="","",V253+Y253+AB253)</f>
        <v/>
      </c>
      <c r="AD253" s="19" t="str">
        <f aca="false">IF(O253="","",O253-R253-AC253)</f>
        <v/>
      </c>
      <c r="AE253" s="20"/>
      <c r="AF253" s="27"/>
      <c r="AG253" s="21" t="n">
        <f aca="false">IF(OR(AE253="",AE253=0),0,AE253*IF(U253="",0,IF(U253&gt;1,U253/100,U253)))</f>
        <v>0</v>
      </c>
      <c r="AH253" s="21" t="n">
        <f aca="false">IF(OR(AE253="",AE253=0),0,AE253*IF(X253="",0,IF(X253&gt;1,X253/100,X253)))</f>
        <v>0</v>
      </c>
      <c r="AI253" s="21" t="n">
        <f aca="false">IF(OR(AE253="",AE253=0),0,AE253*IF(AA253="",0,IF(AA253&gt;1,AA253/100,AA253)))</f>
        <v>0</v>
      </c>
      <c r="AJ253" s="21" t="n">
        <f aca="false">AG253+AH253+AI253</f>
        <v>0</v>
      </c>
      <c r="AK253" s="21" t="n">
        <f aca="false">IF(OR(AE253="",AE253=0),0,AE253-AJ253)</f>
        <v>0</v>
      </c>
      <c r="AL253" s="19" t="str">
        <f aca="false">IF(AD253="","",AD253-AK253)</f>
        <v/>
      </c>
      <c r="AM253" s="26" t="str">
        <f aca="false">IF(C253="","","Waiting for payment")</f>
        <v/>
      </c>
      <c r="AN253" s="27"/>
      <c r="AO253" s="27"/>
      <c r="AP253" s="35" t="str">
        <f aca="false">IF(OR(C253="",I253="",K253=""),"",IF(K253="Monthly",EDATE(C253,ROUND(I253*SETTINGS!$I$8,0)),WORKDAY(C253,ROUND(I253*SETTINGS!$I$8,0))))</f>
        <v/>
      </c>
      <c r="AQ253" s="26" t="str">
        <f aca="true">IF(C253="","",IF(AND(AP253&lt;&gt;"",TODAY()&gt;=AP253),"Refi Ready",IF(TODAY()-C253&gt;=SETTINGS!$I$11,"Prospecting","Performing")))</f>
        <v/>
      </c>
      <c r="AR253" s="35" t="str">
        <f aca="false">IF(OR(C253="",I253="",K253=""),"",IF(K253="Monthly",EDATE(C253,I253),WORKDAY(C253,I253)))</f>
        <v/>
      </c>
      <c r="AS253" s="28"/>
      <c r="AT253" s="36" t="str">
        <f aca="true">IF(C253="","",IF(AM253="Clawed Back","CLAWED",IF(TODAY()&lt;=C253+SETTINGS!$I$2,"⚠ AT RISK","SAFE")))</f>
        <v/>
      </c>
      <c r="AU253" s="28"/>
      <c r="AW253" s="24" t="n">
        <f aca="false">AW252+IF(AND(C253&lt;&gt;"",AO253&lt;&gt;"",OR('REP COMMISSION'!$B$3="",T253='REP COMMISSION'!$B$3,W253='REP COMMISSION'!$B$3,Z253='REP COMMISSION'!$B$3)),1,0)</f>
        <v>0</v>
      </c>
      <c r="AX253" s="24" t="n">
        <f aca="false">AX252+IF(AND(C253&lt;&gt;"",OR(F253="LOC - INITIAL",F253="CONSOLIDATION - UPFRONT COMM",F253="REVERSE - TOTAL FUNDING")),1,0)</f>
        <v>0</v>
      </c>
    </row>
    <row r="254" customFormat="false" ht="15" hidden="false" customHeight="false" outlineLevel="0" collapsed="false">
      <c r="A254" s="8" t="str">
        <f aca="false">IF(C254&lt;&gt;"","F27-"&amp;COUNT($C$4:C254),"")</f>
        <v/>
      </c>
      <c r="B254" s="9" t="str">
        <f aca="false">IF(OR(F254="LOC - INITIAL",F254="CONSOLIDATION - UPFRONT COMM",F254="REVERSE - TOTAL FUNDING"),A254,"")</f>
        <v/>
      </c>
      <c r="C254" s="10"/>
      <c r="D254" s="11"/>
      <c r="E254" s="11"/>
      <c r="F254" s="11"/>
      <c r="G254" s="12"/>
      <c r="H254" s="13"/>
      <c r="I254" s="11"/>
      <c r="J254" s="14" t="str">
        <f aca="false">IF(AND(G254&lt;&gt;"",H254&lt;&gt;""),G254*H254,"")</f>
        <v/>
      </c>
      <c r="K254" s="11"/>
      <c r="L254" s="15"/>
      <c r="M254" s="15"/>
      <c r="N254" s="14" t="n">
        <f aca="false">IF(OR(G254="",M254=""),0,IF(M254&gt;100,M254,G254*IF(M254&gt;1,M254/100,M254)))</f>
        <v>0</v>
      </c>
      <c r="O254" s="14" t="str">
        <f aca="false">IF(G254="","",G254*IF(L254="",0,IF(L254&gt;1,L254/100,L254))+N254)</f>
        <v/>
      </c>
      <c r="P254" s="11"/>
      <c r="Q254" s="16" t="str">
        <f aca="false">IF(P254="","",IFERROR(VLOOKUP(P254,PARTNERS!$A$2:$B$30,2,0),""))</f>
        <v/>
      </c>
      <c r="R254" s="17" t="str">
        <f aca="false">IF(O254="","",IF(OR(P254="",Q254=""),0,(O254-N254)*IF(Q254&gt;1,Q254/100,Q254)))</f>
        <v/>
      </c>
      <c r="S254" s="14" t="str">
        <f aca="false">IF(O254="","",O254-R254)</f>
        <v/>
      </c>
      <c r="T254" s="11"/>
      <c r="U254" s="18" t="str">
        <f aca="false">IF(T254="","",IFERROR(VLOOKUP(T254,REPS!$A$2:$D$40,2,0),""))</f>
        <v/>
      </c>
      <c r="V254" s="14" t="str">
        <f aca="false">IF(O254="","",IF(U254="",0,O254*IF(U254&gt;1,U254/100,U254)))</f>
        <v/>
      </c>
      <c r="W254" s="11"/>
      <c r="X254" s="18" t="str">
        <f aca="false">IF(W254="","",IFERROR(VLOOKUP(W254,REPS!$A$2:$D$40,3,0),""))</f>
        <v/>
      </c>
      <c r="Y254" s="14" t="str">
        <f aca="false">IF(O254="","",IF(X254="",0,O254*IF(X254&gt;1,X254/100,X254)))</f>
        <v/>
      </c>
      <c r="Z254" s="11"/>
      <c r="AA254" s="18" t="str">
        <f aca="false">IF(Z254="","",IFERROR(VLOOKUP(Z254,REPS!$A$2:$D$40,4,0),""))</f>
        <v/>
      </c>
      <c r="AB254" s="14" t="str">
        <f aca="false">IF(O254="","",IF(AA254="",0,O254*IF(AA254&gt;1,AA254/100,AA254)))</f>
        <v/>
      </c>
      <c r="AC254" s="14" t="str">
        <f aca="false">IF(O254="","",V254+Y254+AB254)</f>
        <v/>
      </c>
      <c r="AD254" s="19" t="str">
        <f aca="false">IF(O254="","",O254-R254-AC254)</f>
        <v/>
      </c>
      <c r="AE254" s="20"/>
      <c r="AF254" s="10"/>
      <c r="AG254" s="21" t="n">
        <f aca="false">IF(OR(AE254="",AE254=0),0,AE254*IF(U254="",0,IF(U254&gt;1,U254/100,U254)))</f>
        <v>0</v>
      </c>
      <c r="AH254" s="21" t="n">
        <f aca="false">IF(OR(AE254="",AE254=0),0,AE254*IF(X254="",0,IF(X254&gt;1,X254/100,X254)))</f>
        <v>0</v>
      </c>
      <c r="AI254" s="21" t="n">
        <f aca="false">IF(OR(AE254="",AE254=0),0,AE254*IF(AA254="",0,IF(AA254&gt;1,AA254/100,AA254)))</f>
        <v>0</v>
      </c>
      <c r="AJ254" s="21" t="n">
        <f aca="false">AG254+AH254+AI254</f>
        <v>0</v>
      </c>
      <c r="AK254" s="21" t="n">
        <f aca="false">IF(OR(AE254="",AE254=0),0,AE254-AJ254)</f>
        <v>0</v>
      </c>
      <c r="AL254" s="19" t="str">
        <f aca="false">IF(AD254="","",AD254-AK254)</f>
        <v/>
      </c>
      <c r="AM254" s="9" t="str">
        <f aca="false">IF(C254="","","Waiting for payment")</f>
        <v/>
      </c>
      <c r="AN254" s="10"/>
      <c r="AO254" s="10"/>
      <c r="AP254" s="22" t="str">
        <f aca="false">IF(OR(C254="",I254="",K254=""),"",IF(K254="Monthly",EDATE(C254,ROUND(I254*SETTINGS!$I$8,0)),WORKDAY(C254,ROUND(I254*SETTINGS!$I$8,0))))</f>
        <v/>
      </c>
      <c r="AQ254" s="9" t="str">
        <f aca="true">IF(C254="","",IF(AND(AP254&lt;&gt;"",TODAY()&gt;=AP254),"Refi Ready",IF(TODAY()-C254&gt;=SETTINGS!$I$11,"Prospecting","Performing")))</f>
        <v/>
      </c>
      <c r="AR254" s="22" t="str">
        <f aca="false">IF(OR(C254="",I254="",K254=""),"",IF(K254="Monthly",EDATE(C254,I254),WORKDAY(C254,I254)))</f>
        <v/>
      </c>
      <c r="AS254" s="11"/>
      <c r="AT254" s="23" t="str">
        <f aca="true">IF(C254="","",IF(AM254="Clawed Back","CLAWED",IF(TODAY()&lt;=C254+SETTINGS!$I$2,"⚠ AT RISK","SAFE")))</f>
        <v/>
      </c>
      <c r="AU254" s="11"/>
      <c r="AW254" s="24" t="n">
        <f aca="false">AW253+IF(AND(C254&lt;&gt;"",AO254&lt;&gt;"",OR('REP COMMISSION'!$B$3="",T254='REP COMMISSION'!$B$3,W254='REP COMMISSION'!$B$3,Z254='REP COMMISSION'!$B$3)),1,0)</f>
        <v>0</v>
      </c>
      <c r="AX254" s="24" t="n">
        <f aca="false">AX253+IF(AND(C254&lt;&gt;"",OR(F254="LOC - INITIAL",F254="CONSOLIDATION - UPFRONT COMM",F254="REVERSE - TOTAL FUNDING")),1,0)</f>
        <v>0</v>
      </c>
    </row>
    <row r="255" customFormat="false" ht="15" hidden="false" customHeight="false" outlineLevel="0" collapsed="false">
      <c r="A255" s="25" t="str">
        <f aca="false">IF(C255&lt;&gt;"","F27-"&amp;COUNT($C$4:C255),"")</f>
        <v/>
      </c>
      <c r="B255" s="26" t="str">
        <f aca="false">IF(OR(F255="LOC - INITIAL",F255="CONSOLIDATION - UPFRONT COMM",F255="REVERSE - TOTAL FUNDING"),A255,"")</f>
        <v/>
      </c>
      <c r="C255" s="27"/>
      <c r="D255" s="28"/>
      <c r="E255" s="28"/>
      <c r="F255" s="28"/>
      <c r="G255" s="29"/>
      <c r="H255" s="30"/>
      <c r="I255" s="28"/>
      <c r="J255" s="31" t="str">
        <f aca="false">IF(AND(G255&lt;&gt;"",H255&lt;&gt;""),G255*H255,"")</f>
        <v/>
      </c>
      <c r="K255" s="28"/>
      <c r="L255" s="32"/>
      <c r="M255" s="32"/>
      <c r="N255" s="31" t="n">
        <f aca="false">IF(OR(G255="",M255=""),0,IF(M255&gt;100,M255,G255*IF(M255&gt;1,M255/100,M255)))</f>
        <v>0</v>
      </c>
      <c r="O255" s="31" t="str">
        <f aca="false">IF(G255="","",G255*IF(L255="",0,IF(L255&gt;1,L255/100,L255))+N255)</f>
        <v/>
      </c>
      <c r="P255" s="28"/>
      <c r="Q255" s="33" t="str">
        <f aca="false">IF(P255="","",IFERROR(VLOOKUP(P255,PARTNERS!$A$2:$B$30,2,0),""))</f>
        <v/>
      </c>
      <c r="R255" s="17" t="str">
        <f aca="false">IF(O255="","",IF(OR(P255="",Q255=""),0,(O255-N255)*IF(Q255&gt;1,Q255/100,Q255)))</f>
        <v/>
      </c>
      <c r="S255" s="31" t="str">
        <f aca="false">IF(O255="","",O255-R255)</f>
        <v/>
      </c>
      <c r="T255" s="28"/>
      <c r="U255" s="34" t="str">
        <f aca="false">IF(T255="","",IFERROR(VLOOKUP(T255,REPS!$A$2:$D$40,2,0),""))</f>
        <v/>
      </c>
      <c r="V255" s="31" t="str">
        <f aca="false">IF(O255="","",IF(U255="",0,O255*IF(U255&gt;1,U255/100,U255)))</f>
        <v/>
      </c>
      <c r="W255" s="28"/>
      <c r="X255" s="34" t="str">
        <f aca="false">IF(W255="","",IFERROR(VLOOKUP(W255,REPS!$A$2:$D$40,3,0),""))</f>
        <v/>
      </c>
      <c r="Y255" s="31" t="str">
        <f aca="false">IF(O255="","",IF(X255="",0,O255*IF(X255&gt;1,X255/100,X255)))</f>
        <v/>
      </c>
      <c r="Z255" s="28"/>
      <c r="AA255" s="34" t="str">
        <f aca="false">IF(Z255="","",IFERROR(VLOOKUP(Z255,REPS!$A$2:$D$40,4,0),""))</f>
        <v/>
      </c>
      <c r="AB255" s="31" t="str">
        <f aca="false">IF(O255="","",IF(AA255="",0,O255*IF(AA255&gt;1,AA255/100,AA255)))</f>
        <v/>
      </c>
      <c r="AC255" s="31" t="str">
        <f aca="false">IF(O255="","",V255+Y255+AB255)</f>
        <v/>
      </c>
      <c r="AD255" s="19" t="str">
        <f aca="false">IF(O255="","",O255-R255-AC255)</f>
        <v/>
      </c>
      <c r="AE255" s="20"/>
      <c r="AF255" s="27"/>
      <c r="AG255" s="21" t="n">
        <f aca="false">IF(OR(AE255="",AE255=0),0,AE255*IF(U255="",0,IF(U255&gt;1,U255/100,U255)))</f>
        <v>0</v>
      </c>
      <c r="AH255" s="21" t="n">
        <f aca="false">IF(OR(AE255="",AE255=0),0,AE255*IF(X255="",0,IF(X255&gt;1,X255/100,X255)))</f>
        <v>0</v>
      </c>
      <c r="AI255" s="21" t="n">
        <f aca="false">IF(OR(AE255="",AE255=0),0,AE255*IF(AA255="",0,IF(AA255&gt;1,AA255/100,AA255)))</f>
        <v>0</v>
      </c>
      <c r="AJ255" s="21" t="n">
        <f aca="false">AG255+AH255+AI255</f>
        <v>0</v>
      </c>
      <c r="AK255" s="21" t="n">
        <f aca="false">IF(OR(AE255="",AE255=0),0,AE255-AJ255)</f>
        <v>0</v>
      </c>
      <c r="AL255" s="19" t="str">
        <f aca="false">IF(AD255="","",AD255-AK255)</f>
        <v/>
      </c>
      <c r="AM255" s="26" t="str">
        <f aca="false">IF(C255="","","Waiting for payment")</f>
        <v/>
      </c>
      <c r="AN255" s="27"/>
      <c r="AO255" s="27"/>
      <c r="AP255" s="35" t="str">
        <f aca="false">IF(OR(C255="",I255="",K255=""),"",IF(K255="Monthly",EDATE(C255,ROUND(I255*SETTINGS!$I$8,0)),WORKDAY(C255,ROUND(I255*SETTINGS!$I$8,0))))</f>
        <v/>
      </c>
      <c r="AQ255" s="26" t="str">
        <f aca="true">IF(C255="","",IF(AND(AP255&lt;&gt;"",TODAY()&gt;=AP255),"Refi Ready",IF(TODAY()-C255&gt;=SETTINGS!$I$11,"Prospecting","Performing")))</f>
        <v/>
      </c>
      <c r="AR255" s="35" t="str">
        <f aca="false">IF(OR(C255="",I255="",K255=""),"",IF(K255="Monthly",EDATE(C255,I255),WORKDAY(C255,I255)))</f>
        <v/>
      </c>
      <c r="AS255" s="28"/>
      <c r="AT255" s="36" t="str">
        <f aca="true">IF(C255="","",IF(AM255="Clawed Back","CLAWED",IF(TODAY()&lt;=C255+SETTINGS!$I$2,"⚠ AT RISK","SAFE")))</f>
        <v/>
      </c>
      <c r="AU255" s="28"/>
      <c r="AW255" s="24" t="n">
        <f aca="false">AW254+IF(AND(C255&lt;&gt;"",AO255&lt;&gt;"",OR('REP COMMISSION'!$B$3="",T255='REP COMMISSION'!$B$3,W255='REP COMMISSION'!$B$3,Z255='REP COMMISSION'!$B$3)),1,0)</f>
        <v>0</v>
      </c>
      <c r="AX255" s="24" t="n">
        <f aca="false">AX254+IF(AND(C255&lt;&gt;"",OR(F255="LOC - INITIAL",F255="CONSOLIDATION - UPFRONT COMM",F255="REVERSE - TOTAL FUNDING")),1,0)</f>
        <v>0</v>
      </c>
    </row>
    <row r="256" customFormat="false" ht="15" hidden="false" customHeight="false" outlineLevel="0" collapsed="false">
      <c r="A256" s="8" t="str">
        <f aca="false">IF(C256&lt;&gt;"","F27-"&amp;COUNT($C$4:C256),"")</f>
        <v/>
      </c>
      <c r="B256" s="9" t="str">
        <f aca="false">IF(OR(F256="LOC - INITIAL",F256="CONSOLIDATION - UPFRONT COMM",F256="REVERSE - TOTAL FUNDING"),A256,"")</f>
        <v/>
      </c>
      <c r="C256" s="10"/>
      <c r="D256" s="11"/>
      <c r="E256" s="11"/>
      <c r="F256" s="11"/>
      <c r="G256" s="12"/>
      <c r="H256" s="13"/>
      <c r="I256" s="11"/>
      <c r="J256" s="14" t="str">
        <f aca="false">IF(AND(G256&lt;&gt;"",H256&lt;&gt;""),G256*H256,"")</f>
        <v/>
      </c>
      <c r="K256" s="11"/>
      <c r="L256" s="15"/>
      <c r="M256" s="15"/>
      <c r="N256" s="14" t="n">
        <f aca="false">IF(OR(G256="",M256=""),0,IF(M256&gt;100,M256,G256*IF(M256&gt;1,M256/100,M256)))</f>
        <v>0</v>
      </c>
      <c r="O256" s="14" t="str">
        <f aca="false">IF(G256="","",G256*IF(L256="",0,IF(L256&gt;1,L256/100,L256))+N256)</f>
        <v/>
      </c>
      <c r="P256" s="11"/>
      <c r="Q256" s="16" t="str">
        <f aca="false">IF(P256="","",IFERROR(VLOOKUP(P256,PARTNERS!$A$2:$B$30,2,0),""))</f>
        <v/>
      </c>
      <c r="R256" s="17" t="str">
        <f aca="false">IF(O256="","",IF(OR(P256="",Q256=""),0,(O256-N256)*IF(Q256&gt;1,Q256/100,Q256)))</f>
        <v/>
      </c>
      <c r="S256" s="14" t="str">
        <f aca="false">IF(O256="","",O256-R256)</f>
        <v/>
      </c>
      <c r="T256" s="11"/>
      <c r="U256" s="18" t="str">
        <f aca="false">IF(T256="","",IFERROR(VLOOKUP(T256,REPS!$A$2:$D$40,2,0),""))</f>
        <v/>
      </c>
      <c r="V256" s="14" t="str">
        <f aca="false">IF(O256="","",IF(U256="",0,O256*IF(U256&gt;1,U256/100,U256)))</f>
        <v/>
      </c>
      <c r="W256" s="11"/>
      <c r="X256" s="18" t="str">
        <f aca="false">IF(W256="","",IFERROR(VLOOKUP(W256,REPS!$A$2:$D$40,3,0),""))</f>
        <v/>
      </c>
      <c r="Y256" s="14" t="str">
        <f aca="false">IF(O256="","",IF(X256="",0,O256*IF(X256&gt;1,X256/100,X256)))</f>
        <v/>
      </c>
      <c r="Z256" s="11"/>
      <c r="AA256" s="18" t="str">
        <f aca="false">IF(Z256="","",IFERROR(VLOOKUP(Z256,REPS!$A$2:$D$40,4,0),""))</f>
        <v/>
      </c>
      <c r="AB256" s="14" t="str">
        <f aca="false">IF(O256="","",IF(AA256="",0,O256*IF(AA256&gt;1,AA256/100,AA256)))</f>
        <v/>
      </c>
      <c r="AC256" s="14" t="str">
        <f aca="false">IF(O256="","",V256+Y256+AB256)</f>
        <v/>
      </c>
      <c r="AD256" s="19" t="str">
        <f aca="false">IF(O256="","",O256-R256-AC256)</f>
        <v/>
      </c>
      <c r="AE256" s="20"/>
      <c r="AF256" s="10"/>
      <c r="AG256" s="21" t="n">
        <f aca="false">IF(OR(AE256="",AE256=0),0,AE256*IF(U256="",0,IF(U256&gt;1,U256/100,U256)))</f>
        <v>0</v>
      </c>
      <c r="AH256" s="21" t="n">
        <f aca="false">IF(OR(AE256="",AE256=0),0,AE256*IF(X256="",0,IF(X256&gt;1,X256/100,X256)))</f>
        <v>0</v>
      </c>
      <c r="AI256" s="21" t="n">
        <f aca="false">IF(OR(AE256="",AE256=0),0,AE256*IF(AA256="",0,IF(AA256&gt;1,AA256/100,AA256)))</f>
        <v>0</v>
      </c>
      <c r="AJ256" s="21" t="n">
        <f aca="false">AG256+AH256+AI256</f>
        <v>0</v>
      </c>
      <c r="AK256" s="21" t="n">
        <f aca="false">IF(OR(AE256="",AE256=0),0,AE256-AJ256)</f>
        <v>0</v>
      </c>
      <c r="AL256" s="19" t="str">
        <f aca="false">IF(AD256="","",AD256-AK256)</f>
        <v/>
      </c>
      <c r="AM256" s="9" t="str">
        <f aca="false">IF(C256="","","Waiting for payment")</f>
        <v/>
      </c>
      <c r="AN256" s="10"/>
      <c r="AO256" s="10"/>
      <c r="AP256" s="22" t="str">
        <f aca="false">IF(OR(C256="",I256="",K256=""),"",IF(K256="Monthly",EDATE(C256,ROUND(I256*SETTINGS!$I$8,0)),WORKDAY(C256,ROUND(I256*SETTINGS!$I$8,0))))</f>
        <v/>
      </c>
      <c r="AQ256" s="9" t="str">
        <f aca="true">IF(C256="","",IF(AND(AP256&lt;&gt;"",TODAY()&gt;=AP256),"Refi Ready",IF(TODAY()-C256&gt;=SETTINGS!$I$11,"Prospecting","Performing")))</f>
        <v/>
      </c>
      <c r="AR256" s="22" t="str">
        <f aca="false">IF(OR(C256="",I256="",K256=""),"",IF(K256="Monthly",EDATE(C256,I256),WORKDAY(C256,I256)))</f>
        <v/>
      </c>
      <c r="AS256" s="11"/>
      <c r="AT256" s="23" t="str">
        <f aca="true">IF(C256="","",IF(AM256="Clawed Back","CLAWED",IF(TODAY()&lt;=C256+SETTINGS!$I$2,"⚠ AT RISK","SAFE")))</f>
        <v/>
      </c>
      <c r="AU256" s="11"/>
      <c r="AW256" s="24" t="n">
        <f aca="false">AW255+IF(AND(C256&lt;&gt;"",AO256&lt;&gt;"",OR('REP COMMISSION'!$B$3="",T256='REP COMMISSION'!$B$3,W256='REP COMMISSION'!$B$3,Z256='REP COMMISSION'!$B$3)),1,0)</f>
        <v>0</v>
      </c>
      <c r="AX256" s="24" t="n">
        <f aca="false">AX255+IF(AND(C256&lt;&gt;"",OR(F256="LOC - INITIAL",F256="CONSOLIDATION - UPFRONT COMM",F256="REVERSE - TOTAL FUNDING")),1,0)</f>
        <v>0</v>
      </c>
    </row>
    <row r="257" customFormat="false" ht="15" hidden="false" customHeight="false" outlineLevel="0" collapsed="false">
      <c r="A257" s="25" t="str">
        <f aca="false">IF(C257&lt;&gt;"","F27-"&amp;COUNT($C$4:C257),"")</f>
        <v/>
      </c>
      <c r="B257" s="26" t="str">
        <f aca="false">IF(OR(F257="LOC - INITIAL",F257="CONSOLIDATION - UPFRONT COMM",F257="REVERSE - TOTAL FUNDING"),A257,"")</f>
        <v/>
      </c>
      <c r="C257" s="27"/>
      <c r="D257" s="28"/>
      <c r="E257" s="28"/>
      <c r="F257" s="28"/>
      <c r="G257" s="29"/>
      <c r="H257" s="30"/>
      <c r="I257" s="28"/>
      <c r="J257" s="31" t="str">
        <f aca="false">IF(AND(G257&lt;&gt;"",H257&lt;&gt;""),G257*H257,"")</f>
        <v/>
      </c>
      <c r="K257" s="28"/>
      <c r="L257" s="32"/>
      <c r="M257" s="32"/>
      <c r="N257" s="31" t="n">
        <f aca="false">IF(OR(G257="",M257=""),0,IF(M257&gt;100,M257,G257*IF(M257&gt;1,M257/100,M257)))</f>
        <v>0</v>
      </c>
      <c r="O257" s="31" t="str">
        <f aca="false">IF(G257="","",G257*IF(L257="",0,IF(L257&gt;1,L257/100,L257))+N257)</f>
        <v/>
      </c>
      <c r="P257" s="28"/>
      <c r="Q257" s="33" t="str">
        <f aca="false">IF(P257="","",IFERROR(VLOOKUP(P257,PARTNERS!$A$2:$B$30,2,0),""))</f>
        <v/>
      </c>
      <c r="R257" s="17" t="str">
        <f aca="false">IF(O257="","",IF(OR(P257="",Q257=""),0,(O257-N257)*IF(Q257&gt;1,Q257/100,Q257)))</f>
        <v/>
      </c>
      <c r="S257" s="31" t="str">
        <f aca="false">IF(O257="","",O257-R257)</f>
        <v/>
      </c>
      <c r="T257" s="28"/>
      <c r="U257" s="34" t="str">
        <f aca="false">IF(T257="","",IFERROR(VLOOKUP(T257,REPS!$A$2:$D$40,2,0),""))</f>
        <v/>
      </c>
      <c r="V257" s="31" t="str">
        <f aca="false">IF(O257="","",IF(U257="",0,O257*IF(U257&gt;1,U257/100,U257)))</f>
        <v/>
      </c>
      <c r="W257" s="28"/>
      <c r="X257" s="34" t="str">
        <f aca="false">IF(W257="","",IFERROR(VLOOKUP(W257,REPS!$A$2:$D$40,3,0),""))</f>
        <v/>
      </c>
      <c r="Y257" s="31" t="str">
        <f aca="false">IF(O257="","",IF(X257="",0,O257*IF(X257&gt;1,X257/100,X257)))</f>
        <v/>
      </c>
      <c r="Z257" s="28"/>
      <c r="AA257" s="34" t="str">
        <f aca="false">IF(Z257="","",IFERROR(VLOOKUP(Z257,REPS!$A$2:$D$40,4,0),""))</f>
        <v/>
      </c>
      <c r="AB257" s="31" t="str">
        <f aca="false">IF(O257="","",IF(AA257="",0,O257*IF(AA257&gt;1,AA257/100,AA257)))</f>
        <v/>
      </c>
      <c r="AC257" s="31" t="str">
        <f aca="false">IF(O257="","",V257+Y257+AB257)</f>
        <v/>
      </c>
      <c r="AD257" s="19" t="str">
        <f aca="false">IF(O257="","",O257-R257-AC257)</f>
        <v/>
      </c>
      <c r="AE257" s="20"/>
      <c r="AF257" s="27"/>
      <c r="AG257" s="21" t="n">
        <f aca="false">IF(OR(AE257="",AE257=0),0,AE257*IF(U257="",0,IF(U257&gt;1,U257/100,U257)))</f>
        <v>0</v>
      </c>
      <c r="AH257" s="21" t="n">
        <f aca="false">IF(OR(AE257="",AE257=0),0,AE257*IF(X257="",0,IF(X257&gt;1,X257/100,X257)))</f>
        <v>0</v>
      </c>
      <c r="AI257" s="21" t="n">
        <f aca="false">IF(OR(AE257="",AE257=0),0,AE257*IF(AA257="",0,IF(AA257&gt;1,AA257/100,AA257)))</f>
        <v>0</v>
      </c>
      <c r="AJ257" s="21" t="n">
        <f aca="false">AG257+AH257+AI257</f>
        <v>0</v>
      </c>
      <c r="AK257" s="21" t="n">
        <f aca="false">IF(OR(AE257="",AE257=0),0,AE257-AJ257)</f>
        <v>0</v>
      </c>
      <c r="AL257" s="19" t="str">
        <f aca="false">IF(AD257="","",AD257-AK257)</f>
        <v/>
      </c>
      <c r="AM257" s="26" t="str">
        <f aca="false">IF(C257="","","Waiting for payment")</f>
        <v/>
      </c>
      <c r="AN257" s="27"/>
      <c r="AO257" s="27"/>
      <c r="AP257" s="35" t="str">
        <f aca="false">IF(OR(C257="",I257="",K257=""),"",IF(K257="Monthly",EDATE(C257,ROUND(I257*SETTINGS!$I$8,0)),WORKDAY(C257,ROUND(I257*SETTINGS!$I$8,0))))</f>
        <v/>
      </c>
      <c r="AQ257" s="26" t="str">
        <f aca="true">IF(C257="","",IF(AND(AP257&lt;&gt;"",TODAY()&gt;=AP257),"Refi Ready",IF(TODAY()-C257&gt;=SETTINGS!$I$11,"Prospecting","Performing")))</f>
        <v/>
      </c>
      <c r="AR257" s="35" t="str">
        <f aca="false">IF(OR(C257="",I257="",K257=""),"",IF(K257="Monthly",EDATE(C257,I257),WORKDAY(C257,I257)))</f>
        <v/>
      </c>
      <c r="AS257" s="28"/>
      <c r="AT257" s="36" t="str">
        <f aca="true">IF(C257="","",IF(AM257="Clawed Back","CLAWED",IF(TODAY()&lt;=C257+SETTINGS!$I$2,"⚠ AT RISK","SAFE")))</f>
        <v/>
      </c>
      <c r="AU257" s="28"/>
      <c r="AW257" s="24" t="n">
        <f aca="false">AW256+IF(AND(C257&lt;&gt;"",AO257&lt;&gt;"",OR('REP COMMISSION'!$B$3="",T257='REP COMMISSION'!$B$3,W257='REP COMMISSION'!$B$3,Z257='REP COMMISSION'!$B$3)),1,0)</f>
        <v>0</v>
      </c>
      <c r="AX257" s="24" t="n">
        <f aca="false">AX256+IF(AND(C257&lt;&gt;"",OR(F257="LOC - INITIAL",F257="CONSOLIDATION - UPFRONT COMM",F257="REVERSE - TOTAL FUNDING")),1,0)</f>
        <v>0</v>
      </c>
    </row>
    <row r="258" customFormat="false" ht="15" hidden="false" customHeight="false" outlineLevel="0" collapsed="false">
      <c r="A258" s="8" t="str">
        <f aca="false">IF(C258&lt;&gt;"","F27-"&amp;COUNT($C$4:C258),"")</f>
        <v/>
      </c>
      <c r="B258" s="9" t="str">
        <f aca="false">IF(OR(F258="LOC - INITIAL",F258="CONSOLIDATION - UPFRONT COMM",F258="REVERSE - TOTAL FUNDING"),A258,"")</f>
        <v/>
      </c>
      <c r="C258" s="10"/>
      <c r="D258" s="11"/>
      <c r="E258" s="11"/>
      <c r="F258" s="11"/>
      <c r="G258" s="12"/>
      <c r="H258" s="13"/>
      <c r="I258" s="11"/>
      <c r="J258" s="14" t="str">
        <f aca="false">IF(AND(G258&lt;&gt;"",H258&lt;&gt;""),G258*H258,"")</f>
        <v/>
      </c>
      <c r="K258" s="11"/>
      <c r="L258" s="15"/>
      <c r="M258" s="15"/>
      <c r="N258" s="14" t="n">
        <f aca="false">IF(OR(G258="",M258=""),0,IF(M258&gt;100,M258,G258*IF(M258&gt;1,M258/100,M258)))</f>
        <v>0</v>
      </c>
      <c r="O258" s="14" t="str">
        <f aca="false">IF(G258="","",G258*IF(L258="",0,IF(L258&gt;1,L258/100,L258))+N258)</f>
        <v/>
      </c>
      <c r="P258" s="11"/>
      <c r="Q258" s="16" t="str">
        <f aca="false">IF(P258="","",IFERROR(VLOOKUP(P258,PARTNERS!$A$2:$B$30,2,0),""))</f>
        <v/>
      </c>
      <c r="R258" s="17" t="str">
        <f aca="false">IF(O258="","",IF(OR(P258="",Q258=""),0,(O258-N258)*IF(Q258&gt;1,Q258/100,Q258)))</f>
        <v/>
      </c>
      <c r="S258" s="14" t="str">
        <f aca="false">IF(O258="","",O258-R258)</f>
        <v/>
      </c>
      <c r="T258" s="11"/>
      <c r="U258" s="18" t="str">
        <f aca="false">IF(T258="","",IFERROR(VLOOKUP(T258,REPS!$A$2:$D$40,2,0),""))</f>
        <v/>
      </c>
      <c r="V258" s="14" t="str">
        <f aca="false">IF(O258="","",IF(U258="",0,O258*IF(U258&gt;1,U258/100,U258)))</f>
        <v/>
      </c>
      <c r="W258" s="11"/>
      <c r="X258" s="18" t="str">
        <f aca="false">IF(W258="","",IFERROR(VLOOKUP(W258,REPS!$A$2:$D$40,3,0),""))</f>
        <v/>
      </c>
      <c r="Y258" s="14" t="str">
        <f aca="false">IF(O258="","",IF(X258="",0,O258*IF(X258&gt;1,X258/100,X258)))</f>
        <v/>
      </c>
      <c r="Z258" s="11"/>
      <c r="AA258" s="18" t="str">
        <f aca="false">IF(Z258="","",IFERROR(VLOOKUP(Z258,REPS!$A$2:$D$40,4,0),""))</f>
        <v/>
      </c>
      <c r="AB258" s="14" t="str">
        <f aca="false">IF(O258="","",IF(AA258="",0,O258*IF(AA258&gt;1,AA258/100,AA258)))</f>
        <v/>
      </c>
      <c r="AC258" s="14" t="str">
        <f aca="false">IF(O258="","",V258+Y258+AB258)</f>
        <v/>
      </c>
      <c r="AD258" s="19" t="str">
        <f aca="false">IF(O258="","",O258-R258-AC258)</f>
        <v/>
      </c>
      <c r="AE258" s="20"/>
      <c r="AF258" s="10"/>
      <c r="AG258" s="21" t="n">
        <f aca="false">IF(OR(AE258="",AE258=0),0,AE258*IF(U258="",0,IF(U258&gt;1,U258/100,U258)))</f>
        <v>0</v>
      </c>
      <c r="AH258" s="21" t="n">
        <f aca="false">IF(OR(AE258="",AE258=0),0,AE258*IF(X258="",0,IF(X258&gt;1,X258/100,X258)))</f>
        <v>0</v>
      </c>
      <c r="AI258" s="21" t="n">
        <f aca="false">IF(OR(AE258="",AE258=0),0,AE258*IF(AA258="",0,IF(AA258&gt;1,AA258/100,AA258)))</f>
        <v>0</v>
      </c>
      <c r="AJ258" s="21" t="n">
        <f aca="false">AG258+AH258+AI258</f>
        <v>0</v>
      </c>
      <c r="AK258" s="21" t="n">
        <f aca="false">IF(OR(AE258="",AE258=0),0,AE258-AJ258)</f>
        <v>0</v>
      </c>
      <c r="AL258" s="19" t="str">
        <f aca="false">IF(AD258="","",AD258-AK258)</f>
        <v/>
      </c>
      <c r="AM258" s="9" t="str">
        <f aca="false">IF(C258="","","Waiting for payment")</f>
        <v/>
      </c>
      <c r="AN258" s="10"/>
      <c r="AO258" s="10"/>
      <c r="AP258" s="22" t="str">
        <f aca="false">IF(OR(C258="",I258="",K258=""),"",IF(K258="Monthly",EDATE(C258,ROUND(I258*SETTINGS!$I$8,0)),WORKDAY(C258,ROUND(I258*SETTINGS!$I$8,0))))</f>
        <v/>
      </c>
      <c r="AQ258" s="9" t="str">
        <f aca="true">IF(C258="","",IF(AND(AP258&lt;&gt;"",TODAY()&gt;=AP258),"Refi Ready",IF(TODAY()-C258&gt;=SETTINGS!$I$11,"Prospecting","Performing")))</f>
        <v/>
      </c>
      <c r="AR258" s="22" t="str">
        <f aca="false">IF(OR(C258="",I258="",K258=""),"",IF(K258="Monthly",EDATE(C258,I258),WORKDAY(C258,I258)))</f>
        <v/>
      </c>
      <c r="AS258" s="11"/>
      <c r="AT258" s="23" t="str">
        <f aca="true">IF(C258="","",IF(AM258="Clawed Back","CLAWED",IF(TODAY()&lt;=C258+SETTINGS!$I$2,"⚠ AT RISK","SAFE")))</f>
        <v/>
      </c>
      <c r="AU258" s="11"/>
      <c r="AW258" s="24" t="n">
        <f aca="false">AW257+IF(AND(C258&lt;&gt;"",AO258&lt;&gt;"",OR('REP COMMISSION'!$B$3="",T258='REP COMMISSION'!$B$3,W258='REP COMMISSION'!$B$3,Z258='REP COMMISSION'!$B$3)),1,0)</f>
        <v>0</v>
      </c>
      <c r="AX258" s="24" t="n">
        <f aca="false">AX257+IF(AND(C258&lt;&gt;"",OR(F258="LOC - INITIAL",F258="CONSOLIDATION - UPFRONT COMM",F258="REVERSE - TOTAL FUNDING")),1,0)</f>
        <v>0</v>
      </c>
    </row>
    <row r="259" customFormat="false" ht="15" hidden="false" customHeight="false" outlineLevel="0" collapsed="false">
      <c r="A259" s="25" t="str">
        <f aca="false">IF(C259&lt;&gt;"","F27-"&amp;COUNT($C$4:C259),"")</f>
        <v/>
      </c>
      <c r="B259" s="26" t="str">
        <f aca="false">IF(OR(F259="LOC - INITIAL",F259="CONSOLIDATION - UPFRONT COMM",F259="REVERSE - TOTAL FUNDING"),A259,"")</f>
        <v/>
      </c>
      <c r="C259" s="27"/>
      <c r="D259" s="28"/>
      <c r="E259" s="28"/>
      <c r="F259" s="28"/>
      <c r="G259" s="29"/>
      <c r="H259" s="30"/>
      <c r="I259" s="28"/>
      <c r="J259" s="31" t="str">
        <f aca="false">IF(AND(G259&lt;&gt;"",H259&lt;&gt;""),G259*H259,"")</f>
        <v/>
      </c>
      <c r="K259" s="28"/>
      <c r="L259" s="32"/>
      <c r="M259" s="32"/>
      <c r="N259" s="31" t="n">
        <f aca="false">IF(OR(G259="",M259=""),0,IF(M259&gt;100,M259,G259*IF(M259&gt;1,M259/100,M259)))</f>
        <v>0</v>
      </c>
      <c r="O259" s="31" t="str">
        <f aca="false">IF(G259="","",G259*IF(L259="",0,IF(L259&gt;1,L259/100,L259))+N259)</f>
        <v/>
      </c>
      <c r="P259" s="28"/>
      <c r="Q259" s="33" t="str">
        <f aca="false">IF(P259="","",IFERROR(VLOOKUP(P259,PARTNERS!$A$2:$B$30,2,0),""))</f>
        <v/>
      </c>
      <c r="R259" s="17" t="str">
        <f aca="false">IF(O259="","",IF(OR(P259="",Q259=""),0,(O259-N259)*IF(Q259&gt;1,Q259/100,Q259)))</f>
        <v/>
      </c>
      <c r="S259" s="31" t="str">
        <f aca="false">IF(O259="","",O259-R259)</f>
        <v/>
      </c>
      <c r="T259" s="28"/>
      <c r="U259" s="34" t="str">
        <f aca="false">IF(T259="","",IFERROR(VLOOKUP(T259,REPS!$A$2:$D$40,2,0),""))</f>
        <v/>
      </c>
      <c r="V259" s="31" t="str">
        <f aca="false">IF(O259="","",IF(U259="",0,O259*IF(U259&gt;1,U259/100,U259)))</f>
        <v/>
      </c>
      <c r="W259" s="28"/>
      <c r="X259" s="34" t="str">
        <f aca="false">IF(W259="","",IFERROR(VLOOKUP(W259,REPS!$A$2:$D$40,3,0),""))</f>
        <v/>
      </c>
      <c r="Y259" s="31" t="str">
        <f aca="false">IF(O259="","",IF(X259="",0,O259*IF(X259&gt;1,X259/100,X259)))</f>
        <v/>
      </c>
      <c r="Z259" s="28"/>
      <c r="AA259" s="34" t="str">
        <f aca="false">IF(Z259="","",IFERROR(VLOOKUP(Z259,REPS!$A$2:$D$40,4,0),""))</f>
        <v/>
      </c>
      <c r="AB259" s="31" t="str">
        <f aca="false">IF(O259="","",IF(AA259="",0,O259*IF(AA259&gt;1,AA259/100,AA259)))</f>
        <v/>
      </c>
      <c r="AC259" s="31" t="str">
        <f aca="false">IF(O259="","",V259+Y259+AB259)</f>
        <v/>
      </c>
      <c r="AD259" s="19" t="str">
        <f aca="false">IF(O259="","",O259-R259-AC259)</f>
        <v/>
      </c>
      <c r="AE259" s="20"/>
      <c r="AF259" s="27"/>
      <c r="AG259" s="21" t="n">
        <f aca="false">IF(OR(AE259="",AE259=0),0,AE259*IF(U259="",0,IF(U259&gt;1,U259/100,U259)))</f>
        <v>0</v>
      </c>
      <c r="AH259" s="21" t="n">
        <f aca="false">IF(OR(AE259="",AE259=0),0,AE259*IF(X259="",0,IF(X259&gt;1,X259/100,X259)))</f>
        <v>0</v>
      </c>
      <c r="AI259" s="21" t="n">
        <f aca="false">IF(OR(AE259="",AE259=0),0,AE259*IF(AA259="",0,IF(AA259&gt;1,AA259/100,AA259)))</f>
        <v>0</v>
      </c>
      <c r="AJ259" s="21" t="n">
        <f aca="false">AG259+AH259+AI259</f>
        <v>0</v>
      </c>
      <c r="AK259" s="21" t="n">
        <f aca="false">IF(OR(AE259="",AE259=0),0,AE259-AJ259)</f>
        <v>0</v>
      </c>
      <c r="AL259" s="19" t="str">
        <f aca="false">IF(AD259="","",AD259-AK259)</f>
        <v/>
      </c>
      <c r="AM259" s="26" t="str">
        <f aca="false">IF(C259="","","Waiting for payment")</f>
        <v/>
      </c>
      <c r="AN259" s="27"/>
      <c r="AO259" s="27"/>
      <c r="AP259" s="35" t="str">
        <f aca="false">IF(OR(C259="",I259="",K259=""),"",IF(K259="Monthly",EDATE(C259,ROUND(I259*SETTINGS!$I$8,0)),WORKDAY(C259,ROUND(I259*SETTINGS!$I$8,0))))</f>
        <v/>
      </c>
      <c r="AQ259" s="26" t="str">
        <f aca="true">IF(C259="","",IF(AND(AP259&lt;&gt;"",TODAY()&gt;=AP259),"Refi Ready",IF(TODAY()-C259&gt;=SETTINGS!$I$11,"Prospecting","Performing")))</f>
        <v/>
      </c>
      <c r="AR259" s="35" t="str">
        <f aca="false">IF(OR(C259="",I259="",K259=""),"",IF(K259="Monthly",EDATE(C259,I259),WORKDAY(C259,I259)))</f>
        <v/>
      </c>
      <c r="AS259" s="28"/>
      <c r="AT259" s="36" t="str">
        <f aca="true">IF(C259="","",IF(AM259="Clawed Back","CLAWED",IF(TODAY()&lt;=C259+SETTINGS!$I$2,"⚠ AT RISK","SAFE")))</f>
        <v/>
      </c>
      <c r="AU259" s="28"/>
      <c r="AW259" s="24" t="n">
        <f aca="false">AW258+IF(AND(C259&lt;&gt;"",AO259&lt;&gt;"",OR('REP COMMISSION'!$B$3="",T259='REP COMMISSION'!$B$3,W259='REP COMMISSION'!$B$3,Z259='REP COMMISSION'!$B$3)),1,0)</f>
        <v>0</v>
      </c>
      <c r="AX259" s="24" t="n">
        <f aca="false">AX258+IF(AND(C259&lt;&gt;"",OR(F259="LOC - INITIAL",F259="CONSOLIDATION - UPFRONT COMM",F259="REVERSE - TOTAL FUNDING")),1,0)</f>
        <v>0</v>
      </c>
    </row>
    <row r="260" customFormat="false" ht="15" hidden="false" customHeight="false" outlineLevel="0" collapsed="false">
      <c r="A260" s="8" t="str">
        <f aca="false">IF(C260&lt;&gt;"","F27-"&amp;COUNT($C$4:C260),"")</f>
        <v/>
      </c>
      <c r="B260" s="9" t="str">
        <f aca="false">IF(OR(F260="LOC - INITIAL",F260="CONSOLIDATION - UPFRONT COMM",F260="REVERSE - TOTAL FUNDING"),A260,"")</f>
        <v/>
      </c>
      <c r="C260" s="10"/>
      <c r="D260" s="11"/>
      <c r="E260" s="11"/>
      <c r="F260" s="11"/>
      <c r="G260" s="12"/>
      <c r="H260" s="13"/>
      <c r="I260" s="11"/>
      <c r="J260" s="14" t="str">
        <f aca="false">IF(AND(G260&lt;&gt;"",H260&lt;&gt;""),G260*H260,"")</f>
        <v/>
      </c>
      <c r="K260" s="11"/>
      <c r="L260" s="15"/>
      <c r="M260" s="15"/>
      <c r="N260" s="14" t="n">
        <f aca="false">IF(OR(G260="",M260=""),0,IF(M260&gt;100,M260,G260*IF(M260&gt;1,M260/100,M260)))</f>
        <v>0</v>
      </c>
      <c r="O260" s="14" t="str">
        <f aca="false">IF(G260="","",G260*IF(L260="",0,IF(L260&gt;1,L260/100,L260))+N260)</f>
        <v/>
      </c>
      <c r="P260" s="11"/>
      <c r="Q260" s="16" t="str">
        <f aca="false">IF(P260="","",IFERROR(VLOOKUP(P260,PARTNERS!$A$2:$B$30,2,0),""))</f>
        <v/>
      </c>
      <c r="R260" s="17" t="str">
        <f aca="false">IF(O260="","",IF(OR(P260="",Q260=""),0,(O260-N260)*IF(Q260&gt;1,Q260/100,Q260)))</f>
        <v/>
      </c>
      <c r="S260" s="14" t="str">
        <f aca="false">IF(O260="","",O260-R260)</f>
        <v/>
      </c>
      <c r="T260" s="11"/>
      <c r="U260" s="18" t="str">
        <f aca="false">IF(T260="","",IFERROR(VLOOKUP(T260,REPS!$A$2:$D$40,2,0),""))</f>
        <v/>
      </c>
      <c r="V260" s="14" t="str">
        <f aca="false">IF(O260="","",IF(U260="",0,O260*IF(U260&gt;1,U260/100,U260)))</f>
        <v/>
      </c>
      <c r="W260" s="11"/>
      <c r="X260" s="18" t="str">
        <f aca="false">IF(W260="","",IFERROR(VLOOKUP(W260,REPS!$A$2:$D$40,3,0),""))</f>
        <v/>
      </c>
      <c r="Y260" s="14" t="str">
        <f aca="false">IF(O260="","",IF(X260="",0,O260*IF(X260&gt;1,X260/100,X260)))</f>
        <v/>
      </c>
      <c r="Z260" s="11"/>
      <c r="AA260" s="18" t="str">
        <f aca="false">IF(Z260="","",IFERROR(VLOOKUP(Z260,REPS!$A$2:$D$40,4,0),""))</f>
        <v/>
      </c>
      <c r="AB260" s="14" t="str">
        <f aca="false">IF(O260="","",IF(AA260="",0,O260*IF(AA260&gt;1,AA260/100,AA260)))</f>
        <v/>
      </c>
      <c r="AC260" s="14" t="str">
        <f aca="false">IF(O260="","",V260+Y260+AB260)</f>
        <v/>
      </c>
      <c r="AD260" s="19" t="str">
        <f aca="false">IF(O260="","",O260-R260-AC260)</f>
        <v/>
      </c>
      <c r="AE260" s="20"/>
      <c r="AF260" s="10"/>
      <c r="AG260" s="21" t="n">
        <f aca="false">IF(OR(AE260="",AE260=0),0,AE260*IF(U260="",0,IF(U260&gt;1,U260/100,U260)))</f>
        <v>0</v>
      </c>
      <c r="AH260" s="21" t="n">
        <f aca="false">IF(OR(AE260="",AE260=0),0,AE260*IF(X260="",0,IF(X260&gt;1,X260/100,X260)))</f>
        <v>0</v>
      </c>
      <c r="AI260" s="21" t="n">
        <f aca="false">IF(OR(AE260="",AE260=0),0,AE260*IF(AA260="",0,IF(AA260&gt;1,AA260/100,AA260)))</f>
        <v>0</v>
      </c>
      <c r="AJ260" s="21" t="n">
        <f aca="false">AG260+AH260+AI260</f>
        <v>0</v>
      </c>
      <c r="AK260" s="21" t="n">
        <f aca="false">IF(OR(AE260="",AE260=0),0,AE260-AJ260)</f>
        <v>0</v>
      </c>
      <c r="AL260" s="19" t="str">
        <f aca="false">IF(AD260="","",AD260-AK260)</f>
        <v/>
      </c>
      <c r="AM260" s="9" t="str">
        <f aca="false">IF(C260="","","Waiting for payment")</f>
        <v/>
      </c>
      <c r="AN260" s="10"/>
      <c r="AO260" s="10"/>
      <c r="AP260" s="22" t="str">
        <f aca="false">IF(OR(C260="",I260="",K260=""),"",IF(K260="Monthly",EDATE(C260,ROUND(I260*SETTINGS!$I$8,0)),WORKDAY(C260,ROUND(I260*SETTINGS!$I$8,0))))</f>
        <v/>
      </c>
      <c r="AQ260" s="9" t="str">
        <f aca="true">IF(C260="","",IF(AND(AP260&lt;&gt;"",TODAY()&gt;=AP260),"Refi Ready",IF(TODAY()-C260&gt;=SETTINGS!$I$11,"Prospecting","Performing")))</f>
        <v/>
      </c>
      <c r="AR260" s="22" t="str">
        <f aca="false">IF(OR(C260="",I260="",K260=""),"",IF(K260="Monthly",EDATE(C260,I260),WORKDAY(C260,I260)))</f>
        <v/>
      </c>
      <c r="AS260" s="11"/>
      <c r="AT260" s="23" t="str">
        <f aca="true">IF(C260="","",IF(AM260="Clawed Back","CLAWED",IF(TODAY()&lt;=C260+SETTINGS!$I$2,"⚠ AT RISK","SAFE")))</f>
        <v/>
      </c>
      <c r="AU260" s="11"/>
      <c r="AW260" s="24" t="n">
        <f aca="false">AW259+IF(AND(C260&lt;&gt;"",AO260&lt;&gt;"",OR('REP COMMISSION'!$B$3="",T260='REP COMMISSION'!$B$3,W260='REP COMMISSION'!$B$3,Z260='REP COMMISSION'!$B$3)),1,0)</f>
        <v>0</v>
      </c>
      <c r="AX260" s="24" t="n">
        <f aca="false">AX259+IF(AND(C260&lt;&gt;"",OR(F260="LOC - INITIAL",F260="CONSOLIDATION - UPFRONT COMM",F260="REVERSE - TOTAL FUNDING")),1,0)</f>
        <v>0</v>
      </c>
    </row>
    <row r="261" customFormat="false" ht="15" hidden="false" customHeight="false" outlineLevel="0" collapsed="false">
      <c r="A261" s="25" t="str">
        <f aca="false">IF(C261&lt;&gt;"","F27-"&amp;COUNT($C$4:C261),"")</f>
        <v/>
      </c>
      <c r="B261" s="26" t="str">
        <f aca="false">IF(OR(F261="LOC - INITIAL",F261="CONSOLIDATION - UPFRONT COMM",F261="REVERSE - TOTAL FUNDING"),A261,"")</f>
        <v/>
      </c>
      <c r="C261" s="27"/>
      <c r="D261" s="28"/>
      <c r="E261" s="28"/>
      <c r="F261" s="28"/>
      <c r="G261" s="29"/>
      <c r="H261" s="30"/>
      <c r="I261" s="28"/>
      <c r="J261" s="31" t="str">
        <f aca="false">IF(AND(G261&lt;&gt;"",H261&lt;&gt;""),G261*H261,"")</f>
        <v/>
      </c>
      <c r="K261" s="28"/>
      <c r="L261" s="32"/>
      <c r="M261" s="32"/>
      <c r="N261" s="31" t="n">
        <f aca="false">IF(OR(G261="",M261=""),0,IF(M261&gt;100,M261,G261*IF(M261&gt;1,M261/100,M261)))</f>
        <v>0</v>
      </c>
      <c r="O261" s="31" t="str">
        <f aca="false">IF(G261="","",G261*IF(L261="",0,IF(L261&gt;1,L261/100,L261))+N261)</f>
        <v/>
      </c>
      <c r="P261" s="28"/>
      <c r="Q261" s="33" t="str">
        <f aca="false">IF(P261="","",IFERROR(VLOOKUP(P261,PARTNERS!$A$2:$B$30,2,0),""))</f>
        <v/>
      </c>
      <c r="R261" s="17" t="str">
        <f aca="false">IF(O261="","",IF(OR(P261="",Q261=""),0,(O261-N261)*IF(Q261&gt;1,Q261/100,Q261)))</f>
        <v/>
      </c>
      <c r="S261" s="31" t="str">
        <f aca="false">IF(O261="","",O261-R261)</f>
        <v/>
      </c>
      <c r="T261" s="28"/>
      <c r="U261" s="34" t="str">
        <f aca="false">IF(T261="","",IFERROR(VLOOKUP(T261,REPS!$A$2:$D$40,2,0),""))</f>
        <v/>
      </c>
      <c r="V261" s="31" t="str">
        <f aca="false">IF(O261="","",IF(U261="",0,O261*IF(U261&gt;1,U261/100,U261)))</f>
        <v/>
      </c>
      <c r="W261" s="28"/>
      <c r="X261" s="34" t="str">
        <f aca="false">IF(W261="","",IFERROR(VLOOKUP(W261,REPS!$A$2:$D$40,3,0),""))</f>
        <v/>
      </c>
      <c r="Y261" s="31" t="str">
        <f aca="false">IF(O261="","",IF(X261="",0,O261*IF(X261&gt;1,X261/100,X261)))</f>
        <v/>
      </c>
      <c r="Z261" s="28"/>
      <c r="AA261" s="34" t="str">
        <f aca="false">IF(Z261="","",IFERROR(VLOOKUP(Z261,REPS!$A$2:$D$40,4,0),""))</f>
        <v/>
      </c>
      <c r="AB261" s="31" t="str">
        <f aca="false">IF(O261="","",IF(AA261="",0,O261*IF(AA261&gt;1,AA261/100,AA261)))</f>
        <v/>
      </c>
      <c r="AC261" s="31" t="str">
        <f aca="false">IF(O261="","",V261+Y261+AB261)</f>
        <v/>
      </c>
      <c r="AD261" s="19" t="str">
        <f aca="false">IF(O261="","",O261-R261-AC261)</f>
        <v/>
      </c>
      <c r="AE261" s="20"/>
      <c r="AF261" s="27"/>
      <c r="AG261" s="21" t="n">
        <f aca="false">IF(OR(AE261="",AE261=0),0,AE261*IF(U261="",0,IF(U261&gt;1,U261/100,U261)))</f>
        <v>0</v>
      </c>
      <c r="AH261" s="21" t="n">
        <f aca="false">IF(OR(AE261="",AE261=0),0,AE261*IF(X261="",0,IF(X261&gt;1,X261/100,X261)))</f>
        <v>0</v>
      </c>
      <c r="AI261" s="21" t="n">
        <f aca="false">IF(OR(AE261="",AE261=0),0,AE261*IF(AA261="",0,IF(AA261&gt;1,AA261/100,AA261)))</f>
        <v>0</v>
      </c>
      <c r="AJ261" s="21" t="n">
        <f aca="false">AG261+AH261+AI261</f>
        <v>0</v>
      </c>
      <c r="AK261" s="21" t="n">
        <f aca="false">IF(OR(AE261="",AE261=0),0,AE261-AJ261)</f>
        <v>0</v>
      </c>
      <c r="AL261" s="19" t="str">
        <f aca="false">IF(AD261="","",AD261-AK261)</f>
        <v/>
      </c>
      <c r="AM261" s="26" t="str">
        <f aca="false">IF(C261="","","Waiting for payment")</f>
        <v/>
      </c>
      <c r="AN261" s="27"/>
      <c r="AO261" s="27"/>
      <c r="AP261" s="35" t="str">
        <f aca="false">IF(OR(C261="",I261="",K261=""),"",IF(K261="Monthly",EDATE(C261,ROUND(I261*SETTINGS!$I$8,0)),WORKDAY(C261,ROUND(I261*SETTINGS!$I$8,0))))</f>
        <v/>
      </c>
      <c r="AQ261" s="26" t="str">
        <f aca="true">IF(C261="","",IF(AND(AP261&lt;&gt;"",TODAY()&gt;=AP261),"Refi Ready",IF(TODAY()-C261&gt;=SETTINGS!$I$11,"Prospecting","Performing")))</f>
        <v/>
      </c>
      <c r="AR261" s="35" t="str">
        <f aca="false">IF(OR(C261="",I261="",K261=""),"",IF(K261="Monthly",EDATE(C261,I261),WORKDAY(C261,I261)))</f>
        <v/>
      </c>
      <c r="AS261" s="28"/>
      <c r="AT261" s="36" t="str">
        <f aca="true">IF(C261="","",IF(AM261="Clawed Back","CLAWED",IF(TODAY()&lt;=C261+SETTINGS!$I$2,"⚠ AT RISK","SAFE")))</f>
        <v/>
      </c>
      <c r="AU261" s="28"/>
      <c r="AW261" s="24" t="n">
        <f aca="false">AW260+IF(AND(C261&lt;&gt;"",AO261&lt;&gt;"",OR('REP COMMISSION'!$B$3="",T261='REP COMMISSION'!$B$3,W261='REP COMMISSION'!$B$3,Z261='REP COMMISSION'!$B$3)),1,0)</f>
        <v>0</v>
      </c>
      <c r="AX261" s="24" t="n">
        <f aca="false">AX260+IF(AND(C261&lt;&gt;"",OR(F261="LOC - INITIAL",F261="CONSOLIDATION - UPFRONT COMM",F261="REVERSE - TOTAL FUNDING")),1,0)</f>
        <v>0</v>
      </c>
    </row>
    <row r="262" customFormat="false" ht="15" hidden="false" customHeight="false" outlineLevel="0" collapsed="false">
      <c r="A262" s="8" t="str">
        <f aca="false">IF(C262&lt;&gt;"","F27-"&amp;COUNT($C$4:C262),"")</f>
        <v/>
      </c>
      <c r="B262" s="9" t="str">
        <f aca="false">IF(OR(F262="LOC - INITIAL",F262="CONSOLIDATION - UPFRONT COMM",F262="REVERSE - TOTAL FUNDING"),A262,"")</f>
        <v/>
      </c>
      <c r="C262" s="10"/>
      <c r="D262" s="11"/>
      <c r="E262" s="11"/>
      <c r="F262" s="11"/>
      <c r="G262" s="12"/>
      <c r="H262" s="13"/>
      <c r="I262" s="11"/>
      <c r="J262" s="14" t="str">
        <f aca="false">IF(AND(G262&lt;&gt;"",H262&lt;&gt;""),G262*H262,"")</f>
        <v/>
      </c>
      <c r="K262" s="11"/>
      <c r="L262" s="15"/>
      <c r="M262" s="15"/>
      <c r="N262" s="14" t="n">
        <f aca="false">IF(OR(G262="",M262=""),0,IF(M262&gt;100,M262,G262*IF(M262&gt;1,M262/100,M262)))</f>
        <v>0</v>
      </c>
      <c r="O262" s="14" t="str">
        <f aca="false">IF(G262="","",G262*IF(L262="",0,IF(L262&gt;1,L262/100,L262))+N262)</f>
        <v/>
      </c>
      <c r="P262" s="11"/>
      <c r="Q262" s="16" t="str">
        <f aca="false">IF(P262="","",IFERROR(VLOOKUP(P262,PARTNERS!$A$2:$B$30,2,0),""))</f>
        <v/>
      </c>
      <c r="R262" s="17" t="str">
        <f aca="false">IF(O262="","",IF(OR(P262="",Q262=""),0,(O262-N262)*IF(Q262&gt;1,Q262/100,Q262)))</f>
        <v/>
      </c>
      <c r="S262" s="14" t="str">
        <f aca="false">IF(O262="","",O262-R262)</f>
        <v/>
      </c>
      <c r="T262" s="11"/>
      <c r="U262" s="18" t="str">
        <f aca="false">IF(T262="","",IFERROR(VLOOKUP(T262,REPS!$A$2:$D$40,2,0),""))</f>
        <v/>
      </c>
      <c r="V262" s="14" t="str">
        <f aca="false">IF(O262="","",IF(U262="",0,O262*IF(U262&gt;1,U262/100,U262)))</f>
        <v/>
      </c>
      <c r="W262" s="11"/>
      <c r="X262" s="18" t="str">
        <f aca="false">IF(W262="","",IFERROR(VLOOKUP(W262,REPS!$A$2:$D$40,3,0),""))</f>
        <v/>
      </c>
      <c r="Y262" s="14" t="str">
        <f aca="false">IF(O262="","",IF(X262="",0,O262*IF(X262&gt;1,X262/100,X262)))</f>
        <v/>
      </c>
      <c r="Z262" s="11"/>
      <c r="AA262" s="18" t="str">
        <f aca="false">IF(Z262="","",IFERROR(VLOOKUP(Z262,REPS!$A$2:$D$40,4,0),""))</f>
        <v/>
      </c>
      <c r="AB262" s="14" t="str">
        <f aca="false">IF(O262="","",IF(AA262="",0,O262*IF(AA262&gt;1,AA262/100,AA262)))</f>
        <v/>
      </c>
      <c r="AC262" s="14" t="str">
        <f aca="false">IF(O262="","",V262+Y262+AB262)</f>
        <v/>
      </c>
      <c r="AD262" s="19" t="str">
        <f aca="false">IF(O262="","",O262-R262-AC262)</f>
        <v/>
      </c>
      <c r="AE262" s="20"/>
      <c r="AF262" s="10"/>
      <c r="AG262" s="21" t="n">
        <f aca="false">IF(OR(AE262="",AE262=0),0,AE262*IF(U262="",0,IF(U262&gt;1,U262/100,U262)))</f>
        <v>0</v>
      </c>
      <c r="AH262" s="21" t="n">
        <f aca="false">IF(OR(AE262="",AE262=0),0,AE262*IF(X262="",0,IF(X262&gt;1,X262/100,X262)))</f>
        <v>0</v>
      </c>
      <c r="AI262" s="21" t="n">
        <f aca="false">IF(OR(AE262="",AE262=0),0,AE262*IF(AA262="",0,IF(AA262&gt;1,AA262/100,AA262)))</f>
        <v>0</v>
      </c>
      <c r="AJ262" s="21" t="n">
        <f aca="false">AG262+AH262+AI262</f>
        <v>0</v>
      </c>
      <c r="AK262" s="21" t="n">
        <f aca="false">IF(OR(AE262="",AE262=0),0,AE262-AJ262)</f>
        <v>0</v>
      </c>
      <c r="AL262" s="19" t="str">
        <f aca="false">IF(AD262="","",AD262-AK262)</f>
        <v/>
      </c>
      <c r="AM262" s="9" t="str">
        <f aca="false">IF(C262="","","Waiting for payment")</f>
        <v/>
      </c>
      <c r="AN262" s="10"/>
      <c r="AO262" s="10"/>
      <c r="AP262" s="22" t="str">
        <f aca="false">IF(OR(C262="",I262="",K262=""),"",IF(K262="Monthly",EDATE(C262,ROUND(I262*SETTINGS!$I$8,0)),WORKDAY(C262,ROUND(I262*SETTINGS!$I$8,0))))</f>
        <v/>
      </c>
      <c r="AQ262" s="9" t="str">
        <f aca="true">IF(C262="","",IF(AND(AP262&lt;&gt;"",TODAY()&gt;=AP262),"Refi Ready",IF(TODAY()-C262&gt;=SETTINGS!$I$11,"Prospecting","Performing")))</f>
        <v/>
      </c>
      <c r="AR262" s="22" t="str">
        <f aca="false">IF(OR(C262="",I262="",K262=""),"",IF(K262="Monthly",EDATE(C262,I262),WORKDAY(C262,I262)))</f>
        <v/>
      </c>
      <c r="AS262" s="11"/>
      <c r="AT262" s="23" t="str">
        <f aca="true">IF(C262="","",IF(AM262="Clawed Back","CLAWED",IF(TODAY()&lt;=C262+SETTINGS!$I$2,"⚠ AT RISK","SAFE")))</f>
        <v/>
      </c>
      <c r="AU262" s="11"/>
      <c r="AW262" s="24" t="n">
        <f aca="false">AW261+IF(AND(C262&lt;&gt;"",AO262&lt;&gt;"",OR('REP COMMISSION'!$B$3="",T262='REP COMMISSION'!$B$3,W262='REP COMMISSION'!$B$3,Z262='REP COMMISSION'!$B$3)),1,0)</f>
        <v>0</v>
      </c>
      <c r="AX262" s="24" t="n">
        <f aca="false">AX261+IF(AND(C262&lt;&gt;"",OR(F262="LOC - INITIAL",F262="CONSOLIDATION - UPFRONT COMM",F262="REVERSE - TOTAL FUNDING")),1,0)</f>
        <v>0</v>
      </c>
    </row>
    <row r="263" customFormat="false" ht="15" hidden="false" customHeight="false" outlineLevel="0" collapsed="false">
      <c r="A263" s="25" t="str">
        <f aca="false">IF(C263&lt;&gt;"","F27-"&amp;COUNT($C$4:C263),"")</f>
        <v/>
      </c>
      <c r="B263" s="26" t="str">
        <f aca="false">IF(OR(F263="LOC - INITIAL",F263="CONSOLIDATION - UPFRONT COMM",F263="REVERSE - TOTAL FUNDING"),A263,"")</f>
        <v/>
      </c>
      <c r="C263" s="27"/>
      <c r="D263" s="28"/>
      <c r="E263" s="28"/>
      <c r="F263" s="28"/>
      <c r="G263" s="29"/>
      <c r="H263" s="30"/>
      <c r="I263" s="28"/>
      <c r="J263" s="31" t="str">
        <f aca="false">IF(AND(G263&lt;&gt;"",H263&lt;&gt;""),G263*H263,"")</f>
        <v/>
      </c>
      <c r="K263" s="28"/>
      <c r="L263" s="32"/>
      <c r="M263" s="32"/>
      <c r="N263" s="31" t="n">
        <f aca="false">IF(OR(G263="",M263=""),0,IF(M263&gt;100,M263,G263*IF(M263&gt;1,M263/100,M263)))</f>
        <v>0</v>
      </c>
      <c r="O263" s="31" t="str">
        <f aca="false">IF(G263="","",G263*IF(L263="",0,IF(L263&gt;1,L263/100,L263))+N263)</f>
        <v/>
      </c>
      <c r="P263" s="28"/>
      <c r="Q263" s="33" t="str">
        <f aca="false">IF(P263="","",IFERROR(VLOOKUP(P263,PARTNERS!$A$2:$B$30,2,0),""))</f>
        <v/>
      </c>
      <c r="R263" s="17" t="str">
        <f aca="false">IF(O263="","",IF(OR(P263="",Q263=""),0,(O263-N263)*IF(Q263&gt;1,Q263/100,Q263)))</f>
        <v/>
      </c>
      <c r="S263" s="31" t="str">
        <f aca="false">IF(O263="","",O263-R263)</f>
        <v/>
      </c>
      <c r="T263" s="28"/>
      <c r="U263" s="34" t="str">
        <f aca="false">IF(T263="","",IFERROR(VLOOKUP(T263,REPS!$A$2:$D$40,2,0),""))</f>
        <v/>
      </c>
      <c r="V263" s="31" t="str">
        <f aca="false">IF(O263="","",IF(U263="",0,O263*IF(U263&gt;1,U263/100,U263)))</f>
        <v/>
      </c>
      <c r="W263" s="28"/>
      <c r="X263" s="34" t="str">
        <f aca="false">IF(W263="","",IFERROR(VLOOKUP(W263,REPS!$A$2:$D$40,3,0),""))</f>
        <v/>
      </c>
      <c r="Y263" s="31" t="str">
        <f aca="false">IF(O263="","",IF(X263="",0,O263*IF(X263&gt;1,X263/100,X263)))</f>
        <v/>
      </c>
      <c r="Z263" s="28"/>
      <c r="AA263" s="34" t="str">
        <f aca="false">IF(Z263="","",IFERROR(VLOOKUP(Z263,REPS!$A$2:$D$40,4,0),""))</f>
        <v/>
      </c>
      <c r="AB263" s="31" t="str">
        <f aca="false">IF(O263="","",IF(AA263="",0,O263*IF(AA263&gt;1,AA263/100,AA263)))</f>
        <v/>
      </c>
      <c r="AC263" s="31" t="str">
        <f aca="false">IF(O263="","",V263+Y263+AB263)</f>
        <v/>
      </c>
      <c r="AD263" s="19" t="str">
        <f aca="false">IF(O263="","",O263-R263-AC263)</f>
        <v/>
      </c>
      <c r="AE263" s="20"/>
      <c r="AF263" s="27"/>
      <c r="AG263" s="21" t="n">
        <f aca="false">IF(OR(AE263="",AE263=0),0,AE263*IF(U263="",0,IF(U263&gt;1,U263/100,U263)))</f>
        <v>0</v>
      </c>
      <c r="AH263" s="21" t="n">
        <f aca="false">IF(OR(AE263="",AE263=0),0,AE263*IF(X263="",0,IF(X263&gt;1,X263/100,X263)))</f>
        <v>0</v>
      </c>
      <c r="AI263" s="21" t="n">
        <f aca="false">IF(OR(AE263="",AE263=0),0,AE263*IF(AA263="",0,IF(AA263&gt;1,AA263/100,AA263)))</f>
        <v>0</v>
      </c>
      <c r="AJ263" s="21" t="n">
        <f aca="false">AG263+AH263+AI263</f>
        <v>0</v>
      </c>
      <c r="AK263" s="21" t="n">
        <f aca="false">IF(OR(AE263="",AE263=0),0,AE263-AJ263)</f>
        <v>0</v>
      </c>
      <c r="AL263" s="19" t="str">
        <f aca="false">IF(AD263="","",AD263-AK263)</f>
        <v/>
      </c>
      <c r="AM263" s="26" t="str">
        <f aca="false">IF(C263="","","Waiting for payment")</f>
        <v/>
      </c>
      <c r="AN263" s="27"/>
      <c r="AO263" s="27"/>
      <c r="AP263" s="35" t="str">
        <f aca="false">IF(OR(C263="",I263="",K263=""),"",IF(K263="Monthly",EDATE(C263,ROUND(I263*SETTINGS!$I$8,0)),WORKDAY(C263,ROUND(I263*SETTINGS!$I$8,0))))</f>
        <v/>
      </c>
      <c r="AQ263" s="26" t="str">
        <f aca="true">IF(C263="","",IF(AND(AP263&lt;&gt;"",TODAY()&gt;=AP263),"Refi Ready",IF(TODAY()-C263&gt;=SETTINGS!$I$11,"Prospecting","Performing")))</f>
        <v/>
      </c>
      <c r="AR263" s="35" t="str">
        <f aca="false">IF(OR(C263="",I263="",K263=""),"",IF(K263="Monthly",EDATE(C263,I263),WORKDAY(C263,I263)))</f>
        <v/>
      </c>
      <c r="AS263" s="28"/>
      <c r="AT263" s="36" t="str">
        <f aca="true">IF(C263="","",IF(AM263="Clawed Back","CLAWED",IF(TODAY()&lt;=C263+SETTINGS!$I$2,"⚠ AT RISK","SAFE")))</f>
        <v/>
      </c>
      <c r="AU263" s="28"/>
      <c r="AW263" s="24" t="n">
        <f aca="false">AW262+IF(AND(C263&lt;&gt;"",AO263&lt;&gt;"",OR('REP COMMISSION'!$B$3="",T263='REP COMMISSION'!$B$3,W263='REP COMMISSION'!$B$3,Z263='REP COMMISSION'!$B$3)),1,0)</f>
        <v>0</v>
      </c>
      <c r="AX263" s="24" t="n">
        <f aca="false">AX262+IF(AND(C263&lt;&gt;"",OR(F263="LOC - INITIAL",F263="CONSOLIDATION - UPFRONT COMM",F263="REVERSE - TOTAL FUNDING")),1,0)</f>
        <v>0</v>
      </c>
    </row>
    <row r="264" customFormat="false" ht="15" hidden="false" customHeight="false" outlineLevel="0" collapsed="false">
      <c r="A264" s="8" t="str">
        <f aca="false">IF(C264&lt;&gt;"","F27-"&amp;COUNT($C$4:C264),"")</f>
        <v/>
      </c>
      <c r="B264" s="9" t="str">
        <f aca="false">IF(OR(F264="LOC - INITIAL",F264="CONSOLIDATION - UPFRONT COMM",F264="REVERSE - TOTAL FUNDING"),A264,"")</f>
        <v/>
      </c>
      <c r="C264" s="10"/>
      <c r="D264" s="11"/>
      <c r="E264" s="11"/>
      <c r="F264" s="11"/>
      <c r="G264" s="12"/>
      <c r="H264" s="13"/>
      <c r="I264" s="11"/>
      <c r="J264" s="14" t="str">
        <f aca="false">IF(AND(G264&lt;&gt;"",H264&lt;&gt;""),G264*H264,"")</f>
        <v/>
      </c>
      <c r="K264" s="11"/>
      <c r="L264" s="15"/>
      <c r="M264" s="15"/>
      <c r="N264" s="14" t="n">
        <f aca="false">IF(OR(G264="",M264=""),0,IF(M264&gt;100,M264,G264*IF(M264&gt;1,M264/100,M264)))</f>
        <v>0</v>
      </c>
      <c r="O264" s="14" t="str">
        <f aca="false">IF(G264="","",G264*IF(L264="",0,IF(L264&gt;1,L264/100,L264))+N264)</f>
        <v/>
      </c>
      <c r="P264" s="11"/>
      <c r="Q264" s="16" t="str">
        <f aca="false">IF(P264="","",IFERROR(VLOOKUP(P264,PARTNERS!$A$2:$B$30,2,0),""))</f>
        <v/>
      </c>
      <c r="R264" s="17" t="str">
        <f aca="false">IF(O264="","",IF(OR(P264="",Q264=""),0,(O264-N264)*IF(Q264&gt;1,Q264/100,Q264)))</f>
        <v/>
      </c>
      <c r="S264" s="14" t="str">
        <f aca="false">IF(O264="","",O264-R264)</f>
        <v/>
      </c>
      <c r="T264" s="11"/>
      <c r="U264" s="18" t="str">
        <f aca="false">IF(T264="","",IFERROR(VLOOKUP(T264,REPS!$A$2:$D$40,2,0),""))</f>
        <v/>
      </c>
      <c r="V264" s="14" t="str">
        <f aca="false">IF(O264="","",IF(U264="",0,O264*IF(U264&gt;1,U264/100,U264)))</f>
        <v/>
      </c>
      <c r="W264" s="11"/>
      <c r="X264" s="18" t="str">
        <f aca="false">IF(W264="","",IFERROR(VLOOKUP(W264,REPS!$A$2:$D$40,3,0),""))</f>
        <v/>
      </c>
      <c r="Y264" s="14" t="str">
        <f aca="false">IF(O264="","",IF(X264="",0,O264*IF(X264&gt;1,X264/100,X264)))</f>
        <v/>
      </c>
      <c r="Z264" s="11"/>
      <c r="AA264" s="18" t="str">
        <f aca="false">IF(Z264="","",IFERROR(VLOOKUP(Z264,REPS!$A$2:$D$40,4,0),""))</f>
        <v/>
      </c>
      <c r="AB264" s="14" t="str">
        <f aca="false">IF(O264="","",IF(AA264="",0,O264*IF(AA264&gt;1,AA264/100,AA264)))</f>
        <v/>
      </c>
      <c r="AC264" s="14" t="str">
        <f aca="false">IF(O264="","",V264+Y264+AB264)</f>
        <v/>
      </c>
      <c r="AD264" s="19" t="str">
        <f aca="false">IF(O264="","",O264-R264-AC264)</f>
        <v/>
      </c>
      <c r="AE264" s="20"/>
      <c r="AF264" s="10"/>
      <c r="AG264" s="21" t="n">
        <f aca="false">IF(OR(AE264="",AE264=0),0,AE264*IF(U264="",0,IF(U264&gt;1,U264/100,U264)))</f>
        <v>0</v>
      </c>
      <c r="AH264" s="21" t="n">
        <f aca="false">IF(OR(AE264="",AE264=0),0,AE264*IF(X264="",0,IF(X264&gt;1,X264/100,X264)))</f>
        <v>0</v>
      </c>
      <c r="AI264" s="21" t="n">
        <f aca="false">IF(OR(AE264="",AE264=0),0,AE264*IF(AA264="",0,IF(AA264&gt;1,AA264/100,AA264)))</f>
        <v>0</v>
      </c>
      <c r="AJ264" s="21" t="n">
        <f aca="false">AG264+AH264+AI264</f>
        <v>0</v>
      </c>
      <c r="AK264" s="21" t="n">
        <f aca="false">IF(OR(AE264="",AE264=0),0,AE264-AJ264)</f>
        <v>0</v>
      </c>
      <c r="AL264" s="19" t="str">
        <f aca="false">IF(AD264="","",AD264-AK264)</f>
        <v/>
      </c>
      <c r="AM264" s="9" t="str">
        <f aca="false">IF(C264="","","Waiting for payment")</f>
        <v/>
      </c>
      <c r="AN264" s="10"/>
      <c r="AO264" s="10"/>
      <c r="AP264" s="22" t="str">
        <f aca="false">IF(OR(C264="",I264="",K264=""),"",IF(K264="Monthly",EDATE(C264,ROUND(I264*SETTINGS!$I$8,0)),WORKDAY(C264,ROUND(I264*SETTINGS!$I$8,0))))</f>
        <v/>
      </c>
      <c r="AQ264" s="9" t="str">
        <f aca="true">IF(C264="","",IF(AND(AP264&lt;&gt;"",TODAY()&gt;=AP264),"Refi Ready",IF(TODAY()-C264&gt;=SETTINGS!$I$11,"Prospecting","Performing")))</f>
        <v/>
      </c>
      <c r="AR264" s="22" t="str">
        <f aca="false">IF(OR(C264="",I264="",K264=""),"",IF(K264="Monthly",EDATE(C264,I264),WORKDAY(C264,I264)))</f>
        <v/>
      </c>
      <c r="AS264" s="11"/>
      <c r="AT264" s="23" t="str">
        <f aca="true">IF(C264="","",IF(AM264="Clawed Back","CLAWED",IF(TODAY()&lt;=C264+SETTINGS!$I$2,"⚠ AT RISK","SAFE")))</f>
        <v/>
      </c>
      <c r="AU264" s="11"/>
      <c r="AW264" s="24" t="n">
        <f aca="false">AW263+IF(AND(C264&lt;&gt;"",AO264&lt;&gt;"",OR('REP COMMISSION'!$B$3="",T264='REP COMMISSION'!$B$3,W264='REP COMMISSION'!$B$3,Z264='REP COMMISSION'!$B$3)),1,0)</f>
        <v>0</v>
      </c>
      <c r="AX264" s="24" t="n">
        <f aca="false">AX263+IF(AND(C264&lt;&gt;"",OR(F264="LOC - INITIAL",F264="CONSOLIDATION - UPFRONT COMM",F264="REVERSE - TOTAL FUNDING")),1,0)</f>
        <v>0</v>
      </c>
    </row>
    <row r="265" customFormat="false" ht="15" hidden="false" customHeight="false" outlineLevel="0" collapsed="false">
      <c r="A265" s="25" t="str">
        <f aca="false">IF(C265&lt;&gt;"","F27-"&amp;COUNT($C$4:C265),"")</f>
        <v/>
      </c>
      <c r="B265" s="26" t="str">
        <f aca="false">IF(OR(F265="LOC - INITIAL",F265="CONSOLIDATION - UPFRONT COMM",F265="REVERSE - TOTAL FUNDING"),A265,"")</f>
        <v/>
      </c>
      <c r="C265" s="27"/>
      <c r="D265" s="28"/>
      <c r="E265" s="28"/>
      <c r="F265" s="28"/>
      <c r="G265" s="29"/>
      <c r="H265" s="30"/>
      <c r="I265" s="28"/>
      <c r="J265" s="31" t="str">
        <f aca="false">IF(AND(G265&lt;&gt;"",H265&lt;&gt;""),G265*H265,"")</f>
        <v/>
      </c>
      <c r="K265" s="28"/>
      <c r="L265" s="32"/>
      <c r="M265" s="32"/>
      <c r="N265" s="31" t="n">
        <f aca="false">IF(OR(G265="",M265=""),0,IF(M265&gt;100,M265,G265*IF(M265&gt;1,M265/100,M265)))</f>
        <v>0</v>
      </c>
      <c r="O265" s="31" t="str">
        <f aca="false">IF(G265="","",G265*IF(L265="",0,IF(L265&gt;1,L265/100,L265))+N265)</f>
        <v/>
      </c>
      <c r="P265" s="28"/>
      <c r="Q265" s="33" t="str">
        <f aca="false">IF(P265="","",IFERROR(VLOOKUP(P265,PARTNERS!$A$2:$B$30,2,0),""))</f>
        <v/>
      </c>
      <c r="R265" s="17" t="str">
        <f aca="false">IF(O265="","",IF(OR(P265="",Q265=""),0,(O265-N265)*IF(Q265&gt;1,Q265/100,Q265)))</f>
        <v/>
      </c>
      <c r="S265" s="31" t="str">
        <f aca="false">IF(O265="","",O265-R265)</f>
        <v/>
      </c>
      <c r="T265" s="28"/>
      <c r="U265" s="34" t="str">
        <f aca="false">IF(T265="","",IFERROR(VLOOKUP(T265,REPS!$A$2:$D$40,2,0),""))</f>
        <v/>
      </c>
      <c r="V265" s="31" t="str">
        <f aca="false">IF(O265="","",IF(U265="",0,O265*IF(U265&gt;1,U265/100,U265)))</f>
        <v/>
      </c>
      <c r="W265" s="28"/>
      <c r="X265" s="34" t="str">
        <f aca="false">IF(W265="","",IFERROR(VLOOKUP(W265,REPS!$A$2:$D$40,3,0),""))</f>
        <v/>
      </c>
      <c r="Y265" s="31" t="str">
        <f aca="false">IF(O265="","",IF(X265="",0,O265*IF(X265&gt;1,X265/100,X265)))</f>
        <v/>
      </c>
      <c r="Z265" s="28"/>
      <c r="AA265" s="34" t="str">
        <f aca="false">IF(Z265="","",IFERROR(VLOOKUP(Z265,REPS!$A$2:$D$40,4,0),""))</f>
        <v/>
      </c>
      <c r="AB265" s="31" t="str">
        <f aca="false">IF(O265="","",IF(AA265="",0,O265*IF(AA265&gt;1,AA265/100,AA265)))</f>
        <v/>
      </c>
      <c r="AC265" s="31" t="str">
        <f aca="false">IF(O265="","",V265+Y265+AB265)</f>
        <v/>
      </c>
      <c r="AD265" s="19" t="str">
        <f aca="false">IF(O265="","",O265-R265-AC265)</f>
        <v/>
      </c>
      <c r="AE265" s="20"/>
      <c r="AF265" s="27"/>
      <c r="AG265" s="21" t="n">
        <f aca="false">IF(OR(AE265="",AE265=0),0,AE265*IF(U265="",0,IF(U265&gt;1,U265/100,U265)))</f>
        <v>0</v>
      </c>
      <c r="AH265" s="21" t="n">
        <f aca="false">IF(OR(AE265="",AE265=0),0,AE265*IF(X265="",0,IF(X265&gt;1,X265/100,X265)))</f>
        <v>0</v>
      </c>
      <c r="AI265" s="21" t="n">
        <f aca="false">IF(OR(AE265="",AE265=0),0,AE265*IF(AA265="",0,IF(AA265&gt;1,AA265/100,AA265)))</f>
        <v>0</v>
      </c>
      <c r="AJ265" s="21" t="n">
        <f aca="false">AG265+AH265+AI265</f>
        <v>0</v>
      </c>
      <c r="AK265" s="21" t="n">
        <f aca="false">IF(OR(AE265="",AE265=0),0,AE265-AJ265)</f>
        <v>0</v>
      </c>
      <c r="AL265" s="19" t="str">
        <f aca="false">IF(AD265="","",AD265-AK265)</f>
        <v/>
      </c>
      <c r="AM265" s="26" t="str">
        <f aca="false">IF(C265="","","Waiting for payment")</f>
        <v/>
      </c>
      <c r="AN265" s="27"/>
      <c r="AO265" s="27"/>
      <c r="AP265" s="35" t="str">
        <f aca="false">IF(OR(C265="",I265="",K265=""),"",IF(K265="Monthly",EDATE(C265,ROUND(I265*SETTINGS!$I$8,0)),WORKDAY(C265,ROUND(I265*SETTINGS!$I$8,0))))</f>
        <v/>
      </c>
      <c r="AQ265" s="26" t="str">
        <f aca="true">IF(C265="","",IF(AND(AP265&lt;&gt;"",TODAY()&gt;=AP265),"Refi Ready",IF(TODAY()-C265&gt;=SETTINGS!$I$11,"Prospecting","Performing")))</f>
        <v/>
      </c>
      <c r="AR265" s="35" t="str">
        <f aca="false">IF(OR(C265="",I265="",K265=""),"",IF(K265="Monthly",EDATE(C265,I265),WORKDAY(C265,I265)))</f>
        <v/>
      </c>
      <c r="AS265" s="28"/>
      <c r="AT265" s="36" t="str">
        <f aca="true">IF(C265="","",IF(AM265="Clawed Back","CLAWED",IF(TODAY()&lt;=C265+SETTINGS!$I$2,"⚠ AT RISK","SAFE")))</f>
        <v/>
      </c>
      <c r="AU265" s="28"/>
      <c r="AW265" s="24" t="n">
        <f aca="false">AW264+IF(AND(C265&lt;&gt;"",AO265&lt;&gt;"",OR('REP COMMISSION'!$B$3="",T265='REP COMMISSION'!$B$3,W265='REP COMMISSION'!$B$3,Z265='REP COMMISSION'!$B$3)),1,0)</f>
        <v>0</v>
      </c>
      <c r="AX265" s="24" t="n">
        <f aca="false">AX264+IF(AND(C265&lt;&gt;"",OR(F265="LOC - INITIAL",F265="CONSOLIDATION - UPFRONT COMM",F265="REVERSE - TOTAL FUNDING")),1,0)</f>
        <v>0</v>
      </c>
    </row>
    <row r="266" customFormat="false" ht="15" hidden="false" customHeight="false" outlineLevel="0" collapsed="false">
      <c r="A266" s="8" t="str">
        <f aca="false">IF(C266&lt;&gt;"","F27-"&amp;COUNT($C$4:C266),"")</f>
        <v/>
      </c>
      <c r="B266" s="9" t="str">
        <f aca="false">IF(OR(F266="LOC - INITIAL",F266="CONSOLIDATION - UPFRONT COMM",F266="REVERSE - TOTAL FUNDING"),A266,"")</f>
        <v/>
      </c>
      <c r="C266" s="10"/>
      <c r="D266" s="11"/>
      <c r="E266" s="11"/>
      <c r="F266" s="11"/>
      <c r="G266" s="12"/>
      <c r="H266" s="13"/>
      <c r="I266" s="11"/>
      <c r="J266" s="14" t="str">
        <f aca="false">IF(AND(G266&lt;&gt;"",H266&lt;&gt;""),G266*H266,"")</f>
        <v/>
      </c>
      <c r="K266" s="11"/>
      <c r="L266" s="15"/>
      <c r="M266" s="15"/>
      <c r="N266" s="14" t="n">
        <f aca="false">IF(OR(G266="",M266=""),0,IF(M266&gt;100,M266,G266*IF(M266&gt;1,M266/100,M266)))</f>
        <v>0</v>
      </c>
      <c r="O266" s="14" t="str">
        <f aca="false">IF(G266="","",G266*IF(L266="",0,IF(L266&gt;1,L266/100,L266))+N266)</f>
        <v/>
      </c>
      <c r="P266" s="11"/>
      <c r="Q266" s="16" t="str">
        <f aca="false">IF(P266="","",IFERROR(VLOOKUP(P266,PARTNERS!$A$2:$B$30,2,0),""))</f>
        <v/>
      </c>
      <c r="R266" s="17" t="str">
        <f aca="false">IF(O266="","",IF(OR(P266="",Q266=""),0,(O266-N266)*IF(Q266&gt;1,Q266/100,Q266)))</f>
        <v/>
      </c>
      <c r="S266" s="14" t="str">
        <f aca="false">IF(O266="","",O266-R266)</f>
        <v/>
      </c>
      <c r="T266" s="11"/>
      <c r="U266" s="18" t="str">
        <f aca="false">IF(T266="","",IFERROR(VLOOKUP(T266,REPS!$A$2:$D$40,2,0),""))</f>
        <v/>
      </c>
      <c r="V266" s="14" t="str">
        <f aca="false">IF(O266="","",IF(U266="",0,O266*IF(U266&gt;1,U266/100,U266)))</f>
        <v/>
      </c>
      <c r="W266" s="11"/>
      <c r="X266" s="18" t="str">
        <f aca="false">IF(W266="","",IFERROR(VLOOKUP(W266,REPS!$A$2:$D$40,3,0),""))</f>
        <v/>
      </c>
      <c r="Y266" s="14" t="str">
        <f aca="false">IF(O266="","",IF(X266="",0,O266*IF(X266&gt;1,X266/100,X266)))</f>
        <v/>
      </c>
      <c r="Z266" s="11"/>
      <c r="AA266" s="18" t="str">
        <f aca="false">IF(Z266="","",IFERROR(VLOOKUP(Z266,REPS!$A$2:$D$40,4,0),""))</f>
        <v/>
      </c>
      <c r="AB266" s="14" t="str">
        <f aca="false">IF(O266="","",IF(AA266="",0,O266*IF(AA266&gt;1,AA266/100,AA266)))</f>
        <v/>
      </c>
      <c r="AC266" s="14" t="str">
        <f aca="false">IF(O266="","",V266+Y266+AB266)</f>
        <v/>
      </c>
      <c r="AD266" s="19" t="str">
        <f aca="false">IF(O266="","",O266-R266-AC266)</f>
        <v/>
      </c>
      <c r="AE266" s="20"/>
      <c r="AF266" s="10"/>
      <c r="AG266" s="21" t="n">
        <f aca="false">IF(OR(AE266="",AE266=0),0,AE266*IF(U266="",0,IF(U266&gt;1,U266/100,U266)))</f>
        <v>0</v>
      </c>
      <c r="AH266" s="21" t="n">
        <f aca="false">IF(OR(AE266="",AE266=0),0,AE266*IF(X266="",0,IF(X266&gt;1,X266/100,X266)))</f>
        <v>0</v>
      </c>
      <c r="AI266" s="21" t="n">
        <f aca="false">IF(OR(AE266="",AE266=0),0,AE266*IF(AA266="",0,IF(AA266&gt;1,AA266/100,AA266)))</f>
        <v>0</v>
      </c>
      <c r="AJ266" s="21" t="n">
        <f aca="false">AG266+AH266+AI266</f>
        <v>0</v>
      </c>
      <c r="AK266" s="21" t="n">
        <f aca="false">IF(OR(AE266="",AE266=0),0,AE266-AJ266)</f>
        <v>0</v>
      </c>
      <c r="AL266" s="19" t="str">
        <f aca="false">IF(AD266="","",AD266-AK266)</f>
        <v/>
      </c>
      <c r="AM266" s="9" t="str">
        <f aca="false">IF(C266="","","Waiting for payment")</f>
        <v/>
      </c>
      <c r="AN266" s="10"/>
      <c r="AO266" s="10"/>
      <c r="AP266" s="22" t="str">
        <f aca="false">IF(OR(C266="",I266="",K266=""),"",IF(K266="Monthly",EDATE(C266,ROUND(I266*SETTINGS!$I$8,0)),WORKDAY(C266,ROUND(I266*SETTINGS!$I$8,0))))</f>
        <v/>
      </c>
      <c r="AQ266" s="9" t="str">
        <f aca="true">IF(C266="","",IF(AND(AP266&lt;&gt;"",TODAY()&gt;=AP266),"Refi Ready",IF(TODAY()-C266&gt;=SETTINGS!$I$11,"Prospecting","Performing")))</f>
        <v/>
      </c>
      <c r="AR266" s="22" t="str">
        <f aca="false">IF(OR(C266="",I266="",K266=""),"",IF(K266="Monthly",EDATE(C266,I266),WORKDAY(C266,I266)))</f>
        <v/>
      </c>
      <c r="AS266" s="11"/>
      <c r="AT266" s="23" t="str">
        <f aca="true">IF(C266="","",IF(AM266="Clawed Back","CLAWED",IF(TODAY()&lt;=C266+SETTINGS!$I$2,"⚠ AT RISK","SAFE")))</f>
        <v/>
      </c>
      <c r="AU266" s="11"/>
      <c r="AW266" s="24" t="n">
        <f aca="false">AW265+IF(AND(C266&lt;&gt;"",AO266&lt;&gt;"",OR('REP COMMISSION'!$B$3="",T266='REP COMMISSION'!$B$3,W266='REP COMMISSION'!$B$3,Z266='REP COMMISSION'!$B$3)),1,0)</f>
        <v>0</v>
      </c>
      <c r="AX266" s="24" t="n">
        <f aca="false">AX265+IF(AND(C266&lt;&gt;"",OR(F266="LOC - INITIAL",F266="CONSOLIDATION - UPFRONT COMM",F266="REVERSE - TOTAL FUNDING")),1,0)</f>
        <v>0</v>
      </c>
    </row>
    <row r="267" customFormat="false" ht="15" hidden="false" customHeight="false" outlineLevel="0" collapsed="false">
      <c r="A267" s="25" t="str">
        <f aca="false">IF(C267&lt;&gt;"","F27-"&amp;COUNT($C$4:C267),"")</f>
        <v/>
      </c>
      <c r="B267" s="26" t="str">
        <f aca="false">IF(OR(F267="LOC - INITIAL",F267="CONSOLIDATION - UPFRONT COMM",F267="REVERSE - TOTAL FUNDING"),A267,"")</f>
        <v/>
      </c>
      <c r="C267" s="27"/>
      <c r="D267" s="28"/>
      <c r="E267" s="28"/>
      <c r="F267" s="28"/>
      <c r="G267" s="29"/>
      <c r="H267" s="30"/>
      <c r="I267" s="28"/>
      <c r="J267" s="31" t="str">
        <f aca="false">IF(AND(G267&lt;&gt;"",H267&lt;&gt;""),G267*H267,"")</f>
        <v/>
      </c>
      <c r="K267" s="28"/>
      <c r="L267" s="32"/>
      <c r="M267" s="32"/>
      <c r="N267" s="31" t="n">
        <f aca="false">IF(OR(G267="",M267=""),0,IF(M267&gt;100,M267,G267*IF(M267&gt;1,M267/100,M267)))</f>
        <v>0</v>
      </c>
      <c r="O267" s="31" t="str">
        <f aca="false">IF(G267="","",G267*IF(L267="",0,IF(L267&gt;1,L267/100,L267))+N267)</f>
        <v/>
      </c>
      <c r="P267" s="28"/>
      <c r="Q267" s="33" t="str">
        <f aca="false">IF(P267="","",IFERROR(VLOOKUP(P267,PARTNERS!$A$2:$B$30,2,0),""))</f>
        <v/>
      </c>
      <c r="R267" s="17" t="str">
        <f aca="false">IF(O267="","",IF(OR(P267="",Q267=""),0,(O267-N267)*IF(Q267&gt;1,Q267/100,Q267)))</f>
        <v/>
      </c>
      <c r="S267" s="31" t="str">
        <f aca="false">IF(O267="","",O267-R267)</f>
        <v/>
      </c>
      <c r="T267" s="28"/>
      <c r="U267" s="34" t="str">
        <f aca="false">IF(T267="","",IFERROR(VLOOKUP(T267,REPS!$A$2:$D$40,2,0),""))</f>
        <v/>
      </c>
      <c r="V267" s="31" t="str">
        <f aca="false">IF(O267="","",IF(U267="",0,O267*IF(U267&gt;1,U267/100,U267)))</f>
        <v/>
      </c>
      <c r="W267" s="28"/>
      <c r="X267" s="34" t="str">
        <f aca="false">IF(W267="","",IFERROR(VLOOKUP(W267,REPS!$A$2:$D$40,3,0),""))</f>
        <v/>
      </c>
      <c r="Y267" s="31" t="str">
        <f aca="false">IF(O267="","",IF(X267="",0,O267*IF(X267&gt;1,X267/100,X267)))</f>
        <v/>
      </c>
      <c r="Z267" s="28"/>
      <c r="AA267" s="34" t="str">
        <f aca="false">IF(Z267="","",IFERROR(VLOOKUP(Z267,REPS!$A$2:$D$40,4,0),""))</f>
        <v/>
      </c>
      <c r="AB267" s="31" t="str">
        <f aca="false">IF(O267="","",IF(AA267="",0,O267*IF(AA267&gt;1,AA267/100,AA267)))</f>
        <v/>
      </c>
      <c r="AC267" s="31" t="str">
        <f aca="false">IF(O267="","",V267+Y267+AB267)</f>
        <v/>
      </c>
      <c r="AD267" s="19" t="str">
        <f aca="false">IF(O267="","",O267-R267-AC267)</f>
        <v/>
      </c>
      <c r="AE267" s="20"/>
      <c r="AF267" s="27"/>
      <c r="AG267" s="21" t="n">
        <f aca="false">IF(OR(AE267="",AE267=0),0,AE267*IF(U267="",0,IF(U267&gt;1,U267/100,U267)))</f>
        <v>0</v>
      </c>
      <c r="AH267" s="21" t="n">
        <f aca="false">IF(OR(AE267="",AE267=0),0,AE267*IF(X267="",0,IF(X267&gt;1,X267/100,X267)))</f>
        <v>0</v>
      </c>
      <c r="AI267" s="21" t="n">
        <f aca="false">IF(OR(AE267="",AE267=0),0,AE267*IF(AA267="",0,IF(AA267&gt;1,AA267/100,AA267)))</f>
        <v>0</v>
      </c>
      <c r="AJ267" s="21" t="n">
        <f aca="false">AG267+AH267+AI267</f>
        <v>0</v>
      </c>
      <c r="AK267" s="21" t="n">
        <f aca="false">IF(OR(AE267="",AE267=0),0,AE267-AJ267)</f>
        <v>0</v>
      </c>
      <c r="AL267" s="19" t="str">
        <f aca="false">IF(AD267="","",AD267-AK267)</f>
        <v/>
      </c>
      <c r="AM267" s="26" t="str">
        <f aca="false">IF(C267="","","Waiting for payment")</f>
        <v/>
      </c>
      <c r="AN267" s="27"/>
      <c r="AO267" s="27"/>
      <c r="AP267" s="35" t="str">
        <f aca="false">IF(OR(C267="",I267="",K267=""),"",IF(K267="Monthly",EDATE(C267,ROUND(I267*SETTINGS!$I$8,0)),WORKDAY(C267,ROUND(I267*SETTINGS!$I$8,0))))</f>
        <v/>
      </c>
      <c r="AQ267" s="26" t="str">
        <f aca="true">IF(C267="","",IF(AND(AP267&lt;&gt;"",TODAY()&gt;=AP267),"Refi Ready",IF(TODAY()-C267&gt;=SETTINGS!$I$11,"Prospecting","Performing")))</f>
        <v/>
      </c>
      <c r="AR267" s="35" t="str">
        <f aca="false">IF(OR(C267="",I267="",K267=""),"",IF(K267="Monthly",EDATE(C267,I267),WORKDAY(C267,I267)))</f>
        <v/>
      </c>
      <c r="AS267" s="28"/>
      <c r="AT267" s="36" t="str">
        <f aca="true">IF(C267="","",IF(AM267="Clawed Back","CLAWED",IF(TODAY()&lt;=C267+SETTINGS!$I$2,"⚠ AT RISK","SAFE")))</f>
        <v/>
      </c>
      <c r="AU267" s="28"/>
      <c r="AW267" s="24" t="n">
        <f aca="false">AW266+IF(AND(C267&lt;&gt;"",AO267&lt;&gt;"",OR('REP COMMISSION'!$B$3="",T267='REP COMMISSION'!$B$3,W267='REP COMMISSION'!$B$3,Z267='REP COMMISSION'!$B$3)),1,0)</f>
        <v>0</v>
      </c>
      <c r="AX267" s="24" t="n">
        <f aca="false">AX266+IF(AND(C267&lt;&gt;"",OR(F267="LOC - INITIAL",F267="CONSOLIDATION - UPFRONT COMM",F267="REVERSE - TOTAL FUNDING")),1,0)</f>
        <v>0</v>
      </c>
    </row>
    <row r="268" customFormat="false" ht="15" hidden="false" customHeight="false" outlineLevel="0" collapsed="false">
      <c r="A268" s="8" t="str">
        <f aca="false">IF(C268&lt;&gt;"","F27-"&amp;COUNT($C$4:C268),"")</f>
        <v/>
      </c>
      <c r="B268" s="9" t="str">
        <f aca="false">IF(OR(F268="LOC - INITIAL",F268="CONSOLIDATION - UPFRONT COMM",F268="REVERSE - TOTAL FUNDING"),A268,"")</f>
        <v/>
      </c>
      <c r="C268" s="10"/>
      <c r="D268" s="11"/>
      <c r="E268" s="11"/>
      <c r="F268" s="11"/>
      <c r="G268" s="12"/>
      <c r="H268" s="13"/>
      <c r="I268" s="11"/>
      <c r="J268" s="14" t="str">
        <f aca="false">IF(AND(G268&lt;&gt;"",H268&lt;&gt;""),G268*H268,"")</f>
        <v/>
      </c>
      <c r="K268" s="11"/>
      <c r="L268" s="15"/>
      <c r="M268" s="15"/>
      <c r="N268" s="14" t="n">
        <f aca="false">IF(OR(G268="",M268=""),0,IF(M268&gt;100,M268,G268*IF(M268&gt;1,M268/100,M268)))</f>
        <v>0</v>
      </c>
      <c r="O268" s="14" t="str">
        <f aca="false">IF(G268="","",G268*IF(L268="",0,IF(L268&gt;1,L268/100,L268))+N268)</f>
        <v/>
      </c>
      <c r="P268" s="11"/>
      <c r="Q268" s="16" t="str">
        <f aca="false">IF(P268="","",IFERROR(VLOOKUP(P268,PARTNERS!$A$2:$B$30,2,0),""))</f>
        <v/>
      </c>
      <c r="R268" s="17" t="str">
        <f aca="false">IF(O268="","",IF(OR(P268="",Q268=""),0,(O268-N268)*IF(Q268&gt;1,Q268/100,Q268)))</f>
        <v/>
      </c>
      <c r="S268" s="14" t="str">
        <f aca="false">IF(O268="","",O268-R268)</f>
        <v/>
      </c>
      <c r="T268" s="11"/>
      <c r="U268" s="18" t="str">
        <f aca="false">IF(T268="","",IFERROR(VLOOKUP(T268,REPS!$A$2:$D$40,2,0),""))</f>
        <v/>
      </c>
      <c r="V268" s="14" t="str">
        <f aca="false">IF(O268="","",IF(U268="",0,O268*IF(U268&gt;1,U268/100,U268)))</f>
        <v/>
      </c>
      <c r="W268" s="11"/>
      <c r="X268" s="18" t="str">
        <f aca="false">IF(W268="","",IFERROR(VLOOKUP(W268,REPS!$A$2:$D$40,3,0),""))</f>
        <v/>
      </c>
      <c r="Y268" s="14" t="str">
        <f aca="false">IF(O268="","",IF(X268="",0,O268*IF(X268&gt;1,X268/100,X268)))</f>
        <v/>
      </c>
      <c r="Z268" s="11"/>
      <c r="AA268" s="18" t="str">
        <f aca="false">IF(Z268="","",IFERROR(VLOOKUP(Z268,REPS!$A$2:$D$40,4,0),""))</f>
        <v/>
      </c>
      <c r="AB268" s="14" t="str">
        <f aca="false">IF(O268="","",IF(AA268="",0,O268*IF(AA268&gt;1,AA268/100,AA268)))</f>
        <v/>
      </c>
      <c r="AC268" s="14" t="str">
        <f aca="false">IF(O268="","",V268+Y268+AB268)</f>
        <v/>
      </c>
      <c r="AD268" s="19" t="str">
        <f aca="false">IF(O268="","",O268-R268-AC268)</f>
        <v/>
      </c>
      <c r="AE268" s="20"/>
      <c r="AF268" s="10"/>
      <c r="AG268" s="21" t="n">
        <f aca="false">IF(OR(AE268="",AE268=0),0,AE268*IF(U268="",0,IF(U268&gt;1,U268/100,U268)))</f>
        <v>0</v>
      </c>
      <c r="AH268" s="21" t="n">
        <f aca="false">IF(OR(AE268="",AE268=0),0,AE268*IF(X268="",0,IF(X268&gt;1,X268/100,X268)))</f>
        <v>0</v>
      </c>
      <c r="AI268" s="21" t="n">
        <f aca="false">IF(OR(AE268="",AE268=0),0,AE268*IF(AA268="",0,IF(AA268&gt;1,AA268/100,AA268)))</f>
        <v>0</v>
      </c>
      <c r="AJ268" s="21" t="n">
        <f aca="false">AG268+AH268+AI268</f>
        <v>0</v>
      </c>
      <c r="AK268" s="21" t="n">
        <f aca="false">IF(OR(AE268="",AE268=0),0,AE268-AJ268)</f>
        <v>0</v>
      </c>
      <c r="AL268" s="19" t="str">
        <f aca="false">IF(AD268="","",AD268-AK268)</f>
        <v/>
      </c>
      <c r="AM268" s="9" t="str">
        <f aca="false">IF(C268="","","Waiting for payment")</f>
        <v/>
      </c>
      <c r="AN268" s="10"/>
      <c r="AO268" s="10"/>
      <c r="AP268" s="22" t="str">
        <f aca="false">IF(OR(C268="",I268="",K268=""),"",IF(K268="Monthly",EDATE(C268,ROUND(I268*SETTINGS!$I$8,0)),WORKDAY(C268,ROUND(I268*SETTINGS!$I$8,0))))</f>
        <v/>
      </c>
      <c r="AQ268" s="9" t="str">
        <f aca="true">IF(C268="","",IF(AND(AP268&lt;&gt;"",TODAY()&gt;=AP268),"Refi Ready",IF(TODAY()-C268&gt;=SETTINGS!$I$11,"Prospecting","Performing")))</f>
        <v/>
      </c>
      <c r="AR268" s="22" t="str">
        <f aca="false">IF(OR(C268="",I268="",K268=""),"",IF(K268="Monthly",EDATE(C268,I268),WORKDAY(C268,I268)))</f>
        <v/>
      </c>
      <c r="AS268" s="11"/>
      <c r="AT268" s="23" t="str">
        <f aca="true">IF(C268="","",IF(AM268="Clawed Back","CLAWED",IF(TODAY()&lt;=C268+SETTINGS!$I$2,"⚠ AT RISK","SAFE")))</f>
        <v/>
      </c>
      <c r="AU268" s="11"/>
      <c r="AW268" s="24" t="n">
        <f aca="false">AW267+IF(AND(C268&lt;&gt;"",AO268&lt;&gt;"",OR('REP COMMISSION'!$B$3="",T268='REP COMMISSION'!$B$3,W268='REP COMMISSION'!$B$3,Z268='REP COMMISSION'!$B$3)),1,0)</f>
        <v>0</v>
      </c>
      <c r="AX268" s="24" t="n">
        <f aca="false">AX267+IF(AND(C268&lt;&gt;"",OR(F268="LOC - INITIAL",F268="CONSOLIDATION - UPFRONT COMM",F268="REVERSE - TOTAL FUNDING")),1,0)</f>
        <v>0</v>
      </c>
    </row>
    <row r="269" customFormat="false" ht="15" hidden="false" customHeight="false" outlineLevel="0" collapsed="false">
      <c r="A269" s="25" t="str">
        <f aca="false">IF(C269&lt;&gt;"","F27-"&amp;COUNT($C$4:C269),"")</f>
        <v/>
      </c>
      <c r="B269" s="26" t="str">
        <f aca="false">IF(OR(F269="LOC - INITIAL",F269="CONSOLIDATION - UPFRONT COMM",F269="REVERSE - TOTAL FUNDING"),A269,"")</f>
        <v/>
      </c>
      <c r="C269" s="27"/>
      <c r="D269" s="28"/>
      <c r="E269" s="28"/>
      <c r="F269" s="28"/>
      <c r="G269" s="29"/>
      <c r="H269" s="30"/>
      <c r="I269" s="28"/>
      <c r="J269" s="31" t="str">
        <f aca="false">IF(AND(G269&lt;&gt;"",H269&lt;&gt;""),G269*H269,"")</f>
        <v/>
      </c>
      <c r="K269" s="28"/>
      <c r="L269" s="32"/>
      <c r="M269" s="32"/>
      <c r="N269" s="31" t="n">
        <f aca="false">IF(OR(G269="",M269=""),0,IF(M269&gt;100,M269,G269*IF(M269&gt;1,M269/100,M269)))</f>
        <v>0</v>
      </c>
      <c r="O269" s="31" t="str">
        <f aca="false">IF(G269="","",G269*IF(L269="",0,IF(L269&gt;1,L269/100,L269))+N269)</f>
        <v/>
      </c>
      <c r="P269" s="28"/>
      <c r="Q269" s="33" t="str">
        <f aca="false">IF(P269="","",IFERROR(VLOOKUP(P269,PARTNERS!$A$2:$B$30,2,0),""))</f>
        <v/>
      </c>
      <c r="R269" s="17" t="str">
        <f aca="false">IF(O269="","",IF(OR(P269="",Q269=""),0,(O269-N269)*IF(Q269&gt;1,Q269/100,Q269)))</f>
        <v/>
      </c>
      <c r="S269" s="31" t="str">
        <f aca="false">IF(O269="","",O269-R269)</f>
        <v/>
      </c>
      <c r="T269" s="28"/>
      <c r="U269" s="34" t="str">
        <f aca="false">IF(T269="","",IFERROR(VLOOKUP(T269,REPS!$A$2:$D$40,2,0),""))</f>
        <v/>
      </c>
      <c r="V269" s="31" t="str">
        <f aca="false">IF(O269="","",IF(U269="",0,O269*IF(U269&gt;1,U269/100,U269)))</f>
        <v/>
      </c>
      <c r="W269" s="28"/>
      <c r="X269" s="34" t="str">
        <f aca="false">IF(W269="","",IFERROR(VLOOKUP(W269,REPS!$A$2:$D$40,3,0),""))</f>
        <v/>
      </c>
      <c r="Y269" s="31" t="str">
        <f aca="false">IF(O269="","",IF(X269="",0,O269*IF(X269&gt;1,X269/100,X269)))</f>
        <v/>
      </c>
      <c r="Z269" s="28"/>
      <c r="AA269" s="34" t="str">
        <f aca="false">IF(Z269="","",IFERROR(VLOOKUP(Z269,REPS!$A$2:$D$40,4,0),""))</f>
        <v/>
      </c>
      <c r="AB269" s="31" t="str">
        <f aca="false">IF(O269="","",IF(AA269="",0,O269*IF(AA269&gt;1,AA269/100,AA269)))</f>
        <v/>
      </c>
      <c r="AC269" s="31" t="str">
        <f aca="false">IF(O269="","",V269+Y269+AB269)</f>
        <v/>
      </c>
      <c r="AD269" s="19" t="str">
        <f aca="false">IF(O269="","",O269-R269-AC269)</f>
        <v/>
      </c>
      <c r="AE269" s="20"/>
      <c r="AF269" s="27"/>
      <c r="AG269" s="21" t="n">
        <f aca="false">IF(OR(AE269="",AE269=0),0,AE269*IF(U269="",0,IF(U269&gt;1,U269/100,U269)))</f>
        <v>0</v>
      </c>
      <c r="AH269" s="21" t="n">
        <f aca="false">IF(OR(AE269="",AE269=0),0,AE269*IF(X269="",0,IF(X269&gt;1,X269/100,X269)))</f>
        <v>0</v>
      </c>
      <c r="AI269" s="21" t="n">
        <f aca="false">IF(OR(AE269="",AE269=0),0,AE269*IF(AA269="",0,IF(AA269&gt;1,AA269/100,AA269)))</f>
        <v>0</v>
      </c>
      <c r="AJ269" s="21" t="n">
        <f aca="false">AG269+AH269+AI269</f>
        <v>0</v>
      </c>
      <c r="AK269" s="21" t="n">
        <f aca="false">IF(OR(AE269="",AE269=0),0,AE269-AJ269)</f>
        <v>0</v>
      </c>
      <c r="AL269" s="19" t="str">
        <f aca="false">IF(AD269="","",AD269-AK269)</f>
        <v/>
      </c>
      <c r="AM269" s="26" t="str">
        <f aca="false">IF(C269="","","Waiting for payment")</f>
        <v/>
      </c>
      <c r="AN269" s="27"/>
      <c r="AO269" s="27"/>
      <c r="AP269" s="35" t="str">
        <f aca="false">IF(OR(C269="",I269="",K269=""),"",IF(K269="Monthly",EDATE(C269,ROUND(I269*SETTINGS!$I$8,0)),WORKDAY(C269,ROUND(I269*SETTINGS!$I$8,0))))</f>
        <v/>
      </c>
      <c r="AQ269" s="26" t="str">
        <f aca="true">IF(C269="","",IF(AND(AP269&lt;&gt;"",TODAY()&gt;=AP269),"Refi Ready",IF(TODAY()-C269&gt;=SETTINGS!$I$11,"Prospecting","Performing")))</f>
        <v/>
      </c>
      <c r="AR269" s="35" t="str">
        <f aca="false">IF(OR(C269="",I269="",K269=""),"",IF(K269="Monthly",EDATE(C269,I269),WORKDAY(C269,I269)))</f>
        <v/>
      </c>
      <c r="AS269" s="28"/>
      <c r="AT269" s="36" t="str">
        <f aca="true">IF(C269="","",IF(AM269="Clawed Back","CLAWED",IF(TODAY()&lt;=C269+SETTINGS!$I$2,"⚠ AT RISK","SAFE")))</f>
        <v/>
      </c>
      <c r="AU269" s="28"/>
      <c r="AW269" s="24" t="n">
        <f aca="false">AW268+IF(AND(C269&lt;&gt;"",AO269&lt;&gt;"",OR('REP COMMISSION'!$B$3="",T269='REP COMMISSION'!$B$3,W269='REP COMMISSION'!$B$3,Z269='REP COMMISSION'!$B$3)),1,0)</f>
        <v>0</v>
      </c>
      <c r="AX269" s="24" t="n">
        <f aca="false">AX268+IF(AND(C269&lt;&gt;"",OR(F269="LOC - INITIAL",F269="CONSOLIDATION - UPFRONT COMM",F269="REVERSE - TOTAL FUNDING")),1,0)</f>
        <v>0</v>
      </c>
    </row>
    <row r="270" customFormat="false" ht="15" hidden="false" customHeight="false" outlineLevel="0" collapsed="false">
      <c r="A270" s="8" t="str">
        <f aca="false">IF(C270&lt;&gt;"","F27-"&amp;COUNT($C$4:C270),"")</f>
        <v/>
      </c>
      <c r="B270" s="9" t="str">
        <f aca="false">IF(OR(F270="LOC - INITIAL",F270="CONSOLIDATION - UPFRONT COMM",F270="REVERSE - TOTAL FUNDING"),A270,"")</f>
        <v/>
      </c>
      <c r="C270" s="10"/>
      <c r="D270" s="11"/>
      <c r="E270" s="11"/>
      <c r="F270" s="11"/>
      <c r="G270" s="12"/>
      <c r="H270" s="13"/>
      <c r="I270" s="11"/>
      <c r="J270" s="14" t="str">
        <f aca="false">IF(AND(G270&lt;&gt;"",H270&lt;&gt;""),G270*H270,"")</f>
        <v/>
      </c>
      <c r="K270" s="11"/>
      <c r="L270" s="15"/>
      <c r="M270" s="15"/>
      <c r="N270" s="14" t="n">
        <f aca="false">IF(OR(G270="",M270=""),0,IF(M270&gt;100,M270,G270*IF(M270&gt;1,M270/100,M270)))</f>
        <v>0</v>
      </c>
      <c r="O270" s="14" t="str">
        <f aca="false">IF(G270="","",G270*IF(L270="",0,IF(L270&gt;1,L270/100,L270))+N270)</f>
        <v/>
      </c>
      <c r="P270" s="11"/>
      <c r="Q270" s="16" t="str">
        <f aca="false">IF(P270="","",IFERROR(VLOOKUP(P270,PARTNERS!$A$2:$B$30,2,0),""))</f>
        <v/>
      </c>
      <c r="R270" s="17" t="str">
        <f aca="false">IF(O270="","",IF(OR(P270="",Q270=""),0,(O270-N270)*IF(Q270&gt;1,Q270/100,Q270)))</f>
        <v/>
      </c>
      <c r="S270" s="14" t="str">
        <f aca="false">IF(O270="","",O270-R270)</f>
        <v/>
      </c>
      <c r="T270" s="11"/>
      <c r="U270" s="18" t="str">
        <f aca="false">IF(T270="","",IFERROR(VLOOKUP(T270,REPS!$A$2:$D$40,2,0),""))</f>
        <v/>
      </c>
      <c r="V270" s="14" t="str">
        <f aca="false">IF(O270="","",IF(U270="",0,O270*IF(U270&gt;1,U270/100,U270)))</f>
        <v/>
      </c>
      <c r="W270" s="11"/>
      <c r="X270" s="18" t="str">
        <f aca="false">IF(W270="","",IFERROR(VLOOKUP(W270,REPS!$A$2:$D$40,3,0),""))</f>
        <v/>
      </c>
      <c r="Y270" s="14" t="str">
        <f aca="false">IF(O270="","",IF(X270="",0,O270*IF(X270&gt;1,X270/100,X270)))</f>
        <v/>
      </c>
      <c r="Z270" s="11"/>
      <c r="AA270" s="18" t="str">
        <f aca="false">IF(Z270="","",IFERROR(VLOOKUP(Z270,REPS!$A$2:$D$40,4,0),""))</f>
        <v/>
      </c>
      <c r="AB270" s="14" t="str">
        <f aca="false">IF(O270="","",IF(AA270="",0,O270*IF(AA270&gt;1,AA270/100,AA270)))</f>
        <v/>
      </c>
      <c r="AC270" s="14" t="str">
        <f aca="false">IF(O270="","",V270+Y270+AB270)</f>
        <v/>
      </c>
      <c r="AD270" s="19" t="str">
        <f aca="false">IF(O270="","",O270-R270-AC270)</f>
        <v/>
      </c>
      <c r="AE270" s="20"/>
      <c r="AF270" s="10"/>
      <c r="AG270" s="21" t="n">
        <f aca="false">IF(OR(AE270="",AE270=0),0,AE270*IF(U270="",0,IF(U270&gt;1,U270/100,U270)))</f>
        <v>0</v>
      </c>
      <c r="AH270" s="21" t="n">
        <f aca="false">IF(OR(AE270="",AE270=0),0,AE270*IF(X270="",0,IF(X270&gt;1,X270/100,X270)))</f>
        <v>0</v>
      </c>
      <c r="AI270" s="21" t="n">
        <f aca="false">IF(OR(AE270="",AE270=0),0,AE270*IF(AA270="",0,IF(AA270&gt;1,AA270/100,AA270)))</f>
        <v>0</v>
      </c>
      <c r="AJ270" s="21" t="n">
        <f aca="false">AG270+AH270+AI270</f>
        <v>0</v>
      </c>
      <c r="AK270" s="21" t="n">
        <f aca="false">IF(OR(AE270="",AE270=0),0,AE270-AJ270)</f>
        <v>0</v>
      </c>
      <c r="AL270" s="19" t="str">
        <f aca="false">IF(AD270="","",AD270-AK270)</f>
        <v/>
      </c>
      <c r="AM270" s="9" t="str">
        <f aca="false">IF(C270="","","Waiting for payment")</f>
        <v/>
      </c>
      <c r="AN270" s="10"/>
      <c r="AO270" s="10"/>
      <c r="AP270" s="22" t="str">
        <f aca="false">IF(OR(C270="",I270="",K270=""),"",IF(K270="Monthly",EDATE(C270,ROUND(I270*SETTINGS!$I$8,0)),WORKDAY(C270,ROUND(I270*SETTINGS!$I$8,0))))</f>
        <v/>
      </c>
      <c r="AQ270" s="9" t="str">
        <f aca="true">IF(C270="","",IF(AND(AP270&lt;&gt;"",TODAY()&gt;=AP270),"Refi Ready",IF(TODAY()-C270&gt;=SETTINGS!$I$11,"Prospecting","Performing")))</f>
        <v/>
      </c>
      <c r="AR270" s="22" t="str">
        <f aca="false">IF(OR(C270="",I270="",K270=""),"",IF(K270="Monthly",EDATE(C270,I270),WORKDAY(C270,I270)))</f>
        <v/>
      </c>
      <c r="AS270" s="11"/>
      <c r="AT270" s="23" t="str">
        <f aca="true">IF(C270="","",IF(AM270="Clawed Back","CLAWED",IF(TODAY()&lt;=C270+SETTINGS!$I$2,"⚠ AT RISK","SAFE")))</f>
        <v/>
      </c>
      <c r="AU270" s="11"/>
      <c r="AW270" s="24" t="n">
        <f aca="false">AW269+IF(AND(C270&lt;&gt;"",AO270&lt;&gt;"",OR('REP COMMISSION'!$B$3="",T270='REP COMMISSION'!$B$3,W270='REP COMMISSION'!$B$3,Z270='REP COMMISSION'!$B$3)),1,0)</f>
        <v>0</v>
      </c>
      <c r="AX270" s="24" t="n">
        <f aca="false">AX269+IF(AND(C270&lt;&gt;"",OR(F270="LOC - INITIAL",F270="CONSOLIDATION - UPFRONT COMM",F270="REVERSE - TOTAL FUNDING")),1,0)</f>
        <v>0</v>
      </c>
    </row>
    <row r="271" customFormat="false" ht="15" hidden="false" customHeight="false" outlineLevel="0" collapsed="false">
      <c r="A271" s="25" t="str">
        <f aca="false">IF(C271&lt;&gt;"","F27-"&amp;COUNT($C$4:C271),"")</f>
        <v/>
      </c>
      <c r="B271" s="26" t="str">
        <f aca="false">IF(OR(F271="LOC - INITIAL",F271="CONSOLIDATION - UPFRONT COMM",F271="REVERSE - TOTAL FUNDING"),A271,"")</f>
        <v/>
      </c>
      <c r="C271" s="27"/>
      <c r="D271" s="28"/>
      <c r="E271" s="28"/>
      <c r="F271" s="28"/>
      <c r="G271" s="29"/>
      <c r="H271" s="30"/>
      <c r="I271" s="28"/>
      <c r="J271" s="31" t="str">
        <f aca="false">IF(AND(G271&lt;&gt;"",H271&lt;&gt;""),G271*H271,"")</f>
        <v/>
      </c>
      <c r="K271" s="28"/>
      <c r="L271" s="32"/>
      <c r="M271" s="32"/>
      <c r="N271" s="31" t="n">
        <f aca="false">IF(OR(G271="",M271=""),0,IF(M271&gt;100,M271,G271*IF(M271&gt;1,M271/100,M271)))</f>
        <v>0</v>
      </c>
      <c r="O271" s="31" t="str">
        <f aca="false">IF(G271="","",G271*IF(L271="",0,IF(L271&gt;1,L271/100,L271))+N271)</f>
        <v/>
      </c>
      <c r="P271" s="28"/>
      <c r="Q271" s="33" t="str">
        <f aca="false">IF(P271="","",IFERROR(VLOOKUP(P271,PARTNERS!$A$2:$B$30,2,0),""))</f>
        <v/>
      </c>
      <c r="R271" s="17" t="str">
        <f aca="false">IF(O271="","",IF(OR(P271="",Q271=""),0,(O271-N271)*IF(Q271&gt;1,Q271/100,Q271)))</f>
        <v/>
      </c>
      <c r="S271" s="31" t="str">
        <f aca="false">IF(O271="","",O271-R271)</f>
        <v/>
      </c>
      <c r="T271" s="28"/>
      <c r="U271" s="34" t="str">
        <f aca="false">IF(T271="","",IFERROR(VLOOKUP(T271,REPS!$A$2:$D$40,2,0),""))</f>
        <v/>
      </c>
      <c r="V271" s="31" t="str">
        <f aca="false">IF(O271="","",IF(U271="",0,O271*IF(U271&gt;1,U271/100,U271)))</f>
        <v/>
      </c>
      <c r="W271" s="28"/>
      <c r="X271" s="34" t="str">
        <f aca="false">IF(W271="","",IFERROR(VLOOKUP(W271,REPS!$A$2:$D$40,3,0),""))</f>
        <v/>
      </c>
      <c r="Y271" s="31" t="str">
        <f aca="false">IF(O271="","",IF(X271="",0,O271*IF(X271&gt;1,X271/100,X271)))</f>
        <v/>
      </c>
      <c r="Z271" s="28"/>
      <c r="AA271" s="34" t="str">
        <f aca="false">IF(Z271="","",IFERROR(VLOOKUP(Z271,REPS!$A$2:$D$40,4,0),""))</f>
        <v/>
      </c>
      <c r="AB271" s="31" t="str">
        <f aca="false">IF(O271="","",IF(AA271="",0,O271*IF(AA271&gt;1,AA271/100,AA271)))</f>
        <v/>
      </c>
      <c r="AC271" s="31" t="str">
        <f aca="false">IF(O271="","",V271+Y271+AB271)</f>
        <v/>
      </c>
      <c r="AD271" s="19" t="str">
        <f aca="false">IF(O271="","",O271-R271-AC271)</f>
        <v/>
      </c>
      <c r="AE271" s="20"/>
      <c r="AF271" s="27"/>
      <c r="AG271" s="21" t="n">
        <f aca="false">IF(OR(AE271="",AE271=0),0,AE271*IF(U271="",0,IF(U271&gt;1,U271/100,U271)))</f>
        <v>0</v>
      </c>
      <c r="AH271" s="21" t="n">
        <f aca="false">IF(OR(AE271="",AE271=0),0,AE271*IF(X271="",0,IF(X271&gt;1,X271/100,X271)))</f>
        <v>0</v>
      </c>
      <c r="AI271" s="21" t="n">
        <f aca="false">IF(OR(AE271="",AE271=0),0,AE271*IF(AA271="",0,IF(AA271&gt;1,AA271/100,AA271)))</f>
        <v>0</v>
      </c>
      <c r="AJ271" s="21" t="n">
        <f aca="false">AG271+AH271+AI271</f>
        <v>0</v>
      </c>
      <c r="AK271" s="21" t="n">
        <f aca="false">IF(OR(AE271="",AE271=0),0,AE271-AJ271)</f>
        <v>0</v>
      </c>
      <c r="AL271" s="19" t="str">
        <f aca="false">IF(AD271="","",AD271-AK271)</f>
        <v/>
      </c>
      <c r="AM271" s="26" t="str">
        <f aca="false">IF(C271="","","Waiting for payment")</f>
        <v/>
      </c>
      <c r="AN271" s="27"/>
      <c r="AO271" s="27"/>
      <c r="AP271" s="35" t="str">
        <f aca="false">IF(OR(C271="",I271="",K271=""),"",IF(K271="Monthly",EDATE(C271,ROUND(I271*SETTINGS!$I$8,0)),WORKDAY(C271,ROUND(I271*SETTINGS!$I$8,0))))</f>
        <v/>
      </c>
      <c r="AQ271" s="26" t="str">
        <f aca="true">IF(C271="","",IF(AND(AP271&lt;&gt;"",TODAY()&gt;=AP271),"Refi Ready",IF(TODAY()-C271&gt;=SETTINGS!$I$11,"Prospecting","Performing")))</f>
        <v/>
      </c>
      <c r="AR271" s="35" t="str">
        <f aca="false">IF(OR(C271="",I271="",K271=""),"",IF(K271="Monthly",EDATE(C271,I271),WORKDAY(C271,I271)))</f>
        <v/>
      </c>
      <c r="AS271" s="28"/>
      <c r="AT271" s="36" t="str">
        <f aca="true">IF(C271="","",IF(AM271="Clawed Back","CLAWED",IF(TODAY()&lt;=C271+SETTINGS!$I$2,"⚠ AT RISK","SAFE")))</f>
        <v/>
      </c>
      <c r="AU271" s="28"/>
      <c r="AW271" s="24" t="n">
        <f aca="false">AW270+IF(AND(C271&lt;&gt;"",AO271&lt;&gt;"",OR('REP COMMISSION'!$B$3="",T271='REP COMMISSION'!$B$3,W271='REP COMMISSION'!$B$3,Z271='REP COMMISSION'!$B$3)),1,0)</f>
        <v>0</v>
      </c>
      <c r="AX271" s="24" t="n">
        <f aca="false">AX270+IF(AND(C271&lt;&gt;"",OR(F271="LOC - INITIAL",F271="CONSOLIDATION - UPFRONT COMM",F271="REVERSE - TOTAL FUNDING")),1,0)</f>
        <v>0</v>
      </c>
    </row>
    <row r="272" customFormat="false" ht="15" hidden="false" customHeight="false" outlineLevel="0" collapsed="false">
      <c r="A272" s="8" t="str">
        <f aca="false">IF(C272&lt;&gt;"","F27-"&amp;COUNT($C$4:C272),"")</f>
        <v/>
      </c>
      <c r="B272" s="9" t="str">
        <f aca="false">IF(OR(F272="LOC - INITIAL",F272="CONSOLIDATION - UPFRONT COMM",F272="REVERSE - TOTAL FUNDING"),A272,"")</f>
        <v/>
      </c>
      <c r="C272" s="10"/>
      <c r="D272" s="11"/>
      <c r="E272" s="11"/>
      <c r="F272" s="11"/>
      <c r="G272" s="12"/>
      <c r="H272" s="13"/>
      <c r="I272" s="11"/>
      <c r="J272" s="14" t="str">
        <f aca="false">IF(AND(G272&lt;&gt;"",H272&lt;&gt;""),G272*H272,"")</f>
        <v/>
      </c>
      <c r="K272" s="11"/>
      <c r="L272" s="15"/>
      <c r="M272" s="15"/>
      <c r="N272" s="14" t="n">
        <f aca="false">IF(OR(G272="",M272=""),0,IF(M272&gt;100,M272,G272*IF(M272&gt;1,M272/100,M272)))</f>
        <v>0</v>
      </c>
      <c r="O272" s="14" t="str">
        <f aca="false">IF(G272="","",G272*IF(L272="",0,IF(L272&gt;1,L272/100,L272))+N272)</f>
        <v/>
      </c>
      <c r="P272" s="11"/>
      <c r="Q272" s="16" t="str">
        <f aca="false">IF(P272="","",IFERROR(VLOOKUP(P272,PARTNERS!$A$2:$B$30,2,0),""))</f>
        <v/>
      </c>
      <c r="R272" s="17" t="str">
        <f aca="false">IF(O272="","",IF(OR(P272="",Q272=""),0,(O272-N272)*IF(Q272&gt;1,Q272/100,Q272)))</f>
        <v/>
      </c>
      <c r="S272" s="14" t="str">
        <f aca="false">IF(O272="","",O272-R272)</f>
        <v/>
      </c>
      <c r="T272" s="11"/>
      <c r="U272" s="18" t="str">
        <f aca="false">IF(T272="","",IFERROR(VLOOKUP(T272,REPS!$A$2:$D$40,2,0),""))</f>
        <v/>
      </c>
      <c r="V272" s="14" t="str">
        <f aca="false">IF(O272="","",IF(U272="",0,O272*IF(U272&gt;1,U272/100,U272)))</f>
        <v/>
      </c>
      <c r="W272" s="11"/>
      <c r="X272" s="18" t="str">
        <f aca="false">IF(W272="","",IFERROR(VLOOKUP(W272,REPS!$A$2:$D$40,3,0),""))</f>
        <v/>
      </c>
      <c r="Y272" s="14" t="str">
        <f aca="false">IF(O272="","",IF(X272="",0,O272*IF(X272&gt;1,X272/100,X272)))</f>
        <v/>
      </c>
      <c r="Z272" s="11"/>
      <c r="AA272" s="18" t="str">
        <f aca="false">IF(Z272="","",IFERROR(VLOOKUP(Z272,REPS!$A$2:$D$40,4,0),""))</f>
        <v/>
      </c>
      <c r="AB272" s="14" t="str">
        <f aca="false">IF(O272="","",IF(AA272="",0,O272*IF(AA272&gt;1,AA272/100,AA272)))</f>
        <v/>
      </c>
      <c r="AC272" s="14" t="str">
        <f aca="false">IF(O272="","",V272+Y272+AB272)</f>
        <v/>
      </c>
      <c r="AD272" s="19" t="str">
        <f aca="false">IF(O272="","",O272-R272-AC272)</f>
        <v/>
      </c>
      <c r="AE272" s="20"/>
      <c r="AF272" s="10"/>
      <c r="AG272" s="21" t="n">
        <f aca="false">IF(OR(AE272="",AE272=0),0,AE272*IF(U272="",0,IF(U272&gt;1,U272/100,U272)))</f>
        <v>0</v>
      </c>
      <c r="AH272" s="21" t="n">
        <f aca="false">IF(OR(AE272="",AE272=0),0,AE272*IF(X272="",0,IF(X272&gt;1,X272/100,X272)))</f>
        <v>0</v>
      </c>
      <c r="AI272" s="21" t="n">
        <f aca="false">IF(OR(AE272="",AE272=0),0,AE272*IF(AA272="",0,IF(AA272&gt;1,AA272/100,AA272)))</f>
        <v>0</v>
      </c>
      <c r="AJ272" s="21" t="n">
        <f aca="false">AG272+AH272+AI272</f>
        <v>0</v>
      </c>
      <c r="AK272" s="21" t="n">
        <f aca="false">IF(OR(AE272="",AE272=0),0,AE272-AJ272)</f>
        <v>0</v>
      </c>
      <c r="AL272" s="19" t="str">
        <f aca="false">IF(AD272="","",AD272-AK272)</f>
        <v/>
      </c>
      <c r="AM272" s="9" t="str">
        <f aca="false">IF(C272="","","Waiting for payment")</f>
        <v/>
      </c>
      <c r="AN272" s="10"/>
      <c r="AO272" s="10"/>
      <c r="AP272" s="22" t="str">
        <f aca="false">IF(OR(C272="",I272="",K272=""),"",IF(K272="Monthly",EDATE(C272,ROUND(I272*SETTINGS!$I$8,0)),WORKDAY(C272,ROUND(I272*SETTINGS!$I$8,0))))</f>
        <v/>
      </c>
      <c r="AQ272" s="9" t="str">
        <f aca="true">IF(C272="","",IF(AND(AP272&lt;&gt;"",TODAY()&gt;=AP272),"Refi Ready",IF(TODAY()-C272&gt;=SETTINGS!$I$11,"Prospecting","Performing")))</f>
        <v/>
      </c>
      <c r="AR272" s="22" t="str">
        <f aca="false">IF(OR(C272="",I272="",K272=""),"",IF(K272="Monthly",EDATE(C272,I272),WORKDAY(C272,I272)))</f>
        <v/>
      </c>
      <c r="AS272" s="11"/>
      <c r="AT272" s="23" t="str">
        <f aca="true">IF(C272="","",IF(AM272="Clawed Back","CLAWED",IF(TODAY()&lt;=C272+SETTINGS!$I$2,"⚠ AT RISK","SAFE")))</f>
        <v/>
      </c>
      <c r="AU272" s="11"/>
      <c r="AW272" s="24" t="n">
        <f aca="false">AW271+IF(AND(C272&lt;&gt;"",AO272&lt;&gt;"",OR('REP COMMISSION'!$B$3="",T272='REP COMMISSION'!$B$3,W272='REP COMMISSION'!$B$3,Z272='REP COMMISSION'!$B$3)),1,0)</f>
        <v>0</v>
      </c>
      <c r="AX272" s="24" t="n">
        <f aca="false">AX271+IF(AND(C272&lt;&gt;"",OR(F272="LOC - INITIAL",F272="CONSOLIDATION - UPFRONT COMM",F272="REVERSE - TOTAL FUNDING")),1,0)</f>
        <v>0</v>
      </c>
    </row>
    <row r="273" customFormat="false" ht="15" hidden="false" customHeight="false" outlineLevel="0" collapsed="false">
      <c r="A273" s="25" t="str">
        <f aca="false">IF(C273&lt;&gt;"","F27-"&amp;COUNT($C$4:C273),"")</f>
        <v/>
      </c>
      <c r="B273" s="26" t="str">
        <f aca="false">IF(OR(F273="LOC - INITIAL",F273="CONSOLIDATION - UPFRONT COMM",F273="REVERSE - TOTAL FUNDING"),A273,"")</f>
        <v/>
      </c>
      <c r="C273" s="27"/>
      <c r="D273" s="28"/>
      <c r="E273" s="28"/>
      <c r="F273" s="28"/>
      <c r="G273" s="29"/>
      <c r="H273" s="30"/>
      <c r="I273" s="28"/>
      <c r="J273" s="31" t="str">
        <f aca="false">IF(AND(G273&lt;&gt;"",H273&lt;&gt;""),G273*H273,"")</f>
        <v/>
      </c>
      <c r="K273" s="28"/>
      <c r="L273" s="32"/>
      <c r="M273" s="32"/>
      <c r="N273" s="31" t="n">
        <f aca="false">IF(OR(G273="",M273=""),0,IF(M273&gt;100,M273,G273*IF(M273&gt;1,M273/100,M273)))</f>
        <v>0</v>
      </c>
      <c r="O273" s="31" t="str">
        <f aca="false">IF(G273="","",G273*IF(L273="",0,IF(L273&gt;1,L273/100,L273))+N273)</f>
        <v/>
      </c>
      <c r="P273" s="28"/>
      <c r="Q273" s="33" t="str">
        <f aca="false">IF(P273="","",IFERROR(VLOOKUP(P273,PARTNERS!$A$2:$B$30,2,0),""))</f>
        <v/>
      </c>
      <c r="R273" s="17" t="str">
        <f aca="false">IF(O273="","",IF(OR(P273="",Q273=""),0,(O273-N273)*IF(Q273&gt;1,Q273/100,Q273)))</f>
        <v/>
      </c>
      <c r="S273" s="31" t="str">
        <f aca="false">IF(O273="","",O273-R273)</f>
        <v/>
      </c>
      <c r="T273" s="28"/>
      <c r="U273" s="34" t="str">
        <f aca="false">IF(T273="","",IFERROR(VLOOKUP(T273,REPS!$A$2:$D$40,2,0),""))</f>
        <v/>
      </c>
      <c r="V273" s="31" t="str">
        <f aca="false">IF(O273="","",IF(U273="",0,O273*IF(U273&gt;1,U273/100,U273)))</f>
        <v/>
      </c>
      <c r="W273" s="28"/>
      <c r="X273" s="34" t="str">
        <f aca="false">IF(W273="","",IFERROR(VLOOKUP(W273,REPS!$A$2:$D$40,3,0),""))</f>
        <v/>
      </c>
      <c r="Y273" s="31" t="str">
        <f aca="false">IF(O273="","",IF(X273="",0,O273*IF(X273&gt;1,X273/100,X273)))</f>
        <v/>
      </c>
      <c r="Z273" s="28"/>
      <c r="AA273" s="34" t="str">
        <f aca="false">IF(Z273="","",IFERROR(VLOOKUP(Z273,REPS!$A$2:$D$40,4,0),""))</f>
        <v/>
      </c>
      <c r="AB273" s="31" t="str">
        <f aca="false">IF(O273="","",IF(AA273="",0,O273*IF(AA273&gt;1,AA273/100,AA273)))</f>
        <v/>
      </c>
      <c r="AC273" s="31" t="str">
        <f aca="false">IF(O273="","",V273+Y273+AB273)</f>
        <v/>
      </c>
      <c r="AD273" s="19" t="str">
        <f aca="false">IF(O273="","",O273-R273-AC273)</f>
        <v/>
      </c>
      <c r="AE273" s="20"/>
      <c r="AF273" s="27"/>
      <c r="AG273" s="21" t="n">
        <f aca="false">IF(OR(AE273="",AE273=0),0,AE273*IF(U273="",0,IF(U273&gt;1,U273/100,U273)))</f>
        <v>0</v>
      </c>
      <c r="AH273" s="21" t="n">
        <f aca="false">IF(OR(AE273="",AE273=0),0,AE273*IF(X273="",0,IF(X273&gt;1,X273/100,X273)))</f>
        <v>0</v>
      </c>
      <c r="AI273" s="21" t="n">
        <f aca="false">IF(OR(AE273="",AE273=0),0,AE273*IF(AA273="",0,IF(AA273&gt;1,AA273/100,AA273)))</f>
        <v>0</v>
      </c>
      <c r="AJ273" s="21" t="n">
        <f aca="false">AG273+AH273+AI273</f>
        <v>0</v>
      </c>
      <c r="AK273" s="21" t="n">
        <f aca="false">IF(OR(AE273="",AE273=0),0,AE273-AJ273)</f>
        <v>0</v>
      </c>
      <c r="AL273" s="19" t="str">
        <f aca="false">IF(AD273="","",AD273-AK273)</f>
        <v/>
      </c>
      <c r="AM273" s="26" t="str">
        <f aca="false">IF(C273="","","Waiting for payment")</f>
        <v/>
      </c>
      <c r="AN273" s="27"/>
      <c r="AO273" s="27"/>
      <c r="AP273" s="35" t="str">
        <f aca="false">IF(OR(C273="",I273="",K273=""),"",IF(K273="Monthly",EDATE(C273,ROUND(I273*SETTINGS!$I$8,0)),WORKDAY(C273,ROUND(I273*SETTINGS!$I$8,0))))</f>
        <v/>
      </c>
      <c r="AQ273" s="26" t="str">
        <f aca="true">IF(C273="","",IF(AND(AP273&lt;&gt;"",TODAY()&gt;=AP273),"Refi Ready",IF(TODAY()-C273&gt;=SETTINGS!$I$11,"Prospecting","Performing")))</f>
        <v/>
      </c>
      <c r="AR273" s="35" t="str">
        <f aca="false">IF(OR(C273="",I273="",K273=""),"",IF(K273="Monthly",EDATE(C273,I273),WORKDAY(C273,I273)))</f>
        <v/>
      </c>
      <c r="AS273" s="28"/>
      <c r="AT273" s="36" t="str">
        <f aca="true">IF(C273="","",IF(AM273="Clawed Back","CLAWED",IF(TODAY()&lt;=C273+SETTINGS!$I$2,"⚠ AT RISK","SAFE")))</f>
        <v/>
      </c>
      <c r="AU273" s="28"/>
      <c r="AW273" s="24" t="n">
        <f aca="false">AW272+IF(AND(C273&lt;&gt;"",AO273&lt;&gt;"",OR('REP COMMISSION'!$B$3="",T273='REP COMMISSION'!$B$3,W273='REP COMMISSION'!$B$3,Z273='REP COMMISSION'!$B$3)),1,0)</f>
        <v>0</v>
      </c>
      <c r="AX273" s="24" t="n">
        <f aca="false">AX272+IF(AND(C273&lt;&gt;"",OR(F273="LOC - INITIAL",F273="CONSOLIDATION - UPFRONT COMM",F273="REVERSE - TOTAL FUNDING")),1,0)</f>
        <v>0</v>
      </c>
    </row>
    <row r="274" customFormat="false" ht="15" hidden="false" customHeight="false" outlineLevel="0" collapsed="false">
      <c r="A274" s="8" t="str">
        <f aca="false">IF(C274&lt;&gt;"","F27-"&amp;COUNT($C$4:C274),"")</f>
        <v/>
      </c>
      <c r="B274" s="9" t="str">
        <f aca="false">IF(OR(F274="LOC - INITIAL",F274="CONSOLIDATION - UPFRONT COMM",F274="REVERSE - TOTAL FUNDING"),A274,"")</f>
        <v/>
      </c>
      <c r="C274" s="10"/>
      <c r="D274" s="11"/>
      <c r="E274" s="11"/>
      <c r="F274" s="11"/>
      <c r="G274" s="12"/>
      <c r="H274" s="13"/>
      <c r="I274" s="11"/>
      <c r="J274" s="14" t="str">
        <f aca="false">IF(AND(G274&lt;&gt;"",H274&lt;&gt;""),G274*H274,"")</f>
        <v/>
      </c>
      <c r="K274" s="11"/>
      <c r="L274" s="15"/>
      <c r="M274" s="15"/>
      <c r="N274" s="14" t="n">
        <f aca="false">IF(OR(G274="",M274=""),0,IF(M274&gt;100,M274,G274*IF(M274&gt;1,M274/100,M274)))</f>
        <v>0</v>
      </c>
      <c r="O274" s="14" t="str">
        <f aca="false">IF(G274="","",G274*IF(L274="",0,IF(L274&gt;1,L274/100,L274))+N274)</f>
        <v/>
      </c>
      <c r="P274" s="11"/>
      <c r="Q274" s="16" t="str">
        <f aca="false">IF(P274="","",IFERROR(VLOOKUP(P274,PARTNERS!$A$2:$B$30,2,0),""))</f>
        <v/>
      </c>
      <c r="R274" s="17" t="str">
        <f aca="false">IF(O274="","",IF(OR(P274="",Q274=""),0,(O274-N274)*IF(Q274&gt;1,Q274/100,Q274)))</f>
        <v/>
      </c>
      <c r="S274" s="14" t="str">
        <f aca="false">IF(O274="","",O274-R274)</f>
        <v/>
      </c>
      <c r="T274" s="11"/>
      <c r="U274" s="18" t="str">
        <f aca="false">IF(T274="","",IFERROR(VLOOKUP(T274,REPS!$A$2:$D$40,2,0),""))</f>
        <v/>
      </c>
      <c r="V274" s="14" t="str">
        <f aca="false">IF(O274="","",IF(U274="",0,O274*IF(U274&gt;1,U274/100,U274)))</f>
        <v/>
      </c>
      <c r="W274" s="11"/>
      <c r="X274" s="18" t="str">
        <f aca="false">IF(W274="","",IFERROR(VLOOKUP(W274,REPS!$A$2:$D$40,3,0),""))</f>
        <v/>
      </c>
      <c r="Y274" s="14" t="str">
        <f aca="false">IF(O274="","",IF(X274="",0,O274*IF(X274&gt;1,X274/100,X274)))</f>
        <v/>
      </c>
      <c r="Z274" s="11"/>
      <c r="AA274" s="18" t="str">
        <f aca="false">IF(Z274="","",IFERROR(VLOOKUP(Z274,REPS!$A$2:$D$40,4,0),""))</f>
        <v/>
      </c>
      <c r="AB274" s="14" t="str">
        <f aca="false">IF(O274="","",IF(AA274="",0,O274*IF(AA274&gt;1,AA274/100,AA274)))</f>
        <v/>
      </c>
      <c r="AC274" s="14" t="str">
        <f aca="false">IF(O274="","",V274+Y274+AB274)</f>
        <v/>
      </c>
      <c r="AD274" s="19" t="str">
        <f aca="false">IF(O274="","",O274-R274-AC274)</f>
        <v/>
      </c>
      <c r="AE274" s="20"/>
      <c r="AF274" s="10"/>
      <c r="AG274" s="21" t="n">
        <f aca="false">IF(OR(AE274="",AE274=0),0,AE274*IF(U274="",0,IF(U274&gt;1,U274/100,U274)))</f>
        <v>0</v>
      </c>
      <c r="AH274" s="21" t="n">
        <f aca="false">IF(OR(AE274="",AE274=0),0,AE274*IF(X274="",0,IF(X274&gt;1,X274/100,X274)))</f>
        <v>0</v>
      </c>
      <c r="AI274" s="21" t="n">
        <f aca="false">IF(OR(AE274="",AE274=0),0,AE274*IF(AA274="",0,IF(AA274&gt;1,AA274/100,AA274)))</f>
        <v>0</v>
      </c>
      <c r="AJ274" s="21" t="n">
        <f aca="false">AG274+AH274+AI274</f>
        <v>0</v>
      </c>
      <c r="AK274" s="21" t="n">
        <f aca="false">IF(OR(AE274="",AE274=0),0,AE274-AJ274)</f>
        <v>0</v>
      </c>
      <c r="AL274" s="19" t="str">
        <f aca="false">IF(AD274="","",AD274-AK274)</f>
        <v/>
      </c>
      <c r="AM274" s="9" t="str">
        <f aca="false">IF(C274="","","Waiting for payment")</f>
        <v/>
      </c>
      <c r="AN274" s="10"/>
      <c r="AO274" s="10"/>
      <c r="AP274" s="22" t="str">
        <f aca="false">IF(OR(C274="",I274="",K274=""),"",IF(K274="Monthly",EDATE(C274,ROUND(I274*SETTINGS!$I$8,0)),WORKDAY(C274,ROUND(I274*SETTINGS!$I$8,0))))</f>
        <v/>
      </c>
      <c r="AQ274" s="9" t="str">
        <f aca="true">IF(C274="","",IF(AND(AP274&lt;&gt;"",TODAY()&gt;=AP274),"Refi Ready",IF(TODAY()-C274&gt;=SETTINGS!$I$11,"Prospecting","Performing")))</f>
        <v/>
      </c>
      <c r="AR274" s="22" t="str">
        <f aca="false">IF(OR(C274="",I274="",K274=""),"",IF(K274="Monthly",EDATE(C274,I274),WORKDAY(C274,I274)))</f>
        <v/>
      </c>
      <c r="AS274" s="11"/>
      <c r="AT274" s="23" t="str">
        <f aca="true">IF(C274="","",IF(AM274="Clawed Back","CLAWED",IF(TODAY()&lt;=C274+SETTINGS!$I$2,"⚠ AT RISK","SAFE")))</f>
        <v/>
      </c>
      <c r="AU274" s="11"/>
      <c r="AW274" s="24" t="n">
        <f aca="false">AW273+IF(AND(C274&lt;&gt;"",AO274&lt;&gt;"",OR('REP COMMISSION'!$B$3="",T274='REP COMMISSION'!$B$3,W274='REP COMMISSION'!$B$3,Z274='REP COMMISSION'!$B$3)),1,0)</f>
        <v>0</v>
      </c>
      <c r="AX274" s="24" t="n">
        <f aca="false">AX273+IF(AND(C274&lt;&gt;"",OR(F274="LOC - INITIAL",F274="CONSOLIDATION - UPFRONT COMM",F274="REVERSE - TOTAL FUNDING")),1,0)</f>
        <v>0</v>
      </c>
    </row>
    <row r="275" customFormat="false" ht="15" hidden="false" customHeight="false" outlineLevel="0" collapsed="false">
      <c r="A275" s="25" t="str">
        <f aca="false">IF(C275&lt;&gt;"","F27-"&amp;COUNT($C$4:C275),"")</f>
        <v/>
      </c>
      <c r="B275" s="26" t="str">
        <f aca="false">IF(OR(F275="LOC - INITIAL",F275="CONSOLIDATION - UPFRONT COMM",F275="REVERSE - TOTAL FUNDING"),A275,"")</f>
        <v/>
      </c>
      <c r="C275" s="27"/>
      <c r="D275" s="28"/>
      <c r="E275" s="28"/>
      <c r="F275" s="28"/>
      <c r="G275" s="29"/>
      <c r="H275" s="30"/>
      <c r="I275" s="28"/>
      <c r="J275" s="31" t="str">
        <f aca="false">IF(AND(G275&lt;&gt;"",H275&lt;&gt;""),G275*H275,"")</f>
        <v/>
      </c>
      <c r="K275" s="28"/>
      <c r="L275" s="32"/>
      <c r="M275" s="32"/>
      <c r="N275" s="31" t="n">
        <f aca="false">IF(OR(G275="",M275=""),0,IF(M275&gt;100,M275,G275*IF(M275&gt;1,M275/100,M275)))</f>
        <v>0</v>
      </c>
      <c r="O275" s="31" t="str">
        <f aca="false">IF(G275="","",G275*IF(L275="",0,IF(L275&gt;1,L275/100,L275))+N275)</f>
        <v/>
      </c>
      <c r="P275" s="28"/>
      <c r="Q275" s="33" t="str">
        <f aca="false">IF(P275="","",IFERROR(VLOOKUP(P275,PARTNERS!$A$2:$B$30,2,0),""))</f>
        <v/>
      </c>
      <c r="R275" s="17" t="str">
        <f aca="false">IF(O275="","",IF(OR(P275="",Q275=""),0,(O275-N275)*IF(Q275&gt;1,Q275/100,Q275)))</f>
        <v/>
      </c>
      <c r="S275" s="31" t="str">
        <f aca="false">IF(O275="","",O275-R275)</f>
        <v/>
      </c>
      <c r="T275" s="28"/>
      <c r="U275" s="34" t="str">
        <f aca="false">IF(T275="","",IFERROR(VLOOKUP(T275,REPS!$A$2:$D$40,2,0),""))</f>
        <v/>
      </c>
      <c r="V275" s="31" t="str">
        <f aca="false">IF(O275="","",IF(U275="",0,O275*IF(U275&gt;1,U275/100,U275)))</f>
        <v/>
      </c>
      <c r="W275" s="28"/>
      <c r="X275" s="34" t="str">
        <f aca="false">IF(W275="","",IFERROR(VLOOKUP(W275,REPS!$A$2:$D$40,3,0),""))</f>
        <v/>
      </c>
      <c r="Y275" s="31" t="str">
        <f aca="false">IF(O275="","",IF(X275="",0,O275*IF(X275&gt;1,X275/100,X275)))</f>
        <v/>
      </c>
      <c r="Z275" s="28"/>
      <c r="AA275" s="34" t="str">
        <f aca="false">IF(Z275="","",IFERROR(VLOOKUP(Z275,REPS!$A$2:$D$40,4,0),""))</f>
        <v/>
      </c>
      <c r="AB275" s="31" t="str">
        <f aca="false">IF(O275="","",IF(AA275="",0,O275*IF(AA275&gt;1,AA275/100,AA275)))</f>
        <v/>
      </c>
      <c r="AC275" s="31" t="str">
        <f aca="false">IF(O275="","",V275+Y275+AB275)</f>
        <v/>
      </c>
      <c r="AD275" s="19" t="str">
        <f aca="false">IF(O275="","",O275-R275-AC275)</f>
        <v/>
      </c>
      <c r="AE275" s="20"/>
      <c r="AF275" s="27"/>
      <c r="AG275" s="21" t="n">
        <f aca="false">IF(OR(AE275="",AE275=0),0,AE275*IF(U275="",0,IF(U275&gt;1,U275/100,U275)))</f>
        <v>0</v>
      </c>
      <c r="AH275" s="21" t="n">
        <f aca="false">IF(OR(AE275="",AE275=0),0,AE275*IF(X275="",0,IF(X275&gt;1,X275/100,X275)))</f>
        <v>0</v>
      </c>
      <c r="AI275" s="21" t="n">
        <f aca="false">IF(OR(AE275="",AE275=0),0,AE275*IF(AA275="",0,IF(AA275&gt;1,AA275/100,AA275)))</f>
        <v>0</v>
      </c>
      <c r="AJ275" s="21" t="n">
        <f aca="false">AG275+AH275+AI275</f>
        <v>0</v>
      </c>
      <c r="AK275" s="21" t="n">
        <f aca="false">IF(OR(AE275="",AE275=0),0,AE275-AJ275)</f>
        <v>0</v>
      </c>
      <c r="AL275" s="19" t="str">
        <f aca="false">IF(AD275="","",AD275-AK275)</f>
        <v/>
      </c>
      <c r="AM275" s="26" t="str">
        <f aca="false">IF(C275="","","Waiting for payment")</f>
        <v/>
      </c>
      <c r="AN275" s="27"/>
      <c r="AO275" s="27"/>
      <c r="AP275" s="35" t="str">
        <f aca="false">IF(OR(C275="",I275="",K275=""),"",IF(K275="Monthly",EDATE(C275,ROUND(I275*SETTINGS!$I$8,0)),WORKDAY(C275,ROUND(I275*SETTINGS!$I$8,0))))</f>
        <v/>
      </c>
      <c r="AQ275" s="26" t="str">
        <f aca="true">IF(C275="","",IF(AND(AP275&lt;&gt;"",TODAY()&gt;=AP275),"Refi Ready",IF(TODAY()-C275&gt;=SETTINGS!$I$11,"Prospecting","Performing")))</f>
        <v/>
      </c>
      <c r="AR275" s="35" t="str">
        <f aca="false">IF(OR(C275="",I275="",K275=""),"",IF(K275="Monthly",EDATE(C275,I275),WORKDAY(C275,I275)))</f>
        <v/>
      </c>
      <c r="AS275" s="28"/>
      <c r="AT275" s="36" t="str">
        <f aca="true">IF(C275="","",IF(AM275="Clawed Back","CLAWED",IF(TODAY()&lt;=C275+SETTINGS!$I$2,"⚠ AT RISK","SAFE")))</f>
        <v/>
      </c>
      <c r="AU275" s="28"/>
      <c r="AW275" s="24" t="n">
        <f aca="false">AW274+IF(AND(C275&lt;&gt;"",AO275&lt;&gt;"",OR('REP COMMISSION'!$B$3="",T275='REP COMMISSION'!$B$3,W275='REP COMMISSION'!$B$3,Z275='REP COMMISSION'!$B$3)),1,0)</f>
        <v>0</v>
      </c>
      <c r="AX275" s="24" t="n">
        <f aca="false">AX274+IF(AND(C275&lt;&gt;"",OR(F275="LOC - INITIAL",F275="CONSOLIDATION - UPFRONT COMM",F275="REVERSE - TOTAL FUNDING")),1,0)</f>
        <v>0</v>
      </c>
    </row>
    <row r="276" customFormat="false" ht="15" hidden="false" customHeight="false" outlineLevel="0" collapsed="false">
      <c r="A276" s="8" t="str">
        <f aca="false">IF(C276&lt;&gt;"","F27-"&amp;COUNT($C$4:C276),"")</f>
        <v/>
      </c>
      <c r="B276" s="9" t="str">
        <f aca="false">IF(OR(F276="LOC - INITIAL",F276="CONSOLIDATION - UPFRONT COMM",F276="REVERSE - TOTAL FUNDING"),A276,"")</f>
        <v/>
      </c>
      <c r="C276" s="10"/>
      <c r="D276" s="11"/>
      <c r="E276" s="11"/>
      <c r="F276" s="11"/>
      <c r="G276" s="12"/>
      <c r="H276" s="13"/>
      <c r="I276" s="11"/>
      <c r="J276" s="14" t="str">
        <f aca="false">IF(AND(G276&lt;&gt;"",H276&lt;&gt;""),G276*H276,"")</f>
        <v/>
      </c>
      <c r="K276" s="11"/>
      <c r="L276" s="15"/>
      <c r="M276" s="15"/>
      <c r="N276" s="14" t="n">
        <f aca="false">IF(OR(G276="",M276=""),0,IF(M276&gt;100,M276,G276*IF(M276&gt;1,M276/100,M276)))</f>
        <v>0</v>
      </c>
      <c r="O276" s="14" t="str">
        <f aca="false">IF(G276="","",G276*IF(L276="",0,IF(L276&gt;1,L276/100,L276))+N276)</f>
        <v/>
      </c>
      <c r="P276" s="11"/>
      <c r="Q276" s="16" t="str">
        <f aca="false">IF(P276="","",IFERROR(VLOOKUP(P276,PARTNERS!$A$2:$B$30,2,0),""))</f>
        <v/>
      </c>
      <c r="R276" s="17" t="str">
        <f aca="false">IF(O276="","",IF(OR(P276="",Q276=""),0,(O276-N276)*IF(Q276&gt;1,Q276/100,Q276)))</f>
        <v/>
      </c>
      <c r="S276" s="14" t="str">
        <f aca="false">IF(O276="","",O276-R276)</f>
        <v/>
      </c>
      <c r="T276" s="11"/>
      <c r="U276" s="18" t="str">
        <f aca="false">IF(T276="","",IFERROR(VLOOKUP(T276,REPS!$A$2:$D$40,2,0),""))</f>
        <v/>
      </c>
      <c r="V276" s="14" t="str">
        <f aca="false">IF(O276="","",IF(U276="",0,O276*IF(U276&gt;1,U276/100,U276)))</f>
        <v/>
      </c>
      <c r="W276" s="11"/>
      <c r="X276" s="18" t="str">
        <f aca="false">IF(W276="","",IFERROR(VLOOKUP(W276,REPS!$A$2:$D$40,3,0),""))</f>
        <v/>
      </c>
      <c r="Y276" s="14" t="str">
        <f aca="false">IF(O276="","",IF(X276="",0,O276*IF(X276&gt;1,X276/100,X276)))</f>
        <v/>
      </c>
      <c r="Z276" s="11"/>
      <c r="AA276" s="18" t="str">
        <f aca="false">IF(Z276="","",IFERROR(VLOOKUP(Z276,REPS!$A$2:$D$40,4,0),""))</f>
        <v/>
      </c>
      <c r="AB276" s="14" t="str">
        <f aca="false">IF(O276="","",IF(AA276="",0,O276*IF(AA276&gt;1,AA276/100,AA276)))</f>
        <v/>
      </c>
      <c r="AC276" s="14" t="str">
        <f aca="false">IF(O276="","",V276+Y276+AB276)</f>
        <v/>
      </c>
      <c r="AD276" s="19" t="str">
        <f aca="false">IF(O276="","",O276-R276-AC276)</f>
        <v/>
      </c>
      <c r="AE276" s="20"/>
      <c r="AF276" s="10"/>
      <c r="AG276" s="21" t="n">
        <f aca="false">IF(OR(AE276="",AE276=0),0,AE276*IF(U276="",0,IF(U276&gt;1,U276/100,U276)))</f>
        <v>0</v>
      </c>
      <c r="AH276" s="21" t="n">
        <f aca="false">IF(OR(AE276="",AE276=0),0,AE276*IF(X276="",0,IF(X276&gt;1,X276/100,X276)))</f>
        <v>0</v>
      </c>
      <c r="AI276" s="21" t="n">
        <f aca="false">IF(OR(AE276="",AE276=0),0,AE276*IF(AA276="",0,IF(AA276&gt;1,AA276/100,AA276)))</f>
        <v>0</v>
      </c>
      <c r="AJ276" s="21" t="n">
        <f aca="false">AG276+AH276+AI276</f>
        <v>0</v>
      </c>
      <c r="AK276" s="21" t="n">
        <f aca="false">IF(OR(AE276="",AE276=0),0,AE276-AJ276)</f>
        <v>0</v>
      </c>
      <c r="AL276" s="19" t="str">
        <f aca="false">IF(AD276="","",AD276-AK276)</f>
        <v/>
      </c>
      <c r="AM276" s="9" t="str">
        <f aca="false">IF(C276="","","Waiting for payment")</f>
        <v/>
      </c>
      <c r="AN276" s="10"/>
      <c r="AO276" s="10"/>
      <c r="AP276" s="22" t="str">
        <f aca="false">IF(OR(C276="",I276="",K276=""),"",IF(K276="Monthly",EDATE(C276,ROUND(I276*SETTINGS!$I$8,0)),WORKDAY(C276,ROUND(I276*SETTINGS!$I$8,0))))</f>
        <v/>
      </c>
      <c r="AQ276" s="9" t="str">
        <f aca="true">IF(C276="","",IF(AND(AP276&lt;&gt;"",TODAY()&gt;=AP276),"Refi Ready",IF(TODAY()-C276&gt;=SETTINGS!$I$11,"Prospecting","Performing")))</f>
        <v/>
      </c>
      <c r="AR276" s="22" t="str">
        <f aca="false">IF(OR(C276="",I276="",K276=""),"",IF(K276="Monthly",EDATE(C276,I276),WORKDAY(C276,I276)))</f>
        <v/>
      </c>
      <c r="AS276" s="11"/>
      <c r="AT276" s="23" t="str">
        <f aca="true">IF(C276="","",IF(AM276="Clawed Back","CLAWED",IF(TODAY()&lt;=C276+SETTINGS!$I$2,"⚠ AT RISK","SAFE")))</f>
        <v/>
      </c>
      <c r="AU276" s="11"/>
      <c r="AW276" s="24" t="n">
        <f aca="false">AW275+IF(AND(C276&lt;&gt;"",AO276&lt;&gt;"",OR('REP COMMISSION'!$B$3="",T276='REP COMMISSION'!$B$3,W276='REP COMMISSION'!$B$3,Z276='REP COMMISSION'!$B$3)),1,0)</f>
        <v>0</v>
      </c>
      <c r="AX276" s="24" t="n">
        <f aca="false">AX275+IF(AND(C276&lt;&gt;"",OR(F276="LOC - INITIAL",F276="CONSOLIDATION - UPFRONT COMM",F276="REVERSE - TOTAL FUNDING")),1,0)</f>
        <v>0</v>
      </c>
    </row>
    <row r="277" customFormat="false" ht="15" hidden="false" customHeight="false" outlineLevel="0" collapsed="false">
      <c r="A277" s="25" t="str">
        <f aca="false">IF(C277&lt;&gt;"","F27-"&amp;COUNT($C$4:C277),"")</f>
        <v/>
      </c>
      <c r="B277" s="26" t="str">
        <f aca="false">IF(OR(F277="LOC - INITIAL",F277="CONSOLIDATION - UPFRONT COMM",F277="REVERSE - TOTAL FUNDING"),A277,"")</f>
        <v/>
      </c>
      <c r="C277" s="27"/>
      <c r="D277" s="28"/>
      <c r="E277" s="28"/>
      <c r="F277" s="28"/>
      <c r="G277" s="29"/>
      <c r="H277" s="30"/>
      <c r="I277" s="28"/>
      <c r="J277" s="31" t="str">
        <f aca="false">IF(AND(G277&lt;&gt;"",H277&lt;&gt;""),G277*H277,"")</f>
        <v/>
      </c>
      <c r="K277" s="28"/>
      <c r="L277" s="32"/>
      <c r="M277" s="32"/>
      <c r="N277" s="31" t="n">
        <f aca="false">IF(OR(G277="",M277=""),0,IF(M277&gt;100,M277,G277*IF(M277&gt;1,M277/100,M277)))</f>
        <v>0</v>
      </c>
      <c r="O277" s="31" t="str">
        <f aca="false">IF(G277="","",G277*IF(L277="",0,IF(L277&gt;1,L277/100,L277))+N277)</f>
        <v/>
      </c>
      <c r="P277" s="28"/>
      <c r="Q277" s="33" t="str">
        <f aca="false">IF(P277="","",IFERROR(VLOOKUP(P277,PARTNERS!$A$2:$B$30,2,0),""))</f>
        <v/>
      </c>
      <c r="R277" s="17" t="str">
        <f aca="false">IF(O277="","",IF(OR(P277="",Q277=""),0,(O277-N277)*IF(Q277&gt;1,Q277/100,Q277)))</f>
        <v/>
      </c>
      <c r="S277" s="31" t="str">
        <f aca="false">IF(O277="","",O277-R277)</f>
        <v/>
      </c>
      <c r="T277" s="28"/>
      <c r="U277" s="34" t="str">
        <f aca="false">IF(T277="","",IFERROR(VLOOKUP(T277,REPS!$A$2:$D$40,2,0),""))</f>
        <v/>
      </c>
      <c r="V277" s="31" t="str">
        <f aca="false">IF(O277="","",IF(U277="",0,O277*IF(U277&gt;1,U277/100,U277)))</f>
        <v/>
      </c>
      <c r="W277" s="28"/>
      <c r="X277" s="34" t="str">
        <f aca="false">IF(W277="","",IFERROR(VLOOKUP(W277,REPS!$A$2:$D$40,3,0),""))</f>
        <v/>
      </c>
      <c r="Y277" s="31" t="str">
        <f aca="false">IF(O277="","",IF(X277="",0,O277*IF(X277&gt;1,X277/100,X277)))</f>
        <v/>
      </c>
      <c r="Z277" s="28"/>
      <c r="AA277" s="34" t="str">
        <f aca="false">IF(Z277="","",IFERROR(VLOOKUP(Z277,REPS!$A$2:$D$40,4,0),""))</f>
        <v/>
      </c>
      <c r="AB277" s="31" t="str">
        <f aca="false">IF(O277="","",IF(AA277="",0,O277*IF(AA277&gt;1,AA277/100,AA277)))</f>
        <v/>
      </c>
      <c r="AC277" s="31" t="str">
        <f aca="false">IF(O277="","",V277+Y277+AB277)</f>
        <v/>
      </c>
      <c r="AD277" s="19" t="str">
        <f aca="false">IF(O277="","",O277-R277-AC277)</f>
        <v/>
      </c>
      <c r="AE277" s="20"/>
      <c r="AF277" s="27"/>
      <c r="AG277" s="21" t="n">
        <f aca="false">IF(OR(AE277="",AE277=0),0,AE277*IF(U277="",0,IF(U277&gt;1,U277/100,U277)))</f>
        <v>0</v>
      </c>
      <c r="AH277" s="21" t="n">
        <f aca="false">IF(OR(AE277="",AE277=0),0,AE277*IF(X277="",0,IF(X277&gt;1,X277/100,X277)))</f>
        <v>0</v>
      </c>
      <c r="AI277" s="21" t="n">
        <f aca="false">IF(OR(AE277="",AE277=0),0,AE277*IF(AA277="",0,IF(AA277&gt;1,AA277/100,AA277)))</f>
        <v>0</v>
      </c>
      <c r="AJ277" s="21" t="n">
        <f aca="false">AG277+AH277+AI277</f>
        <v>0</v>
      </c>
      <c r="AK277" s="21" t="n">
        <f aca="false">IF(OR(AE277="",AE277=0),0,AE277-AJ277)</f>
        <v>0</v>
      </c>
      <c r="AL277" s="19" t="str">
        <f aca="false">IF(AD277="","",AD277-AK277)</f>
        <v/>
      </c>
      <c r="AM277" s="26" t="str">
        <f aca="false">IF(C277="","","Waiting for payment")</f>
        <v/>
      </c>
      <c r="AN277" s="27"/>
      <c r="AO277" s="27"/>
      <c r="AP277" s="35" t="str">
        <f aca="false">IF(OR(C277="",I277="",K277=""),"",IF(K277="Monthly",EDATE(C277,ROUND(I277*SETTINGS!$I$8,0)),WORKDAY(C277,ROUND(I277*SETTINGS!$I$8,0))))</f>
        <v/>
      </c>
      <c r="AQ277" s="26" t="str">
        <f aca="true">IF(C277="","",IF(AND(AP277&lt;&gt;"",TODAY()&gt;=AP277),"Refi Ready",IF(TODAY()-C277&gt;=SETTINGS!$I$11,"Prospecting","Performing")))</f>
        <v/>
      </c>
      <c r="AR277" s="35" t="str">
        <f aca="false">IF(OR(C277="",I277="",K277=""),"",IF(K277="Monthly",EDATE(C277,I277),WORKDAY(C277,I277)))</f>
        <v/>
      </c>
      <c r="AS277" s="28"/>
      <c r="AT277" s="36" t="str">
        <f aca="true">IF(C277="","",IF(AM277="Clawed Back","CLAWED",IF(TODAY()&lt;=C277+SETTINGS!$I$2,"⚠ AT RISK","SAFE")))</f>
        <v/>
      </c>
      <c r="AU277" s="28"/>
      <c r="AW277" s="24" t="n">
        <f aca="false">AW276+IF(AND(C277&lt;&gt;"",AO277&lt;&gt;"",OR('REP COMMISSION'!$B$3="",T277='REP COMMISSION'!$B$3,W277='REP COMMISSION'!$B$3,Z277='REP COMMISSION'!$B$3)),1,0)</f>
        <v>0</v>
      </c>
      <c r="AX277" s="24" t="n">
        <f aca="false">AX276+IF(AND(C277&lt;&gt;"",OR(F277="LOC - INITIAL",F277="CONSOLIDATION - UPFRONT COMM",F277="REVERSE - TOTAL FUNDING")),1,0)</f>
        <v>0</v>
      </c>
    </row>
    <row r="278" customFormat="false" ht="15" hidden="false" customHeight="false" outlineLevel="0" collapsed="false">
      <c r="A278" s="8" t="str">
        <f aca="false">IF(C278&lt;&gt;"","F27-"&amp;COUNT($C$4:C278),"")</f>
        <v/>
      </c>
      <c r="B278" s="9" t="str">
        <f aca="false">IF(OR(F278="LOC - INITIAL",F278="CONSOLIDATION - UPFRONT COMM",F278="REVERSE - TOTAL FUNDING"),A278,"")</f>
        <v/>
      </c>
      <c r="C278" s="10"/>
      <c r="D278" s="11"/>
      <c r="E278" s="11"/>
      <c r="F278" s="11"/>
      <c r="G278" s="12"/>
      <c r="H278" s="13"/>
      <c r="I278" s="11"/>
      <c r="J278" s="14" t="str">
        <f aca="false">IF(AND(G278&lt;&gt;"",H278&lt;&gt;""),G278*H278,"")</f>
        <v/>
      </c>
      <c r="K278" s="11"/>
      <c r="L278" s="15"/>
      <c r="M278" s="15"/>
      <c r="N278" s="14" t="n">
        <f aca="false">IF(OR(G278="",M278=""),0,IF(M278&gt;100,M278,G278*IF(M278&gt;1,M278/100,M278)))</f>
        <v>0</v>
      </c>
      <c r="O278" s="14" t="str">
        <f aca="false">IF(G278="","",G278*IF(L278="",0,IF(L278&gt;1,L278/100,L278))+N278)</f>
        <v/>
      </c>
      <c r="P278" s="11"/>
      <c r="Q278" s="16" t="str">
        <f aca="false">IF(P278="","",IFERROR(VLOOKUP(P278,PARTNERS!$A$2:$B$30,2,0),""))</f>
        <v/>
      </c>
      <c r="R278" s="17" t="str">
        <f aca="false">IF(O278="","",IF(OR(P278="",Q278=""),0,(O278-N278)*IF(Q278&gt;1,Q278/100,Q278)))</f>
        <v/>
      </c>
      <c r="S278" s="14" t="str">
        <f aca="false">IF(O278="","",O278-R278)</f>
        <v/>
      </c>
      <c r="T278" s="11"/>
      <c r="U278" s="18" t="str">
        <f aca="false">IF(T278="","",IFERROR(VLOOKUP(T278,REPS!$A$2:$D$40,2,0),""))</f>
        <v/>
      </c>
      <c r="V278" s="14" t="str">
        <f aca="false">IF(O278="","",IF(U278="",0,O278*IF(U278&gt;1,U278/100,U278)))</f>
        <v/>
      </c>
      <c r="W278" s="11"/>
      <c r="X278" s="18" t="str">
        <f aca="false">IF(W278="","",IFERROR(VLOOKUP(W278,REPS!$A$2:$D$40,3,0),""))</f>
        <v/>
      </c>
      <c r="Y278" s="14" t="str">
        <f aca="false">IF(O278="","",IF(X278="",0,O278*IF(X278&gt;1,X278/100,X278)))</f>
        <v/>
      </c>
      <c r="Z278" s="11"/>
      <c r="AA278" s="18" t="str">
        <f aca="false">IF(Z278="","",IFERROR(VLOOKUP(Z278,REPS!$A$2:$D$40,4,0),""))</f>
        <v/>
      </c>
      <c r="AB278" s="14" t="str">
        <f aca="false">IF(O278="","",IF(AA278="",0,O278*IF(AA278&gt;1,AA278/100,AA278)))</f>
        <v/>
      </c>
      <c r="AC278" s="14" t="str">
        <f aca="false">IF(O278="","",V278+Y278+AB278)</f>
        <v/>
      </c>
      <c r="AD278" s="19" t="str">
        <f aca="false">IF(O278="","",O278-R278-AC278)</f>
        <v/>
      </c>
      <c r="AE278" s="20"/>
      <c r="AF278" s="10"/>
      <c r="AG278" s="21" t="n">
        <f aca="false">IF(OR(AE278="",AE278=0),0,AE278*IF(U278="",0,IF(U278&gt;1,U278/100,U278)))</f>
        <v>0</v>
      </c>
      <c r="AH278" s="21" t="n">
        <f aca="false">IF(OR(AE278="",AE278=0),0,AE278*IF(X278="",0,IF(X278&gt;1,X278/100,X278)))</f>
        <v>0</v>
      </c>
      <c r="AI278" s="21" t="n">
        <f aca="false">IF(OR(AE278="",AE278=0),0,AE278*IF(AA278="",0,IF(AA278&gt;1,AA278/100,AA278)))</f>
        <v>0</v>
      </c>
      <c r="AJ278" s="21" t="n">
        <f aca="false">AG278+AH278+AI278</f>
        <v>0</v>
      </c>
      <c r="AK278" s="21" t="n">
        <f aca="false">IF(OR(AE278="",AE278=0),0,AE278-AJ278)</f>
        <v>0</v>
      </c>
      <c r="AL278" s="19" t="str">
        <f aca="false">IF(AD278="","",AD278-AK278)</f>
        <v/>
      </c>
      <c r="AM278" s="9" t="str">
        <f aca="false">IF(C278="","","Waiting for payment")</f>
        <v/>
      </c>
      <c r="AN278" s="10"/>
      <c r="AO278" s="10"/>
      <c r="AP278" s="22" t="str">
        <f aca="false">IF(OR(C278="",I278="",K278=""),"",IF(K278="Monthly",EDATE(C278,ROUND(I278*SETTINGS!$I$8,0)),WORKDAY(C278,ROUND(I278*SETTINGS!$I$8,0))))</f>
        <v/>
      </c>
      <c r="AQ278" s="9" t="str">
        <f aca="true">IF(C278="","",IF(AND(AP278&lt;&gt;"",TODAY()&gt;=AP278),"Refi Ready",IF(TODAY()-C278&gt;=SETTINGS!$I$11,"Prospecting","Performing")))</f>
        <v/>
      </c>
      <c r="AR278" s="22" t="str">
        <f aca="false">IF(OR(C278="",I278="",K278=""),"",IF(K278="Monthly",EDATE(C278,I278),WORKDAY(C278,I278)))</f>
        <v/>
      </c>
      <c r="AS278" s="11"/>
      <c r="AT278" s="23" t="str">
        <f aca="true">IF(C278="","",IF(AM278="Clawed Back","CLAWED",IF(TODAY()&lt;=C278+SETTINGS!$I$2,"⚠ AT RISK","SAFE")))</f>
        <v/>
      </c>
      <c r="AU278" s="11"/>
      <c r="AW278" s="24" t="n">
        <f aca="false">AW277+IF(AND(C278&lt;&gt;"",AO278&lt;&gt;"",OR('REP COMMISSION'!$B$3="",T278='REP COMMISSION'!$B$3,W278='REP COMMISSION'!$B$3,Z278='REP COMMISSION'!$B$3)),1,0)</f>
        <v>0</v>
      </c>
      <c r="AX278" s="24" t="n">
        <f aca="false">AX277+IF(AND(C278&lt;&gt;"",OR(F278="LOC - INITIAL",F278="CONSOLIDATION - UPFRONT COMM",F278="REVERSE - TOTAL FUNDING")),1,0)</f>
        <v>0</v>
      </c>
    </row>
    <row r="279" customFormat="false" ht="15" hidden="false" customHeight="false" outlineLevel="0" collapsed="false">
      <c r="A279" s="25" t="str">
        <f aca="false">IF(C279&lt;&gt;"","F27-"&amp;COUNT($C$4:C279),"")</f>
        <v/>
      </c>
      <c r="B279" s="26" t="str">
        <f aca="false">IF(OR(F279="LOC - INITIAL",F279="CONSOLIDATION - UPFRONT COMM",F279="REVERSE - TOTAL FUNDING"),A279,"")</f>
        <v/>
      </c>
      <c r="C279" s="27"/>
      <c r="D279" s="28"/>
      <c r="E279" s="28"/>
      <c r="F279" s="28"/>
      <c r="G279" s="29"/>
      <c r="H279" s="30"/>
      <c r="I279" s="28"/>
      <c r="J279" s="31" t="str">
        <f aca="false">IF(AND(G279&lt;&gt;"",H279&lt;&gt;""),G279*H279,"")</f>
        <v/>
      </c>
      <c r="K279" s="28"/>
      <c r="L279" s="32"/>
      <c r="M279" s="32"/>
      <c r="N279" s="31" t="n">
        <f aca="false">IF(OR(G279="",M279=""),0,IF(M279&gt;100,M279,G279*IF(M279&gt;1,M279/100,M279)))</f>
        <v>0</v>
      </c>
      <c r="O279" s="31" t="str">
        <f aca="false">IF(G279="","",G279*IF(L279="",0,IF(L279&gt;1,L279/100,L279))+N279)</f>
        <v/>
      </c>
      <c r="P279" s="28"/>
      <c r="Q279" s="33" t="str">
        <f aca="false">IF(P279="","",IFERROR(VLOOKUP(P279,PARTNERS!$A$2:$B$30,2,0),""))</f>
        <v/>
      </c>
      <c r="R279" s="17" t="str">
        <f aca="false">IF(O279="","",IF(OR(P279="",Q279=""),0,(O279-N279)*IF(Q279&gt;1,Q279/100,Q279)))</f>
        <v/>
      </c>
      <c r="S279" s="31" t="str">
        <f aca="false">IF(O279="","",O279-R279)</f>
        <v/>
      </c>
      <c r="T279" s="28"/>
      <c r="U279" s="34" t="str">
        <f aca="false">IF(T279="","",IFERROR(VLOOKUP(T279,REPS!$A$2:$D$40,2,0),""))</f>
        <v/>
      </c>
      <c r="V279" s="31" t="str">
        <f aca="false">IF(O279="","",IF(U279="",0,O279*IF(U279&gt;1,U279/100,U279)))</f>
        <v/>
      </c>
      <c r="W279" s="28"/>
      <c r="X279" s="34" t="str">
        <f aca="false">IF(W279="","",IFERROR(VLOOKUP(W279,REPS!$A$2:$D$40,3,0),""))</f>
        <v/>
      </c>
      <c r="Y279" s="31" t="str">
        <f aca="false">IF(O279="","",IF(X279="",0,O279*IF(X279&gt;1,X279/100,X279)))</f>
        <v/>
      </c>
      <c r="Z279" s="28"/>
      <c r="AA279" s="34" t="str">
        <f aca="false">IF(Z279="","",IFERROR(VLOOKUP(Z279,REPS!$A$2:$D$40,4,0),""))</f>
        <v/>
      </c>
      <c r="AB279" s="31" t="str">
        <f aca="false">IF(O279="","",IF(AA279="",0,O279*IF(AA279&gt;1,AA279/100,AA279)))</f>
        <v/>
      </c>
      <c r="AC279" s="31" t="str">
        <f aca="false">IF(O279="","",V279+Y279+AB279)</f>
        <v/>
      </c>
      <c r="AD279" s="19" t="str">
        <f aca="false">IF(O279="","",O279-R279-AC279)</f>
        <v/>
      </c>
      <c r="AE279" s="20"/>
      <c r="AF279" s="27"/>
      <c r="AG279" s="21" t="n">
        <f aca="false">IF(OR(AE279="",AE279=0),0,AE279*IF(U279="",0,IF(U279&gt;1,U279/100,U279)))</f>
        <v>0</v>
      </c>
      <c r="AH279" s="21" t="n">
        <f aca="false">IF(OR(AE279="",AE279=0),0,AE279*IF(X279="",0,IF(X279&gt;1,X279/100,X279)))</f>
        <v>0</v>
      </c>
      <c r="AI279" s="21" t="n">
        <f aca="false">IF(OR(AE279="",AE279=0),0,AE279*IF(AA279="",0,IF(AA279&gt;1,AA279/100,AA279)))</f>
        <v>0</v>
      </c>
      <c r="AJ279" s="21" t="n">
        <f aca="false">AG279+AH279+AI279</f>
        <v>0</v>
      </c>
      <c r="AK279" s="21" t="n">
        <f aca="false">IF(OR(AE279="",AE279=0),0,AE279-AJ279)</f>
        <v>0</v>
      </c>
      <c r="AL279" s="19" t="str">
        <f aca="false">IF(AD279="","",AD279-AK279)</f>
        <v/>
      </c>
      <c r="AM279" s="26" t="str">
        <f aca="false">IF(C279="","","Waiting for payment")</f>
        <v/>
      </c>
      <c r="AN279" s="27"/>
      <c r="AO279" s="27"/>
      <c r="AP279" s="35" t="str">
        <f aca="false">IF(OR(C279="",I279="",K279=""),"",IF(K279="Monthly",EDATE(C279,ROUND(I279*SETTINGS!$I$8,0)),WORKDAY(C279,ROUND(I279*SETTINGS!$I$8,0))))</f>
        <v/>
      </c>
      <c r="AQ279" s="26" t="str">
        <f aca="true">IF(C279="","",IF(AND(AP279&lt;&gt;"",TODAY()&gt;=AP279),"Refi Ready",IF(TODAY()-C279&gt;=SETTINGS!$I$11,"Prospecting","Performing")))</f>
        <v/>
      </c>
      <c r="AR279" s="35" t="str">
        <f aca="false">IF(OR(C279="",I279="",K279=""),"",IF(K279="Monthly",EDATE(C279,I279),WORKDAY(C279,I279)))</f>
        <v/>
      </c>
      <c r="AS279" s="28"/>
      <c r="AT279" s="36" t="str">
        <f aca="true">IF(C279="","",IF(AM279="Clawed Back","CLAWED",IF(TODAY()&lt;=C279+SETTINGS!$I$2,"⚠ AT RISK","SAFE")))</f>
        <v/>
      </c>
      <c r="AU279" s="28"/>
      <c r="AW279" s="24" t="n">
        <f aca="false">AW278+IF(AND(C279&lt;&gt;"",AO279&lt;&gt;"",OR('REP COMMISSION'!$B$3="",T279='REP COMMISSION'!$B$3,W279='REP COMMISSION'!$B$3,Z279='REP COMMISSION'!$B$3)),1,0)</f>
        <v>0</v>
      </c>
      <c r="AX279" s="24" t="n">
        <f aca="false">AX278+IF(AND(C279&lt;&gt;"",OR(F279="LOC - INITIAL",F279="CONSOLIDATION - UPFRONT COMM",F279="REVERSE - TOTAL FUNDING")),1,0)</f>
        <v>0</v>
      </c>
    </row>
    <row r="280" customFormat="false" ht="15" hidden="false" customHeight="false" outlineLevel="0" collapsed="false">
      <c r="A280" s="8" t="str">
        <f aca="false">IF(C280&lt;&gt;"","F27-"&amp;COUNT($C$4:C280),"")</f>
        <v/>
      </c>
      <c r="B280" s="9" t="str">
        <f aca="false">IF(OR(F280="LOC - INITIAL",F280="CONSOLIDATION - UPFRONT COMM",F280="REVERSE - TOTAL FUNDING"),A280,"")</f>
        <v/>
      </c>
      <c r="C280" s="10"/>
      <c r="D280" s="11"/>
      <c r="E280" s="11"/>
      <c r="F280" s="11"/>
      <c r="G280" s="12"/>
      <c r="H280" s="13"/>
      <c r="I280" s="11"/>
      <c r="J280" s="14" t="str">
        <f aca="false">IF(AND(G280&lt;&gt;"",H280&lt;&gt;""),G280*H280,"")</f>
        <v/>
      </c>
      <c r="K280" s="11"/>
      <c r="L280" s="15"/>
      <c r="M280" s="15"/>
      <c r="N280" s="14" t="n">
        <f aca="false">IF(OR(G280="",M280=""),0,IF(M280&gt;100,M280,G280*IF(M280&gt;1,M280/100,M280)))</f>
        <v>0</v>
      </c>
      <c r="O280" s="14" t="str">
        <f aca="false">IF(G280="","",G280*IF(L280="",0,IF(L280&gt;1,L280/100,L280))+N280)</f>
        <v/>
      </c>
      <c r="P280" s="11"/>
      <c r="Q280" s="16" t="str">
        <f aca="false">IF(P280="","",IFERROR(VLOOKUP(P280,PARTNERS!$A$2:$B$30,2,0),""))</f>
        <v/>
      </c>
      <c r="R280" s="17" t="str">
        <f aca="false">IF(O280="","",IF(OR(P280="",Q280=""),0,(O280-N280)*IF(Q280&gt;1,Q280/100,Q280)))</f>
        <v/>
      </c>
      <c r="S280" s="14" t="str">
        <f aca="false">IF(O280="","",O280-R280)</f>
        <v/>
      </c>
      <c r="T280" s="11"/>
      <c r="U280" s="18" t="str">
        <f aca="false">IF(T280="","",IFERROR(VLOOKUP(T280,REPS!$A$2:$D$40,2,0),""))</f>
        <v/>
      </c>
      <c r="V280" s="14" t="str">
        <f aca="false">IF(O280="","",IF(U280="",0,O280*IF(U280&gt;1,U280/100,U280)))</f>
        <v/>
      </c>
      <c r="W280" s="11"/>
      <c r="X280" s="18" t="str">
        <f aca="false">IF(W280="","",IFERROR(VLOOKUP(W280,REPS!$A$2:$D$40,3,0),""))</f>
        <v/>
      </c>
      <c r="Y280" s="14" t="str">
        <f aca="false">IF(O280="","",IF(X280="",0,O280*IF(X280&gt;1,X280/100,X280)))</f>
        <v/>
      </c>
      <c r="Z280" s="11"/>
      <c r="AA280" s="18" t="str">
        <f aca="false">IF(Z280="","",IFERROR(VLOOKUP(Z280,REPS!$A$2:$D$40,4,0),""))</f>
        <v/>
      </c>
      <c r="AB280" s="14" t="str">
        <f aca="false">IF(O280="","",IF(AA280="",0,O280*IF(AA280&gt;1,AA280/100,AA280)))</f>
        <v/>
      </c>
      <c r="AC280" s="14" t="str">
        <f aca="false">IF(O280="","",V280+Y280+AB280)</f>
        <v/>
      </c>
      <c r="AD280" s="19" t="str">
        <f aca="false">IF(O280="","",O280-R280-AC280)</f>
        <v/>
      </c>
      <c r="AE280" s="20"/>
      <c r="AF280" s="10"/>
      <c r="AG280" s="21" t="n">
        <f aca="false">IF(OR(AE280="",AE280=0),0,AE280*IF(U280="",0,IF(U280&gt;1,U280/100,U280)))</f>
        <v>0</v>
      </c>
      <c r="AH280" s="21" t="n">
        <f aca="false">IF(OR(AE280="",AE280=0),0,AE280*IF(X280="",0,IF(X280&gt;1,X280/100,X280)))</f>
        <v>0</v>
      </c>
      <c r="AI280" s="21" t="n">
        <f aca="false">IF(OR(AE280="",AE280=0),0,AE280*IF(AA280="",0,IF(AA280&gt;1,AA280/100,AA280)))</f>
        <v>0</v>
      </c>
      <c r="AJ280" s="21" t="n">
        <f aca="false">AG280+AH280+AI280</f>
        <v>0</v>
      </c>
      <c r="AK280" s="21" t="n">
        <f aca="false">IF(OR(AE280="",AE280=0),0,AE280-AJ280)</f>
        <v>0</v>
      </c>
      <c r="AL280" s="19" t="str">
        <f aca="false">IF(AD280="","",AD280-AK280)</f>
        <v/>
      </c>
      <c r="AM280" s="9" t="str">
        <f aca="false">IF(C280="","","Waiting for payment")</f>
        <v/>
      </c>
      <c r="AN280" s="10"/>
      <c r="AO280" s="10"/>
      <c r="AP280" s="22" t="str">
        <f aca="false">IF(OR(C280="",I280="",K280=""),"",IF(K280="Monthly",EDATE(C280,ROUND(I280*SETTINGS!$I$8,0)),WORKDAY(C280,ROUND(I280*SETTINGS!$I$8,0))))</f>
        <v/>
      </c>
      <c r="AQ280" s="9" t="str">
        <f aca="true">IF(C280="","",IF(AND(AP280&lt;&gt;"",TODAY()&gt;=AP280),"Refi Ready",IF(TODAY()-C280&gt;=SETTINGS!$I$11,"Prospecting","Performing")))</f>
        <v/>
      </c>
      <c r="AR280" s="22" t="str">
        <f aca="false">IF(OR(C280="",I280="",K280=""),"",IF(K280="Monthly",EDATE(C280,I280),WORKDAY(C280,I280)))</f>
        <v/>
      </c>
      <c r="AS280" s="11"/>
      <c r="AT280" s="23" t="str">
        <f aca="true">IF(C280="","",IF(AM280="Clawed Back","CLAWED",IF(TODAY()&lt;=C280+SETTINGS!$I$2,"⚠ AT RISK","SAFE")))</f>
        <v/>
      </c>
      <c r="AU280" s="11"/>
      <c r="AW280" s="24" t="n">
        <f aca="false">AW279+IF(AND(C280&lt;&gt;"",AO280&lt;&gt;"",OR('REP COMMISSION'!$B$3="",T280='REP COMMISSION'!$B$3,W280='REP COMMISSION'!$B$3,Z280='REP COMMISSION'!$B$3)),1,0)</f>
        <v>0</v>
      </c>
      <c r="AX280" s="24" t="n">
        <f aca="false">AX279+IF(AND(C280&lt;&gt;"",OR(F280="LOC - INITIAL",F280="CONSOLIDATION - UPFRONT COMM",F280="REVERSE - TOTAL FUNDING")),1,0)</f>
        <v>0</v>
      </c>
    </row>
    <row r="281" customFormat="false" ht="15" hidden="false" customHeight="false" outlineLevel="0" collapsed="false">
      <c r="A281" s="25" t="str">
        <f aca="false">IF(C281&lt;&gt;"","F27-"&amp;COUNT($C$4:C281),"")</f>
        <v/>
      </c>
      <c r="B281" s="26" t="str">
        <f aca="false">IF(OR(F281="LOC - INITIAL",F281="CONSOLIDATION - UPFRONT COMM",F281="REVERSE - TOTAL FUNDING"),A281,"")</f>
        <v/>
      </c>
      <c r="C281" s="27"/>
      <c r="D281" s="28"/>
      <c r="E281" s="28"/>
      <c r="F281" s="28"/>
      <c r="G281" s="29"/>
      <c r="H281" s="30"/>
      <c r="I281" s="28"/>
      <c r="J281" s="31" t="str">
        <f aca="false">IF(AND(G281&lt;&gt;"",H281&lt;&gt;""),G281*H281,"")</f>
        <v/>
      </c>
      <c r="K281" s="28"/>
      <c r="L281" s="32"/>
      <c r="M281" s="32"/>
      <c r="N281" s="31" t="n">
        <f aca="false">IF(OR(G281="",M281=""),0,IF(M281&gt;100,M281,G281*IF(M281&gt;1,M281/100,M281)))</f>
        <v>0</v>
      </c>
      <c r="O281" s="31" t="str">
        <f aca="false">IF(G281="","",G281*IF(L281="",0,IF(L281&gt;1,L281/100,L281))+N281)</f>
        <v/>
      </c>
      <c r="P281" s="28"/>
      <c r="Q281" s="33" t="str">
        <f aca="false">IF(P281="","",IFERROR(VLOOKUP(P281,PARTNERS!$A$2:$B$30,2,0),""))</f>
        <v/>
      </c>
      <c r="R281" s="17" t="str">
        <f aca="false">IF(O281="","",IF(OR(P281="",Q281=""),0,(O281-N281)*IF(Q281&gt;1,Q281/100,Q281)))</f>
        <v/>
      </c>
      <c r="S281" s="31" t="str">
        <f aca="false">IF(O281="","",O281-R281)</f>
        <v/>
      </c>
      <c r="T281" s="28"/>
      <c r="U281" s="34" t="str">
        <f aca="false">IF(T281="","",IFERROR(VLOOKUP(T281,REPS!$A$2:$D$40,2,0),""))</f>
        <v/>
      </c>
      <c r="V281" s="31" t="str">
        <f aca="false">IF(O281="","",IF(U281="",0,O281*IF(U281&gt;1,U281/100,U281)))</f>
        <v/>
      </c>
      <c r="W281" s="28"/>
      <c r="X281" s="34" t="str">
        <f aca="false">IF(W281="","",IFERROR(VLOOKUP(W281,REPS!$A$2:$D$40,3,0),""))</f>
        <v/>
      </c>
      <c r="Y281" s="31" t="str">
        <f aca="false">IF(O281="","",IF(X281="",0,O281*IF(X281&gt;1,X281/100,X281)))</f>
        <v/>
      </c>
      <c r="Z281" s="28"/>
      <c r="AA281" s="34" t="str">
        <f aca="false">IF(Z281="","",IFERROR(VLOOKUP(Z281,REPS!$A$2:$D$40,4,0),""))</f>
        <v/>
      </c>
      <c r="AB281" s="31" t="str">
        <f aca="false">IF(O281="","",IF(AA281="",0,O281*IF(AA281&gt;1,AA281/100,AA281)))</f>
        <v/>
      </c>
      <c r="AC281" s="31" t="str">
        <f aca="false">IF(O281="","",V281+Y281+AB281)</f>
        <v/>
      </c>
      <c r="AD281" s="19" t="str">
        <f aca="false">IF(O281="","",O281-R281-AC281)</f>
        <v/>
      </c>
      <c r="AE281" s="20"/>
      <c r="AF281" s="27"/>
      <c r="AG281" s="21" t="n">
        <f aca="false">IF(OR(AE281="",AE281=0),0,AE281*IF(U281="",0,IF(U281&gt;1,U281/100,U281)))</f>
        <v>0</v>
      </c>
      <c r="AH281" s="21" t="n">
        <f aca="false">IF(OR(AE281="",AE281=0),0,AE281*IF(X281="",0,IF(X281&gt;1,X281/100,X281)))</f>
        <v>0</v>
      </c>
      <c r="AI281" s="21" t="n">
        <f aca="false">IF(OR(AE281="",AE281=0),0,AE281*IF(AA281="",0,IF(AA281&gt;1,AA281/100,AA281)))</f>
        <v>0</v>
      </c>
      <c r="AJ281" s="21" t="n">
        <f aca="false">AG281+AH281+AI281</f>
        <v>0</v>
      </c>
      <c r="AK281" s="21" t="n">
        <f aca="false">IF(OR(AE281="",AE281=0),0,AE281-AJ281)</f>
        <v>0</v>
      </c>
      <c r="AL281" s="19" t="str">
        <f aca="false">IF(AD281="","",AD281-AK281)</f>
        <v/>
      </c>
      <c r="AM281" s="26" t="str">
        <f aca="false">IF(C281="","","Waiting for payment")</f>
        <v/>
      </c>
      <c r="AN281" s="27"/>
      <c r="AO281" s="27"/>
      <c r="AP281" s="35" t="str">
        <f aca="false">IF(OR(C281="",I281="",K281=""),"",IF(K281="Monthly",EDATE(C281,ROUND(I281*SETTINGS!$I$8,0)),WORKDAY(C281,ROUND(I281*SETTINGS!$I$8,0))))</f>
        <v/>
      </c>
      <c r="AQ281" s="26" t="str">
        <f aca="true">IF(C281="","",IF(AND(AP281&lt;&gt;"",TODAY()&gt;=AP281),"Refi Ready",IF(TODAY()-C281&gt;=SETTINGS!$I$11,"Prospecting","Performing")))</f>
        <v/>
      </c>
      <c r="AR281" s="35" t="str">
        <f aca="false">IF(OR(C281="",I281="",K281=""),"",IF(K281="Monthly",EDATE(C281,I281),WORKDAY(C281,I281)))</f>
        <v/>
      </c>
      <c r="AS281" s="28"/>
      <c r="AT281" s="36" t="str">
        <f aca="true">IF(C281="","",IF(AM281="Clawed Back","CLAWED",IF(TODAY()&lt;=C281+SETTINGS!$I$2,"⚠ AT RISK","SAFE")))</f>
        <v/>
      </c>
      <c r="AU281" s="28"/>
      <c r="AW281" s="24" t="n">
        <f aca="false">AW280+IF(AND(C281&lt;&gt;"",AO281&lt;&gt;"",OR('REP COMMISSION'!$B$3="",T281='REP COMMISSION'!$B$3,W281='REP COMMISSION'!$B$3,Z281='REP COMMISSION'!$B$3)),1,0)</f>
        <v>0</v>
      </c>
      <c r="AX281" s="24" t="n">
        <f aca="false">AX280+IF(AND(C281&lt;&gt;"",OR(F281="LOC - INITIAL",F281="CONSOLIDATION - UPFRONT COMM",F281="REVERSE - TOTAL FUNDING")),1,0)</f>
        <v>0</v>
      </c>
    </row>
    <row r="282" customFormat="false" ht="15" hidden="false" customHeight="false" outlineLevel="0" collapsed="false">
      <c r="A282" s="8" t="str">
        <f aca="false">IF(C282&lt;&gt;"","F27-"&amp;COUNT($C$4:C282),"")</f>
        <v/>
      </c>
      <c r="B282" s="9" t="str">
        <f aca="false">IF(OR(F282="LOC - INITIAL",F282="CONSOLIDATION - UPFRONT COMM",F282="REVERSE - TOTAL FUNDING"),A282,"")</f>
        <v/>
      </c>
      <c r="C282" s="10"/>
      <c r="D282" s="11"/>
      <c r="E282" s="11"/>
      <c r="F282" s="11"/>
      <c r="G282" s="12"/>
      <c r="H282" s="13"/>
      <c r="I282" s="11"/>
      <c r="J282" s="14" t="str">
        <f aca="false">IF(AND(G282&lt;&gt;"",H282&lt;&gt;""),G282*H282,"")</f>
        <v/>
      </c>
      <c r="K282" s="11"/>
      <c r="L282" s="15"/>
      <c r="M282" s="15"/>
      <c r="N282" s="14" t="n">
        <f aca="false">IF(OR(G282="",M282=""),0,IF(M282&gt;100,M282,G282*IF(M282&gt;1,M282/100,M282)))</f>
        <v>0</v>
      </c>
      <c r="O282" s="14" t="str">
        <f aca="false">IF(G282="","",G282*IF(L282="",0,IF(L282&gt;1,L282/100,L282))+N282)</f>
        <v/>
      </c>
      <c r="P282" s="11"/>
      <c r="Q282" s="16" t="str">
        <f aca="false">IF(P282="","",IFERROR(VLOOKUP(P282,PARTNERS!$A$2:$B$30,2,0),""))</f>
        <v/>
      </c>
      <c r="R282" s="17" t="str">
        <f aca="false">IF(O282="","",IF(OR(P282="",Q282=""),0,(O282-N282)*IF(Q282&gt;1,Q282/100,Q282)))</f>
        <v/>
      </c>
      <c r="S282" s="14" t="str">
        <f aca="false">IF(O282="","",O282-R282)</f>
        <v/>
      </c>
      <c r="T282" s="11"/>
      <c r="U282" s="18" t="str">
        <f aca="false">IF(T282="","",IFERROR(VLOOKUP(T282,REPS!$A$2:$D$40,2,0),""))</f>
        <v/>
      </c>
      <c r="V282" s="14" t="str">
        <f aca="false">IF(O282="","",IF(U282="",0,O282*IF(U282&gt;1,U282/100,U282)))</f>
        <v/>
      </c>
      <c r="W282" s="11"/>
      <c r="X282" s="18" t="str">
        <f aca="false">IF(W282="","",IFERROR(VLOOKUP(W282,REPS!$A$2:$D$40,3,0),""))</f>
        <v/>
      </c>
      <c r="Y282" s="14" t="str">
        <f aca="false">IF(O282="","",IF(X282="",0,O282*IF(X282&gt;1,X282/100,X282)))</f>
        <v/>
      </c>
      <c r="Z282" s="11"/>
      <c r="AA282" s="18" t="str">
        <f aca="false">IF(Z282="","",IFERROR(VLOOKUP(Z282,REPS!$A$2:$D$40,4,0),""))</f>
        <v/>
      </c>
      <c r="AB282" s="14" t="str">
        <f aca="false">IF(O282="","",IF(AA282="",0,O282*IF(AA282&gt;1,AA282/100,AA282)))</f>
        <v/>
      </c>
      <c r="AC282" s="14" t="str">
        <f aca="false">IF(O282="","",V282+Y282+AB282)</f>
        <v/>
      </c>
      <c r="AD282" s="19" t="str">
        <f aca="false">IF(O282="","",O282-R282-AC282)</f>
        <v/>
      </c>
      <c r="AE282" s="20"/>
      <c r="AF282" s="10"/>
      <c r="AG282" s="21" t="n">
        <f aca="false">IF(OR(AE282="",AE282=0),0,AE282*IF(U282="",0,IF(U282&gt;1,U282/100,U282)))</f>
        <v>0</v>
      </c>
      <c r="AH282" s="21" t="n">
        <f aca="false">IF(OR(AE282="",AE282=0),0,AE282*IF(X282="",0,IF(X282&gt;1,X282/100,X282)))</f>
        <v>0</v>
      </c>
      <c r="AI282" s="21" t="n">
        <f aca="false">IF(OR(AE282="",AE282=0),0,AE282*IF(AA282="",0,IF(AA282&gt;1,AA282/100,AA282)))</f>
        <v>0</v>
      </c>
      <c r="AJ282" s="21" t="n">
        <f aca="false">AG282+AH282+AI282</f>
        <v>0</v>
      </c>
      <c r="AK282" s="21" t="n">
        <f aca="false">IF(OR(AE282="",AE282=0),0,AE282-AJ282)</f>
        <v>0</v>
      </c>
      <c r="AL282" s="19" t="str">
        <f aca="false">IF(AD282="","",AD282-AK282)</f>
        <v/>
      </c>
      <c r="AM282" s="9" t="str">
        <f aca="false">IF(C282="","","Waiting for payment")</f>
        <v/>
      </c>
      <c r="AN282" s="10"/>
      <c r="AO282" s="10"/>
      <c r="AP282" s="22" t="str">
        <f aca="false">IF(OR(C282="",I282="",K282=""),"",IF(K282="Monthly",EDATE(C282,ROUND(I282*SETTINGS!$I$8,0)),WORKDAY(C282,ROUND(I282*SETTINGS!$I$8,0))))</f>
        <v/>
      </c>
      <c r="AQ282" s="9" t="str">
        <f aca="true">IF(C282="","",IF(AND(AP282&lt;&gt;"",TODAY()&gt;=AP282),"Refi Ready",IF(TODAY()-C282&gt;=SETTINGS!$I$11,"Prospecting","Performing")))</f>
        <v/>
      </c>
      <c r="AR282" s="22" t="str">
        <f aca="false">IF(OR(C282="",I282="",K282=""),"",IF(K282="Monthly",EDATE(C282,I282),WORKDAY(C282,I282)))</f>
        <v/>
      </c>
      <c r="AS282" s="11"/>
      <c r="AT282" s="23" t="str">
        <f aca="true">IF(C282="","",IF(AM282="Clawed Back","CLAWED",IF(TODAY()&lt;=C282+SETTINGS!$I$2,"⚠ AT RISK","SAFE")))</f>
        <v/>
      </c>
      <c r="AU282" s="11"/>
      <c r="AW282" s="24" t="n">
        <f aca="false">AW281+IF(AND(C282&lt;&gt;"",AO282&lt;&gt;"",OR('REP COMMISSION'!$B$3="",T282='REP COMMISSION'!$B$3,W282='REP COMMISSION'!$B$3,Z282='REP COMMISSION'!$B$3)),1,0)</f>
        <v>0</v>
      </c>
      <c r="AX282" s="24" t="n">
        <f aca="false">AX281+IF(AND(C282&lt;&gt;"",OR(F282="LOC - INITIAL",F282="CONSOLIDATION - UPFRONT COMM",F282="REVERSE - TOTAL FUNDING")),1,0)</f>
        <v>0</v>
      </c>
    </row>
    <row r="283" customFormat="false" ht="15" hidden="false" customHeight="false" outlineLevel="0" collapsed="false">
      <c r="A283" s="25" t="str">
        <f aca="false">IF(C283&lt;&gt;"","F27-"&amp;COUNT($C$4:C283),"")</f>
        <v/>
      </c>
      <c r="B283" s="26" t="str">
        <f aca="false">IF(OR(F283="LOC - INITIAL",F283="CONSOLIDATION - UPFRONT COMM",F283="REVERSE - TOTAL FUNDING"),A283,"")</f>
        <v/>
      </c>
      <c r="C283" s="27"/>
      <c r="D283" s="28"/>
      <c r="E283" s="28"/>
      <c r="F283" s="28"/>
      <c r="G283" s="29"/>
      <c r="H283" s="30"/>
      <c r="I283" s="28"/>
      <c r="J283" s="31" t="str">
        <f aca="false">IF(AND(G283&lt;&gt;"",H283&lt;&gt;""),G283*H283,"")</f>
        <v/>
      </c>
      <c r="K283" s="28"/>
      <c r="L283" s="32"/>
      <c r="M283" s="32"/>
      <c r="N283" s="31" t="n">
        <f aca="false">IF(OR(G283="",M283=""),0,IF(M283&gt;100,M283,G283*IF(M283&gt;1,M283/100,M283)))</f>
        <v>0</v>
      </c>
      <c r="O283" s="31" t="str">
        <f aca="false">IF(G283="","",G283*IF(L283="",0,IF(L283&gt;1,L283/100,L283))+N283)</f>
        <v/>
      </c>
      <c r="P283" s="28"/>
      <c r="Q283" s="33" t="str">
        <f aca="false">IF(P283="","",IFERROR(VLOOKUP(P283,PARTNERS!$A$2:$B$30,2,0),""))</f>
        <v/>
      </c>
      <c r="R283" s="17" t="str">
        <f aca="false">IF(O283="","",IF(OR(P283="",Q283=""),0,(O283-N283)*IF(Q283&gt;1,Q283/100,Q283)))</f>
        <v/>
      </c>
      <c r="S283" s="31" t="str">
        <f aca="false">IF(O283="","",O283-R283)</f>
        <v/>
      </c>
      <c r="T283" s="28"/>
      <c r="U283" s="34" t="str">
        <f aca="false">IF(T283="","",IFERROR(VLOOKUP(T283,REPS!$A$2:$D$40,2,0),""))</f>
        <v/>
      </c>
      <c r="V283" s="31" t="str">
        <f aca="false">IF(O283="","",IF(U283="",0,O283*IF(U283&gt;1,U283/100,U283)))</f>
        <v/>
      </c>
      <c r="W283" s="28"/>
      <c r="X283" s="34" t="str">
        <f aca="false">IF(W283="","",IFERROR(VLOOKUP(W283,REPS!$A$2:$D$40,3,0),""))</f>
        <v/>
      </c>
      <c r="Y283" s="31" t="str">
        <f aca="false">IF(O283="","",IF(X283="",0,O283*IF(X283&gt;1,X283/100,X283)))</f>
        <v/>
      </c>
      <c r="Z283" s="28"/>
      <c r="AA283" s="34" t="str">
        <f aca="false">IF(Z283="","",IFERROR(VLOOKUP(Z283,REPS!$A$2:$D$40,4,0),""))</f>
        <v/>
      </c>
      <c r="AB283" s="31" t="str">
        <f aca="false">IF(O283="","",IF(AA283="",0,O283*IF(AA283&gt;1,AA283/100,AA283)))</f>
        <v/>
      </c>
      <c r="AC283" s="31" t="str">
        <f aca="false">IF(O283="","",V283+Y283+AB283)</f>
        <v/>
      </c>
      <c r="AD283" s="19" t="str">
        <f aca="false">IF(O283="","",O283-R283-AC283)</f>
        <v/>
      </c>
      <c r="AE283" s="20"/>
      <c r="AF283" s="27"/>
      <c r="AG283" s="21" t="n">
        <f aca="false">IF(OR(AE283="",AE283=0),0,AE283*IF(U283="",0,IF(U283&gt;1,U283/100,U283)))</f>
        <v>0</v>
      </c>
      <c r="AH283" s="21" t="n">
        <f aca="false">IF(OR(AE283="",AE283=0),0,AE283*IF(X283="",0,IF(X283&gt;1,X283/100,X283)))</f>
        <v>0</v>
      </c>
      <c r="AI283" s="21" t="n">
        <f aca="false">IF(OR(AE283="",AE283=0),0,AE283*IF(AA283="",0,IF(AA283&gt;1,AA283/100,AA283)))</f>
        <v>0</v>
      </c>
      <c r="AJ283" s="21" t="n">
        <f aca="false">AG283+AH283+AI283</f>
        <v>0</v>
      </c>
      <c r="AK283" s="21" t="n">
        <f aca="false">IF(OR(AE283="",AE283=0),0,AE283-AJ283)</f>
        <v>0</v>
      </c>
      <c r="AL283" s="19" t="str">
        <f aca="false">IF(AD283="","",AD283-AK283)</f>
        <v/>
      </c>
      <c r="AM283" s="26" t="str">
        <f aca="false">IF(C283="","","Waiting for payment")</f>
        <v/>
      </c>
      <c r="AN283" s="27"/>
      <c r="AO283" s="27"/>
      <c r="AP283" s="35" t="str">
        <f aca="false">IF(OR(C283="",I283="",K283=""),"",IF(K283="Monthly",EDATE(C283,ROUND(I283*SETTINGS!$I$8,0)),WORKDAY(C283,ROUND(I283*SETTINGS!$I$8,0))))</f>
        <v/>
      </c>
      <c r="AQ283" s="26" t="str">
        <f aca="true">IF(C283="","",IF(AND(AP283&lt;&gt;"",TODAY()&gt;=AP283),"Refi Ready",IF(TODAY()-C283&gt;=SETTINGS!$I$11,"Prospecting","Performing")))</f>
        <v/>
      </c>
      <c r="AR283" s="35" t="str">
        <f aca="false">IF(OR(C283="",I283="",K283=""),"",IF(K283="Monthly",EDATE(C283,I283),WORKDAY(C283,I283)))</f>
        <v/>
      </c>
      <c r="AS283" s="28"/>
      <c r="AT283" s="36" t="str">
        <f aca="true">IF(C283="","",IF(AM283="Clawed Back","CLAWED",IF(TODAY()&lt;=C283+SETTINGS!$I$2,"⚠ AT RISK","SAFE")))</f>
        <v/>
      </c>
      <c r="AU283" s="28"/>
      <c r="AW283" s="24" t="n">
        <f aca="false">AW282+IF(AND(C283&lt;&gt;"",AO283&lt;&gt;"",OR('REP COMMISSION'!$B$3="",T283='REP COMMISSION'!$B$3,W283='REP COMMISSION'!$B$3,Z283='REP COMMISSION'!$B$3)),1,0)</f>
        <v>0</v>
      </c>
      <c r="AX283" s="24" t="n">
        <f aca="false">AX282+IF(AND(C283&lt;&gt;"",OR(F283="LOC - INITIAL",F283="CONSOLIDATION - UPFRONT COMM",F283="REVERSE - TOTAL FUNDING")),1,0)</f>
        <v>0</v>
      </c>
    </row>
    <row r="284" customFormat="false" ht="15" hidden="false" customHeight="false" outlineLevel="0" collapsed="false">
      <c r="A284" s="8" t="str">
        <f aca="false">IF(C284&lt;&gt;"","F27-"&amp;COUNT($C$4:C284),"")</f>
        <v/>
      </c>
      <c r="B284" s="9" t="str">
        <f aca="false">IF(OR(F284="LOC - INITIAL",F284="CONSOLIDATION - UPFRONT COMM",F284="REVERSE - TOTAL FUNDING"),A284,"")</f>
        <v/>
      </c>
      <c r="C284" s="10"/>
      <c r="D284" s="11"/>
      <c r="E284" s="11"/>
      <c r="F284" s="11"/>
      <c r="G284" s="12"/>
      <c r="H284" s="13"/>
      <c r="I284" s="11"/>
      <c r="J284" s="14" t="str">
        <f aca="false">IF(AND(G284&lt;&gt;"",H284&lt;&gt;""),G284*H284,"")</f>
        <v/>
      </c>
      <c r="K284" s="11"/>
      <c r="L284" s="15"/>
      <c r="M284" s="15"/>
      <c r="N284" s="14" t="n">
        <f aca="false">IF(OR(G284="",M284=""),0,IF(M284&gt;100,M284,G284*IF(M284&gt;1,M284/100,M284)))</f>
        <v>0</v>
      </c>
      <c r="O284" s="14" t="str">
        <f aca="false">IF(G284="","",G284*IF(L284="",0,IF(L284&gt;1,L284/100,L284))+N284)</f>
        <v/>
      </c>
      <c r="P284" s="11"/>
      <c r="Q284" s="16" t="str">
        <f aca="false">IF(P284="","",IFERROR(VLOOKUP(P284,PARTNERS!$A$2:$B$30,2,0),""))</f>
        <v/>
      </c>
      <c r="R284" s="17" t="str">
        <f aca="false">IF(O284="","",IF(OR(P284="",Q284=""),0,(O284-N284)*IF(Q284&gt;1,Q284/100,Q284)))</f>
        <v/>
      </c>
      <c r="S284" s="14" t="str">
        <f aca="false">IF(O284="","",O284-R284)</f>
        <v/>
      </c>
      <c r="T284" s="11"/>
      <c r="U284" s="18" t="str">
        <f aca="false">IF(T284="","",IFERROR(VLOOKUP(T284,REPS!$A$2:$D$40,2,0),""))</f>
        <v/>
      </c>
      <c r="V284" s="14" t="str">
        <f aca="false">IF(O284="","",IF(U284="",0,O284*IF(U284&gt;1,U284/100,U284)))</f>
        <v/>
      </c>
      <c r="W284" s="11"/>
      <c r="X284" s="18" t="str">
        <f aca="false">IF(W284="","",IFERROR(VLOOKUP(W284,REPS!$A$2:$D$40,3,0),""))</f>
        <v/>
      </c>
      <c r="Y284" s="14" t="str">
        <f aca="false">IF(O284="","",IF(X284="",0,O284*IF(X284&gt;1,X284/100,X284)))</f>
        <v/>
      </c>
      <c r="Z284" s="11"/>
      <c r="AA284" s="18" t="str">
        <f aca="false">IF(Z284="","",IFERROR(VLOOKUP(Z284,REPS!$A$2:$D$40,4,0),""))</f>
        <v/>
      </c>
      <c r="AB284" s="14" t="str">
        <f aca="false">IF(O284="","",IF(AA284="",0,O284*IF(AA284&gt;1,AA284/100,AA284)))</f>
        <v/>
      </c>
      <c r="AC284" s="14" t="str">
        <f aca="false">IF(O284="","",V284+Y284+AB284)</f>
        <v/>
      </c>
      <c r="AD284" s="19" t="str">
        <f aca="false">IF(O284="","",O284-R284-AC284)</f>
        <v/>
      </c>
      <c r="AE284" s="20"/>
      <c r="AF284" s="10"/>
      <c r="AG284" s="21" t="n">
        <f aca="false">IF(OR(AE284="",AE284=0),0,AE284*IF(U284="",0,IF(U284&gt;1,U284/100,U284)))</f>
        <v>0</v>
      </c>
      <c r="AH284" s="21" t="n">
        <f aca="false">IF(OR(AE284="",AE284=0),0,AE284*IF(X284="",0,IF(X284&gt;1,X284/100,X284)))</f>
        <v>0</v>
      </c>
      <c r="AI284" s="21" t="n">
        <f aca="false">IF(OR(AE284="",AE284=0),0,AE284*IF(AA284="",0,IF(AA284&gt;1,AA284/100,AA284)))</f>
        <v>0</v>
      </c>
      <c r="AJ284" s="21" t="n">
        <f aca="false">AG284+AH284+AI284</f>
        <v>0</v>
      </c>
      <c r="AK284" s="21" t="n">
        <f aca="false">IF(OR(AE284="",AE284=0),0,AE284-AJ284)</f>
        <v>0</v>
      </c>
      <c r="AL284" s="19" t="str">
        <f aca="false">IF(AD284="","",AD284-AK284)</f>
        <v/>
      </c>
      <c r="AM284" s="9" t="str">
        <f aca="false">IF(C284="","","Waiting for payment")</f>
        <v/>
      </c>
      <c r="AN284" s="10"/>
      <c r="AO284" s="10"/>
      <c r="AP284" s="22" t="str">
        <f aca="false">IF(OR(C284="",I284="",K284=""),"",IF(K284="Monthly",EDATE(C284,ROUND(I284*SETTINGS!$I$8,0)),WORKDAY(C284,ROUND(I284*SETTINGS!$I$8,0))))</f>
        <v/>
      </c>
      <c r="AQ284" s="9" t="str">
        <f aca="true">IF(C284="","",IF(AND(AP284&lt;&gt;"",TODAY()&gt;=AP284),"Refi Ready",IF(TODAY()-C284&gt;=SETTINGS!$I$11,"Prospecting","Performing")))</f>
        <v/>
      </c>
      <c r="AR284" s="22" t="str">
        <f aca="false">IF(OR(C284="",I284="",K284=""),"",IF(K284="Monthly",EDATE(C284,I284),WORKDAY(C284,I284)))</f>
        <v/>
      </c>
      <c r="AS284" s="11"/>
      <c r="AT284" s="23" t="str">
        <f aca="true">IF(C284="","",IF(AM284="Clawed Back","CLAWED",IF(TODAY()&lt;=C284+SETTINGS!$I$2,"⚠ AT RISK","SAFE")))</f>
        <v/>
      </c>
      <c r="AU284" s="11"/>
      <c r="AW284" s="24" t="n">
        <f aca="false">AW283+IF(AND(C284&lt;&gt;"",AO284&lt;&gt;"",OR('REP COMMISSION'!$B$3="",T284='REP COMMISSION'!$B$3,W284='REP COMMISSION'!$B$3,Z284='REP COMMISSION'!$B$3)),1,0)</f>
        <v>0</v>
      </c>
      <c r="AX284" s="24" t="n">
        <f aca="false">AX283+IF(AND(C284&lt;&gt;"",OR(F284="LOC - INITIAL",F284="CONSOLIDATION - UPFRONT COMM",F284="REVERSE - TOTAL FUNDING")),1,0)</f>
        <v>0</v>
      </c>
    </row>
    <row r="285" customFormat="false" ht="15" hidden="false" customHeight="false" outlineLevel="0" collapsed="false">
      <c r="A285" s="25" t="str">
        <f aca="false">IF(C285&lt;&gt;"","F27-"&amp;COUNT($C$4:C285),"")</f>
        <v/>
      </c>
      <c r="B285" s="26" t="str">
        <f aca="false">IF(OR(F285="LOC - INITIAL",F285="CONSOLIDATION - UPFRONT COMM",F285="REVERSE - TOTAL FUNDING"),A285,"")</f>
        <v/>
      </c>
      <c r="C285" s="27"/>
      <c r="D285" s="28"/>
      <c r="E285" s="28"/>
      <c r="F285" s="28"/>
      <c r="G285" s="29"/>
      <c r="H285" s="30"/>
      <c r="I285" s="28"/>
      <c r="J285" s="31" t="str">
        <f aca="false">IF(AND(G285&lt;&gt;"",H285&lt;&gt;""),G285*H285,"")</f>
        <v/>
      </c>
      <c r="K285" s="28"/>
      <c r="L285" s="32"/>
      <c r="M285" s="32"/>
      <c r="N285" s="31" t="n">
        <f aca="false">IF(OR(G285="",M285=""),0,IF(M285&gt;100,M285,G285*IF(M285&gt;1,M285/100,M285)))</f>
        <v>0</v>
      </c>
      <c r="O285" s="31" t="str">
        <f aca="false">IF(G285="","",G285*IF(L285="",0,IF(L285&gt;1,L285/100,L285))+N285)</f>
        <v/>
      </c>
      <c r="P285" s="28"/>
      <c r="Q285" s="33" t="str">
        <f aca="false">IF(P285="","",IFERROR(VLOOKUP(P285,PARTNERS!$A$2:$B$30,2,0),""))</f>
        <v/>
      </c>
      <c r="R285" s="17" t="str">
        <f aca="false">IF(O285="","",IF(OR(P285="",Q285=""),0,(O285-N285)*IF(Q285&gt;1,Q285/100,Q285)))</f>
        <v/>
      </c>
      <c r="S285" s="31" t="str">
        <f aca="false">IF(O285="","",O285-R285)</f>
        <v/>
      </c>
      <c r="T285" s="28"/>
      <c r="U285" s="34" t="str">
        <f aca="false">IF(T285="","",IFERROR(VLOOKUP(T285,REPS!$A$2:$D$40,2,0),""))</f>
        <v/>
      </c>
      <c r="V285" s="31" t="str">
        <f aca="false">IF(O285="","",IF(U285="",0,O285*IF(U285&gt;1,U285/100,U285)))</f>
        <v/>
      </c>
      <c r="W285" s="28"/>
      <c r="X285" s="34" t="str">
        <f aca="false">IF(W285="","",IFERROR(VLOOKUP(W285,REPS!$A$2:$D$40,3,0),""))</f>
        <v/>
      </c>
      <c r="Y285" s="31" t="str">
        <f aca="false">IF(O285="","",IF(X285="",0,O285*IF(X285&gt;1,X285/100,X285)))</f>
        <v/>
      </c>
      <c r="Z285" s="28"/>
      <c r="AA285" s="34" t="str">
        <f aca="false">IF(Z285="","",IFERROR(VLOOKUP(Z285,REPS!$A$2:$D$40,4,0),""))</f>
        <v/>
      </c>
      <c r="AB285" s="31" t="str">
        <f aca="false">IF(O285="","",IF(AA285="",0,O285*IF(AA285&gt;1,AA285/100,AA285)))</f>
        <v/>
      </c>
      <c r="AC285" s="31" t="str">
        <f aca="false">IF(O285="","",V285+Y285+AB285)</f>
        <v/>
      </c>
      <c r="AD285" s="19" t="str">
        <f aca="false">IF(O285="","",O285-R285-AC285)</f>
        <v/>
      </c>
      <c r="AE285" s="20"/>
      <c r="AF285" s="27"/>
      <c r="AG285" s="21" t="n">
        <f aca="false">IF(OR(AE285="",AE285=0),0,AE285*IF(U285="",0,IF(U285&gt;1,U285/100,U285)))</f>
        <v>0</v>
      </c>
      <c r="AH285" s="21" t="n">
        <f aca="false">IF(OR(AE285="",AE285=0),0,AE285*IF(X285="",0,IF(X285&gt;1,X285/100,X285)))</f>
        <v>0</v>
      </c>
      <c r="AI285" s="21" t="n">
        <f aca="false">IF(OR(AE285="",AE285=0),0,AE285*IF(AA285="",0,IF(AA285&gt;1,AA285/100,AA285)))</f>
        <v>0</v>
      </c>
      <c r="AJ285" s="21" t="n">
        <f aca="false">AG285+AH285+AI285</f>
        <v>0</v>
      </c>
      <c r="AK285" s="21" t="n">
        <f aca="false">IF(OR(AE285="",AE285=0),0,AE285-AJ285)</f>
        <v>0</v>
      </c>
      <c r="AL285" s="19" t="str">
        <f aca="false">IF(AD285="","",AD285-AK285)</f>
        <v/>
      </c>
      <c r="AM285" s="26" t="str">
        <f aca="false">IF(C285="","","Waiting for payment")</f>
        <v/>
      </c>
      <c r="AN285" s="27"/>
      <c r="AO285" s="27"/>
      <c r="AP285" s="35" t="str">
        <f aca="false">IF(OR(C285="",I285="",K285=""),"",IF(K285="Monthly",EDATE(C285,ROUND(I285*SETTINGS!$I$8,0)),WORKDAY(C285,ROUND(I285*SETTINGS!$I$8,0))))</f>
        <v/>
      </c>
      <c r="AQ285" s="26" t="str">
        <f aca="true">IF(C285="","",IF(AND(AP285&lt;&gt;"",TODAY()&gt;=AP285),"Refi Ready",IF(TODAY()-C285&gt;=SETTINGS!$I$11,"Prospecting","Performing")))</f>
        <v/>
      </c>
      <c r="AR285" s="35" t="str">
        <f aca="false">IF(OR(C285="",I285="",K285=""),"",IF(K285="Monthly",EDATE(C285,I285),WORKDAY(C285,I285)))</f>
        <v/>
      </c>
      <c r="AS285" s="28"/>
      <c r="AT285" s="36" t="str">
        <f aca="true">IF(C285="","",IF(AM285="Clawed Back","CLAWED",IF(TODAY()&lt;=C285+SETTINGS!$I$2,"⚠ AT RISK","SAFE")))</f>
        <v/>
      </c>
      <c r="AU285" s="28"/>
      <c r="AW285" s="24" t="n">
        <f aca="false">AW284+IF(AND(C285&lt;&gt;"",AO285&lt;&gt;"",OR('REP COMMISSION'!$B$3="",T285='REP COMMISSION'!$B$3,W285='REP COMMISSION'!$B$3,Z285='REP COMMISSION'!$B$3)),1,0)</f>
        <v>0</v>
      </c>
      <c r="AX285" s="24" t="n">
        <f aca="false">AX284+IF(AND(C285&lt;&gt;"",OR(F285="LOC - INITIAL",F285="CONSOLIDATION - UPFRONT COMM",F285="REVERSE - TOTAL FUNDING")),1,0)</f>
        <v>0</v>
      </c>
    </row>
    <row r="286" customFormat="false" ht="15" hidden="false" customHeight="false" outlineLevel="0" collapsed="false">
      <c r="A286" s="8" t="str">
        <f aca="false">IF(C286&lt;&gt;"","F27-"&amp;COUNT($C$4:C286),"")</f>
        <v/>
      </c>
      <c r="B286" s="9" t="str">
        <f aca="false">IF(OR(F286="LOC - INITIAL",F286="CONSOLIDATION - UPFRONT COMM",F286="REVERSE - TOTAL FUNDING"),A286,"")</f>
        <v/>
      </c>
      <c r="C286" s="10"/>
      <c r="D286" s="11"/>
      <c r="E286" s="11"/>
      <c r="F286" s="11"/>
      <c r="G286" s="12"/>
      <c r="H286" s="13"/>
      <c r="I286" s="11"/>
      <c r="J286" s="14" t="str">
        <f aca="false">IF(AND(G286&lt;&gt;"",H286&lt;&gt;""),G286*H286,"")</f>
        <v/>
      </c>
      <c r="K286" s="11"/>
      <c r="L286" s="15"/>
      <c r="M286" s="15"/>
      <c r="N286" s="14" t="n">
        <f aca="false">IF(OR(G286="",M286=""),0,IF(M286&gt;100,M286,G286*IF(M286&gt;1,M286/100,M286)))</f>
        <v>0</v>
      </c>
      <c r="O286" s="14" t="str">
        <f aca="false">IF(G286="","",G286*IF(L286="",0,IF(L286&gt;1,L286/100,L286))+N286)</f>
        <v/>
      </c>
      <c r="P286" s="11"/>
      <c r="Q286" s="16" t="str">
        <f aca="false">IF(P286="","",IFERROR(VLOOKUP(P286,PARTNERS!$A$2:$B$30,2,0),""))</f>
        <v/>
      </c>
      <c r="R286" s="17" t="str">
        <f aca="false">IF(O286="","",IF(OR(P286="",Q286=""),0,(O286-N286)*IF(Q286&gt;1,Q286/100,Q286)))</f>
        <v/>
      </c>
      <c r="S286" s="14" t="str">
        <f aca="false">IF(O286="","",O286-R286)</f>
        <v/>
      </c>
      <c r="T286" s="11"/>
      <c r="U286" s="18" t="str">
        <f aca="false">IF(T286="","",IFERROR(VLOOKUP(T286,REPS!$A$2:$D$40,2,0),""))</f>
        <v/>
      </c>
      <c r="V286" s="14" t="str">
        <f aca="false">IF(O286="","",IF(U286="",0,O286*IF(U286&gt;1,U286/100,U286)))</f>
        <v/>
      </c>
      <c r="W286" s="11"/>
      <c r="X286" s="18" t="str">
        <f aca="false">IF(W286="","",IFERROR(VLOOKUP(W286,REPS!$A$2:$D$40,3,0),""))</f>
        <v/>
      </c>
      <c r="Y286" s="14" t="str">
        <f aca="false">IF(O286="","",IF(X286="",0,O286*IF(X286&gt;1,X286/100,X286)))</f>
        <v/>
      </c>
      <c r="Z286" s="11"/>
      <c r="AA286" s="18" t="str">
        <f aca="false">IF(Z286="","",IFERROR(VLOOKUP(Z286,REPS!$A$2:$D$40,4,0),""))</f>
        <v/>
      </c>
      <c r="AB286" s="14" t="str">
        <f aca="false">IF(O286="","",IF(AA286="",0,O286*IF(AA286&gt;1,AA286/100,AA286)))</f>
        <v/>
      </c>
      <c r="AC286" s="14" t="str">
        <f aca="false">IF(O286="","",V286+Y286+AB286)</f>
        <v/>
      </c>
      <c r="AD286" s="19" t="str">
        <f aca="false">IF(O286="","",O286-R286-AC286)</f>
        <v/>
      </c>
      <c r="AE286" s="20"/>
      <c r="AF286" s="10"/>
      <c r="AG286" s="21" t="n">
        <f aca="false">IF(OR(AE286="",AE286=0),0,AE286*IF(U286="",0,IF(U286&gt;1,U286/100,U286)))</f>
        <v>0</v>
      </c>
      <c r="AH286" s="21" t="n">
        <f aca="false">IF(OR(AE286="",AE286=0),0,AE286*IF(X286="",0,IF(X286&gt;1,X286/100,X286)))</f>
        <v>0</v>
      </c>
      <c r="AI286" s="21" t="n">
        <f aca="false">IF(OR(AE286="",AE286=0),0,AE286*IF(AA286="",0,IF(AA286&gt;1,AA286/100,AA286)))</f>
        <v>0</v>
      </c>
      <c r="AJ286" s="21" t="n">
        <f aca="false">AG286+AH286+AI286</f>
        <v>0</v>
      </c>
      <c r="AK286" s="21" t="n">
        <f aca="false">IF(OR(AE286="",AE286=0),0,AE286-AJ286)</f>
        <v>0</v>
      </c>
      <c r="AL286" s="19" t="str">
        <f aca="false">IF(AD286="","",AD286-AK286)</f>
        <v/>
      </c>
      <c r="AM286" s="9" t="str">
        <f aca="false">IF(C286="","","Waiting for payment")</f>
        <v/>
      </c>
      <c r="AN286" s="10"/>
      <c r="AO286" s="10"/>
      <c r="AP286" s="22" t="str">
        <f aca="false">IF(OR(C286="",I286="",K286=""),"",IF(K286="Monthly",EDATE(C286,ROUND(I286*SETTINGS!$I$8,0)),WORKDAY(C286,ROUND(I286*SETTINGS!$I$8,0))))</f>
        <v/>
      </c>
      <c r="AQ286" s="9" t="str">
        <f aca="true">IF(C286="","",IF(AND(AP286&lt;&gt;"",TODAY()&gt;=AP286),"Refi Ready",IF(TODAY()-C286&gt;=SETTINGS!$I$11,"Prospecting","Performing")))</f>
        <v/>
      </c>
      <c r="AR286" s="22" t="str">
        <f aca="false">IF(OR(C286="",I286="",K286=""),"",IF(K286="Monthly",EDATE(C286,I286),WORKDAY(C286,I286)))</f>
        <v/>
      </c>
      <c r="AS286" s="11"/>
      <c r="AT286" s="23" t="str">
        <f aca="true">IF(C286="","",IF(AM286="Clawed Back","CLAWED",IF(TODAY()&lt;=C286+SETTINGS!$I$2,"⚠ AT RISK","SAFE")))</f>
        <v/>
      </c>
      <c r="AU286" s="11"/>
      <c r="AW286" s="24" t="n">
        <f aca="false">AW285+IF(AND(C286&lt;&gt;"",AO286&lt;&gt;"",OR('REP COMMISSION'!$B$3="",T286='REP COMMISSION'!$B$3,W286='REP COMMISSION'!$B$3,Z286='REP COMMISSION'!$B$3)),1,0)</f>
        <v>0</v>
      </c>
      <c r="AX286" s="24" t="n">
        <f aca="false">AX285+IF(AND(C286&lt;&gt;"",OR(F286="LOC - INITIAL",F286="CONSOLIDATION - UPFRONT COMM",F286="REVERSE - TOTAL FUNDING")),1,0)</f>
        <v>0</v>
      </c>
    </row>
    <row r="287" customFormat="false" ht="15" hidden="false" customHeight="false" outlineLevel="0" collapsed="false">
      <c r="A287" s="25" t="str">
        <f aca="false">IF(C287&lt;&gt;"","F27-"&amp;COUNT($C$4:C287),"")</f>
        <v/>
      </c>
      <c r="B287" s="26" t="str">
        <f aca="false">IF(OR(F287="LOC - INITIAL",F287="CONSOLIDATION - UPFRONT COMM",F287="REVERSE - TOTAL FUNDING"),A287,"")</f>
        <v/>
      </c>
      <c r="C287" s="27"/>
      <c r="D287" s="28"/>
      <c r="E287" s="28"/>
      <c r="F287" s="28"/>
      <c r="G287" s="29"/>
      <c r="H287" s="30"/>
      <c r="I287" s="28"/>
      <c r="J287" s="31" t="str">
        <f aca="false">IF(AND(G287&lt;&gt;"",H287&lt;&gt;""),G287*H287,"")</f>
        <v/>
      </c>
      <c r="K287" s="28"/>
      <c r="L287" s="32"/>
      <c r="M287" s="32"/>
      <c r="N287" s="31" t="n">
        <f aca="false">IF(OR(G287="",M287=""),0,IF(M287&gt;100,M287,G287*IF(M287&gt;1,M287/100,M287)))</f>
        <v>0</v>
      </c>
      <c r="O287" s="31" t="str">
        <f aca="false">IF(G287="","",G287*IF(L287="",0,IF(L287&gt;1,L287/100,L287))+N287)</f>
        <v/>
      </c>
      <c r="P287" s="28"/>
      <c r="Q287" s="33" t="str">
        <f aca="false">IF(P287="","",IFERROR(VLOOKUP(P287,PARTNERS!$A$2:$B$30,2,0),""))</f>
        <v/>
      </c>
      <c r="R287" s="17" t="str">
        <f aca="false">IF(O287="","",IF(OR(P287="",Q287=""),0,(O287-N287)*IF(Q287&gt;1,Q287/100,Q287)))</f>
        <v/>
      </c>
      <c r="S287" s="31" t="str">
        <f aca="false">IF(O287="","",O287-R287)</f>
        <v/>
      </c>
      <c r="T287" s="28"/>
      <c r="U287" s="34" t="str">
        <f aca="false">IF(T287="","",IFERROR(VLOOKUP(T287,REPS!$A$2:$D$40,2,0),""))</f>
        <v/>
      </c>
      <c r="V287" s="31" t="str">
        <f aca="false">IF(O287="","",IF(U287="",0,O287*IF(U287&gt;1,U287/100,U287)))</f>
        <v/>
      </c>
      <c r="W287" s="28"/>
      <c r="X287" s="34" t="str">
        <f aca="false">IF(W287="","",IFERROR(VLOOKUP(W287,REPS!$A$2:$D$40,3,0),""))</f>
        <v/>
      </c>
      <c r="Y287" s="31" t="str">
        <f aca="false">IF(O287="","",IF(X287="",0,O287*IF(X287&gt;1,X287/100,X287)))</f>
        <v/>
      </c>
      <c r="Z287" s="28"/>
      <c r="AA287" s="34" t="str">
        <f aca="false">IF(Z287="","",IFERROR(VLOOKUP(Z287,REPS!$A$2:$D$40,4,0),""))</f>
        <v/>
      </c>
      <c r="AB287" s="31" t="str">
        <f aca="false">IF(O287="","",IF(AA287="",0,O287*IF(AA287&gt;1,AA287/100,AA287)))</f>
        <v/>
      </c>
      <c r="AC287" s="31" t="str">
        <f aca="false">IF(O287="","",V287+Y287+AB287)</f>
        <v/>
      </c>
      <c r="AD287" s="19" t="str">
        <f aca="false">IF(O287="","",O287-R287-AC287)</f>
        <v/>
      </c>
      <c r="AE287" s="20"/>
      <c r="AF287" s="27"/>
      <c r="AG287" s="21" t="n">
        <f aca="false">IF(OR(AE287="",AE287=0),0,AE287*IF(U287="",0,IF(U287&gt;1,U287/100,U287)))</f>
        <v>0</v>
      </c>
      <c r="AH287" s="21" t="n">
        <f aca="false">IF(OR(AE287="",AE287=0),0,AE287*IF(X287="",0,IF(X287&gt;1,X287/100,X287)))</f>
        <v>0</v>
      </c>
      <c r="AI287" s="21" t="n">
        <f aca="false">IF(OR(AE287="",AE287=0),0,AE287*IF(AA287="",0,IF(AA287&gt;1,AA287/100,AA287)))</f>
        <v>0</v>
      </c>
      <c r="AJ287" s="21" t="n">
        <f aca="false">AG287+AH287+AI287</f>
        <v>0</v>
      </c>
      <c r="AK287" s="21" t="n">
        <f aca="false">IF(OR(AE287="",AE287=0),0,AE287-AJ287)</f>
        <v>0</v>
      </c>
      <c r="AL287" s="19" t="str">
        <f aca="false">IF(AD287="","",AD287-AK287)</f>
        <v/>
      </c>
      <c r="AM287" s="26" t="str">
        <f aca="false">IF(C287="","","Waiting for payment")</f>
        <v/>
      </c>
      <c r="AN287" s="27"/>
      <c r="AO287" s="27"/>
      <c r="AP287" s="35" t="str">
        <f aca="false">IF(OR(C287="",I287="",K287=""),"",IF(K287="Monthly",EDATE(C287,ROUND(I287*SETTINGS!$I$8,0)),WORKDAY(C287,ROUND(I287*SETTINGS!$I$8,0))))</f>
        <v/>
      </c>
      <c r="AQ287" s="26" t="str">
        <f aca="true">IF(C287="","",IF(AND(AP287&lt;&gt;"",TODAY()&gt;=AP287),"Refi Ready",IF(TODAY()-C287&gt;=SETTINGS!$I$11,"Prospecting","Performing")))</f>
        <v/>
      </c>
      <c r="AR287" s="35" t="str">
        <f aca="false">IF(OR(C287="",I287="",K287=""),"",IF(K287="Monthly",EDATE(C287,I287),WORKDAY(C287,I287)))</f>
        <v/>
      </c>
      <c r="AS287" s="28"/>
      <c r="AT287" s="36" t="str">
        <f aca="true">IF(C287="","",IF(AM287="Clawed Back","CLAWED",IF(TODAY()&lt;=C287+SETTINGS!$I$2,"⚠ AT RISK","SAFE")))</f>
        <v/>
      </c>
      <c r="AU287" s="28"/>
      <c r="AW287" s="24" t="n">
        <f aca="false">AW286+IF(AND(C287&lt;&gt;"",AO287&lt;&gt;"",OR('REP COMMISSION'!$B$3="",T287='REP COMMISSION'!$B$3,W287='REP COMMISSION'!$B$3,Z287='REP COMMISSION'!$B$3)),1,0)</f>
        <v>0</v>
      </c>
      <c r="AX287" s="24" t="n">
        <f aca="false">AX286+IF(AND(C287&lt;&gt;"",OR(F287="LOC - INITIAL",F287="CONSOLIDATION - UPFRONT COMM",F287="REVERSE - TOTAL FUNDING")),1,0)</f>
        <v>0</v>
      </c>
    </row>
    <row r="288" customFormat="false" ht="15" hidden="false" customHeight="false" outlineLevel="0" collapsed="false">
      <c r="A288" s="8" t="str">
        <f aca="false">IF(C288&lt;&gt;"","F27-"&amp;COUNT($C$4:C288),"")</f>
        <v/>
      </c>
      <c r="B288" s="9" t="str">
        <f aca="false">IF(OR(F288="LOC - INITIAL",F288="CONSOLIDATION - UPFRONT COMM",F288="REVERSE - TOTAL FUNDING"),A288,"")</f>
        <v/>
      </c>
      <c r="C288" s="10"/>
      <c r="D288" s="11"/>
      <c r="E288" s="11"/>
      <c r="F288" s="11"/>
      <c r="G288" s="12"/>
      <c r="H288" s="13"/>
      <c r="I288" s="11"/>
      <c r="J288" s="14" t="str">
        <f aca="false">IF(AND(G288&lt;&gt;"",H288&lt;&gt;""),G288*H288,"")</f>
        <v/>
      </c>
      <c r="K288" s="11"/>
      <c r="L288" s="15"/>
      <c r="M288" s="15"/>
      <c r="N288" s="14" t="n">
        <f aca="false">IF(OR(G288="",M288=""),0,IF(M288&gt;100,M288,G288*IF(M288&gt;1,M288/100,M288)))</f>
        <v>0</v>
      </c>
      <c r="O288" s="14" t="str">
        <f aca="false">IF(G288="","",G288*IF(L288="",0,IF(L288&gt;1,L288/100,L288))+N288)</f>
        <v/>
      </c>
      <c r="P288" s="11"/>
      <c r="Q288" s="16" t="str">
        <f aca="false">IF(P288="","",IFERROR(VLOOKUP(P288,PARTNERS!$A$2:$B$30,2,0),""))</f>
        <v/>
      </c>
      <c r="R288" s="17" t="str">
        <f aca="false">IF(O288="","",IF(OR(P288="",Q288=""),0,(O288-N288)*IF(Q288&gt;1,Q288/100,Q288)))</f>
        <v/>
      </c>
      <c r="S288" s="14" t="str">
        <f aca="false">IF(O288="","",O288-R288)</f>
        <v/>
      </c>
      <c r="T288" s="11"/>
      <c r="U288" s="18" t="str">
        <f aca="false">IF(T288="","",IFERROR(VLOOKUP(T288,REPS!$A$2:$D$40,2,0),""))</f>
        <v/>
      </c>
      <c r="V288" s="14" t="str">
        <f aca="false">IF(O288="","",IF(U288="",0,O288*IF(U288&gt;1,U288/100,U288)))</f>
        <v/>
      </c>
      <c r="W288" s="11"/>
      <c r="X288" s="18" t="str">
        <f aca="false">IF(W288="","",IFERROR(VLOOKUP(W288,REPS!$A$2:$D$40,3,0),""))</f>
        <v/>
      </c>
      <c r="Y288" s="14" t="str">
        <f aca="false">IF(O288="","",IF(X288="",0,O288*IF(X288&gt;1,X288/100,X288)))</f>
        <v/>
      </c>
      <c r="Z288" s="11"/>
      <c r="AA288" s="18" t="str">
        <f aca="false">IF(Z288="","",IFERROR(VLOOKUP(Z288,REPS!$A$2:$D$40,4,0),""))</f>
        <v/>
      </c>
      <c r="AB288" s="14" t="str">
        <f aca="false">IF(O288="","",IF(AA288="",0,O288*IF(AA288&gt;1,AA288/100,AA288)))</f>
        <v/>
      </c>
      <c r="AC288" s="14" t="str">
        <f aca="false">IF(O288="","",V288+Y288+AB288)</f>
        <v/>
      </c>
      <c r="AD288" s="19" t="str">
        <f aca="false">IF(O288="","",O288-R288-AC288)</f>
        <v/>
      </c>
      <c r="AE288" s="20"/>
      <c r="AF288" s="10"/>
      <c r="AG288" s="21" t="n">
        <f aca="false">IF(OR(AE288="",AE288=0),0,AE288*IF(U288="",0,IF(U288&gt;1,U288/100,U288)))</f>
        <v>0</v>
      </c>
      <c r="AH288" s="21" t="n">
        <f aca="false">IF(OR(AE288="",AE288=0),0,AE288*IF(X288="",0,IF(X288&gt;1,X288/100,X288)))</f>
        <v>0</v>
      </c>
      <c r="AI288" s="21" t="n">
        <f aca="false">IF(OR(AE288="",AE288=0),0,AE288*IF(AA288="",0,IF(AA288&gt;1,AA288/100,AA288)))</f>
        <v>0</v>
      </c>
      <c r="AJ288" s="21" t="n">
        <f aca="false">AG288+AH288+AI288</f>
        <v>0</v>
      </c>
      <c r="AK288" s="21" t="n">
        <f aca="false">IF(OR(AE288="",AE288=0),0,AE288-AJ288)</f>
        <v>0</v>
      </c>
      <c r="AL288" s="19" t="str">
        <f aca="false">IF(AD288="","",AD288-AK288)</f>
        <v/>
      </c>
      <c r="AM288" s="9" t="str">
        <f aca="false">IF(C288="","","Waiting for payment")</f>
        <v/>
      </c>
      <c r="AN288" s="10"/>
      <c r="AO288" s="10"/>
      <c r="AP288" s="22" t="str">
        <f aca="false">IF(OR(C288="",I288="",K288=""),"",IF(K288="Monthly",EDATE(C288,ROUND(I288*SETTINGS!$I$8,0)),WORKDAY(C288,ROUND(I288*SETTINGS!$I$8,0))))</f>
        <v/>
      </c>
      <c r="AQ288" s="9" t="str">
        <f aca="true">IF(C288="","",IF(AND(AP288&lt;&gt;"",TODAY()&gt;=AP288),"Refi Ready",IF(TODAY()-C288&gt;=SETTINGS!$I$11,"Prospecting","Performing")))</f>
        <v/>
      </c>
      <c r="AR288" s="22" t="str">
        <f aca="false">IF(OR(C288="",I288="",K288=""),"",IF(K288="Monthly",EDATE(C288,I288),WORKDAY(C288,I288)))</f>
        <v/>
      </c>
      <c r="AS288" s="11"/>
      <c r="AT288" s="23" t="str">
        <f aca="true">IF(C288="","",IF(AM288="Clawed Back","CLAWED",IF(TODAY()&lt;=C288+SETTINGS!$I$2,"⚠ AT RISK","SAFE")))</f>
        <v/>
      </c>
      <c r="AU288" s="11"/>
      <c r="AW288" s="24" t="n">
        <f aca="false">AW287+IF(AND(C288&lt;&gt;"",AO288&lt;&gt;"",OR('REP COMMISSION'!$B$3="",T288='REP COMMISSION'!$B$3,W288='REP COMMISSION'!$B$3,Z288='REP COMMISSION'!$B$3)),1,0)</f>
        <v>0</v>
      </c>
      <c r="AX288" s="24" t="n">
        <f aca="false">AX287+IF(AND(C288&lt;&gt;"",OR(F288="LOC - INITIAL",F288="CONSOLIDATION - UPFRONT COMM",F288="REVERSE - TOTAL FUNDING")),1,0)</f>
        <v>0</v>
      </c>
    </row>
    <row r="289" customFormat="false" ht="15" hidden="false" customHeight="false" outlineLevel="0" collapsed="false">
      <c r="A289" s="25" t="str">
        <f aca="false">IF(C289&lt;&gt;"","F27-"&amp;COUNT($C$4:C289),"")</f>
        <v/>
      </c>
      <c r="B289" s="26" t="str">
        <f aca="false">IF(OR(F289="LOC - INITIAL",F289="CONSOLIDATION - UPFRONT COMM",F289="REVERSE - TOTAL FUNDING"),A289,"")</f>
        <v/>
      </c>
      <c r="C289" s="27"/>
      <c r="D289" s="28"/>
      <c r="E289" s="28"/>
      <c r="F289" s="28"/>
      <c r="G289" s="29"/>
      <c r="H289" s="30"/>
      <c r="I289" s="28"/>
      <c r="J289" s="31" t="str">
        <f aca="false">IF(AND(G289&lt;&gt;"",H289&lt;&gt;""),G289*H289,"")</f>
        <v/>
      </c>
      <c r="K289" s="28"/>
      <c r="L289" s="32"/>
      <c r="M289" s="32"/>
      <c r="N289" s="31" t="n">
        <f aca="false">IF(OR(G289="",M289=""),0,IF(M289&gt;100,M289,G289*IF(M289&gt;1,M289/100,M289)))</f>
        <v>0</v>
      </c>
      <c r="O289" s="31" t="str">
        <f aca="false">IF(G289="","",G289*IF(L289="",0,IF(L289&gt;1,L289/100,L289))+N289)</f>
        <v/>
      </c>
      <c r="P289" s="28"/>
      <c r="Q289" s="33" t="str">
        <f aca="false">IF(P289="","",IFERROR(VLOOKUP(P289,PARTNERS!$A$2:$B$30,2,0),""))</f>
        <v/>
      </c>
      <c r="R289" s="17" t="str">
        <f aca="false">IF(O289="","",IF(OR(P289="",Q289=""),0,(O289-N289)*IF(Q289&gt;1,Q289/100,Q289)))</f>
        <v/>
      </c>
      <c r="S289" s="31" t="str">
        <f aca="false">IF(O289="","",O289-R289)</f>
        <v/>
      </c>
      <c r="T289" s="28"/>
      <c r="U289" s="34" t="str">
        <f aca="false">IF(T289="","",IFERROR(VLOOKUP(T289,REPS!$A$2:$D$40,2,0),""))</f>
        <v/>
      </c>
      <c r="V289" s="31" t="str">
        <f aca="false">IF(O289="","",IF(U289="",0,O289*IF(U289&gt;1,U289/100,U289)))</f>
        <v/>
      </c>
      <c r="W289" s="28"/>
      <c r="X289" s="34" t="str">
        <f aca="false">IF(W289="","",IFERROR(VLOOKUP(W289,REPS!$A$2:$D$40,3,0),""))</f>
        <v/>
      </c>
      <c r="Y289" s="31" t="str">
        <f aca="false">IF(O289="","",IF(X289="",0,O289*IF(X289&gt;1,X289/100,X289)))</f>
        <v/>
      </c>
      <c r="Z289" s="28"/>
      <c r="AA289" s="34" t="str">
        <f aca="false">IF(Z289="","",IFERROR(VLOOKUP(Z289,REPS!$A$2:$D$40,4,0),""))</f>
        <v/>
      </c>
      <c r="AB289" s="31" t="str">
        <f aca="false">IF(O289="","",IF(AA289="",0,O289*IF(AA289&gt;1,AA289/100,AA289)))</f>
        <v/>
      </c>
      <c r="AC289" s="31" t="str">
        <f aca="false">IF(O289="","",V289+Y289+AB289)</f>
        <v/>
      </c>
      <c r="AD289" s="19" t="str">
        <f aca="false">IF(O289="","",O289-R289-AC289)</f>
        <v/>
      </c>
      <c r="AE289" s="20"/>
      <c r="AF289" s="27"/>
      <c r="AG289" s="21" t="n">
        <f aca="false">IF(OR(AE289="",AE289=0),0,AE289*IF(U289="",0,IF(U289&gt;1,U289/100,U289)))</f>
        <v>0</v>
      </c>
      <c r="AH289" s="21" t="n">
        <f aca="false">IF(OR(AE289="",AE289=0),0,AE289*IF(X289="",0,IF(X289&gt;1,X289/100,X289)))</f>
        <v>0</v>
      </c>
      <c r="AI289" s="21" t="n">
        <f aca="false">IF(OR(AE289="",AE289=0),0,AE289*IF(AA289="",0,IF(AA289&gt;1,AA289/100,AA289)))</f>
        <v>0</v>
      </c>
      <c r="AJ289" s="21" t="n">
        <f aca="false">AG289+AH289+AI289</f>
        <v>0</v>
      </c>
      <c r="AK289" s="21" t="n">
        <f aca="false">IF(OR(AE289="",AE289=0),0,AE289-AJ289)</f>
        <v>0</v>
      </c>
      <c r="AL289" s="19" t="str">
        <f aca="false">IF(AD289="","",AD289-AK289)</f>
        <v/>
      </c>
      <c r="AM289" s="26" t="str">
        <f aca="false">IF(C289="","","Waiting for payment")</f>
        <v/>
      </c>
      <c r="AN289" s="27"/>
      <c r="AO289" s="27"/>
      <c r="AP289" s="35" t="str">
        <f aca="false">IF(OR(C289="",I289="",K289=""),"",IF(K289="Monthly",EDATE(C289,ROUND(I289*SETTINGS!$I$8,0)),WORKDAY(C289,ROUND(I289*SETTINGS!$I$8,0))))</f>
        <v/>
      </c>
      <c r="AQ289" s="26" t="str">
        <f aca="true">IF(C289="","",IF(AND(AP289&lt;&gt;"",TODAY()&gt;=AP289),"Refi Ready",IF(TODAY()-C289&gt;=SETTINGS!$I$11,"Prospecting","Performing")))</f>
        <v/>
      </c>
      <c r="AR289" s="35" t="str">
        <f aca="false">IF(OR(C289="",I289="",K289=""),"",IF(K289="Monthly",EDATE(C289,I289),WORKDAY(C289,I289)))</f>
        <v/>
      </c>
      <c r="AS289" s="28"/>
      <c r="AT289" s="36" t="str">
        <f aca="true">IF(C289="","",IF(AM289="Clawed Back","CLAWED",IF(TODAY()&lt;=C289+SETTINGS!$I$2,"⚠ AT RISK","SAFE")))</f>
        <v/>
      </c>
      <c r="AU289" s="28"/>
      <c r="AW289" s="24" t="n">
        <f aca="false">AW288+IF(AND(C289&lt;&gt;"",AO289&lt;&gt;"",OR('REP COMMISSION'!$B$3="",T289='REP COMMISSION'!$B$3,W289='REP COMMISSION'!$B$3,Z289='REP COMMISSION'!$B$3)),1,0)</f>
        <v>0</v>
      </c>
      <c r="AX289" s="24" t="n">
        <f aca="false">AX288+IF(AND(C289&lt;&gt;"",OR(F289="LOC - INITIAL",F289="CONSOLIDATION - UPFRONT COMM",F289="REVERSE - TOTAL FUNDING")),1,0)</f>
        <v>0</v>
      </c>
    </row>
    <row r="290" customFormat="false" ht="15" hidden="false" customHeight="false" outlineLevel="0" collapsed="false">
      <c r="A290" s="8" t="str">
        <f aca="false">IF(C290&lt;&gt;"","F27-"&amp;COUNT($C$4:C290),"")</f>
        <v/>
      </c>
      <c r="B290" s="9" t="str">
        <f aca="false">IF(OR(F290="LOC - INITIAL",F290="CONSOLIDATION - UPFRONT COMM",F290="REVERSE - TOTAL FUNDING"),A290,"")</f>
        <v/>
      </c>
      <c r="C290" s="10"/>
      <c r="D290" s="11"/>
      <c r="E290" s="11"/>
      <c r="F290" s="11"/>
      <c r="G290" s="12"/>
      <c r="H290" s="13"/>
      <c r="I290" s="11"/>
      <c r="J290" s="14" t="str">
        <f aca="false">IF(AND(G290&lt;&gt;"",H290&lt;&gt;""),G290*H290,"")</f>
        <v/>
      </c>
      <c r="K290" s="11"/>
      <c r="L290" s="15"/>
      <c r="M290" s="15"/>
      <c r="N290" s="14" t="n">
        <f aca="false">IF(OR(G290="",M290=""),0,IF(M290&gt;100,M290,G290*IF(M290&gt;1,M290/100,M290)))</f>
        <v>0</v>
      </c>
      <c r="O290" s="14" t="str">
        <f aca="false">IF(G290="","",G290*IF(L290="",0,IF(L290&gt;1,L290/100,L290))+N290)</f>
        <v/>
      </c>
      <c r="P290" s="11"/>
      <c r="Q290" s="16" t="str">
        <f aca="false">IF(P290="","",IFERROR(VLOOKUP(P290,PARTNERS!$A$2:$B$30,2,0),""))</f>
        <v/>
      </c>
      <c r="R290" s="17" t="str">
        <f aca="false">IF(O290="","",IF(OR(P290="",Q290=""),0,(O290-N290)*IF(Q290&gt;1,Q290/100,Q290)))</f>
        <v/>
      </c>
      <c r="S290" s="14" t="str">
        <f aca="false">IF(O290="","",O290-R290)</f>
        <v/>
      </c>
      <c r="T290" s="11"/>
      <c r="U290" s="18" t="str">
        <f aca="false">IF(T290="","",IFERROR(VLOOKUP(T290,REPS!$A$2:$D$40,2,0),""))</f>
        <v/>
      </c>
      <c r="V290" s="14" t="str">
        <f aca="false">IF(O290="","",IF(U290="",0,O290*IF(U290&gt;1,U290/100,U290)))</f>
        <v/>
      </c>
      <c r="W290" s="11"/>
      <c r="X290" s="18" t="str">
        <f aca="false">IF(W290="","",IFERROR(VLOOKUP(W290,REPS!$A$2:$D$40,3,0),""))</f>
        <v/>
      </c>
      <c r="Y290" s="14" t="str">
        <f aca="false">IF(O290="","",IF(X290="",0,O290*IF(X290&gt;1,X290/100,X290)))</f>
        <v/>
      </c>
      <c r="Z290" s="11"/>
      <c r="AA290" s="18" t="str">
        <f aca="false">IF(Z290="","",IFERROR(VLOOKUP(Z290,REPS!$A$2:$D$40,4,0),""))</f>
        <v/>
      </c>
      <c r="AB290" s="14" t="str">
        <f aca="false">IF(O290="","",IF(AA290="",0,O290*IF(AA290&gt;1,AA290/100,AA290)))</f>
        <v/>
      </c>
      <c r="AC290" s="14" t="str">
        <f aca="false">IF(O290="","",V290+Y290+AB290)</f>
        <v/>
      </c>
      <c r="AD290" s="19" t="str">
        <f aca="false">IF(O290="","",O290-R290-AC290)</f>
        <v/>
      </c>
      <c r="AE290" s="20"/>
      <c r="AF290" s="10"/>
      <c r="AG290" s="21" t="n">
        <f aca="false">IF(OR(AE290="",AE290=0),0,AE290*IF(U290="",0,IF(U290&gt;1,U290/100,U290)))</f>
        <v>0</v>
      </c>
      <c r="AH290" s="21" t="n">
        <f aca="false">IF(OR(AE290="",AE290=0),0,AE290*IF(X290="",0,IF(X290&gt;1,X290/100,X290)))</f>
        <v>0</v>
      </c>
      <c r="AI290" s="21" t="n">
        <f aca="false">IF(OR(AE290="",AE290=0),0,AE290*IF(AA290="",0,IF(AA290&gt;1,AA290/100,AA290)))</f>
        <v>0</v>
      </c>
      <c r="AJ290" s="21" t="n">
        <f aca="false">AG290+AH290+AI290</f>
        <v>0</v>
      </c>
      <c r="AK290" s="21" t="n">
        <f aca="false">IF(OR(AE290="",AE290=0),0,AE290-AJ290)</f>
        <v>0</v>
      </c>
      <c r="AL290" s="19" t="str">
        <f aca="false">IF(AD290="","",AD290-AK290)</f>
        <v/>
      </c>
      <c r="AM290" s="9" t="str">
        <f aca="false">IF(C290="","","Waiting for payment")</f>
        <v/>
      </c>
      <c r="AN290" s="10"/>
      <c r="AO290" s="10"/>
      <c r="AP290" s="22" t="str">
        <f aca="false">IF(OR(C290="",I290="",K290=""),"",IF(K290="Monthly",EDATE(C290,ROUND(I290*SETTINGS!$I$8,0)),WORKDAY(C290,ROUND(I290*SETTINGS!$I$8,0))))</f>
        <v/>
      </c>
      <c r="AQ290" s="9" t="str">
        <f aca="true">IF(C290="","",IF(AND(AP290&lt;&gt;"",TODAY()&gt;=AP290),"Refi Ready",IF(TODAY()-C290&gt;=SETTINGS!$I$11,"Prospecting","Performing")))</f>
        <v/>
      </c>
      <c r="AR290" s="22" t="str">
        <f aca="false">IF(OR(C290="",I290="",K290=""),"",IF(K290="Monthly",EDATE(C290,I290),WORKDAY(C290,I290)))</f>
        <v/>
      </c>
      <c r="AS290" s="11"/>
      <c r="AT290" s="23" t="str">
        <f aca="true">IF(C290="","",IF(AM290="Clawed Back","CLAWED",IF(TODAY()&lt;=C290+SETTINGS!$I$2,"⚠ AT RISK","SAFE")))</f>
        <v/>
      </c>
      <c r="AU290" s="11"/>
      <c r="AW290" s="24" t="n">
        <f aca="false">AW289+IF(AND(C290&lt;&gt;"",AO290&lt;&gt;"",OR('REP COMMISSION'!$B$3="",T290='REP COMMISSION'!$B$3,W290='REP COMMISSION'!$B$3,Z290='REP COMMISSION'!$B$3)),1,0)</f>
        <v>0</v>
      </c>
      <c r="AX290" s="24" t="n">
        <f aca="false">AX289+IF(AND(C290&lt;&gt;"",OR(F290="LOC - INITIAL",F290="CONSOLIDATION - UPFRONT COMM",F290="REVERSE - TOTAL FUNDING")),1,0)</f>
        <v>0</v>
      </c>
    </row>
    <row r="291" customFormat="false" ht="15" hidden="false" customHeight="false" outlineLevel="0" collapsed="false">
      <c r="A291" s="25" t="str">
        <f aca="false">IF(C291&lt;&gt;"","F27-"&amp;COUNT($C$4:C291),"")</f>
        <v/>
      </c>
      <c r="B291" s="26" t="str">
        <f aca="false">IF(OR(F291="LOC - INITIAL",F291="CONSOLIDATION - UPFRONT COMM",F291="REVERSE - TOTAL FUNDING"),A291,"")</f>
        <v/>
      </c>
      <c r="C291" s="27"/>
      <c r="D291" s="28"/>
      <c r="E291" s="28"/>
      <c r="F291" s="28"/>
      <c r="G291" s="29"/>
      <c r="H291" s="30"/>
      <c r="I291" s="28"/>
      <c r="J291" s="31" t="str">
        <f aca="false">IF(AND(G291&lt;&gt;"",H291&lt;&gt;""),G291*H291,"")</f>
        <v/>
      </c>
      <c r="K291" s="28"/>
      <c r="L291" s="32"/>
      <c r="M291" s="32"/>
      <c r="N291" s="31" t="n">
        <f aca="false">IF(OR(G291="",M291=""),0,IF(M291&gt;100,M291,G291*IF(M291&gt;1,M291/100,M291)))</f>
        <v>0</v>
      </c>
      <c r="O291" s="31" t="str">
        <f aca="false">IF(G291="","",G291*IF(L291="",0,IF(L291&gt;1,L291/100,L291))+N291)</f>
        <v/>
      </c>
      <c r="P291" s="28"/>
      <c r="Q291" s="33" t="str">
        <f aca="false">IF(P291="","",IFERROR(VLOOKUP(P291,PARTNERS!$A$2:$B$30,2,0),""))</f>
        <v/>
      </c>
      <c r="R291" s="17" t="str">
        <f aca="false">IF(O291="","",IF(OR(P291="",Q291=""),0,(O291-N291)*IF(Q291&gt;1,Q291/100,Q291)))</f>
        <v/>
      </c>
      <c r="S291" s="31" t="str">
        <f aca="false">IF(O291="","",O291-R291)</f>
        <v/>
      </c>
      <c r="T291" s="28"/>
      <c r="U291" s="34" t="str">
        <f aca="false">IF(T291="","",IFERROR(VLOOKUP(T291,REPS!$A$2:$D$40,2,0),""))</f>
        <v/>
      </c>
      <c r="V291" s="31" t="str">
        <f aca="false">IF(O291="","",IF(U291="",0,O291*IF(U291&gt;1,U291/100,U291)))</f>
        <v/>
      </c>
      <c r="W291" s="28"/>
      <c r="X291" s="34" t="str">
        <f aca="false">IF(W291="","",IFERROR(VLOOKUP(W291,REPS!$A$2:$D$40,3,0),""))</f>
        <v/>
      </c>
      <c r="Y291" s="31" t="str">
        <f aca="false">IF(O291="","",IF(X291="",0,O291*IF(X291&gt;1,X291/100,X291)))</f>
        <v/>
      </c>
      <c r="Z291" s="28"/>
      <c r="AA291" s="34" t="str">
        <f aca="false">IF(Z291="","",IFERROR(VLOOKUP(Z291,REPS!$A$2:$D$40,4,0),""))</f>
        <v/>
      </c>
      <c r="AB291" s="31" t="str">
        <f aca="false">IF(O291="","",IF(AA291="",0,O291*IF(AA291&gt;1,AA291/100,AA291)))</f>
        <v/>
      </c>
      <c r="AC291" s="31" t="str">
        <f aca="false">IF(O291="","",V291+Y291+AB291)</f>
        <v/>
      </c>
      <c r="AD291" s="19" t="str">
        <f aca="false">IF(O291="","",O291-R291-AC291)</f>
        <v/>
      </c>
      <c r="AE291" s="20"/>
      <c r="AF291" s="27"/>
      <c r="AG291" s="21" t="n">
        <f aca="false">IF(OR(AE291="",AE291=0),0,AE291*IF(U291="",0,IF(U291&gt;1,U291/100,U291)))</f>
        <v>0</v>
      </c>
      <c r="AH291" s="21" t="n">
        <f aca="false">IF(OR(AE291="",AE291=0),0,AE291*IF(X291="",0,IF(X291&gt;1,X291/100,X291)))</f>
        <v>0</v>
      </c>
      <c r="AI291" s="21" t="n">
        <f aca="false">IF(OR(AE291="",AE291=0),0,AE291*IF(AA291="",0,IF(AA291&gt;1,AA291/100,AA291)))</f>
        <v>0</v>
      </c>
      <c r="AJ291" s="21" t="n">
        <f aca="false">AG291+AH291+AI291</f>
        <v>0</v>
      </c>
      <c r="AK291" s="21" t="n">
        <f aca="false">IF(OR(AE291="",AE291=0),0,AE291-AJ291)</f>
        <v>0</v>
      </c>
      <c r="AL291" s="19" t="str">
        <f aca="false">IF(AD291="","",AD291-AK291)</f>
        <v/>
      </c>
      <c r="AM291" s="26" t="str">
        <f aca="false">IF(C291="","","Waiting for payment")</f>
        <v/>
      </c>
      <c r="AN291" s="27"/>
      <c r="AO291" s="27"/>
      <c r="AP291" s="35" t="str">
        <f aca="false">IF(OR(C291="",I291="",K291=""),"",IF(K291="Monthly",EDATE(C291,ROUND(I291*SETTINGS!$I$8,0)),WORKDAY(C291,ROUND(I291*SETTINGS!$I$8,0))))</f>
        <v/>
      </c>
      <c r="AQ291" s="26" t="str">
        <f aca="true">IF(C291="","",IF(AND(AP291&lt;&gt;"",TODAY()&gt;=AP291),"Refi Ready",IF(TODAY()-C291&gt;=SETTINGS!$I$11,"Prospecting","Performing")))</f>
        <v/>
      </c>
      <c r="AR291" s="35" t="str">
        <f aca="false">IF(OR(C291="",I291="",K291=""),"",IF(K291="Monthly",EDATE(C291,I291),WORKDAY(C291,I291)))</f>
        <v/>
      </c>
      <c r="AS291" s="28"/>
      <c r="AT291" s="36" t="str">
        <f aca="true">IF(C291="","",IF(AM291="Clawed Back","CLAWED",IF(TODAY()&lt;=C291+SETTINGS!$I$2,"⚠ AT RISK","SAFE")))</f>
        <v/>
      </c>
      <c r="AU291" s="28"/>
      <c r="AW291" s="24" t="n">
        <f aca="false">AW290+IF(AND(C291&lt;&gt;"",AO291&lt;&gt;"",OR('REP COMMISSION'!$B$3="",T291='REP COMMISSION'!$B$3,W291='REP COMMISSION'!$B$3,Z291='REP COMMISSION'!$B$3)),1,0)</f>
        <v>0</v>
      </c>
      <c r="AX291" s="24" t="n">
        <f aca="false">AX290+IF(AND(C291&lt;&gt;"",OR(F291="LOC - INITIAL",F291="CONSOLIDATION - UPFRONT COMM",F291="REVERSE - TOTAL FUNDING")),1,0)</f>
        <v>0</v>
      </c>
    </row>
    <row r="292" customFormat="false" ht="15" hidden="false" customHeight="false" outlineLevel="0" collapsed="false">
      <c r="A292" s="8" t="str">
        <f aca="false">IF(C292&lt;&gt;"","F27-"&amp;COUNT($C$4:C292),"")</f>
        <v/>
      </c>
      <c r="B292" s="9" t="str">
        <f aca="false">IF(OR(F292="LOC - INITIAL",F292="CONSOLIDATION - UPFRONT COMM",F292="REVERSE - TOTAL FUNDING"),A292,"")</f>
        <v/>
      </c>
      <c r="C292" s="10"/>
      <c r="D292" s="11"/>
      <c r="E292" s="11"/>
      <c r="F292" s="11"/>
      <c r="G292" s="12"/>
      <c r="H292" s="13"/>
      <c r="I292" s="11"/>
      <c r="J292" s="14" t="str">
        <f aca="false">IF(AND(G292&lt;&gt;"",H292&lt;&gt;""),G292*H292,"")</f>
        <v/>
      </c>
      <c r="K292" s="11"/>
      <c r="L292" s="15"/>
      <c r="M292" s="15"/>
      <c r="N292" s="14" t="n">
        <f aca="false">IF(OR(G292="",M292=""),0,IF(M292&gt;100,M292,G292*IF(M292&gt;1,M292/100,M292)))</f>
        <v>0</v>
      </c>
      <c r="O292" s="14" t="str">
        <f aca="false">IF(G292="","",G292*IF(L292="",0,IF(L292&gt;1,L292/100,L292))+N292)</f>
        <v/>
      </c>
      <c r="P292" s="11"/>
      <c r="Q292" s="16" t="str">
        <f aca="false">IF(P292="","",IFERROR(VLOOKUP(P292,PARTNERS!$A$2:$B$30,2,0),""))</f>
        <v/>
      </c>
      <c r="R292" s="17" t="str">
        <f aca="false">IF(O292="","",IF(OR(P292="",Q292=""),0,(O292-N292)*IF(Q292&gt;1,Q292/100,Q292)))</f>
        <v/>
      </c>
      <c r="S292" s="14" t="str">
        <f aca="false">IF(O292="","",O292-R292)</f>
        <v/>
      </c>
      <c r="T292" s="11"/>
      <c r="U292" s="18" t="str">
        <f aca="false">IF(T292="","",IFERROR(VLOOKUP(T292,REPS!$A$2:$D$40,2,0),""))</f>
        <v/>
      </c>
      <c r="V292" s="14" t="str">
        <f aca="false">IF(O292="","",IF(U292="",0,O292*IF(U292&gt;1,U292/100,U292)))</f>
        <v/>
      </c>
      <c r="W292" s="11"/>
      <c r="X292" s="18" t="str">
        <f aca="false">IF(W292="","",IFERROR(VLOOKUP(W292,REPS!$A$2:$D$40,3,0),""))</f>
        <v/>
      </c>
      <c r="Y292" s="14" t="str">
        <f aca="false">IF(O292="","",IF(X292="",0,O292*IF(X292&gt;1,X292/100,X292)))</f>
        <v/>
      </c>
      <c r="Z292" s="11"/>
      <c r="AA292" s="18" t="str">
        <f aca="false">IF(Z292="","",IFERROR(VLOOKUP(Z292,REPS!$A$2:$D$40,4,0),""))</f>
        <v/>
      </c>
      <c r="AB292" s="14" t="str">
        <f aca="false">IF(O292="","",IF(AA292="",0,O292*IF(AA292&gt;1,AA292/100,AA292)))</f>
        <v/>
      </c>
      <c r="AC292" s="14" t="str">
        <f aca="false">IF(O292="","",V292+Y292+AB292)</f>
        <v/>
      </c>
      <c r="AD292" s="19" t="str">
        <f aca="false">IF(O292="","",O292-R292-AC292)</f>
        <v/>
      </c>
      <c r="AE292" s="20"/>
      <c r="AF292" s="10"/>
      <c r="AG292" s="21" t="n">
        <f aca="false">IF(OR(AE292="",AE292=0),0,AE292*IF(U292="",0,IF(U292&gt;1,U292/100,U292)))</f>
        <v>0</v>
      </c>
      <c r="AH292" s="21" t="n">
        <f aca="false">IF(OR(AE292="",AE292=0),0,AE292*IF(X292="",0,IF(X292&gt;1,X292/100,X292)))</f>
        <v>0</v>
      </c>
      <c r="AI292" s="21" t="n">
        <f aca="false">IF(OR(AE292="",AE292=0),0,AE292*IF(AA292="",0,IF(AA292&gt;1,AA292/100,AA292)))</f>
        <v>0</v>
      </c>
      <c r="AJ292" s="21" t="n">
        <f aca="false">AG292+AH292+AI292</f>
        <v>0</v>
      </c>
      <c r="AK292" s="21" t="n">
        <f aca="false">IF(OR(AE292="",AE292=0),0,AE292-AJ292)</f>
        <v>0</v>
      </c>
      <c r="AL292" s="19" t="str">
        <f aca="false">IF(AD292="","",AD292-AK292)</f>
        <v/>
      </c>
      <c r="AM292" s="9" t="str">
        <f aca="false">IF(C292="","","Waiting for payment")</f>
        <v/>
      </c>
      <c r="AN292" s="10"/>
      <c r="AO292" s="10"/>
      <c r="AP292" s="22" t="str">
        <f aca="false">IF(OR(C292="",I292="",K292=""),"",IF(K292="Monthly",EDATE(C292,ROUND(I292*SETTINGS!$I$8,0)),WORKDAY(C292,ROUND(I292*SETTINGS!$I$8,0))))</f>
        <v/>
      </c>
      <c r="AQ292" s="9" t="str">
        <f aca="true">IF(C292="","",IF(AND(AP292&lt;&gt;"",TODAY()&gt;=AP292),"Refi Ready",IF(TODAY()-C292&gt;=SETTINGS!$I$11,"Prospecting","Performing")))</f>
        <v/>
      </c>
      <c r="AR292" s="22" t="str">
        <f aca="false">IF(OR(C292="",I292="",K292=""),"",IF(K292="Monthly",EDATE(C292,I292),WORKDAY(C292,I292)))</f>
        <v/>
      </c>
      <c r="AS292" s="11"/>
      <c r="AT292" s="23" t="str">
        <f aca="true">IF(C292="","",IF(AM292="Clawed Back","CLAWED",IF(TODAY()&lt;=C292+SETTINGS!$I$2,"⚠ AT RISK","SAFE")))</f>
        <v/>
      </c>
      <c r="AU292" s="11"/>
      <c r="AW292" s="24" t="n">
        <f aca="false">AW291+IF(AND(C292&lt;&gt;"",AO292&lt;&gt;"",OR('REP COMMISSION'!$B$3="",T292='REP COMMISSION'!$B$3,W292='REP COMMISSION'!$B$3,Z292='REP COMMISSION'!$B$3)),1,0)</f>
        <v>0</v>
      </c>
      <c r="AX292" s="24" t="n">
        <f aca="false">AX291+IF(AND(C292&lt;&gt;"",OR(F292="LOC - INITIAL",F292="CONSOLIDATION - UPFRONT COMM",F292="REVERSE - TOTAL FUNDING")),1,0)</f>
        <v>0</v>
      </c>
    </row>
    <row r="293" customFormat="false" ht="15" hidden="false" customHeight="false" outlineLevel="0" collapsed="false">
      <c r="A293" s="25" t="str">
        <f aca="false">IF(C293&lt;&gt;"","F27-"&amp;COUNT($C$4:C293),"")</f>
        <v/>
      </c>
      <c r="B293" s="26" t="str">
        <f aca="false">IF(OR(F293="LOC - INITIAL",F293="CONSOLIDATION - UPFRONT COMM",F293="REVERSE - TOTAL FUNDING"),A293,"")</f>
        <v/>
      </c>
      <c r="C293" s="27"/>
      <c r="D293" s="28"/>
      <c r="E293" s="28"/>
      <c r="F293" s="28"/>
      <c r="G293" s="29"/>
      <c r="H293" s="30"/>
      <c r="I293" s="28"/>
      <c r="J293" s="31" t="str">
        <f aca="false">IF(AND(G293&lt;&gt;"",H293&lt;&gt;""),G293*H293,"")</f>
        <v/>
      </c>
      <c r="K293" s="28"/>
      <c r="L293" s="32"/>
      <c r="M293" s="32"/>
      <c r="N293" s="31" t="n">
        <f aca="false">IF(OR(G293="",M293=""),0,IF(M293&gt;100,M293,G293*IF(M293&gt;1,M293/100,M293)))</f>
        <v>0</v>
      </c>
      <c r="O293" s="31" t="str">
        <f aca="false">IF(G293="","",G293*IF(L293="",0,IF(L293&gt;1,L293/100,L293))+N293)</f>
        <v/>
      </c>
      <c r="P293" s="28"/>
      <c r="Q293" s="33" t="str">
        <f aca="false">IF(P293="","",IFERROR(VLOOKUP(P293,PARTNERS!$A$2:$B$30,2,0),""))</f>
        <v/>
      </c>
      <c r="R293" s="17" t="str">
        <f aca="false">IF(O293="","",IF(OR(P293="",Q293=""),0,(O293-N293)*IF(Q293&gt;1,Q293/100,Q293)))</f>
        <v/>
      </c>
      <c r="S293" s="31" t="str">
        <f aca="false">IF(O293="","",O293-R293)</f>
        <v/>
      </c>
      <c r="T293" s="28"/>
      <c r="U293" s="34" t="str">
        <f aca="false">IF(T293="","",IFERROR(VLOOKUP(T293,REPS!$A$2:$D$40,2,0),""))</f>
        <v/>
      </c>
      <c r="V293" s="31" t="str">
        <f aca="false">IF(O293="","",IF(U293="",0,O293*IF(U293&gt;1,U293/100,U293)))</f>
        <v/>
      </c>
      <c r="W293" s="28"/>
      <c r="X293" s="34" t="str">
        <f aca="false">IF(W293="","",IFERROR(VLOOKUP(W293,REPS!$A$2:$D$40,3,0),""))</f>
        <v/>
      </c>
      <c r="Y293" s="31" t="str">
        <f aca="false">IF(O293="","",IF(X293="",0,O293*IF(X293&gt;1,X293/100,X293)))</f>
        <v/>
      </c>
      <c r="Z293" s="28"/>
      <c r="AA293" s="34" t="str">
        <f aca="false">IF(Z293="","",IFERROR(VLOOKUP(Z293,REPS!$A$2:$D$40,4,0),""))</f>
        <v/>
      </c>
      <c r="AB293" s="31" t="str">
        <f aca="false">IF(O293="","",IF(AA293="",0,O293*IF(AA293&gt;1,AA293/100,AA293)))</f>
        <v/>
      </c>
      <c r="AC293" s="31" t="str">
        <f aca="false">IF(O293="","",V293+Y293+AB293)</f>
        <v/>
      </c>
      <c r="AD293" s="19" t="str">
        <f aca="false">IF(O293="","",O293-R293-AC293)</f>
        <v/>
      </c>
      <c r="AE293" s="20"/>
      <c r="AF293" s="27"/>
      <c r="AG293" s="21" t="n">
        <f aca="false">IF(OR(AE293="",AE293=0),0,AE293*IF(U293="",0,IF(U293&gt;1,U293/100,U293)))</f>
        <v>0</v>
      </c>
      <c r="AH293" s="21" t="n">
        <f aca="false">IF(OR(AE293="",AE293=0),0,AE293*IF(X293="",0,IF(X293&gt;1,X293/100,X293)))</f>
        <v>0</v>
      </c>
      <c r="AI293" s="21" t="n">
        <f aca="false">IF(OR(AE293="",AE293=0),0,AE293*IF(AA293="",0,IF(AA293&gt;1,AA293/100,AA293)))</f>
        <v>0</v>
      </c>
      <c r="AJ293" s="21" t="n">
        <f aca="false">AG293+AH293+AI293</f>
        <v>0</v>
      </c>
      <c r="AK293" s="21" t="n">
        <f aca="false">IF(OR(AE293="",AE293=0),0,AE293-AJ293)</f>
        <v>0</v>
      </c>
      <c r="AL293" s="19" t="str">
        <f aca="false">IF(AD293="","",AD293-AK293)</f>
        <v/>
      </c>
      <c r="AM293" s="26" t="str">
        <f aca="false">IF(C293="","","Waiting for payment")</f>
        <v/>
      </c>
      <c r="AN293" s="27"/>
      <c r="AO293" s="27"/>
      <c r="AP293" s="35" t="str">
        <f aca="false">IF(OR(C293="",I293="",K293=""),"",IF(K293="Monthly",EDATE(C293,ROUND(I293*SETTINGS!$I$8,0)),WORKDAY(C293,ROUND(I293*SETTINGS!$I$8,0))))</f>
        <v/>
      </c>
      <c r="AQ293" s="26" t="str">
        <f aca="true">IF(C293="","",IF(AND(AP293&lt;&gt;"",TODAY()&gt;=AP293),"Refi Ready",IF(TODAY()-C293&gt;=SETTINGS!$I$11,"Prospecting","Performing")))</f>
        <v/>
      </c>
      <c r="AR293" s="35" t="str">
        <f aca="false">IF(OR(C293="",I293="",K293=""),"",IF(K293="Monthly",EDATE(C293,I293),WORKDAY(C293,I293)))</f>
        <v/>
      </c>
      <c r="AS293" s="28"/>
      <c r="AT293" s="36" t="str">
        <f aca="true">IF(C293="","",IF(AM293="Clawed Back","CLAWED",IF(TODAY()&lt;=C293+SETTINGS!$I$2,"⚠ AT RISK","SAFE")))</f>
        <v/>
      </c>
      <c r="AU293" s="28"/>
      <c r="AW293" s="24" t="n">
        <f aca="false">AW292+IF(AND(C293&lt;&gt;"",AO293&lt;&gt;"",OR('REP COMMISSION'!$B$3="",T293='REP COMMISSION'!$B$3,W293='REP COMMISSION'!$B$3,Z293='REP COMMISSION'!$B$3)),1,0)</f>
        <v>0</v>
      </c>
      <c r="AX293" s="24" t="n">
        <f aca="false">AX292+IF(AND(C293&lt;&gt;"",OR(F293="LOC - INITIAL",F293="CONSOLIDATION - UPFRONT COMM",F293="REVERSE - TOTAL FUNDING")),1,0)</f>
        <v>0</v>
      </c>
    </row>
    <row r="294" customFormat="false" ht="15" hidden="false" customHeight="false" outlineLevel="0" collapsed="false">
      <c r="A294" s="8" t="str">
        <f aca="false">IF(C294&lt;&gt;"","F27-"&amp;COUNT($C$4:C294),"")</f>
        <v/>
      </c>
      <c r="B294" s="9" t="str">
        <f aca="false">IF(OR(F294="LOC - INITIAL",F294="CONSOLIDATION - UPFRONT COMM",F294="REVERSE - TOTAL FUNDING"),A294,"")</f>
        <v/>
      </c>
      <c r="C294" s="10"/>
      <c r="D294" s="11"/>
      <c r="E294" s="11"/>
      <c r="F294" s="11"/>
      <c r="G294" s="12"/>
      <c r="H294" s="13"/>
      <c r="I294" s="11"/>
      <c r="J294" s="14" t="str">
        <f aca="false">IF(AND(G294&lt;&gt;"",H294&lt;&gt;""),G294*H294,"")</f>
        <v/>
      </c>
      <c r="K294" s="11"/>
      <c r="L294" s="15"/>
      <c r="M294" s="15"/>
      <c r="N294" s="14" t="n">
        <f aca="false">IF(OR(G294="",M294=""),0,IF(M294&gt;100,M294,G294*IF(M294&gt;1,M294/100,M294)))</f>
        <v>0</v>
      </c>
      <c r="O294" s="14" t="str">
        <f aca="false">IF(G294="","",G294*IF(L294="",0,IF(L294&gt;1,L294/100,L294))+N294)</f>
        <v/>
      </c>
      <c r="P294" s="11"/>
      <c r="Q294" s="16" t="str">
        <f aca="false">IF(P294="","",IFERROR(VLOOKUP(P294,PARTNERS!$A$2:$B$30,2,0),""))</f>
        <v/>
      </c>
      <c r="R294" s="17" t="str">
        <f aca="false">IF(O294="","",IF(OR(P294="",Q294=""),0,(O294-N294)*IF(Q294&gt;1,Q294/100,Q294)))</f>
        <v/>
      </c>
      <c r="S294" s="14" t="str">
        <f aca="false">IF(O294="","",O294-R294)</f>
        <v/>
      </c>
      <c r="T294" s="11"/>
      <c r="U294" s="18" t="str">
        <f aca="false">IF(T294="","",IFERROR(VLOOKUP(T294,REPS!$A$2:$D$40,2,0),""))</f>
        <v/>
      </c>
      <c r="V294" s="14" t="str">
        <f aca="false">IF(O294="","",IF(U294="",0,O294*IF(U294&gt;1,U294/100,U294)))</f>
        <v/>
      </c>
      <c r="W294" s="11"/>
      <c r="X294" s="18" t="str">
        <f aca="false">IF(W294="","",IFERROR(VLOOKUP(W294,REPS!$A$2:$D$40,3,0),""))</f>
        <v/>
      </c>
      <c r="Y294" s="14" t="str">
        <f aca="false">IF(O294="","",IF(X294="",0,O294*IF(X294&gt;1,X294/100,X294)))</f>
        <v/>
      </c>
      <c r="Z294" s="11"/>
      <c r="AA294" s="18" t="str">
        <f aca="false">IF(Z294="","",IFERROR(VLOOKUP(Z294,REPS!$A$2:$D$40,4,0),""))</f>
        <v/>
      </c>
      <c r="AB294" s="14" t="str">
        <f aca="false">IF(O294="","",IF(AA294="",0,O294*IF(AA294&gt;1,AA294/100,AA294)))</f>
        <v/>
      </c>
      <c r="AC294" s="14" t="str">
        <f aca="false">IF(O294="","",V294+Y294+AB294)</f>
        <v/>
      </c>
      <c r="AD294" s="19" t="str">
        <f aca="false">IF(O294="","",O294-R294-AC294)</f>
        <v/>
      </c>
      <c r="AE294" s="20"/>
      <c r="AF294" s="10"/>
      <c r="AG294" s="21" t="n">
        <f aca="false">IF(OR(AE294="",AE294=0),0,AE294*IF(U294="",0,IF(U294&gt;1,U294/100,U294)))</f>
        <v>0</v>
      </c>
      <c r="AH294" s="21" t="n">
        <f aca="false">IF(OR(AE294="",AE294=0),0,AE294*IF(X294="",0,IF(X294&gt;1,X294/100,X294)))</f>
        <v>0</v>
      </c>
      <c r="AI294" s="21" t="n">
        <f aca="false">IF(OR(AE294="",AE294=0),0,AE294*IF(AA294="",0,IF(AA294&gt;1,AA294/100,AA294)))</f>
        <v>0</v>
      </c>
      <c r="AJ294" s="21" t="n">
        <f aca="false">AG294+AH294+AI294</f>
        <v>0</v>
      </c>
      <c r="AK294" s="21" t="n">
        <f aca="false">IF(OR(AE294="",AE294=0),0,AE294-AJ294)</f>
        <v>0</v>
      </c>
      <c r="AL294" s="19" t="str">
        <f aca="false">IF(AD294="","",AD294-AK294)</f>
        <v/>
      </c>
      <c r="AM294" s="9" t="str">
        <f aca="false">IF(C294="","","Waiting for payment")</f>
        <v/>
      </c>
      <c r="AN294" s="10"/>
      <c r="AO294" s="10"/>
      <c r="AP294" s="22" t="str">
        <f aca="false">IF(OR(C294="",I294="",K294=""),"",IF(K294="Monthly",EDATE(C294,ROUND(I294*SETTINGS!$I$8,0)),WORKDAY(C294,ROUND(I294*SETTINGS!$I$8,0))))</f>
        <v/>
      </c>
      <c r="AQ294" s="9" t="str">
        <f aca="true">IF(C294="","",IF(AND(AP294&lt;&gt;"",TODAY()&gt;=AP294),"Refi Ready",IF(TODAY()-C294&gt;=SETTINGS!$I$11,"Prospecting","Performing")))</f>
        <v/>
      </c>
      <c r="AR294" s="22" t="str">
        <f aca="false">IF(OR(C294="",I294="",K294=""),"",IF(K294="Monthly",EDATE(C294,I294),WORKDAY(C294,I294)))</f>
        <v/>
      </c>
      <c r="AS294" s="11"/>
      <c r="AT294" s="23" t="str">
        <f aca="true">IF(C294="","",IF(AM294="Clawed Back","CLAWED",IF(TODAY()&lt;=C294+SETTINGS!$I$2,"⚠ AT RISK","SAFE")))</f>
        <v/>
      </c>
      <c r="AU294" s="11"/>
      <c r="AW294" s="24" t="n">
        <f aca="false">AW293+IF(AND(C294&lt;&gt;"",AO294&lt;&gt;"",OR('REP COMMISSION'!$B$3="",T294='REP COMMISSION'!$B$3,W294='REP COMMISSION'!$B$3,Z294='REP COMMISSION'!$B$3)),1,0)</f>
        <v>0</v>
      </c>
      <c r="AX294" s="24" t="n">
        <f aca="false">AX293+IF(AND(C294&lt;&gt;"",OR(F294="LOC - INITIAL",F294="CONSOLIDATION - UPFRONT COMM",F294="REVERSE - TOTAL FUNDING")),1,0)</f>
        <v>0</v>
      </c>
    </row>
    <row r="295" customFormat="false" ht="15" hidden="false" customHeight="false" outlineLevel="0" collapsed="false">
      <c r="A295" s="25" t="str">
        <f aca="false">IF(C295&lt;&gt;"","F27-"&amp;COUNT($C$4:C295),"")</f>
        <v/>
      </c>
      <c r="B295" s="26" t="str">
        <f aca="false">IF(OR(F295="LOC - INITIAL",F295="CONSOLIDATION - UPFRONT COMM",F295="REVERSE - TOTAL FUNDING"),A295,"")</f>
        <v/>
      </c>
      <c r="C295" s="27"/>
      <c r="D295" s="28"/>
      <c r="E295" s="28"/>
      <c r="F295" s="28"/>
      <c r="G295" s="29"/>
      <c r="H295" s="30"/>
      <c r="I295" s="28"/>
      <c r="J295" s="31" t="str">
        <f aca="false">IF(AND(G295&lt;&gt;"",H295&lt;&gt;""),G295*H295,"")</f>
        <v/>
      </c>
      <c r="K295" s="28"/>
      <c r="L295" s="32"/>
      <c r="M295" s="32"/>
      <c r="N295" s="31" t="n">
        <f aca="false">IF(OR(G295="",M295=""),0,IF(M295&gt;100,M295,G295*IF(M295&gt;1,M295/100,M295)))</f>
        <v>0</v>
      </c>
      <c r="O295" s="31" t="str">
        <f aca="false">IF(G295="","",G295*IF(L295="",0,IF(L295&gt;1,L295/100,L295))+N295)</f>
        <v/>
      </c>
      <c r="P295" s="28"/>
      <c r="Q295" s="33" t="str">
        <f aca="false">IF(P295="","",IFERROR(VLOOKUP(P295,PARTNERS!$A$2:$B$30,2,0),""))</f>
        <v/>
      </c>
      <c r="R295" s="17" t="str">
        <f aca="false">IF(O295="","",IF(OR(P295="",Q295=""),0,(O295-N295)*IF(Q295&gt;1,Q295/100,Q295)))</f>
        <v/>
      </c>
      <c r="S295" s="31" t="str">
        <f aca="false">IF(O295="","",O295-R295)</f>
        <v/>
      </c>
      <c r="T295" s="28"/>
      <c r="U295" s="34" t="str">
        <f aca="false">IF(T295="","",IFERROR(VLOOKUP(T295,REPS!$A$2:$D$40,2,0),""))</f>
        <v/>
      </c>
      <c r="V295" s="31" t="str">
        <f aca="false">IF(O295="","",IF(U295="",0,O295*IF(U295&gt;1,U295/100,U295)))</f>
        <v/>
      </c>
      <c r="W295" s="28"/>
      <c r="X295" s="34" t="str">
        <f aca="false">IF(W295="","",IFERROR(VLOOKUP(W295,REPS!$A$2:$D$40,3,0),""))</f>
        <v/>
      </c>
      <c r="Y295" s="31" t="str">
        <f aca="false">IF(O295="","",IF(X295="",0,O295*IF(X295&gt;1,X295/100,X295)))</f>
        <v/>
      </c>
      <c r="Z295" s="28"/>
      <c r="AA295" s="34" t="str">
        <f aca="false">IF(Z295="","",IFERROR(VLOOKUP(Z295,REPS!$A$2:$D$40,4,0),""))</f>
        <v/>
      </c>
      <c r="AB295" s="31" t="str">
        <f aca="false">IF(O295="","",IF(AA295="",0,O295*IF(AA295&gt;1,AA295/100,AA295)))</f>
        <v/>
      </c>
      <c r="AC295" s="31" t="str">
        <f aca="false">IF(O295="","",V295+Y295+AB295)</f>
        <v/>
      </c>
      <c r="AD295" s="19" t="str">
        <f aca="false">IF(O295="","",O295-R295-AC295)</f>
        <v/>
      </c>
      <c r="AE295" s="20"/>
      <c r="AF295" s="27"/>
      <c r="AG295" s="21" t="n">
        <f aca="false">IF(OR(AE295="",AE295=0),0,AE295*IF(U295="",0,IF(U295&gt;1,U295/100,U295)))</f>
        <v>0</v>
      </c>
      <c r="AH295" s="21" t="n">
        <f aca="false">IF(OR(AE295="",AE295=0),0,AE295*IF(X295="",0,IF(X295&gt;1,X295/100,X295)))</f>
        <v>0</v>
      </c>
      <c r="AI295" s="21" t="n">
        <f aca="false">IF(OR(AE295="",AE295=0),0,AE295*IF(AA295="",0,IF(AA295&gt;1,AA295/100,AA295)))</f>
        <v>0</v>
      </c>
      <c r="AJ295" s="21" t="n">
        <f aca="false">AG295+AH295+AI295</f>
        <v>0</v>
      </c>
      <c r="AK295" s="21" t="n">
        <f aca="false">IF(OR(AE295="",AE295=0),0,AE295-AJ295)</f>
        <v>0</v>
      </c>
      <c r="AL295" s="19" t="str">
        <f aca="false">IF(AD295="","",AD295-AK295)</f>
        <v/>
      </c>
      <c r="AM295" s="26" t="str">
        <f aca="false">IF(C295="","","Waiting for payment")</f>
        <v/>
      </c>
      <c r="AN295" s="27"/>
      <c r="AO295" s="27"/>
      <c r="AP295" s="35" t="str">
        <f aca="false">IF(OR(C295="",I295="",K295=""),"",IF(K295="Monthly",EDATE(C295,ROUND(I295*SETTINGS!$I$8,0)),WORKDAY(C295,ROUND(I295*SETTINGS!$I$8,0))))</f>
        <v/>
      </c>
      <c r="AQ295" s="26" t="str">
        <f aca="true">IF(C295="","",IF(AND(AP295&lt;&gt;"",TODAY()&gt;=AP295),"Refi Ready",IF(TODAY()-C295&gt;=SETTINGS!$I$11,"Prospecting","Performing")))</f>
        <v/>
      </c>
      <c r="AR295" s="35" t="str">
        <f aca="false">IF(OR(C295="",I295="",K295=""),"",IF(K295="Monthly",EDATE(C295,I295),WORKDAY(C295,I295)))</f>
        <v/>
      </c>
      <c r="AS295" s="28"/>
      <c r="AT295" s="36" t="str">
        <f aca="true">IF(C295="","",IF(AM295="Clawed Back","CLAWED",IF(TODAY()&lt;=C295+SETTINGS!$I$2,"⚠ AT RISK","SAFE")))</f>
        <v/>
      </c>
      <c r="AU295" s="28"/>
      <c r="AW295" s="24" t="n">
        <f aca="false">AW294+IF(AND(C295&lt;&gt;"",AO295&lt;&gt;"",OR('REP COMMISSION'!$B$3="",T295='REP COMMISSION'!$B$3,W295='REP COMMISSION'!$B$3,Z295='REP COMMISSION'!$B$3)),1,0)</f>
        <v>0</v>
      </c>
      <c r="AX295" s="24" t="n">
        <f aca="false">AX294+IF(AND(C295&lt;&gt;"",OR(F295="LOC - INITIAL",F295="CONSOLIDATION - UPFRONT COMM",F295="REVERSE - TOTAL FUNDING")),1,0)</f>
        <v>0</v>
      </c>
    </row>
    <row r="296" customFormat="false" ht="15" hidden="false" customHeight="false" outlineLevel="0" collapsed="false">
      <c r="A296" s="8" t="str">
        <f aca="false">IF(C296&lt;&gt;"","F27-"&amp;COUNT($C$4:C296),"")</f>
        <v/>
      </c>
      <c r="B296" s="9" t="str">
        <f aca="false">IF(OR(F296="LOC - INITIAL",F296="CONSOLIDATION - UPFRONT COMM",F296="REVERSE - TOTAL FUNDING"),A296,"")</f>
        <v/>
      </c>
      <c r="C296" s="10"/>
      <c r="D296" s="11"/>
      <c r="E296" s="11"/>
      <c r="F296" s="11"/>
      <c r="G296" s="12"/>
      <c r="H296" s="13"/>
      <c r="I296" s="11"/>
      <c r="J296" s="14" t="str">
        <f aca="false">IF(AND(G296&lt;&gt;"",H296&lt;&gt;""),G296*H296,"")</f>
        <v/>
      </c>
      <c r="K296" s="11"/>
      <c r="L296" s="15"/>
      <c r="M296" s="15"/>
      <c r="N296" s="14" t="n">
        <f aca="false">IF(OR(G296="",M296=""),0,IF(M296&gt;100,M296,G296*IF(M296&gt;1,M296/100,M296)))</f>
        <v>0</v>
      </c>
      <c r="O296" s="14" t="str">
        <f aca="false">IF(G296="","",G296*IF(L296="",0,IF(L296&gt;1,L296/100,L296))+N296)</f>
        <v/>
      </c>
      <c r="P296" s="11"/>
      <c r="Q296" s="16" t="str">
        <f aca="false">IF(P296="","",IFERROR(VLOOKUP(P296,PARTNERS!$A$2:$B$30,2,0),""))</f>
        <v/>
      </c>
      <c r="R296" s="17" t="str">
        <f aca="false">IF(O296="","",IF(OR(P296="",Q296=""),0,(O296-N296)*IF(Q296&gt;1,Q296/100,Q296)))</f>
        <v/>
      </c>
      <c r="S296" s="14" t="str">
        <f aca="false">IF(O296="","",O296-R296)</f>
        <v/>
      </c>
      <c r="T296" s="11"/>
      <c r="U296" s="18" t="str">
        <f aca="false">IF(T296="","",IFERROR(VLOOKUP(T296,REPS!$A$2:$D$40,2,0),""))</f>
        <v/>
      </c>
      <c r="V296" s="14" t="str">
        <f aca="false">IF(O296="","",IF(U296="",0,O296*IF(U296&gt;1,U296/100,U296)))</f>
        <v/>
      </c>
      <c r="W296" s="11"/>
      <c r="X296" s="18" t="str">
        <f aca="false">IF(W296="","",IFERROR(VLOOKUP(W296,REPS!$A$2:$D$40,3,0),""))</f>
        <v/>
      </c>
      <c r="Y296" s="14" t="str">
        <f aca="false">IF(O296="","",IF(X296="",0,O296*IF(X296&gt;1,X296/100,X296)))</f>
        <v/>
      </c>
      <c r="Z296" s="11"/>
      <c r="AA296" s="18" t="str">
        <f aca="false">IF(Z296="","",IFERROR(VLOOKUP(Z296,REPS!$A$2:$D$40,4,0),""))</f>
        <v/>
      </c>
      <c r="AB296" s="14" t="str">
        <f aca="false">IF(O296="","",IF(AA296="",0,O296*IF(AA296&gt;1,AA296/100,AA296)))</f>
        <v/>
      </c>
      <c r="AC296" s="14" t="str">
        <f aca="false">IF(O296="","",V296+Y296+AB296)</f>
        <v/>
      </c>
      <c r="AD296" s="19" t="str">
        <f aca="false">IF(O296="","",O296-R296-AC296)</f>
        <v/>
      </c>
      <c r="AE296" s="20"/>
      <c r="AF296" s="10"/>
      <c r="AG296" s="21" t="n">
        <f aca="false">IF(OR(AE296="",AE296=0),0,AE296*IF(U296="",0,IF(U296&gt;1,U296/100,U296)))</f>
        <v>0</v>
      </c>
      <c r="AH296" s="21" t="n">
        <f aca="false">IF(OR(AE296="",AE296=0),0,AE296*IF(X296="",0,IF(X296&gt;1,X296/100,X296)))</f>
        <v>0</v>
      </c>
      <c r="AI296" s="21" t="n">
        <f aca="false">IF(OR(AE296="",AE296=0),0,AE296*IF(AA296="",0,IF(AA296&gt;1,AA296/100,AA296)))</f>
        <v>0</v>
      </c>
      <c r="AJ296" s="21" t="n">
        <f aca="false">AG296+AH296+AI296</f>
        <v>0</v>
      </c>
      <c r="AK296" s="21" t="n">
        <f aca="false">IF(OR(AE296="",AE296=0),0,AE296-AJ296)</f>
        <v>0</v>
      </c>
      <c r="AL296" s="19" t="str">
        <f aca="false">IF(AD296="","",AD296-AK296)</f>
        <v/>
      </c>
      <c r="AM296" s="9" t="str">
        <f aca="false">IF(C296="","","Waiting for payment")</f>
        <v/>
      </c>
      <c r="AN296" s="10"/>
      <c r="AO296" s="10"/>
      <c r="AP296" s="22" t="str">
        <f aca="false">IF(OR(C296="",I296="",K296=""),"",IF(K296="Monthly",EDATE(C296,ROUND(I296*SETTINGS!$I$8,0)),WORKDAY(C296,ROUND(I296*SETTINGS!$I$8,0))))</f>
        <v/>
      </c>
      <c r="AQ296" s="9" t="str">
        <f aca="true">IF(C296="","",IF(AND(AP296&lt;&gt;"",TODAY()&gt;=AP296),"Refi Ready",IF(TODAY()-C296&gt;=SETTINGS!$I$11,"Prospecting","Performing")))</f>
        <v/>
      </c>
      <c r="AR296" s="22" t="str">
        <f aca="false">IF(OR(C296="",I296="",K296=""),"",IF(K296="Monthly",EDATE(C296,I296),WORKDAY(C296,I296)))</f>
        <v/>
      </c>
      <c r="AS296" s="11"/>
      <c r="AT296" s="23" t="str">
        <f aca="true">IF(C296="","",IF(AM296="Clawed Back","CLAWED",IF(TODAY()&lt;=C296+SETTINGS!$I$2,"⚠ AT RISK","SAFE")))</f>
        <v/>
      </c>
      <c r="AU296" s="11"/>
      <c r="AW296" s="24" t="n">
        <f aca="false">AW295+IF(AND(C296&lt;&gt;"",AO296&lt;&gt;"",OR('REP COMMISSION'!$B$3="",T296='REP COMMISSION'!$B$3,W296='REP COMMISSION'!$B$3,Z296='REP COMMISSION'!$B$3)),1,0)</f>
        <v>0</v>
      </c>
      <c r="AX296" s="24" t="n">
        <f aca="false">AX295+IF(AND(C296&lt;&gt;"",OR(F296="LOC - INITIAL",F296="CONSOLIDATION - UPFRONT COMM",F296="REVERSE - TOTAL FUNDING")),1,0)</f>
        <v>0</v>
      </c>
    </row>
    <row r="297" customFormat="false" ht="15" hidden="false" customHeight="false" outlineLevel="0" collapsed="false">
      <c r="A297" s="25" t="str">
        <f aca="false">IF(C297&lt;&gt;"","F27-"&amp;COUNT($C$4:C297),"")</f>
        <v/>
      </c>
      <c r="B297" s="26" t="str">
        <f aca="false">IF(OR(F297="LOC - INITIAL",F297="CONSOLIDATION - UPFRONT COMM",F297="REVERSE - TOTAL FUNDING"),A297,"")</f>
        <v/>
      </c>
      <c r="C297" s="27"/>
      <c r="D297" s="28"/>
      <c r="E297" s="28"/>
      <c r="F297" s="28"/>
      <c r="G297" s="29"/>
      <c r="H297" s="30"/>
      <c r="I297" s="28"/>
      <c r="J297" s="31" t="str">
        <f aca="false">IF(AND(G297&lt;&gt;"",H297&lt;&gt;""),G297*H297,"")</f>
        <v/>
      </c>
      <c r="K297" s="28"/>
      <c r="L297" s="32"/>
      <c r="M297" s="32"/>
      <c r="N297" s="31" t="n">
        <f aca="false">IF(OR(G297="",M297=""),0,IF(M297&gt;100,M297,G297*IF(M297&gt;1,M297/100,M297)))</f>
        <v>0</v>
      </c>
      <c r="O297" s="31" t="str">
        <f aca="false">IF(G297="","",G297*IF(L297="",0,IF(L297&gt;1,L297/100,L297))+N297)</f>
        <v/>
      </c>
      <c r="P297" s="28"/>
      <c r="Q297" s="33" t="str">
        <f aca="false">IF(P297="","",IFERROR(VLOOKUP(P297,PARTNERS!$A$2:$B$30,2,0),""))</f>
        <v/>
      </c>
      <c r="R297" s="17" t="str">
        <f aca="false">IF(O297="","",IF(OR(P297="",Q297=""),0,(O297-N297)*IF(Q297&gt;1,Q297/100,Q297)))</f>
        <v/>
      </c>
      <c r="S297" s="31" t="str">
        <f aca="false">IF(O297="","",O297-R297)</f>
        <v/>
      </c>
      <c r="T297" s="28"/>
      <c r="U297" s="34" t="str">
        <f aca="false">IF(T297="","",IFERROR(VLOOKUP(T297,REPS!$A$2:$D$40,2,0),""))</f>
        <v/>
      </c>
      <c r="V297" s="31" t="str">
        <f aca="false">IF(O297="","",IF(U297="",0,O297*IF(U297&gt;1,U297/100,U297)))</f>
        <v/>
      </c>
      <c r="W297" s="28"/>
      <c r="X297" s="34" t="str">
        <f aca="false">IF(W297="","",IFERROR(VLOOKUP(W297,REPS!$A$2:$D$40,3,0),""))</f>
        <v/>
      </c>
      <c r="Y297" s="31" t="str">
        <f aca="false">IF(O297="","",IF(X297="",0,O297*IF(X297&gt;1,X297/100,X297)))</f>
        <v/>
      </c>
      <c r="Z297" s="28"/>
      <c r="AA297" s="34" t="str">
        <f aca="false">IF(Z297="","",IFERROR(VLOOKUP(Z297,REPS!$A$2:$D$40,4,0),""))</f>
        <v/>
      </c>
      <c r="AB297" s="31" t="str">
        <f aca="false">IF(O297="","",IF(AA297="",0,O297*IF(AA297&gt;1,AA297/100,AA297)))</f>
        <v/>
      </c>
      <c r="AC297" s="31" t="str">
        <f aca="false">IF(O297="","",V297+Y297+AB297)</f>
        <v/>
      </c>
      <c r="AD297" s="19" t="str">
        <f aca="false">IF(O297="","",O297-R297-AC297)</f>
        <v/>
      </c>
      <c r="AE297" s="20"/>
      <c r="AF297" s="27"/>
      <c r="AG297" s="21" t="n">
        <f aca="false">IF(OR(AE297="",AE297=0),0,AE297*IF(U297="",0,IF(U297&gt;1,U297/100,U297)))</f>
        <v>0</v>
      </c>
      <c r="AH297" s="21" t="n">
        <f aca="false">IF(OR(AE297="",AE297=0),0,AE297*IF(X297="",0,IF(X297&gt;1,X297/100,X297)))</f>
        <v>0</v>
      </c>
      <c r="AI297" s="21" t="n">
        <f aca="false">IF(OR(AE297="",AE297=0),0,AE297*IF(AA297="",0,IF(AA297&gt;1,AA297/100,AA297)))</f>
        <v>0</v>
      </c>
      <c r="AJ297" s="21" t="n">
        <f aca="false">AG297+AH297+AI297</f>
        <v>0</v>
      </c>
      <c r="AK297" s="21" t="n">
        <f aca="false">IF(OR(AE297="",AE297=0),0,AE297-AJ297)</f>
        <v>0</v>
      </c>
      <c r="AL297" s="19" t="str">
        <f aca="false">IF(AD297="","",AD297-AK297)</f>
        <v/>
      </c>
      <c r="AM297" s="26" t="str">
        <f aca="false">IF(C297="","","Waiting for payment")</f>
        <v/>
      </c>
      <c r="AN297" s="27"/>
      <c r="AO297" s="27"/>
      <c r="AP297" s="35" t="str">
        <f aca="false">IF(OR(C297="",I297="",K297=""),"",IF(K297="Monthly",EDATE(C297,ROUND(I297*SETTINGS!$I$8,0)),WORKDAY(C297,ROUND(I297*SETTINGS!$I$8,0))))</f>
        <v/>
      </c>
      <c r="AQ297" s="26" t="str">
        <f aca="true">IF(C297="","",IF(AND(AP297&lt;&gt;"",TODAY()&gt;=AP297),"Refi Ready",IF(TODAY()-C297&gt;=SETTINGS!$I$11,"Prospecting","Performing")))</f>
        <v/>
      </c>
      <c r="AR297" s="35" t="str">
        <f aca="false">IF(OR(C297="",I297="",K297=""),"",IF(K297="Monthly",EDATE(C297,I297),WORKDAY(C297,I297)))</f>
        <v/>
      </c>
      <c r="AS297" s="28"/>
      <c r="AT297" s="36" t="str">
        <f aca="true">IF(C297="","",IF(AM297="Clawed Back","CLAWED",IF(TODAY()&lt;=C297+SETTINGS!$I$2,"⚠ AT RISK","SAFE")))</f>
        <v/>
      </c>
      <c r="AU297" s="28"/>
      <c r="AW297" s="24" t="n">
        <f aca="false">AW296+IF(AND(C297&lt;&gt;"",AO297&lt;&gt;"",OR('REP COMMISSION'!$B$3="",T297='REP COMMISSION'!$B$3,W297='REP COMMISSION'!$B$3,Z297='REP COMMISSION'!$B$3)),1,0)</f>
        <v>0</v>
      </c>
      <c r="AX297" s="24" t="n">
        <f aca="false">AX296+IF(AND(C297&lt;&gt;"",OR(F297="LOC - INITIAL",F297="CONSOLIDATION - UPFRONT COMM",F297="REVERSE - TOTAL FUNDING")),1,0)</f>
        <v>0</v>
      </c>
    </row>
    <row r="298" customFormat="false" ht="15" hidden="false" customHeight="false" outlineLevel="0" collapsed="false">
      <c r="A298" s="8" t="str">
        <f aca="false">IF(C298&lt;&gt;"","F27-"&amp;COUNT($C$4:C298),"")</f>
        <v/>
      </c>
      <c r="B298" s="9" t="str">
        <f aca="false">IF(OR(F298="LOC - INITIAL",F298="CONSOLIDATION - UPFRONT COMM",F298="REVERSE - TOTAL FUNDING"),A298,"")</f>
        <v/>
      </c>
      <c r="C298" s="10"/>
      <c r="D298" s="11"/>
      <c r="E298" s="11"/>
      <c r="F298" s="11"/>
      <c r="G298" s="12"/>
      <c r="H298" s="13"/>
      <c r="I298" s="11"/>
      <c r="J298" s="14" t="str">
        <f aca="false">IF(AND(G298&lt;&gt;"",H298&lt;&gt;""),G298*H298,"")</f>
        <v/>
      </c>
      <c r="K298" s="11"/>
      <c r="L298" s="15"/>
      <c r="M298" s="15"/>
      <c r="N298" s="14" t="n">
        <f aca="false">IF(OR(G298="",M298=""),0,IF(M298&gt;100,M298,G298*IF(M298&gt;1,M298/100,M298)))</f>
        <v>0</v>
      </c>
      <c r="O298" s="14" t="str">
        <f aca="false">IF(G298="","",G298*IF(L298="",0,IF(L298&gt;1,L298/100,L298))+N298)</f>
        <v/>
      </c>
      <c r="P298" s="11"/>
      <c r="Q298" s="16" t="str">
        <f aca="false">IF(P298="","",IFERROR(VLOOKUP(P298,PARTNERS!$A$2:$B$30,2,0),""))</f>
        <v/>
      </c>
      <c r="R298" s="17" t="str">
        <f aca="false">IF(O298="","",IF(OR(P298="",Q298=""),0,(O298-N298)*IF(Q298&gt;1,Q298/100,Q298)))</f>
        <v/>
      </c>
      <c r="S298" s="14" t="str">
        <f aca="false">IF(O298="","",O298-R298)</f>
        <v/>
      </c>
      <c r="T298" s="11"/>
      <c r="U298" s="18" t="str">
        <f aca="false">IF(T298="","",IFERROR(VLOOKUP(T298,REPS!$A$2:$D$40,2,0),""))</f>
        <v/>
      </c>
      <c r="V298" s="14" t="str">
        <f aca="false">IF(O298="","",IF(U298="",0,O298*IF(U298&gt;1,U298/100,U298)))</f>
        <v/>
      </c>
      <c r="W298" s="11"/>
      <c r="X298" s="18" t="str">
        <f aca="false">IF(W298="","",IFERROR(VLOOKUP(W298,REPS!$A$2:$D$40,3,0),""))</f>
        <v/>
      </c>
      <c r="Y298" s="14" t="str">
        <f aca="false">IF(O298="","",IF(X298="",0,O298*IF(X298&gt;1,X298/100,X298)))</f>
        <v/>
      </c>
      <c r="Z298" s="11"/>
      <c r="AA298" s="18" t="str">
        <f aca="false">IF(Z298="","",IFERROR(VLOOKUP(Z298,REPS!$A$2:$D$40,4,0),""))</f>
        <v/>
      </c>
      <c r="AB298" s="14" t="str">
        <f aca="false">IF(O298="","",IF(AA298="",0,O298*IF(AA298&gt;1,AA298/100,AA298)))</f>
        <v/>
      </c>
      <c r="AC298" s="14" t="str">
        <f aca="false">IF(O298="","",V298+Y298+AB298)</f>
        <v/>
      </c>
      <c r="AD298" s="19" t="str">
        <f aca="false">IF(O298="","",O298-R298-AC298)</f>
        <v/>
      </c>
      <c r="AE298" s="20"/>
      <c r="AF298" s="10"/>
      <c r="AG298" s="21" t="n">
        <f aca="false">IF(OR(AE298="",AE298=0),0,AE298*IF(U298="",0,IF(U298&gt;1,U298/100,U298)))</f>
        <v>0</v>
      </c>
      <c r="AH298" s="21" t="n">
        <f aca="false">IF(OR(AE298="",AE298=0),0,AE298*IF(X298="",0,IF(X298&gt;1,X298/100,X298)))</f>
        <v>0</v>
      </c>
      <c r="AI298" s="21" t="n">
        <f aca="false">IF(OR(AE298="",AE298=0),0,AE298*IF(AA298="",0,IF(AA298&gt;1,AA298/100,AA298)))</f>
        <v>0</v>
      </c>
      <c r="AJ298" s="21" t="n">
        <f aca="false">AG298+AH298+AI298</f>
        <v>0</v>
      </c>
      <c r="AK298" s="21" t="n">
        <f aca="false">IF(OR(AE298="",AE298=0),0,AE298-AJ298)</f>
        <v>0</v>
      </c>
      <c r="AL298" s="19" t="str">
        <f aca="false">IF(AD298="","",AD298-AK298)</f>
        <v/>
      </c>
      <c r="AM298" s="9" t="str">
        <f aca="false">IF(C298="","","Waiting for payment")</f>
        <v/>
      </c>
      <c r="AN298" s="10"/>
      <c r="AO298" s="10"/>
      <c r="AP298" s="22" t="str">
        <f aca="false">IF(OR(C298="",I298="",K298=""),"",IF(K298="Monthly",EDATE(C298,ROUND(I298*SETTINGS!$I$8,0)),WORKDAY(C298,ROUND(I298*SETTINGS!$I$8,0))))</f>
        <v/>
      </c>
      <c r="AQ298" s="9" t="str">
        <f aca="true">IF(C298="","",IF(AND(AP298&lt;&gt;"",TODAY()&gt;=AP298),"Refi Ready",IF(TODAY()-C298&gt;=SETTINGS!$I$11,"Prospecting","Performing")))</f>
        <v/>
      </c>
      <c r="AR298" s="22" t="str">
        <f aca="false">IF(OR(C298="",I298="",K298=""),"",IF(K298="Monthly",EDATE(C298,I298),WORKDAY(C298,I298)))</f>
        <v/>
      </c>
      <c r="AS298" s="11"/>
      <c r="AT298" s="23" t="str">
        <f aca="true">IF(C298="","",IF(AM298="Clawed Back","CLAWED",IF(TODAY()&lt;=C298+SETTINGS!$I$2,"⚠ AT RISK","SAFE")))</f>
        <v/>
      </c>
      <c r="AU298" s="11"/>
      <c r="AW298" s="24" t="n">
        <f aca="false">AW297+IF(AND(C298&lt;&gt;"",AO298&lt;&gt;"",OR('REP COMMISSION'!$B$3="",T298='REP COMMISSION'!$B$3,W298='REP COMMISSION'!$B$3,Z298='REP COMMISSION'!$B$3)),1,0)</f>
        <v>0</v>
      </c>
      <c r="AX298" s="24" t="n">
        <f aca="false">AX297+IF(AND(C298&lt;&gt;"",OR(F298="LOC - INITIAL",F298="CONSOLIDATION - UPFRONT COMM",F298="REVERSE - TOTAL FUNDING")),1,0)</f>
        <v>0</v>
      </c>
    </row>
    <row r="299" customFormat="false" ht="15" hidden="false" customHeight="false" outlineLevel="0" collapsed="false">
      <c r="A299" s="25" t="str">
        <f aca="false">IF(C299&lt;&gt;"","F27-"&amp;COUNT($C$4:C299),"")</f>
        <v/>
      </c>
      <c r="B299" s="26" t="str">
        <f aca="false">IF(OR(F299="LOC - INITIAL",F299="CONSOLIDATION - UPFRONT COMM",F299="REVERSE - TOTAL FUNDING"),A299,"")</f>
        <v/>
      </c>
      <c r="C299" s="27"/>
      <c r="D299" s="28"/>
      <c r="E299" s="28"/>
      <c r="F299" s="28"/>
      <c r="G299" s="29"/>
      <c r="H299" s="30"/>
      <c r="I299" s="28"/>
      <c r="J299" s="31" t="str">
        <f aca="false">IF(AND(G299&lt;&gt;"",H299&lt;&gt;""),G299*H299,"")</f>
        <v/>
      </c>
      <c r="K299" s="28"/>
      <c r="L299" s="32"/>
      <c r="M299" s="32"/>
      <c r="N299" s="31" t="n">
        <f aca="false">IF(OR(G299="",M299=""),0,IF(M299&gt;100,M299,G299*IF(M299&gt;1,M299/100,M299)))</f>
        <v>0</v>
      </c>
      <c r="O299" s="31" t="str">
        <f aca="false">IF(G299="","",G299*IF(L299="",0,IF(L299&gt;1,L299/100,L299))+N299)</f>
        <v/>
      </c>
      <c r="P299" s="28"/>
      <c r="Q299" s="33" t="str">
        <f aca="false">IF(P299="","",IFERROR(VLOOKUP(P299,PARTNERS!$A$2:$B$30,2,0),""))</f>
        <v/>
      </c>
      <c r="R299" s="17" t="str">
        <f aca="false">IF(O299="","",IF(OR(P299="",Q299=""),0,(O299-N299)*IF(Q299&gt;1,Q299/100,Q299)))</f>
        <v/>
      </c>
      <c r="S299" s="31" t="str">
        <f aca="false">IF(O299="","",O299-R299)</f>
        <v/>
      </c>
      <c r="T299" s="28"/>
      <c r="U299" s="34" t="str">
        <f aca="false">IF(T299="","",IFERROR(VLOOKUP(T299,REPS!$A$2:$D$40,2,0),""))</f>
        <v/>
      </c>
      <c r="V299" s="31" t="str">
        <f aca="false">IF(O299="","",IF(U299="",0,O299*IF(U299&gt;1,U299/100,U299)))</f>
        <v/>
      </c>
      <c r="W299" s="28"/>
      <c r="X299" s="34" t="str">
        <f aca="false">IF(W299="","",IFERROR(VLOOKUP(W299,REPS!$A$2:$D$40,3,0),""))</f>
        <v/>
      </c>
      <c r="Y299" s="31" t="str">
        <f aca="false">IF(O299="","",IF(X299="",0,O299*IF(X299&gt;1,X299/100,X299)))</f>
        <v/>
      </c>
      <c r="Z299" s="28"/>
      <c r="AA299" s="34" t="str">
        <f aca="false">IF(Z299="","",IFERROR(VLOOKUP(Z299,REPS!$A$2:$D$40,4,0),""))</f>
        <v/>
      </c>
      <c r="AB299" s="31" t="str">
        <f aca="false">IF(O299="","",IF(AA299="",0,O299*IF(AA299&gt;1,AA299/100,AA299)))</f>
        <v/>
      </c>
      <c r="AC299" s="31" t="str">
        <f aca="false">IF(O299="","",V299+Y299+AB299)</f>
        <v/>
      </c>
      <c r="AD299" s="19" t="str">
        <f aca="false">IF(O299="","",O299-R299-AC299)</f>
        <v/>
      </c>
      <c r="AE299" s="20"/>
      <c r="AF299" s="27"/>
      <c r="AG299" s="21" t="n">
        <f aca="false">IF(OR(AE299="",AE299=0),0,AE299*IF(U299="",0,IF(U299&gt;1,U299/100,U299)))</f>
        <v>0</v>
      </c>
      <c r="AH299" s="21" t="n">
        <f aca="false">IF(OR(AE299="",AE299=0),0,AE299*IF(X299="",0,IF(X299&gt;1,X299/100,X299)))</f>
        <v>0</v>
      </c>
      <c r="AI299" s="21" t="n">
        <f aca="false">IF(OR(AE299="",AE299=0),0,AE299*IF(AA299="",0,IF(AA299&gt;1,AA299/100,AA299)))</f>
        <v>0</v>
      </c>
      <c r="AJ299" s="21" t="n">
        <f aca="false">AG299+AH299+AI299</f>
        <v>0</v>
      </c>
      <c r="AK299" s="21" t="n">
        <f aca="false">IF(OR(AE299="",AE299=0),0,AE299-AJ299)</f>
        <v>0</v>
      </c>
      <c r="AL299" s="19" t="str">
        <f aca="false">IF(AD299="","",AD299-AK299)</f>
        <v/>
      </c>
      <c r="AM299" s="26" t="str">
        <f aca="false">IF(C299="","","Waiting for payment")</f>
        <v/>
      </c>
      <c r="AN299" s="27"/>
      <c r="AO299" s="27"/>
      <c r="AP299" s="35" t="str">
        <f aca="false">IF(OR(C299="",I299="",K299=""),"",IF(K299="Monthly",EDATE(C299,ROUND(I299*SETTINGS!$I$8,0)),WORKDAY(C299,ROUND(I299*SETTINGS!$I$8,0))))</f>
        <v/>
      </c>
      <c r="AQ299" s="26" t="str">
        <f aca="true">IF(C299="","",IF(AND(AP299&lt;&gt;"",TODAY()&gt;=AP299),"Refi Ready",IF(TODAY()-C299&gt;=SETTINGS!$I$11,"Prospecting","Performing")))</f>
        <v/>
      </c>
      <c r="AR299" s="35" t="str">
        <f aca="false">IF(OR(C299="",I299="",K299=""),"",IF(K299="Monthly",EDATE(C299,I299),WORKDAY(C299,I299)))</f>
        <v/>
      </c>
      <c r="AS299" s="28"/>
      <c r="AT299" s="36" t="str">
        <f aca="true">IF(C299="","",IF(AM299="Clawed Back","CLAWED",IF(TODAY()&lt;=C299+SETTINGS!$I$2,"⚠ AT RISK","SAFE")))</f>
        <v/>
      </c>
      <c r="AU299" s="28"/>
      <c r="AW299" s="24" t="n">
        <f aca="false">AW298+IF(AND(C299&lt;&gt;"",AO299&lt;&gt;"",OR('REP COMMISSION'!$B$3="",T299='REP COMMISSION'!$B$3,W299='REP COMMISSION'!$B$3,Z299='REP COMMISSION'!$B$3)),1,0)</f>
        <v>0</v>
      </c>
      <c r="AX299" s="24" t="n">
        <f aca="false">AX298+IF(AND(C299&lt;&gt;"",OR(F299="LOC - INITIAL",F299="CONSOLIDATION - UPFRONT COMM",F299="REVERSE - TOTAL FUNDING")),1,0)</f>
        <v>0</v>
      </c>
    </row>
    <row r="300" customFormat="false" ht="15" hidden="false" customHeight="false" outlineLevel="0" collapsed="false">
      <c r="A300" s="8" t="str">
        <f aca="false">IF(C300&lt;&gt;"","F27-"&amp;COUNT($C$4:C300),"")</f>
        <v/>
      </c>
      <c r="B300" s="9" t="str">
        <f aca="false">IF(OR(F300="LOC - INITIAL",F300="CONSOLIDATION - UPFRONT COMM",F300="REVERSE - TOTAL FUNDING"),A300,"")</f>
        <v/>
      </c>
      <c r="C300" s="10"/>
      <c r="D300" s="11"/>
      <c r="E300" s="11"/>
      <c r="F300" s="11"/>
      <c r="G300" s="12"/>
      <c r="H300" s="13"/>
      <c r="I300" s="11"/>
      <c r="J300" s="14" t="str">
        <f aca="false">IF(AND(G300&lt;&gt;"",H300&lt;&gt;""),G300*H300,"")</f>
        <v/>
      </c>
      <c r="K300" s="11"/>
      <c r="L300" s="15"/>
      <c r="M300" s="15"/>
      <c r="N300" s="14" t="n">
        <f aca="false">IF(OR(G300="",M300=""),0,IF(M300&gt;100,M300,G300*IF(M300&gt;1,M300/100,M300)))</f>
        <v>0</v>
      </c>
      <c r="O300" s="14" t="str">
        <f aca="false">IF(G300="","",G300*IF(L300="",0,IF(L300&gt;1,L300/100,L300))+N300)</f>
        <v/>
      </c>
      <c r="P300" s="11"/>
      <c r="Q300" s="16" t="str">
        <f aca="false">IF(P300="","",IFERROR(VLOOKUP(P300,PARTNERS!$A$2:$B$30,2,0),""))</f>
        <v/>
      </c>
      <c r="R300" s="17" t="str">
        <f aca="false">IF(O300="","",IF(OR(P300="",Q300=""),0,(O300-N300)*IF(Q300&gt;1,Q300/100,Q300)))</f>
        <v/>
      </c>
      <c r="S300" s="14" t="str">
        <f aca="false">IF(O300="","",O300-R300)</f>
        <v/>
      </c>
      <c r="T300" s="11"/>
      <c r="U300" s="18" t="str">
        <f aca="false">IF(T300="","",IFERROR(VLOOKUP(T300,REPS!$A$2:$D$40,2,0),""))</f>
        <v/>
      </c>
      <c r="V300" s="14" t="str">
        <f aca="false">IF(O300="","",IF(U300="",0,O300*IF(U300&gt;1,U300/100,U300)))</f>
        <v/>
      </c>
      <c r="W300" s="11"/>
      <c r="X300" s="18" t="str">
        <f aca="false">IF(W300="","",IFERROR(VLOOKUP(W300,REPS!$A$2:$D$40,3,0),""))</f>
        <v/>
      </c>
      <c r="Y300" s="14" t="str">
        <f aca="false">IF(O300="","",IF(X300="",0,O300*IF(X300&gt;1,X300/100,X300)))</f>
        <v/>
      </c>
      <c r="Z300" s="11"/>
      <c r="AA300" s="18" t="str">
        <f aca="false">IF(Z300="","",IFERROR(VLOOKUP(Z300,REPS!$A$2:$D$40,4,0),""))</f>
        <v/>
      </c>
      <c r="AB300" s="14" t="str">
        <f aca="false">IF(O300="","",IF(AA300="",0,O300*IF(AA300&gt;1,AA300/100,AA300)))</f>
        <v/>
      </c>
      <c r="AC300" s="14" t="str">
        <f aca="false">IF(O300="","",V300+Y300+AB300)</f>
        <v/>
      </c>
      <c r="AD300" s="19" t="str">
        <f aca="false">IF(O300="","",O300-R300-AC300)</f>
        <v/>
      </c>
      <c r="AE300" s="20"/>
      <c r="AF300" s="10"/>
      <c r="AG300" s="21" t="n">
        <f aca="false">IF(OR(AE300="",AE300=0),0,AE300*IF(U300="",0,IF(U300&gt;1,U300/100,U300)))</f>
        <v>0</v>
      </c>
      <c r="AH300" s="21" t="n">
        <f aca="false">IF(OR(AE300="",AE300=0),0,AE300*IF(X300="",0,IF(X300&gt;1,X300/100,X300)))</f>
        <v>0</v>
      </c>
      <c r="AI300" s="21" t="n">
        <f aca="false">IF(OR(AE300="",AE300=0),0,AE300*IF(AA300="",0,IF(AA300&gt;1,AA300/100,AA300)))</f>
        <v>0</v>
      </c>
      <c r="AJ300" s="21" t="n">
        <f aca="false">AG300+AH300+AI300</f>
        <v>0</v>
      </c>
      <c r="AK300" s="21" t="n">
        <f aca="false">IF(OR(AE300="",AE300=0),0,AE300-AJ300)</f>
        <v>0</v>
      </c>
      <c r="AL300" s="19" t="str">
        <f aca="false">IF(AD300="","",AD300-AK300)</f>
        <v/>
      </c>
      <c r="AM300" s="9" t="str">
        <f aca="false">IF(C300="","","Waiting for payment")</f>
        <v/>
      </c>
      <c r="AN300" s="10"/>
      <c r="AO300" s="10"/>
      <c r="AP300" s="22" t="str">
        <f aca="false">IF(OR(C300="",I300="",K300=""),"",IF(K300="Monthly",EDATE(C300,ROUND(I300*SETTINGS!$I$8,0)),WORKDAY(C300,ROUND(I300*SETTINGS!$I$8,0))))</f>
        <v/>
      </c>
      <c r="AQ300" s="9" t="str">
        <f aca="true">IF(C300="","",IF(AND(AP300&lt;&gt;"",TODAY()&gt;=AP300),"Refi Ready",IF(TODAY()-C300&gt;=SETTINGS!$I$11,"Prospecting","Performing")))</f>
        <v/>
      </c>
      <c r="AR300" s="22" t="str">
        <f aca="false">IF(OR(C300="",I300="",K300=""),"",IF(K300="Monthly",EDATE(C300,I300),WORKDAY(C300,I300)))</f>
        <v/>
      </c>
      <c r="AS300" s="11"/>
      <c r="AT300" s="23" t="str">
        <f aca="true">IF(C300="","",IF(AM300="Clawed Back","CLAWED",IF(TODAY()&lt;=C300+SETTINGS!$I$2,"⚠ AT RISK","SAFE")))</f>
        <v/>
      </c>
      <c r="AU300" s="11"/>
      <c r="AW300" s="24" t="n">
        <f aca="false">AW299+IF(AND(C300&lt;&gt;"",AO300&lt;&gt;"",OR('REP COMMISSION'!$B$3="",T300='REP COMMISSION'!$B$3,W300='REP COMMISSION'!$B$3,Z300='REP COMMISSION'!$B$3)),1,0)</f>
        <v>0</v>
      </c>
      <c r="AX300" s="24" t="n">
        <f aca="false">AX299+IF(AND(C300&lt;&gt;"",OR(F300="LOC - INITIAL",F300="CONSOLIDATION - UPFRONT COMM",F300="REVERSE - TOTAL FUNDING")),1,0)</f>
        <v>0</v>
      </c>
    </row>
    <row r="301" customFormat="false" ht="15" hidden="false" customHeight="false" outlineLevel="0" collapsed="false">
      <c r="A301" s="25" t="str">
        <f aca="false">IF(C301&lt;&gt;"","F27-"&amp;COUNT($C$4:C301),"")</f>
        <v/>
      </c>
      <c r="B301" s="26" t="str">
        <f aca="false">IF(OR(F301="LOC - INITIAL",F301="CONSOLIDATION - UPFRONT COMM",F301="REVERSE - TOTAL FUNDING"),A301,"")</f>
        <v/>
      </c>
      <c r="C301" s="27"/>
      <c r="D301" s="28"/>
      <c r="E301" s="28"/>
      <c r="F301" s="28"/>
      <c r="G301" s="29"/>
      <c r="H301" s="30"/>
      <c r="I301" s="28"/>
      <c r="J301" s="31" t="str">
        <f aca="false">IF(AND(G301&lt;&gt;"",H301&lt;&gt;""),G301*H301,"")</f>
        <v/>
      </c>
      <c r="K301" s="28"/>
      <c r="L301" s="32"/>
      <c r="M301" s="32"/>
      <c r="N301" s="31" t="n">
        <f aca="false">IF(OR(G301="",M301=""),0,IF(M301&gt;100,M301,G301*IF(M301&gt;1,M301/100,M301)))</f>
        <v>0</v>
      </c>
      <c r="O301" s="31" t="str">
        <f aca="false">IF(G301="","",G301*IF(L301="",0,IF(L301&gt;1,L301/100,L301))+N301)</f>
        <v/>
      </c>
      <c r="P301" s="28"/>
      <c r="Q301" s="33" t="str">
        <f aca="false">IF(P301="","",IFERROR(VLOOKUP(P301,PARTNERS!$A$2:$B$30,2,0),""))</f>
        <v/>
      </c>
      <c r="R301" s="17" t="str">
        <f aca="false">IF(O301="","",IF(OR(P301="",Q301=""),0,(O301-N301)*IF(Q301&gt;1,Q301/100,Q301)))</f>
        <v/>
      </c>
      <c r="S301" s="31" t="str">
        <f aca="false">IF(O301="","",O301-R301)</f>
        <v/>
      </c>
      <c r="T301" s="28"/>
      <c r="U301" s="34" t="str">
        <f aca="false">IF(T301="","",IFERROR(VLOOKUP(T301,REPS!$A$2:$D$40,2,0),""))</f>
        <v/>
      </c>
      <c r="V301" s="31" t="str">
        <f aca="false">IF(O301="","",IF(U301="",0,O301*IF(U301&gt;1,U301/100,U301)))</f>
        <v/>
      </c>
      <c r="W301" s="28"/>
      <c r="X301" s="34" t="str">
        <f aca="false">IF(W301="","",IFERROR(VLOOKUP(W301,REPS!$A$2:$D$40,3,0),""))</f>
        <v/>
      </c>
      <c r="Y301" s="31" t="str">
        <f aca="false">IF(O301="","",IF(X301="",0,O301*IF(X301&gt;1,X301/100,X301)))</f>
        <v/>
      </c>
      <c r="Z301" s="28"/>
      <c r="AA301" s="34" t="str">
        <f aca="false">IF(Z301="","",IFERROR(VLOOKUP(Z301,REPS!$A$2:$D$40,4,0),""))</f>
        <v/>
      </c>
      <c r="AB301" s="31" t="str">
        <f aca="false">IF(O301="","",IF(AA301="",0,O301*IF(AA301&gt;1,AA301/100,AA301)))</f>
        <v/>
      </c>
      <c r="AC301" s="31" t="str">
        <f aca="false">IF(O301="","",V301+Y301+AB301)</f>
        <v/>
      </c>
      <c r="AD301" s="19" t="str">
        <f aca="false">IF(O301="","",O301-R301-AC301)</f>
        <v/>
      </c>
      <c r="AE301" s="20"/>
      <c r="AF301" s="27"/>
      <c r="AG301" s="21" t="n">
        <f aca="false">IF(OR(AE301="",AE301=0),0,AE301*IF(U301="",0,IF(U301&gt;1,U301/100,U301)))</f>
        <v>0</v>
      </c>
      <c r="AH301" s="21" t="n">
        <f aca="false">IF(OR(AE301="",AE301=0),0,AE301*IF(X301="",0,IF(X301&gt;1,X301/100,X301)))</f>
        <v>0</v>
      </c>
      <c r="AI301" s="21" t="n">
        <f aca="false">IF(OR(AE301="",AE301=0),0,AE301*IF(AA301="",0,IF(AA301&gt;1,AA301/100,AA301)))</f>
        <v>0</v>
      </c>
      <c r="AJ301" s="21" t="n">
        <f aca="false">AG301+AH301+AI301</f>
        <v>0</v>
      </c>
      <c r="AK301" s="21" t="n">
        <f aca="false">IF(OR(AE301="",AE301=0),0,AE301-AJ301)</f>
        <v>0</v>
      </c>
      <c r="AL301" s="19" t="str">
        <f aca="false">IF(AD301="","",AD301-AK301)</f>
        <v/>
      </c>
      <c r="AM301" s="26" t="str">
        <f aca="false">IF(C301="","","Waiting for payment")</f>
        <v/>
      </c>
      <c r="AN301" s="27"/>
      <c r="AO301" s="27"/>
      <c r="AP301" s="35" t="str">
        <f aca="false">IF(OR(C301="",I301="",K301=""),"",IF(K301="Monthly",EDATE(C301,ROUND(I301*SETTINGS!$I$8,0)),WORKDAY(C301,ROUND(I301*SETTINGS!$I$8,0))))</f>
        <v/>
      </c>
      <c r="AQ301" s="26" t="str">
        <f aca="true">IF(C301="","",IF(AND(AP301&lt;&gt;"",TODAY()&gt;=AP301),"Refi Ready",IF(TODAY()-C301&gt;=SETTINGS!$I$11,"Prospecting","Performing")))</f>
        <v/>
      </c>
      <c r="AR301" s="35" t="str">
        <f aca="false">IF(OR(C301="",I301="",K301=""),"",IF(K301="Monthly",EDATE(C301,I301),WORKDAY(C301,I301)))</f>
        <v/>
      </c>
      <c r="AS301" s="28"/>
      <c r="AT301" s="36" t="str">
        <f aca="true">IF(C301="","",IF(AM301="Clawed Back","CLAWED",IF(TODAY()&lt;=C301+SETTINGS!$I$2,"⚠ AT RISK","SAFE")))</f>
        <v/>
      </c>
      <c r="AU301" s="28"/>
      <c r="AW301" s="24" t="n">
        <f aca="false">AW300+IF(AND(C301&lt;&gt;"",AO301&lt;&gt;"",OR('REP COMMISSION'!$B$3="",T301='REP COMMISSION'!$B$3,W301='REP COMMISSION'!$B$3,Z301='REP COMMISSION'!$B$3)),1,0)</f>
        <v>0</v>
      </c>
      <c r="AX301" s="24" t="n">
        <f aca="false">AX300+IF(AND(C301&lt;&gt;"",OR(F301="LOC - INITIAL",F301="CONSOLIDATION - UPFRONT COMM",F301="REVERSE - TOTAL FUNDING")),1,0)</f>
        <v>0</v>
      </c>
    </row>
    <row r="302" customFormat="false" ht="15" hidden="false" customHeight="false" outlineLevel="0" collapsed="false">
      <c r="A302" s="8" t="str">
        <f aca="false">IF(C302&lt;&gt;"","F27-"&amp;COUNT($C$4:C302),"")</f>
        <v/>
      </c>
      <c r="B302" s="9" t="str">
        <f aca="false">IF(OR(F302="LOC - INITIAL",F302="CONSOLIDATION - UPFRONT COMM",F302="REVERSE - TOTAL FUNDING"),A302,"")</f>
        <v/>
      </c>
      <c r="C302" s="10"/>
      <c r="D302" s="11"/>
      <c r="E302" s="11"/>
      <c r="F302" s="11"/>
      <c r="G302" s="12"/>
      <c r="H302" s="13"/>
      <c r="I302" s="11"/>
      <c r="J302" s="14" t="str">
        <f aca="false">IF(AND(G302&lt;&gt;"",H302&lt;&gt;""),G302*H302,"")</f>
        <v/>
      </c>
      <c r="K302" s="11"/>
      <c r="L302" s="15"/>
      <c r="M302" s="15"/>
      <c r="N302" s="14" t="n">
        <f aca="false">IF(OR(G302="",M302=""),0,IF(M302&gt;100,M302,G302*IF(M302&gt;1,M302/100,M302)))</f>
        <v>0</v>
      </c>
      <c r="O302" s="14" t="str">
        <f aca="false">IF(G302="","",G302*IF(L302="",0,IF(L302&gt;1,L302/100,L302))+N302)</f>
        <v/>
      </c>
      <c r="P302" s="11"/>
      <c r="Q302" s="16" t="str">
        <f aca="false">IF(P302="","",IFERROR(VLOOKUP(P302,PARTNERS!$A$2:$B$30,2,0),""))</f>
        <v/>
      </c>
      <c r="R302" s="17" t="str">
        <f aca="false">IF(O302="","",IF(OR(P302="",Q302=""),0,(O302-N302)*IF(Q302&gt;1,Q302/100,Q302)))</f>
        <v/>
      </c>
      <c r="S302" s="14" t="str">
        <f aca="false">IF(O302="","",O302-R302)</f>
        <v/>
      </c>
      <c r="T302" s="11"/>
      <c r="U302" s="18" t="str">
        <f aca="false">IF(T302="","",IFERROR(VLOOKUP(T302,REPS!$A$2:$D$40,2,0),""))</f>
        <v/>
      </c>
      <c r="V302" s="14" t="str">
        <f aca="false">IF(O302="","",IF(U302="",0,O302*IF(U302&gt;1,U302/100,U302)))</f>
        <v/>
      </c>
      <c r="W302" s="11"/>
      <c r="X302" s="18" t="str">
        <f aca="false">IF(W302="","",IFERROR(VLOOKUP(W302,REPS!$A$2:$D$40,3,0),""))</f>
        <v/>
      </c>
      <c r="Y302" s="14" t="str">
        <f aca="false">IF(O302="","",IF(X302="",0,O302*IF(X302&gt;1,X302/100,X302)))</f>
        <v/>
      </c>
      <c r="Z302" s="11"/>
      <c r="AA302" s="18" t="str">
        <f aca="false">IF(Z302="","",IFERROR(VLOOKUP(Z302,REPS!$A$2:$D$40,4,0),""))</f>
        <v/>
      </c>
      <c r="AB302" s="14" t="str">
        <f aca="false">IF(O302="","",IF(AA302="",0,O302*IF(AA302&gt;1,AA302/100,AA302)))</f>
        <v/>
      </c>
      <c r="AC302" s="14" t="str">
        <f aca="false">IF(O302="","",V302+Y302+AB302)</f>
        <v/>
      </c>
      <c r="AD302" s="19" t="str">
        <f aca="false">IF(O302="","",O302-R302-AC302)</f>
        <v/>
      </c>
      <c r="AE302" s="20"/>
      <c r="AF302" s="10"/>
      <c r="AG302" s="21" t="n">
        <f aca="false">IF(OR(AE302="",AE302=0),0,AE302*IF(U302="",0,IF(U302&gt;1,U302/100,U302)))</f>
        <v>0</v>
      </c>
      <c r="AH302" s="21" t="n">
        <f aca="false">IF(OR(AE302="",AE302=0),0,AE302*IF(X302="",0,IF(X302&gt;1,X302/100,X302)))</f>
        <v>0</v>
      </c>
      <c r="AI302" s="21" t="n">
        <f aca="false">IF(OR(AE302="",AE302=0),0,AE302*IF(AA302="",0,IF(AA302&gt;1,AA302/100,AA302)))</f>
        <v>0</v>
      </c>
      <c r="AJ302" s="21" t="n">
        <f aca="false">AG302+AH302+AI302</f>
        <v>0</v>
      </c>
      <c r="AK302" s="21" t="n">
        <f aca="false">IF(OR(AE302="",AE302=0),0,AE302-AJ302)</f>
        <v>0</v>
      </c>
      <c r="AL302" s="19" t="str">
        <f aca="false">IF(AD302="","",AD302-AK302)</f>
        <v/>
      </c>
      <c r="AM302" s="9" t="str">
        <f aca="false">IF(C302="","","Waiting for payment")</f>
        <v/>
      </c>
      <c r="AN302" s="10"/>
      <c r="AO302" s="10"/>
      <c r="AP302" s="22" t="str">
        <f aca="false">IF(OR(C302="",I302="",K302=""),"",IF(K302="Monthly",EDATE(C302,ROUND(I302*SETTINGS!$I$8,0)),WORKDAY(C302,ROUND(I302*SETTINGS!$I$8,0))))</f>
        <v/>
      </c>
      <c r="AQ302" s="9" t="str">
        <f aca="true">IF(C302="","",IF(AND(AP302&lt;&gt;"",TODAY()&gt;=AP302),"Refi Ready",IF(TODAY()-C302&gt;=SETTINGS!$I$11,"Prospecting","Performing")))</f>
        <v/>
      </c>
      <c r="AR302" s="22" t="str">
        <f aca="false">IF(OR(C302="",I302="",K302=""),"",IF(K302="Monthly",EDATE(C302,I302),WORKDAY(C302,I302)))</f>
        <v/>
      </c>
      <c r="AS302" s="11"/>
      <c r="AT302" s="23" t="str">
        <f aca="true">IF(C302="","",IF(AM302="Clawed Back","CLAWED",IF(TODAY()&lt;=C302+SETTINGS!$I$2,"⚠ AT RISK","SAFE")))</f>
        <v/>
      </c>
      <c r="AU302" s="11"/>
      <c r="AW302" s="24" t="n">
        <f aca="false">AW301+IF(AND(C302&lt;&gt;"",AO302&lt;&gt;"",OR('REP COMMISSION'!$B$3="",T302='REP COMMISSION'!$B$3,W302='REP COMMISSION'!$B$3,Z302='REP COMMISSION'!$B$3)),1,0)</f>
        <v>0</v>
      </c>
      <c r="AX302" s="24" t="n">
        <f aca="false">AX301+IF(AND(C302&lt;&gt;"",OR(F302="LOC - INITIAL",F302="CONSOLIDATION - UPFRONT COMM",F302="REVERSE - TOTAL FUNDING")),1,0)</f>
        <v>0</v>
      </c>
    </row>
    <row r="303" customFormat="false" ht="15" hidden="false" customHeight="false" outlineLevel="0" collapsed="false">
      <c r="A303" s="25" t="str">
        <f aca="false">IF(C303&lt;&gt;"","F27-"&amp;COUNT($C$4:C303),"")</f>
        <v/>
      </c>
      <c r="B303" s="26" t="str">
        <f aca="false">IF(OR(F303="LOC - INITIAL",F303="CONSOLIDATION - UPFRONT COMM",F303="REVERSE - TOTAL FUNDING"),A303,"")</f>
        <v/>
      </c>
      <c r="C303" s="27"/>
      <c r="D303" s="28"/>
      <c r="E303" s="28"/>
      <c r="F303" s="28"/>
      <c r="G303" s="29"/>
      <c r="H303" s="30"/>
      <c r="I303" s="28"/>
      <c r="J303" s="31" t="str">
        <f aca="false">IF(AND(G303&lt;&gt;"",H303&lt;&gt;""),G303*H303,"")</f>
        <v/>
      </c>
      <c r="K303" s="28"/>
      <c r="L303" s="32"/>
      <c r="M303" s="32"/>
      <c r="N303" s="31" t="n">
        <f aca="false">IF(OR(G303="",M303=""),0,IF(M303&gt;100,M303,G303*IF(M303&gt;1,M303/100,M303)))</f>
        <v>0</v>
      </c>
      <c r="O303" s="31" t="str">
        <f aca="false">IF(G303="","",G303*IF(L303="",0,IF(L303&gt;1,L303/100,L303))+N303)</f>
        <v/>
      </c>
      <c r="P303" s="28"/>
      <c r="Q303" s="33" t="str">
        <f aca="false">IF(P303="","",IFERROR(VLOOKUP(P303,PARTNERS!$A$2:$B$30,2,0),""))</f>
        <v/>
      </c>
      <c r="R303" s="17" t="str">
        <f aca="false">IF(O303="","",IF(OR(P303="",Q303=""),0,(O303-N303)*IF(Q303&gt;1,Q303/100,Q303)))</f>
        <v/>
      </c>
      <c r="S303" s="31" t="str">
        <f aca="false">IF(O303="","",O303-R303)</f>
        <v/>
      </c>
      <c r="T303" s="28"/>
      <c r="U303" s="34" t="str">
        <f aca="false">IF(T303="","",IFERROR(VLOOKUP(T303,REPS!$A$2:$D$40,2,0),""))</f>
        <v/>
      </c>
      <c r="V303" s="31" t="str">
        <f aca="false">IF(O303="","",IF(U303="",0,O303*IF(U303&gt;1,U303/100,U303)))</f>
        <v/>
      </c>
      <c r="W303" s="28"/>
      <c r="X303" s="34" t="str">
        <f aca="false">IF(W303="","",IFERROR(VLOOKUP(W303,REPS!$A$2:$D$40,3,0),""))</f>
        <v/>
      </c>
      <c r="Y303" s="31" t="str">
        <f aca="false">IF(O303="","",IF(X303="",0,O303*IF(X303&gt;1,X303/100,X303)))</f>
        <v/>
      </c>
      <c r="Z303" s="28"/>
      <c r="AA303" s="34" t="str">
        <f aca="false">IF(Z303="","",IFERROR(VLOOKUP(Z303,REPS!$A$2:$D$40,4,0),""))</f>
        <v/>
      </c>
      <c r="AB303" s="31" t="str">
        <f aca="false">IF(O303="","",IF(AA303="",0,O303*IF(AA303&gt;1,AA303/100,AA303)))</f>
        <v/>
      </c>
      <c r="AC303" s="31" t="str">
        <f aca="false">IF(O303="","",V303+Y303+AB303)</f>
        <v/>
      </c>
      <c r="AD303" s="19" t="str">
        <f aca="false">IF(O303="","",O303-R303-AC303)</f>
        <v/>
      </c>
      <c r="AE303" s="20"/>
      <c r="AF303" s="27"/>
      <c r="AG303" s="21" t="n">
        <f aca="false">IF(OR(AE303="",AE303=0),0,AE303*IF(U303="",0,IF(U303&gt;1,U303/100,U303)))</f>
        <v>0</v>
      </c>
      <c r="AH303" s="21" t="n">
        <f aca="false">IF(OR(AE303="",AE303=0),0,AE303*IF(X303="",0,IF(X303&gt;1,X303/100,X303)))</f>
        <v>0</v>
      </c>
      <c r="AI303" s="21" t="n">
        <f aca="false">IF(OR(AE303="",AE303=0),0,AE303*IF(AA303="",0,IF(AA303&gt;1,AA303/100,AA303)))</f>
        <v>0</v>
      </c>
      <c r="AJ303" s="21" t="n">
        <f aca="false">AG303+AH303+AI303</f>
        <v>0</v>
      </c>
      <c r="AK303" s="21" t="n">
        <f aca="false">IF(OR(AE303="",AE303=0),0,AE303-AJ303)</f>
        <v>0</v>
      </c>
      <c r="AL303" s="19" t="str">
        <f aca="false">IF(AD303="","",AD303-AK303)</f>
        <v/>
      </c>
      <c r="AM303" s="26" t="str">
        <f aca="false">IF(C303="","","Waiting for payment")</f>
        <v/>
      </c>
      <c r="AN303" s="27"/>
      <c r="AO303" s="27"/>
      <c r="AP303" s="35" t="str">
        <f aca="false">IF(OR(C303="",I303="",K303=""),"",IF(K303="Monthly",EDATE(C303,ROUND(I303*SETTINGS!$I$8,0)),WORKDAY(C303,ROUND(I303*SETTINGS!$I$8,0))))</f>
        <v/>
      </c>
      <c r="AQ303" s="26" t="str">
        <f aca="true">IF(C303="","",IF(AND(AP303&lt;&gt;"",TODAY()&gt;=AP303),"Refi Ready",IF(TODAY()-C303&gt;=SETTINGS!$I$11,"Prospecting","Performing")))</f>
        <v/>
      </c>
      <c r="AR303" s="35" t="str">
        <f aca="false">IF(OR(C303="",I303="",K303=""),"",IF(K303="Monthly",EDATE(C303,I303),WORKDAY(C303,I303)))</f>
        <v/>
      </c>
      <c r="AS303" s="28"/>
      <c r="AT303" s="36" t="str">
        <f aca="true">IF(C303="","",IF(AM303="Clawed Back","CLAWED",IF(TODAY()&lt;=C303+SETTINGS!$I$2,"⚠ AT RISK","SAFE")))</f>
        <v/>
      </c>
      <c r="AU303" s="28"/>
      <c r="AW303" s="24" t="n">
        <f aca="false">AW302+IF(AND(C303&lt;&gt;"",AO303&lt;&gt;"",OR('REP COMMISSION'!$B$3="",T303='REP COMMISSION'!$B$3,W303='REP COMMISSION'!$B$3,Z303='REP COMMISSION'!$B$3)),1,0)</f>
        <v>0</v>
      </c>
      <c r="AX303" s="24" t="n">
        <f aca="false">AX302+IF(AND(C303&lt;&gt;"",OR(F303="LOC - INITIAL",F303="CONSOLIDATION - UPFRONT COMM",F303="REVERSE - TOTAL FUNDING")),1,0)</f>
        <v>0</v>
      </c>
    </row>
    <row r="304" customFormat="false" ht="15" hidden="false" customHeight="false" outlineLevel="0" collapsed="false">
      <c r="A304" s="8" t="str">
        <f aca="false">IF(C304&lt;&gt;"","F27-"&amp;COUNT($C$4:C304),"")</f>
        <v/>
      </c>
      <c r="B304" s="9" t="str">
        <f aca="false">IF(OR(F304="LOC - INITIAL",F304="CONSOLIDATION - UPFRONT COMM",F304="REVERSE - TOTAL FUNDING"),A304,"")</f>
        <v/>
      </c>
      <c r="C304" s="10"/>
      <c r="D304" s="11"/>
      <c r="E304" s="11"/>
      <c r="F304" s="11"/>
      <c r="G304" s="12"/>
      <c r="H304" s="13"/>
      <c r="I304" s="11"/>
      <c r="J304" s="14" t="str">
        <f aca="false">IF(AND(G304&lt;&gt;"",H304&lt;&gt;""),G304*H304,"")</f>
        <v/>
      </c>
      <c r="K304" s="11"/>
      <c r="L304" s="15"/>
      <c r="M304" s="15"/>
      <c r="N304" s="14" t="n">
        <f aca="false">IF(OR(G304="",M304=""),0,IF(M304&gt;100,M304,G304*IF(M304&gt;1,M304/100,M304)))</f>
        <v>0</v>
      </c>
      <c r="O304" s="14" t="str">
        <f aca="false">IF(G304="","",G304*IF(L304="",0,IF(L304&gt;1,L304/100,L304))+N304)</f>
        <v/>
      </c>
      <c r="P304" s="11"/>
      <c r="Q304" s="16" t="str">
        <f aca="false">IF(P304="","",IFERROR(VLOOKUP(P304,PARTNERS!$A$2:$B$30,2,0),""))</f>
        <v/>
      </c>
      <c r="R304" s="17" t="str">
        <f aca="false">IF(O304="","",IF(OR(P304="",Q304=""),0,(O304-N304)*IF(Q304&gt;1,Q304/100,Q304)))</f>
        <v/>
      </c>
      <c r="S304" s="14" t="str">
        <f aca="false">IF(O304="","",O304-R304)</f>
        <v/>
      </c>
      <c r="T304" s="11"/>
      <c r="U304" s="18" t="str">
        <f aca="false">IF(T304="","",IFERROR(VLOOKUP(T304,REPS!$A$2:$D$40,2,0),""))</f>
        <v/>
      </c>
      <c r="V304" s="14" t="str">
        <f aca="false">IF(O304="","",IF(U304="",0,O304*IF(U304&gt;1,U304/100,U304)))</f>
        <v/>
      </c>
      <c r="W304" s="11"/>
      <c r="X304" s="18" t="str">
        <f aca="false">IF(W304="","",IFERROR(VLOOKUP(W304,REPS!$A$2:$D$40,3,0),""))</f>
        <v/>
      </c>
      <c r="Y304" s="14" t="str">
        <f aca="false">IF(O304="","",IF(X304="",0,O304*IF(X304&gt;1,X304/100,X304)))</f>
        <v/>
      </c>
      <c r="Z304" s="11"/>
      <c r="AA304" s="18" t="str">
        <f aca="false">IF(Z304="","",IFERROR(VLOOKUP(Z304,REPS!$A$2:$D$40,4,0),""))</f>
        <v/>
      </c>
      <c r="AB304" s="14" t="str">
        <f aca="false">IF(O304="","",IF(AA304="",0,O304*IF(AA304&gt;1,AA304/100,AA304)))</f>
        <v/>
      </c>
      <c r="AC304" s="14" t="str">
        <f aca="false">IF(O304="","",V304+Y304+AB304)</f>
        <v/>
      </c>
      <c r="AD304" s="19" t="str">
        <f aca="false">IF(O304="","",O304-R304-AC304)</f>
        <v/>
      </c>
      <c r="AE304" s="20"/>
      <c r="AF304" s="10"/>
      <c r="AG304" s="21" t="n">
        <f aca="false">IF(OR(AE304="",AE304=0),0,AE304*IF(U304="",0,IF(U304&gt;1,U304/100,U304)))</f>
        <v>0</v>
      </c>
      <c r="AH304" s="21" t="n">
        <f aca="false">IF(OR(AE304="",AE304=0),0,AE304*IF(X304="",0,IF(X304&gt;1,X304/100,X304)))</f>
        <v>0</v>
      </c>
      <c r="AI304" s="21" t="n">
        <f aca="false">IF(OR(AE304="",AE304=0),0,AE304*IF(AA304="",0,IF(AA304&gt;1,AA304/100,AA304)))</f>
        <v>0</v>
      </c>
      <c r="AJ304" s="21" t="n">
        <f aca="false">AG304+AH304+AI304</f>
        <v>0</v>
      </c>
      <c r="AK304" s="21" t="n">
        <f aca="false">IF(OR(AE304="",AE304=0),0,AE304-AJ304)</f>
        <v>0</v>
      </c>
      <c r="AL304" s="19" t="str">
        <f aca="false">IF(AD304="","",AD304-AK304)</f>
        <v/>
      </c>
      <c r="AM304" s="9" t="str">
        <f aca="false">IF(C304="","","Waiting for payment")</f>
        <v/>
      </c>
      <c r="AN304" s="10"/>
      <c r="AO304" s="10"/>
      <c r="AP304" s="22" t="str">
        <f aca="false">IF(OR(C304="",I304="",K304=""),"",IF(K304="Monthly",EDATE(C304,ROUND(I304*SETTINGS!$I$8,0)),WORKDAY(C304,ROUND(I304*SETTINGS!$I$8,0))))</f>
        <v/>
      </c>
      <c r="AQ304" s="9" t="str">
        <f aca="true">IF(C304="","",IF(AND(AP304&lt;&gt;"",TODAY()&gt;=AP304),"Refi Ready",IF(TODAY()-C304&gt;=SETTINGS!$I$11,"Prospecting","Performing")))</f>
        <v/>
      </c>
      <c r="AR304" s="22" t="str">
        <f aca="false">IF(OR(C304="",I304="",K304=""),"",IF(K304="Monthly",EDATE(C304,I304),WORKDAY(C304,I304)))</f>
        <v/>
      </c>
      <c r="AS304" s="11"/>
      <c r="AT304" s="23" t="str">
        <f aca="true">IF(C304="","",IF(AM304="Clawed Back","CLAWED",IF(TODAY()&lt;=C304+SETTINGS!$I$2,"⚠ AT RISK","SAFE")))</f>
        <v/>
      </c>
      <c r="AU304" s="11"/>
      <c r="AW304" s="24" t="n">
        <f aca="false">AW303+IF(AND(C304&lt;&gt;"",AO304&lt;&gt;"",OR('REP COMMISSION'!$B$3="",T304='REP COMMISSION'!$B$3,W304='REP COMMISSION'!$B$3,Z304='REP COMMISSION'!$B$3)),1,0)</f>
        <v>0</v>
      </c>
      <c r="AX304" s="24" t="n">
        <f aca="false">AX303+IF(AND(C304&lt;&gt;"",OR(F304="LOC - INITIAL",F304="CONSOLIDATION - UPFRONT COMM",F304="REVERSE - TOTAL FUNDING")),1,0)</f>
        <v>0</v>
      </c>
    </row>
    <row r="305" customFormat="false" ht="15" hidden="false" customHeight="false" outlineLevel="0" collapsed="false">
      <c r="A305" s="25" t="str">
        <f aca="false">IF(C305&lt;&gt;"","F27-"&amp;COUNT($C$4:C305),"")</f>
        <v/>
      </c>
      <c r="B305" s="26" t="str">
        <f aca="false">IF(OR(F305="LOC - INITIAL",F305="CONSOLIDATION - UPFRONT COMM",F305="REVERSE - TOTAL FUNDING"),A305,"")</f>
        <v/>
      </c>
      <c r="C305" s="27"/>
      <c r="D305" s="28"/>
      <c r="E305" s="28"/>
      <c r="F305" s="28"/>
      <c r="G305" s="29"/>
      <c r="H305" s="30"/>
      <c r="I305" s="28"/>
      <c r="J305" s="31" t="str">
        <f aca="false">IF(AND(G305&lt;&gt;"",H305&lt;&gt;""),G305*H305,"")</f>
        <v/>
      </c>
      <c r="K305" s="28"/>
      <c r="L305" s="32"/>
      <c r="M305" s="32"/>
      <c r="N305" s="31" t="n">
        <f aca="false">IF(OR(G305="",M305=""),0,IF(M305&gt;100,M305,G305*IF(M305&gt;1,M305/100,M305)))</f>
        <v>0</v>
      </c>
      <c r="O305" s="31" t="str">
        <f aca="false">IF(G305="","",G305*IF(L305="",0,IF(L305&gt;1,L305/100,L305))+N305)</f>
        <v/>
      </c>
      <c r="P305" s="28"/>
      <c r="Q305" s="33" t="str">
        <f aca="false">IF(P305="","",IFERROR(VLOOKUP(P305,PARTNERS!$A$2:$B$30,2,0),""))</f>
        <v/>
      </c>
      <c r="R305" s="17" t="str">
        <f aca="false">IF(O305="","",IF(OR(P305="",Q305=""),0,(O305-N305)*IF(Q305&gt;1,Q305/100,Q305)))</f>
        <v/>
      </c>
      <c r="S305" s="31" t="str">
        <f aca="false">IF(O305="","",O305-R305)</f>
        <v/>
      </c>
      <c r="T305" s="28"/>
      <c r="U305" s="34" t="str">
        <f aca="false">IF(T305="","",IFERROR(VLOOKUP(T305,REPS!$A$2:$D$40,2,0),""))</f>
        <v/>
      </c>
      <c r="V305" s="31" t="str">
        <f aca="false">IF(O305="","",IF(U305="",0,O305*IF(U305&gt;1,U305/100,U305)))</f>
        <v/>
      </c>
      <c r="W305" s="28"/>
      <c r="X305" s="34" t="str">
        <f aca="false">IF(W305="","",IFERROR(VLOOKUP(W305,REPS!$A$2:$D$40,3,0),""))</f>
        <v/>
      </c>
      <c r="Y305" s="31" t="str">
        <f aca="false">IF(O305="","",IF(X305="",0,O305*IF(X305&gt;1,X305/100,X305)))</f>
        <v/>
      </c>
      <c r="Z305" s="28"/>
      <c r="AA305" s="34" t="str">
        <f aca="false">IF(Z305="","",IFERROR(VLOOKUP(Z305,REPS!$A$2:$D$40,4,0),""))</f>
        <v/>
      </c>
      <c r="AB305" s="31" t="str">
        <f aca="false">IF(O305="","",IF(AA305="",0,O305*IF(AA305&gt;1,AA305/100,AA305)))</f>
        <v/>
      </c>
      <c r="AC305" s="31" t="str">
        <f aca="false">IF(O305="","",V305+Y305+AB305)</f>
        <v/>
      </c>
      <c r="AD305" s="19" t="str">
        <f aca="false">IF(O305="","",O305-R305-AC305)</f>
        <v/>
      </c>
      <c r="AE305" s="20"/>
      <c r="AF305" s="27"/>
      <c r="AG305" s="21" t="n">
        <f aca="false">IF(OR(AE305="",AE305=0),0,AE305*IF(U305="",0,IF(U305&gt;1,U305/100,U305)))</f>
        <v>0</v>
      </c>
      <c r="AH305" s="21" t="n">
        <f aca="false">IF(OR(AE305="",AE305=0),0,AE305*IF(X305="",0,IF(X305&gt;1,X305/100,X305)))</f>
        <v>0</v>
      </c>
      <c r="AI305" s="21" t="n">
        <f aca="false">IF(OR(AE305="",AE305=0),0,AE305*IF(AA305="",0,IF(AA305&gt;1,AA305/100,AA305)))</f>
        <v>0</v>
      </c>
      <c r="AJ305" s="21" t="n">
        <f aca="false">AG305+AH305+AI305</f>
        <v>0</v>
      </c>
      <c r="AK305" s="21" t="n">
        <f aca="false">IF(OR(AE305="",AE305=0),0,AE305-AJ305)</f>
        <v>0</v>
      </c>
      <c r="AL305" s="19" t="str">
        <f aca="false">IF(AD305="","",AD305-AK305)</f>
        <v/>
      </c>
      <c r="AM305" s="26" t="str">
        <f aca="false">IF(C305="","","Waiting for payment")</f>
        <v/>
      </c>
      <c r="AN305" s="27"/>
      <c r="AO305" s="27"/>
      <c r="AP305" s="35" t="str">
        <f aca="false">IF(OR(C305="",I305="",K305=""),"",IF(K305="Monthly",EDATE(C305,ROUND(I305*SETTINGS!$I$8,0)),WORKDAY(C305,ROUND(I305*SETTINGS!$I$8,0))))</f>
        <v/>
      </c>
      <c r="AQ305" s="26" t="str">
        <f aca="true">IF(C305="","",IF(AND(AP305&lt;&gt;"",TODAY()&gt;=AP305),"Refi Ready",IF(TODAY()-C305&gt;=SETTINGS!$I$11,"Prospecting","Performing")))</f>
        <v/>
      </c>
      <c r="AR305" s="35" t="str">
        <f aca="false">IF(OR(C305="",I305="",K305=""),"",IF(K305="Monthly",EDATE(C305,I305),WORKDAY(C305,I305)))</f>
        <v/>
      </c>
      <c r="AS305" s="28"/>
      <c r="AT305" s="36" t="str">
        <f aca="true">IF(C305="","",IF(AM305="Clawed Back","CLAWED",IF(TODAY()&lt;=C305+SETTINGS!$I$2,"⚠ AT RISK","SAFE")))</f>
        <v/>
      </c>
      <c r="AU305" s="28"/>
      <c r="AW305" s="24" t="n">
        <f aca="false">AW304+IF(AND(C305&lt;&gt;"",AO305&lt;&gt;"",OR('REP COMMISSION'!$B$3="",T305='REP COMMISSION'!$B$3,W305='REP COMMISSION'!$B$3,Z305='REP COMMISSION'!$B$3)),1,0)</f>
        <v>0</v>
      </c>
      <c r="AX305" s="24" t="n">
        <f aca="false">AX304+IF(AND(C305&lt;&gt;"",OR(F305="LOC - INITIAL",F305="CONSOLIDATION - UPFRONT COMM",F305="REVERSE - TOTAL FUNDING")),1,0)</f>
        <v>0</v>
      </c>
    </row>
    <row r="306" customFormat="false" ht="15" hidden="false" customHeight="false" outlineLevel="0" collapsed="false">
      <c r="A306" s="8" t="str">
        <f aca="false">IF(C306&lt;&gt;"","F27-"&amp;COUNT($C$4:C306),"")</f>
        <v/>
      </c>
      <c r="B306" s="9" t="str">
        <f aca="false">IF(OR(F306="LOC - INITIAL",F306="CONSOLIDATION - UPFRONT COMM",F306="REVERSE - TOTAL FUNDING"),A306,"")</f>
        <v/>
      </c>
      <c r="C306" s="10"/>
      <c r="D306" s="11"/>
      <c r="E306" s="11"/>
      <c r="F306" s="11"/>
      <c r="G306" s="12"/>
      <c r="H306" s="13"/>
      <c r="I306" s="11"/>
      <c r="J306" s="14" t="str">
        <f aca="false">IF(AND(G306&lt;&gt;"",H306&lt;&gt;""),G306*H306,"")</f>
        <v/>
      </c>
      <c r="K306" s="11"/>
      <c r="L306" s="15"/>
      <c r="M306" s="15"/>
      <c r="N306" s="14" t="n">
        <f aca="false">IF(OR(G306="",M306=""),0,IF(M306&gt;100,M306,G306*IF(M306&gt;1,M306/100,M306)))</f>
        <v>0</v>
      </c>
      <c r="O306" s="14" t="str">
        <f aca="false">IF(G306="","",G306*IF(L306="",0,IF(L306&gt;1,L306/100,L306))+N306)</f>
        <v/>
      </c>
      <c r="P306" s="11"/>
      <c r="Q306" s="16" t="str">
        <f aca="false">IF(P306="","",IFERROR(VLOOKUP(P306,PARTNERS!$A$2:$B$30,2,0),""))</f>
        <v/>
      </c>
      <c r="R306" s="17" t="str">
        <f aca="false">IF(O306="","",IF(OR(P306="",Q306=""),0,(O306-N306)*IF(Q306&gt;1,Q306/100,Q306)))</f>
        <v/>
      </c>
      <c r="S306" s="14" t="str">
        <f aca="false">IF(O306="","",O306-R306)</f>
        <v/>
      </c>
      <c r="T306" s="11"/>
      <c r="U306" s="18" t="str">
        <f aca="false">IF(T306="","",IFERROR(VLOOKUP(T306,REPS!$A$2:$D$40,2,0),""))</f>
        <v/>
      </c>
      <c r="V306" s="14" t="str">
        <f aca="false">IF(O306="","",IF(U306="",0,O306*IF(U306&gt;1,U306/100,U306)))</f>
        <v/>
      </c>
      <c r="W306" s="11"/>
      <c r="X306" s="18" t="str">
        <f aca="false">IF(W306="","",IFERROR(VLOOKUP(W306,REPS!$A$2:$D$40,3,0),""))</f>
        <v/>
      </c>
      <c r="Y306" s="14" t="str">
        <f aca="false">IF(O306="","",IF(X306="",0,O306*IF(X306&gt;1,X306/100,X306)))</f>
        <v/>
      </c>
      <c r="Z306" s="11"/>
      <c r="AA306" s="18" t="str">
        <f aca="false">IF(Z306="","",IFERROR(VLOOKUP(Z306,REPS!$A$2:$D$40,4,0),""))</f>
        <v/>
      </c>
      <c r="AB306" s="14" t="str">
        <f aca="false">IF(O306="","",IF(AA306="",0,O306*IF(AA306&gt;1,AA306/100,AA306)))</f>
        <v/>
      </c>
      <c r="AC306" s="14" t="str">
        <f aca="false">IF(O306="","",V306+Y306+AB306)</f>
        <v/>
      </c>
      <c r="AD306" s="19" t="str">
        <f aca="false">IF(O306="","",O306-R306-AC306)</f>
        <v/>
      </c>
      <c r="AE306" s="20"/>
      <c r="AF306" s="10"/>
      <c r="AG306" s="21" t="n">
        <f aca="false">IF(OR(AE306="",AE306=0),0,AE306*IF(U306="",0,IF(U306&gt;1,U306/100,U306)))</f>
        <v>0</v>
      </c>
      <c r="AH306" s="21" t="n">
        <f aca="false">IF(OR(AE306="",AE306=0),0,AE306*IF(X306="",0,IF(X306&gt;1,X306/100,X306)))</f>
        <v>0</v>
      </c>
      <c r="AI306" s="21" t="n">
        <f aca="false">IF(OR(AE306="",AE306=0),0,AE306*IF(AA306="",0,IF(AA306&gt;1,AA306/100,AA306)))</f>
        <v>0</v>
      </c>
      <c r="AJ306" s="21" t="n">
        <f aca="false">AG306+AH306+AI306</f>
        <v>0</v>
      </c>
      <c r="AK306" s="21" t="n">
        <f aca="false">IF(OR(AE306="",AE306=0),0,AE306-AJ306)</f>
        <v>0</v>
      </c>
      <c r="AL306" s="19" t="str">
        <f aca="false">IF(AD306="","",AD306-AK306)</f>
        <v/>
      </c>
      <c r="AM306" s="9" t="str">
        <f aca="false">IF(C306="","","Waiting for payment")</f>
        <v/>
      </c>
      <c r="AN306" s="10"/>
      <c r="AO306" s="10"/>
      <c r="AP306" s="22" t="str">
        <f aca="false">IF(OR(C306="",I306="",K306=""),"",IF(K306="Monthly",EDATE(C306,ROUND(I306*SETTINGS!$I$8,0)),WORKDAY(C306,ROUND(I306*SETTINGS!$I$8,0))))</f>
        <v/>
      </c>
      <c r="AQ306" s="9" t="str">
        <f aca="true">IF(C306="","",IF(AND(AP306&lt;&gt;"",TODAY()&gt;=AP306),"Refi Ready",IF(TODAY()-C306&gt;=SETTINGS!$I$11,"Prospecting","Performing")))</f>
        <v/>
      </c>
      <c r="AR306" s="22" t="str">
        <f aca="false">IF(OR(C306="",I306="",K306=""),"",IF(K306="Monthly",EDATE(C306,I306),WORKDAY(C306,I306)))</f>
        <v/>
      </c>
      <c r="AS306" s="11"/>
      <c r="AT306" s="23" t="str">
        <f aca="true">IF(C306="","",IF(AM306="Clawed Back","CLAWED",IF(TODAY()&lt;=C306+SETTINGS!$I$2,"⚠ AT RISK","SAFE")))</f>
        <v/>
      </c>
      <c r="AU306" s="11"/>
      <c r="AW306" s="24" t="n">
        <f aca="false">AW305+IF(AND(C306&lt;&gt;"",AO306&lt;&gt;"",OR('REP COMMISSION'!$B$3="",T306='REP COMMISSION'!$B$3,W306='REP COMMISSION'!$B$3,Z306='REP COMMISSION'!$B$3)),1,0)</f>
        <v>0</v>
      </c>
      <c r="AX306" s="24" t="n">
        <f aca="false">AX305+IF(AND(C306&lt;&gt;"",OR(F306="LOC - INITIAL",F306="CONSOLIDATION - UPFRONT COMM",F306="REVERSE - TOTAL FUNDING")),1,0)</f>
        <v>0</v>
      </c>
    </row>
    <row r="307" customFormat="false" ht="15" hidden="false" customHeight="false" outlineLevel="0" collapsed="false">
      <c r="A307" s="25" t="str">
        <f aca="false">IF(C307&lt;&gt;"","F27-"&amp;COUNT($C$4:C307),"")</f>
        <v/>
      </c>
      <c r="B307" s="26" t="str">
        <f aca="false">IF(OR(F307="LOC - INITIAL",F307="CONSOLIDATION - UPFRONT COMM",F307="REVERSE - TOTAL FUNDING"),A307,"")</f>
        <v/>
      </c>
      <c r="C307" s="27"/>
      <c r="D307" s="28"/>
      <c r="E307" s="28"/>
      <c r="F307" s="28"/>
      <c r="G307" s="29"/>
      <c r="H307" s="30"/>
      <c r="I307" s="28"/>
      <c r="J307" s="31" t="str">
        <f aca="false">IF(AND(G307&lt;&gt;"",H307&lt;&gt;""),G307*H307,"")</f>
        <v/>
      </c>
      <c r="K307" s="28"/>
      <c r="L307" s="32"/>
      <c r="M307" s="32"/>
      <c r="N307" s="31" t="n">
        <f aca="false">IF(OR(G307="",M307=""),0,IF(M307&gt;100,M307,G307*IF(M307&gt;1,M307/100,M307)))</f>
        <v>0</v>
      </c>
      <c r="O307" s="31" t="str">
        <f aca="false">IF(G307="","",G307*IF(L307="",0,IF(L307&gt;1,L307/100,L307))+N307)</f>
        <v/>
      </c>
      <c r="P307" s="28"/>
      <c r="Q307" s="33" t="str">
        <f aca="false">IF(P307="","",IFERROR(VLOOKUP(P307,PARTNERS!$A$2:$B$30,2,0),""))</f>
        <v/>
      </c>
      <c r="R307" s="17" t="str">
        <f aca="false">IF(O307="","",IF(OR(P307="",Q307=""),0,(O307-N307)*IF(Q307&gt;1,Q307/100,Q307)))</f>
        <v/>
      </c>
      <c r="S307" s="31" t="str">
        <f aca="false">IF(O307="","",O307-R307)</f>
        <v/>
      </c>
      <c r="T307" s="28"/>
      <c r="U307" s="34" t="str">
        <f aca="false">IF(T307="","",IFERROR(VLOOKUP(T307,REPS!$A$2:$D$40,2,0),""))</f>
        <v/>
      </c>
      <c r="V307" s="31" t="str">
        <f aca="false">IF(O307="","",IF(U307="",0,O307*IF(U307&gt;1,U307/100,U307)))</f>
        <v/>
      </c>
      <c r="W307" s="28"/>
      <c r="X307" s="34" t="str">
        <f aca="false">IF(W307="","",IFERROR(VLOOKUP(W307,REPS!$A$2:$D$40,3,0),""))</f>
        <v/>
      </c>
      <c r="Y307" s="31" t="str">
        <f aca="false">IF(O307="","",IF(X307="",0,O307*IF(X307&gt;1,X307/100,X307)))</f>
        <v/>
      </c>
      <c r="Z307" s="28"/>
      <c r="AA307" s="34" t="str">
        <f aca="false">IF(Z307="","",IFERROR(VLOOKUP(Z307,REPS!$A$2:$D$40,4,0),""))</f>
        <v/>
      </c>
      <c r="AB307" s="31" t="str">
        <f aca="false">IF(O307="","",IF(AA307="",0,O307*IF(AA307&gt;1,AA307/100,AA307)))</f>
        <v/>
      </c>
      <c r="AC307" s="31" t="str">
        <f aca="false">IF(O307="","",V307+Y307+AB307)</f>
        <v/>
      </c>
      <c r="AD307" s="19" t="str">
        <f aca="false">IF(O307="","",O307-R307-AC307)</f>
        <v/>
      </c>
      <c r="AE307" s="20"/>
      <c r="AF307" s="27"/>
      <c r="AG307" s="21" t="n">
        <f aca="false">IF(OR(AE307="",AE307=0),0,AE307*IF(U307="",0,IF(U307&gt;1,U307/100,U307)))</f>
        <v>0</v>
      </c>
      <c r="AH307" s="21" t="n">
        <f aca="false">IF(OR(AE307="",AE307=0),0,AE307*IF(X307="",0,IF(X307&gt;1,X307/100,X307)))</f>
        <v>0</v>
      </c>
      <c r="AI307" s="21" t="n">
        <f aca="false">IF(OR(AE307="",AE307=0),0,AE307*IF(AA307="",0,IF(AA307&gt;1,AA307/100,AA307)))</f>
        <v>0</v>
      </c>
      <c r="AJ307" s="21" t="n">
        <f aca="false">AG307+AH307+AI307</f>
        <v>0</v>
      </c>
      <c r="AK307" s="21" t="n">
        <f aca="false">IF(OR(AE307="",AE307=0),0,AE307-AJ307)</f>
        <v>0</v>
      </c>
      <c r="AL307" s="19" t="str">
        <f aca="false">IF(AD307="","",AD307-AK307)</f>
        <v/>
      </c>
      <c r="AM307" s="26" t="str">
        <f aca="false">IF(C307="","","Waiting for payment")</f>
        <v/>
      </c>
      <c r="AN307" s="27"/>
      <c r="AO307" s="27"/>
      <c r="AP307" s="35" t="str">
        <f aca="false">IF(OR(C307="",I307="",K307=""),"",IF(K307="Monthly",EDATE(C307,ROUND(I307*SETTINGS!$I$8,0)),WORKDAY(C307,ROUND(I307*SETTINGS!$I$8,0))))</f>
        <v/>
      </c>
      <c r="AQ307" s="26" t="str">
        <f aca="true">IF(C307="","",IF(AND(AP307&lt;&gt;"",TODAY()&gt;=AP307),"Refi Ready",IF(TODAY()-C307&gt;=SETTINGS!$I$11,"Prospecting","Performing")))</f>
        <v/>
      </c>
      <c r="AR307" s="35" t="str">
        <f aca="false">IF(OR(C307="",I307="",K307=""),"",IF(K307="Monthly",EDATE(C307,I307),WORKDAY(C307,I307)))</f>
        <v/>
      </c>
      <c r="AS307" s="28"/>
      <c r="AT307" s="36" t="str">
        <f aca="true">IF(C307="","",IF(AM307="Clawed Back","CLAWED",IF(TODAY()&lt;=C307+SETTINGS!$I$2,"⚠ AT RISK","SAFE")))</f>
        <v/>
      </c>
      <c r="AU307" s="28"/>
      <c r="AW307" s="24" t="n">
        <f aca="false">AW306+IF(AND(C307&lt;&gt;"",AO307&lt;&gt;"",OR('REP COMMISSION'!$B$3="",T307='REP COMMISSION'!$B$3,W307='REP COMMISSION'!$B$3,Z307='REP COMMISSION'!$B$3)),1,0)</f>
        <v>0</v>
      </c>
      <c r="AX307" s="24" t="n">
        <f aca="false">AX306+IF(AND(C307&lt;&gt;"",OR(F307="LOC - INITIAL",F307="CONSOLIDATION - UPFRONT COMM",F307="REVERSE - TOTAL FUNDING")),1,0)</f>
        <v>0</v>
      </c>
    </row>
    <row r="308" customFormat="false" ht="18" hidden="false" customHeight="true" outlineLevel="0" collapsed="false">
      <c r="A308" s="37" t="s">
        <v>72</v>
      </c>
      <c r="B308" s="38"/>
      <c r="C308" s="38"/>
      <c r="D308" s="37" t="str">
        <f aca="false">COUNT(C208:C307)&amp;" units"</f>
        <v>0 units</v>
      </c>
      <c r="E308" s="38"/>
      <c r="F308" s="38"/>
      <c r="G308" s="39" t="n">
        <f aca="false">SUM(G208:G307)</f>
        <v>0</v>
      </c>
      <c r="H308" s="38"/>
      <c r="I308" s="38"/>
      <c r="J308" s="38"/>
      <c r="K308" s="38"/>
      <c r="L308" s="38"/>
      <c r="M308" s="38"/>
      <c r="N308" s="39" t="n">
        <f aca="false">SUM(N208:N307)</f>
        <v>0</v>
      </c>
      <c r="O308" s="39" t="n">
        <f aca="false">SUM(O208:O307)</f>
        <v>0</v>
      </c>
      <c r="P308" s="38"/>
      <c r="Q308" s="38"/>
      <c r="R308" s="39" t="n">
        <f aca="false">SUM(R208:R307)</f>
        <v>0</v>
      </c>
      <c r="S308" s="39" t="n">
        <f aca="false">SUM(S208:S307)</f>
        <v>0</v>
      </c>
      <c r="T308" s="38"/>
      <c r="U308" s="38"/>
      <c r="V308" s="38"/>
      <c r="W308" s="38"/>
      <c r="X308" s="38"/>
      <c r="Y308" s="38"/>
      <c r="Z308" s="38"/>
      <c r="AA308" s="38"/>
      <c r="AB308" s="38"/>
      <c r="AC308" s="39" t="n">
        <f aca="false">SUM(AC208:AC307)</f>
        <v>0</v>
      </c>
      <c r="AD308" s="39" t="n">
        <f aca="false">SUM(AD208:AD307)</f>
        <v>0</v>
      </c>
      <c r="AE308" s="39" t="n">
        <f aca="false">SUM(AE208:AE307)</f>
        <v>0</v>
      </c>
      <c r="AF308" s="38"/>
      <c r="AG308" s="38"/>
      <c r="AH308" s="38"/>
      <c r="AI308" s="38"/>
      <c r="AJ308" s="39" t="n">
        <f aca="false">SUM(AJ208:AJ307)</f>
        <v>0</v>
      </c>
      <c r="AK308" s="39" t="n">
        <f aca="false">SUM(AK208:AK307)</f>
        <v>0</v>
      </c>
      <c r="AL308" s="39" t="n">
        <f aca="false">SUM(AL208:AL307)</f>
        <v>0</v>
      </c>
      <c r="AM308" s="38"/>
      <c r="AN308" s="38"/>
      <c r="AO308" s="38"/>
      <c r="AP308" s="38"/>
      <c r="AQ308" s="38"/>
      <c r="AR308" s="38"/>
      <c r="AS308" s="38"/>
      <c r="AT308" s="38"/>
      <c r="AU308" s="38"/>
      <c r="AW308" s="24" t="n">
        <f aca="false">AW307</f>
        <v>0</v>
      </c>
      <c r="AX308" s="24" t="n">
        <f aca="false">AX307</f>
        <v>0</v>
      </c>
    </row>
    <row r="309" customFormat="false" ht="19.5" hidden="false" customHeight="true" outlineLevel="0" collapsed="false">
      <c r="A309" s="6" t="s">
        <v>73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W309" s="24" t="n">
        <f aca="false">AW308</f>
        <v>0</v>
      </c>
      <c r="AX309" s="24" t="n">
        <f aca="false">AX308</f>
        <v>0</v>
      </c>
    </row>
    <row r="310" customFormat="false" ht="15" hidden="false" customHeight="false" outlineLevel="0" collapsed="false">
      <c r="A310" s="8" t="str">
        <f aca="false">IF(C310&lt;&gt;"","F27-"&amp;COUNT($C$4:C310),"")</f>
        <v/>
      </c>
      <c r="B310" s="9" t="str">
        <f aca="false">IF(OR(F310="LOC - INITIAL",F310="CONSOLIDATION - UPFRONT COMM",F310="REVERSE - TOTAL FUNDING"),A310,"")</f>
        <v/>
      </c>
      <c r="C310" s="10"/>
      <c r="D310" s="11"/>
      <c r="E310" s="11"/>
      <c r="F310" s="11"/>
      <c r="G310" s="12"/>
      <c r="H310" s="13"/>
      <c r="I310" s="11"/>
      <c r="J310" s="14" t="str">
        <f aca="false">IF(AND(G310&lt;&gt;"",H310&lt;&gt;""),G310*H310,"")</f>
        <v/>
      </c>
      <c r="K310" s="11"/>
      <c r="L310" s="15"/>
      <c r="M310" s="15"/>
      <c r="N310" s="14" t="n">
        <f aca="false">IF(OR(G310="",M310=""),0,IF(M310&gt;100,M310,G310*IF(M310&gt;1,M310/100,M310)))</f>
        <v>0</v>
      </c>
      <c r="O310" s="14" t="str">
        <f aca="false">IF(G310="","",G310*IF(L310="",0,IF(L310&gt;1,L310/100,L310))+N310)</f>
        <v/>
      </c>
      <c r="P310" s="11"/>
      <c r="Q310" s="16" t="str">
        <f aca="false">IF(P310="","",IFERROR(VLOOKUP(P310,PARTNERS!$A$2:$B$30,2,0),""))</f>
        <v/>
      </c>
      <c r="R310" s="17" t="str">
        <f aca="false">IF(O310="","",IF(OR(P310="",Q310=""),0,(O310-N310)*IF(Q310&gt;1,Q310/100,Q310)))</f>
        <v/>
      </c>
      <c r="S310" s="14" t="str">
        <f aca="false">IF(O310="","",O310-R310)</f>
        <v/>
      </c>
      <c r="T310" s="11"/>
      <c r="U310" s="18" t="str">
        <f aca="false">IF(T310="","",IFERROR(VLOOKUP(T310,REPS!$A$2:$D$40,2,0),""))</f>
        <v/>
      </c>
      <c r="V310" s="14" t="str">
        <f aca="false">IF(O310="","",IF(U310="",0,O310*IF(U310&gt;1,U310/100,U310)))</f>
        <v/>
      </c>
      <c r="W310" s="11"/>
      <c r="X310" s="18" t="str">
        <f aca="false">IF(W310="","",IFERROR(VLOOKUP(W310,REPS!$A$2:$D$40,3,0),""))</f>
        <v/>
      </c>
      <c r="Y310" s="14" t="str">
        <f aca="false">IF(O310="","",IF(X310="",0,O310*IF(X310&gt;1,X310/100,X310)))</f>
        <v/>
      </c>
      <c r="Z310" s="11"/>
      <c r="AA310" s="18" t="str">
        <f aca="false">IF(Z310="","",IFERROR(VLOOKUP(Z310,REPS!$A$2:$D$40,4,0),""))</f>
        <v/>
      </c>
      <c r="AB310" s="14" t="str">
        <f aca="false">IF(O310="","",IF(AA310="",0,O310*IF(AA310&gt;1,AA310/100,AA310)))</f>
        <v/>
      </c>
      <c r="AC310" s="14" t="str">
        <f aca="false">IF(O310="","",V310+Y310+AB310)</f>
        <v/>
      </c>
      <c r="AD310" s="19" t="str">
        <f aca="false">IF(O310="","",O310-R310-AC310)</f>
        <v/>
      </c>
      <c r="AE310" s="20"/>
      <c r="AF310" s="10"/>
      <c r="AG310" s="21" t="n">
        <f aca="false">IF(OR(AE310="",AE310=0),0,AE310*IF(U310="",0,IF(U310&gt;1,U310/100,U310)))</f>
        <v>0</v>
      </c>
      <c r="AH310" s="21" t="n">
        <f aca="false">IF(OR(AE310="",AE310=0),0,AE310*IF(X310="",0,IF(X310&gt;1,X310/100,X310)))</f>
        <v>0</v>
      </c>
      <c r="AI310" s="21" t="n">
        <f aca="false">IF(OR(AE310="",AE310=0),0,AE310*IF(AA310="",0,IF(AA310&gt;1,AA310/100,AA310)))</f>
        <v>0</v>
      </c>
      <c r="AJ310" s="21" t="n">
        <f aca="false">AG310+AH310+AI310</f>
        <v>0</v>
      </c>
      <c r="AK310" s="21" t="n">
        <f aca="false">IF(OR(AE310="",AE310=0),0,AE310-AJ310)</f>
        <v>0</v>
      </c>
      <c r="AL310" s="19" t="str">
        <f aca="false">IF(AD310="","",AD310-AK310)</f>
        <v/>
      </c>
      <c r="AM310" s="9" t="str">
        <f aca="false">IF(C310="","","Waiting for payment")</f>
        <v/>
      </c>
      <c r="AN310" s="10"/>
      <c r="AO310" s="10"/>
      <c r="AP310" s="22" t="str">
        <f aca="false">IF(OR(C310="",I310="",K310=""),"",IF(K310="Monthly",EDATE(C310,ROUND(I310*SETTINGS!$I$8,0)),WORKDAY(C310,ROUND(I310*SETTINGS!$I$8,0))))</f>
        <v/>
      </c>
      <c r="AQ310" s="9" t="str">
        <f aca="true">IF(C310="","",IF(AND(AP310&lt;&gt;"",TODAY()&gt;=AP310),"Refi Ready",IF(TODAY()-C310&gt;=SETTINGS!$I$11,"Prospecting","Performing")))</f>
        <v/>
      </c>
      <c r="AR310" s="22" t="str">
        <f aca="false">IF(OR(C310="",I310="",K310=""),"",IF(K310="Monthly",EDATE(C310,I310),WORKDAY(C310,I310)))</f>
        <v/>
      </c>
      <c r="AS310" s="11"/>
      <c r="AT310" s="23" t="str">
        <f aca="true">IF(C310="","",IF(AM310="Clawed Back","CLAWED",IF(TODAY()&lt;=C310+SETTINGS!$I$2,"⚠ AT RISK","SAFE")))</f>
        <v/>
      </c>
      <c r="AU310" s="11"/>
      <c r="AW310" s="24" t="n">
        <f aca="false">AW309+IF(AND(C310&lt;&gt;"",AO310&lt;&gt;"",OR('REP COMMISSION'!$B$3="",T310='REP COMMISSION'!$B$3,W310='REP COMMISSION'!$B$3,Z310='REP COMMISSION'!$B$3)),1,0)</f>
        <v>0</v>
      </c>
      <c r="AX310" s="24" t="n">
        <f aca="false">AX309+IF(AND(C310&lt;&gt;"",OR(F310="LOC - INITIAL",F310="CONSOLIDATION - UPFRONT COMM",F310="REVERSE - TOTAL FUNDING")),1,0)</f>
        <v>0</v>
      </c>
    </row>
    <row r="311" customFormat="false" ht="15" hidden="false" customHeight="false" outlineLevel="0" collapsed="false">
      <c r="A311" s="25" t="str">
        <f aca="false">IF(C311&lt;&gt;"","F27-"&amp;COUNT($C$4:C311),"")</f>
        <v/>
      </c>
      <c r="B311" s="26" t="str">
        <f aca="false">IF(OR(F311="LOC - INITIAL",F311="CONSOLIDATION - UPFRONT COMM",F311="REVERSE - TOTAL FUNDING"),A311,"")</f>
        <v/>
      </c>
      <c r="C311" s="27"/>
      <c r="D311" s="28"/>
      <c r="E311" s="28"/>
      <c r="F311" s="28"/>
      <c r="G311" s="29"/>
      <c r="H311" s="30"/>
      <c r="I311" s="28"/>
      <c r="J311" s="31" t="str">
        <f aca="false">IF(AND(G311&lt;&gt;"",H311&lt;&gt;""),G311*H311,"")</f>
        <v/>
      </c>
      <c r="K311" s="28"/>
      <c r="L311" s="32"/>
      <c r="M311" s="32"/>
      <c r="N311" s="31" t="n">
        <f aca="false">IF(OR(G311="",M311=""),0,IF(M311&gt;100,M311,G311*IF(M311&gt;1,M311/100,M311)))</f>
        <v>0</v>
      </c>
      <c r="O311" s="31" t="str">
        <f aca="false">IF(G311="","",G311*IF(L311="",0,IF(L311&gt;1,L311/100,L311))+N311)</f>
        <v/>
      </c>
      <c r="P311" s="28"/>
      <c r="Q311" s="33" t="str">
        <f aca="false">IF(P311="","",IFERROR(VLOOKUP(P311,PARTNERS!$A$2:$B$30,2,0),""))</f>
        <v/>
      </c>
      <c r="R311" s="17" t="str">
        <f aca="false">IF(O311="","",IF(OR(P311="",Q311=""),0,(O311-N311)*IF(Q311&gt;1,Q311/100,Q311)))</f>
        <v/>
      </c>
      <c r="S311" s="31" t="str">
        <f aca="false">IF(O311="","",O311-R311)</f>
        <v/>
      </c>
      <c r="T311" s="28"/>
      <c r="U311" s="34" t="str">
        <f aca="false">IF(T311="","",IFERROR(VLOOKUP(T311,REPS!$A$2:$D$40,2,0),""))</f>
        <v/>
      </c>
      <c r="V311" s="31" t="str">
        <f aca="false">IF(O311="","",IF(U311="",0,O311*IF(U311&gt;1,U311/100,U311)))</f>
        <v/>
      </c>
      <c r="W311" s="28"/>
      <c r="X311" s="34" t="str">
        <f aca="false">IF(W311="","",IFERROR(VLOOKUP(W311,REPS!$A$2:$D$40,3,0),""))</f>
        <v/>
      </c>
      <c r="Y311" s="31" t="str">
        <f aca="false">IF(O311="","",IF(X311="",0,O311*IF(X311&gt;1,X311/100,X311)))</f>
        <v/>
      </c>
      <c r="Z311" s="28"/>
      <c r="AA311" s="34" t="str">
        <f aca="false">IF(Z311="","",IFERROR(VLOOKUP(Z311,REPS!$A$2:$D$40,4,0),""))</f>
        <v/>
      </c>
      <c r="AB311" s="31" t="str">
        <f aca="false">IF(O311="","",IF(AA311="",0,O311*IF(AA311&gt;1,AA311/100,AA311)))</f>
        <v/>
      </c>
      <c r="AC311" s="31" t="str">
        <f aca="false">IF(O311="","",V311+Y311+AB311)</f>
        <v/>
      </c>
      <c r="AD311" s="19" t="str">
        <f aca="false">IF(O311="","",O311-R311-AC311)</f>
        <v/>
      </c>
      <c r="AE311" s="20"/>
      <c r="AF311" s="27"/>
      <c r="AG311" s="21" t="n">
        <f aca="false">IF(OR(AE311="",AE311=0),0,AE311*IF(U311="",0,IF(U311&gt;1,U311/100,U311)))</f>
        <v>0</v>
      </c>
      <c r="AH311" s="21" t="n">
        <f aca="false">IF(OR(AE311="",AE311=0),0,AE311*IF(X311="",0,IF(X311&gt;1,X311/100,X311)))</f>
        <v>0</v>
      </c>
      <c r="AI311" s="21" t="n">
        <f aca="false">IF(OR(AE311="",AE311=0),0,AE311*IF(AA311="",0,IF(AA311&gt;1,AA311/100,AA311)))</f>
        <v>0</v>
      </c>
      <c r="AJ311" s="21" t="n">
        <f aca="false">AG311+AH311+AI311</f>
        <v>0</v>
      </c>
      <c r="AK311" s="21" t="n">
        <f aca="false">IF(OR(AE311="",AE311=0),0,AE311-AJ311)</f>
        <v>0</v>
      </c>
      <c r="AL311" s="19" t="str">
        <f aca="false">IF(AD311="","",AD311-AK311)</f>
        <v/>
      </c>
      <c r="AM311" s="26" t="str">
        <f aca="false">IF(C311="","","Waiting for payment")</f>
        <v/>
      </c>
      <c r="AN311" s="27"/>
      <c r="AO311" s="27"/>
      <c r="AP311" s="35" t="str">
        <f aca="false">IF(OR(C311="",I311="",K311=""),"",IF(K311="Monthly",EDATE(C311,ROUND(I311*SETTINGS!$I$8,0)),WORKDAY(C311,ROUND(I311*SETTINGS!$I$8,0))))</f>
        <v/>
      </c>
      <c r="AQ311" s="26" t="str">
        <f aca="true">IF(C311="","",IF(AND(AP311&lt;&gt;"",TODAY()&gt;=AP311),"Refi Ready",IF(TODAY()-C311&gt;=SETTINGS!$I$11,"Prospecting","Performing")))</f>
        <v/>
      </c>
      <c r="AR311" s="35" t="str">
        <f aca="false">IF(OR(C311="",I311="",K311=""),"",IF(K311="Monthly",EDATE(C311,I311),WORKDAY(C311,I311)))</f>
        <v/>
      </c>
      <c r="AS311" s="28"/>
      <c r="AT311" s="36" t="str">
        <f aca="true">IF(C311="","",IF(AM311="Clawed Back","CLAWED",IF(TODAY()&lt;=C311+SETTINGS!$I$2,"⚠ AT RISK","SAFE")))</f>
        <v/>
      </c>
      <c r="AU311" s="28"/>
      <c r="AW311" s="24" t="n">
        <f aca="false">AW310+IF(AND(C311&lt;&gt;"",AO311&lt;&gt;"",OR('REP COMMISSION'!$B$3="",T311='REP COMMISSION'!$B$3,W311='REP COMMISSION'!$B$3,Z311='REP COMMISSION'!$B$3)),1,0)</f>
        <v>0</v>
      </c>
      <c r="AX311" s="24" t="n">
        <f aca="false">AX310+IF(AND(C311&lt;&gt;"",OR(F311="LOC - INITIAL",F311="CONSOLIDATION - UPFRONT COMM",F311="REVERSE - TOTAL FUNDING")),1,0)</f>
        <v>0</v>
      </c>
    </row>
    <row r="312" customFormat="false" ht="15" hidden="false" customHeight="false" outlineLevel="0" collapsed="false">
      <c r="A312" s="8" t="str">
        <f aca="false">IF(C312&lt;&gt;"","F27-"&amp;COUNT($C$4:C312),"")</f>
        <v/>
      </c>
      <c r="B312" s="9" t="str">
        <f aca="false">IF(OR(F312="LOC - INITIAL",F312="CONSOLIDATION - UPFRONT COMM",F312="REVERSE - TOTAL FUNDING"),A312,"")</f>
        <v/>
      </c>
      <c r="C312" s="10"/>
      <c r="D312" s="11"/>
      <c r="E312" s="11"/>
      <c r="F312" s="11"/>
      <c r="G312" s="12"/>
      <c r="H312" s="13"/>
      <c r="I312" s="11"/>
      <c r="J312" s="14" t="str">
        <f aca="false">IF(AND(G312&lt;&gt;"",H312&lt;&gt;""),G312*H312,"")</f>
        <v/>
      </c>
      <c r="K312" s="11"/>
      <c r="L312" s="15"/>
      <c r="M312" s="15"/>
      <c r="N312" s="14" t="n">
        <f aca="false">IF(OR(G312="",M312=""),0,IF(M312&gt;100,M312,G312*IF(M312&gt;1,M312/100,M312)))</f>
        <v>0</v>
      </c>
      <c r="O312" s="14" t="str">
        <f aca="false">IF(G312="","",G312*IF(L312="",0,IF(L312&gt;1,L312/100,L312))+N312)</f>
        <v/>
      </c>
      <c r="P312" s="11"/>
      <c r="Q312" s="16" t="str">
        <f aca="false">IF(P312="","",IFERROR(VLOOKUP(P312,PARTNERS!$A$2:$B$30,2,0),""))</f>
        <v/>
      </c>
      <c r="R312" s="17" t="str">
        <f aca="false">IF(O312="","",IF(OR(P312="",Q312=""),0,(O312-N312)*IF(Q312&gt;1,Q312/100,Q312)))</f>
        <v/>
      </c>
      <c r="S312" s="14" t="str">
        <f aca="false">IF(O312="","",O312-R312)</f>
        <v/>
      </c>
      <c r="T312" s="11"/>
      <c r="U312" s="18" t="str">
        <f aca="false">IF(T312="","",IFERROR(VLOOKUP(T312,REPS!$A$2:$D$40,2,0),""))</f>
        <v/>
      </c>
      <c r="V312" s="14" t="str">
        <f aca="false">IF(O312="","",IF(U312="",0,O312*IF(U312&gt;1,U312/100,U312)))</f>
        <v/>
      </c>
      <c r="W312" s="11"/>
      <c r="X312" s="18" t="str">
        <f aca="false">IF(W312="","",IFERROR(VLOOKUP(W312,REPS!$A$2:$D$40,3,0),""))</f>
        <v/>
      </c>
      <c r="Y312" s="14" t="str">
        <f aca="false">IF(O312="","",IF(X312="",0,O312*IF(X312&gt;1,X312/100,X312)))</f>
        <v/>
      </c>
      <c r="Z312" s="11"/>
      <c r="AA312" s="18" t="str">
        <f aca="false">IF(Z312="","",IFERROR(VLOOKUP(Z312,REPS!$A$2:$D$40,4,0),""))</f>
        <v/>
      </c>
      <c r="AB312" s="14" t="str">
        <f aca="false">IF(O312="","",IF(AA312="",0,O312*IF(AA312&gt;1,AA312/100,AA312)))</f>
        <v/>
      </c>
      <c r="AC312" s="14" t="str">
        <f aca="false">IF(O312="","",V312+Y312+AB312)</f>
        <v/>
      </c>
      <c r="AD312" s="19" t="str">
        <f aca="false">IF(O312="","",O312-R312-AC312)</f>
        <v/>
      </c>
      <c r="AE312" s="20"/>
      <c r="AF312" s="10"/>
      <c r="AG312" s="21" t="n">
        <f aca="false">IF(OR(AE312="",AE312=0),0,AE312*IF(U312="",0,IF(U312&gt;1,U312/100,U312)))</f>
        <v>0</v>
      </c>
      <c r="AH312" s="21" t="n">
        <f aca="false">IF(OR(AE312="",AE312=0),0,AE312*IF(X312="",0,IF(X312&gt;1,X312/100,X312)))</f>
        <v>0</v>
      </c>
      <c r="AI312" s="21" t="n">
        <f aca="false">IF(OR(AE312="",AE312=0),0,AE312*IF(AA312="",0,IF(AA312&gt;1,AA312/100,AA312)))</f>
        <v>0</v>
      </c>
      <c r="AJ312" s="21" t="n">
        <f aca="false">AG312+AH312+AI312</f>
        <v>0</v>
      </c>
      <c r="AK312" s="21" t="n">
        <f aca="false">IF(OR(AE312="",AE312=0),0,AE312-AJ312)</f>
        <v>0</v>
      </c>
      <c r="AL312" s="19" t="str">
        <f aca="false">IF(AD312="","",AD312-AK312)</f>
        <v/>
      </c>
      <c r="AM312" s="9" t="str">
        <f aca="false">IF(C312="","","Waiting for payment")</f>
        <v/>
      </c>
      <c r="AN312" s="10"/>
      <c r="AO312" s="10"/>
      <c r="AP312" s="22" t="str">
        <f aca="false">IF(OR(C312="",I312="",K312=""),"",IF(K312="Monthly",EDATE(C312,ROUND(I312*SETTINGS!$I$8,0)),WORKDAY(C312,ROUND(I312*SETTINGS!$I$8,0))))</f>
        <v/>
      </c>
      <c r="AQ312" s="9" t="str">
        <f aca="true">IF(C312="","",IF(AND(AP312&lt;&gt;"",TODAY()&gt;=AP312),"Refi Ready",IF(TODAY()-C312&gt;=SETTINGS!$I$11,"Prospecting","Performing")))</f>
        <v/>
      </c>
      <c r="AR312" s="22" t="str">
        <f aca="false">IF(OR(C312="",I312="",K312=""),"",IF(K312="Monthly",EDATE(C312,I312),WORKDAY(C312,I312)))</f>
        <v/>
      </c>
      <c r="AS312" s="11"/>
      <c r="AT312" s="23" t="str">
        <f aca="true">IF(C312="","",IF(AM312="Clawed Back","CLAWED",IF(TODAY()&lt;=C312+SETTINGS!$I$2,"⚠ AT RISK","SAFE")))</f>
        <v/>
      </c>
      <c r="AU312" s="11"/>
      <c r="AW312" s="24" t="n">
        <f aca="false">AW311+IF(AND(C312&lt;&gt;"",AO312&lt;&gt;"",OR('REP COMMISSION'!$B$3="",T312='REP COMMISSION'!$B$3,W312='REP COMMISSION'!$B$3,Z312='REP COMMISSION'!$B$3)),1,0)</f>
        <v>0</v>
      </c>
      <c r="AX312" s="24" t="n">
        <f aca="false">AX311+IF(AND(C312&lt;&gt;"",OR(F312="LOC - INITIAL",F312="CONSOLIDATION - UPFRONT COMM",F312="REVERSE - TOTAL FUNDING")),1,0)</f>
        <v>0</v>
      </c>
    </row>
    <row r="313" customFormat="false" ht="15" hidden="false" customHeight="false" outlineLevel="0" collapsed="false">
      <c r="A313" s="25" t="str">
        <f aca="false">IF(C313&lt;&gt;"","F27-"&amp;COUNT($C$4:C313),"")</f>
        <v/>
      </c>
      <c r="B313" s="26" t="str">
        <f aca="false">IF(OR(F313="LOC - INITIAL",F313="CONSOLIDATION - UPFRONT COMM",F313="REVERSE - TOTAL FUNDING"),A313,"")</f>
        <v/>
      </c>
      <c r="C313" s="27"/>
      <c r="D313" s="28"/>
      <c r="E313" s="28"/>
      <c r="F313" s="28"/>
      <c r="G313" s="29"/>
      <c r="H313" s="30"/>
      <c r="I313" s="28"/>
      <c r="J313" s="31" t="str">
        <f aca="false">IF(AND(G313&lt;&gt;"",H313&lt;&gt;""),G313*H313,"")</f>
        <v/>
      </c>
      <c r="K313" s="28"/>
      <c r="L313" s="32"/>
      <c r="M313" s="32"/>
      <c r="N313" s="31" t="n">
        <f aca="false">IF(OR(G313="",M313=""),0,IF(M313&gt;100,M313,G313*IF(M313&gt;1,M313/100,M313)))</f>
        <v>0</v>
      </c>
      <c r="O313" s="31" t="str">
        <f aca="false">IF(G313="","",G313*IF(L313="",0,IF(L313&gt;1,L313/100,L313))+N313)</f>
        <v/>
      </c>
      <c r="P313" s="28"/>
      <c r="Q313" s="33" t="str">
        <f aca="false">IF(P313="","",IFERROR(VLOOKUP(P313,PARTNERS!$A$2:$B$30,2,0),""))</f>
        <v/>
      </c>
      <c r="R313" s="17" t="str">
        <f aca="false">IF(O313="","",IF(OR(P313="",Q313=""),0,(O313-N313)*IF(Q313&gt;1,Q313/100,Q313)))</f>
        <v/>
      </c>
      <c r="S313" s="31" t="str">
        <f aca="false">IF(O313="","",O313-R313)</f>
        <v/>
      </c>
      <c r="T313" s="28"/>
      <c r="U313" s="34" t="str">
        <f aca="false">IF(T313="","",IFERROR(VLOOKUP(T313,REPS!$A$2:$D$40,2,0),""))</f>
        <v/>
      </c>
      <c r="V313" s="31" t="str">
        <f aca="false">IF(O313="","",IF(U313="",0,O313*IF(U313&gt;1,U313/100,U313)))</f>
        <v/>
      </c>
      <c r="W313" s="28"/>
      <c r="X313" s="34" t="str">
        <f aca="false">IF(W313="","",IFERROR(VLOOKUP(W313,REPS!$A$2:$D$40,3,0),""))</f>
        <v/>
      </c>
      <c r="Y313" s="31" t="str">
        <f aca="false">IF(O313="","",IF(X313="",0,O313*IF(X313&gt;1,X313/100,X313)))</f>
        <v/>
      </c>
      <c r="Z313" s="28"/>
      <c r="AA313" s="34" t="str">
        <f aca="false">IF(Z313="","",IFERROR(VLOOKUP(Z313,REPS!$A$2:$D$40,4,0),""))</f>
        <v/>
      </c>
      <c r="AB313" s="31" t="str">
        <f aca="false">IF(O313="","",IF(AA313="",0,O313*IF(AA313&gt;1,AA313/100,AA313)))</f>
        <v/>
      </c>
      <c r="AC313" s="31" t="str">
        <f aca="false">IF(O313="","",V313+Y313+AB313)</f>
        <v/>
      </c>
      <c r="AD313" s="19" t="str">
        <f aca="false">IF(O313="","",O313-R313-AC313)</f>
        <v/>
      </c>
      <c r="AE313" s="20"/>
      <c r="AF313" s="27"/>
      <c r="AG313" s="21" t="n">
        <f aca="false">IF(OR(AE313="",AE313=0),0,AE313*IF(U313="",0,IF(U313&gt;1,U313/100,U313)))</f>
        <v>0</v>
      </c>
      <c r="AH313" s="21" t="n">
        <f aca="false">IF(OR(AE313="",AE313=0),0,AE313*IF(X313="",0,IF(X313&gt;1,X313/100,X313)))</f>
        <v>0</v>
      </c>
      <c r="AI313" s="21" t="n">
        <f aca="false">IF(OR(AE313="",AE313=0),0,AE313*IF(AA313="",0,IF(AA313&gt;1,AA313/100,AA313)))</f>
        <v>0</v>
      </c>
      <c r="AJ313" s="21" t="n">
        <f aca="false">AG313+AH313+AI313</f>
        <v>0</v>
      </c>
      <c r="AK313" s="21" t="n">
        <f aca="false">IF(OR(AE313="",AE313=0),0,AE313-AJ313)</f>
        <v>0</v>
      </c>
      <c r="AL313" s="19" t="str">
        <f aca="false">IF(AD313="","",AD313-AK313)</f>
        <v/>
      </c>
      <c r="AM313" s="26" t="str">
        <f aca="false">IF(C313="","","Waiting for payment")</f>
        <v/>
      </c>
      <c r="AN313" s="27"/>
      <c r="AO313" s="27"/>
      <c r="AP313" s="35" t="str">
        <f aca="false">IF(OR(C313="",I313="",K313=""),"",IF(K313="Monthly",EDATE(C313,ROUND(I313*SETTINGS!$I$8,0)),WORKDAY(C313,ROUND(I313*SETTINGS!$I$8,0))))</f>
        <v/>
      </c>
      <c r="AQ313" s="26" t="str">
        <f aca="true">IF(C313="","",IF(AND(AP313&lt;&gt;"",TODAY()&gt;=AP313),"Refi Ready",IF(TODAY()-C313&gt;=SETTINGS!$I$11,"Prospecting","Performing")))</f>
        <v/>
      </c>
      <c r="AR313" s="35" t="str">
        <f aca="false">IF(OR(C313="",I313="",K313=""),"",IF(K313="Monthly",EDATE(C313,I313),WORKDAY(C313,I313)))</f>
        <v/>
      </c>
      <c r="AS313" s="28"/>
      <c r="AT313" s="36" t="str">
        <f aca="true">IF(C313="","",IF(AM313="Clawed Back","CLAWED",IF(TODAY()&lt;=C313+SETTINGS!$I$2,"⚠ AT RISK","SAFE")))</f>
        <v/>
      </c>
      <c r="AU313" s="28"/>
      <c r="AW313" s="24" t="n">
        <f aca="false">AW312+IF(AND(C313&lt;&gt;"",AO313&lt;&gt;"",OR('REP COMMISSION'!$B$3="",T313='REP COMMISSION'!$B$3,W313='REP COMMISSION'!$B$3,Z313='REP COMMISSION'!$B$3)),1,0)</f>
        <v>0</v>
      </c>
      <c r="AX313" s="24" t="n">
        <f aca="false">AX312+IF(AND(C313&lt;&gt;"",OR(F313="LOC - INITIAL",F313="CONSOLIDATION - UPFRONT COMM",F313="REVERSE - TOTAL FUNDING")),1,0)</f>
        <v>0</v>
      </c>
    </row>
    <row r="314" customFormat="false" ht="15" hidden="false" customHeight="false" outlineLevel="0" collapsed="false">
      <c r="A314" s="8" t="str">
        <f aca="false">IF(C314&lt;&gt;"","F27-"&amp;COUNT($C$4:C314),"")</f>
        <v/>
      </c>
      <c r="B314" s="9" t="str">
        <f aca="false">IF(OR(F314="LOC - INITIAL",F314="CONSOLIDATION - UPFRONT COMM",F314="REVERSE - TOTAL FUNDING"),A314,"")</f>
        <v/>
      </c>
      <c r="C314" s="10"/>
      <c r="D314" s="11"/>
      <c r="E314" s="11"/>
      <c r="F314" s="11"/>
      <c r="G314" s="12"/>
      <c r="H314" s="13"/>
      <c r="I314" s="11"/>
      <c r="J314" s="14" t="str">
        <f aca="false">IF(AND(G314&lt;&gt;"",H314&lt;&gt;""),G314*H314,"")</f>
        <v/>
      </c>
      <c r="K314" s="11"/>
      <c r="L314" s="15"/>
      <c r="M314" s="15"/>
      <c r="N314" s="14" t="n">
        <f aca="false">IF(OR(G314="",M314=""),0,IF(M314&gt;100,M314,G314*IF(M314&gt;1,M314/100,M314)))</f>
        <v>0</v>
      </c>
      <c r="O314" s="14" t="str">
        <f aca="false">IF(G314="","",G314*IF(L314="",0,IF(L314&gt;1,L314/100,L314))+N314)</f>
        <v/>
      </c>
      <c r="P314" s="11"/>
      <c r="Q314" s="16" t="str">
        <f aca="false">IF(P314="","",IFERROR(VLOOKUP(P314,PARTNERS!$A$2:$B$30,2,0),""))</f>
        <v/>
      </c>
      <c r="R314" s="17" t="str">
        <f aca="false">IF(O314="","",IF(OR(P314="",Q314=""),0,(O314-N314)*IF(Q314&gt;1,Q314/100,Q314)))</f>
        <v/>
      </c>
      <c r="S314" s="14" t="str">
        <f aca="false">IF(O314="","",O314-R314)</f>
        <v/>
      </c>
      <c r="T314" s="11"/>
      <c r="U314" s="18" t="str">
        <f aca="false">IF(T314="","",IFERROR(VLOOKUP(T314,REPS!$A$2:$D$40,2,0),""))</f>
        <v/>
      </c>
      <c r="V314" s="14" t="str">
        <f aca="false">IF(O314="","",IF(U314="",0,O314*IF(U314&gt;1,U314/100,U314)))</f>
        <v/>
      </c>
      <c r="W314" s="11"/>
      <c r="X314" s="18" t="str">
        <f aca="false">IF(W314="","",IFERROR(VLOOKUP(W314,REPS!$A$2:$D$40,3,0),""))</f>
        <v/>
      </c>
      <c r="Y314" s="14" t="str">
        <f aca="false">IF(O314="","",IF(X314="",0,O314*IF(X314&gt;1,X314/100,X314)))</f>
        <v/>
      </c>
      <c r="Z314" s="11"/>
      <c r="AA314" s="18" t="str">
        <f aca="false">IF(Z314="","",IFERROR(VLOOKUP(Z314,REPS!$A$2:$D$40,4,0),""))</f>
        <v/>
      </c>
      <c r="AB314" s="14" t="str">
        <f aca="false">IF(O314="","",IF(AA314="",0,O314*IF(AA314&gt;1,AA314/100,AA314)))</f>
        <v/>
      </c>
      <c r="AC314" s="14" t="str">
        <f aca="false">IF(O314="","",V314+Y314+AB314)</f>
        <v/>
      </c>
      <c r="AD314" s="19" t="str">
        <f aca="false">IF(O314="","",O314-R314-AC314)</f>
        <v/>
      </c>
      <c r="AE314" s="20"/>
      <c r="AF314" s="10"/>
      <c r="AG314" s="21" t="n">
        <f aca="false">IF(OR(AE314="",AE314=0),0,AE314*IF(U314="",0,IF(U314&gt;1,U314/100,U314)))</f>
        <v>0</v>
      </c>
      <c r="AH314" s="21" t="n">
        <f aca="false">IF(OR(AE314="",AE314=0),0,AE314*IF(X314="",0,IF(X314&gt;1,X314/100,X314)))</f>
        <v>0</v>
      </c>
      <c r="AI314" s="21" t="n">
        <f aca="false">IF(OR(AE314="",AE314=0),0,AE314*IF(AA314="",0,IF(AA314&gt;1,AA314/100,AA314)))</f>
        <v>0</v>
      </c>
      <c r="AJ314" s="21" t="n">
        <f aca="false">AG314+AH314+AI314</f>
        <v>0</v>
      </c>
      <c r="AK314" s="21" t="n">
        <f aca="false">IF(OR(AE314="",AE314=0),0,AE314-AJ314)</f>
        <v>0</v>
      </c>
      <c r="AL314" s="19" t="str">
        <f aca="false">IF(AD314="","",AD314-AK314)</f>
        <v/>
      </c>
      <c r="AM314" s="9" t="str">
        <f aca="false">IF(C314="","","Waiting for payment")</f>
        <v/>
      </c>
      <c r="AN314" s="10"/>
      <c r="AO314" s="10"/>
      <c r="AP314" s="22" t="str">
        <f aca="false">IF(OR(C314="",I314="",K314=""),"",IF(K314="Monthly",EDATE(C314,ROUND(I314*SETTINGS!$I$8,0)),WORKDAY(C314,ROUND(I314*SETTINGS!$I$8,0))))</f>
        <v/>
      </c>
      <c r="AQ314" s="9" t="str">
        <f aca="true">IF(C314="","",IF(AND(AP314&lt;&gt;"",TODAY()&gt;=AP314),"Refi Ready",IF(TODAY()-C314&gt;=SETTINGS!$I$11,"Prospecting","Performing")))</f>
        <v/>
      </c>
      <c r="AR314" s="22" t="str">
        <f aca="false">IF(OR(C314="",I314="",K314=""),"",IF(K314="Monthly",EDATE(C314,I314),WORKDAY(C314,I314)))</f>
        <v/>
      </c>
      <c r="AS314" s="11"/>
      <c r="AT314" s="23" t="str">
        <f aca="true">IF(C314="","",IF(AM314="Clawed Back","CLAWED",IF(TODAY()&lt;=C314+SETTINGS!$I$2,"⚠ AT RISK","SAFE")))</f>
        <v/>
      </c>
      <c r="AU314" s="11"/>
      <c r="AW314" s="24" t="n">
        <f aca="false">AW313+IF(AND(C314&lt;&gt;"",AO314&lt;&gt;"",OR('REP COMMISSION'!$B$3="",T314='REP COMMISSION'!$B$3,W314='REP COMMISSION'!$B$3,Z314='REP COMMISSION'!$B$3)),1,0)</f>
        <v>0</v>
      </c>
      <c r="AX314" s="24" t="n">
        <f aca="false">AX313+IF(AND(C314&lt;&gt;"",OR(F314="LOC - INITIAL",F314="CONSOLIDATION - UPFRONT COMM",F314="REVERSE - TOTAL FUNDING")),1,0)</f>
        <v>0</v>
      </c>
    </row>
    <row r="315" customFormat="false" ht="15" hidden="false" customHeight="false" outlineLevel="0" collapsed="false">
      <c r="A315" s="25" t="str">
        <f aca="false">IF(C315&lt;&gt;"","F27-"&amp;COUNT($C$4:C315),"")</f>
        <v/>
      </c>
      <c r="B315" s="26" t="str">
        <f aca="false">IF(OR(F315="LOC - INITIAL",F315="CONSOLIDATION - UPFRONT COMM",F315="REVERSE - TOTAL FUNDING"),A315,"")</f>
        <v/>
      </c>
      <c r="C315" s="27"/>
      <c r="D315" s="28"/>
      <c r="E315" s="28"/>
      <c r="F315" s="28"/>
      <c r="G315" s="29"/>
      <c r="H315" s="30"/>
      <c r="I315" s="28"/>
      <c r="J315" s="31" t="str">
        <f aca="false">IF(AND(G315&lt;&gt;"",H315&lt;&gt;""),G315*H315,"")</f>
        <v/>
      </c>
      <c r="K315" s="28"/>
      <c r="L315" s="32"/>
      <c r="M315" s="32"/>
      <c r="N315" s="31" t="n">
        <f aca="false">IF(OR(G315="",M315=""),0,IF(M315&gt;100,M315,G315*IF(M315&gt;1,M315/100,M315)))</f>
        <v>0</v>
      </c>
      <c r="O315" s="31" t="str">
        <f aca="false">IF(G315="","",G315*IF(L315="",0,IF(L315&gt;1,L315/100,L315))+N315)</f>
        <v/>
      </c>
      <c r="P315" s="28"/>
      <c r="Q315" s="33" t="str">
        <f aca="false">IF(P315="","",IFERROR(VLOOKUP(P315,PARTNERS!$A$2:$B$30,2,0),""))</f>
        <v/>
      </c>
      <c r="R315" s="17" t="str">
        <f aca="false">IF(O315="","",IF(OR(P315="",Q315=""),0,(O315-N315)*IF(Q315&gt;1,Q315/100,Q315)))</f>
        <v/>
      </c>
      <c r="S315" s="31" t="str">
        <f aca="false">IF(O315="","",O315-R315)</f>
        <v/>
      </c>
      <c r="T315" s="28"/>
      <c r="U315" s="34" t="str">
        <f aca="false">IF(T315="","",IFERROR(VLOOKUP(T315,REPS!$A$2:$D$40,2,0),""))</f>
        <v/>
      </c>
      <c r="V315" s="31" t="str">
        <f aca="false">IF(O315="","",IF(U315="",0,O315*IF(U315&gt;1,U315/100,U315)))</f>
        <v/>
      </c>
      <c r="W315" s="28"/>
      <c r="X315" s="34" t="str">
        <f aca="false">IF(W315="","",IFERROR(VLOOKUP(W315,REPS!$A$2:$D$40,3,0),""))</f>
        <v/>
      </c>
      <c r="Y315" s="31" t="str">
        <f aca="false">IF(O315="","",IF(X315="",0,O315*IF(X315&gt;1,X315/100,X315)))</f>
        <v/>
      </c>
      <c r="Z315" s="28"/>
      <c r="AA315" s="34" t="str">
        <f aca="false">IF(Z315="","",IFERROR(VLOOKUP(Z315,REPS!$A$2:$D$40,4,0),""))</f>
        <v/>
      </c>
      <c r="AB315" s="31" t="str">
        <f aca="false">IF(O315="","",IF(AA315="",0,O315*IF(AA315&gt;1,AA315/100,AA315)))</f>
        <v/>
      </c>
      <c r="AC315" s="31" t="str">
        <f aca="false">IF(O315="","",V315+Y315+AB315)</f>
        <v/>
      </c>
      <c r="AD315" s="19" t="str">
        <f aca="false">IF(O315="","",O315-R315-AC315)</f>
        <v/>
      </c>
      <c r="AE315" s="20"/>
      <c r="AF315" s="27"/>
      <c r="AG315" s="21" t="n">
        <f aca="false">IF(OR(AE315="",AE315=0),0,AE315*IF(U315="",0,IF(U315&gt;1,U315/100,U315)))</f>
        <v>0</v>
      </c>
      <c r="AH315" s="21" t="n">
        <f aca="false">IF(OR(AE315="",AE315=0),0,AE315*IF(X315="",0,IF(X315&gt;1,X315/100,X315)))</f>
        <v>0</v>
      </c>
      <c r="AI315" s="21" t="n">
        <f aca="false">IF(OR(AE315="",AE315=0),0,AE315*IF(AA315="",0,IF(AA315&gt;1,AA315/100,AA315)))</f>
        <v>0</v>
      </c>
      <c r="AJ315" s="21" t="n">
        <f aca="false">AG315+AH315+AI315</f>
        <v>0</v>
      </c>
      <c r="AK315" s="21" t="n">
        <f aca="false">IF(OR(AE315="",AE315=0),0,AE315-AJ315)</f>
        <v>0</v>
      </c>
      <c r="AL315" s="19" t="str">
        <f aca="false">IF(AD315="","",AD315-AK315)</f>
        <v/>
      </c>
      <c r="AM315" s="26" t="str">
        <f aca="false">IF(C315="","","Waiting for payment")</f>
        <v/>
      </c>
      <c r="AN315" s="27"/>
      <c r="AO315" s="27"/>
      <c r="AP315" s="35" t="str">
        <f aca="false">IF(OR(C315="",I315="",K315=""),"",IF(K315="Monthly",EDATE(C315,ROUND(I315*SETTINGS!$I$8,0)),WORKDAY(C315,ROUND(I315*SETTINGS!$I$8,0))))</f>
        <v/>
      </c>
      <c r="AQ315" s="26" t="str">
        <f aca="true">IF(C315="","",IF(AND(AP315&lt;&gt;"",TODAY()&gt;=AP315),"Refi Ready",IF(TODAY()-C315&gt;=SETTINGS!$I$11,"Prospecting","Performing")))</f>
        <v/>
      </c>
      <c r="AR315" s="35" t="str">
        <f aca="false">IF(OR(C315="",I315="",K315=""),"",IF(K315="Monthly",EDATE(C315,I315),WORKDAY(C315,I315)))</f>
        <v/>
      </c>
      <c r="AS315" s="28"/>
      <c r="AT315" s="36" t="str">
        <f aca="true">IF(C315="","",IF(AM315="Clawed Back","CLAWED",IF(TODAY()&lt;=C315+SETTINGS!$I$2,"⚠ AT RISK","SAFE")))</f>
        <v/>
      </c>
      <c r="AU315" s="28"/>
      <c r="AW315" s="24" t="n">
        <f aca="false">AW314+IF(AND(C315&lt;&gt;"",AO315&lt;&gt;"",OR('REP COMMISSION'!$B$3="",T315='REP COMMISSION'!$B$3,W315='REP COMMISSION'!$B$3,Z315='REP COMMISSION'!$B$3)),1,0)</f>
        <v>0</v>
      </c>
      <c r="AX315" s="24" t="n">
        <f aca="false">AX314+IF(AND(C315&lt;&gt;"",OR(F315="LOC - INITIAL",F315="CONSOLIDATION - UPFRONT COMM",F315="REVERSE - TOTAL FUNDING")),1,0)</f>
        <v>0</v>
      </c>
    </row>
    <row r="316" customFormat="false" ht="15" hidden="false" customHeight="false" outlineLevel="0" collapsed="false">
      <c r="A316" s="8" t="str">
        <f aca="false">IF(C316&lt;&gt;"","F27-"&amp;COUNT($C$4:C316),"")</f>
        <v/>
      </c>
      <c r="B316" s="9" t="str">
        <f aca="false">IF(OR(F316="LOC - INITIAL",F316="CONSOLIDATION - UPFRONT COMM",F316="REVERSE - TOTAL FUNDING"),A316,"")</f>
        <v/>
      </c>
      <c r="C316" s="10"/>
      <c r="D316" s="11"/>
      <c r="E316" s="11"/>
      <c r="F316" s="11"/>
      <c r="G316" s="12"/>
      <c r="H316" s="13"/>
      <c r="I316" s="11"/>
      <c r="J316" s="14" t="str">
        <f aca="false">IF(AND(G316&lt;&gt;"",H316&lt;&gt;""),G316*H316,"")</f>
        <v/>
      </c>
      <c r="K316" s="11"/>
      <c r="L316" s="15"/>
      <c r="M316" s="15"/>
      <c r="N316" s="14" t="n">
        <f aca="false">IF(OR(G316="",M316=""),0,IF(M316&gt;100,M316,G316*IF(M316&gt;1,M316/100,M316)))</f>
        <v>0</v>
      </c>
      <c r="O316" s="14" t="str">
        <f aca="false">IF(G316="","",G316*IF(L316="",0,IF(L316&gt;1,L316/100,L316))+N316)</f>
        <v/>
      </c>
      <c r="P316" s="11"/>
      <c r="Q316" s="16" t="str">
        <f aca="false">IF(P316="","",IFERROR(VLOOKUP(P316,PARTNERS!$A$2:$B$30,2,0),""))</f>
        <v/>
      </c>
      <c r="R316" s="17" t="str">
        <f aca="false">IF(O316="","",IF(OR(P316="",Q316=""),0,(O316-N316)*IF(Q316&gt;1,Q316/100,Q316)))</f>
        <v/>
      </c>
      <c r="S316" s="14" t="str">
        <f aca="false">IF(O316="","",O316-R316)</f>
        <v/>
      </c>
      <c r="T316" s="11"/>
      <c r="U316" s="18" t="str">
        <f aca="false">IF(T316="","",IFERROR(VLOOKUP(T316,REPS!$A$2:$D$40,2,0),""))</f>
        <v/>
      </c>
      <c r="V316" s="14" t="str">
        <f aca="false">IF(O316="","",IF(U316="",0,O316*IF(U316&gt;1,U316/100,U316)))</f>
        <v/>
      </c>
      <c r="W316" s="11"/>
      <c r="X316" s="18" t="str">
        <f aca="false">IF(W316="","",IFERROR(VLOOKUP(W316,REPS!$A$2:$D$40,3,0),""))</f>
        <v/>
      </c>
      <c r="Y316" s="14" t="str">
        <f aca="false">IF(O316="","",IF(X316="",0,O316*IF(X316&gt;1,X316/100,X316)))</f>
        <v/>
      </c>
      <c r="Z316" s="11"/>
      <c r="AA316" s="18" t="str">
        <f aca="false">IF(Z316="","",IFERROR(VLOOKUP(Z316,REPS!$A$2:$D$40,4,0),""))</f>
        <v/>
      </c>
      <c r="AB316" s="14" t="str">
        <f aca="false">IF(O316="","",IF(AA316="",0,O316*IF(AA316&gt;1,AA316/100,AA316)))</f>
        <v/>
      </c>
      <c r="AC316" s="14" t="str">
        <f aca="false">IF(O316="","",V316+Y316+AB316)</f>
        <v/>
      </c>
      <c r="AD316" s="19" t="str">
        <f aca="false">IF(O316="","",O316-R316-AC316)</f>
        <v/>
      </c>
      <c r="AE316" s="20"/>
      <c r="AF316" s="10"/>
      <c r="AG316" s="21" t="n">
        <f aca="false">IF(OR(AE316="",AE316=0),0,AE316*IF(U316="",0,IF(U316&gt;1,U316/100,U316)))</f>
        <v>0</v>
      </c>
      <c r="AH316" s="21" t="n">
        <f aca="false">IF(OR(AE316="",AE316=0),0,AE316*IF(X316="",0,IF(X316&gt;1,X316/100,X316)))</f>
        <v>0</v>
      </c>
      <c r="AI316" s="21" t="n">
        <f aca="false">IF(OR(AE316="",AE316=0),0,AE316*IF(AA316="",0,IF(AA316&gt;1,AA316/100,AA316)))</f>
        <v>0</v>
      </c>
      <c r="AJ316" s="21" t="n">
        <f aca="false">AG316+AH316+AI316</f>
        <v>0</v>
      </c>
      <c r="AK316" s="21" t="n">
        <f aca="false">IF(OR(AE316="",AE316=0),0,AE316-AJ316)</f>
        <v>0</v>
      </c>
      <c r="AL316" s="19" t="str">
        <f aca="false">IF(AD316="","",AD316-AK316)</f>
        <v/>
      </c>
      <c r="AM316" s="9" t="str">
        <f aca="false">IF(C316="","","Waiting for payment")</f>
        <v/>
      </c>
      <c r="AN316" s="10"/>
      <c r="AO316" s="10"/>
      <c r="AP316" s="22" t="str">
        <f aca="false">IF(OR(C316="",I316="",K316=""),"",IF(K316="Monthly",EDATE(C316,ROUND(I316*SETTINGS!$I$8,0)),WORKDAY(C316,ROUND(I316*SETTINGS!$I$8,0))))</f>
        <v/>
      </c>
      <c r="AQ316" s="9" t="str">
        <f aca="true">IF(C316="","",IF(AND(AP316&lt;&gt;"",TODAY()&gt;=AP316),"Refi Ready",IF(TODAY()-C316&gt;=SETTINGS!$I$11,"Prospecting","Performing")))</f>
        <v/>
      </c>
      <c r="AR316" s="22" t="str">
        <f aca="false">IF(OR(C316="",I316="",K316=""),"",IF(K316="Monthly",EDATE(C316,I316),WORKDAY(C316,I316)))</f>
        <v/>
      </c>
      <c r="AS316" s="11"/>
      <c r="AT316" s="23" t="str">
        <f aca="true">IF(C316="","",IF(AM316="Clawed Back","CLAWED",IF(TODAY()&lt;=C316+SETTINGS!$I$2,"⚠ AT RISK","SAFE")))</f>
        <v/>
      </c>
      <c r="AU316" s="11"/>
      <c r="AW316" s="24" t="n">
        <f aca="false">AW315+IF(AND(C316&lt;&gt;"",AO316&lt;&gt;"",OR('REP COMMISSION'!$B$3="",T316='REP COMMISSION'!$B$3,W316='REP COMMISSION'!$B$3,Z316='REP COMMISSION'!$B$3)),1,0)</f>
        <v>0</v>
      </c>
      <c r="AX316" s="24" t="n">
        <f aca="false">AX315+IF(AND(C316&lt;&gt;"",OR(F316="LOC - INITIAL",F316="CONSOLIDATION - UPFRONT COMM",F316="REVERSE - TOTAL FUNDING")),1,0)</f>
        <v>0</v>
      </c>
    </row>
    <row r="317" customFormat="false" ht="15" hidden="false" customHeight="false" outlineLevel="0" collapsed="false">
      <c r="A317" s="25" t="str">
        <f aca="false">IF(C317&lt;&gt;"","F27-"&amp;COUNT($C$4:C317),"")</f>
        <v/>
      </c>
      <c r="B317" s="26" t="str">
        <f aca="false">IF(OR(F317="LOC - INITIAL",F317="CONSOLIDATION - UPFRONT COMM",F317="REVERSE - TOTAL FUNDING"),A317,"")</f>
        <v/>
      </c>
      <c r="C317" s="27"/>
      <c r="D317" s="28"/>
      <c r="E317" s="28"/>
      <c r="F317" s="28"/>
      <c r="G317" s="29"/>
      <c r="H317" s="30"/>
      <c r="I317" s="28"/>
      <c r="J317" s="31" t="str">
        <f aca="false">IF(AND(G317&lt;&gt;"",H317&lt;&gt;""),G317*H317,"")</f>
        <v/>
      </c>
      <c r="K317" s="28"/>
      <c r="L317" s="32"/>
      <c r="M317" s="32"/>
      <c r="N317" s="31" t="n">
        <f aca="false">IF(OR(G317="",M317=""),0,IF(M317&gt;100,M317,G317*IF(M317&gt;1,M317/100,M317)))</f>
        <v>0</v>
      </c>
      <c r="O317" s="31" t="str">
        <f aca="false">IF(G317="","",G317*IF(L317="",0,IF(L317&gt;1,L317/100,L317))+N317)</f>
        <v/>
      </c>
      <c r="P317" s="28"/>
      <c r="Q317" s="33" t="str">
        <f aca="false">IF(P317="","",IFERROR(VLOOKUP(P317,PARTNERS!$A$2:$B$30,2,0),""))</f>
        <v/>
      </c>
      <c r="R317" s="17" t="str">
        <f aca="false">IF(O317="","",IF(OR(P317="",Q317=""),0,(O317-N317)*IF(Q317&gt;1,Q317/100,Q317)))</f>
        <v/>
      </c>
      <c r="S317" s="31" t="str">
        <f aca="false">IF(O317="","",O317-R317)</f>
        <v/>
      </c>
      <c r="T317" s="28"/>
      <c r="U317" s="34" t="str">
        <f aca="false">IF(T317="","",IFERROR(VLOOKUP(T317,REPS!$A$2:$D$40,2,0),""))</f>
        <v/>
      </c>
      <c r="V317" s="31" t="str">
        <f aca="false">IF(O317="","",IF(U317="",0,O317*IF(U317&gt;1,U317/100,U317)))</f>
        <v/>
      </c>
      <c r="W317" s="28"/>
      <c r="X317" s="34" t="str">
        <f aca="false">IF(W317="","",IFERROR(VLOOKUP(W317,REPS!$A$2:$D$40,3,0),""))</f>
        <v/>
      </c>
      <c r="Y317" s="31" t="str">
        <f aca="false">IF(O317="","",IF(X317="",0,O317*IF(X317&gt;1,X317/100,X317)))</f>
        <v/>
      </c>
      <c r="Z317" s="28"/>
      <c r="AA317" s="34" t="str">
        <f aca="false">IF(Z317="","",IFERROR(VLOOKUP(Z317,REPS!$A$2:$D$40,4,0),""))</f>
        <v/>
      </c>
      <c r="AB317" s="31" t="str">
        <f aca="false">IF(O317="","",IF(AA317="",0,O317*IF(AA317&gt;1,AA317/100,AA317)))</f>
        <v/>
      </c>
      <c r="AC317" s="31" t="str">
        <f aca="false">IF(O317="","",V317+Y317+AB317)</f>
        <v/>
      </c>
      <c r="AD317" s="19" t="str">
        <f aca="false">IF(O317="","",O317-R317-AC317)</f>
        <v/>
      </c>
      <c r="AE317" s="20"/>
      <c r="AF317" s="27"/>
      <c r="AG317" s="21" t="n">
        <f aca="false">IF(OR(AE317="",AE317=0),0,AE317*IF(U317="",0,IF(U317&gt;1,U317/100,U317)))</f>
        <v>0</v>
      </c>
      <c r="AH317" s="21" t="n">
        <f aca="false">IF(OR(AE317="",AE317=0),0,AE317*IF(X317="",0,IF(X317&gt;1,X317/100,X317)))</f>
        <v>0</v>
      </c>
      <c r="AI317" s="21" t="n">
        <f aca="false">IF(OR(AE317="",AE317=0),0,AE317*IF(AA317="",0,IF(AA317&gt;1,AA317/100,AA317)))</f>
        <v>0</v>
      </c>
      <c r="AJ317" s="21" t="n">
        <f aca="false">AG317+AH317+AI317</f>
        <v>0</v>
      </c>
      <c r="AK317" s="21" t="n">
        <f aca="false">IF(OR(AE317="",AE317=0),0,AE317-AJ317)</f>
        <v>0</v>
      </c>
      <c r="AL317" s="19" t="str">
        <f aca="false">IF(AD317="","",AD317-AK317)</f>
        <v/>
      </c>
      <c r="AM317" s="26" t="str">
        <f aca="false">IF(C317="","","Waiting for payment")</f>
        <v/>
      </c>
      <c r="AN317" s="27"/>
      <c r="AO317" s="27"/>
      <c r="AP317" s="35" t="str">
        <f aca="false">IF(OR(C317="",I317="",K317=""),"",IF(K317="Monthly",EDATE(C317,ROUND(I317*SETTINGS!$I$8,0)),WORKDAY(C317,ROUND(I317*SETTINGS!$I$8,0))))</f>
        <v/>
      </c>
      <c r="AQ317" s="26" t="str">
        <f aca="true">IF(C317="","",IF(AND(AP317&lt;&gt;"",TODAY()&gt;=AP317),"Refi Ready",IF(TODAY()-C317&gt;=SETTINGS!$I$11,"Prospecting","Performing")))</f>
        <v/>
      </c>
      <c r="AR317" s="35" t="str">
        <f aca="false">IF(OR(C317="",I317="",K317=""),"",IF(K317="Monthly",EDATE(C317,I317),WORKDAY(C317,I317)))</f>
        <v/>
      </c>
      <c r="AS317" s="28"/>
      <c r="AT317" s="36" t="str">
        <f aca="true">IF(C317="","",IF(AM317="Clawed Back","CLAWED",IF(TODAY()&lt;=C317+SETTINGS!$I$2,"⚠ AT RISK","SAFE")))</f>
        <v/>
      </c>
      <c r="AU317" s="28"/>
      <c r="AW317" s="24" t="n">
        <f aca="false">AW316+IF(AND(C317&lt;&gt;"",AO317&lt;&gt;"",OR('REP COMMISSION'!$B$3="",T317='REP COMMISSION'!$B$3,W317='REP COMMISSION'!$B$3,Z317='REP COMMISSION'!$B$3)),1,0)</f>
        <v>0</v>
      </c>
      <c r="AX317" s="24" t="n">
        <f aca="false">AX316+IF(AND(C317&lt;&gt;"",OR(F317="LOC - INITIAL",F317="CONSOLIDATION - UPFRONT COMM",F317="REVERSE - TOTAL FUNDING")),1,0)</f>
        <v>0</v>
      </c>
    </row>
    <row r="318" customFormat="false" ht="15" hidden="false" customHeight="false" outlineLevel="0" collapsed="false">
      <c r="A318" s="8" t="str">
        <f aca="false">IF(C318&lt;&gt;"","F27-"&amp;COUNT($C$4:C318),"")</f>
        <v/>
      </c>
      <c r="B318" s="9" t="str">
        <f aca="false">IF(OR(F318="LOC - INITIAL",F318="CONSOLIDATION - UPFRONT COMM",F318="REVERSE - TOTAL FUNDING"),A318,"")</f>
        <v/>
      </c>
      <c r="C318" s="10"/>
      <c r="D318" s="11"/>
      <c r="E318" s="11"/>
      <c r="F318" s="11"/>
      <c r="G318" s="12"/>
      <c r="H318" s="13"/>
      <c r="I318" s="11"/>
      <c r="J318" s="14" t="str">
        <f aca="false">IF(AND(G318&lt;&gt;"",H318&lt;&gt;""),G318*H318,"")</f>
        <v/>
      </c>
      <c r="K318" s="11"/>
      <c r="L318" s="15"/>
      <c r="M318" s="15"/>
      <c r="N318" s="14" t="n">
        <f aca="false">IF(OR(G318="",M318=""),0,IF(M318&gt;100,M318,G318*IF(M318&gt;1,M318/100,M318)))</f>
        <v>0</v>
      </c>
      <c r="O318" s="14" t="str">
        <f aca="false">IF(G318="","",G318*IF(L318="",0,IF(L318&gt;1,L318/100,L318))+N318)</f>
        <v/>
      </c>
      <c r="P318" s="11"/>
      <c r="Q318" s="16" t="str">
        <f aca="false">IF(P318="","",IFERROR(VLOOKUP(P318,PARTNERS!$A$2:$B$30,2,0),""))</f>
        <v/>
      </c>
      <c r="R318" s="17" t="str">
        <f aca="false">IF(O318="","",IF(OR(P318="",Q318=""),0,(O318-N318)*IF(Q318&gt;1,Q318/100,Q318)))</f>
        <v/>
      </c>
      <c r="S318" s="14" t="str">
        <f aca="false">IF(O318="","",O318-R318)</f>
        <v/>
      </c>
      <c r="T318" s="11"/>
      <c r="U318" s="18" t="str">
        <f aca="false">IF(T318="","",IFERROR(VLOOKUP(T318,REPS!$A$2:$D$40,2,0),""))</f>
        <v/>
      </c>
      <c r="V318" s="14" t="str">
        <f aca="false">IF(O318="","",IF(U318="",0,O318*IF(U318&gt;1,U318/100,U318)))</f>
        <v/>
      </c>
      <c r="W318" s="11"/>
      <c r="X318" s="18" t="str">
        <f aca="false">IF(W318="","",IFERROR(VLOOKUP(W318,REPS!$A$2:$D$40,3,0),""))</f>
        <v/>
      </c>
      <c r="Y318" s="14" t="str">
        <f aca="false">IF(O318="","",IF(X318="",0,O318*IF(X318&gt;1,X318/100,X318)))</f>
        <v/>
      </c>
      <c r="Z318" s="11"/>
      <c r="AA318" s="18" t="str">
        <f aca="false">IF(Z318="","",IFERROR(VLOOKUP(Z318,REPS!$A$2:$D$40,4,0),""))</f>
        <v/>
      </c>
      <c r="AB318" s="14" t="str">
        <f aca="false">IF(O318="","",IF(AA318="",0,O318*IF(AA318&gt;1,AA318/100,AA318)))</f>
        <v/>
      </c>
      <c r="AC318" s="14" t="str">
        <f aca="false">IF(O318="","",V318+Y318+AB318)</f>
        <v/>
      </c>
      <c r="AD318" s="19" t="str">
        <f aca="false">IF(O318="","",O318-R318-AC318)</f>
        <v/>
      </c>
      <c r="AE318" s="20"/>
      <c r="AF318" s="10"/>
      <c r="AG318" s="21" t="n">
        <f aca="false">IF(OR(AE318="",AE318=0),0,AE318*IF(U318="",0,IF(U318&gt;1,U318/100,U318)))</f>
        <v>0</v>
      </c>
      <c r="AH318" s="21" t="n">
        <f aca="false">IF(OR(AE318="",AE318=0),0,AE318*IF(X318="",0,IF(X318&gt;1,X318/100,X318)))</f>
        <v>0</v>
      </c>
      <c r="AI318" s="21" t="n">
        <f aca="false">IF(OR(AE318="",AE318=0),0,AE318*IF(AA318="",0,IF(AA318&gt;1,AA318/100,AA318)))</f>
        <v>0</v>
      </c>
      <c r="AJ318" s="21" t="n">
        <f aca="false">AG318+AH318+AI318</f>
        <v>0</v>
      </c>
      <c r="AK318" s="21" t="n">
        <f aca="false">IF(OR(AE318="",AE318=0),0,AE318-AJ318)</f>
        <v>0</v>
      </c>
      <c r="AL318" s="19" t="str">
        <f aca="false">IF(AD318="","",AD318-AK318)</f>
        <v/>
      </c>
      <c r="AM318" s="9" t="str">
        <f aca="false">IF(C318="","","Waiting for payment")</f>
        <v/>
      </c>
      <c r="AN318" s="10"/>
      <c r="AO318" s="10"/>
      <c r="AP318" s="22" t="str">
        <f aca="false">IF(OR(C318="",I318="",K318=""),"",IF(K318="Monthly",EDATE(C318,ROUND(I318*SETTINGS!$I$8,0)),WORKDAY(C318,ROUND(I318*SETTINGS!$I$8,0))))</f>
        <v/>
      </c>
      <c r="AQ318" s="9" t="str">
        <f aca="true">IF(C318="","",IF(AND(AP318&lt;&gt;"",TODAY()&gt;=AP318),"Refi Ready",IF(TODAY()-C318&gt;=SETTINGS!$I$11,"Prospecting","Performing")))</f>
        <v/>
      </c>
      <c r="AR318" s="22" t="str">
        <f aca="false">IF(OR(C318="",I318="",K318=""),"",IF(K318="Monthly",EDATE(C318,I318),WORKDAY(C318,I318)))</f>
        <v/>
      </c>
      <c r="AS318" s="11"/>
      <c r="AT318" s="23" t="str">
        <f aca="true">IF(C318="","",IF(AM318="Clawed Back","CLAWED",IF(TODAY()&lt;=C318+SETTINGS!$I$2,"⚠ AT RISK","SAFE")))</f>
        <v/>
      </c>
      <c r="AU318" s="11"/>
      <c r="AW318" s="24" t="n">
        <f aca="false">AW317+IF(AND(C318&lt;&gt;"",AO318&lt;&gt;"",OR('REP COMMISSION'!$B$3="",T318='REP COMMISSION'!$B$3,W318='REP COMMISSION'!$B$3,Z318='REP COMMISSION'!$B$3)),1,0)</f>
        <v>0</v>
      </c>
      <c r="AX318" s="24" t="n">
        <f aca="false">AX317+IF(AND(C318&lt;&gt;"",OR(F318="LOC - INITIAL",F318="CONSOLIDATION - UPFRONT COMM",F318="REVERSE - TOTAL FUNDING")),1,0)</f>
        <v>0</v>
      </c>
    </row>
    <row r="319" customFormat="false" ht="15" hidden="false" customHeight="false" outlineLevel="0" collapsed="false">
      <c r="A319" s="25" t="str">
        <f aca="false">IF(C319&lt;&gt;"","F27-"&amp;COUNT($C$4:C319),"")</f>
        <v/>
      </c>
      <c r="B319" s="26" t="str">
        <f aca="false">IF(OR(F319="LOC - INITIAL",F319="CONSOLIDATION - UPFRONT COMM",F319="REVERSE - TOTAL FUNDING"),A319,"")</f>
        <v/>
      </c>
      <c r="C319" s="27"/>
      <c r="D319" s="28"/>
      <c r="E319" s="28"/>
      <c r="F319" s="28"/>
      <c r="G319" s="29"/>
      <c r="H319" s="30"/>
      <c r="I319" s="28"/>
      <c r="J319" s="31" t="str">
        <f aca="false">IF(AND(G319&lt;&gt;"",H319&lt;&gt;""),G319*H319,"")</f>
        <v/>
      </c>
      <c r="K319" s="28"/>
      <c r="L319" s="32"/>
      <c r="M319" s="32"/>
      <c r="N319" s="31" t="n">
        <f aca="false">IF(OR(G319="",M319=""),0,IF(M319&gt;100,M319,G319*IF(M319&gt;1,M319/100,M319)))</f>
        <v>0</v>
      </c>
      <c r="O319" s="31" t="str">
        <f aca="false">IF(G319="","",G319*IF(L319="",0,IF(L319&gt;1,L319/100,L319))+N319)</f>
        <v/>
      </c>
      <c r="P319" s="28"/>
      <c r="Q319" s="33" t="str">
        <f aca="false">IF(P319="","",IFERROR(VLOOKUP(P319,PARTNERS!$A$2:$B$30,2,0),""))</f>
        <v/>
      </c>
      <c r="R319" s="17" t="str">
        <f aca="false">IF(O319="","",IF(OR(P319="",Q319=""),0,(O319-N319)*IF(Q319&gt;1,Q319/100,Q319)))</f>
        <v/>
      </c>
      <c r="S319" s="31" t="str">
        <f aca="false">IF(O319="","",O319-R319)</f>
        <v/>
      </c>
      <c r="T319" s="28"/>
      <c r="U319" s="34" t="str">
        <f aca="false">IF(T319="","",IFERROR(VLOOKUP(T319,REPS!$A$2:$D$40,2,0),""))</f>
        <v/>
      </c>
      <c r="V319" s="31" t="str">
        <f aca="false">IF(O319="","",IF(U319="",0,O319*IF(U319&gt;1,U319/100,U319)))</f>
        <v/>
      </c>
      <c r="W319" s="28"/>
      <c r="X319" s="34" t="str">
        <f aca="false">IF(W319="","",IFERROR(VLOOKUP(W319,REPS!$A$2:$D$40,3,0),""))</f>
        <v/>
      </c>
      <c r="Y319" s="31" t="str">
        <f aca="false">IF(O319="","",IF(X319="",0,O319*IF(X319&gt;1,X319/100,X319)))</f>
        <v/>
      </c>
      <c r="Z319" s="28"/>
      <c r="AA319" s="34" t="str">
        <f aca="false">IF(Z319="","",IFERROR(VLOOKUP(Z319,REPS!$A$2:$D$40,4,0),""))</f>
        <v/>
      </c>
      <c r="AB319" s="31" t="str">
        <f aca="false">IF(O319="","",IF(AA319="",0,O319*IF(AA319&gt;1,AA319/100,AA319)))</f>
        <v/>
      </c>
      <c r="AC319" s="31" t="str">
        <f aca="false">IF(O319="","",V319+Y319+AB319)</f>
        <v/>
      </c>
      <c r="AD319" s="19" t="str">
        <f aca="false">IF(O319="","",O319-R319-AC319)</f>
        <v/>
      </c>
      <c r="AE319" s="20"/>
      <c r="AF319" s="27"/>
      <c r="AG319" s="21" t="n">
        <f aca="false">IF(OR(AE319="",AE319=0),0,AE319*IF(U319="",0,IF(U319&gt;1,U319/100,U319)))</f>
        <v>0</v>
      </c>
      <c r="AH319" s="21" t="n">
        <f aca="false">IF(OR(AE319="",AE319=0),0,AE319*IF(X319="",0,IF(X319&gt;1,X319/100,X319)))</f>
        <v>0</v>
      </c>
      <c r="AI319" s="21" t="n">
        <f aca="false">IF(OR(AE319="",AE319=0),0,AE319*IF(AA319="",0,IF(AA319&gt;1,AA319/100,AA319)))</f>
        <v>0</v>
      </c>
      <c r="AJ319" s="21" t="n">
        <f aca="false">AG319+AH319+AI319</f>
        <v>0</v>
      </c>
      <c r="AK319" s="21" t="n">
        <f aca="false">IF(OR(AE319="",AE319=0),0,AE319-AJ319)</f>
        <v>0</v>
      </c>
      <c r="AL319" s="19" t="str">
        <f aca="false">IF(AD319="","",AD319-AK319)</f>
        <v/>
      </c>
      <c r="AM319" s="26" t="str">
        <f aca="false">IF(C319="","","Waiting for payment")</f>
        <v/>
      </c>
      <c r="AN319" s="27"/>
      <c r="AO319" s="27"/>
      <c r="AP319" s="35" t="str">
        <f aca="false">IF(OR(C319="",I319="",K319=""),"",IF(K319="Monthly",EDATE(C319,ROUND(I319*SETTINGS!$I$8,0)),WORKDAY(C319,ROUND(I319*SETTINGS!$I$8,0))))</f>
        <v/>
      </c>
      <c r="AQ319" s="26" t="str">
        <f aca="true">IF(C319="","",IF(AND(AP319&lt;&gt;"",TODAY()&gt;=AP319),"Refi Ready",IF(TODAY()-C319&gt;=SETTINGS!$I$11,"Prospecting","Performing")))</f>
        <v/>
      </c>
      <c r="AR319" s="35" t="str">
        <f aca="false">IF(OR(C319="",I319="",K319=""),"",IF(K319="Monthly",EDATE(C319,I319),WORKDAY(C319,I319)))</f>
        <v/>
      </c>
      <c r="AS319" s="28"/>
      <c r="AT319" s="36" t="str">
        <f aca="true">IF(C319="","",IF(AM319="Clawed Back","CLAWED",IF(TODAY()&lt;=C319+SETTINGS!$I$2,"⚠ AT RISK","SAFE")))</f>
        <v/>
      </c>
      <c r="AU319" s="28"/>
      <c r="AW319" s="24" t="n">
        <f aca="false">AW318+IF(AND(C319&lt;&gt;"",AO319&lt;&gt;"",OR('REP COMMISSION'!$B$3="",T319='REP COMMISSION'!$B$3,W319='REP COMMISSION'!$B$3,Z319='REP COMMISSION'!$B$3)),1,0)</f>
        <v>0</v>
      </c>
      <c r="AX319" s="24" t="n">
        <f aca="false">AX318+IF(AND(C319&lt;&gt;"",OR(F319="LOC - INITIAL",F319="CONSOLIDATION - UPFRONT COMM",F319="REVERSE - TOTAL FUNDING")),1,0)</f>
        <v>0</v>
      </c>
    </row>
    <row r="320" customFormat="false" ht="15" hidden="false" customHeight="false" outlineLevel="0" collapsed="false">
      <c r="A320" s="8" t="str">
        <f aca="false">IF(C320&lt;&gt;"","F27-"&amp;COUNT($C$4:C320),"")</f>
        <v/>
      </c>
      <c r="B320" s="9" t="str">
        <f aca="false">IF(OR(F320="LOC - INITIAL",F320="CONSOLIDATION - UPFRONT COMM",F320="REVERSE - TOTAL FUNDING"),A320,"")</f>
        <v/>
      </c>
      <c r="C320" s="10"/>
      <c r="D320" s="11"/>
      <c r="E320" s="11"/>
      <c r="F320" s="11"/>
      <c r="G320" s="12"/>
      <c r="H320" s="13"/>
      <c r="I320" s="11"/>
      <c r="J320" s="14" t="str">
        <f aca="false">IF(AND(G320&lt;&gt;"",H320&lt;&gt;""),G320*H320,"")</f>
        <v/>
      </c>
      <c r="K320" s="11"/>
      <c r="L320" s="15"/>
      <c r="M320" s="15"/>
      <c r="N320" s="14" t="n">
        <f aca="false">IF(OR(G320="",M320=""),0,IF(M320&gt;100,M320,G320*IF(M320&gt;1,M320/100,M320)))</f>
        <v>0</v>
      </c>
      <c r="O320" s="14" t="str">
        <f aca="false">IF(G320="","",G320*IF(L320="",0,IF(L320&gt;1,L320/100,L320))+N320)</f>
        <v/>
      </c>
      <c r="P320" s="11"/>
      <c r="Q320" s="16" t="str">
        <f aca="false">IF(P320="","",IFERROR(VLOOKUP(P320,PARTNERS!$A$2:$B$30,2,0),""))</f>
        <v/>
      </c>
      <c r="R320" s="17" t="str">
        <f aca="false">IF(O320="","",IF(OR(P320="",Q320=""),0,(O320-N320)*IF(Q320&gt;1,Q320/100,Q320)))</f>
        <v/>
      </c>
      <c r="S320" s="14" t="str">
        <f aca="false">IF(O320="","",O320-R320)</f>
        <v/>
      </c>
      <c r="T320" s="11"/>
      <c r="U320" s="18" t="str">
        <f aca="false">IF(T320="","",IFERROR(VLOOKUP(T320,REPS!$A$2:$D$40,2,0),""))</f>
        <v/>
      </c>
      <c r="V320" s="14" t="str">
        <f aca="false">IF(O320="","",IF(U320="",0,O320*IF(U320&gt;1,U320/100,U320)))</f>
        <v/>
      </c>
      <c r="W320" s="11"/>
      <c r="X320" s="18" t="str">
        <f aca="false">IF(W320="","",IFERROR(VLOOKUP(W320,REPS!$A$2:$D$40,3,0),""))</f>
        <v/>
      </c>
      <c r="Y320" s="14" t="str">
        <f aca="false">IF(O320="","",IF(X320="",0,O320*IF(X320&gt;1,X320/100,X320)))</f>
        <v/>
      </c>
      <c r="Z320" s="11"/>
      <c r="AA320" s="18" t="str">
        <f aca="false">IF(Z320="","",IFERROR(VLOOKUP(Z320,REPS!$A$2:$D$40,4,0),""))</f>
        <v/>
      </c>
      <c r="AB320" s="14" t="str">
        <f aca="false">IF(O320="","",IF(AA320="",0,O320*IF(AA320&gt;1,AA320/100,AA320)))</f>
        <v/>
      </c>
      <c r="AC320" s="14" t="str">
        <f aca="false">IF(O320="","",V320+Y320+AB320)</f>
        <v/>
      </c>
      <c r="AD320" s="19" t="str">
        <f aca="false">IF(O320="","",O320-R320-AC320)</f>
        <v/>
      </c>
      <c r="AE320" s="20"/>
      <c r="AF320" s="10"/>
      <c r="AG320" s="21" t="n">
        <f aca="false">IF(OR(AE320="",AE320=0),0,AE320*IF(U320="",0,IF(U320&gt;1,U320/100,U320)))</f>
        <v>0</v>
      </c>
      <c r="AH320" s="21" t="n">
        <f aca="false">IF(OR(AE320="",AE320=0),0,AE320*IF(X320="",0,IF(X320&gt;1,X320/100,X320)))</f>
        <v>0</v>
      </c>
      <c r="AI320" s="21" t="n">
        <f aca="false">IF(OR(AE320="",AE320=0),0,AE320*IF(AA320="",0,IF(AA320&gt;1,AA320/100,AA320)))</f>
        <v>0</v>
      </c>
      <c r="AJ320" s="21" t="n">
        <f aca="false">AG320+AH320+AI320</f>
        <v>0</v>
      </c>
      <c r="AK320" s="21" t="n">
        <f aca="false">IF(OR(AE320="",AE320=0),0,AE320-AJ320)</f>
        <v>0</v>
      </c>
      <c r="AL320" s="19" t="str">
        <f aca="false">IF(AD320="","",AD320-AK320)</f>
        <v/>
      </c>
      <c r="AM320" s="9" t="str">
        <f aca="false">IF(C320="","","Waiting for payment")</f>
        <v/>
      </c>
      <c r="AN320" s="10"/>
      <c r="AO320" s="10"/>
      <c r="AP320" s="22" t="str">
        <f aca="false">IF(OR(C320="",I320="",K320=""),"",IF(K320="Monthly",EDATE(C320,ROUND(I320*SETTINGS!$I$8,0)),WORKDAY(C320,ROUND(I320*SETTINGS!$I$8,0))))</f>
        <v/>
      </c>
      <c r="AQ320" s="9" t="str">
        <f aca="true">IF(C320="","",IF(AND(AP320&lt;&gt;"",TODAY()&gt;=AP320),"Refi Ready",IF(TODAY()-C320&gt;=SETTINGS!$I$11,"Prospecting","Performing")))</f>
        <v/>
      </c>
      <c r="AR320" s="22" t="str">
        <f aca="false">IF(OR(C320="",I320="",K320=""),"",IF(K320="Monthly",EDATE(C320,I320),WORKDAY(C320,I320)))</f>
        <v/>
      </c>
      <c r="AS320" s="11"/>
      <c r="AT320" s="23" t="str">
        <f aca="true">IF(C320="","",IF(AM320="Clawed Back","CLAWED",IF(TODAY()&lt;=C320+SETTINGS!$I$2,"⚠ AT RISK","SAFE")))</f>
        <v/>
      </c>
      <c r="AU320" s="11"/>
      <c r="AW320" s="24" t="n">
        <f aca="false">AW319+IF(AND(C320&lt;&gt;"",AO320&lt;&gt;"",OR('REP COMMISSION'!$B$3="",T320='REP COMMISSION'!$B$3,W320='REP COMMISSION'!$B$3,Z320='REP COMMISSION'!$B$3)),1,0)</f>
        <v>0</v>
      </c>
      <c r="AX320" s="24" t="n">
        <f aca="false">AX319+IF(AND(C320&lt;&gt;"",OR(F320="LOC - INITIAL",F320="CONSOLIDATION - UPFRONT COMM",F320="REVERSE - TOTAL FUNDING")),1,0)</f>
        <v>0</v>
      </c>
    </row>
    <row r="321" customFormat="false" ht="15" hidden="false" customHeight="false" outlineLevel="0" collapsed="false">
      <c r="A321" s="25" t="str">
        <f aca="false">IF(C321&lt;&gt;"","F27-"&amp;COUNT($C$4:C321),"")</f>
        <v/>
      </c>
      <c r="B321" s="26" t="str">
        <f aca="false">IF(OR(F321="LOC - INITIAL",F321="CONSOLIDATION - UPFRONT COMM",F321="REVERSE - TOTAL FUNDING"),A321,"")</f>
        <v/>
      </c>
      <c r="C321" s="27"/>
      <c r="D321" s="28"/>
      <c r="E321" s="28"/>
      <c r="F321" s="28"/>
      <c r="G321" s="29"/>
      <c r="H321" s="30"/>
      <c r="I321" s="28"/>
      <c r="J321" s="31" t="str">
        <f aca="false">IF(AND(G321&lt;&gt;"",H321&lt;&gt;""),G321*H321,"")</f>
        <v/>
      </c>
      <c r="K321" s="28"/>
      <c r="L321" s="32"/>
      <c r="M321" s="32"/>
      <c r="N321" s="31" t="n">
        <f aca="false">IF(OR(G321="",M321=""),0,IF(M321&gt;100,M321,G321*IF(M321&gt;1,M321/100,M321)))</f>
        <v>0</v>
      </c>
      <c r="O321" s="31" t="str">
        <f aca="false">IF(G321="","",G321*IF(L321="",0,IF(L321&gt;1,L321/100,L321))+N321)</f>
        <v/>
      </c>
      <c r="P321" s="28"/>
      <c r="Q321" s="33" t="str">
        <f aca="false">IF(P321="","",IFERROR(VLOOKUP(P321,PARTNERS!$A$2:$B$30,2,0),""))</f>
        <v/>
      </c>
      <c r="R321" s="17" t="str">
        <f aca="false">IF(O321="","",IF(OR(P321="",Q321=""),0,(O321-N321)*IF(Q321&gt;1,Q321/100,Q321)))</f>
        <v/>
      </c>
      <c r="S321" s="31" t="str">
        <f aca="false">IF(O321="","",O321-R321)</f>
        <v/>
      </c>
      <c r="T321" s="28"/>
      <c r="U321" s="34" t="str">
        <f aca="false">IF(T321="","",IFERROR(VLOOKUP(T321,REPS!$A$2:$D$40,2,0),""))</f>
        <v/>
      </c>
      <c r="V321" s="31" t="str">
        <f aca="false">IF(O321="","",IF(U321="",0,O321*IF(U321&gt;1,U321/100,U321)))</f>
        <v/>
      </c>
      <c r="W321" s="28"/>
      <c r="X321" s="34" t="str">
        <f aca="false">IF(W321="","",IFERROR(VLOOKUP(W321,REPS!$A$2:$D$40,3,0),""))</f>
        <v/>
      </c>
      <c r="Y321" s="31" t="str">
        <f aca="false">IF(O321="","",IF(X321="",0,O321*IF(X321&gt;1,X321/100,X321)))</f>
        <v/>
      </c>
      <c r="Z321" s="28"/>
      <c r="AA321" s="34" t="str">
        <f aca="false">IF(Z321="","",IFERROR(VLOOKUP(Z321,REPS!$A$2:$D$40,4,0),""))</f>
        <v/>
      </c>
      <c r="AB321" s="31" t="str">
        <f aca="false">IF(O321="","",IF(AA321="",0,O321*IF(AA321&gt;1,AA321/100,AA321)))</f>
        <v/>
      </c>
      <c r="AC321" s="31" t="str">
        <f aca="false">IF(O321="","",V321+Y321+AB321)</f>
        <v/>
      </c>
      <c r="AD321" s="19" t="str">
        <f aca="false">IF(O321="","",O321-R321-AC321)</f>
        <v/>
      </c>
      <c r="AE321" s="20"/>
      <c r="AF321" s="27"/>
      <c r="AG321" s="21" t="n">
        <f aca="false">IF(OR(AE321="",AE321=0),0,AE321*IF(U321="",0,IF(U321&gt;1,U321/100,U321)))</f>
        <v>0</v>
      </c>
      <c r="AH321" s="21" t="n">
        <f aca="false">IF(OR(AE321="",AE321=0),0,AE321*IF(X321="",0,IF(X321&gt;1,X321/100,X321)))</f>
        <v>0</v>
      </c>
      <c r="AI321" s="21" t="n">
        <f aca="false">IF(OR(AE321="",AE321=0),0,AE321*IF(AA321="",0,IF(AA321&gt;1,AA321/100,AA321)))</f>
        <v>0</v>
      </c>
      <c r="AJ321" s="21" t="n">
        <f aca="false">AG321+AH321+AI321</f>
        <v>0</v>
      </c>
      <c r="AK321" s="21" t="n">
        <f aca="false">IF(OR(AE321="",AE321=0),0,AE321-AJ321)</f>
        <v>0</v>
      </c>
      <c r="AL321" s="19" t="str">
        <f aca="false">IF(AD321="","",AD321-AK321)</f>
        <v/>
      </c>
      <c r="AM321" s="26" t="str">
        <f aca="false">IF(C321="","","Waiting for payment")</f>
        <v/>
      </c>
      <c r="AN321" s="27"/>
      <c r="AO321" s="27"/>
      <c r="AP321" s="35" t="str">
        <f aca="false">IF(OR(C321="",I321="",K321=""),"",IF(K321="Monthly",EDATE(C321,ROUND(I321*SETTINGS!$I$8,0)),WORKDAY(C321,ROUND(I321*SETTINGS!$I$8,0))))</f>
        <v/>
      </c>
      <c r="AQ321" s="26" t="str">
        <f aca="true">IF(C321="","",IF(AND(AP321&lt;&gt;"",TODAY()&gt;=AP321),"Refi Ready",IF(TODAY()-C321&gt;=SETTINGS!$I$11,"Prospecting","Performing")))</f>
        <v/>
      </c>
      <c r="AR321" s="35" t="str">
        <f aca="false">IF(OR(C321="",I321="",K321=""),"",IF(K321="Monthly",EDATE(C321,I321),WORKDAY(C321,I321)))</f>
        <v/>
      </c>
      <c r="AS321" s="28"/>
      <c r="AT321" s="36" t="str">
        <f aca="true">IF(C321="","",IF(AM321="Clawed Back","CLAWED",IF(TODAY()&lt;=C321+SETTINGS!$I$2,"⚠ AT RISK","SAFE")))</f>
        <v/>
      </c>
      <c r="AU321" s="28"/>
      <c r="AW321" s="24" t="n">
        <f aca="false">AW320+IF(AND(C321&lt;&gt;"",AO321&lt;&gt;"",OR('REP COMMISSION'!$B$3="",T321='REP COMMISSION'!$B$3,W321='REP COMMISSION'!$B$3,Z321='REP COMMISSION'!$B$3)),1,0)</f>
        <v>0</v>
      </c>
      <c r="AX321" s="24" t="n">
        <f aca="false">AX320+IF(AND(C321&lt;&gt;"",OR(F321="LOC - INITIAL",F321="CONSOLIDATION - UPFRONT COMM",F321="REVERSE - TOTAL FUNDING")),1,0)</f>
        <v>0</v>
      </c>
    </row>
    <row r="322" customFormat="false" ht="15" hidden="false" customHeight="false" outlineLevel="0" collapsed="false">
      <c r="A322" s="8" t="str">
        <f aca="false">IF(C322&lt;&gt;"","F27-"&amp;COUNT($C$4:C322),"")</f>
        <v/>
      </c>
      <c r="B322" s="9" t="str">
        <f aca="false">IF(OR(F322="LOC - INITIAL",F322="CONSOLIDATION - UPFRONT COMM",F322="REVERSE - TOTAL FUNDING"),A322,"")</f>
        <v/>
      </c>
      <c r="C322" s="10"/>
      <c r="D322" s="11"/>
      <c r="E322" s="11"/>
      <c r="F322" s="11"/>
      <c r="G322" s="12"/>
      <c r="H322" s="13"/>
      <c r="I322" s="11"/>
      <c r="J322" s="14" t="str">
        <f aca="false">IF(AND(G322&lt;&gt;"",H322&lt;&gt;""),G322*H322,"")</f>
        <v/>
      </c>
      <c r="K322" s="11"/>
      <c r="L322" s="15"/>
      <c r="M322" s="15"/>
      <c r="N322" s="14" t="n">
        <f aca="false">IF(OR(G322="",M322=""),0,IF(M322&gt;100,M322,G322*IF(M322&gt;1,M322/100,M322)))</f>
        <v>0</v>
      </c>
      <c r="O322" s="14" t="str">
        <f aca="false">IF(G322="","",G322*IF(L322="",0,IF(L322&gt;1,L322/100,L322))+N322)</f>
        <v/>
      </c>
      <c r="P322" s="11"/>
      <c r="Q322" s="16" t="str">
        <f aca="false">IF(P322="","",IFERROR(VLOOKUP(P322,PARTNERS!$A$2:$B$30,2,0),""))</f>
        <v/>
      </c>
      <c r="R322" s="17" t="str">
        <f aca="false">IF(O322="","",IF(OR(P322="",Q322=""),0,(O322-N322)*IF(Q322&gt;1,Q322/100,Q322)))</f>
        <v/>
      </c>
      <c r="S322" s="14" t="str">
        <f aca="false">IF(O322="","",O322-R322)</f>
        <v/>
      </c>
      <c r="T322" s="11"/>
      <c r="U322" s="18" t="str">
        <f aca="false">IF(T322="","",IFERROR(VLOOKUP(T322,REPS!$A$2:$D$40,2,0),""))</f>
        <v/>
      </c>
      <c r="V322" s="14" t="str">
        <f aca="false">IF(O322="","",IF(U322="",0,O322*IF(U322&gt;1,U322/100,U322)))</f>
        <v/>
      </c>
      <c r="W322" s="11"/>
      <c r="X322" s="18" t="str">
        <f aca="false">IF(W322="","",IFERROR(VLOOKUP(W322,REPS!$A$2:$D$40,3,0),""))</f>
        <v/>
      </c>
      <c r="Y322" s="14" t="str">
        <f aca="false">IF(O322="","",IF(X322="",0,O322*IF(X322&gt;1,X322/100,X322)))</f>
        <v/>
      </c>
      <c r="Z322" s="11"/>
      <c r="AA322" s="18" t="str">
        <f aca="false">IF(Z322="","",IFERROR(VLOOKUP(Z322,REPS!$A$2:$D$40,4,0),""))</f>
        <v/>
      </c>
      <c r="AB322" s="14" t="str">
        <f aca="false">IF(O322="","",IF(AA322="",0,O322*IF(AA322&gt;1,AA322/100,AA322)))</f>
        <v/>
      </c>
      <c r="AC322" s="14" t="str">
        <f aca="false">IF(O322="","",V322+Y322+AB322)</f>
        <v/>
      </c>
      <c r="AD322" s="19" t="str">
        <f aca="false">IF(O322="","",O322-R322-AC322)</f>
        <v/>
      </c>
      <c r="AE322" s="20"/>
      <c r="AF322" s="10"/>
      <c r="AG322" s="21" t="n">
        <f aca="false">IF(OR(AE322="",AE322=0),0,AE322*IF(U322="",0,IF(U322&gt;1,U322/100,U322)))</f>
        <v>0</v>
      </c>
      <c r="AH322" s="21" t="n">
        <f aca="false">IF(OR(AE322="",AE322=0),0,AE322*IF(X322="",0,IF(X322&gt;1,X322/100,X322)))</f>
        <v>0</v>
      </c>
      <c r="AI322" s="21" t="n">
        <f aca="false">IF(OR(AE322="",AE322=0),0,AE322*IF(AA322="",0,IF(AA322&gt;1,AA322/100,AA322)))</f>
        <v>0</v>
      </c>
      <c r="AJ322" s="21" t="n">
        <f aca="false">AG322+AH322+AI322</f>
        <v>0</v>
      </c>
      <c r="AK322" s="21" t="n">
        <f aca="false">IF(OR(AE322="",AE322=0),0,AE322-AJ322)</f>
        <v>0</v>
      </c>
      <c r="AL322" s="19" t="str">
        <f aca="false">IF(AD322="","",AD322-AK322)</f>
        <v/>
      </c>
      <c r="AM322" s="9" t="str">
        <f aca="false">IF(C322="","","Waiting for payment")</f>
        <v/>
      </c>
      <c r="AN322" s="10"/>
      <c r="AO322" s="10"/>
      <c r="AP322" s="22" t="str">
        <f aca="false">IF(OR(C322="",I322="",K322=""),"",IF(K322="Monthly",EDATE(C322,ROUND(I322*SETTINGS!$I$8,0)),WORKDAY(C322,ROUND(I322*SETTINGS!$I$8,0))))</f>
        <v/>
      </c>
      <c r="AQ322" s="9" t="str">
        <f aca="true">IF(C322="","",IF(AND(AP322&lt;&gt;"",TODAY()&gt;=AP322),"Refi Ready",IF(TODAY()-C322&gt;=SETTINGS!$I$11,"Prospecting","Performing")))</f>
        <v/>
      </c>
      <c r="AR322" s="22" t="str">
        <f aca="false">IF(OR(C322="",I322="",K322=""),"",IF(K322="Monthly",EDATE(C322,I322),WORKDAY(C322,I322)))</f>
        <v/>
      </c>
      <c r="AS322" s="11"/>
      <c r="AT322" s="23" t="str">
        <f aca="true">IF(C322="","",IF(AM322="Clawed Back","CLAWED",IF(TODAY()&lt;=C322+SETTINGS!$I$2,"⚠ AT RISK","SAFE")))</f>
        <v/>
      </c>
      <c r="AU322" s="11"/>
      <c r="AW322" s="24" t="n">
        <f aca="false">AW321+IF(AND(C322&lt;&gt;"",AO322&lt;&gt;"",OR('REP COMMISSION'!$B$3="",T322='REP COMMISSION'!$B$3,W322='REP COMMISSION'!$B$3,Z322='REP COMMISSION'!$B$3)),1,0)</f>
        <v>0</v>
      </c>
      <c r="AX322" s="24" t="n">
        <f aca="false">AX321+IF(AND(C322&lt;&gt;"",OR(F322="LOC - INITIAL",F322="CONSOLIDATION - UPFRONT COMM",F322="REVERSE - TOTAL FUNDING")),1,0)</f>
        <v>0</v>
      </c>
    </row>
    <row r="323" customFormat="false" ht="15" hidden="false" customHeight="false" outlineLevel="0" collapsed="false">
      <c r="A323" s="25" t="str">
        <f aca="false">IF(C323&lt;&gt;"","F27-"&amp;COUNT($C$4:C323),"")</f>
        <v/>
      </c>
      <c r="B323" s="26" t="str">
        <f aca="false">IF(OR(F323="LOC - INITIAL",F323="CONSOLIDATION - UPFRONT COMM",F323="REVERSE - TOTAL FUNDING"),A323,"")</f>
        <v/>
      </c>
      <c r="C323" s="27"/>
      <c r="D323" s="28"/>
      <c r="E323" s="28"/>
      <c r="F323" s="28"/>
      <c r="G323" s="29"/>
      <c r="H323" s="30"/>
      <c r="I323" s="28"/>
      <c r="J323" s="31" t="str">
        <f aca="false">IF(AND(G323&lt;&gt;"",H323&lt;&gt;""),G323*H323,"")</f>
        <v/>
      </c>
      <c r="K323" s="28"/>
      <c r="L323" s="32"/>
      <c r="M323" s="32"/>
      <c r="N323" s="31" t="n">
        <f aca="false">IF(OR(G323="",M323=""),0,IF(M323&gt;100,M323,G323*IF(M323&gt;1,M323/100,M323)))</f>
        <v>0</v>
      </c>
      <c r="O323" s="31" t="str">
        <f aca="false">IF(G323="","",G323*IF(L323="",0,IF(L323&gt;1,L323/100,L323))+N323)</f>
        <v/>
      </c>
      <c r="P323" s="28"/>
      <c r="Q323" s="33" t="str">
        <f aca="false">IF(P323="","",IFERROR(VLOOKUP(P323,PARTNERS!$A$2:$B$30,2,0),""))</f>
        <v/>
      </c>
      <c r="R323" s="17" t="str">
        <f aca="false">IF(O323="","",IF(OR(P323="",Q323=""),0,(O323-N323)*IF(Q323&gt;1,Q323/100,Q323)))</f>
        <v/>
      </c>
      <c r="S323" s="31" t="str">
        <f aca="false">IF(O323="","",O323-R323)</f>
        <v/>
      </c>
      <c r="T323" s="28"/>
      <c r="U323" s="34" t="str">
        <f aca="false">IF(T323="","",IFERROR(VLOOKUP(T323,REPS!$A$2:$D$40,2,0),""))</f>
        <v/>
      </c>
      <c r="V323" s="31" t="str">
        <f aca="false">IF(O323="","",IF(U323="",0,O323*IF(U323&gt;1,U323/100,U323)))</f>
        <v/>
      </c>
      <c r="W323" s="28"/>
      <c r="X323" s="34" t="str">
        <f aca="false">IF(W323="","",IFERROR(VLOOKUP(W323,REPS!$A$2:$D$40,3,0),""))</f>
        <v/>
      </c>
      <c r="Y323" s="31" t="str">
        <f aca="false">IF(O323="","",IF(X323="",0,O323*IF(X323&gt;1,X323/100,X323)))</f>
        <v/>
      </c>
      <c r="Z323" s="28"/>
      <c r="AA323" s="34" t="str">
        <f aca="false">IF(Z323="","",IFERROR(VLOOKUP(Z323,REPS!$A$2:$D$40,4,0),""))</f>
        <v/>
      </c>
      <c r="AB323" s="31" t="str">
        <f aca="false">IF(O323="","",IF(AA323="",0,O323*IF(AA323&gt;1,AA323/100,AA323)))</f>
        <v/>
      </c>
      <c r="AC323" s="31" t="str">
        <f aca="false">IF(O323="","",V323+Y323+AB323)</f>
        <v/>
      </c>
      <c r="AD323" s="19" t="str">
        <f aca="false">IF(O323="","",O323-R323-AC323)</f>
        <v/>
      </c>
      <c r="AE323" s="20"/>
      <c r="AF323" s="27"/>
      <c r="AG323" s="21" t="n">
        <f aca="false">IF(OR(AE323="",AE323=0),0,AE323*IF(U323="",0,IF(U323&gt;1,U323/100,U323)))</f>
        <v>0</v>
      </c>
      <c r="AH323" s="21" t="n">
        <f aca="false">IF(OR(AE323="",AE323=0),0,AE323*IF(X323="",0,IF(X323&gt;1,X323/100,X323)))</f>
        <v>0</v>
      </c>
      <c r="AI323" s="21" t="n">
        <f aca="false">IF(OR(AE323="",AE323=0),0,AE323*IF(AA323="",0,IF(AA323&gt;1,AA323/100,AA323)))</f>
        <v>0</v>
      </c>
      <c r="AJ323" s="21" t="n">
        <f aca="false">AG323+AH323+AI323</f>
        <v>0</v>
      </c>
      <c r="AK323" s="21" t="n">
        <f aca="false">IF(OR(AE323="",AE323=0),0,AE323-AJ323)</f>
        <v>0</v>
      </c>
      <c r="AL323" s="19" t="str">
        <f aca="false">IF(AD323="","",AD323-AK323)</f>
        <v/>
      </c>
      <c r="AM323" s="26" t="str">
        <f aca="false">IF(C323="","","Waiting for payment")</f>
        <v/>
      </c>
      <c r="AN323" s="27"/>
      <c r="AO323" s="27"/>
      <c r="AP323" s="35" t="str">
        <f aca="false">IF(OR(C323="",I323="",K323=""),"",IF(K323="Monthly",EDATE(C323,ROUND(I323*SETTINGS!$I$8,0)),WORKDAY(C323,ROUND(I323*SETTINGS!$I$8,0))))</f>
        <v/>
      </c>
      <c r="AQ323" s="26" t="str">
        <f aca="true">IF(C323="","",IF(AND(AP323&lt;&gt;"",TODAY()&gt;=AP323),"Refi Ready",IF(TODAY()-C323&gt;=SETTINGS!$I$11,"Prospecting","Performing")))</f>
        <v/>
      </c>
      <c r="AR323" s="35" t="str">
        <f aca="false">IF(OR(C323="",I323="",K323=""),"",IF(K323="Monthly",EDATE(C323,I323),WORKDAY(C323,I323)))</f>
        <v/>
      </c>
      <c r="AS323" s="28"/>
      <c r="AT323" s="36" t="str">
        <f aca="true">IF(C323="","",IF(AM323="Clawed Back","CLAWED",IF(TODAY()&lt;=C323+SETTINGS!$I$2,"⚠ AT RISK","SAFE")))</f>
        <v/>
      </c>
      <c r="AU323" s="28"/>
      <c r="AW323" s="24" t="n">
        <f aca="false">AW322+IF(AND(C323&lt;&gt;"",AO323&lt;&gt;"",OR('REP COMMISSION'!$B$3="",T323='REP COMMISSION'!$B$3,W323='REP COMMISSION'!$B$3,Z323='REP COMMISSION'!$B$3)),1,0)</f>
        <v>0</v>
      </c>
      <c r="AX323" s="24" t="n">
        <f aca="false">AX322+IF(AND(C323&lt;&gt;"",OR(F323="LOC - INITIAL",F323="CONSOLIDATION - UPFRONT COMM",F323="REVERSE - TOTAL FUNDING")),1,0)</f>
        <v>0</v>
      </c>
    </row>
    <row r="324" customFormat="false" ht="15" hidden="false" customHeight="false" outlineLevel="0" collapsed="false">
      <c r="A324" s="8" t="str">
        <f aca="false">IF(C324&lt;&gt;"","F27-"&amp;COUNT($C$4:C324),"")</f>
        <v/>
      </c>
      <c r="B324" s="9" t="str">
        <f aca="false">IF(OR(F324="LOC - INITIAL",F324="CONSOLIDATION - UPFRONT COMM",F324="REVERSE - TOTAL FUNDING"),A324,"")</f>
        <v/>
      </c>
      <c r="C324" s="10"/>
      <c r="D324" s="11"/>
      <c r="E324" s="11"/>
      <c r="F324" s="11"/>
      <c r="G324" s="12"/>
      <c r="H324" s="13"/>
      <c r="I324" s="11"/>
      <c r="J324" s="14" t="str">
        <f aca="false">IF(AND(G324&lt;&gt;"",H324&lt;&gt;""),G324*H324,"")</f>
        <v/>
      </c>
      <c r="K324" s="11"/>
      <c r="L324" s="15"/>
      <c r="M324" s="15"/>
      <c r="N324" s="14" t="n">
        <f aca="false">IF(OR(G324="",M324=""),0,IF(M324&gt;100,M324,G324*IF(M324&gt;1,M324/100,M324)))</f>
        <v>0</v>
      </c>
      <c r="O324" s="14" t="str">
        <f aca="false">IF(G324="","",G324*IF(L324="",0,IF(L324&gt;1,L324/100,L324))+N324)</f>
        <v/>
      </c>
      <c r="P324" s="11"/>
      <c r="Q324" s="16" t="str">
        <f aca="false">IF(P324="","",IFERROR(VLOOKUP(P324,PARTNERS!$A$2:$B$30,2,0),""))</f>
        <v/>
      </c>
      <c r="R324" s="17" t="str">
        <f aca="false">IF(O324="","",IF(OR(P324="",Q324=""),0,(O324-N324)*IF(Q324&gt;1,Q324/100,Q324)))</f>
        <v/>
      </c>
      <c r="S324" s="14" t="str">
        <f aca="false">IF(O324="","",O324-R324)</f>
        <v/>
      </c>
      <c r="T324" s="11"/>
      <c r="U324" s="18" t="str">
        <f aca="false">IF(T324="","",IFERROR(VLOOKUP(T324,REPS!$A$2:$D$40,2,0),""))</f>
        <v/>
      </c>
      <c r="V324" s="14" t="str">
        <f aca="false">IF(O324="","",IF(U324="",0,O324*IF(U324&gt;1,U324/100,U324)))</f>
        <v/>
      </c>
      <c r="W324" s="11"/>
      <c r="X324" s="18" t="str">
        <f aca="false">IF(W324="","",IFERROR(VLOOKUP(W324,REPS!$A$2:$D$40,3,0),""))</f>
        <v/>
      </c>
      <c r="Y324" s="14" t="str">
        <f aca="false">IF(O324="","",IF(X324="",0,O324*IF(X324&gt;1,X324/100,X324)))</f>
        <v/>
      </c>
      <c r="Z324" s="11"/>
      <c r="AA324" s="18" t="str">
        <f aca="false">IF(Z324="","",IFERROR(VLOOKUP(Z324,REPS!$A$2:$D$40,4,0),""))</f>
        <v/>
      </c>
      <c r="AB324" s="14" t="str">
        <f aca="false">IF(O324="","",IF(AA324="",0,O324*IF(AA324&gt;1,AA324/100,AA324)))</f>
        <v/>
      </c>
      <c r="AC324" s="14" t="str">
        <f aca="false">IF(O324="","",V324+Y324+AB324)</f>
        <v/>
      </c>
      <c r="AD324" s="19" t="str">
        <f aca="false">IF(O324="","",O324-R324-AC324)</f>
        <v/>
      </c>
      <c r="AE324" s="20"/>
      <c r="AF324" s="10"/>
      <c r="AG324" s="21" t="n">
        <f aca="false">IF(OR(AE324="",AE324=0),0,AE324*IF(U324="",0,IF(U324&gt;1,U324/100,U324)))</f>
        <v>0</v>
      </c>
      <c r="AH324" s="21" t="n">
        <f aca="false">IF(OR(AE324="",AE324=0),0,AE324*IF(X324="",0,IF(X324&gt;1,X324/100,X324)))</f>
        <v>0</v>
      </c>
      <c r="AI324" s="21" t="n">
        <f aca="false">IF(OR(AE324="",AE324=0),0,AE324*IF(AA324="",0,IF(AA324&gt;1,AA324/100,AA324)))</f>
        <v>0</v>
      </c>
      <c r="AJ324" s="21" t="n">
        <f aca="false">AG324+AH324+AI324</f>
        <v>0</v>
      </c>
      <c r="AK324" s="21" t="n">
        <f aca="false">IF(OR(AE324="",AE324=0),0,AE324-AJ324)</f>
        <v>0</v>
      </c>
      <c r="AL324" s="19" t="str">
        <f aca="false">IF(AD324="","",AD324-AK324)</f>
        <v/>
      </c>
      <c r="AM324" s="9" t="str">
        <f aca="false">IF(C324="","","Waiting for payment")</f>
        <v/>
      </c>
      <c r="AN324" s="10"/>
      <c r="AO324" s="10"/>
      <c r="AP324" s="22" t="str">
        <f aca="false">IF(OR(C324="",I324="",K324=""),"",IF(K324="Monthly",EDATE(C324,ROUND(I324*SETTINGS!$I$8,0)),WORKDAY(C324,ROUND(I324*SETTINGS!$I$8,0))))</f>
        <v/>
      </c>
      <c r="AQ324" s="9" t="str">
        <f aca="true">IF(C324="","",IF(AND(AP324&lt;&gt;"",TODAY()&gt;=AP324),"Refi Ready",IF(TODAY()-C324&gt;=SETTINGS!$I$11,"Prospecting","Performing")))</f>
        <v/>
      </c>
      <c r="AR324" s="22" t="str">
        <f aca="false">IF(OR(C324="",I324="",K324=""),"",IF(K324="Monthly",EDATE(C324,I324),WORKDAY(C324,I324)))</f>
        <v/>
      </c>
      <c r="AS324" s="11"/>
      <c r="AT324" s="23" t="str">
        <f aca="true">IF(C324="","",IF(AM324="Clawed Back","CLAWED",IF(TODAY()&lt;=C324+SETTINGS!$I$2,"⚠ AT RISK","SAFE")))</f>
        <v/>
      </c>
      <c r="AU324" s="11"/>
      <c r="AW324" s="24" t="n">
        <f aca="false">AW323+IF(AND(C324&lt;&gt;"",AO324&lt;&gt;"",OR('REP COMMISSION'!$B$3="",T324='REP COMMISSION'!$B$3,W324='REP COMMISSION'!$B$3,Z324='REP COMMISSION'!$B$3)),1,0)</f>
        <v>0</v>
      </c>
      <c r="AX324" s="24" t="n">
        <f aca="false">AX323+IF(AND(C324&lt;&gt;"",OR(F324="LOC - INITIAL",F324="CONSOLIDATION - UPFRONT COMM",F324="REVERSE - TOTAL FUNDING")),1,0)</f>
        <v>0</v>
      </c>
    </row>
    <row r="325" customFormat="false" ht="15" hidden="false" customHeight="false" outlineLevel="0" collapsed="false">
      <c r="A325" s="25" t="str">
        <f aca="false">IF(C325&lt;&gt;"","F27-"&amp;COUNT($C$4:C325),"")</f>
        <v/>
      </c>
      <c r="B325" s="26" t="str">
        <f aca="false">IF(OR(F325="LOC - INITIAL",F325="CONSOLIDATION - UPFRONT COMM",F325="REVERSE - TOTAL FUNDING"),A325,"")</f>
        <v/>
      </c>
      <c r="C325" s="27"/>
      <c r="D325" s="28"/>
      <c r="E325" s="28"/>
      <c r="F325" s="28"/>
      <c r="G325" s="29"/>
      <c r="H325" s="30"/>
      <c r="I325" s="28"/>
      <c r="J325" s="31" t="str">
        <f aca="false">IF(AND(G325&lt;&gt;"",H325&lt;&gt;""),G325*H325,"")</f>
        <v/>
      </c>
      <c r="K325" s="28"/>
      <c r="L325" s="32"/>
      <c r="M325" s="32"/>
      <c r="N325" s="31" t="n">
        <f aca="false">IF(OR(G325="",M325=""),0,IF(M325&gt;100,M325,G325*IF(M325&gt;1,M325/100,M325)))</f>
        <v>0</v>
      </c>
      <c r="O325" s="31" t="str">
        <f aca="false">IF(G325="","",G325*IF(L325="",0,IF(L325&gt;1,L325/100,L325))+N325)</f>
        <v/>
      </c>
      <c r="P325" s="28"/>
      <c r="Q325" s="33" t="str">
        <f aca="false">IF(P325="","",IFERROR(VLOOKUP(P325,PARTNERS!$A$2:$B$30,2,0),""))</f>
        <v/>
      </c>
      <c r="R325" s="17" t="str">
        <f aca="false">IF(O325="","",IF(OR(P325="",Q325=""),0,(O325-N325)*IF(Q325&gt;1,Q325/100,Q325)))</f>
        <v/>
      </c>
      <c r="S325" s="31" t="str">
        <f aca="false">IF(O325="","",O325-R325)</f>
        <v/>
      </c>
      <c r="T325" s="28"/>
      <c r="U325" s="34" t="str">
        <f aca="false">IF(T325="","",IFERROR(VLOOKUP(T325,REPS!$A$2:$D$40,2,0),""))</f>
        <v/>
      </c>
      <c r="V325" s="31" t="str">
        <f aca="false">IF(O325="","",IF(U325="",0,O325*IF(U325&gt;1,U325/100,U325)))</f>
        <v/>
      </c>
      <c r="W325" s="28"/>
      <c r="X325" s="34" t="str">
        <f aca="false">IF(W325="","",IFERROR(VLOOKUP(W325,REPS!$A$2:$D$40,3,0),""))</f>
        <v/>
      </c>
      <c r="Y325" s="31" t="str">
        <f aca="false">IF(O325="","",IF(X325="",0,O325*IF(X325&gt;1,X325/100,X325)))</f>
        <v/>
      </c>
      <c r="Z325" s="28"/>
      <c r="AA325" s="34" t="str">
        <f aca="false">IF(Z325="","",IFERROR(VLOOKUP(Z325,REPS!$A$2:$D$40,4,0),""))</f>
        <v/>
      </c>
      <c r="AB325" s="31" t="str">
        <f aca="false">IF(O325="","",IF(AA325="",0,O325*IF(AA325&gt;1,AA325/100,AA325)))</f>
        <v/>
      </c>
      <c r="AC325" s="31" t="str">
        <f aca="false">IF(O325="","",V325+Y325+AB325)</f>
        <v/>
      </c>
      <c r="AD325" s="19" t="str">
        <f aca="false">IF(O325="","",O325-R325-AC325)</f>
        <v/>
      </c>
      <c r="AE325" s="20"/>
      <c r="AF325" s="27"/>
      <c r="AG325" s="21" t="n">
        <f aca="false">IF(OR(AE325="",AE325=0),0,AE325*IF(U325="",0,IF(U325&gt;1,U325/100,U325)))</f>
        <v>0</v>
      </c>
      <c r="AH325" s="21" t="n">
        <f aca="false">IF(OR(AE325="",AE325=0),0,AE325*IF(X325="",0,IF(X325&gt;1,X325/100,X325)))</f>
        <v>0</v>
      </c>
      <c r="AI325" s="21" t="n">
        <f aca="false">IF(OR(AE325="",AE325=0),0,AE325*IF(AA325="",0,IF(AA325&gt;1,AA325/100,AA325)))</f>
        <v>0</v>
      </c>
      <c r="AJ325" s="21" t="n">
        <f aca="false">AG325+AH325+AI325</f>
        <v>0</v>
      </c>
      <c r="AK325" s="21" t="n">
        <f aca="false">IF(OR(AE325="",AE325=0),0,AE325-AJ325)</f>
        <v>0</v>
      </c>
      <c r="AL325" s="19" t="str">
        <f aca="false">IF(AD325="","",AD325-AK325)</f>
        <v/>
      </c>
      <c r="AM325" s="26" t="str">
        <f aca="false">IF(C325="","","Waiting for payment")</f>
        <v/>
      </c>
      <c r="AN325" s="27"/>
      <c r="AO325" s="27"/>
      <c r="AP325" s="35" t="str">
        <f aca="false">IF(OR(C325="",I325="",K325=""),"",IF(K325="Monthly",EDATE(C325,ROUND(I325*SETTINGS!$I$8,0)),WORKDAY(C325,ROUND(I325*SETTINGS!$I$8,0))))</f>
        <v/>
      </c>
      <c r="AQ325" s="26" t="str">
        <f aca="true">IF(C325="","",IF(AND(AP325&lt;&gt;"",TODAY()&gt;=AP325),"Refi Ready",IF(TODAY()-C325&gt;=SETTINGS!$I$11,"Prospecting","Performing")))</f>
        <v/>
      </c>
      <c r="AR325" s="35" t="str">
        <f aca="false">IF(OR(C325="",I325="",K325=""),"",IF(K325="Monthly",EDATE(C325,I325),WORKDAY(C325,I325)))</f>
        <v/>
      </c>
      <c r="AS325" s="28"/>
      <c r="AT325" s="36" t="str">
        <f aca="true">IF(C325="","",IF(AM325="Clawed Back","CLAWED",IF(TODAY()&lt;=C325+SETTINGS!$I$2,"⚠ AT RISK","SAFE")))</f>
        <v/>
      </c>
      <c r="AU325" s="28"/>
      <c r="AW325" s="24" t="n">
        <f aca="false">AW324+IF(AND(C325&lt;&gt;"",AO325&lt;&gt;"",OR('REP COMMISSION'!$B$3="",T325='REP COMMISSION'!$B$3,W325='REP COMMISSION'!$B$3,Z325='REP COMMISSION'!$B$3)),1,0)</f>
        <v>0</v>
      </c>
      <c r="AX325" s="24" t="n">
        <f aca="false">AX324+IF(AND(C325&lt;&gt;"",OR(F325="LOC - INITIAL",F325="CONSOLIDATION - UPFRONT COMM",F325="REVERSE - TOTAL FUNDING")),1,0)</f>
        <v>0</v>
      </c>
    </row>
    <row r="326" customFormat="false" ht="15" hidden="false" customHeight="false" outlineLevel="0" collapsed="false">
      <c r="A326" s="8" t="str">
        <f aca="false">IF(C326&lt;&gt;"","F27-"&amp;COUNT($C$4:C326),"")</f>
        <v/>
      </c>
      <c r="B326" s="9" t="str">
        <f aca="false">IF(OR(F326="LOC - INITIAL",F326="CONSOLIDATION - UPFRONT COMM",F326="REVERSE - TOTAL FUNDING"),A326,"")</f>
        <v/>
      </c>
      <c r="C326" s="10"/>
      <c r="D326" s="11"/>
      <c r="E326" s="11"/>
      <c r="F326" s="11"/>
      <c r="G326" s="12"/>
      <c r="H326" s="13"/>
      <c r="I326" s="11"/>
      <c r="J326" s="14" t="str">
        <f aca="false">IF(AND(G326&lt;&gt;"",H326&lt;&gt;""),G326*H326,"")</f>
        <v/>
      </c>
      <c r="K326" s="11"/>
      <c r="L326" s="15"/>
      <c r="M326" s="15"/>
      <c r="N326" s="14" t="n">
        <f aca="false">IF(OR(G326="",M326=""),0,IF(M326&gt;100,M326,G326*IF(M326&gt;1,M326/100,M326)))</f>
        <v>0</v>
      </c>
      <c r="O326" s="14" t="str">
        <f aca="false">IF(G326="","",G326*IF(L326="",0,IF(L326&gt;1,L326/100,L326))+N326)</f>
        <v/>
      </c>
      <c r="P326" s="11"/>
      <c r="Q326" s="16" t="str">
        <f aca="false">IF(P326="","",IFERROR(VLOOKUP(P326,PARTNERS!$A$2:$B$30,2,0),""))</f>
        <v/>
      </c>
      <c r="R326" s="17" t="str">
        <f aca="false">IF(O326="","",IF(OR(P326="",Q326=""),0,(O326-N326)*IF(Q326&gt;1,Q326/100,Q326)))</f>
        <v/>
      </c>
      <c r="S326" s="14" t="str">
        <f aca="false">IF(O326="","",O326-R326)</f>
        <v/>
      </c>
      <c r="T326" s="11"/>
      <c r="U326" s="18" t="str">
        <f aca="false">IF(T326="","",IFERROR(VLOOKUP(T326,REPS!$A$2:$D$40,2,0),""))</f>
        <v/>
      </c>
      <c r="V326" s="14" t="str">
        <f aca="false">IF(O326="","",IF(U326="",0,O326*IF(U326&gt;1,U326/100,U326)))</f>
        <v/>
      </c>
      <c r="W326" s="11"/>
      <c r="X326" s="18" t="str">
        <f aca="false">IF(W326="","",IFERROR(VLOOKUP(W326,REPS!$A$2:$D$40,3,0),""))</f>
        <v/>
      </c>
      <c r="Y326" s="14" t="str">
        <f aca="false">IF(O326="","",IF(X326="",0,O326*IF(X326&gt;1,X326/100,X326)))</f>
        <v/>
      </c>
      <c r="Z326" s="11"/>
      <c r="AA326" s="18" t="str">
        <f aca="false">IF(Z326="","",IFERROR(VLOOKUP(Z326,REPS!$A$2:$D$40,4,0),""))</f>
        <v/>
      </c>
      <c r="AB326" s="14" t="str">
        <f aca="false">IF(O326="","",IF(AA326="",0,O326*IF(AA326&gt;1,AA326/100,AA326)))</f>
        <v/>
      </c>
      <c r="AC326" s="14" t="str">
        <f aca="false">IF(O326="","",V326+Y326+AB326)</f>
        <v/>
      </c>
      <c r="AD326" s="19" t="str">
        <f aca="false">IF(O326="","",O326-R326-AC326)</f>
        <v/>
      </c>
      <c r="AE326" s="20"/>
      <c r="AF326" s="10"/>
      <c r="AG326" s="21" t="n">
        <f aca="false">IF(OR(AE326="",AE326=0),0,AE326*IF(U326="",0,IF(U326&gt;1,U326/100,U326)))</f>
        <v>0</v>
      </c>
      <c r="AH326" s="21" t="n">
        <f aca="false">IF(OR(AE326="",AE326=0),0,AE326*IF(X326="",0,IF(X326&gt;1,X326/100,X326)))</f>
        <v>0</v>
      </c>
      <c r="AI326" s="21" t="n">
        <f aca="false">IF(OR(AE326="",AE326=0),0,AE326*IF(AA326="",0,IF(AA326&gt;1,AA326/100,AA326)))</f>
        <v>0</v>
      </c>
      <c r="AJ326" s="21" t="n">
        <f aca="false">AG326+AH326+AI326</f>
        <v>0</v>
      </c>
      <c r="AK326" s="21" t="n">
        <f aca="false">IF(OR(AE326="",AE326=0),0,AE326-AJ326)</f>
        <v>0</v>
      </c>
      <c r="AL326" s="19" t="str">
        <f aca="false">IF(AD326="","",AD326-AK326)</f>
        <v/>
      </c>
      <c r="AM326" s="9" t="str">
        <f aca="false">IF(C326="","","Waiting for payment")</f>
        <v/>
      </c>
      <c r="AN326" s="10"/>
      <c r="AO326" s="10"/>
      <c r="AP326" s="22" t="str">
        <f aca="false">IF(OR(C326="",I326="",K326=""),"",IF(K326="Monthly",EDATE(C326,ROUND(I326*SETTINGS!$I$8,0)),WORKDAY(C326,ROUND(I326*SETTINGS!$I$8,0))))</f>
        <v/>
      </c>
      <c r="AQ326" s="9" t="str">
        <f aca="true">IF(C326="","",IF(AND(AP326&lt;&gt;"",TODAY()&gt;=AP326),"Refi Ready",IF(TODAY()-C326&gt;=SETTINGS!$I$11,"Prospecting","Performing")))</f>
        <v/>
      </c>
      <c r="AR326" s="22" t="str">
        <f aca="false">IF(OR(C326="",I326="",K326=""),"",IF(K326="Monthly",EDATE(C326,I326),WORKDAY(C326,I326)))</f>
        <v/>
      </c>
      <c r="AS326" s="11"/>
      <c r="AT326" s="23" t="str">
        <f aca="true">IF(C326="","",IF(AM326="Clawed Back","CLAWED",IF(TODAY()&lt;=C326+SETTINGS!$I$2,"⚠ AT RISK","SAFE")))</f>
        <v/>
      </c>
      <c r="AU326" s="11"/>
      <c r="AW326" s="24" t="n">
        <f aca="false">AW325+IF(AND(C326&lt;&gt;"",AO326&lt;&gt;"",OR('REP COMMISSION'!$B$3="",T326='REP COMMISSION'!$B$3,W326='REP COMMISSION'!$B$3,Z326='REP COMMISSION'!$B$3)),1,0)</f>
        <v>0</v>
      </c>
      <c r="AX326" s="24" t="n">
        <f aca="false">AX325+IF(AND(C326&lt;&gt;"",OR(F326="LOC - INITIAL",F326="CONSOLIDATION - UPFRONT COMM",F326="REVERSE - TOTAL FUNDING")),1,0)</f>
        <v>0</v>
      </c>
    </row>
    <row r="327" customFormat="false" ht="15" hidden="false" customHeight="false" outlineLevel="0" collapsed="false">
      <c r="A327" s="25" t="str">
        <f aca="false">IF(C327&lt;&gt;"","F27-"&amp;COUNT($C$4:C327),"")</f>
        <v/>
      </c>
      <c r="B327" s="26" t="str">
        <f aca="false">IF(OR(F327="LOC - INITIAL",F327="CONSOLIDATION - UPFRONT COMM",F327="REVERSE - TOTAL FUNDING"),A327,"")</f>
        <v/>
      </c>
      <c r="C327" s="27"/>
      <c r="D327" s="28"/>
      <c r="E327" s="28"/>
      <c r="F327" s="28"/>
      <c r="G327" s="29"/>
      <c r="H327" s="30"/>
      <c r="I327" s="28"/>
      <c r="J327" s="31" t="str">
        <f aca="false">IF(AND(G327&lt;&gt;"",H327&lt;&gt;""),G327*H327,"")</f>
        <v/>
      </c>
      <c r="K327" s="28"/>
      <c r="L327" s="32"/>
      <c r="M327" s="32"/>
      <c r="N327" s="31" t="n">
        <f aca="false">IF(OR(G327="",M327=""),0,IF(M327&gt;100,M327,G327*IF(M327&gt;1,M327/100,M327)))</f>
        <v>0</v>
      </c>
      <c r="O327" s="31" t="str">
        <f aca="false">IF(G327="","",G327*IF(L327="",0,IF(L327&gt;1,L327/100,L327))+N327)</f>
        <v/>
      </c>
      <c r="P327" s="28"/>
      <c r="Q327" s="33" t="str">
        <f aca="false">IF(P327="","",IFERROR(VLOOKUP(P327,PARTNERS!$A$2:$B$30,2,0),""))</f>
        <v/>
      </c>
      <c r="R327" s="17" t="str">
        <f aca="false">IF(O327="","",IF(OR(P327="",Q327=""),0,(O327-N327)*IF(Q327&gt;1,Q327/100,Q327)))</f>
        <v/>
      </c>
      <c r="S327" s="31" t="str">
        <f aca="false">IF(O327="","",O327-R327)</f>
        <v/>
      </c>
      <c r="T327" s="28"/>
      <c r="U327" s="34" t="str">
        <f aca="false">IF(T327="","",IFERROR(VLOOKUP(T327,REPS!$A$2:$D$40,2,0),""))</f>
        <v/>
      </c>
      <c r="V327" s="31" t="str">
        <f aca="false">IF(O327="","",IF(U327="",0,O327*IF(U327&gt;1,U327/100,U327)))</f>
        <v/>
      </c>
      <c r="W327" s="28"/>
      <c r="X327" s="34" t="str">
        <f aca="false">IF(W327="","",IFERROR(VLOOKUP(W327,REPS!$A$2:$D$40,3,0),""))</f>
        <v/>
      </c>
      <c r="Y327" s="31" t="str">
        <f aca="false">IF(O327="","",IF(X327="",0,O327*IF(X327&gt;1,X327/100,X327)))</f>
        <v/>
      </c>
      <c r="Z327" s="28"/>
      <c r="AA327" s="34" t="str">
        <f aca="false">IF(Z327="","",IFERROR(VLOOKUP(Z327,REPS!$A$2:$D$40,4,0),""))</f>
        <v/>
      </c>
      <c r="AB327" s="31" t="str">
        <f aca="false">IF(O327="","",IF(AA327="",0,O327*IF(AA327&gt;1,AA327/100,AA327)))</f>
        <v/>
      </c>
      <c r="AC327" s="31" t="str">
        <f aca="false">IF(O327="","",V327+Y327+AB327)</f>
        <v/>
      </c>
      <c r="AD327" s="19" t="str">
        <f aca="false">IF(O327="","",O327-R327-AC327)</f>
        <v/>
      </c>
      <c r="AE327" s="20"/>
      <c r="AF327" s="27"/>
      <c r="AG327" s="21" t="n">
        <f aca="false">IF(OR(AE327="",AE327=0),0,AE327*IF(U327="",0,IF(U327&gt;1,U327/100,U327)))</f>
        <v>0</v>
      </c>
      <c r="AH327" s="21" t="n">
        <f aca="false">IF(OR(AE327="",AE327=0),0,AE327*IF(X327="",0,IF(X327&gt;1,X327/100,X327)))</f>
        <v>0</v>
      </c>
      <c r="AI327" s="21" t="n">
        <f aca="false">IF(OR(AE327="",AE327=0),0,AE327*IF(AA327="",0,IF(AA327&gt;1,AA327/100,AA327)))</f>
        <v>0</v>
      </c>
      <c r="AJ327" s="21" t="n">
        <f aca="false">AG327+AH327+AI327</f>
        <v>0</v>
      </c>
      <c r="AK327" s="21" t="n">
        <f aca="false">IF(OR(AE327="",AE327=0),0,AE327-AJ327)</f>
        <v>0</v>
      </c>
      <c r="AL327" s="19" t="str">
        <f aca="false">IF(AD327="","",AD327-AK327)</f>
        <v/>
      </c>
      <c r="AM327" s="26" t="str">
        <f aca="false">IF(C327="","","Waiting for payment")</f>
        <v/>
      </c>
      <c r="AN327" s="27"/>
      <c r="AO327" s="27"/>
      <c r="AP327" s="35" t="str">
        <f aca="false">IF(OR(C327="",I327="",K327=""),"",IF(K327="Monthly",EDATE(C327,ROUND(I327*SETTINGS!$I$8,0)),WORKDAY(C327,ROUND(I327*SETTINGS!$I$8,0))))</f>
        <v/>
      </c>
      <c r="AQ327" s="26" t="str">
        <f aca="true">IF(C327="","",IF(AND(AP327&lt;&gt;"",TODAY()&gt;=AP327),"Refi Ready",IF(TODAY()-C327&gt;=SETTINGS!$I$11,"Prospecting","Performing")))</f>
        <v/>
      </c>
      <c r="AR327" s="35" t="str">
        <f aca="false">IF(OR(C327="",I327="",K327=""),"",IF(K327="Monthly",EDATE(C327,I327),WORKDAY(C327,I327)))</f>
        <v/>
      </c>
      <c r="AS327" s="28"/>
      <c r="AT327" s="36" t="str">
        <f aca="true">IF(C327="","",IF(AM327="Clawed Back","CLAWED",IF(TODAY()&lt;=C327+SETTINGS!$I$2,"⚠ AT RISK","SAFE")))</f>
        <v/>
      </c>
      <c r="AU327" s="28"/>
      <c r="AW327" s="24" t="n">
        <f aca="false">AW326+IF(AND(C327&lt;&gt;"",AO327&lt;&gt;"",OR('REP COMMISSION'!$B$3="",T327='REP COMMISSION'!$B$3,W327='REP COMMISSION'!$B$3,Z327='REP COMMISSION'!$B$3)),1,0)</f>
        <v>0</v>
      </c>
      <c r="AX327" s="24" t="n">
        <f aca="false">AX326+IF(AND(C327&lt;&gt;"",OR(F327="LOC - INITIAL",F327="CONSOLIDATION - UPFRONT COMM",F327="REVERSE - TOTAL FUNDING")),1,0)</f>
        <v>0</v>
      </c>
    </row>
    <row r="328" customFormat="false" ht="15" hidden="false" customHeight="false" outlineLevel="0" collapsed="false">
      <c r="A328" s="8" t="str">
        <f aca="false">IF(C328&lt;&gt;"","F27-"&amp;COUNT($C$4:C328),"")</f>
        <v/>
      </c>
      <c r="B328" s="9" t="str">
        <f aca="false">IF(OR(F328="LOC - INITIAL",F328="CONSOLIDATION - UPFRONT COMM",F328="REVERSE - TOTAL FUNDING"),A328,"")</f>
        <v/>
      </c>
      <c r="C328" s="10"/>
      <c r="D328" s="11"/>
      <c r="E328" s="11"/>
      <c r="F328" s="11"/>
      <c r="G328" s="12"/>
      <c r="H328" s="13"/>
      <c r="I328" s="11"/>
      <c r="J328" s="14" t="str">
        <f aca="false">IF(AND(G328&lt;&gt;"",H328&lt;&gt;""),G328*H328,"")</f>
        <v/>
      </c>
      <c r="K328" s="11"/>
      <c r="L328" s="15"/>
      <c r="M328" s="15"/>
      <c r="N328" s="14" t="n">
        <f aca="false">IF(OR(G328="",M328=""),0,IF(M328&gt;100,M328,G328*IF(M328&gt;1,M328/100,M328)))</f>
        <v>0</v>
      </c>
      <c r="O328" s="14" t="str">
        <f aca="false">IF(G328="","",G328*IF(L328="",0,IF(L328&gt;1,L328/100,L328))+N328)</f>
        <v/>
      </c>
      <c r="P328" s="11"/>
      <c r="Q328" s="16" t="str">
        <f aca="false">IF(P328="","",IFERROR(VLOOKUP(P328,PARTNERS!$A$2:$B$30,2,0),""))</f>
        <v/>
      </c>
      <c r="R328" s="17" t="str">
        <f aca="false">IF(O328="","",IF(OR(P328="",Q328=""),0,(O328-N328)*IF(Q328&gt;1,Q328/100,Q328)))</f>
        <v/>
      </c>
      <c r="S328" s="14" t="str">
        <f aca="false">IF(O328="","",O328-R328)</f>
        <v/>
      </c>
      <c r="T328" s="11"/>
      <c r="U328" s="18" t="str">
        <f aca="false">IF(T328="","",IFERROR(VLOOKUP(T328,REPS!$A$2:$D$40,2,0),""))</f>
        <v/>
      </c>
      <c r="V328" s="14" t="str">
        <f aca="false">IF(O328="","",IF(U328="",0,O328*IF(U328&gt;1,U328/100,U328)))</f>
        <v/>
      </c>
      <c r="W328" s="11"/>
      <c r="X328" s="18" t="str">
        <f aca="false">IF(W328="","",IFERROR(VLOOKUP(W328,REPS!$A$2:$D$40,3,0),""))</f>
        <v/>
      </c>
      <c r="Y328" s="14" t="str">
        <f aca="false">IF(O328="","",IF(X328="",0,O328*IF(X328&gt;1,X328/100,X328)))</f>
        <v/>
      </c>
      <c r="Z328" s="11"/>
      <c r="AA328" s="18" t="str">
        <f aca="false">IF(Z328="","",IFERROR(VLOOKUP(Z328,REPS!$A$2:$D$40,4,0),""))</f>
        <v/>
      </c>
      <c r="AB328" s="14" t="str">
        <f aca="false">IF(O328="","",IF(AA328="",0,O328*IF(AA328&gt;1,AA328/100,AA328)))</f>
        <v/>
      </c>
      <c r="AC328" s="14" t="str">
        <f aca="false">IF(O328="","",V328+Y328+AB328)</f>
        <v/>
      </c>
      <c r="AD328" s="19" t="str">
        <f aca="false">IF(O328="","",O328-R328-AC328)</f>
        <v/>
      </c>
      <c r="AE328" s="20"/>
      <c r="AF328" s="10"/>
      <c r="AG328" s="21" t="n">
        <f aca="false">IF(OR(AE328="",AE328=0),0,AE328*IF(U328="",0,IF(U328&gt;1,U328/100,U328)))</f>
        <v>0</v>
      </c>
      <c r="AH328" s="21" t="n">
        <f aca="false">IF(OR(AE328="",AE328=0),0,AE328*IF(X328="",0,IF(X328&gt;1,X328/100,X328)))</f>
        <v>0</v>
      </c>
      <c r="AI328" s="21" t="n">
        <f aca="false">IF(OR(AE328="",AE328=0),0,AE328*IF(AA328="",0,IF(AA328&gt;1,AA328/100,AA328)))</f>
        <v>0</v>
      </c>
      <c r="AJ328" s="21" t="n">
        <f aca="false">AG328+AH328+AI328</f>
        <v>0</v>
      </c>
      <c r="AK328" s="21" t="n">
        <f aca="false">IF(OR(AE328="",AE328=0),0,AE328-AJ328)</f>
        <v>0</v>
      </c>
      <c r="AL328" s="19" t="str">
        <f aca="false">IF(AD328="","",AD328-AK328)</f>
        <v/>
      </c>
      <c r="AM328" s="9" t="str">
        <f aca="false">IF(C328="","","Waiting for payment")</f>
        <v/>
      </c>
      <c r="AN328" s="10"/>
      <c r="AO328" s="10"/>
      <c r="AP328" s="22" t="str">
        <f aca="false">IF(OR(C328="",I328="",K328=""),"",IF(K328="Monthly",EDATE(C328,ROUND(I328*SETTINGS!$I$8,0)),WORKDAY(C328,ROUND(I328*SETTINGS!$I$8,0))))</f>
        <v/>
      </c>
      <c r="AQ328" s="9" t="str">
        <f aca="true">IF(C328="","",IF(AND(AP328&lt;&gt;"",TODAY()&gt;=AP328),"Refi Ready",IF(TODAY()-C328&gt;=SETTINGS!$I$11,"Prospecting","Performing")))</f>
        <v/>
      </c>
      <c r="AR328" s="22" t="str">
        <f aca="false">IF(OR(C328="",I328="",K328=""),"",IF(K328="Monthly",EDATE(C328,I328),WORKDAY(C328,I328)))</f>
        <v/>
      </c>
      <c r="AS328" s="11"/>
      <c r="AT328" s="23" t="str">
        <f aca="true">IF(C328="","",IF(AM328="Clawed Back","CLAWED",IF(TODAY()&lt;=C328+SETTINGS!$I$2,"⚠ AT RISK","SAFE")))</f>
        <v/>
      </c>
      <c r="AU328" s="11"/>
      <c r="AW328" s="24" t="n">
        <f aca="false">AW327+IF(AND(C328&lt;&gt;"",AO328&lt;&gt;"",OR('REP COMMISSION'!$B$3="",T328='REP COMMISSION'!$B$3,W328='REP COMMISSION'!$B$3,Z328='REP COMMISSION'!$B$3)),1,0)</f>
        <v>0</v>
      </c>
      <c r="AX328" s="24" t="n">
        <f aca="false">AX327+IF(AND(C328&lt;&gt;"",OR(F328="LOC - INITIAL",F328="CONSOLIDATION - UPFRONT COMM",F328="REVERSE - TOTAL FUNDING")),1,0)</f>
        <v>0</v>
      </c>
    </row>
    <row r="329" customFormat="false" ht="15" hidden="false" customHeight="false" outlineLevel="0" collapsed="false">
      <c r="A329" s="25" t="str">
        <f aca="false">IF(C329&lt;&gt;"","F27-"&amp;COUNT($C$4:C329),"")</f>
        <v/>
      </c>
      <c r="B329" s="26" t="str">
        <f aca="false">IF(OR(F329="LOC - INITIAL",F329="CONSOLIDATION - UPFRONT COMM",F329="REVERSE - TOTAL FUNDING"),A329,"")</f>
        <v/>
      </c>
      <c r="C329" s="27"/>
      <c r="D329" s="28"/>
      <c r="E329" s="28"/>
      <c r="F329" s="28"/>
      <c r="G329" s="29"/>
      <c r="H329" s="30"/>
      <c r="I329" s="28"/>
      <c r="J329" s="31" t="str">
        <f aca="false">IF(AND(G329&lt;&gt;"",H329&lt;&gt;""),G329*H329,"")</f>
        <v/>
      </c>
      <c r="K329" s="28"/>
      <c r="L329" s="32"/>
      <c r="M329" s="32"/>
      <c r="N329" s="31" t="n">
        <f aca="false">IF(OR(G329="",M329=""),0,IF(M329&gt;100,M329,G329*IF(M329&gt;1,M329/100,M329)))</f>
        <v>0</v>
      </c>
      <c r="O329" s="31" t="str">
        <f aca="false">IF(G329="","",G329*IF(L329="",0,IF(L329&gt;1,L329/100,L329))+N329)</f>
        <v/>
      </c>
      <c r="P329" s="28"/>
      <c r="Q329" s="33" t="str">
        <f aca="false">IF(P329="","",IFERROR(VLOOKUP(P329,PARTNERS!$A$2:$B$30,2,0),""))</f>
        <v/>
      </c>
      <c r="R329" s="17" t="str">
        <f aca="false">IF(O329="","",IF(OR(P329="",Q329=""),0,(O329-N329)*IF(Q329&gt;1,Q329/100,Q329)))</f>
        <v/>
      </c>
      <c r="S329" s="31" t="str">
        <f aca="false">IF(O329="","",O329-R329)</f>
        <v/>
      </c>
      <c r="T329" s="28"/>
      <c r="U329" s="34" t="str">
        <f aca="false">IF(T329="","",IFERROR(VLOOKUP(T329,REPS!$A$2:$D$40,2,0),""))</f>
        <v/>
      </c>
      <c r="V329" s="31" t="str">
        <f aca="false">IF(O329="","",IF(U329="",0,O329*IF(U329&gt;1,U329/100,U329)))</f>
        <v/>
      </c>
      <c r="W329" s="28"/>
      <c r="X329" s="34" t="str">
        <f aca="false">IF(W329="","",IFERROR(VLOOKUP(W329,REPS!$A$2:$D$40,3,0),""))</f>
        <v/>
      </c>
      <c r="Y329" s="31" t="str">
        <f aca="false">IF(O329="","",IF(X329="",0,O329*IF(X329&gt;1,X329/100,X329)))</f>
        <v/>
      </c>
      <c r="Z329" s="28"/>
      <c r="AA329" s="34" t="str">
        <f aca="false">IF(Z329="","",IFERROR(VLOOKUP(Z329,REPS!$A$2:$D$40,4,0),""))</f>
        <v/>
      </c>
      <c r="AB329" s="31" t="str">
        <f aca="false">IF(O329="","",IF(AA329="",0,O329*IF(AA329&gt;1,AA329/100,AA329)))</f>
        <v/>
      </c>
      <c r="AC329" s="31" t="str">
        <f aca="false">IF(O329="","",V329+Y329+AB329)</f>
        <v/>
      </c>
      <c r="AD329" s="19" t="str">
        <f aca="false">IF(O329="","",O329-R329-AC329)</f>
        <v/>
      </c>
      <c r="AE329" s="20"/>
      <c r="AF329" s="27"/>
      <c r="AG329" s="21" t="n">
        <f aca="false">IF(OR(AE329="",AE329=0),0,AE329*IF(U329="",0,IF(U329&gt;1,U329/100,U329)))</f>
        <v>0</v>
      </c>
      <c r="AH329" s="21" t="n">
        <f aca="false">IF(OR(AE329="",AE329=0),0,AE329*IF(X329="",0,IF(X329&gt;1,X329/100,X329)))</f>
        <v>0</v>
      </c>
      <c r="AI329" s="21" t="n">
        <f aca="false">IF(OR(AE329="",AE329=0),0,AE329*IF(AA329="",0,IF(AA329&gt;1,AA329/100,AA329)))</f>
        <v>0</v>
      </c>
      <c r="AJ329" s="21" t="n">
        <f aca="false">AG329+AH329+AI329</f>
        <v>0</v>
      </c>
      <c r="AK329" s="21" t="n">
        <f aca="false">IF(OR(AE329="",AE329=0),0,AE329-AJ329)</f>
        <v>0</v>
      </c>
      <c r="AL329" s="19" t="str">
        <f aca="false">IF(AD329="","",AD329-AK329)</f>
        <v/>
      </c>
      <c r="AM329" s="26" t="str">
        <f aca="false">IF(C329="","","Waiting for payment")</f>
        <v/>
      </c>
      <c r="AN329" s="27"/>
      <c r="AO329" s="27"/>
      <c r="AP329" s="35" t="str">
        <f aca="false">IF(OR(C329="",I329="",K329=""),"",IF(K329="Monthly",EDATE(C329,ROUND(I329*SETTINGS!$I$8,0)),WORKDAY(C329,ROUND(I329*SETTINGS!$I$8,0))))</f>
        <v/>
      </c>
      <c r="AQ329" s="26" t="str">
        <f aca="true">IF(C329="","",IF(AND(AP329&lt;&gt;"",TODAY()&gt;=AP329),"Refi Ready",IF(TODAY()-C329&gt;=SETTINGS!$I$11,"Prospecting","Performing")))</f>
        <v/>
      </c>
      <c r="AR329" s="35" t="str">
        <f aca="false">IF(OR(C329="",I329="",K329=""),"",IF(K329="Monthly",EDATE(C329,I329),WORKDAY(C329,I329)))</f>
        <v/>
      </c>
      <c r="AS329" s="28"/>
      <c r="AT329" s="36" t="str">
        <f aca="true">IF(C329="","",IF(AM329="Clawed Back","CLAWED",IF(TODAY()&lt;=C329+SETTINGS!$I$2,"⚠ AT RISK","SAFE")))</f>
        <v/>
      </c>
      <c r="AU329" s="28"/>
      <c r="AW329" s="24" t="n">
        <f aca="false">AW328+IF(AND(C329&lt;&gt;"",AO329&lt;&gt;"",OR('REP COMMISSION'!$B$3="",T329='REP COMMISSION'!$B$3,W329='REP COMMISSION'!$B$3,Z329='REP COMMISSION'!$B$3)),1,0)</f>
        <v>0</v>
      </c>
      <c r="AX329" s="24" t="n">
        <f aca="false">AX328+IF(AND(C329&lt;&gt;"",OR(F329="LOC - INITIAL",F329="CONSOLIDATION - UPFRONT COMM",F329="REVERSE - TOTAL FUNDING")),1,0)</f>
        <v>0</v>
      </c>
    </row>
    <row r="330" customFormat="false" ht="15" hidden="false" customHeight="false" outlineLevel="0" collapsed="false">
      <c r="A330" s="8" t="str">
        <f aca="false">IF(C330&lt;&gt;"","F27-"&amp;COUNT($C$4:C330),"")</f>
        <v/>
      </c>
      <c r="B330" s="9" t="str">
        <f aca="false">IF(OR(F330="LOC - INITIAL",F330="CONSOLIDATION - UPFRONT COMM",F330="REVERSE - TOTAL FUNDING"),A330,"")</f>
        <v/>
      </c>
      <c r="C330" s="10"/>
      <c r="D330" s="11"/>
      <c r="E330" s="11"/>
      <c r="F330" s="11"/>
      <c r="G330" s="12"/>
      <c r="H330" s="13"/>
      <c r="I330" s="11"/>
      <c r="J330" s="14" t="str">
        <f aca="false">IF(AND(G330&lt;&gt;"",H330&lt;&gt;""),G330*H330,"")</f>
        <v/>
      </c>
      <c r="K330" s="11"/>
      <c r="L330" s="15"/>
      <c r="M330" s="15"/>
      <c r="N330" s="14" t="n">
        <f aca="false">IF(OR(G330="",M330=""),0,IF(M330&gt;100,M330,G330*IF(M330&gt;1,M330/100,M330)))</f>
        <v>0</v>
      </c>
      <c r="O330" s="14" t="str">
        <f aca="false">IF(G330="","",G330*IF(L330="",0,IF(L330&gt;1,L330/100,L330))+N330)</f>
        <v/>
      </c>
      <c r="P330" s="11"/>
      <c r="Q330" s="16" t="str">
        <f aca="false">IF(P330="","",IFERROR(VLOOKUP(P330,PARTNERS!$A$2:$B$30,2,0),""))</f>
        <v/>
      </c>
      <c r="R330" s="17" t="str">
        <f aca="false">IF(O330="","",IF(OR(P330="",Q330=""),0,(O330-N330)*IF(Q330&gt;1,Q330/100,Q330)))</f>
        <v/>
      </c>
      <c r="S330" s="14" t="str">
        <f aca="false">IF(O330="","",O330-R330)</f>
        <v/>
      </c>
      <c r="T330" s="11"/>
      <c r="U330" s="18" t="str">
        <f aca="false">IF(T330="","",IFERROR(VLOOKUP(T330,REPS!$A$2:$D$40,2,0),""))</f>
        <v/>
      </c>
      <c r="V330" s="14" t="str">
        <f aca="false">IF(O330="","",IF(U330="",0,O330*IF(U330&gt;1,U330/100,U330)))</f>
        <v/>
      </c>
      <c r="W330" s="11"/>
      <c r="X330" s="18" t="str">
        <f aca="false">IF(W330="","",IFERROR(VLOOKUP(W330,REPS!$A$2:$D$40,3,0),""))</f>
        <v/>
      </c>
      <c r="Y330" s="14" t="str">
        <f aca="false">IF(O330="","",IF(X330="",0,O330*IF(X330&gt;1,X330/100,X330)))</f>
        <v/>
      </c>
      <c r="Z330" s="11"/>
      <c r="AA330" s="18" t="str">
        <f aca="false">IF(Z330="","",IFERROR(VLOOKUP(Z330,REPS!$A$2:$D$40,4,0),""))</f>
        <v/>
      </c>
      <c r="AB330" s="14" t="str">
        <f aca="false">IF(O330="","",IF(AA330="",0,O330*IF(AA330&gt;1,AA330/100,AA330)))</f>
        <v/>
      </c>
      <c r="AC330" s="14" t="str">
        <f aca="false">IF(O330="","",V330+Y330+AB330)</f>
        <v/>
      </c>
      <c r="AD330" s="19" t="str">
        <f aca="false">IF(O330="","",O330-R330-AC330)</f>
        <v/>
      </c>
      <c r="AE330" s="20"/>
      <c r="AF330" s="10"/>
      <c r="AG330" s="21" t="n">
        <f aca="false">IF(OR(AE330="",AE330=0),0,AE330*IF(U330="",0,IF(U330&gt;1,U330/100,U330)))</f>
        <v>0</v>
      </c>
      <c r="AH330" s="21" t="n">
        <f aca="false">IF(OR(AE330="",AE330=0),0,AE330*IF(X330="",0,IF(X330&gt;1,X330/100,X330)))</f>
        <v>0</v>
      </c>
      <c r="AI330" s="21" t="n">
        <f aca="false">IF(OR(AE330="",AE330=0),0,AE330*IF(AA330="",0,IF(AA330&gt;1,AA330/100,AA330)))</f>
        <v>0</v>
      </c>
      <c r="AJ330" s="21" t="n">
        <f aca="false">AG330+AH330+AI330</f>
        <v>0</v>
      </c>
      <c r="AK330" s="21" t="n">
        <f aca="false">IF(OR(AE330="",AE330=0),0,AE330-AJ330)</f>
        <v>0</v>
      </c>
      <c r="AL330" s="19" t="str">
        <f aca="false">IF(AD330="","",AD330-AK330)</f>
        <v/>
      </c>
      <c r="AM330" s="9" t="str">
        <f aca="false">IF(C330="","","Waiting for payment")</f>
        <v/>
      </c>
      <c r="AN330" s="10"/>
      <c r="AO330" s="10"/>
      <c r="AP330" s="22" t="str">
        <f aca="false">IF(OR(C330="",I330="",K330=""),"",IF(K330="Monthly",EDATE(C330,ROUND(I330*SETTINGS!$I$8,0)),WORKDAY(C330,ROUND(I330*SETTINGS!$I$8,0))))</f>
        <v/>
      </c>
      <c r="AQ330" s="9" t="str">
        <f aca="true">IF(C330="","",IF(AND(AP330&lt;&gt;"",TODAY()&gt;=AP330),"Refi Ready",IF(TODAY()-C330&gt;=SETTINGS!$I$11,"Prospecting","Performing")))</f>
        <v/>
      </c>
      <c r="AR330" s="22" t="str">
        <f aca="false">IF(OR(C330="",I330="",K330=""),"",IF(K330="Monthly",EDATE(C330,I330),WORKDAY(C330,I330)))</f>
        <v/>
      </c>
      <c r="AS330" s="11"/>
      <c r="AT330" s="23" t="str">
        <f aca="true">IF(C330="","",IF(AM330="Clawed Back","CLAWED",IF(TODAY()&lt;=C330+SETTINGS!$I$2,"⚠ AT RISK","SAFE")))</f>
        <v/>
      </c>
      <c r="AU330" s="11"/>
      <c r="AW330" s="24" t="n">
        <f aca="false">AW329+IF(AND(C330&lt;&gt;"",AO330&lt;&gt;"",OR('REP COMMISSION'!$B$3="",T330='REP COMMISSION'!$B$3,W330='REP COMMISSION'!$B$3,Z330='REP COMMISSION'!$B$3)),1,0)</f>
        <v>0</v>
      </c>
      <c r="AX330" s="24" t="n">
        <f aca="false">AX329+IF(AND(C330&lt;&gt;"",OR(F330="LOC - INITIAL",F330="CONSOLIDATION - UPFRONT COMM",F330="REVERSE - TOTAL FUNDING")),1,0)</f>
        <v>0</v>
      </c>
    </row>
    <row r="331" customFormat="false" ht="15" hidden="false" customHeight="false" outlineLevel="0" collapsed="false">
      <c r="A331" s="25" t="str">
        <f aca="false">IF(C331&lt;&gt;"","F27-"&amp;COUNT($C$4:C331),"")</f>
        <v/>
      </c>
      <c r="B331" s="26" t="str">
        <f aca="false">IF(OR(F331="LOC - INITIAL",F331="CONSOLIDATION - UPFRONT COMM",F331="REVERSE - TOTAL FUNDING"),A331,"")</f>
        <v/>
      </c>
      <c r="C331" s="27"/>
      <c r="D331" s="28"/>
      <c r="E331" s="28"/>
      <c r="F331" s="28"/>
      <c r="G331" s="29"/>
      <c r="H331" s="30"/>
      <c r="I331" s="28"/>
      <c r="J331" s="31" t="str">
        <f aca="false">IF(AND(G331&lt;&gt;"",H331&lt;&gt;""),G331*H331,"")</f>
        <v/>
      </c>
      <c r="K331" s="28"/>
      <c r="L331" s="32"/>
      <c r="M331" s="32"/>
      <c r="N331" s="31" t="n">
        <f aca="false">IF(OR(G331="",M331=""),0,IF(M331&gt;100,M331,G331*IF(M331&gt;1,M331/100,M331)))</f>
        <v>0</v>
      </c>
      <c r="O331" s="31" t="str">
        <f aca="false">IF(G331="","",G331*IF(L331="",0,IF(L331&gt;1,L331/100,L331))+N331)</f>
        <v/>
      </c>
      <c r="P331" s="28"/>
      <c r="Q331" s="33" t="str">
        <f aca="false">IF(P331="","",IFERROR(VLOOKUP(P331,PARTNERS!$A$2:$B$30,2,0),""))</f>
        <v/>
      </c>
      <c r="R331" s="17" t="str">
        <f aca="false">IF(O331="","",IF(OR(P331="",Q331=""),0,(O331-N331)*IF(Q331&gt;1,Q331/100,Q331)))</f>
        <v/>
      </c>
      <c r="S331" s="31" t="str">
        <f aca="false">IF(O331="","",O331-R331)</f>
        <v/>
      </c>
      <c r="T331" s="28"/>
      <c r="U331" s="34" t="str">
        <f aca="false">IF(T331="","",IFERROR(VLOOKUP(T331,REPS!$A$2:$D$40,2,0),""))</f>
        <v/>
      </c>
      <c r="V331" s="31" t="str">
        <f aca="false">IF(O331="","",IF(U331="",0,O331*IF(U331&gt;1,U331/100,U331)))</f>
        <v/>
      </c>
      <c r="W331" s="28"/>
      <c r="X331" s="34" t="str">
        <f aca="false">IF(W331="","",IFERROR(VLOOKUP(W331,REPS!$A$2:$D$40,3,0),""))</f>
        <v/>
      </c>
      <c r="Y331" s="31" t="str">
        <f aca="false">IF(O331="","",IF(X331="",0,O331*IF(X331&gt;1,X331/100,X331)))</f>
        <v/>
      </c>
      <c r="Z331" s="28"/>
      <c r="AA331" s="34" t="str">
        <f aca="false">IF(Z331="","",IFERROR(VLOOKUP(Z331,REPS!$A$2:$D$40,4,0),""))</f>
        <v/>
      </c>
      <c r="AB331" s="31" t="str">
        <f aca="false">IF(O331="","",IF(AA331="",0,O331*IF(AA331&gt;1,AA331/100,AA331)))</f>
        <v/>
      </c>
      <c r="AC331" s="31" t="str">
        <f aca="false">IF(O331="","",V331+Y331+AB331)</f>
        <v/>
      </c>
      <c r="AD331" s="19" t="str">
        <f aca="false">IF(O331="","",O331-R331-AC331)</f>
        <v/>
      </c>
      <c r="AE331" s="20"/>
      <c r="AF331" s="27"/>
      <c r="AG331" s="21" t="n">
        <f aca="false">IF(OR(AE331="",AE331=0),0,AE331*IF(U331="",0,IF(U331&gt;1,U331/100,U331)))</f>
        <v>0</v>
      </c>
      <c r="AH331" s="21" t="n">
        <f aca="false">IF(OR(AE331="",AE331=0),0,AE331*IF(X331="",0,IF(X331&gt;1,X331/100,X331)))</f>
        <v>0</v>
      </c>
      <c r="AI331" s="21" t="n">
        <f aca="false">IF(OR(AE331="",AE331=0),0,AE331*IF(AA331="",0,IF(AA331&gt;1,AA331/100,AA331)))</f>
        <v>0</v>
      </c>
      <c r="AJ331" s="21" t="n">
        <f aca="false">AG331+AH331+AI331</f>
        <v>0</v>
      </c>
      <c r="AK331" s="21" t="n">
        <f aca="false">IF(OR(AE331="",AE331=0),0,AE331-AJ331)</f>
        <v>0</v>
      </c>
      <c r="AL331" s="19" t="str">
        <f aca="false">IF(AD331="","",AD331-AK331)</f>
        <v/>
      </c>
      <c r="AM331" s="26" t="str">
        <f aca="false">IF(C331="","","Waiting for payment")</f>
        <v/>
      </c>
      <c r="AN331" s="27"/>
      <c r="AO331" s="27"/>
      <c r="AP331" s="35" t="str">
        <f aca="false">IF(OR(C331="",I331="",K331=""),"",IF(K331="Monthly",EDATE(C331,ROUND(I331*SETTINGS!$I$8,0)),WORKDAY(C331,ROUND(I331*SETTINGS!$I$8,0))))</f>
        <v/>
      </c>
      <c r="AQ331" s="26" t="str">
        <f aca="true">IF(C331="","",IF(AND(AP331&lt;&gt;"",TODAY()&gt;=AP331),"Refi Ready",IF(TODAY()-C331&gt;=SETTINGS!$I$11,"Prospecting","Performing")))</f>
        <v/>
      </c>
      <c r="AR331" s="35" t="str">
        <f aca="false">IF(OR(C331="",I331="",K331=""),"",IF(K331="Monthly",EDATE(C331,I331),WORKDAY(C331,I331)))</f>
        <v/>
      </c>
      <c r="AS331" s="28"/>
      <c r="AT331" s="36" t="str">
        <f aca="true">IF(C331="","",IF(AM331="Clawed Back","CLAWED",IF(TODAY()&lt;=C331+SETTINGS!$I$2,"⚠ AT RISK","SAFE")))</f>
        <v/>
      </c>
      <c r="AU331" s="28"/>
      <c r="AW331" s="24" t="n">
        <f aca="false">AW330+IF(AND(C331&lt;&gt;"",AO331&lt;&gt;"",OR('REP COMMISSION'!$B$3="",T331='REP COMMISSION'!$B$3,W331='REP COMMISSION'!$B$3,Z331='REP COMMISSION'!$B$3)),1,0)</f>
        <v>0</v>
      </c>
      <c r="AX331" s="24" t="n">
        <f aca="false">AX330+IF(AND(C331&lt;&gt;"",OR(F331="LOC - INITIAL",F331="CONSOLIDATION - UPFRONT COMM",F331="REVERSE - TOTAL FUNDING")),1,0)</f>
        <v>0</v>
      </c>
    </row>
    <row r="332" customFormat="false" ht="15" hidden="false" customHeight="false" outlineLevel="0" collapsed="false">
      <c r="A332" s="8" t="str">
        <f aca="false">IF(C332&lt;&gt;"","F27-"&amp;COUNT($C$4:C332),"")</f>
        <v/>
      </c>
      <c r="B332" s="9" t="str">
        <f aca="false">IF(OR(F332="LOC - INITIAL",F332="CONSOLIDATION - UPFRONT COMM",F332="REVERSE - TOTAL FUNDING"),A332,"")</f>
        <v/>
      </c>
      <c r="C332" s="10"/>
      <c r="D332" s="11"/>
      <c r="E332" s="11"/>
      <c r="F332" s="11"/>
      <c r="G332" s="12"/>
      <c r="H332" s="13"/>
      <c r="I332" s="11"/>
      <c r="J332" s="14" t="str">
        <f aca="false">IF(AND(G332&lt;&gt;"",H332&lt;&gt;""),G332*H332,"")</f>
        <v/>
      </c>
      <c r="K332" s="11"/>
      <c r="L332" s="15"/>
      <c r="M332" s="15"/>
      <c r="N332" s="14" t="n">
        <f aca="false">IF(OR(G332="",M332=""),0,IF(M332&gt;100,M332,G332*IF(M332&gt;1,M332/100,M332)))</f>
        <v>0</v>
      </c>
      <c r="O332" s="14" t="str">
        <f aca="false">IF(G332="","",G332*IF(L332="",0,IF(L332&gt;1,L332/100,L332))+N332)</f>
        <v/>
      </c>
      <c r="P332" s="11"/>
      <c r="Q332" s="16" t="str">
        <f aca="false">IF(P332="","",IFERROR(VLOOKUP(P332,PARTNERS!$A$2:$B$30,2,0),""))</f>
        <v/>
      </c>
      <c r="R332" s="17" t="str">
        <f aca="false">IF(O332="","",IF(OR(P332="",Q332=""),0,(O332-N332)*IF(Q332&gt;1,Q332/100,Q332)))</f>
        <v/>
      </c>
      <c r="S332" s="14" t="str">
        <f aca="false">IF(O332="","",O332-R332)</f>
        <v/>
      </c>
      <c r="T332" s="11"/>
      <c r="U332" s="18" t="str">
        <f aca="false">IF(T332="","",IFERROR(VLOOKUP(T332,REPS!$A$2:$D$40,2,0),""))</f>
        <v/>
      </c>
      <c r="V332" s="14" t="str">
        <f aca="false">IF(O332="","",IF(U332="",0,O332*IF(U332&gt;1,U332/100,U332)))</f>
        <v/>
      </c>
      <c r="W332" s="11"/>
      <c r="X332" s="18" t="str">
        <f aca="false">IF(W332="","",IFERROR(VLOOKUP(W332,REPS!$A$2:$D$40,3,0),""))</f>
        <v/>
      </c>
      <c r="Y332" s="14" t="str">
        <f aca="false">IF(O332="","",IF(X332="",0,O332*IF(X332&gt;1,X332/100,X332)))</f>
        <v/>
      </c>
      <c r="Z332" s="11"/>
      <c r="AA332" s="18" t="str">
        <f aca="false">IF(Z332="","",IFERROR(VLOOKUP(Z332,REPS!$A$2:$D$40,4,0),""))</f>
        <v/>
      </c>
      <c r="AB332" s="14" t="str">
        <f aca="false">IF(O332="","",IF(AA332="",0,O332*IF(AA332&gt;1,AA332/100,AA332)))</f>
        <v/>
      </c>
      <c r="AC332" s="14" t="str">
        <f aca="false">IF(O332="","",V332+Y332+AB332)</f>
        <v/>
      </c>
      <c r="AD332" s="19" t="str">
        <f aca="false">IF(O332="","",O332-R332-AC332)</f>
        <v/>
      </c>
      <c r="AE332" s="20"/>
      <c r="AF332" s="10"/>
      <c r="AG332" s="21" t="n">
        <f aca="false">IF(OR(AE332="",AE332=0),0,AE332*IF(U332="",0,IF(U332&gt;1,U332/100,U332)))</f>
        <v>0</v>
      </c>
      <c r="AH332" s="21" t="n">
        <f aca="false">IF(OR(AE332="",AE332=0),0,AE332*IF(X332="",0,IF(X332&gt;1,X332/100,X332)))</f>
        <v>0</v>
      </c>
      <c r="AI332" s="21" t="n">
        <f aca="false">IF(OR(AE332="",AE332=0),0,AE332*IF(AA332="",0,IF(AA332&gt;1,AA332/100,AA332)))</f>
        <v>0</v>
      </c>
      <c r="AJ332" s="21" t="n">
        <f aca="false">AG332+AH332+AI332</f>
        <v>0</v>
      </c>
      <c r="AK332" s="21" t="n">
        <f aca="false">IF(OR(AE332="",AE332=0),0,AE332-AJ332)</f>
        <v>0</v>
      </c>
      <c r="AL332" s="19" t="str">
        <f aca="false">IF(AD332="","",AD332-AK332)</f>
        <v/>
      </c>
      <c r="AM332" s="9" t="str">
        <f aca="false">IF(C332="","","Waiting for payment")</f>
        <v/>
      </c>
      <c r="AN332" s="10"/>
      <c r="AO332" s="10"/>
      <c r="AP332" s="22" t="str">
        <f aca="false">IF(OR(C332="",I332="",K332=""),"",IF(K332="Monthly",EDATE(C332,ROUND(I332*SETTINGS!$I$8,0)),WORKDAY(C332,ROUND(I332*SETTINGS!$I$8,0))))</f>
        <v/>
      </c>
      <c r="AQ332" s="9" t="str">
        <f aca="true">IF(C332="","",IF(AND(AP332&lt;&gt;"",TODAY()&gt;=AP332),"Refi Ready",IF(TODAY()-C332&gt;=SETTINGS!$I$11,"Prospecting","Performing")))</f>
        <v/>
      </c>
      <c r="AR332" s="22" t="str">
        <f aca="false">IF(OR(C332="",I332="",K332=""),"",IF(K332="Monthly",EDATE(C332,I332),WORKDAY(C332,I332)))</f>
        <v/>
      </c>
      <c r="AS332" s="11"/>
      <c r="AT332" s="23" t="str">
        <f aca="true">IF(C332="","",IF(AM332="Clawed Back","CLAWED",IF(TODAY()&lt;=C332+SETTINGS!$I$2,"⚠ AT RISK","SAFE")))</f>
        <v/>
      </c>
      <c r="AU332" s="11"/>
      <c r="AW332" s="24" t="n">
        <f aca="false">AW331+IF(AND(C332&lt;&gt;"",AO332&lt;&gt;"",OR('REP COMMISSION'!$B$3="",T332='REP COMMISSION'!$B$3,W332='REP COMMISSION'!$B$3,Z332='REP COMMISSION'!$B$3)),1,0)</f>
        <v>0</v>
      </c>
      <c r="AX332" s="24" t="n">
        <f aca="false">AX331+IF(AND(C332&lt;&gt;"",OR(F332="LOC - INITIAL",F332="CONSOLIDATION - UPFRONT COMM",F332="REVERSE - TOTAL FUNDING")),1,0)</f>
        <v>0</v>
      </c>
    </row>
    <row r="333" customFormat="false" ht="15" hidden="false" customHeight="false" outlineLevel="0" collapsed="false">
      <c r="A333" s="25" t="str">
        <f aca="false">IF(C333&lt;&gt;"","F27-"&amp;COUNT($C$4:C333),"")</f>
        <v/>
      </c>
      <c r="B333" s="26" t="str">
        <f aca="false">IF(OR(F333="LOC - INITIAL",F333="CONSOLIDATION - UPFRONT COMM",F333="REVERSE - TOTAL FUNDING"),A333,"")</f>
        <v/>
      </c>
      <c r="C333" s="27"/>
      <c r="D333" s="28"/>
      <c r="E333" s="28"/>
      <c r="F333" s="28"/>
      <c r="G333" s="29"/>
      <c r="H333" s="30"/>
      <c r="I333" s="28"/>
      <c r="J333" s="31" t="str">
        <f aca="false">IF(AND(G333&lt;&gt;"",H333&lt;&gt;""),G333*H333,"")</f>
        <v/>
      </c>
      <c r="K333" s="28"/>
      <c r="L333" s="32"/>
      <c r="M333" s="32"/>
      <c r="N333" s="31" t="n">
        <f aca="false">IF(OR(G333="",M333=""),0,IF(M333&gt;100,M333,G333*IF(M333&gt;1,M333/100,M333)))</f>
        <v>0</v>
      </c>
      <c r="O333" s="31" t="str">
        <f aca="false">IF(G333="","",G333*IF(L333="",0,IF(L333&gt;1,L333/100,L333))+N333)</f>
        <v/>
      </c>
      <c r="P333" s="28"/>
      <c r="Q333" s="33" t="str">
        <f aca="false">IF(P333="","",IFERROR(VLOOKUP(P333,PARTNERS!$A$2:$B$30,2,0),""))</f>
        <v/>
      </c>
      <c r="R333" s="17" t="str">
        <f aca="false">IF(O333="","",IF(OR(P333="",Q333=""),0,(O333-N333)*IF(Q333&gt;1,Q333/100,Q333)))</f>
        <v/>
      </c>
      <c r="S333" s="31" t="str">
        <f aca="false">IF(O333="","",O333-R333)</f>
        <v/>
      </c>
      <c r="T333" s="28"/>
      <c r="U333" s="34" t="str">
        <f aca="false">IF(T333="","",IFERROR(VLOOKUP(T333,REPS!$A$2:$D$40,2,0),""))</f>
        <v/>
      </c>
      <c r="V333" s="31" t="str">
        <f aca="false">IF(O333="","",IF(U333="",0,O333*IF(U333&gt;1,U333/100,U333)))</f>
        <v/>
      </c>
      <c r="W333" s="28"/>
      <c r="X333" s="34" t="str">
        <f aca="false">IF(W333="","",IFERROR(VLOOKUP(W333,REPS!$A$2:$D$40,3,0),""))</f>
        <v/>
      </c>
      <c r="Y333" s="31" t="str">
        <f aca="false">IF(O333="","",IF(X333="",0,O333*IF(X333&gt;1,X333/100,X333)))</f>
        <v/>
      </c>
      <c r="Z333" s="28"/>
      <c r="AA333" s="34" t="str">
        <f aca="false">IF(Z333="","",IFERROR(VLOOKUP(Z333,REPS!$A$2:$D$40,4,0),""))</f>
        <v/>
      </c>
      <c r="AB333" s="31" t="str">
        <f aca="false">IF(O333="","",IF(AA333="",0,O333*IF(AA333&gt;1,AA333/100,AA333)))</f>
        <v/>
      </c>
      <c r="AC333" s="31" t="str">
        <f aca="false">IF(O333="","",V333+Y333+AB333)</f>
        <v/>
      </c>
      <c r="AD333" s="19" t="str">
        <f aca="false">IF(O333="","",O333-R333-AC333)</f>
        <v/>
      </c>
      <c r="AE333" s="20"/>
      <c r="AF333" s="27"/>
      <c r="AG333" s="21" t="n">
        <f aca="false">IF(OR(AE333="",AE333=0),0,AE333*IF(U333="",0,IF(U333&gt;1,U333/100,U333)))</f>
        <v>0</v>
      </c>
      <c r="AH333" s="21" t="n">
        <f aca="false">IF(OR(AE333="",AE333=0),0,AE333*IF(X333="",0,IF(X333&gt;1,X333/100,X333)))</f>
        <v>0</v>
      </c>
      <c r="AI333" s="21" t="n">
        <f aca="false">IF(OR(AE333="",AE333=0),0,AE333*IF(AA333="",0,IF(AA333&gt;1,AA333/100,AA333)))</f>
        <v>0</v>
      </c>
      <c r="AJ333" s="21" t="n">
        <f aca="false">AG333+AH333+AI333</f>
        <v>0</v>
      </c>
      <c r="AK333" s="21" t="n">
        <f aca="false">IF(OR(AE333="",AE333=0),0,AE333-AJ333)</f>
        <v>0</v>
      </c>
      <c r="AL333" s="19" t="str">
        <f aca="false">IF(AD333="","",AD333-AK333)</f>
        <v/>
      </c>
      <c r="AM333" s="26" t="str">
        <f aca="false">IF(C333="","","Waiting for payment")</f>
        <v/>
      </c>
      <c r="AN333" s="27"/>
      <c r="AO333" s="27"/>
      <c r="AP333" s="35" t="str">
        <f aca="false">IF(OR(C333="",I333="",K333=""),"",IF(K333="Monthly",EDATE(C333,ROUND(I333*SETTINGS!$I$8,0)),WORKDAY(C333,ROUND(I333*SETTINGS!$I$8,0))))</f>
        <v/>
      </c>
      <c r="AQ333" s="26" t="str">
        <f aca="true">IF(C333="","",IF(AND(AP333&lt;&gt;"",TODAY()&gt;=AP333),"Refi Ready",IF(TODAY()-C333&gt;=SETTINGS!$I$11,"Prospecting","Performing")))</f>
        <v/>
      </c>
      <c r="AR333" s="35" t="str">
        <f aca="false">IF(OR(C333="",I333="",K333=""),"",IF(K333="Monthly",EDATE(C333,I333),WORKDAY(C333,I333)))</f>
        <v/>
      </c>
      <c r="AS333" s="28"/>
      <c r="AT333" s="36" t="str">
        <f aca="true">IF(C333="","",IF(AM333="Clawed Back","CLAWED",IF(TODAY()&lt;=C333+SETTINGS!$I$2,"⚠ AT RISK","SAFE")))</f>
        <v/>
      </c>
      <c r="AU333" s="28"/>
      <c r="AW333" s="24" t="n">
        <f aca="false">AW332+IF(AND(C333&lt;&gt;"",AO333&lt;&gt;"",OR('REP COMMISSION'!$B$3="",T333='REP COMMISSION'!$B$3,W333='REP COMMISSION'!$B$3,Z333='REP COMMISSION'!$B$3)),1,0)</f>
        <v>0</v>
      </c>
      <c r="AX333" s="24" t="n">
        <f aca="false">AX332+IF(AND(C333&lt;&gt;"",OR(F333="LOC - INITIAL",F333="CONSOLIDATION - UPFRONT COMM",F333="REVERSE - TOTAL FUNDING")),1,0)</f>
        <v>0</v>
      </c>
    </row>
    <row r="334" customFormat="false" ht="15" hidden="false" customHeight="false" outlineLevel="0" collapsed="false">
      <c r="A334" s="8" t="str">
        <f aca="false">IF(C334&lt;&gt;"","F27-"&amp;COUNT($C$4:C334),"")</f>
        <v/>
      </c>
      <c r="B334" s="9" t="str">
        <f aca="false">IF(OR(F334="LOC - INITIAL",F334="CONSOLIDATION - UPFRONT COMM",F334="REVERSE - TOTAL FUNDING"),A334,"")</f>
        <v/>
      </c>
      <c r="C334" s="10"/>
      <c r="D334" s="11"/>
      <c r="E334" s="11"/>
      <c r="F334" s="11"/>
      <c r="G334" s="12"/>
      <c r="H334" s="13"/>
      <c r="I334" s="11"/>
      <c r="J334" s="14" t="str">
        <f aca="false">IF(AND(G334&lt;&gt;"",H334&lt;&gt;""),G334*H334,"")</f>
        <v/>
      </c>
      <c r="K334" s="11"/>
      <c r="L334" s="15"/>
      <c r="M334" s="15"/>
      <c r="N334" s="14" t="n">
        <f aca="false">IF(OR(G334="",M334=""),0,IF(M334&gt;100,M334,G334*IF(M334&gt;1,M334/100,M334)))</f>
        <v>0</v>
      </c>
      <c r="O334" s="14" t="str">
        <f aca="false">IF(G334="","",G334*IF(L334="",0,IF(L334&gt;1,L334/100,L334))+N334)</f>
        <v/>
      </c>
      <c r="P334" s="11"/>
      <c r="Q334" s="16" t="str">
        <f aca="false">IF(P334="","",IFERROR(VLOOKUP(P334,PARTNERS!$A$2:$B$30,2,0),""))</f>
        <v/>
      </c>
      <c r="R334" s="17" t="str">
        <f aca="false">IF(O334="","",IF(OR(P334="",Q334=""),0,(O334-N334)*IF(Q334&gt;1,Q334/100,Q334)))</f>
        <v/>
      </c>
      <c r="S334" s="14" t="str">
        <f aca="false">IF(O334="","",O334-R334)</f>
        <v/>
      </c>
      <c r="T334" s="11"/>
      <c r="U334" s="18" t="str">
        <f aca="false">IF(T334="","",IFERROR(VLOOKUP(T334,REPS!$A$2:$D$40,2,0),""))</f>
        <v/>
      </c>
      <c r="V334" s="14" t="str">
        <f aca="false">IF(O334="","",IF(U334="",0,O334*IF(U334&gt;1,U334/100,U334)))</f>
        <v/>
      </c>
      <c r="W334" s="11"/>
      <c r="X334" s="18" t="str">
        <f aca="false">IF(W334="","",IFERROR(VLOOKUP(W334,REPS!$A$2:$D$40,3,0),""))</f>
        <v/>
      </c>
      <c r="Y334" s="14" t="str">
        <f aca="false">IF(O334="","",IF(X334="",0,O334*IF(X334&gt;1,X334/100,X334)))</f>
        <v/>
      </c>
      <c r="Z334" s="11"/>
      <c r="AA334" s="18" t="str">
        <f aca="false">IF(Z334="","",IFERROR(VLOOKUP(Z334,REPS!$A$2:$D$40,4,0),""))</f>
        <v/>
      </c>
      <c r="AB334" s="14" t="str">
        <f aca="false">IF(O334="","",IF(AA334="",0,O334*IF(AA334&gt;1,AA334/100,AA334)))</f>
        <v/>
      </c>
      <c r="AC334" s="14" t="str">
        <f aca="false">IF(O334="","",V334+Y334+AB334)</f>
        <v/>
      </c>
      <c r="AD334" s="19" t="str">
        <f aca="false">IF(O334="","",O334-R334-AC334)</f>
        <v/>
      </c>
      <c r="AE334" s="20"/>
      <c r="AF334" s="10"/>
      <c r="AG334" s="21" t="n">
        <f aca="false">IF(OR(AE334="",AE334=0),0,AE334*IF(U334="",0,IF(U334&gt;1,U334/100,U334)))</f>
        <v>0</v>
      </c>
      <c r="AH334" s="21" t="n">
        <f aca="false">IF(OR(AE334="",AE334=0),0,AE334*IF(X334="",0,IF(X334&gt;1,X334/100,X334)))</f>
        <v>0</v>
      </c>
      <c r="AI334" s="21" t="n">
        <f aca="false">IF(OR(AE334="",AE334=0),0,AE334*IF(AA334="",0,IF(AA334&gt;1,AA334/100,AA334)))</f>
        <v>0</v>
      </c>
      <c r="AJ334" s="21" t="n">
        <f aca="false">AG334+AH334+AI334</f>
        <v>0</v>
      </c>
      <c r="AK334" s="21" t="n">
        <f aca="false">IF(OR(AE334="",AE334=0),0,AE334-AJ334)</f>
        <v>0</v>
      </c>
      <c r="AL334" s="19" t="str">
        <f aca="false">IF(AD334="","",AD334-AK334)</f>
        <v/>
      </c>
      <c r="AM334" s="9" t="str">
        <f aca="false">IF(C334="","","Waiting for payment")</f>
        <v/>
      </c>
      <c r="AN334" s="10"/>
      <c r="AO334" s="10"/>
      <c r="AP334" s="22" t="str">
        <f aca="false">IF(OR(C334="",I334="",K334=""),"",IF(K334="Monthly",EDATE(C334,ROUND(I334*SETTINGS!$I$8,0)),WORKDAY(C334,ROUND(I334*SETTINGS!$I$8,0))))</f>
        <v/>
      </c>
      <c r="AQ334" s="9" t="str">
        <f aca="true">IF(C334="","",IF(AND(AP334&lt;&gt;"",TODAY()&gt;=AP334),"Refi Ready",IF(TODAY()-C334&gt;=SETTINGS!$I$11,"Prospecting","Performing")))</f>
        <v/>
      </c>
      <c r="AR334" s="22" t="str">
        <f aca="false">IF(OR(C334="",I334="",K334=""),"",IF(K334="Monthly",EDATE(C334,I334),WORKDAY(C334,I334)))</f>
        <v/>
      </c>
      <c r="AS334" s="11"/>
      <c r="AT334" s="23" t="str">
        <f aca="true">IF(C334="","",IF(AM334="Clawed Back","CLAWED",IF(TODAY()&lt;=C334+SETTINGS!$I$2,"⚠ AT RISK","SAFE")))</f>
        <v/>
      </c>
      <c r="AU334" s="11"/>
      <c r="AW334" s="24" t="n">
        <f aca="false">AW333+IF(AND(C334&lt;&gt;"",AO334&lt;&gt;"",OR('REP COMMISSION'!$B$3="",T334='REP COMMISSION'!$B$3,W334='REP COMMISSION'!$B$3,Z334='REP COMMISSION'!$B$3)),1,0)</f>
        <v>0</v>
      </c>
      <c r="AX334" s="24" t="n">
        <f aca="false">AX333+IF(AND(C334&lt;&gt;"",OR(F334="LOC - INITIAL",F334="CONSOLIDATION - UPFRONT COMM",F334="REVERSE - TOTAL FUNDING")),1,0)</f>
        <v>0</v>
      </c>
    </row>
    <row r="335" customFormat="false" ht="15" hidden="false" customHeight="false" outlineLevel="0" collapsed="false">
      <c r="A335" s="25" t="str">
        <f aca="false">IF(C335&lt;&gt;"","F27-"&amp;COUNT($C$4:C335),"")</f>
        <v/>
      </c>
      <c r="B335" s="26" t="str">
        <f aca="false">IF(OR(F335="LOC - INITIAL",F335="CONSOLIDATION - UPFRONT COMM",F335="REVERSE - TOTAL FUNDING"),A335,"")</f>
        <v/>
      </c>
      <c r="C335" s="27"/>
      <c r="D335" s="28"/>
      <c r="E335" s="28"/>
      <c r="F335" s="28"/>
      <c r="G335" s="29"/>
      <c r="H335" s="30"/>
      <c r="I335" s="28"/>
      <c r="J335" s="31" t="str">
        <f aca="false">IF(AND(G335&lt;&gt;"",H335&lt;&gt;""),G335*H335,"")</f>
        <v/>
      </c>
      <c r="K335" s="28"/>
      <c r="L335" s="32"/>
      <c r="M335" s="32"/>
      <c r="N335" s="31" t="n">
        <f aca="false">IF(OR(G335="",M335=""),0,IF(M335&gt;100,M335,G335*IF(M335&gt;1,M335/100,M335)))</f>
        <v>0</v>
      </c>
      <c r="O335" s="31" t="str">
        <f aca="false">IF(G335="","",G335*IF(L335="",0,IF(L335&gt;1,L335/100,L335))+N335)</f>
        <v/>
      </c>
      <c r="P335" s="28"/>
      <c r="Q335" s="33" t="str">
        <f aca="false">IF(P335="","",IFERROR(VLOOKUP(P335,PARTNERS!$A$2:$B$30,2,0),""))</f>
        <v/>
      </c>
      <c r="R335" s="17" t="str">
        <f aca="false">IF(O335="","",IF(OR(P335="",Q335=""),0,(O335-N335)*IF(Q335&gt;1,Q335/100,Q335)))</f>
        <v/>
      </c>
      <c r="S335" s="31" t="str">
        <f aca="false">IF(O335="","",O335-R335)</f>
        <v/>
      </c>
      <c r="T335" s="28"/>
      <c r="U335" s="34" t="str">
        <f aca="false">IF(T335="","",IFERROR(VLOOKUP(T335,REPS!$A$2:$D$40,2,0),""))</f>
        <v/>
      </c>
      <c r="V335" s="31" t="str">
        <f aca="false">IF(O335="","",IF(U335="",0,O335*IF(U335&gt;1,U335/100,U335)))</f>
        <v/>
      </c>
      <c r="W335" s="28"/>
      <c r="X335" s="34" t="str">
        <f aca="false">IF(W335="","",IFERROR(VLOOKUP(W335,REPS!$A$2:$D$40,3,0),""))</f>
        <v/>
      </c>
      <c r="Y335" s="31" t="str">
        <f aca="false">IF(O335="","",IF(X335="",0,O335*IF(X335&gt;1,X335/100,X335)))</f>
        <v/>
      </c>
      <c r="Z335" s="28"/>
      <c r="AA335" s="34" t="str">
        <f aca="false">IF(Z335="","",IFERROR(VLOOKUP(Z335,REPS!$A$2:$D$40,4,0),""))</f>
        <v/>
      </c>
      <c r="AB335" s="31" t="str">
        <f aca="false">IF(O335="","",IF(AA335="",0,O335*IF(AA335&gt;1,AA335/100,AA335)))</f>
        <v/>
      </c>
      <c r="AC335" s="31" t="str">
        <f aca="false">IF(O335="","",V335+Y335+AB335)</f>
        <v/>
      </c>
      <c r="AD335" s="19" t="str">
        <f aca="false">IF(O335="","",O335-R335-AC335)</f>
        <v/>
      </c>
      <c r="AE335" s="20"/>
      <c r="AF335" s="27"/>
      <c r="AG335" s="21" t="n">
        <f aca="false">IF(OR(AE335="",AE335=0),0,AE335*IF(U335="",0,IF(U335&gt;1,U335/100,U335)))</f>
        <v>0</v>
      </c>
      <c r="AH335" s="21" t="n">
        <f aca="false">IF(OR(AE335="",AE335=0),0,AE335*IF(X335="",0,IF(X335&gt;1,X335/100,X335)))</f>
        <v>0</v>
      </c>
      <c r="AI335" s="21" t="n">
        <f aca="false">IF(OR(AE335="",AE335=0),0,AE335*IF(AA335="",0,IF(AA335&gt;1,AA335/100,AA335)))</f>
        <v>0</v>
      </c>
      <c r="AJ335" s="21" t="n">
        <f aca="false">AG335+AH335+AI335</f>
        <v>0</v>
      </c>
      <c r="AK335" s="21" t="n">
        <f aca="false">IF(OR(AE335="",AE335=0),0,AE335-AJ335)</f>
        <v>0</v>
      </c>
      <c r="AL335" s="19" t="str">
        <f aca="false">IF(AD335="","",AD335-AK335)</f>
        <v/>
      </c>
      <c r="AM335" s="26" t="str">
        <f aca="false">IF(C335="","","Waiting for payment")</f>
        <v/>
      </c>
      <c r="AN335" s="27"/>
      <c r="AO335" s="27"/>
      <c r="AP335" s="35" t="str">
        <f aca="false">IF(OR(C335="",I335="",K335=""),"",IF(K335="Monthly",EDATE(C335,ROUND(I335*SETTINGS!$I$8,0)),WORKDAY(C335,ROUND(I335*SETTINGS!$I$8,0))))</f>
        <v/>
      </c>
      <c r="AQ335" s="26" t="str">
        <f aca="true">IF(C335="","",IF(AND(AP335&lt;&gt;"",TODAY()&gt;=AP335),"Refi Ready",IF(TODAY()-C335&gt;=SETTINGS!$I$11,"Prospecting","Performing")))</f>
        <v/>
      </c>
      <c r="AR335" s="35" t="str">
        <f aca="false">IF(OR(C335="",I335="",K335=""),"",IF(K335="Monthly",EDATE(C335,I335),WORKDAY(C335,I335)))</f>
        <v/>
      </c>
      <c r="AS335" s="28"/>
      <c r="AT335" s="36" t="str">
        <f aca="true">IF(C335="","",IF(AM335="Clawed Back","CLAWED",IF(TODAY()&lt;=C335+SETTINGS!$I$2,"⚠ AT RISK","SAFE")))</f>
        <v/>
      </c>
      <c r="AU335" s="28"/>
      <c r="AW335" s="24" t="n">
        <f aca="false">AW334+IF(AND(C335&lt;&gt;"",AO335&lt;&gt;"",OR('REP COMMISSION'!$B$3="",T335='REP COMMISSION'!$B$3,W335='REP COMMISSION'!$B$3,Z335='REP COMMISSION'!$B$3)),1,0)</f>
        <v>0</v>
      </c>
      <c r="AX335" s="24" t="n">
        <f aca="false">AX334+IF(AND(C335&lt;&gt;"",OR(F335="LOC - INITIAL",F335="CONSOLIDATION - UPFRONT COMM",F335="REVERSE - TOTAL FUNDING")),1,0)</f>
        <v>0</v>
      </c>
    </row>
    <row r="336" customFormat="false" ht="15" hidden="false" customHeight="false" outlineLevel="0" collapsed="false">
      <c r="A336" s="8" t="str">
        <f aca="false">IF(C336&lt;&gt;"","F27-"&amp;COUNT($C$4:C336),"")</f>
        <v/>
      </c>
      <c r="B336" s="9" t="str">
        <f aca="false">IF(OR(F336="LOC - INITIAL",F336="CONSOLIDATION - UPFRONT COMM",F336="REVERSE - TOTAL FUNDING"),A336,"")</f>
        <v/>
      </c>
      <c r="C336" s="10"/>
      <c r="D336" s="11"/>
      <c r="E336" s="11"/>
      <c r="F336" s="11"/>
      <c r="G336" s="12"/>
      <c r="H336" s="13"/>
      <c r="I336" s="11"/>
      <c r="J336" s="14" t="str">
        <f aca="false">IF(AND(G336&lt;&gt;"",H336&lt;&gt;""),G336*H336,"")</f>
        <v/>
      </c>
      <c r="K336" s="11"/>
      <c r="L336" s="15"/>
      <c r="M336" s="15"/>
      <c r="N336" s="14" t="n">
        <f aca="false">IF(OR(G336="",M336=""),0,IF(M336&gt;100,M336,G336*IF(M336&gt;1,M336/100,M336)))</f>
        <v>0</v>
      </c>
      <c r="O336" s="14" t="str">
        <f aca="false">IF(G336="","",G336*IF(L336="",0,IF(L336&gt;1,L336/100,L336))+N336)</f>
        <v/>
      </c>
      <c r="P336" s="11"/>
      <c r="Q336" s="16" t="str">
        <f aca="false">IF(P336="","",IFERROR(VLOOKUP(P336,PARTNERS!$A$2:$B$30,2,0),""))</f>
        <v/>
      </c>
      <c r="R336" s="17" t="str">
        <f aca="false">IF(O336="","",IF(OR(P336="",Q336=""),0,(O336-N336)*IF(Q336&gt;1,Q336/100,Q336)))</f>
        <v/>
      </c>
      <c r="S336" s="14" t="str">
        <f aca="false">IF(O336="","",O336-R336)</f>
        <v/>
      </c>
      <c r="T336" s="11"/>
      <c r="U336" s="18" t="str">
        <f aca="false">IF(T336="","",IFERROR(VLOOKUP(T336,REPS!$A$2:$D$40,2,0),""))</f>
        <v/>
      </c>
      <c r="V336" s="14" t="str">
        <f aca="false">IF(O336="","",IF(U336="",0,O336*IF(U336&gt;1,U336/100,U336)))</f>
        <v/>
      </c>
      <c r="W336" s="11"/>
      <c r="X336" s="18" t="str">
        <f aca="false">IF(W336="","",IFERROR(VLOOKUP(W336,REPS!$A$2:$D$40,3,0),""))</f>
        <v/>
      </c>
      <c r="Y336" s="14" t="str">
        <f aca="false">IF(O336="","",IF(X336="",0,O336*IF(X336&gt;1,X336/100,X336)))</f>
        <v/>
      </c>
      <c r="Z336" s="11"/>
      <c r="AA336" s="18" t="str">
        <f aca="false">IF(Z336="","",IFERROR(VLOOKUP(Z336,REPS!$A$2:$D$40,4,0),""))</f>
        <v/>
      </c>
      <c r="AB336" s="14" t="str">
        <f aca="false">IF(O336="","",IF(AA336="",0,O336*IF(AA336&gt;1,AA336/100,AA336)))</f>
        <v/>
      </c>
      <c r="AC336" s="14" t="str">
        <f aca="false">IF(O336="","",V336+Y336+AB336)</f>
        <v/>
      </c>
      <c r="AD336" s="19" t="str">
        <f aca="false">IF(O336="","",O336-R336-AC336)</f>
        <v/>
      </c>
      <c r="AE336" s="20"/>
      <c r="AF336" s="10"/>
      <c r="AG336" s="21" t="n">
        <f aca="false">IF(OR(AE336="",AE336=0),0,AE336*IF(U336="",0,IF(U336&gt;1,U336/100,U336)))</f>
        <v>0</v>
      </c>
      <c r="AH336" s="21" t="n">
        <f aca="false">IF(OR(AE336="",AE336=0),0,AE336*IF(X336="",0,IF(X336&gt;1,X336/100,X336)))</f>
        <v>0</v>
      </c>
      <c r="AI336" s="21" t="n">
        <f aca="false">IF(OR(AE336="",AE336=0),0,AE336*IF(AA336="",0,IF(AA336&gt;1,AA336/100,AA336)))</f>
        <v>0</v>
      </c>
      <c r="AJ336" s="21" t="n">
        <f aca="false">AG336+AH336+AI336</f>
        <v>0</v>
      </c>
      <c r="AK336" s="21" t="n">
        <f aca="false">IF(OR(AE336="",AE336=0),0,AE336-AJ336)</f>
        <v>0</v>
      </c>
      <c r="AL336" s="19" t="str">
        <f aca="false">IF(AD336="","",AD336-AK336)</f>
        <v/>
      </c>
      <c r="AM336" s="9" t="str">
        <f aca="false">IF(C336="","","Waiting for payment")</f>
        <v/>
      </c>
      <c r="AN336" s="10"/>
      <c r="AO336" s="10"/>
      <c r="AP336" s="22" t="str">
        <f aca="false">IF(OR(C336="",I336="",K336=""),"",IF(K336="Monthly",EDATE(C336,ROUND(I336*SETTINGS!$I$8,0)),WORKDAY(C336,ROUND(I336*SETTINGS!$I$8,0))))</f>
        <v/>
      </c>
      <c r="AQ336" s="9" t="str">
        <f aca="true">IF(C336="","",IF(AND(AP336&lt;&gt;"",TODAY()&gt;=AP336),"Refi Ready",IF(TODAY()-C336&gt;=SETTINGS!$I$11,"Prospecting","Performing")))</f>
        <v/>
      </c>
      <c r="AR336" s="22" t="str">
        <f aca="false">IF(OR(C336="",I336="",K336=""),"",IF(K336="Monthly",EDATE(C336,I336),WORKDAY(C336,I336)))</f>
        <v/>
      </c>
      <c r="AS336" s="11"/>
      <c r="AT336" s="23" t="str">
        <f aca="true">IF(C336="","",IF(AM336="Clawed Back","CLAWED",IF(TODAY()&lt;=C336+SETTINGS!$I$2,"⚠ AT RISK","SAFE")))</f>
        <v/>
      </c>
      <c r="AU336" s="11"/>
      <c r="AW336" s="24" t="n">
        <f aca="false">AW335+IF(AND(C336&lt;&gt;"",AO336&lt;&gt;"",OR('REP COMMISSION'!$B$3="",T336='REP COMMISSION'!$B$3,W336='REP COMMISSION'!$B$3,Z336='REP COMMISSION'!$B$3)),1,0)</f>
        <v>0</v>
      </c>
      <c r="AX336" s="24" t="n">
        <f aca="false">AX335+IF(AND(C336&lt;&gt;"",OR(F336="LOC - INITIAL",F336="CONSOLIDATION - UPFRONT COMM",F336="REVERSE - TOTAL FUNDING")),1,0)</f>
        <v>0</v>
      </c>
    </row>
    <row r="337" customFormat="false" ht="15" hidden="false" customHeight="false" outlineLevel="0" collapsed="false">
      <c r="A337" s="25" t="str">
        <f aca="false">IF(C337&lt;&gt;"","F27-"&amp;COUNT($C$4:C337),"")</f>
        <v/>
      </c>
      <c r="B337" s="26" t="str">
        <f aca="false">IF(OR(F337="LOC - INITIAL",F337="CONSOLIDATION - UPFRONT COMM",F337="REVERSE - TOTAL FUNDING"),A337,"")</f>
        <v/>
      </c>
      <c r="C337" s="27"/>
      <c r="D337" s="28"/>
      <c r="E337" s="28"/>
      <c r="F337" s="28"/>
      <c r="G337" s="29"/>
      <c r="H337" s="30"/>
      <c r="I337" s="28"/>
      <c r="J337" s="31" t="str">
        <f aca="false">IF(AND(G337&lt;&gt;"",H337&lt;&gt;""),G337*H337,"")</f>
        <v/>
      </c>
      <c r="K337" s="28"/>
      <c r="L337" s="32"/>
      <c r="M337" s="32"/>
      <c r="N337" s="31" t="n">
        <f aca="false">IF(OR(G337="",M337=""),0,IF(M337&gt;100,M337,G337*IF(M337&gt;1,M337/100,M337)))</f>
        <v>0</v>
      </c>
      <c r="O337" s="31" t="str">
        <f aca="false">IF(G337="","",G337*IF(L337="",0,IF(L337&gt;1,L337/100,L337))+N337)</f>
        <v/>
      </c>
      <c r="P337" s="28"/>
      <c r="Q337" s="33" t="str">
        <f aca="false">IF(P337="","",IFERROR(VLOOKUP(P337,PARTNERS!$A$2:$B$30,2,0),""))</f>
        <v/>
      </c>
      <c r="R337" s="17" t="str">
        <f aca="false">IF(O337="","",IF(OR(P337="",Q337=""),0,(O337-N337)*IF(Q337&gt;1,Q337/100,Q337)))</f>
        <v/>
      </c>
      <c r="S337" s="31" t="str">
        <f aca="false">IF(O337="","",O337-R337)</f>
        <v/>
      </c>
      <c r="T337" s="28"/>
      <c r="U337" s="34" t="str">
        <f aca="false">IF(T337="","",IFERROR(VLOOKUP(T337,REPS!$A$2:$D$40,2,0),""))</f>
        <v/>
      </c>
      <c r="V337" s="31" t="str">
        <f aca="false">IF(O337="","",IF(U337="",0,O337*IF(U337&gt;1,U337/100,U337)))</f>
        <v/>
      </c>
      <c r="W337" s="28"/>
      <c r="X337" s="34" t="str">
        <f aca="false">IF(W337="","",IFERROR(VLOOKUP(W337,REPS!$A$2:$D$40,3,0),""))</f>
        <v/>
      </c>
      <c r="Y337" s="31" t="str">
        <f aca="false">IF(O337="","",IF(X337="",0,O337*IF(X337&gt;1,X337/100,X337)))</f>
        <v/>
      </c>
      <c r="Z337" s="28"/>
      <c r="AA337" s="34" t="str">
        <f aca="false">IF(Z337="","",IFERROR(VLOOKUP(Z337,REPS!$A$2:$D$40,4,0),""))</f>
        <v/>
      </c>
      <c r="AB337" s="31" t="str">
        <f aca="false">IF(O337="","",IF(AA337="",0,O337*IF(AA337&gt;1,AA337/100,AA337)))</f>
        <v/>
      </c>
      <c r="AC337" s="31" t="str">
        <f aca="false">IF(O337="","",V337+Y337+AB337)</f>
        <v/>
      </c>
      <c r="AD337" s="19" t="str">
        <f aca="false">IF(O337="","",O337-R337-AC337)</f>
        <v/>
      </c>
      <c r="AE337" s="20"/>
      <c r="AF337" s="27"/>
      <c r="AG337" s="21" t="n">
        <f aca="false">IF(OR(AE337="",AE337=0),0,AE337*IF(U337="",0,IF(U337&gt;1,U337/100,U337)))</f>
        <v>0</v>
      </c>
      <c r="AH337" s="21" t="n">
        <f aca="false">IF(OR(AE337="",AE337=0),0,AE337*IF(X337="",0,IF(X337&gt;1,X337/100,X337)))</f>
        <v>0</v>
      </c>
      <c r="AI337" s="21" t="n">
        <f aca="false">IF(OR(AE337="",AE337=0),0,AE337*IF(AA337="",0,IF(AA337&gt;1,AA337/100,AA337)))</f>
        <v>0</v>
      </c>
      <c r="AJ337" s="21" t="n">
        <f aca="false">AG337+AH337+AI337</f>
        <v>0</v>
      </c>
      <c r="AK337" s="21" t="n">
        <f aca="false">IF(OR(AE337="",AE337=0),0,AE337-AJ337)</f>
        <v>0</v>
      </c>
      <c r="AL337" s="19" t="str">
        <f aca="false">IF(AD337="","",AD337-AK337)</f>
        <v/>
      </c>
      <c r="AM337" s="26" t="str">
        <f aca="false">IF(C337="","","Waiting for payment")</f>
        <v/>
      </c>
      <c r="AN337" s="27"/>
      <c r="AO337" s="27"/>
      <c r="AP337" s="35" t="str">
        <f aca="false">IF(OR(C337="",I337="",K337=""),"",IF(K337="Monthly",EDATE(C337,ROUND(I337*SETTINGS!$I$8,0)),WORKDAY(C337,ROUND(I337*SETTINGS!$I$8,0))))</f>
        <v/>
      </c>
      <c r="AQ337" s="26" t="str">
        <f aca="true">IF(C337="","",IF(AND(AP337&lt;&gt;"",TODAY()&gt;=AP337),"Refi Ready",IF(TODAY()-C337&gt;=SETTINGS!$I$11,"Prospecting","Performing")))</f>
        <v/>
      </c>
      <c r="AR337" s="35" t="str">
        <f aca="false">IF(OR(C337="",I337="",K337=""),"",IF(K337="Monthly",EDATE(C337,I337),WORKDAY(C337,I337)))</f>
        <v/>
      </c>
      <c r="AS337" s="28"/>
      <c r="AT337" s="36" t="str">
        <f aca="true">IF(C337="","",IF(AM337="Clawed Back","CLAWED",IF(TODAY()&lt;=C337+SETTINGS!$I$2,"⚠ AT RISK","SAFE")))</f>
        <v/>
      </c>
      <c r="AU337" s="28"/>
      <c r="AW337" s="24" t="n">
        <f aca="false">AW336+IF(AND(C337&lt;&gt;"",AO337&lt;&gt;"",OR('REP COMMISSION'!$B$3="",T337='REP COMMISSION'!$B$3,W337='REP COMMISSION'!$B$3,Z337='REP COMMISSION'!$B$3)),1,0)</f>
        <v>0</v>
      </c>
      <c r="AX337" s="24" t="n">
        <f aca="false">AX336+IF(AND(C337&lt;&gt;"",OR(F337="LOC - INITIAL",F337="CONSOLIDATION - UPFRONT COMM",F337="REVERSE - TOTAL FUNDING")),1,0)</f>
        <v>0</v>
      </c>
    </row>
    <row r="338" customFormat="false" ht="15" hidden="false" customHeight="false" outlineLevel="0" collapsed="false">
      <c r="A338" s="8" t="str">
        <f aca="false">IF(C338&lt;&gt;"","F27-"&amp;COUNT($C$4:C338),"")</f>
        <v/>
      </c>
      <c r="B338" s="9" t="str">
        <f aca="false">IF(OR(F338="LOC - INITIAL",F338="CONSOLIDATION - UPFRONT COMM",F338="REVERSE - TOTAL FUNDING"),A338,"")</f>
        <v/>
      </c>
      <c r="C338" s="10"/>
      <c r="D338" s="11"/>
      <c r="E338" s="11"/>
      <c r="F338" s="11"/>
      <c r="G338" s="12"/>
      <c r="H338" s="13"/>
      <c r="I338" s="11"/>
      <c r="J338" s="14" t="str">
        <f aca="false">IF(AND(G338&lt;&gt;"",H338&lt;&gt;""),G338*H338,"")</f>
        <v/>
      </c>
      <c r="K338" s="11"/>
      <c r="L338" s="15"/>
      <c r="M338" s="15"/>
      <c r="N338" s="14" t="n">
        <f aca="false">IF(OR(G338="",M338=""),0,IF(M338&gt;100,M338,G338*IF(M338&gt;1,M338/100,M338)))</f>
        <v>0</v>
      </c>
      <c r="O338" s="14" t="str">
        <f aca="false">IF(G338="","",G338*IF(L338="",0,IF(L338&gt;1,L338/100,L338))+N338)</f>
        <v/>
      </c>
      <c r="P338" s="11"/>
      <c r="Q338" s="16" t="str">
        <f aca="false">IF(P338="","",IFERROR(VLOOKUP(P338,PARTNERS!$A$2:$B$30,2,0),""))</f>
        <v/>
      </c>
      <c r="R338" s="17" t="str">
        <f aca="false">IF(O338="","",IF(OR(P338="",Q338=""),0,(O338-N338)*IF(Q338&gt;1,Q338/100,Q338)))</f>
        <v/>
      </c>
      <c r="S338" s="14" t="str">
        <f aca="false">IF(O338="","",O338-R338)</f>
        <v/>
      </c>
      <c r="T338" s="11"/>
      <c r="U338" s="18" t="str">
        <f aca="false">IF(T338="","",IFERROR(VLOOKUP(T338,REPS!$A$2:$D$40,2,0),""))</f>
        <v/>
      </c>
      <c r="V338" s="14" t="str">
        <f aca="false">IF(O338="","",IF(U338="",0,O338*IF(U338&gt;1,U338/100,U338)))</f>
        <v/>
      </c>
      <c r="W338" s="11"/>
      <c r="X338" s="18" t="str">
        <f aca="false">IF(W338="","",IFERROR(VLOOKUP(W338,REPS!$A$2:$D$40,3,0),""))</f>
        <v/>
      </c>
      <c r="Y338" s="14" t="str">
        <f aca="false">IF(O338="","",IF(X338="",0,O338*IF(X338&gt;1,X338/100,X338)))</f>
        <v/>
      </c>
      <c r="Z338" s="11"/>
      <c r="AA338" s="18" t="str">
        <f aca="false">IF(Z338="","",IFERROR(VLOOKUP(Z338,REPS!$A$2:$D$40,4,0),""))</f>
        <v/>
      </c>
      <c r="AB338" s="14" t="str">
        <f aca="false">IF(O338="","",IF(AA338="",0,O338*IF(AA338&gt;1,AA338/100,AA338)))</f>
        <v/>
      </c>
      <c r="AC338" s="14" t="str">
        <f aca="false">IF(O338="","",V338+Y338+AB338)</f>
        <v/>
      </c>
      <c r="AD338" s="19" t="str">
        <f aca="false">IF(O338="","",O338-R338-AC338)</f>
        <v/>
      </c>
      <c r="AE338" s="20"/>
      <c r="AF338" s="10"/>
      <c r="AG338" s="21" t="n">
        <f aca="false">IF(OR(AE338="",AE338=0),0,AE338*IF(U338="",0,IF(U338&gt;1,U338/100,U338)))</f>
        <v>0</v>
      </c>
      <c r="AH338" s="21" t="n">
        <f aca="false">IF(OR(AE338="",AE338=0),0,AE338*IF(X338="",0,IF(X338&gt;1,X338/100,X338)))</f>
        <v>0</v>
      </c>
      <c r="AI338" s="21" t="n">
        <f aca="false">IF(OR(AE338="",AE338=0),0,AE338*IF(AA338="",0,IF(AA338&gt;1,AA338/100,AA338)))</f>
        <v>0</v>
      </c>
      <c r="AJ338" s="21" t="n">
        <f aca="false">AG338+AH338+AI338</f>
        <v>0</v>
      </c>
      <c r="AK338" s="21" t="n">
        <f aca="false">IF(OR(AE338="",AE338=0),0,AE338-AJ338)</f>
        <v>0</v>
      </c>
      <c r="AL338" s="19" t="str">
        <f aca="false">IF(AD338="","",AD338-AK338)</f>
        <v/>
      </c>
      <c r="AM338" s="9" t="str">
        <f aca="false">IF(C338="","","Waiting for payment")</f>
        <v/>
      </c>
      <c r="AN338" s="10"/>
      <c r="AO338" s="10"/>
      <c r="AP338" s="22" t="str">
        <f aca="false">IF(OR(C338="",I338="",K338=""),"",IF(K338="Monthly",EDATE(C338,ROUND(I338*SETTINGS!$I$8,0)),WORKDAY(C338,ROUND(I338*SETTINGS!$I$8,0))))</f>
        <v/>
      </c>
      <c r="AQ338" s="9" t="str">
        <f aca="true">IF(C338="","",IF(AND(AP338&lt;&gt;"",TODAY()&gt;=AP338),"Refi Ready",IF(TODAY()-C338&gt;=SETTINGS!$I$11,"Prospecting","Performing")))</f>
        <v/>
      </c>
      <c r="AR338" s="22" t="str">
        <f aca="false">IF(OR(C338="",I338="",K338=""),"",IF(K338="Monthly",EDATE(C338,I338),WORKDAY(C338,I338)))</f>
        <v/>
      </c>
      <c r="AS338" s="11"/>
      <c r="AT338" s="23" t="str">
        <f aca="true">IF(C338="","",IF(AM338="Clawed Back","CLAWED",IF(TODAY()&lt;=C338+SETTINGS!$I$2,"⚠ AT RISK","SAFE")))</f>
        <v/>
      </c>
      <c r="AU338" s="11"/>
      <c r="AW338" s="24" t="n">
        <f aca="false">AW337+IF(AND(C338&lt;&gt;"",AO338&lt;&gt;"",OR('REP COMMISSION'!$B$3="",T338='REP COMMISSION'!$B$3,W338='REP COMMISSION'!$B$3,Z338='REP COMMISSION'!$B$3)),1,0)</f>
        <v>0</v>
      </c>
      <c r="AX338" s="24" t="n">
        <f aca="false">AX337+IF(AND(C338&lt;&gt;"",OR(F338="LOC - INITIAL",F338="CONSOLIDATION - UPFRONT COMM",F338="REVERSE - TOTAL FUNDING")),1,0)</f>
        <v>0</v>
      </c>
    </row>
    <row r="339" customFormat="false" ht="15" hidden="false" customHeight="false" outlineLevel="0" collapsed="false">
      <c r="A339" s="25" t="str">
        <f aca="false">IF(C339&lt;&gt;"","F27-"&amp;COUNT($C$4:C339),"")</f>
        <v/>
      </c>
      <c r="B339" s="26" t="str">
        <f aca="false">IF(OR(F339="LOC - INITIAL",F339="CONSOLIDATION - UPFRONT COMM",F339="REVERSE - TOTAL FUNDING"),A339,"")</f>
        <v/>
      </c>
      <c r="C339" s="27"/>
      <c r="D339" s="28"/>
      <c r="E339" s="28"/>
      <c r="F339" s="28"/>
      <c r="G339" s="29"/>
      <c r="H339" s="30"/>
      <c r="I339" s="28"/>
      <c r="J339" s="31" t="str">
        <f aca="false">IF(AND(G339&lt;&gt;"",H339&lt;&gt;""),G339*H339,"")</f>
        <v/>
      </c>
      <c r="K339" s="28"/>
      <c r="L339" s="32"/>
      <c r="M339" s="32"/>
      <c r="N339" s="31" t="n">
        <f aca="false">IF(OR(G339="",M339=""),0,IF(M339&gt;100,M339,G339*IF(M339&gt;1,M339/100,M339)))</f>
        <v>0</v>
      </c>
      <c r="O339" s="31" t="str">
        <f aca="false">IF(G339="","",G339*IF(L339="",0,IF(L339&gt;1,L339/100,L339))+N339)</f>
        <v/>
      </c>
      <c r="P339" s="28"/>
      <c r="Q339" s="33" t="str">
        <f aca="false">IF(P339="","",IFERROR(VLOOKUP(P339,PARTNERS!$A$2:$B$30,2,0),""))</f>
        <v/>
      </c>
      <c r="R339" s="17" t="str">
        <f aca="false">IF(O339="","",IF(OR(P339="",Q339=""),0,(O339-N339)*IF(Q339&gt;1,Q339/100,Q339)))</f>
        <v/>
      </c>
      <c r="S339" s="31" t="str">
        <f aca="false">IF(O339="","",O339-R339)</f>
        <v/>
      </c>
      <c r="T339" s="28"/>
      <c r="U339" s="34" t="str">
        <f aca="false">IF(T339="","",IFERROR(VLOOKUP(T339,REPS!$A$2:$D$40,2,0),""))</f>
        <v/>
      </c>
      <c r="V339" s="31" t="str">
        <f aca="false">IF(O339="","",IF(U339="",0,O339*IF(U339&gt;1,U339/100,U339)))</f>
        <v/>
      </c>
      <c r="W339" s="28"/>
      <c r="X339" s="34" t="str">
        <f aca="false">IF(W339="","",IFERROR(VLOOKUP(W339,REPS!$A$2:$D$40,3,0),""))</f>
        <v/>
      </c>
      <c r="Y339" s="31" t="str">
        <f aca="false">IF(O339="","",IF(X339="",0,O339*IF(X339&gt;1,X339/100,X339)))</f>
        <v/>
      </c>
      <c r="Z339" s="28"/>
      <c r="AA339" s="34" t="str">
        <f aca="false">IF(Z339="","",IFERROR(VLOOKUP(Z339,REPS!$A$2:$D$40,4,0),""))</f>
        <v/>
      </c>
      <c r="AB339" s="31" t="str">
        <f aca="false">IF(O339="","",IF(AA339="",0,O339*IF(AA339&gt;1,AA339/100,AA339)))</f>
        <v/>
      </c>
      <c r="AC339" s="31" t="str">
        <f aca="false">IF(O339="","",V339+Y339+AB339)</f>
        <v/>
      </c>
      <c r="AD339" s="19" t="str">
        <f aca="false">IF(O339="","",O339-R339-AC339)</f>
        <v/>
      </c>
      <c r="AE339" s="20"/>
      <c r="AF339" s="27"/>
      <c r="AG339" s="21" t="n">
        <f aca="false">IF(OR(AE339="",AE339=0),0,AE339*IF(U339="",0,IF(U339&gt;1,U339/100,U339)))</f>
        <v>0</v>
      </c>
      <c r="AH339" s="21" t="n">
        <f aca="false">IF(OR(AE339="",AE339=0),0,AE339*IF(X339="",0,IF(X339&gt;1,X339/100,X339)))</f>
        <v>0</v>
      </c>
      <c r="AI339" s="21" t="n">
        <f aca="false">IF(OR(AE339="",AE339=0),0,AE339*IF(AA339="",0,IF(AA339&gt;1,AA339/100,AA339)))</f>
        <v>0</v>
      </c>
      <c r="AJ339" s="21" t="n">
        <f aca="false">AG339+AH339+AI339</f>
        <v>0</v>
      </c>
      <c r="AK339" s="21" t="n">
        <f aca="false">IF(OR(AE339="",AE339=0),0,AE339-AJ339)</f>
        <v>0</v>
      </c>
      <c r="AL339" s="19" t="str">
        <f aca="false">IF(AD339="","",AD339-AK339)</f>
        <v/>
      </c>
      <c r="AM339" s="26" t="str">
        <f aca="false">IF(C339="","","Waiting for payment")</f>
        <v/>
      </c>
      <c r="AN339" s="27"/>
      <c r="AO339" s="27"/>
      <c r="AP339" s="35" t="str">
        <f aca="false">IF(OR(C339="",I339="",K339=""),"",IF(K339="Monthly",EDATE(C339,ROUND(I339*SETTINGS!$I$8,0)),WORKDAY(C339,ROUND(I339*SETTINGS!$I$8,0))))</f>
        <v/>
      </c>
      <c r="AQ339" s="26" t="str">
        <f aca="true">IF(C339="","",IF(AND(AP339&lt;&gt;"",TODAY()&gt;=AP339),"Refi Ready",IF(TODAY()-C339&gt;=SETTINGS!$I$11,"Prospecting","Performing")))</f>
        <v/>
      </c>
      <c r="AR339" s="35" t="str">
        <f aca="false">IF(OR(C339="",I339="",K339=""),"",IF(K339="Monthly",EDATE(C339,I339),WORKDAY(C339,I339)))</f>
        <v/>
      </c>
      <c r="AS339" s="28"/>
      <c r="AT339" s="36" t="str">
        <f aca="true">IF(C339="","",IF(AM339="Clawed Back","CLAWED",IF(TODAY()&lt;=C339+SETTINGS!$I$2,"⚠ AT RISK","SAFE")))</f>
        <v/>
      </c>
      <c r="AU339" s="28"/>
      <c r="AW339" s="24" t="n">
        <f aca="false">AW338+IF(AND(C339&lt;&gt;"",AO339&lt;&gt;"",OR('REP COMMISSION'!$B$3="",T339='REP COMMISSION'!$B$3,W339='REP COMMISSION'!$B$3,Z339='REP COMMISSION'!$B$3)),1,0)</f>
        <v>0</v>
      </c>
      <c r="AX339" s="24" t="n">
        <f aca="false">AX338+IF(AND(C339&lt;&gt;"",OR(F339="LOC - INITIAL",F339="CONSOLIDATION - UPFRONT COMM",F339="REVERSE - TOTAL FUNDING")),1,0)</f>
        <v>0</v>
      </c>
    </row>
    <row r="340" customFormat="false" ht="15" hidden="false" customHeight="false" outlineLevel="0" collapsed="false">
      <c r="A340" s="8" t="str">
        <f aca="false">IF(C340&lt;&gt;"","F27-"&amp;COUNT($C$4:C340),"")</f>
        <v/>
      </c>
      <c r="B340" s="9" t="str">
        <f aca="false">IF(OR(F340="LOC - INITIAL",F340="CONSOLIDATION - UPFRONT COMM",F340="REVERSE - TOTAL FUNDING"),A340,"")</f>
        <v/>
      </c>
      <c r="C340" s="10"/>
      <c r="D340" s="11"/>
      <c r="E340" s="11"/>
      <c r="F340" s="11"/>
      <c r="G340" s="12"/>
      <c r="H340" s="13"/>
      <c r="I340" s="11"/>
      <c r="J340" s="14" t="str">
        <f aca="false">IF(AND(G340&lt;&gt;"",H340&lt;&gt;""),G340*H340,"")</f>
        <v/>
      </c>
      <c r="K340" s="11"/>
      <c r="L340" s="15"/>
      <c r="M340" s="15"/>
      <c r="N340" s="14" t="n">
        <f aca="false">IF(OR(G340="",M340=""),0,IF(M340&gt;100,M340,G340*IF(M340&gt;1,M340/100,M340)))</f>
        <v>0</v>
      </c>
      <c r="O340" s="14" t="str">
        <f aca="false">IF(G340="","",G340*IF(L340="",0,IF(L340&gt;1,L340/100,L340))+N340)</f>
        <v/>
      </c>
      <c r="P340" s="11"/>
      <c r="Q340" s="16" t="str">
        <f aca="false">IF(P340="","",IFERROR(VLOOKUP(P340,PARTNERS!$A$2:$B$30,2,0),""))</f>
        <v/>
      </c>
      <c r="R340" s="17" t="str">
        <f aca="false">IF(O340="","",IF(OR(P340="",Q340=""),0,(O340-N340)*IF(Q340&gt;1,Q340/100,Q340)))</f>
        <v/>
      </c>
      <c r="S340" s="14" t="str">
        <f aca="false">IF(O340="","",O340-R340)</f>
        <v/>
      </c>
      <c r="T340" s="11"/>
      <c r="U340" s="18" t="str">
        <f aca="false">IF(T340="","",IFERROR(VLOOKUP(T340,REPS!$A$2:$D$40,2,0),""))</f>
        <v/>
      </c>
      <c r="V340" s="14" t="str">
        <f aca="false">IF(O340="","",IF(U340="",0,O340*IF(U340&gt;1,U340/100,U340)))</f>
        <v/>
      </c>
      <c r="W340" s="11"/>
      <c r="X340" s="18" t="str">
        <f aca="false">IF(W340="","",IFERROR(VLOOKUP(W340,REPS!$A$2:$D$40,3,0),""))</f>
        <v/>
      </c>
      <c r="Y340" s="14" t="str">
        <f aca="false">IF(O340="","",IF(X340="",0,O340*IF(X340&gt;1,X340/100,X340)))</f>
        <v/>
      </c>
      <c r="Z340" s="11"/>
      <c r="AA340" s="18" t="str">
        <f aca="false">IF(Z340="","",IFERROR(VLOOKUP(Z340,REPS!$A$2:$D$40,4,0),""))</f>
        <v/>
      </c>
      <c r="AB340" s="14" t="str">
        <f aca="false">IF(O340="","",IF(AA340="",0,O340*IF(AA340&gt;1,AA340/100,AA340)))</f>
        <v/>
      </c>
      <c r="AC340" s="14" t="str">
        <f aca="false">IF(O340="","",V340+Y340+AB340)</f>
        <v/>
      </c>
      <c r="AD340" s="19" t="str">
        <f aca="false">IF(O340="","",O340-R340-AC340)</f>
        <v/>
      </c>
      <c r="AE340" s="20"/>
      <c r="AF340" s="10"/>
      <c r="AG340" s="21" t="n">
        <f aca="false">IF(OR(AE340="",AE340=0),0,AE340*IF(U340="",0,IF(U340&gt;1,U340/100,U340)))</f>
        <v>0</v>
      </c>
      <c r="AH340" s="21" t="n">
        <f aca="false">IF(OR(AE340="",AE340=0),0,AE340*IF(X340="",0,IF(X340&gt;1,X340/100,X340)))</f>
        <v>0</v>
      </c>
      <c r="AI340" s="21" t="n">
        <f aca="false">IF(OR(AE340="",AE340=0),0,AE340*IF(AA340="",0,IF(AA340&gt;1,AA340/100,AA340)))</f>
        <v>0</v>
      </c>
      <c r="AJ340" s="21" t="n">
        <f aca="false">AG340+AH340+AI340</f>
        <v>0</v>
      </c>
      <c r="AK340" s="21" t="n">
        <f aca="false">IF(OR(AE340="",AE340=0),0,AE340-AJ340)</f>
        <v>0</v>
      </c>
      <c r="AL340" s="19" t="str">
        <f aca="false">IF(AD340="","",AD340-AK340)</f>
        <v/>
      </c>
      <c r="AM340" s="9" t="str">
        <f aca="false">IF(C340="","","Waiting for payment")</f>
        <v/>
      </c>
      <c r="AN340" s="10"/>
      <c r="AO340" s="10"/>
      <c r="AP340" s="22" t="str">
        <f aca="false">IF(OR(C340="",I340="",K340=""),"",IF(K340="Monthly",EDATE(C340,ROUND(I340*SETTINGS!$I$8,0)),WORKDAY(C340,ROUND(I340*SETTINGS!$I$8,0))))</f>
        <v/>
      </c>
      <c r="AQ340" s="9" t="str">
        <f aca="true">IF(C340="","",IF(AND(AP340&lt;&gt;"",TODAY()&gt;=AP340),"Refi Ready",IF(TODAY()-C340&gt;=SETTINGS!$I$11,"Prospecting","Performing")))</f>
        <v/>
      </c>
      <c r="AR340" s="22" t="str">
        <f aca="false">IF(OR(C340="",I340="",K340=""),"",IF(K340="Monthly",EDATE(C340,I340),WORKDAY(C340,I340)))</f>
        <v/>
      </c>
      <c r="AS340" s="11"/>
      <c r="AT340" s="23" t="str">
        <f aca="true">IF(C340="","",IF(AM340="Clawed Back","CLAWED",IF(TODAY()&lt;=C340+SETTINGS!$I$2,"⚠ AT RISK","SAFE")))</f>
        <v/>
      </c>
      <c r="AU340" s="11"/>
      <c r="AW340" s="24" t="n">
        <f aca="false">AW339+IF(AND(C340&lt;&gt;"",AO340&lt;&gt;"",OR('REP COMMISSION'!$B$3="",T340='REP COMMISSION'!$B$3,W340='REP COMMISSION'!$B$3,Z340='REP COMMISSION'!$B$3)),1,0)</f>
        <v>0</v>
      </c>
      <c r="AX340" s="24" t="n">
        <f aca="false">AX339+IF(AND(C340&lt;&gt;"",OR(F340="LOC - INITIAL",F340="CONSOLIDATION - UPFRONT COMM",F340="REVERSE - TOTAL FUNDING")),1,0)</f>
        <v>0</v>
      </c>
    </row>
    <row r="341" customFormat="false" ht="15" hidden="false" customHeight="false" outlineLevel="0" collapsed="false">
      <c r="A341" s="25" t="str">
        <f aca="false">IF(C341&lt;&gt;"","F27-"&amp;COUNT($C$4:C341),"")</f>
        <v/>
      </c>
      <c r="B341" s="26" t="str">
        <f aca="false">IF(OR(F341="LOC - INITIAL",F341="CONSOLIDATION - UPFRONT COMM",F341="REVERSE - TOTAL FUNDING"),A341,"")</f>
        <v/>
      </c>
      <c r="C341" s="27"/>
      <c r="D341" s="28"/>
      <c r="E341" s="28"/>
      <c r="F341" s="28"/>
      <c r="G341" s="29"/>
      <c r="H341" s="30"/>
      <c r="I341" s="28"/>
      <c r="J341" s="31" t="str">
        <f aca="false">IF(AND(G341&lt;&gt;"",H341&lt;&gt;""),G341*H341,"")</f>
        <v/>
      </c>
      <c r="K341" s="28"/>
      <c r="L341" s="32"/>
      <c r="M341" s="32"/>
      <c r="N341" s="31" t="n">
        <f aca="false">IF(OR(G341="",M341=""),0,IF(M341&gt;100,M341,G341*IF(M341&gt;1,M341/100,M341)))</f>
        <v>0</v>
      </c>
      <c r="O341" s="31" t="str">
        <f aca="false">IF(G341="","",G341*IF(L341="",0,IF(L341&gt;1,L341/100,L341))+N341)</f>
        <v/>
      </c>
      <c r="P341" s="28"/>
      <c r="Q341" s="33" t="str">
        <f aca="false">IF(P341="","",IFERROR(VLOOKUP(P341,PARTNERS!$A$2:$B$30,2,0),""))</f>
        <v/>
      </c>
      <c r="R341" s="17" t="str">
        <f aca="false">IF(O341="","",IF(OR(P341="",Q341=""),0,(O341-N341)*IF(Q341&gt;1,Q341/100,Q341)))</f>
        <v/>
      </c>
      <c r="S341" s="31" t="str">
        <f aca="false">IF(O341="","",O341-R341)</f>
        <v/>
      </c>
      <c r="T341" s="28"/>
      <c r="U341" s="34" t="str">
        <f aca="false">IF(T341="","",IFERROR(VLOOKUP(T341,REPS!$A$2:$D$40,2,0),""))</f>
        <v/>
      </c>
      <c r="V341" s="31" t="str">
        <f aca="false">IF(O341="","",IF(U341="",0,O341*IF(U341&gt;1,U341/100,U341)))</f>
        <v/>
      </c>
      <c r="W341" s="28"/>
      <c r="X341" s="34" t="str">
        <f aca="false">IF(W341="","",IFERROR(VLOOKUP(W341,REPS!$A$2:$D$40,3,0),""))</f>
        <v/>
      </c>
      <c r="Y341" s="31" t="str">
        <f aca="false">IF(O341="","",IF(X341="",0,O341*IF(X341&gt;1,X341/100,X341)))</f>
        <v/>
      </c>
      <c r="Z341" s="28"/>
      <c r="AA341" s="34" t="str">
        <f aca="false">IF(Z341="","",IFERROR(VLOOKUP(Z341,REPS!$A$2:$D$40,4,0),""))</f>
        <v/>
      </c>
      <c r="AB341" s="31" t="str">
        <f aca="false">IF(O341="","",IF(AA341="",0,O341*IF(AA341&gt;1,AA341/100,AA341)))</f>
        <v/>
      </c>
      <c r="AC341" s="31" t="str">
        <f aca="false">IF(O341="","",V341+Y341+AB341)</f>
        <v/>
      </c>
      <c r="AD341" s="19" t="str">
        <f aca="false">IF(O341="","",O341-R341-AC341)</f>
        <v/>
      </c>
      <c r="AE341" s="20"/>
      <c r="AF341" s="27"/>
      <c r="AG341" s="21" t="n">
        <f aca="false">IF(OR(AE341="",AE341=0),0,AE341*IF(U341="",0,IF(U341&gt;1,U341/100,U341)))</f>
        <v>0</v>
      </c>
      <c r="AH341" s="21" t="n">
        <f aca="false">IF(OR(AE341="",AE341=0),0,AE341*IF(X341="",0,IF(X341&gt;1,X341/100,X341)))</f>
        <v>0</v>
      </c>
      <c r="AI341" s="21" t="n">
        <f aca="false">IF(OR(AE341="",AE341=0),0,AE341*IF(AA341="",0,IF(AA341&gt;1,AA341/100,AA341)))</f>
        <v>0</v>
      </c>
      <c r="AJ341" s="21" t="n">
        <f aca="false">AG341+AH341+AI341</f>
        <v>0</v>
      </c>
      <c r="AK341" s="21" t="n">
        <f aca="false">IF(OR(AE341="",AE341=0),0,AE341-AJ341)</f>
        <v>0</v>
      </c>
      <c r="AL341" s="19" t="str">
        <f aca="false">IF(AD341="","",AD341-AK341)</f>
        <v/>
      </c>
      <c r="AM341" s="26" t="str">
        <f aca="false">IF(C341="","","Waiting for payment")</f>
        <v/>
      </c>
      <c r="AN341" s="27"/>
      <c r="AO341" s="27"/>
      <c r="AP341" s="35" t="str">
        <f aca="false">IF(OR(C341="",I341="",K341=""),"",IF(K341="Monthly",EDATE(C341,ROUND(I341*SETTINGS!$I$8,0)),WORKDAY(C341,ROUND(I341*SETTINGS!$I$8,0))))</f>
        <v/>
      </c>
      <c r="AQ341" s="26" t="str">
        <f aca="true">IF(C341="","",IF(AND(AP341&lt;&gt;"",TODAY()&gt;=AP341),"Refi Ready",IF(TODAY()-C341&gt;=SETTINGS!$I$11,"Prospecting","Performing")))</f>
        <v/>
      </c>
      <c r="AR341" s="35" t="str">
        <f aca="false">IF(OR(C341="",I341="",K341=""),"",IF(K341="Monthly",EDATE(C341,I341),WORKDAY(C341,I341)))</f>
        <v/>
      </c>
      <c r="AS341" s="28"/>
      <c r="AT341" s="36" t="str">
        <f aca="true">IF(C341="","",IF(AM341="Clawed Back","CLAWED",IF(TODAY()&lt;=C341+SETTINGS!$I$2,"⚠ AT RISK","SAFE")))</f>
        <v/>
      </c>
      <c r="AU341" s="28"/>
      <c r="AW341" s="24" t="n">
        <f aca="false">AW340+IF(AND(C341&lt;&gt;"",AO341&lt;&gt;"",OR('REP COMMISSION'!$B$3="",T341='REP COMMISSION'!$B$3,W341='REP COMMISSION'!$B$3,Z341='REP COMMISSION'!$B$3)),1,0)</f>
        <v>0</v>
      </c>
      <c r="AX341" s="24" t="n">
        <f aca="false">AX340+IF(AND(C341&lt;&gt;"",OR(F341="LOC - INITIAL",F341="CONSOLIDATION - UPFRONT COMM",F341="REVERSE - TOTAL FUNDING")),1,0)</f>
        <v>0</v>
      </c>
    </row>
    <row r="342" customFormat="false" ht="15" hidden="false" customHeight="false" outlineLevel="0" collapsed="false">
      <c r="A342" s="8" t="str">
        <f aca="false">IF(C342&lt;&gt;"","F27-"&amp;COUNT($C$4:C342),"")</f>
        <v/>
      </c>
      <c r="B342" s="9" t="str">
        <f aca="false">IF(OR(F342="LOC - INITIAL",F342="CONSOLIDATION - UPFRONT COMM",F342="REVERSE - TOTAL FUNDING"),A342,"")</f>
        <v/>
      </c>
      <c r="C342" s="10"/>
      <c r="D342" s="11"/>
      <c r="E342" s="11"/>
      <c r="F342" s="11"/>
      <c r="G342" s="12"/>
      <c r="H342" s="13"/>
      <c r="I342" s="11"/>
      <c r="J342" s="14" t="str">
        <f aca="false">IF(AND(G342&lt;&gt;"",H342&lt;&gt;""),G342*H342,"")</f>
        <v/>
      </c>
      <c r="K342" s="11"/>
      <c r="L342" s="15"/>
      <c r="M342" s="15"/>
      <c r="N342" s="14" t="n">
        <f aca="false">IF(OR(G342="",M342=""),0,IF(M342&gt;100,M342,G342*IF(M342&gt;1,M342/100,M342)))</f>
        <v>0</v>
      </c>
      <c r="O342" s="14" t="str">
        <f aca="false">IF(G342="","",G342*IF(L342="",0,IF(L342&gt;1,L342/100,L342))+N342)</f>
        <v/>
      </c>
      <c r="P342" s="11"/>
      <c r="Q342" s="16" t="str">
        <f aca="false">IF(P342="","",IFERROR(VLOOKUP(P342,PARTNERS!$A$2:$B$30,2,0),""))</f>
        <v/>
      </c>
      <c r="R342" s="17" t="str">
        <f aca="false">IF(O342="","",IF(OR(P342="",Q342=""),0,(O342-N342)*IF(Q342&gt;1,Q342/100,Q342)))</f>
        <v/>
      </c>
      <c r="S342" s="14" t="str">
        <f aca="false">IF(O342="","",O342-R342)</f>
        <v/>
      </c>
      <c r="T342" s="11"/>
      <c r="U342" s="18" t="str">
        <f aca="false">IF(T342="","",IFERROR(VLOOKUP(T342,REPS!$A$2:$D$40,2,0),""))</f>
        <v/>
      </c>
      <c r="V342" s="14" t="str">
        <f aca="false">IF(O342="","",IF(U342="",0,O342*IF(U342&gt;1,U342/100,U342)))</f>
        <v/>
      </c>
      <c r="W342" s="11"/>
      <c r="X342" s="18" t="str">
        <f aca="false">IF(W342="","",IFERROR(VLOOKUP(W342,REPS!$A$2:$D$40,3,0),""))</f>
        <v/>
      </c>
      <c r="Y342" s="14" t="str">
        <f aca="false">IF(O342="","",IF(X342="",0,O342*IF(X342&gt;1,X342/100,X342)))</f>
        <v/>
      </c>
      <c r="Z342" s="11"/>
      <c r="AA342" s="18" t="str">
        <f aca="false">IF(Z342="","",IFERROR(VLOOKUP(Z342,REPS!$A$2:$D$40,4,0),""))</f>
        <v/>
      </c>
      <c r="AB342" s="14" t="str">
        <f aca="false">IF(O342="","",IF(AA342="",0,O342*IF(AA342&gt;1,AA342/100,AA342)))</f>
        <v/>
      </c>
      <c r="AC342" s="14" t="str">
        <f aca="false">IF(O342="","",V342+Y342+AB342)</f>
        <v/>
      </c>
      <c r="AD342" s="19" t="str">
        <f aca="false">IF(O342="","",O342-R342-AC342)</f>
        <v/>
      </c>
      <c r="AE342" s="20"/>
      <c r="AF342" s="10"/>
      <c r="AG342" s="21" t="n">
        <f aca="false">IF(OR(AE342="",AE342=0),0,AE342*IF(U342="",0,IF(U342&gt;1,U342/100,U342)))</f>
        <v>0</v>
      </c>
      <c r="AH342" s="21" t="n">
        <f aca="false">IF(OR(AE342="",AE342=0),0,AE342*IF(X342="",0,IF(X342&gt;1,X342/100,X342)))</f>
        <v>0</v>
      </c>
      <c r="AI342" s="21" t="n">
        <f aca="false">IF(OR(AE342="",AE342=0),0,AE342*IF(AA342="",0,IF(AA342&gt;1,AA342/100,AA342)))</f>
        <v>0</v>
      </c>
      <c r="AJ342" s="21" t="n">
        <f aca="false">AG342+AH342+AI342</f>
        <v>0</v>
      </c>
      <c r="AK342" s="21" t="n">
        <f aca="false">IF(OR(AE342="",AE342=0),0,AE342-AJ342)</f>
        <v>0</v>
      </c>
      <c r="AL342" s="19" t="str">
        <f aca="false">IF(AD342="","",AD342-AK342)</f>
        <v/>
      </c>
      <c r="AM342" s="9" t="str">
        <f aca="false">IF(C342="","","Waiting for payment")</f>
        <v/>
      </c>
      <c r="AN342" s="10"/>
      <c r="AO342" s="10"/>
      <c r="AP342" s="22" t="str">
        <f aca="false">IF(OR(C342="",I342="",K342=""),"",IF(K342="Monthly",EDATE(C342,ROUND(I342*SETTINGS!$I$8,0)),WORKDAY(C342,ROUND(I342*SETTINGS!$I$8,0))))</f>
        <v/>
      </c>
      <c r="AQ342" s="9" t="str">
        <f aca="true">IF(C342="","",IF(AND(AP342&lt;&gt;"",TODAY()&gt;=AP342),"Refi Ready",IF(TODAY()-C342&gt;=SETTINGS!$I$11,"Prospecting","Performing")))</f>
        <v/>
      </c>
      <c r="AR342" s="22" t="str">
        <f aca="false">IF(OR(C342="",I342="",K342=""),"",IF(K342="Monthly",EDATE(C342,I342),WORKDAY(C342,I342)))</f>
        <v/>
      </c>
      <c r="AS342" s="11"/>
      <c r="AT342" s="23" t="str">
        <f aca="true">IF(C342="","",IF(AM342="Clawed Back","CLAWED",IF(TODAY()&lt;=C342+SETTINGS!$I$2,"⚠ AT RISK","SAFE")))</f>
        <v/>
      </c>
      <c r="AU342" s="11"/>
      <c r="AW342" s="24" t="n">
        <f aca="false">AW341+IF(AND(C342&lt;&gt;"",AO342&lt;&gt;"",OR('REP COMMISSION'!$B$3="",T342='REP COMMISSION'!$B$3,W342='REP COMMISSION'!$B$3,Z342='REP COMMISSION'!$B$3)),1,0)</f>
        <v>0</v>
      </c>
      <c r="AX342" s="24" t="n">
        <f aca="false">AX341+IF(AND(C342&lt;&gt;"",OR(F342="LOC - INITIAL",F342="CONSOLIDATION - UPFRONT COMM",F342="REVERSE - TOTAL FUNDING")),1,0)</f>
        <v>0</v>
      </c>
    </row>
    <row r="343" customFormat="false" ht="15" hidden="false" customHeight="false" outlineLevel="0" collapsed="false">
      <c r="A343" s="25" t="str">
        <f aca="false">IF(C343&lt;&gt;"","F27-"&amp;COUNT($C$4:C343),"")</f>
        <v/>
      </c>
      <c r="B343" s="26" t="str">
        <f aca="false">IF(OR(F343="LOC - INITIAL",F343="CONSOLIDATION - UPFRONT COMM",F343="REVERSE - TOTAL FUNDING"),A343,"")</f>
        <v/>
      </c>
      <c r="C343" s="27"/>
      <c r="D343" s="28"/>
      <c r="E343" s="28"/>
      <c r="F343" s="28"/>
      <c r="G343" s="29"/>
      <c r="H343" s="30"/>
      <c r="I343" s="28"/>
      <c r="J343" s="31" t="str">
        <f aca="false">IF(AND(G343&lt;&gt;"",H343&lt;&gt;""),G343*H343,"")</f>
        <v/>
      </c>
      <c r="K343" s="28"/>
      <c r="L343" s="32"/>
      <c r="M343" s="32"/>
      <c r="N343" s="31" t="n">
        <f aca="false">IF(OR(G343="",M343=""),0,IF(M343&gt;100,M343,G343*IF(M343&gt;1,M343/100,M343)))</f>
        <v>0</v>
      </c>
      <c r="O343" s="31" t="str">
        <f aca="false">IF(G343="","",G343*IF(L343="",0,IF(L343&gt;1,L343/100,L343))+N343)</f>
        <v/>
      </c>
      <c r="P343" s="28"/>
      <c r="Q343" s="33" t="str">
        <f aca="false">IF(P343="","",IFERROR(VLOOKUP(P343,PARTNERS!$A$2:$B$30,2,0),""))</f>
        <v/>
      </c>
      <c r="R343" s="17" t="str">
        <f aca="false">IF(O343="","",IF(OR(P343="",Q343=""),0,(O343-N343)*IF(Q343&gt;1,Q343/100,Q343)))</f>
        <v/>
      </c>
      <c r="S343" s="31" t="str">
        <f aca="false">IF(O343="","",O343-R343)</f>
        <v/>
      </c>
      <c r="T343" s="28"/>
      <c r="U343" s="34" t="str">
        <f aca="false">IF(T343="","",IFERROR(VLOOKUP(T343,REPS!$A$2:$D$40,2,0),""))</f>
        <v/>
      </c>
      <c r="V343" s="31" t="str">
        <f aca="false">IF(O343="","",IF(U343="",0,O343*IF(U343&gt;1,U343/100,U343)))</f>
        <v/>
      </c>
      <c r="W343" s="28"/>
      <c r="X343" s="34" t="str">
        <f aca="false">IF(W343="","",IFERROR(VLOOKUP(W343,REPS!$A$2:$D$40,3,0),""))</f>
        <v/>
      </c>
      <c r="Y343" s="31" t="str">
        <f aca="false">IF(O343="","",IF(X343="",0,O343*IF(X343&gt;1,X343/100,X343)))</f>
        <v/>
      </c>
      <c r="Z343" s="28"/>
      <c r="AA343" s="34" t="str">
        <f aca="false">IF(Z343="","",IFERROR(VLOOKUP(Z343,REPS!$A$2:$D$40,4,0),""))</f>
        <v/>
      </c>
      <c r="AB343" s="31" t="str">
        <f aca="false">IF(O343="","",IF(AA343="",0,O343*IF(AA343&gt;1,AA343/100,AA343)))</f>
        <v/>
      </c>
      <c r="AC343" s="31" t="str">
        <f aca="false">IF(O343="","",V343+Y343+AB343)</f>
        <v/>
      </c>
      <c r="AD343" s="19" t="str">
        <f aca="false">IF(O343="","",O343-R343-AC343)</f>
        <v/>
      </c>
      <c r="AE343" s="20"/>
      <c r="AF343" s="27"/>
      <c r="AG343" s="21" t="n">
        <f aca="false">IF(OR(AE343="",AE343=0),0,AE343*IF(U343="",0,IF(U343&gt;1,U343/100,U343)))</f>
        <v>0</v>
      </c>
      <c r="AH343" s="21" t="n">
        <f aca="false">IF(OR(AE343="",AE343=0),0,AE343*IF(X343="",0,IF(X343&gt;1,X343/100,X343)))</f>
        <v>0</v>
      </c>
      <c r="AI343" s="21" t="n">
        <f aca="false">IF(OR(AE343="",AE343=0),0,AE343*IF(AA343="",0,IF(AA343&gt;1,AA343/100,AA343)))</f>
        <v>0</v>
      </c>
      <c r="AJ343" s="21" t="n">
        <f aca="false">AG343+AH343+AI343</f>
        <v>0</v>
      </c>
      <c r="AK343" s="21" t="n">
        <f aca="false">IF(OR(AE343="",AE343=0),0,AE343-AJ343)</f>
        <v>0</v>
      </c>
      <c r="AL343" s="19" t="str">
        <f aca="false">IF(AD343="","",AD343-AK343)</f>
        <v/>
      </c>
      <c r="AM343" s="26" t="str">
        <f aca="false">IF(C343="","","Waiting for payment")</f>
        <v/>
      </c>
      <c r="AN343" s="27"/>
      <c r="AO343" s="27"/>
      <c r="AP343" s="35" t="str">
        <f aca="false">IF(OR(C343="",I343="",K343=""),"",IF(K343="Monthly",EDATE(C343,ROUND(I343*SETTINGS!$I$8,0)),WORKDAY(C343,ROUND(I343*SETTINGS!$I$8,0))))</f>
        <v/>
      </c>
      <c r="AQ343" s="26" t="str">
        <f aca="true">IF(C343="","",IF(AND(AP343&lt;&gt;"",TODAY()&gt;=AP343),"Refi Ready",IF(TODAY()-C343&gt;=SETTINGS!$I$11,"Prospecting","Performing")))</f>
        <v/>
      </c>
      <c r="AR343" s="35" t="str">
        <f aca="false">IF(OR(C343="",I343="",K343=""),"",IF(K343="Monthly",EDATE(C343,I343),WORKDAY(C343,I343)))</f>
        <v/>
      </c>
      <c r="AS343" s="28"/>
      <c r="AT343" s="36" t="str">
        <f aca="true">IF(C343="","",IF(AM343="Clawed Back","CLAWED",IF(TODAY()&lt;=C343+SETTINGS!$I$2,"⚠ AT RISK","SAFE")))</f>
        <v/>
      </c>
      <c r="AU343" s="28"/>
      <c r="AW343" s="24" t="n">
        <f aca="false">AW342+IF(AND(C343&lt;&gt;"",AO343&lt;&gt;"",OR('REP COMMISSION'!$B$3="",T343='REP COMMISSION'!$B$3,W343='REP COMMISSION'!$B$3,Z343='REP COMMISSION'!$B$3)),1,0)</f>
        <v>0</v>
      </c>
      <c r="AX343" s="24" t="n">
        <f aca="false">AX342+IF(AND(C343&lt;&gt;"",OR(F343="LOC - INITIAL",F343="CONSOLIDATION - UPFRONT COMM",F343="REVERSE - TOTAL FUNDING")),1,0)</f>
        <v>0</v>
      </c>
    </row>
    <row r="344" customFormat="false" ht="15" hidden="false" customHeight="false" outlineLevel="0" collapsed="false">
      <c r="A344" s="8" t="str">
        <f aca="false">IF(C344&lt;&gt;"","F27-"&amp;COUNT($C$4:C344),"")</f>
        <v/>
      </c>
      <c r="B344" s="9" t="str">
        <f aca="false">IF(OR(F344="LOC - INITIAL",F344="CONSOLIDATION - UPFRONT COMM",F344="REVERSE - TOTAL FUNDING"),A344,"")</f>
        <v/>
      </c>
      <c r="C344" s="10"/>
      <c r="D344" s="11"/>
      <c r="E344" s="11"/>
      <c r="F344" s="11"/>
      <c r="G344" s="12"/>
      <c r="H344" s="13"/>
      <c r="I344" s="11"/>
      <c r="J344" s="14" t="str">
        <f aca="false">IF(AND(G344&lt;&gt;"",H344&lt;&gt;""),G344*H344,"")</f>
        <v/>
      </c>
      <c r="K344" s="11"/>
      <c r="L344" s="15"/>
      <c r="M344" s="15"/>
      <c r="N344" s="14" t="n">
        <f aca="false">IF(OR(G344="",M344=""),0,IF(M344&gt;100,M344,G344*IF(M344&gt;1,M344/100,M344)))</f>
        <v>0</v>
      </c>
      <c r="O344" s="14" t="str">
        <f aca="false">IF(G344="","",G344*IF(L344="",0,IF(L344&gt;1,L344/100,L344))+N344)</f>
        <v/>
      </c>
      <c r="P344" s="11"/>
      <c r="Q344" s="16" t="str">
        <f aca="false">IF(P344="","",IFERROR(VLOOKUP(P344,PARTNERS!$A$2:$B$30,2,0),""))</f>
        <v/>
      </c>
      <c r="R344" s="17" t="str">
        <f aca="false">IF(O344="","",IF(OR(P344="",Q344=""),0,(O344-N344)*IF(Q344&gt;1,Q344/100,Q344)))</f>
        <v/>
      </c>
      <c r="S344" s="14" t="str">
        <f aca="false">IF(O344="","",O344-R344)</f>
        <v/>
      </c>
      <c r="T344" s="11"/>
      <c r="U344" s="18" t="str">
        <f aca="false">IF(T344="","",IFERROR(VLOOKUP(T344,REPS!$A$2:$D$40,2,0),""))</f>
        <v/>
      </c>
      <c r="V344" s="14" t="str">
        <f aca="false">IF(O344="","",IF(U344="",0,O344*IF(U344&gt;1,U344/100,U344)))</f>
        <v/>
      </c>
      <c r="W344" s="11"/>
      <c r="X344" s="18" t="str">
        <f aca="false">IF(W344="","",IFERROR(VLOOKUP(W344,REPS!$A$2:$D$40,3,0),""))</f>
        <v/>
      </c>
      <c r="Y344" s="14" t="str">
        <f aca="false">IF(O344="","",IF(X344="",0,O344*IF(X344&gt;1,X344/100,X344)))</f>
        <v/>
      </c>
      <c r="Z344" s="11"/>
      <c r="AA344" s="18" t="str">
        <f aca="false">IF(Z344="","",IFERROR(VLOOKUP(Z344,REPS!$A$2:$D$40,4,0),""))</f>
        <v/>
      </c>
      <c r="AB344" s="14" t="str">
        <f aca="false">IF(O344="","",IF(AA344="",0,O344*IF(AA344&gt;1,AA344/100,AA344)))</f>
        <v/>
      </c>
      <c r="AC344" s="14" t="str">
        <f aca="false">IF(O344="","",V344+Y344+AB344)</f>
        <v/>
      </c>
      <c r="AD344" s="19" t="str">
        <f aca="false">IF(O344="","",O344-R344-AC344)</f>
        <v/>
      </c>
      <c r="AE344" s="20"/>
      <c r="AF344" s="10"/>
      <c r="AG344" s="21" t="n">
        <f aca="false">IF(OR(AE344="",AE344=0),0,AE344*IF(U344="",0,IF(U344&gt;1,U344/100,U344)))</f>
        <v>0</v>
      </c>
      <c r="AH344" s="21" t="n">
        <f aca="false">IF(OR(AE344="",AE344=0),0,AE344*IF(X344="",0,IF(X344&gt;1,X344/100,X344)))</f>
        <v>0</v>
      </c>
      <c r="AI344" s="21" t="n">
        <f aca="false">IF(OR(AE344="",AE344=0),0,AE344*IF(AA344="",0,IF(AA344&gt;1,AA344/100,AA344)))</f>
        <v>0</v>
      </c>
      <c r="AJ344" s="21" t="n">
        <f aca="false">AG344+AH344+AI344</f>
        <v>0</v>
      </c>
      <c r="AK344" s="21" t="n">
        <f aca="false">IF(OR(AE344="",AE344=0),0,AE344-AJ344)</f>
        <v>0</v>
      </c>
      <c r="AL344" s="19" t="str">
        <f aca="false">IF(AD344="","",AD344-AK344)</f>
        <v/>
      </c>
      <c r="AM344" s="9" t="str">
        <f aca="false">IF(C344="","","Waiting for payment")</f>
        <v/>
      </c>
      <c r="AN344" s="10"/>
      <c r="AO344" s="10"/>
      <c r="AP344" s="22" t="str">
        <f aca="false">IF(OR(C344="",I344="",K344=""),"",IF(K344="Monthly",EDATE(C344,ROUND(I344*SETTINGS!$I$8,0)),WORKDAY(C344,ROUND(I344*SETTINGS!$I$8,0))))</f>
        <v/>
      </c>
      <c r="AQ344" s="9" t="str">
        <f aca="true">IF(C344="","",IF(AND(AP344&lt;&gt;"",TODAY()&gt;=AP344),"Refi Ready",IF(TODAY()-C344&gt;=SETTINGS!$I$11,"Prospecting","Performing")))</f>
        <v/>
      </c>
      <c r="AR344" s="22" t="str">
        <f aca="false">IF(OR(C344="",I344="",K344=""),"",IF(K344="Monthly",EDATE(C344,I344),WORKDAY(C344,I344)))</f>
        <v/>
      </c>
      <c r="AS344" s="11"/>
      <c r="AT344" s="23" t="str">
        <f aca="true">IF(C344="","",IF(AM344="Clawed Back","CLAWED",IF(TODAY()&lt;=C344+SETTINGS!$I$2,"⚠ AT RISK","SAFE")))</f>
        <v/>
      </c>
      <c r="AU344" s="11"/>
      <c r="AW344" s="24" t="n">
        <f aca="false">AW343+IF(AND(C344&lt;&gt;"",AO344&lt;&gt;"",OR('REP COMMISSION'!$B$3="",T344='REP COMMISSION'!$B$3,W344='REP COMMISSION'!$B$3,Z344='REP COMMISSION'!$B$3)),1,0)</f>
        <v>0</v>
      </c>
      <c r="AX344" s="24" t="n">
        <f aca="false">AX343+IF(AND(C344&lt;&gt;"",OR(F344="LOC - INITIAL",F344="CONSOLIDATION - UPFRONT COMM",F344="REVERSE - TOTAL FUNDING")),1,0)</f>
        <v>0</v>
      </c>
    </row>
    <row r="345" customFormat="false" ht="15" hidden="false" customHeight="false" outlineLevel="0" collapsed="false">
      <c r="A345" s="25" t="str">
        <f aca="false">IF(C345&lt;&gt;"","F27-"&amp;COUNT($C$4:C345),"")</f>
        <v/>
      </c>
      <c r="B345" s="26" t="str">
        <f aca="false">IF(OR(F345="LOC - INITIAL",F345="CONSOLIDATION - UPFRONT COMM",F345="REVERSE - TOTAL FUNDING"),A345,"")</f>
        <v/>
      </c>
      <c r="C345" s="27"/>
      <c r="D345" s="28"/>
      <c r="E345" s="28"/>
      <c r="F345" s="28"/>
      <c r="G345" s="29"/>
      <c r="H345" s="30"/>
      <c r="I345" s="28"/>
      <c r="J345" s="31" t="str">
        <f aca="false">IF(AND(G345&lt;&gt;"",H345&lt;&gt;""),G345*H345,"")</f>
        <v/>
      </c>
      <c r="K345" s="28"/>
      <c r="L345" s="32"/>
      <c r="M345" s="32"/>
      <c r="N345" s="31" t="n">
        <f aca="false">IF(OR(G345="",M345=""),0,IF(M345&gt;100,M345,G345*IF(M345&gt;1,M345/100,M345)))</f>
        <v>0</v>
      </c>
      <c r="O345" s="31" t="str">
        <f aca="false">IF(G345="","",G345*IF(L345="",0,IF(L345&gt;1,L345/100,L345))+N345)</f>
        <v/>
      </c>
      <c r="P345" s="28"/>
      <c r="Q345" s="33" t="str">
        <f aca="false">IF(P345="","",IFERROR(VLOOKUP(P345,PARTNERS!$A$2:$B$30,2,0),""))</f>
        <v/>
      </c>
      <c r="R345" s="17" t="str">
        <f aca="false">IF(O345="","",IF(OR(P345="",Q345=""),0,(O345-N345)*IF(Q345&gt;1,Q345/100,Q345)))</f>
        <v/>
      </c>
      <c r="S345" s="31" t="str">
        <f aca="false">IF(O345="","",O345-R345)</f>
        <v/>
      </c>
      <c r="T345" s="28"/>
      <c r="U345" s="34" t="str">
        <f aca="false">IF(T345="","",IFERROR(VLOOKUP(T345,REPS!$A$2:$D$40,2,0),""))</f>
        <v/>
      </c>
      <c r="V345" s="31" t="str">
        <f aca="false">IF(O345="","",IF(U345="",0,O345*IF(U345&gt;1,U345/100,U345)))</f>
        <v/>
      </c>
      <c r="W345" s="28"/>
      <c r="X345" s="34" t="str">
        <f aca="false">IF(W345="","",IFERROR(VLOOKUP(W345,REPS!$A$2:$D$40,3,0),""))</f>
        <v/>
      </c>
      <c r="Y345" s="31" t="str">
        <f aca="false">IF(O345="","",IF(X345="",0,O345*IF(X345&gt;1,X345/100,X345)))</f>
        <v/>
      </c>
      <c r="Z345" s="28"/>
      <c r="AA345" s="34" t="str">
        <f aca="false">IF(Z345="","",IFERROR(VLOOKUP(Z345,REPS!$A$2:$D$40,4,0),""))</f>
        <v/>
      </c>
      <c r="AB345" s="31" t="str">
        <f aca="false">IF(O345="","",IF(AA345="",0,O345*IF(AA345&gt;1,AA345/100,AA345)))</f>
        <v/>
      </c>
      <c r="AC345" s="31" t="str">
        <f aca="false">IF(O345="","",V345+Y345+AB345)</f>
        <v/>
      </c>
      <c r="AD345" s="19" t="str">
        <f aca="false">IF(O345="","",O345-R345-AC345)</f>
        <v/>
      </c>
      <c r="AE345" s="20"/>
      <c r="AF345" s="27"/>
      <c r="AG345" s="21" t="n">
        <f aca="false">IF(OR(AE345="",AE345=0),0,AE345*IF(U345="",0,IF(U345&gt;1,U345/100,U345)))</f>
        <v>0</v>
      </c>
      <c r="AH345" s="21" t="n">
        <f aca="false">IF(OR(AE345="",AE345=0),0,AE345*IF(X345="",0,IF(X345&gt;1,X345/100,X345)))</f>
        <v>0</v>
      </c>
      <c r="AI345" s="21" t="n">
        <f aca="false">IF(OR(AE345="",AE345=0),0,AE345*IF(AA345="",0,IF(AA345&gt;1,AA345/100,AA345)))</f>
        <v>0</v>
      </c>
      <c r="AJ345" s="21" t="n">
        <f aca="false">AG345+AH345+AI345</f>
        <v>0</v>
      </c>
      <c r="AK345" s="21" t="n">
        <f aca="false">IF(OR(AE345="",AE345=0),0,AE345-AJ345)</f>
        <v>0</v>
      </c>
      <c r="AL345" s="19" t="str">
        <f aca="false">IF(AD345="","",AD345-AK345)</f>
        <v/>
      </c>
      <c r="AM345" s="26" t="str">
        <f aca="false">IF(C345="","","Waiting for payment")</f>
        <v/>
      </c>
      <c r="AN345" s="27"/>
      <c r="AO345" s="27"/>
      <c r="AP345" s="35" t="str">
        <f aca="false">IF(OR(C345="",I345="",K345=""),"",IF(K345="Monthly",EDATE(C345,ROUND(I345*SETTINGS!$I$8,0)),WORKDAY(C345,ROUND(I345*SETTINGS!$I$8,0))))</f>
        <v/>
      </c>
      <c r="AQ345" s="26" t="str">
        <f aca="true">IF(C345="","",IF(AND(AP345&lt;&gt;"",TODAY()&gt;=AP345),"Refi Ready",IF(TODAY()-C345&gt;=SETTINGS!$I$11,"Prospecting","Performing")))</f>
        <v/>
      </c>
      <c r="AR345" s="35" t="str">
        <f aca="false">IF(OR(C345="",I345="",K345=""),"",IF(K345="Monthly",EDATE(C345,I345),WORKDAY(C345,I345)))</f>
        <v/>
      </c>
      <c r="AS345" s="28"/>
      <c r="AT345" s="36" t="str">
        <f aca="true">IF(C345="","",IF(AM345="Clawed Back","CLAWED",IF(TODAY()&lt;=C345+SETTINGS!$I$2,"⚠ AT RISK","SAFE")))</f>
        <v/>
      </c>
      <c r="AU345" s="28"/>
      <c r="AW345" s="24" t="n">
        <f aca="false">AW344+IF(AND(C345&lt;&gt;"",AO345&lt;&gt;"",OR('REP COMMISSION'!$B$3="",T345='REP COMMISSION'!$B$3,W345='REP COMMISSION'!$B$3,Z345='REP COMMISSION'!$B$3)),1,0)</f>
        <v>0</v>
      </c>
      <c r="AX345" s="24" t="n">
        <f aca="false">AX344+IF(AND(C345&lt;&gt;"",OR(F345="LOC - INITIAL",F345="CONSOLIDATION - UPFRONT COMM",F345="REVERSE - TOTAL FUNDING")),1,0)</f>
        <v>0</v>
      </c>
    </row>
    <row r="346" customFormat="false" ht="15" hidden="false" customHeight="false" outlineLevel="0" collapsed="false">
      <c r="A346" s="8" t="str">
        <f aca="false">IF(C346&lt;&gt;"","F27-"&amp;COUNT($C$4:C346),"")</f>
        <v/>
      </c>
      <c r="B346" s="9" t="str">
        <f aca="false">IF(OR(F346="LOC - INITIAL",F346="CONSOLIDATION - UPFRONT COMM",F346="REVERSE - TOTAL FUNDING"),A346,"")</f>
        <v/>
      </c>
      <c r="C346" s="10"/>
      <c r="D346" s="11"/>
      <c r="E346" s="11"/>
      <c r="F346" s="11"/>
      <c r="G346" s="12"/>
      <c r="H346" s="13"/>
      <c r="I346" s="11"/>
      <c r="J346" s="14" t="str">
        <f aca="false">IF(AND(G346&lt;&gt;"",H346&lt;&gt;""),G346*H346,"")</f>
        <v/>
      </c>
      <c r="K346" s="11"/>
      <c r="L346" s="15"/>
      <c r="M346" s="15"/>
      <c r="N346" s="14" t="n">
        <f aca="false">IF(OR(G346="",M346=""),0,IF(M346&gt;100,M346,G346*IF(M346&gt;1,M346/100,M346)))</f>
        <v>0</v>
      </c>
      <c r="O346" s="14" t="str">
        <f aca="false">IF(G346="","",G346*IF(L346="",0,IF(L346&gt;1,L346/100,L346))+N346)</f>
        <v/>
      </c>
      <c r="P346" s="11"/>
      <c r="Q346" s="16" t="str">
        <f aca="false">IF(P346="","",IFERROR(VLOOKUP(P346,PARTNERS!$A$2:$B$30,2,0),""))</f>
        <v/>
      </c>
      <c r="R346" s="17" t="str">
        <f aca="false">IF(O346="","",IF(OR(P346="",Q346=""),0,(O346-N346)*IF(Q346&gt;1,Q346/100,Q346)))</f>
        <v/>
      </c>
      <c r="S346" s="14" t="str">
        <f aca="false">IF(O346="","",O346-R346)</f>
        <v/>
      </c>
      <c r="T346" s="11"/>
      <c r="U346" s="18" t="str">
        <f aca="false">IF(T346="","",IFERROR(VLOOKUP(T346,REPS!$A$2:$D$40,2,0),""))</f>
        <v/>
      </c>
      <c r="V346" s="14" t="str">
        <f aca="false">IF(O346="","",IF(U346="",0,O346*IF(U346&gt;1,U346/100,U346)))</f>
        <v/>
      </c>
      <c r="W346" s="11"/>
      <c r="X346" s="18" t="str">
        <f aca="false">IF(W346="","",IFERROR(VLOOKUP(W346,REPS!$A$2:$D$40,3,0),""))</f>
        <v/>
      </c>
      <c r="Y346" s="14" t="str">
        <f aca="false">IF(O346="","",IF(X346="",0,O346*IF(X346&gt;1,X346/100,X346)))</f>
        <v/>
      </c>
      <c r="Z346" s="11"/>
      <c r="AA346" s="18" t="str">
        <f aca="false">IF(Z346="","",IFERROR(VLOOKUP(Z346,REPS!$A$2:$D$40,4,0),""))</f>
        <v/>
      </c>
      <c r="AB346" s="14" t="str">
        <f aca="false">IF(O346="","",IF(AA346="",0,O346*IF(AA346&gt;1,AA346/100,AA346)))</f>
        <v/>
      </c>
      <c r="AC346" s="14" t="str">
        <f aca="false">IF(O346="","",V346+Y346+AB346)</f>
        <v/>
      </c>
      <c r="AD346" s="19" t="str">
        <f aca="false">IF(O346="","",O346-R346-AC346)</f>
        <v/>
      </c>
      <c r="AE346" s="20"/>
      <c r="AF346" s="10"/>
      <c r="AG346" s="21" t="n">
        <f aca="false">IF(OR(AE346="",AE346=0),0,AE346*IF(U346="",0,IF(U346&gt;1,U346/100,U346)))</f>
        <v>0</v>
      </c>
      <c r="AH346" s="21" t="n">
        <f aca="false">IF(OR(AE346="",AE346=0),0,AE346*IF(X346="",0,IF(X346&gt;1,X346/100,X346)))</f>
        <v>0</v>
      </c>
      <c r="AI346" s="21" t="n">
        <f aca="false">IF(OR(AE346="",AE346=0),0,AE346*IF(AA346="",0,IF(AA346&gt;1,AA346/100,AA346)))</f>
        <v>0</v>
      </c>
      <c r="AJ346" s="21" t="n">
        <f aca="false">AG346+AH346+AI346</f>
        <v>0</v>
      </c>
      <c r="AK346" s="21" t="n">
        <f aca="false">IF(OR(AE346="",AE346=0),0,AE346-AJ346)</f>
        <v>0</v>
      </c>
      <c r="AL346" s="19" t="str">
        <f aca="false">IF(AD346="","",AD346-AK346)</f>
        <v/>
      </c>
      <c r="AM346" s="9" t="str">
        <f aca="false">IF(C346="","","Waiting for payment")</f>
        <v/>
      </c>
      <c r="AN346" s="10"/>
      <c r="AO346" s="10"/>
      <c r="AP346" s="22" t="str">
        <f aca="false">IF(OR(C346="",I346="",K346=""),"",IF(K346="Monthly",EDATE(C346,ROUND(I346*SETTINGS!$I$8,0)),WORKDAY(C346,ROUND(I346*SETTINGS!$I$8,0))))</f>
        <v/>
      </c>
      <c r="AQ346" s="9" t="str">
        <f aca="true">IF(C346="","",IF(AND(AP346&lt;&gt;"",TODAY()&gt;=AP346),"Refi Ready",IF(TODAY()-C346&gt;=SETTINGS!$I$11,"Prospecting","Performing")))</f>
        <v/>
      </c>
      <c r="AR346" s="22" t="str">
        <f aca="false">IF(OR(C346="",I346="",K346=""),"",IF(K346="Monthly",EDATE(C346,I346),WORKDAY(C346,I346)))</f>
        <v/>
      </c>
      <c r="AS346" s="11"/>
      <c r="AT346" s="23" t="str">
        <f aca="true">IF(C346="","",IF(AM346="Clawed Back","CLAWED",IF(TODAY()&lt;=C346+SETTINGS!$I$2,"⚠ AT RISK","SAFE")))</f>
        <v/>
      </c>
      <c r="AU346" s="11"/>
      <c r="AW346" s="24" t="n">
        <f aca="false">AW345+IF(AND(C346&lt;&gt;"",AO346&lt;&gt;"",OR('REP COMMISSION'!$B$3="",T346='REP COMMISSION'!$B$3,W346='REP COMMISSION'!$B$3,Z346='REP COMMISSION'!$B$3)),1,0)</f>
        <v>0</v>
      </c>
      <c r="AX346" s="24" t="n">
        <f aca="false">AX345+IF(AND(C346&lt;&gt;"",OR(F346="LOC - INITIAL",F346="CONSOLIDATION - UPFRONT COMM",F346="REVERSE - TOTAL FUNDING")),1,0)</f>
        <v>0</v>
      </c>
    </row>
    <row r="347" customFormat="false" ht="15" hidden="false" customHeight="false" outlineLevel="0" collapsed="false">
      <c r="A347" s="25" t="str">
        <f aca="false">IF(C347&lt;&gt;"","F27-"&amp;COUNT($C$4:C347),"")</f>
        <v/>
      </c>
      <c r="B347" s="26" t="str">
        <f aca="false">IF(OR(F347="LOC - INITIAL",F347="CONSOLIDATION - UPFRONT COMM",F347="REVERSE - TOTAL FUNDING"),A347,"")</f>
        <v/>
      </c>
      <c r="C347" s="27"/>
      <c r="D347" s="28"/>
      <c r="E347" s="28"/>
      <c r="F347" s="28"/>
      <c r="G347" s="29"/>
      <c r="H347" s="30"/>
      <c r="I347" s="28"/>
      <c r="J347" s="31" t="str">
        <f aca="false">IF(AND(G347&lt;&gt;"",H347&lt;&gt;""),G347*H347,"")</f>
        <v/>
      </c>
      <c r="K347" s="28"/>
      <c r="L347" s="32"/>
      <c r="M347" s="32"/>
      <c r="N347" s="31" t="n">
        <f aca="false">IF(OR(G347="",M347=""),0,IF(M347&gt;100,M347,G347*IF(M347&gt;1,M347/100,M347)))</f>
        <v>0</v>
      </c>
      <c r="O347" s="31" t="str">
        <f aca="false">IF(G347="","",G347*IF(L347="",0,IF(L347&gt;1,L347/100,L347))+N347)</f>
        <v/>
      </c>
      <c r="P347" s="28"/>
      <c r="Q347" s="33" t="str">
        <f aca="false">IF(P347="","",IFERROR(VLOOKUP(P347,PARTNERS!$A$2:$B$30,2,0),""))</f>
        <v/>
      </c>
      <c r="R347" s="17" t="str">
        <f aca="false">IF(O347="","",IF(OR(P347="",Q347=""),0,(O347-N347)*IF(Q347&gt;1,Q347/100,Q347)))</f>
        <v/>
      </c>
      <c r="S347" s="31" t="str">
        <f aca="false">IF(O347="","",O347-R347)</f>
        <v/>
      </c>
      <c r="T347" s="28"/>
      <c r="U347" s="34" t="str">
        <f aca="false">IF(T347="","",IFERROR(VLOOKUP(T347,REPS!$A$2:$D$40,2,0),""))</f>
        <v/>
      </c>
      <c r="V347" s="31" t="str">
        <f aca="false">IF(O347="","",IF(U347="",0,O347*IF(U347&gt;1,U347/100,U347)))</f>
        <v/>
      </c>
      <c r="W347" s="28"/>
      <c r="X347" s="34" t="str">
        <f aca="false">IF(W347="","",IFERROR(VLOOKUP(W347,REPS!$A$2:$D$40,3,0),""))</f>
        <v/>
      </c>
      <c r="Y347" s="31" t="str">
        <f aca="false">IF(O347="","",IF(X347="",0,O347*IF(X347&gt;1,X347/100,X347)))</f>
        <v/>
      </c>
      <c r="Z347" s="28"/>
      <c r="AA347" s="34" t="str">
        <f aca="false">IF(Z347="","",IFERROR(VLOOKUP(Z347,REPS!$A$2:$D$40,4,0),""))</f>
        <v/>
      </c>
      <c r="AB347" s="31" t="str">
        <f aca="false">IF(O347="","",IF(AA347="",0,O347*IF(AA347&gt;1,AA347/100,AA347)))</f>
        <v/>
      </c>
      <c r="AC347" s="31" t="str">
        <f aca="false">IF(O347="","",V347+Y347+AB347)</f>
        <v/>
      </c>
      <c r="AD347" s="19" t="str">
        <f aca="false">IF(O347="","",O347-R347-AC347)</f>
        <v/>
      </c>
      <c r="AE347" s="20"/>
      <c r="AF347" s="27"/>
      <c r="AG347" s="21" t="n">
        <f aca="false">IF(OR(AE347="",AE347=0),0,AE347*IF(U347="",0,IF(U347&gt;1,U347/100,U347)))</f>
        <v>0</v>
      </c>
      <c r="AH347" s="21" t="n">
        <f aca="false">IF(OR(AE347="",AE347=0),0,AE347*IF(X347="",0,IF(X347&gt;1,X347/100,X347)))</f>
        <v>0</v>
      </c>
      <c r="AI347" s="21" t="n">
        <f aca="false">IF(OR(AE347="",AE347=0),0,AE347*IF(AA347="",0,IF(AA347&gt;1,AA347/100,AA347)))</f>
        <v>0</v>
      </c>
      <c r="AJ347" s="21" t="n">
        <f aca="false">AG347+AH347+AI347</f>
        <v>0</v>
      </c>
      <c r="AK347" s="21" t="n">
        <f aca="false">IF(OR(AE347="",AE347=0),0,AE347-AJ347)</f>
        <v>0</v>
      </c>
      <c r="AL347" s="19" t="str">
        <f aca="false">IF(AD347="","",AD347-AK347)</f>
        <v/>
      </c>
      <c r="AM347" s="26" t="str">
        <f aca="false">IF(C347="","","Waiting for payment")</f>
        <v/>
      </c>
      <c r="AN347" s="27"/>
      <c r="AO347" s="27"/>
      <c r="AP347" s="35" t="str">
        <f aca="false">IF(OR(C347="",I347="",K347=""),"",IF(K347="Monthly",EDATE(C347,ROUND(I347*SETTINGS!$I$8,0)),WORKDAY(C347,ROUND(I347*SETTINGS!$I$8,0))))</f>
        <v/>
      </c>
      <c r="AQ347" s="26" t="str">
        <f aca="true">IF(C347="","",IF(AND(AP347&lt;&gt;"",TODAY()&gt;=AP347),"Refi Ready",IF(TODAY()-C347&gt;=SETTINGS!$I$11,"Prospecting","Performing")))</f>
        <v/>
      </c>
      <c r="AR347" s="35" t="str">
        <f aca="false">IF(OR(C347="",I347="",K347=""),"",IF(K347="Monthly",EDATE(C347,I347),WORKDAY(C347,I347)))</f>
        <v/>
      </c>
      <c r="AS347" s="28"/>
      <c r="AT347" s="36" t="str">
        <f aca="true">IF(C347="","",IF(AM347="Clawed Back","CLAWED",IF(TODAY()&lt;=C347+SETTINGS!$I$2,"⚠ AT RISK","SAFE")))</f>
        <v/>
      </c>
      <c r="AU347" s="28"/>
      <c r="AW347" s="24" t="n">
        <f aca="false">AW346+IF(AND(C347&lt;&gt;"",AO347&lt;&gt;"",OR('REP COMMISSION'!$B$3="",T347='REP COMMISSION'!$B$3,W347='REP COMMISSION'!$B$3,Z347='REP COMMISSION'!$B$3)),1,0)</f>
        <v>0</v>
      </c>
      <c r="AX347" s="24" t="n">
        <f aca="false">AX346+IF(AND(C347&lt;&gt;"",OR(F347="LOC - INITIAL",F347="CONSOLIDATION - UPFRONT COMM",F347="REVERSE - TOTAL FUNDING")),1,0)</f>
        <v>0</v>
      </c>
    </row>
    <row r="348" customFormat="false" ht="15" hidden="false" customHeight="false" outlineLevel="0" collapsed="false">
      <c r="A348" s="8" t="str">
        <f aca="false">IF(C348&lt;&gt;"","F27-"&amp;COUNT($C$4:C348),"")</f>
        <v/>
      </c>
      <c r="B348" s="9" t="str">
        <f aca="false">IF(OR(F348="LOC - INITIAL",F348="CONSOLIDATION - UPFRONT COMM",F348="REVERSE - TOTAL FUNDING"),A348,"")</f>
        <v/>
      </c>
      <c r="C348" s="10"/>
      <c r="D348" s="11"/>
      <c r="E348" s="11"/>
      <c r="F348" s="11"/>
      <c r="G348" s="12"/>
      <c r="H348" s="13"/>
      <c r="I348" s="11"/>
      <c r="J348" s="14" t="str">
        <f aca="false">IF(AND(G348&lt;&gt;"",H348&lt;&gt;""),G348*H348,"")</f>
        <v/>
      </c>
      <c r="K348" s="11"/>
      <c r="L348" s="15"/>
      <c r="M348" s="15"/>
      <c r="N348" s="14" t="n">
        <f aca="false">IF(OR(G348="",M348=""),0,IF(M348&gt;100,M348,G348*IF(M348&gt;1,M348/100,M348)))</f>
        <v>0</v>
      </c>
      <c r="O348" s="14" t="str">
        <f aca="false">IF(G348="","",G348*IF(L348="",0,IF(L348&gt;1,L348/100,L348))+N348)</f>
        <v/>
      </c>
      <c r="P348" s="11"/>
      <c r="Q348" s="16" t="str">
        <f aca="false">IF(P348="","",IFERROR(VLOOKUP(P348,PARTNERS!$A$2:$B$30,2,0),""))</f>
        <v/>
      </c>
      <c r="R348" s="17" t="str">
        <f aca="false">IF(O348="","",IF(OR(P348="",Q348=""),0,(O348-N348)*IF(Q348&gt;1,Q348/100,Q348)))</f>
        <v/>
      </c>
      <c r="S348" s="14" t="str">
        <f aca="false">IF(O348="","",O348-R348)</f>
        <v/>
      </c>
      <c r="T348" s="11"/>
      <c r="U348" s="18" t="str">
        <f aca="false">IF(T348="","",IFERROR(VLOOKUP(T348,REPS!$A$2:$D$40,2,0),""))</f>
        <v/>
      </c>
      <c r="V348" s="14" t="str">
        <f aca="false">IF(O348="","",IF(U348="",0,O348*IF(U348&gt;1,U348/100,U348)))</f>
        <v/>
      </c>
      <c r="W348" s="11"/>
      <c r="X348" s="18" t="str">
        <f aca="false">IF(W348="","",IFERROR(VLOOKUP(W348,REPS!$A$2:$D$40,3,0),""))</f>
        <v/>
      </c>
      <c r="Y348" s="14" t="str">
        <f aca="false">IF(O348="","",IF(X348="",0,O348*IF(X348&gt;1,X348/100,X348)))</f>
        <v/>
      </c>
      <c r="Z348" s="11"/>
      <c r="AA348" s="18" t="str">
        <f aca="false">IF(Z348="","",IFERROR(VLOOKUP(Z348,REPS!$A$2:$D$40,4,0),""))</f>
        <v/>
      </c>
      <c r="AB348" s="14" t="str">
        <f aca="false">IF(O348="","",IF(AA348="",0,O348*IF(AA348&gt;1,AA348/100,AA348)))</f>
        <v/>
      </c>
      <c r="AC348" s="14" t="str">
        <f aca="false">IF(O348="","",V348+Y348+AB348)</f>
        <v/>
      </c>
      <c r="AD348" s="19" t="str">
        <f aca="false">IF(O348="","",O348-R348-AC348)</f>
        <v/>
      </c>
      <c r="AE348" s="20"/>
      <c r="AF348" s="10"/>
      <c r="AG348" s="21" t="n">
        <f aca="false">IF(OR(AE348="",AE348=0),0,AE348*IF(U348="",0,IF(U348&gt;1,U348/100,U348)))</f>
        <v>0</v>
      </c>
      <c r="AH348" s="21" t="n">
        <f aca="false">IF(OR(AE348="",AE348=0),0,AE348*IF(X348="",0,IF(X348&gt;1,X348/100,X348)))</f>
        <v>0</v>
      </c>
      <c r="AI348" s="21" t="n">
        <f aca="false">IF(OR(AE348="",AE348=0),0,AE348*IF(AA348="",0,IF(AA348&gt;1,AA348/100,AA348)))</f>
        <v>0</v>
      </c>
      <c r="AJ348" s="21" t="n">
        <f aca="false">AG348+AH348+AI348</f>
        <v>0</v>
      </c>
      <c r="AK348" s="21" t="n">
        <f aca="false">IF(OR(AE348="",AE348=0),0,AE348-AJ348)</f>
        <v>0</v>
      </c>
      <c r="AL348" s="19" t="str">
        <f aca="false">IF(AD348="","",AD348-AK348)</f>
        <v/>
      </c>
      <c r="AM348" s="9" t="str">
        <f aca="false">IF(C348="","","Waiting for payment")</f>
        <v/>
      </c>
      <c r="AN348" s="10"/>
      <c r="AO348" s="10"/>
      <c r="AP348" s="22" t="str">
        <f aca="false">IF(OR(C348="",I348="",K348=""),"",IF(K348="Monthly",EDATE(C348,ROUND(I348*SETTINGS!$I$8,0)),WORKDAY(C348,ROUND(I348*SETTINGS!$I$8,0))))</f>
        <v/>
      </c>
      <c r="AQ348" s="9" t="str">
        <f aca="true">IF(C348="","",IF(AND(AP348&lt;&gt;"",TODAY()&gt;=AP348),"Refi Ready",IF(TODAY()-C348&gt;=SETTINGS!$I$11,"Prospecting","Performing")))</f>
        <v/>
      </c>
      <c r="AR348" s="22" t="str">
        <f aca="false">IF(OR(C348="",I348="",K348=""),"",IF(K348="Monthly",EDATE(C348,I348),WORKDAY(C348,I348)))</f>
        <v/>
      </c>
      <c r="AS348" s="11"/>
      <c r="AT348" s="23" t="str">
        <f aca="true">IF(C348="","",IF(AM348="Clawed Back","CLAWED",IF(TODAY()&lt;=C348+SETTINGS!$I$2,"⚠ AT RISK","SAFE")))</f>
        <v/>
      </c>
      <c r="AU348" s="11"/>
      <c r="AW348" s="24" t="n">
        <f aca="false">AW347+IF(AND(C348&lt;&gt;"",AO348&lt;&gt;"",OR('REP COMMISSION'!$B$3="",T348='REP COMMISSION'!$B$3,W348='REP COMMISSION'!$B$3,Z348='REP COMMISSION'!$B$3)),1,0)</f>
        <v>0</v>
      </c>
      <c r="AX348" s="24" t="n">
        <f aca="false">AX347+IF(AND(C348&lt;&gt;"",OR(F348="LOC - INITIAL",F348="CONSOLIDATION - UPFRONT COMM",F348="REVERSE - TOTAL FUNDING")),1,0)</f>
        <v>0</v>
      </c>
    </row>
    <row r="349" customFormat="false" ht="15" hidden="false" customHeight="false" outlineLevel="0" collapsed="false">
      <c r="A349" s="25" t="str">
        <f aca="false">IF(C349&lt;&gt;"","F27-"&amp;COUNT($C$4:C349),"")</f>
        <v/>
      </c>
      <c r="B349" s="26" t="str">
        <f aca="false">IF(OR(F349="LOC - INITIAL",F349="CONSOLIDATION - UPFRONT COMM",F349="REVERSE - TOTAL FUNDING"),A349,"")</f>
        <v/>
      </c>
      <c r="C349" s="27"/>
      <c r="D349" s="28"/>
      <c r="E349" s="28"/>
      <c r="F349" s="28"/>
      <c r="G349" s="29"/>
      <c r="H349" s="30"/>
      <c r="I349" s="28"/>
      <c r="J349" s="31" t="str">
        <f aca="false">IF(AND(G349&lt;&gt;"",H349&lt;&gt;""),G349*H349,"")</f>
        <v/>
      </c>
      <c r="K349" s="28"/>
      <c r="L349" s="32"/>
      <c r="M349" s="32"/>
      <c r="N349" s="31" t="n">
        <f aca="false">IF(OR(G349="",M349=""),0,IF(M349&gt;100,M349,G349*IF(M349&gt;1,M349/100,M349)))</f>
        <v>0</v>
      </c>
      <c r="O349" s="31" t="str">
        <f aca="false">IF(G349="","",G349*IF(L349="",0,IF(L349&gt;1,L349/100,L349))+N349)</f>
        <v/>
      </c>
      <c r="P349" s="28"/>
      <c r="Q349" s="33" t="str">
        <f aca="false">IF(P349="","",IFERROR(VLOOKUP(P349,PARTNERS!$A$2:$B$30,2,0),""))</f>
        <v/>
      </c>
      <c r="R349" s="17" t="str">
        <f aca="false">IF(O349="","",IF(OR(P349="",Q349=""),0,(O349-N349)*IF(Q349&gt;1,Q349/100,Q349)))</f>
        <v/>
      </c>
      <c r="S349" s="31" t="str">
        <f aca="false">IF(O349="","",O349-R349)</f>
        <v/>
      </c>
      <c r="T349" s="28"/>
      <c r="U349" s="34" t="str">
        <f aca="false">IF(T349="","",IFERROR(VLOOKUP(T349,REPS!$A$2:$D$40,2,0),""))</f>
        <v/>
      </c>
      <c r="V349" s="31" t="str">
        <f aca="false">IF(O349="","",IF(U349="",0,O349*IF(U349&gt;1,U349/100,U349)))</f>
        <v/>
      </c>
      <c r="W349" s="28"/>
      <c r="X349" s="34" t="str">
        <f aca="false">IF(W349="","",IFERROR(VLOOKUP(W349,REPS!$A$2:$D$40,3,0),""))</f>
        <v/>
      </c>
      <c r="Y349" s="31" t="str">
        <f aca="false">IF(O349="","",IF(X349="",0,O349*IF(X349&gt;1,X349/100,X349)))</f>
        <v/>
      </c>
      <c r="Z349" s="28"/>
      <c r="AA349" s="34" t="str">
        <f aca="false">IF(Z349="","",IFERROR(VLOOKUP(Z349,REPS!$A$2:$D$40,4,0),""))</f>
        <v/>
      </c>
      <c r="AB349" s="31" t="str">
        <f aca="false">IF(O349="","",IF(AA349="",0,O349*IF(AA349&gt;1,AA349/100,AA349)))</f>
        <v/>
      </c>
      <c r="AC349" s="31" t="str">
        <f aca="false">IF(O349="","",V349+Y349+AB349)</f>
        <v/>
      </c>
      <c r="AD349" s="19" t="str">
        <f aca="false">IF(O349="","",O349-R349-AC349)</f>
        <v/>
      </c>
      <c r="AE349" s="20"/>
      <c r="AF349" s="27"/>
      <c r="AG349" s="21" t="n">
        <f aca="false">IF(OR(AE349="",AE349=0),0,AE349*IF(U349="",0,IF(U349&gt;1,U349/100,U349)))</f>
        <v>0</v>
      </c>
      <c r="AH349" s="21" t="n">
        <f aca="false">IF(OR(AE349="",AE349=0),0,AE349*IF(X349="",0,IF(X349&gt;1,X349/100,X349)))</f>
        <v>0</v>
      </c>
      <c r="AI349" s="21" t="n">
        <f aca="false">IF(OR(AE349="",AE349=0),0,AE349*IF(AA349="",0,IF(AA349&gt;1,AA349/100,AA349)))</f>
        <v>0</v>
      </c>
      <c r="AJ349" s="21" t="n">
        <f aca="false">AG349+AH349+AI349</f>
        <v>0</v>
      </c>
      <c r="AK349" s="21" t="n">
        <f aca="false">IF(OR(AE349="",AE349=0),0,AE349-AJ349)</f>
        <v>0</v>
      </c>
      <c r="AL349" s="19" t="str">
        <f aca="false">IF(AD349="","",AD349-AK349)</f>
        <v/>
      </c>
      <c r="AM349" s="26" t="str">
        <f aca="false">IF(C349="","","Waiting for payment")</f>
        <v/>
      </c>
      <c r="AN349" s="27"/>
      <c r="AO349" s="27"/>
      <c r="AP349" s="35" t="str">
        <f aca="false">IF(OR(C349="",I349="",K349=""),"",IF(K349="Monthly",EDATE(C349,ROUND(I349*SETTINGS!$I$8,0)),WORKDAY(C349,ROUND(I349*SETTINGS!$I$8,0))))</f>
        <v/>
      </c>
      <c r="AQ349" s="26" t="str">
        <f aca="true">IF(C349="","",IF(AND(AP349&lt;&gt;"",TODAY()&gt;=AP349),"Refi Ready",IF(TODAY()-C349&gt;=SETTINGS!$I$11,"Prospecting","Performing")))</f>
        <v/>
      </c>
      <c r="AR349" s="35" t="str">
        <f aca="false">IF(OR(C349="",I349="",K349=""),"",IF(K349="Monthly",EDATE(C349,I349),WORKDAY(C349,I349)))</f>
        <v/>
      </c>
      <c r="AS349" s="28"/>
      <c r="AT349" s="36" t="str">
        <f aca="true">IF(C349="","",IF(AM349="Clawed Back","CLAWED",IF(TODAY()&lt;=C349+SETTINGS!$I$2,"⚠ AT RISK","SAFE")))</f>
        <v/>
      </c>
      <c r="AU349" s="28"/>
      <c r="AW349" s="24" t="n">
        <f aca="false">AW348+IF(AND(C349&lt;&gt;"",AO349&lt;&gt;"",OR('REP COMMISSION'!$B$3="",T349='REP COMMISSION'!$B$3,W349='REP COMMISSION'!$B$3,Z349='REP COMMISSION'!$B$3)),1,0)</f>
        <v>0</v>
      </c>
      <c r="AX349" s="24" t="n">
        <f aca="false">AX348+IF(AND(C349&lt;&gt;"",OR(F349="LOC - INITIAL",F349="CONSOLIDATION - UPFRONT COMM",F349="REVERSE - TOTAL FUNDING")),1,0)</f>
        <v>0</v>
      </c>
    </row>
    <row r="350" customFormat="false" ht="15" hidden="false" customHeight="false" outlineLevel="0" collapsed="false">
      <c r="A350" s="8" t="str">
        <f aca="false">IF(C350&lt;&gt;"","F27-"&amp;COUNT($C$4:C350),"")</f>
        <v/>
      </c>
      <c r="B350" s="9" t="str">
        <f aca="false">IF(OR(F350="LOC - INITIAL",F350="CONSOLIDATION - UPFRONT COMM",F350="REVERSE - TOTAL FUNDING"),A350,"")</f>
        <v/>
      </c>
      <c r="C350" s="10"/>
      <c r="D350" s="11"/>
      <c r="E350" s="11"/>
      <c r="F350" s="11"/>
      <c r="G350" s="12"/>
      <c r="H350" s="13"/>
      <c r="I350" s="11"/>
      <c r="J350" s="14" t="str">
        <f aca="false">IF(AND(G350&lt;&gt;"",H350&lt;&gt;""),G350*H350,"")</f>
        <v/>
      </c>
      <c r="K350" s="11"/>
      <c r="L350" s="15"/>
      <c r="M350" s="15"/>
      <c r="N350" s="14" t="n">
        <f aca="false">IF(OR(G350="",M350=""),0,IF(M350&gt;100,M350,G350*IF(M350&gt;1,M350/100,M350)))</f>
        <v>0</v>
      </c>
      <c r="O350" s="14" t="str">
        <f aca="false">IF(G350="","",G350*IF(L350="",0,IF(L350&gt;1,L350/100,L350))+N350)</f>
        <v/>
      </c>
      <c r="P350" s="11"/>
      <c r="Q350" s="16" t="str">
        <f aca="false">IF(P350="","",IFERROR(VLOOKUP(P350,PARTNERS!$A$2:$B$30,2,0),""))</f>
        <v/>
      </c>
      <c r="R350" s="17" t="str">
        <f aca="false">IF(O350="","",IF(OR(P350="",Q350=""),0,(O350-N350)*IF(Q350&gt;1,Q350/100,Q350)))</f>
        <v/>
      </c>
      <c r="S350" s="14" t="str">
        <f aca="false">IF(O350="","",O350-R350)</f>
        <v/>
      </c>
      <c r="T350" s="11"/>
      <c r="U350" s="18" t="str">
        <f aca="false">IF(T350="","",IFERROR(VLOOKUP(T350,REPS!$A$2:$D$40,2,0),""))</f>
        <v/>
      </c>
      <c r="V350" s="14" t="str">
        <f aca="false">IF(O350="","",IF(U350="",0,O350*IF(U350&gt;1,U350/100,U350)))</f>
        <v/>
      </c>
      <c r="W350" s="11"/>
      <c r="X350" s="18" t="str">
        <f aca="false">IF(W350="","",IFERROR(VLOOKUP(W350,REPS!$A$2:$D$40,3,0),""))</f>
        <v/>
      </c>
      <c r="Y350" s="14" t="str">
        <f aca="false">IF(O350="","",IF(X350="",0,O350*IF(X350&gt;1,X350/100,X350)))</f>
        <v/>
      </c>
      <c r="Z350" s="11"/>
      <c r="AA350" s="18" t="str">
        <f aca="false">IF(Z350="","",IFERROR(VLOOKUP(Z350,REPS!$A$2:$D$40,4,0),""))</f>
        <v/>
      </c>
      <c r="AB350" s="14" t="str">
        <f aca="false">IF(O350="","",IF(AA350="",0,O350*IF(AA350&gt;1,AA350/100,AA350)))</f>
        <v/>
      </c>
      <c r="AC350" s="14" t="str">
        <f aca="false">IF(O350="","",V350+Y350+AB350)</f>
        <v/>
      </c>
      <c r="AD350" s="19" t="str">
        <f aca="false">IF(O350="","",O350-R350-AC350)</f>
        <v/>
      </c>
      <c r="AE350" s="20"/>
      <c r="AF350" s="10"/>
      <c r="AG350" s="21" t="n">
        <f aca="false">IF(OR(AE350="",AE350=0),0,AE350*IF(U350="",0,IF(U350&gt;1,U350/100,U350)))</f>
        <v>0</v>
      </c>
      <c r="AH350" s="21" t="n">
        <f aca="false">IF(OR(AE350="",AE350=0),0,AE350*IF(X350="",0,IF(X350&gt;1,X350/100,X350)))</f>
        <v>0</v>
      </c>
      <c r="AI350" s="21" t="n">
        <f aca="false">IF(OR(AE350="",AE350=0),0,AE350*IF(AA350="",0,IF(AA350&gt;1,AA350/100,AA350)))</f>
        <v>0</v>
      </c>
      <c r="AJ350" s="21" t="n">
        <f aca="false">AG350+AH350+AI350</f>
        <v>0</v>
      </c>
      <c r="AK350" s="21" t="n">
        <f aca="false">IF(OR(AE350="",AE350=0),0,AE350-AJ350)</f>
        <v>0</v>
      </c>
      <c r="AL350" s="19" t="str">
        <f aca="false">IF(AD350="","",AD350-AK350)</f>
        <v/>
      </c>
      <c r="AM350" s="9" t="str">
        <f aca="false">IF(C350="","","Waiting for payment")</f>
        <v/>
      </c>
      <c r="AN350" s="10"/>
      <c r="AO350" s="10"/>
      <c r="AP350" s="22" t="str">
        <f aca="false">IF(OR(C350="",I350="",K350=""),"",IF(K350="Monthly",EDATE(C350,ROUND(I350*SETTINGS!$I$8,0)),WORKDAY(C350,ROUND(I350*SETTINGS!$I$8,0))))</f>
        <v/>
      </c>
      <c r="AQ350" s="9" t="str">
        <f aca="true">IF(C350="","",IF(AND(AP350&lt;&gt;"",TODAY()&gt;=AP350),"Refi Ready",IF(TODAY()-C350&gt;=SETTINGS!$I$11,"Prospecting","Performing")))</f>
        <v/>
      </c>
      <c r="AR350" s="22" t="str">
        <f aca="false">IF(OR(C350="",I350="",K350=""),"",IF(K350="Monthly",EDATE(C350,I350),WORKDAY(C350,I350)))</f>
        <v/>
      </c>
      <c r="AS350" s="11"/>
      <c r="AT350" s="23" t="str">
        <f aca="true">IF(C350="","",IF(AM350="Clawed Back","CLAWED",IF(TODAY()&lt;=C350+SETTINGS!$I$2,"⚠ AT RISK","SAFE")))</f>
        <v/>
      </c>
      <c r="AU350" s="11"/>
      <c r="AW350" s="24" t="n">
        <f aca="false">AW349+IF(AND(C350&lt;&gt;"",AO350&lt;&gt;"",OR('REP COMMISSION'!$B$3="",T350='REP COMMISSION'!$B$3,W350='REP COMMISSION'!$B$3,Z350='REP COMMISSION'!$B$3)),1,0)</f>
        <v>0</v>
      </c>
      <c r="AX350" s="24" t="n">
        <f aca="false">AX349+IF(AND(C350&lt;&gt;"",OR(F350="LOC - INITIAL",F350="CONSOLIDATION - UPFRONT COMM",F350="REVERSE - TOTAL FUNDING")),1,0)</f>
        <v>0</v>
      </c>
    </row>
    <row r="351" customFormat="false" ht="15" hidden="false" customHeight="false" outlineLevel="0" collapsed="false">
      <c r="A351" s="25" t="str">
        <f aca="false">IF(C351&lt;&gt;"","F27-"&amp;COUNT($C$4:C351),"")</f>
        <v/>
      </c>
      <c r="B351" s="26" t="str">
        <f aca="false">IF(OR(F351="LOC - INITIAL",F351="CONSOLIDATION - UPFRONT COMM",F351="REVERSE - TOTAL FUNDING"),A351,"")</f>
        <v/>
      </c>
      <c r="C351" s="27"/>
      <c r="D351" s="28"/>
      <c r="E351" s="28"/>
      <c r="F351" s="28"/>
      <c r="G351" s="29"/>
      <c r="H351" s="30"/>
      <c r="I351" s="28"/>
      <c r="J351" s="31" t="str">
        <f aca="false">IF(AND(G351&lt;&gt;"",H351&lt;&gt;""),G351*H351,"")</f>
        <v/>
      </c>
      <c r="K351" s="28"/>
      <c r="L351" s="32"/>
      <c r="M351" s="32"/>
      <c r="N351" s="31" t="n">
        <f aca="false">IF(OR(G351="",M351=""),0,IF(M351&gt;100,M351,G351*IF(M351&gt;1,M351/100,M351)))</f>
        <v>0</v>
      </c>
      <c r="O351" s="31" t="str">
        <f aca="false">IF(G351="","",G351*IF(L351="",0,IF(L351&gt;1,L351/100,L351))+N351)</f>
        <v/>
      </c>
      <c r="P351" s="28"/>
      <c r="Q351" s="33" t="str">
        <f aca="false">IF(P351="","",IFERROR(VLOOKUP(P351,PARTNERS!$A$2:$B$30,2,0),""))</f>
        <v/>
      </c>
      <c r="R351" s="17" t="str">
        <f aca="false">IF(O351="","",IF(OR(P351="",Q351=""),0,(O351-N351)*IF(Q351&gt;1,Q351/100,Q351)))</f>
        <v/>
      </c>
      <c r="S351" s="31" t="str">
        <f aca="false">IF(O351="","",O351-R351)</f>
        <v/>
      </c>
      <c r="T351" s="28"/>
      <c r="U351" s="34" t="str">
        <f aca="false">IF(T351="","",IFERROR(VLOOKUP(T351,REPS!$A$2:$D$40,2,0),""))</f>
        <v/>
      </c>
      <c r="V351" s="31" t="str">
        <f aca="false">IF(O351="","",IF(U351="",0,O351*IF(U351&gt;1,U351/100,U351)))</f>
        <v/>
      </c>
      <c r="W351" s="28"/>
      <c r="X351" s="34" t="str">
        <f aca="false">IF(W351="","",IFERROR(VLOOKUP(W351,REPS!$A$2:$D$40,3,0),""))</f>
        <v/>
      </c>
      <c r="Y351" s="31" t="str">
        <f aca="false">IF(O351="","",IF(X351="",0,O351*IF(X351&gt;1,X351/100,X351)))</f>
        <v/>
      </c>
      <c r="Z351" s="28"/>
      <c r="AA351" s="34" t="str">
        <f aca="false">IF(Z351="","",IFERROR(VLOOKUP(Z351,REPS!$A$2:$D$40,4,0),""))</f>
        <v/>
      </c>
      <c r="AB351" s="31" t="str">
        <f aca="false">IF(O351="","",IF(AA351="",0,O351*IF(AA351&gt;1,AA351/100,AA351)))</f>
        <v/>
      </c>
      <c r="AC351" s="31" t="str">
        <f aca="false">IF(O351="","",V351+Y351+AB351)</f>
        <v/>
      </c>
      <c r="AD351" s="19" t="str">
        <f aca="false">IF(O351="","",O351-R351-AC351)</f>
        <v/>
      </c>
      <c r="AE351" s="20"/>
      <c r="AF351" s="27"/>
      <c r="AG351" s="21" t="n">
        <f aca="false">IF(OR(AE351="",AE351=0),0,AE351*IF(U351="",0,IF(U351&gt;1,U351/100,U351)))</f>
        <v>0</v>
      </c>
      <c r="AH351" s="21" t="n">
        <f aca="false">IF(OR(AE351="",AE351=0),0,AE351*IF(X351="",0,IF(X351&gt;1,X351/100,X351)))</f>
        <v>0</v>
      </c>
      <c r="AI351" s="21" t="n">
        <f aca="false">IF(OR(AE351="",AE351=0),0,AE351*IF(AA351="",0,IF(AA351&gt;1,AA351/100,AA351)))</f>
        <v>0</v>
      </c>
      <c r="AJ351" s="21" t="n">
        <f aca="false">AG351+AH351+AI351</f>
        <v>0</v>
      </c>
      <c r="AK351" s="21" t="n">
        <f aca="false">IF(OR(AE351="",AE351=0),0,AE351-AJ351)</f>
        <v>0</v>
      </c>
      <c r="AL351" s="19" t="str">
        <f aca="false">IF(AD351="","",AD351-AK351)</f>
        <v/>
      </c>
      <c r="AM351" s="26" t="str">
        <f aca="false">IF(C351="","","Waiting for payment")</f>
        <v/>
      </c>
      <c r="AN351" s="27"/>
      <c r="AO351" s="27"/>
      <c r="AP351" s="35" t="str">
        <f aca="false">IF(OR(C351="",I351="",K351=""),"",IF(K351="Monthly",EDATE(C351,ROUND(I351*SETTINGS!$I$8,0)),WORKDAY(C351,ROUND(I351*SETTINGS!$I$8,0))))</f>
        <v/>
      </c>
      <c r="AQ351" s="26" t="str">
        <f aca="true">IF(C351="","",IF(AND(AP351&lt;&gt;"",TODAY()&gt;=AP351),"Refi Ready",IF(TODAY()-C351&gt;=SETTINGS!$I$11,"Prospecting","Performing")))</f>
        <v/>
      </c>
      <c r="AR351" s="35" t="str">
        <f aca="false">IF(OR(C351="",I351="",K351=""),"",IF(K351="Monthly",EDATE(C351,I351),WORKDAY(C351,I351)))</f>
        <v/>
      </c>
      <c r="AS351" s="28"/>
      <c r="AT351" s="36" t="str">
        <f aca="true">IF(C351="","",IF(AM351="Clawed Back","CLAWED",IF(TODAY()&lt;=C351+SETTINGS!$I$2,"⚠ AT RISK","SAFE")))</f>
        <v/>
      </c>
      <c r="AU351" s="28"/>
      <c r="AW351" s="24" t="n">
        <f aca="false">AW350+IF(AND(C351&lt;&gt;"",AO351&lt;&gt;"",OR('REP COMMISSION'!$B$3="",T351='REP COMMISSION'!$B$3,W351='REP COMMISSION'!$B$3,Z351='REP COMMISSION'!$B$3)),1,0)</f>
        <v>0</v>
      </c>
      <c r="AX351" s="24" t="n">
        <f aca="false">AX350+IF(AND(C351&lt;&gt;"",OR(F351="LOC - INITIAL",F351="CONSOLIDATION - UPFRONT COMM",F351="REVERSE - TOTAL FUNDING")),1,0)</f>
        <v>0</v>
      </c>
    </row>
    <row r="352" customFormat="false" ht="15" hidden="false" customHeight="false" outlineLevel="0" collapsed="false">
      <c r="A352" s="8" t="str">
        <f aca="false">IF(C352&lt;&gt;"","F27-"&amp;COUNT($C$4:C352),"")</f>
        <v/>
      </c>
      <c r="B352" s="9" t="str">
        <f aca="false">IF(OR(F352="LOC - INITIAL",F352="CONSOLIDATION - UPFRONT COMM",F352="REVERSE - TOTAL FUNDING"),A352,"")</f>
        <v/>
      </c>
      <c r="C352" s="10"/>
      <c r="D352" s="11"/>
      <c r="E352" s="11"/>
      <c r="F352" s="11"/>
      <c r="G352" s="12"/>
      <c r="H352" s="13"/>
      <c r="I352" s="11"/>
      <c r="J352" s="14" t="str">
        <f aca="false">IF(AND(G352&lt;&gt;"",H352&lt;&gt;""),G352*H352,"")</f>
        <v/>
      </c>
      <c r="K352" s="11"/>
      <c r="L352" s="15"/>
      <c r="M352" s="15"/>
      <c r="N352" s="14" t="n">
        <f aca="false">IF(OR(G352="",M352=""),0,IF(M352&gt;100,M352,G352*IF(M352&gt;1,M352/100,M352)))</f>
        <v>0</v>
      </c>
      <c r="O352" s="14" t="str">
        <f aca="false">IF(G352="","",G352*IF(L352="",0,IF(L352&gt;1,L352/100,L352))+N352)</f>
        <v/>
      </c>
      <c r="P352" s="11"/>
      <c r="Q352" s="16" t="str">
        <f aca="false">IF(P352="","",IFERROR(VLOOKUP(P352,PARTNERS!$A$2:$B$30,2,0),""))</f>
        <v/>
      </c>
      <c r="R352" s="17" t="str">
        <f aca="false">IF(O352="","",IF(OR(P352="",Q352=""),0,(O352-N352)*IF(Q352&gt;1,Q352/100,Q352)))</f>
        <v/>
      </c>
      <c r="S352" s="14" t="str">
        <f aca="false">IF(O352="","",O352-R352)</f>
        <v/>
      </c>
      <c r="T352" s="11"/>
      <c r="U352" s="18" t="str">
        <f aca="false">IF(T352="","",IFERROR(VLOOKUP(T352,REPS!$A$2:$D$40,2,0),""))</f>
        <v/>
      </c>
      <c r="V352" s="14" t="str">
        <f aca="false">IF(O352="","",IF(U352="",0,O352*IF(U352&gt;1,U352/100,U352)))</f>
        <v/>
      </c>
      <c r="W352" s="11"/>
      <c r="X352" s="18" t="str">
        <f aca="false">IF(W352="","",IFERROR(VLOOKUP(W352,REPS!$A$2:$D$40,3,0),""))</f>
        <v/>
      </c>
      <c r="Y352" s="14" t="str">
        <f aca="false">IF(O352="","",IF(X352="",0,O352*IF(X352&gt;1,X352/100,X352)))</f>
        <v/>
      </c>
      <c r="Z352" s="11"/>
      <c r="AA352" s="18" t="str">
        <f aca="false">IF(Z352="","",IFERROR(VLOOKUP(Z352,REPS!$A$2:$D$40,4,0),""))</f>
        <v/>
      </c>
      <c r="AB352" s="14" t="str">
        <f aca="false">IF(O352="","",IF(AA352="",0,O352*IF(AA352&gt;1,AA352/100,AA352)))</f>
        <v/>
      </c>
      <c r="AC352" s="14" t="str">
        <f aca="false">IF(O352="","",V352+Y352+AB352)</f>
        <v/>
      </c>
      <c r="AD352" s="19" t="str">
        <f aca="false">IF(O352="","",O352-R352-AC352)</f>
        <v/>
      </c>
      <c r="AE352" s="20"/>
      <c r="AF352" s="10"/>
      <c r="AG352" s="21" t="n">
        <f aca="false">IF(OR(AE352="",AE352=0),0,AE352*IF(U352="",0,IF(U352&gt;1,U352/100,U352)))</f>
        <v>0</v>
      </c>
      <c r="AH352" s="21" t="n">
        <f aca="false">IF(OR(AE352="",AE352=0),0,AE352*IF(X352="",0,IF(X352&gt;1,X352/100,X352)))</f>
        <v>0</v>
      </c>
      <c r="AI352" s="21" t="n">
        <f aca="false">IF(OR(AE352="",AE352=0),0,AE352*IF(AA352="",0,IF(AA352&gt;1,AA352/100,AA352)))</f>
        <v>0</v>
      </c>
      <c r="AJ352" s="21" t="n">
        <f aca="false">AG352+AH352+AI352</f>
        <v>0</v>
      </c>
      <c r="AK352" s="21" t="n">
        <f aca="false">IF(OR(AE352="",AE352=0),0,AE352-AJ352)</f>
        <v>0</v>
      </c>
      <c r="AL352" s="19" t="str">
        <f aca="false">IF(AD352="","",AD352-AK352)</f>
        <v/>
      </c>
      <c r="AM352" s="9" t="str">
        <f aca="false">IF(C352="","","Waiting for payment")</f>
        <v/>
      </c>
      <c r="AN352" s="10"/>
      <c r="AO352" s="10"/>
      <c r="AP352" s="22" t="str">
        <f aca="false">IF(OR(C352="",I352="",K352=""),"",IF(K352="Monthly",EDATE(C352,ROUND(I352*SETTINGS!$I$8,0)),WORKDAY(C352,ROUND(I352*SETTINGS!$I$8,0))))</f>
        <v/>
      </c>
      <c r="AQ352" s="9" t="str">
        <f aca="true">IF(C352="","",IF(AND(AP352&lt;&gt;"",TODAY()&gt;=AP352),"Refi Ready",IF(TODAY()-C352&gt;=SETTINGS!$I$11,"Prospecting","Performing")))</f>
        <v/>
      </c>
      <c r="AR352" s="22" t="str">
        <f aca="false">IF(OR(C352="",I352="",K352=""),"",IF(K352="Monthly",EDATE(C352,I352),WORKDAY(C352,I352)))</f>
        <v/>
      </c>
      <c r="AS352" s="11"/>
      <c r="AT352" s="23" t="str">
        <f aca="true">IF(C352="","",IF(AM352="Clawed Back","CLAWED",IF(TODAY()&lt;=C352+SETTINGS!$I$2,"⚠ AT RISK","SAFE")))</f>
        <v/>
      </c>
      <c r="AU352" s="11"/>
      <c r="AW352" s="24" t="n">
        <f aca="false">AW351+IF(AND(C352&lt;&gt;"",AO352&lt;&gt;"",OR('REP COMMISSION'!$B$3="",T352='REP COMMISSION'!$B$3,W352='REP COMMISSION'!$B$3,Z352='REP COMMISSION'!$B$3)),1,0)</f>
        <v>0</v>
      </c>
      <c r="AX352" s="24" t="n">
        <f aca="false">AX351+IF(AND(C352&lt;&gt;"",OR(F352="LOC - INITIAL",F352="CONSOLIDATION - UPFRONT COMM",F352="REVERSE - TOTAL FUNDING")),1,0)</f>
        <v>0</v>
      </c>
    </row>
    <row r="353" customFormat="false" ht="15" hidden="false" customHeight="false" outlineLevel="0" collapsed="false">
      <c r="A353" s="25" t="str">
        <f aca="false">IF(C353&lt;&gt;"","F27-"&amp;COUNT($C$4:C353),"")</f>
        <v/>
      </c>
      <c r="B353" s="26" t="str">
        <f aca="false">IF(OR(F353="LOC - INITIAL",F353="CONSOLIDATION - UPFRONT COMM",F353="REVERSE - TOTAL FUNDING"),A353,"")</f>
        <v/>
      </c>
      <c r="C353" s="27"/>
      <c r="D353" s="28"/>
      <c r="E353" s="28"/>
      <c r="F353" s="28"/>
      <c r="G353" s="29"/>
      <c r="H353" s="30"/>
      <c r="I353" s="28"/>
      <c r="J353" s="31" t="str">
        <f aca="false">IF(AND(G353&lt;&gt;"",H353&lt;&gt;""),G353*H353,"")</f>
        <v/>
      </c>
      <c r="K353" s="28"/>
      <c r="L353" s="32"/>
      <c r="M353" s="32"/>
      <c r="N353" s="31" t="n">
        <f aca="false">IF(OR(G353="",M353=""),0,IF(M353&gt;100,M353,G353*IF(M353&gt;1,M353/100,M353)))</f>
        <v>0</v>
      </c>
      <c r="O353" s="31" t="str">
        <f aca="false">IF(G353="","",G353*IF(L353="",0,IF(L353&gt;1,L353/100,L353))+N353)</f>
        <v/>
      </c>
      <c r="P353" s="28"/>
      <c r="Q353" s="33" t="str">
        <f aca="false">IF(P353="","",IFERROR(VLOOKUP(P353,PARTNERS!$A$2:$B$30,2,0),""))</f>
        <v/>
      </c>
      <c r="R353" s="17" t="str">
        <f aca="false">IF(O353="","",IF(OR(P353="",Q353=""),0,(O353-N353)*IF(Q353&gt;1,Q353/100,Q353)))</f>
        <v/>
      </c>
      <c r="S353" s="31" t="str">
        <f aca="false">IF(O353="","",O353-R353)</f>
        <v/>
      </c>
      <c r="T353" s="28"/>
      <c r="U353" s="34" t="str">
        <f aca="false">IF(T353="","",IFERROR(VLOOKUP(T353,REPS!$A$2:$D$40,2,0),""))</f>
        <v/>
      </c>
      <c r="V353" s="31" t="str">
        <f aca="false">IF(O353="","",IF(U353="",0,O353*IF(U353&gt;1,U353/100,U353)))</f>
        <v/>
      </c>
      <c r="W353" s="28"/>
      <c r="X353" s="34" t="str">
        <f aca="false">IF(W353="","",IFERROR(VLOOKUP(W353,REPS!$A$2:$D$40,3,0),""))</f>
        <v/>
      </c>
      <c r="Y353" s="31" t="str">
        <f aca="false">IF(O353="","",IF(X353="",0,O353*IF(X353&gt;1,X353/100,X353)))</f>
        <v/>
      </c>
      <c r="Z353" s="28"/>
      <c r="AA353" s="34" t="str">
        <f aca="false">IF(Z353="","",IFERROR(VLOOKUP(Z353,REPS!$A$2:$D$40,4,0),""))</f>
        <v/>
      </c>
      <c r="AB353" s="31" t="str">
        <f aca="false">IF(O353="","",IF(AA353="",0,O353*IF(AA353&gt;1,AA353/100,AA353)))</f>
        <v/>
      </c>
      <c r="AC353" s="31" t="str">
        <f aca="false">IF(O353="","",V353+Y353+AB353)</f>
        <v/>
      </c>
      <c r="AD353" s="19" t="str">
        <f aca="false">IF(O353="","",O353-R353-AC353)</f>
        <v/>
      </c>
      <c r="AE353" s="20"/>
      <c r="AF353" s="27"/>
      <c r="AG353" s="21" t="n">
        <f aca="false">IF(OR(AE353="",AE353=0),0,AE353*IF(U353="",0,IF(U353&gt;1,U353/100,U353)))</f>
        <v>0</v>
      </c>
      <c r="AH353" s="21" t="n">
        <f aca="false">IF(OR(AE353="",AE353=0),0,AE353*IF(X353="",0,IF(X353&gt;1,X353/100,X353)))</f>
        <v>0</v>
      </c>
      <c r="AI353" s="21" t="n">
        <f aca="false">IF(OR(AE353="",AE353=0),0,AE353*IF(AA353="",0,IF(AA353&gt;1,AA353/100,AA353)))</f>
        <v>0</v>
      </c>
      <c r="AJ353" s="21" t="n">
        <f aca="false">AG353+AH353+AI353</f>
        <v>0</v>
      </c>
      <c r="AK353" s="21" t="n">
        <f aca="false">IF(OR(AE353="",AE353=0),0,AE353-AJ353)</f>
        <v>0</v>
      </c>
      <c r="AL353" s="19" t="str">
        <f aca="false">IF(AD353="","",AD353-AK353)</f>
        <v/>
      </c>
      <c r="AM353" s="26" t="str">
        <f aca="false">IF(C353="","","Waiting for payment")</f>
        <v/>
      </c>
      <c r="AN353" s="27"/>
      <c r="AO353" s="27"/>
      <c r="AP353" s="35" t="str">
        <f aca="false">IF(OR(C353="",I353="",K353=""),"",IF(K353="Monthly",EDATE(C353,ROUND(I353*SETTINGS!$I$8,0)),WORKDAY(C353,ROUND(I353*SETTINGS!$I$8,0))))</f>
        <v/>
      </c>
      <c r="AQ353" s="26" t="str">
        <f aca="true">IF(C353="","",IF(AND(AP353&lt;&gt;"",TODAY()&gt;=AP353),"Refi Ready",IF(TODAY()-C353&gt;=SETTINGS!$I$11,"Prospecting","Performing")))</f>
        <v/>
      </c>
      <c r="AR353" s="35" t="str">
        <f aca="false">IF(OR(C353="",I353="",K353=""),"",IF(K353="Monthly",EDATE(C353,I353),WORKDAY(C353,I353)))</f>
        <v/>
      </c>
      <c r="AS353" s="28"/>
      <c r="AT353" s="36" t="str">
        <f aca="true">IF(C353="","",IF(AM353="Clawed Back","CLAWED",IF(TODAY()&lt;=C353+SETTINGS!$I$2,"⚠ AT RISK","SAFE")))</f>
        <v/>
      </c>
      <c r="AU353" s="28"/>
      <c r="AW353" s="24" t="n">
        <f aca="false">AW352+IF(AND(C353&lt;&gt;"",AO353&lt;&gt;"",OR('REP COMMISSION'!$B$3="",T353='REP COMMISSION'!$B$3,W353='REP COMMISSION'!$B$3,Z353='REP COMMISSION'!$B$3)),1,0)</f>
        <v>0</v>
      </c>
      <c r="AX353" s="24" t="n">
        <f aca="false">AX352+IF(AND(C353&lt;&gt;"",OR(F353="LOC - INITIAL",F353="CONSOLIDATION - UPFRONT COMM",F353="REVERSE - TOTAL FUNDING")),1,0)</f>
        <v>0</v>
      </c>
    </row>
    <row r="354" customFormat="false" ht="15" hidden="false" customHeight="false" outlineLevel="0" collapsed="false">
      <c r="A354" s="8" t="str">
        <f aca="false">IF(C354&lt;&gt;"","F27-"&amp;COUNT($C$4:C354),"")</f>
        <v/>
      </c>
      <c r="B354" s="9" t="str">
        <f aca="false">IF(OR(F354="LOC - INITIAL",F354="CONSOLIDATION - UPFRONT COMM",F354="REVERSE - TOTAL FUNDING"),A354,"")</f>
        <v/>
      </c>
      <c r="C354" s="10"/>
      <c r="D354" s="11"/>
      <c r="E354" s="11"/>
      <c r="F354" s="11"/>
      <c r="G354" s="12"/>
      <c r="H354" s="13"/>
      <c r="I354" s="11"/>
      <c r="J354" s="14" t="str">
        <f aca="false">IF(AND(G354&lt;&gt;"",H354&lt;&gt;""),G354*H354,"")</f>
        <v/>
      </c>
      <c r="K354" s="11"/>
      <c r="L354" s="15"/>
      <c r="M354" s="15"/>
      <c r="N354" s="14" t="n">
        <f aca="false">IF(OR(G354="",M354=""),0,IF(M354&gt;100,M354,G354*IF(M354&gt;1,M354/100,M354)))</f>
        <v>0</v>
      </c>
      <c r="O354" s="14" t="str">
        <f aca="false">IF(G354="","",G354*IF(L354="",0,IF(L354&gt;1,L354/100,L354))+N354)</f>
        <v/>
      </c>
      <c r="P354" s="11"/>
      <c r="Q354" s="16" t="str">
        <f aca="false">IF(P354="","",IFERROR(VLOOKUP(P354,PARTNERS!$A$2:$B$30,2,0),""))</f>
        <v/>
      </c>
      <c r="R354" s="17" t="str">
        <f aca="false">IF(O354="","",IF(OR(P354="",Q354=""),0,(O354-N354)*IF(Q354&gt;1,Q354/100,Q354)))</f>
        <v/>
      </c>
      <c r="S354" s="14" t="str">
        <f aca="false">IF(O354="","",O354-R354)</f>
        <v/>
      </c>
      <c r="T354" s="11"/>
      <c r="U354" s="18" t="str">
        <f aca="false">IF(T354="","",IFERROR(VLOOKUP(T354,REPS!$A$2:$D$40,2,0),""))</f>
        <v/>
      </c>
      <c r="V354" s="14" t="str">
        <f aca="false">IF(O354="","",IF(U354="",0,O354*IF(U354&gt;1,U354/100,U354)))</f>
        <v/>
      </c>
      <c r="W354" s="11"/>
      <c r="X354" s="18" t="str">
        <f aca="false">IF(W354="","",IFERROR(VLOOKUP(W354,REPS!$A$2:$D$40,3,0),""))</f>
        <v/>
      </c>
      <c r="Y354" s="14" t="str">
        <f aca="false">IF(O354="","",IF(X354="",0,O354*IF(X354&gt;1,X354/100,X354)))</f>
        <v/>
      </c>
      <c r="Z354" s="11"/>
      <c r="AA354" s="18" t="str">
        <f aca="false">IF(Z354="","",IFERROR(VLOOKUP(Z354,REPS!$A$2:$D$40,4,0),""))</f>
        <v/>
      </c>
      <c r="AB354" s="14" t="str">
        <f aca="false">IF(O354="","",IF(AA354="",0,O354*IF(AA354&gt;1,AA354/100,AA354)))</f>
        <v/>
      </c>
      <c r="AC354" s="14" t="str">
        <f aca="false">IF(O354="","",V354+Y354+AB354)</f>
        <v/>
      </c>
      <c r="AD354" s="19" t="str">
        <f aca="false">IF(O354="","",O354-R354-AC354)</f>
        <v/>
      </c>
      <c r="AE354" s="20"/>
      <c r="AF354" s="10"/>
      <c r="AG354" s="21" t="n">
        <f aca="false">IF(OR(AE354="",AE354=0),0,AE354*IF(U354="",0,IF(U354&gt;1,U354/100,U354)))</f>
        <v>0</v>
      </c>
      <c r="AH354" s="21" t="n">
        <f aca="false">IF(OR(AE354="",AE354=0),0,AE354*IF(X354="",0,IF(X354&gt;1,X354/100,X354)))</f>
        <v>0</v>
      </c>
      <c r="AI354" s="21" t="n">
        <f aca="false">IF(OR(AE354="",AE354=0),0,AE354*IF(AA354="",0,IF(AA354&gt;1,AA354/100,AA354)))</f>
        <v>0</v>
      </c>
      <c r="AJ354" s="21" t="n">
        <f aca="false">AG354+AH354+AI354</f>
        <v>0</v>
      </c>
      <c r="AK354" s="21" t="n">
        <f aca="false">IF(OR(AE354="",AE354=0),0,AE354-AJ354)</f>
        <v>0</v>
      </c>
      <c r="AL354" s="19" t="str">
        <f aca="false">IF(AD354="","",AD354-AK354)</f>
        <v/>
      </c>
      <c r="AM354" s="9" t="str">
        <f aca="false">IF(C354="","","Waiting for payment")</f>
        <v/>
      </c>
      <c r="AN354" s="10"/>
      <c r="AO354" s="10"/>
      <c r="AP354" s="22" t="str">
        <f aca="false">IF(OR(C354="",I354="",K354=""),"",IF(K354="Monthly",EDATE(C354,ROUND(I354*SETTINGS!$I$8,0)),WORKDAY(C354,ROUND(I354*SETTINGS!$I$8,0))))</f>
        <v/>
      </c>
      <c r="AQ354" s="9" t="str">
        <f aca="true">IF(C354="","",IF(AND(AP354&lt;&gt;"",TODAY()&gt;=AP354),"Refi Ready",IF(TODAY()-C354&gt;=SETTINGS!$I$11,"Prospecting","Performing")))</f>
        <v/>
      </c>
      <c r="AR354" s="22" t="str">
        <f aca="false">IF(OR(C354="",I354="",K354=""),"",IF(K354="Monthly",EDATE(C354,I354),WORKDAY(C354,I354)))</f>
        <v/>
      </c>
      <c r="AS354" s="11"/>
      <c r="AT354" s="23" t="str">
        <f aca="true">IF(C354="","",IF(AM354="Clawed Back","CLAWED",IF(TODAY()&lt;=C354+SETTINGS!$I$2,"⚠ AT RISK","SAFE")))</f>
        <v/>
      </c>
      <c r="AU354" s="11"/>
      <c r="AW354" s="24" t="n">
        <f aca="false">AW353+IF(AND(C354&lt;&gt;"",AO354&lt;&gt;"",OR('REP COMMISSION'!$B$3="",T354='REP COMMISSION'!$B$3,W354='REP COMMISSION'!$B$3,Z354='REP COMMISSION'!$B$3)),1,0)</f>
        <v>0</v>
      </c>
      <c r="AX354" s="24" t="n">
        <f aca="false">AX353+IF(AND(C354&lt;&gt;"",OR(F354="LOC - INITIAL",F354="CONSOLIDATION - UPFRONT COMM",F354="REVERSE - TOTAL FUNDING")),1,0)</f>
        <v>0</v>
      </c>
    </row>
    <row r="355" customFormat="false" ht="15" hidden="false" customHeight="false" outlineLevel="0" collapsed="false">
      <c r="A355" s="25" t="str">
        <f aca="false">IF(C355&lt;&gt;"","F27-"&amp;COUNT($C$4:C355),"")</f>
        <v/>
      </c>
      <c r="B355" s="26" t="str">
        <f aca="false">IF(OR(F355="LOC - INITIAL",F355="CONSOLIDATION - UPFRONT COMM",F355="REVERSE - TOTAL FUNDING"),A355,"")</f>
        <v/>
      </c>
      <c r="C355" s="27"/>
      <c r="D355" s="28"/>
      <c r="E355" s="28"/>
      <c r="F355" s="28"/>
      <c r="G355" s="29"/>
      <c r="H355" s="30"/>
      <c r="I355" s="28"/>
      <c r="J355" s="31" t="str">
        <f aca="false">IF(AND(G355&lt;&gt;"",H355&lt;&gt;""),G355*H355,"")</f>
        <v/>
      </c>
      <c r="K355" s="28"/>
      <c r="L355" s="32"/>
      <c r="M355" s="32"/>
      <c r="N355" s="31" t="n">
        <f aca="false">IF(OR(G355="",M355=""),0,IF(M355&gt;100,M355,G355*IF(M355&gt;1,M355/100,M355)))</f>
        <v>0</v>
      </c>
      <c r="O355" s="31" t="str">
        <f aca="false">IF(G355="","",G355*IF(L355="",0,IF(L355&gt;1,L355/100,L355))+N355)</f>
        <v/>
      </c>
      <c r="P355" s="28"/>
      <c r="Q355" s="33" t="str">
        <f aca="false">IF(P355="","",IFERROR(VLOOKUP(P355,PARTNERS!$A$2:$B$30,2,0),""))</f>
        <v/>
      </c>
      <c r="R355" s="17" t="str">
        <f aca="false">IF(O355="","",IF(OR(P355="",Q355=""),0,(O355-N355)*IF(Q355&gt;1,Q355/100,Q355)))</f>
        <v/>
      </c>
      <c r="S355" s="31" t="str">
        <f aca="false">IF(O355="","",O355-R355)</f>
        <v/>
      </c>
      <c r="T355" s="28"/>
      <c r="U355" s="34" t="str">
        <f aca="false">IF(T355="","",IFERROR(VLOOKUP(T355,REPS!$A$2:$D$40,2,0),""))</f>
        <v/>
      </c>
      <c r="V355" s="31" t="str">
        <f aca="false">IF(O355="","",IF(U355="",0,O355*IF(U355&gt;1,U355/100,U355)))</f>
        <v/>
      </c>
      <c r="W355" s="28"/>
      <c r="X355" s="34" t="str">
        <f aca="false">IF(W355="","",IFERROR(VLOOKUP(W355,REPS!$A$2:$D$40,3,0),""))</f>
        <v/>
      </c>
      <c r="Y355" s="31" t="str">
        <f aca="false">IF(O355="","",IF(X355="",0,O355*IF(X355&gt;1,X355/100,X355)))</f>
        <v/>
      </c>
      <c r="Z355" s="28"/>
      <c r="AA355" s="34" t="str">
        <f aca="false">IF(Z355="","",IFERROR(VLOOKUP(Z355,REPS!$A$2:$D$40,4,0),""))</f>
        <v/>
      </c>
      <c r="AB355" s="31" t="str">
        <f aca="false">IF(O355="","",IF(AA355="",0,O355*IF(AA355&gt;1,AA355/100,AA355)))</f>
        <v/>
      </c>
      <c r="AC355" s="31" t="str">
        <f aca="false">IF(O355="","",V355+Y355+AB355)</f>
        <v/>
      </c>
      <c r="AD355" s="19" t="str">
        <f aca="false">IF(O355="","",O355-R355-AC355)</f>
        <v/>
      </c>
      <c r="AE355" s="20"/>
      <c r="AF355" s="27"/>
      <c r="AG355" s="21" t="n">
        <f aca="false">IF(OR(AE355="",AE355=0),0,AE355*IF(U355="",0,IF(U355&gt;1,U355/100,U355)))</f>
        <v>0</v>
      </c>
      <c r="AH355" s="21" t="n">
        <f aca="false">IF(OR(AE355="",AE355=0),0,AE355*IF(X355="",0,IF(X355&gt;1,X355/100,X355)))</f>
        <v>0</v>
      </c>
      <c r="AI355" s="21" t="n">
        <f aca="false">IF(OR(AE355="",AE355=0),0,AE355*IF(AA355="",0,IF(AA355&gt;1,AA355/100,AA355)))</f>
        <v>0</v>
      </c>
      <c r="AJ355" s="21" t="n">
        <f aca="false">AG355+AH355+AI355</f>
        <v>0</v>
      </c>
      <c r="AK355" s="21" t="n">
        <f aca="false">IF(OR(AE355="",AE355=0),0,AE355-AJ355)</f>
        <v>0</v>
      </c>
      <c r="AL355" s="19" t="str">
        <f aca="false">IF(AD355="","",AD355-AK355)</f>
        <v/>
      </c>
      <c r="AM355" s="26" t="str">
        <f aca="false">IF(C355="","","Waiting for payment")</f>
        <v/>
      </c>
      <c r="AN355" s="27"/>
      <c r="AO355" s="27"/>
      <c r="AP355" s="35" t="str">
        <f aca="false">IF(OR(C355="",I355="",K355=""),"",IF(K355="Monthly",EDATE(C355,ROUND(I355*SETTINGS!$I$8,0)),WORKDAY(C355,ROUND(I355*SETTINGS!$I$8,0))))</f>
        <v/>
      </c>
      <c r="AQ355" s="26" t="str">
        <f aca="true">IF(C355="","",IF(AND(AP355&lt;&gt;"",TODAY()&gt;=AP355),"Refi Ready",IF(TODAY()-C355&gt;=SETTINGS!$I$11,"Prospecting","Performing")))</f>
        <v/>
      </c>
      <c r="AR355" s="35" t="str">
        <f aca="false">IF(OR(C355="",I355="",K355=""),"",IF(K355="Monthly",EDATE(C355,I355),WORKDAY(C355,I355)))</f>
        <v/>
      </c>
      <c r="AS355" s="28"/>
      <c r="AT355" s="36" t="str">
        <f aca="true">IF(C355="","",IF(AM355="Clawed Back","CLAWED",IF(TODAY()&lt;=C355+SETTINGS!$I$2,"⚠ AT RISK","SAFE")))</f>
        <v/>
      </c>
      <c r="AU355" s="28"/>
      <c r="AW355" s="24" t="n">
        <f aca="false">AW354+IF(AND(C355&lt;&gt;"",AO355&lt;&gt;"",OR('REP COMMISSION'!$B$3="",T355='REP COMMISSION'!$B$3,W355='REP COMMISSION'!$B$3,Z355='REP COMMISSION'!$B$3)),1,0)</f>
        <v>0</v>
      </c>
      <c r="AX355" s="24" t="n">
        <f aca="false">AX354+IF(AND(C355&lt;&gt;"",OR(F355="LOC - INITIAL",F355="CONSOLIDATION - UPFRONT COMM",F355="REVERSE - TOTAL FUNDING")),1,0)</f>
        <v>0</v>
      </c>
    </row>
    <row r="356" customFormat="false" ht="15" hidden="false" customHeight="false" outlineLevel="0" collapsed="false">
      <c r="A356" s="8" t="str">
        <f aca="false">IF(C356&lt;&gt;"","F27-"&amp;COUNT($C$4:C356),"")</f>
        <v/>
      </c>
      <c r="B356" s="9" t="str">
        <f aca="false">IF(OR(F356="LOC - INITIAL",F356="CONSOLIDATION - UPFRONT COMM",F356="REVERSE - TOTAL FUNDING"),A356,"")</f>
        <v/>
      </c>
      <c r="C356" s="10"/>
      <c r="D356" s="11"/>
      <c r="E356" s="11"/>
      <c r="F356" s="11"/>
      <c r="G356" s="12"/>
      <c r="H356" s="13"/>
      <c r="I356" s="11"/>
      <c r="J356" s="14" t="str">
        <f aca="false">IF(AND(G356&lt;&gt;"",H356&lt;&gt;""),G356*H356,"")</f>
        <v/>
      </c>
      <c r="K356" s="11"/>
      <c r="L356" s="15"/>
      <c r="M356" s="15"/>
      <c r="N356" s="14" t="n">
        <f aca="false">IF(OR(G356="",M356=""),0,IF(M356&gt;100,M356,G356*IF(M356&gt;1,M356/100,M356)))</f>
        <v>0</v>
      </c>
      <c r="O356" s="14" t="str">
        <f aca="false">IF(G356="","",G356*IF(L356="",0,IF(L356&gt;1,L356/100,L356))+N356)</f>
        <v/>
      </c>
      <c r="P356" s="11"/>
      <c r="Q356" s="16" t="str">
        <f aca="false">IF(P356="","",IFERROR(VLOOKUP(P356,PARTNERS!$A$2:$B$30,2,0),""))</f>
        <v/>
      </c>
      <c r="R356" s="17" t="str">
        <f aca="false">IF(O356="","",IF(OR(P356="",Q356=""),0,(O356-N356)*IF(Q356&gt;1,Q356/100,Q356)))</f>
        <v/>
      </c>
      <c r="S356" s="14" t="str">
        <f aca="false">IF(O356="","",O356-R356)</f>
        <v/>
      </c>
      <c r="T356" s="11"/>
      <c r="U356" s="18" t="str">
        <f aca="false">IF(T356="","",IFERROR(VLOOKUP(T356,REPS!$A$2:$D$40,2,0),""))</f>
        <v/>
      </c>
      <c r="V356" s="14" t="str">
        <f aca="false">IF(O356="","",IF(U356="",0,O356*IF(U356&gt;1,U356/100,U356)))</f>
        <v/>
      </c>
      <c r="W356" s="11"/>
      <c r="X356" s="18" t="str">
        <f aca="false">IF(W356="","",IFERROR(VLOOKUP(W356,REPS!$A$2:$D$40,3,0),""))</f>
        <v/>
      </c>
      <c r="Y356" s="14" t="str">
        <f aca="false">IF(O356="","",IF(X356="",0,O356*IF(X356&gt;1,X356/100,X356)))</f>
        <v/>
      </c>
      <c r="Z356" s="11"/>
      <c r="AA356" s="18" t="str">
        <f aca="false">IF(Z356="","",IFERROR(VLOOKUP(Z356,REPS!$A$2:$D$40,4,0),""))</f>
        <v/>
      </c>
      <c r="AB356" s="14" t="str">
        <f aca="false">IF(O356="","",IF(AA356="",0,O356*IF(AA356&gt;1,AA356/100,AA356)))</f>
        <v/>
      </c>
      <c r="AC356" s="14" t="str">
        <f aca="false">IF(O356="","",V356+Y356+AB356)</f>
        <v/>
      </c>
      <c r="AD356" s="19" t="str">
        <f aca="false">IF(O356="","",O356-R356-AC356)</f>
        <v/>
      </c>
      <c r="AE356" s="20"/>
      <c r="AF356" s="10"/>
      <c r="AG356" s="21" t="n">
        <f aca="false">IF(OR(AE356="",AE356=0),0,AE356*IF(U356="",0,IF(U356&gt;1,U356/100,U356)))</f>
        <v>0</v>
      </c>
      <c r="AH356" s="21" t="n">
        <f aca="false">IF(OR(AE356="",AE356=0),0,AE356*IF(X356="",0,IF(X356&gt;1,X356/100,X356)))</f>
        <v>0</v>
      </c>
      <c r="AI356" s="21" t="n">
        <f aca="false">IF(OR(AE356="",AE356=0),0,AE356*IF(AA356="",0,IF(AA356&gt;1,AA356/100,AA356)))</f>
        <v>0</v>
      </c>
      <c r="AJ356" s="21" t="n">
        <f aca="false">AG356+AH356+AI356</f>
        <v>0</v>
      </c>
      <c r="AK356" s="21" t="n">
        <f aca="false">IF(OR(AE356="",AE356=0),0,AE356-AJ356)</f>
        <v>0</v>
      </c>
      <c r="AL356" s="19" t="str">
        <f aca="false">IF(AD356="","",AD356-AK356)</f>
        <v/>
      </c>
      <c r="AM356" s="9" t="str">
        <f aca="false">IF(C356="","","Waiting for payment")</f>
        <v/>
      </c>
      <c r="AN356" s="10"/>
      <c r="AO356" s="10"/>
      <c r="AP356" s="22" t="str">
        <f aca="false">IF(OR(C356="",I356="",K356=""),"",IF(K356="Monthly",EDATE(C356,ROUND(I356*SETTINGS!$I$8,0)),WORKDAY(C356,ROUND(I356*SETTINGS!$I$8,0))))</f>
        <v/>
      </c>
      <c r="AQ356" s="9" t="str">
        <f aca="true">IF(C356="","",IF(AND(AP356&lt;&gt;"",TODAY()&gt;=AP356),"Refi Ready",IF(TODAY()-C356&gt;=SETTINGS!$I$11,"Prospecting","Performing")))</f>
        <v/>
      </c>
      <c r="AR356" s="22" t="str">
        <f aca="false">IF(OR(C356="",I356="",K356=""),"",IF(K356="Monthly",EDATE(C356,I356),WORKDAY(C356,I356)))</f>
        <v/>
      </c>
      <c r="AS356" s="11"/>
      <c r="AT356" s="23" t="str">
        <f aca="true">IF(C356="","",IF(AM356="Clawed Back","CLAWED",IF(TODAY()&lt;=C356+SETTINGS!$I$2,"⚠ AT RISK","SAFE")))</f>
        <v/>
      </c>
      <c r="AU356" s="11"/>
      <c r="AW356" s="24" t="n">
        <f aca="false">AW355+IF(AND(C356&lt;&gt;"",AO356&lt;&gt;"",OR('REP COMMISSION'!$B$3="",T356='REP COMMISSION'!$B$3,W356='REP COMMISSION'!$B$3,Z356='REP COMMISSION'!$B$3)),1,0)</f>
        <v>0</v>
      </c>
      <c r="AX356" s="24" t="n">
        <f aca="false">AX355+IF(AND(C356&lt;&gt;"",OR(F356="LOC - INITIAL",F356="CONSOLIDATION - UPFRONT COMM",F356="REVERSE - TOTAL FUNDING")),1,0)</f>
        <v>0</v>
      </c>
    </row>
    <row r="357" customFormat="false" ht="15" hidden="false" customHeight="false" outlineLevel="0" collapsed="false">
      <c r="A357" s="25" t="str">
        <f aca="false">IF(C357&lt;&gt;"","F27-"&amp;COUNT($C$4:C357),"")</f>
        <v/>
      </c>
      <c r="B357" s="26" t="str">
        <f aca="false">IF(OR(F357="LOC - INITIAL",F357="CONSOLIDATION - UPFRONT COMM",F357="REVERSE - TOTAL FUNDING"),A357,"")</f>
        <v/>
      </c>
      <c r="C357" s="27"/>
      <c r="D357" s="28"/>
      <c r="E357" s="28"/>
      <c r="F357" s="28"/>
      <c r="G357" s="29"/>
      <c r="H357" s="30"/>
      <c r="I357" s="28"/>
      <c r="J357" s="31" t="str">
        <f aca="false">IF(AND(G357&lt;&gt;"",H357&lt;&gt;""),G357*H357,"")</f>
        <v/>
      </c>
      <c r="K357" s="28"/>
      <c r="L357" s="32"/>
      <c r="M357" s="32"/>
      <c r="N357" s="31" t="n">
        <f aca="false">IF(OR(G357="",M357=""),0,IF(M357&gt;100,M357,G357*IF(M357&gt;1,M357/100,M357)))</f>
        <v>0</v>
      </c>
      <c r="O357" s="31" t="str">
        <f aca="false">IF(G357="","",G357*IF(L357="",0,IF(L357&gt;1,L357/100,L357))+N357)</f>
        <v/>
      </c>
      <c r="P357" s="28"/>
      <c r="Q357" s="33" t="str">
        <f aca="false">IF(P357="","",IFERROR(VLOOKUP(P357,PARTNERS!$A$2:$B$30,2,0),""))</f>
        <v/>
      </c>
      <c r="R357" s="17" t="str">
        <f aca="false">IF(O357="","",IF(OR(P357="",Q357=""),0,(O357-N357)*IF(Q357&gt;1,Q357/100,Q357)))</f>
        <v/>
      </c>
      <c r="S357" s="31" t="str">
        <f aca="false">IF(O357="","",O357-R357)</f>
        <v/>
      </c>
      <c r="T357" s="28"/>
      <c r="U357" s="34" t="str">
        <f aca="false">IF(T357="","",IFERROR(VLOOKUP(T357,REPS!$A$2:$D$40,2,0),""))</f>
        <v/>
      </c>
      <c r="V357" s="31" t="str">
        <f aca="false">IF(O357="","",IF(U357="",0,O357*IF(U357&gt;1,U357/100,U357)))</f>
        <v/>
      </c>
      <c r="W357" s="28"/>
      <c r="X357" s="34" t="str">
        <f aca="false">IF(W357="","",IFERROR(VLOOKUP(W357,REPS!$A$2:$D$40,3,0),""))</f>
        <v/>
      </c>
      <c r="Y357" s="31" t="str">
        <f aca="false">IF(O357="","",IF(X357="",0,O357*IF(X357&gt;1,X357/100,X357)))</f>
        <v/>
      </c>
      <c r="Z357" s="28"/>
      <c r="AA357" s="34" t="str">
        <f aca="false">IF(Z357="","",IFERROR(VLOOKUP(Z357,REPS!$A$2:$D$40,4,0),""))</f>
        <v/>
      </c>
      <c r="AB357" s="31" t="str">
        <f aca="false">IF(O357="","",IF(AA357="",0,O357*IF(AA357&gt;1,AA357/100,AA357)))</f>
        <v/>
      </c>
      <c r="AC357" s="31" t="str">
        <f aca="false">IF(O357="","",V357+Y357+AB357)</f>
        <v/>
      </c>
      <c r="AD357" s="19" t="str">
        <f aca="false">IF(O357="","",O357-R357-AC357)</f>
        <v/>
      </c>
      <c r="AE357" s="20"/>
      <c r="AF357" s="27"/>
      <c r="AG357" s="21" t="n">
        <f aca="false">IF(OR(AE357="",AE357=0),0,AE357*IF(U357="",0,IF(U357&gt;1,U357/100,U357)))</f>
        <v>0</v>
      </c>
      <c r="AH357" s="21" t="n">
        <f aca="false">IF(OR(AE357="",AE357=0),0,AE357*IF(X357="",0,IF(X357&gt;1,X357/100,X357)))</f>
        <v>0</v>
      </c>
      <c r="AI357" s="21" t="n">
        <f aca="false">IF(OR(AE357="",AE357=0),0,AE357*IF(AA357="",0,IF(AA357&gt;1,AA357/100,AA357)))</f>
        <v>0</v>
      </c>
      <c r="AJ357" s="21" t="n">
        <f aca="false">AG357+AH357+AI357</f>
        <v>0</v>
      </c>
      <c r="AK357" s="21" t="n">
        <f aca="false">IF(OR(AE357="",AE357=0),0,AE357-AJ357)</f>
        <v>0</v>
      </c>
      <c r="AL357" s="19" t="str">
        <f aca="false">IF(AD357="","",AD357-AK357)</f>
        <v/>
      </c>
      <c r="AM357" s="26" t="str">
        <f aca="false">IF(C357="","","Waiting for payment")</f>
        <v/>
      </c>
      <c r="AN357" s="27"/>
      <c r="AO357" s="27"/>
      <c r="AP357" s="35" t="str">
        <f aca="false">IF(OR(C357="",I357="",K357=""),"",IF(K357="Monthly",EDATE(C357,ROUND(I357*SETTINGS!$I$8,0)),WORKDAY(C357,ROUND(I357*SETTINGS!$I$8,0))))</f>
        <v/>
      </c>
      <c r="AQ357" s="26" t="str">
        <f aca="true">IF(C357="","",IF(AND(AP357&lt;&gt;"",TODAY()&gt;=AP357),"Refi Ready",IF(TODAY()-C357&gt;=SETTINGS!$I$11,"Prospecting","Performing")))</f>
        <v/>
      </c>
      <c r="AR357" s="35" t="str">
        <f aca="false">IF(OR(C357="",I357="",K357=""),"",IF(K357="Monthly",EDATE(C357,I357),WORKDAY(C357,I357)))</f>
        <v/>
      </c>
      <c r="AS357" s="28"/>
      <c r="AT357" s="36" t="str">
        <f aca="true">IF(C357="","",IF(AM357="Clawed Back","CLAWED",IF(TODAY()&lt;=C357+SETTINGS!$I$2,"⚠ AT RISK","SAFE")))</f>
        <v/>
      </c>
      <c r="AU357" s="28"/>
      <c r="AW357" s="24" t="n">
        <f aca="false">AW356+IF(AND(C357&lt;&gt;"",AO357&lt;&gt;"",OR('REP COMMISSION'!$B$3="",T357='REP COMMISSION'!$B$3,W357='REP COMMISSION'!$B$3,Z357='REP COMMISSION'!$B$3)),1,0)</f>
        <v>0</v>
      </c>
      <c r="AX357" s="24" t="n">
        <f aca="false">AX356+IF(AND(C357&lt;&gt;"",OR(F357="LOC - INITIAL",F357="CONSOLIDATION - UPFRONT COMM",F357="REVERSE - TOTAL FUNDING")),1,0)</f>
        <v>0</v>
      </c>
    </row>
    <row r="358" customFormat="false" ht="15" hidden="false" customHeight="false" outlineLevel="0" collapsed="false">
      <c r="A358" s="8" t="str">
        <f aca="false">IF(C358&lt;&gt;"","F27-"&amp;COUNT($C$4:C358),"")</f>
        <v/>
      </c>
      <c r="B358" s="9" t="str">
        <f aca="false">IF(OR(F358="LOC - INITIAL",F358="CONSOLIDATION - UPFRONT COMM",F358="REVERSE - TOTAL FUNDING"),A358,"")</f>
        <v/>
      </c>
      <c r="C358" s="10"/>
      <c r="D358" s="11"/>
      <c r="E358" s="11"/>
      <c r="F358" s="11"/>
      <c r="G358" s="12"/>
      <c r="H358" s="13"/>
      <c r="I358" s="11"/>
      <c r="J358" s="14" t="str">
        <f aca="false">IF(AND(G358&lt;&gt;"",H358&lt;&gt;""),G358*H358,"")</f>
        <v/>
      </c>
      <c r="K358" s="11"/>
      <c r="L358" s="15"/>
      <c r="M358" s="15"/>
      <c r="N358" s="14" t="n">
        <f aca="false">IF(OR(G358="",M358=""),0,IF(M358&gt;100,M358,G358*IF(M358&gt;1,M358/100,M358)))</f>
        <v>0</v>
      </c>
      <c r="O358" s="14" t="str">
        <f aca="false">IF(G358="","",G358*IF(L358="",0,IF(L358&gt;1,L358/100,L358))+N358)</f>
        <v/>
      </c>
      <c r="P358" s="11"/>
      <c r="Q358" s="16" t="str">
        <f aca="false">IF(P358="","",IFERROR(VLOOKUP(P358,PARTNERS!$A$2:$B$30,2,0),""))</f>
        <v/>
      </c>
      <c r="R358" s="17" t="str">
        <f aca="false">IF(O358="","",IF(OR(P358="",Q358=""),0,(O358-N358)*IF(Q358&gt;1,Q358/100,Q358)))</f>
        <v/>
      </c>
      <c r="S358" s="14" t="str">
        <f aca="false">IF(O358="","",O358-R358)</f>
        <v/>
      </c>
      <c r="T358" s="11"/>
      <c r="U358" s="18" t="str">
        <f aca="false">IF(T358="","",IFERROR(VLOOKUP(T358,REPS!$A$2:$D$40,2,0),""))</f>
        <v/>
      </c>
      <c r="V358" s="14" t="str">
        <f aca="false">IF(O358="","",IF(U358="",0,O358*IF(U358&gt;1,U358/100,U358)))</f>
        <v/>
      </c>
      <c r="W358" s="11"/>
      <c r="X358" s="18" t="str">
        <f aca="false">IF(W358="","",IFERROR(VLOOKUP(W358,REPS!$A$2:$D$40,3,0),""))</f>
        <v/>
      </c>
      <c r="Y358" s="14" t="str">
        <f aca="false">IF(O358="","",IF(X358="",0,O358*IF(X358&gt;1,X358/100,X358)))</f>
        <v/>
      </c>
      <c r="Z358" s="11"/>
      <c r="AA358" s="18" t="str">
        <f aca="false">IF(Z358="","",IFERROR(VLOOKUP(Z358,REPS!$A$2:$D$40,4,0),""))</f>
        <v/>
      </c>
      <c r="AB358" s="14" t="str">
        <f aca="false">IF(O358="","",IF(AA358="",0,O358*IF(AA358&gt;1,AA358/100,AA358)))</f>
        <v/>
      </c>
      <c r="AC358" s="14" t="str">
        <f aca="false">IF(O358="","",V358+Y358+AB358)</f>
        <v/>
      </c>
      <c r="AD358" s="19" t="str">
        <f aca="false">IF(O358="","",O358-R358-AC358)</f>
        <v/>
      </c>
      <c r="AE358" s="20"/>
      <c r="AF358" s="10"/>
      <c r="AG358" s="21" t="n">
        <f aca="false">IF(OR(AE358="",AE358=0),0,AE358*IF(U358="",0,IF(U358&gt;1,U358/100,U358)))</f>
        <v>0</v>
      </c>
      <c r="AH358" s="21" t="n">
        <f aca="false">IF(OR(AE358="",AE358=0),0,AE358*IF(X358="",0,IF(X358&gt;1,X358/100,X358)))</f>
        <v>0</v>
      </c>
      <c r="AI358" s="21" t="n">
        <f aca="false">IF(OR(AE358="",AE358=0),0,AE358*IF(AA358="",0,IF(AA358&gt;1,AA358/100,AA358)))</f>
        <v>0</v>
      </c>
      <c r="AJ358" s="21" t="n">
        <f aca="false">AG358+AH358+AI358</f>
        <v>0</v>
      </c>
      <c r="AK358" s="21" t="n">
        <f aca="false">IF(OR(AE358="",AE358=0),0,AE358-AJ358)</f>
        <v>0</v>
      </c>
      <c r="AL358" s="19" t="str">
        <f aca="false">IF(AD358="","",AD358-AK358)</f>
        <v/>
      </c>
      <c r="AM358" s="9" t="str">
        <f aca="false">IF(C358="","","Waiting for payment")</f>
        <v/>
      </c>
      <c r="AN358" s="10"/>
      <c r="AO358" s="10"/>
      <c r="AP358" s="22" t="str">
        <f aca="false">IF(OR(C358="",I358="",K358=""),"",IF(K358="Monthly",EDATE(C358,ROUND(I358*SETTINGS!$I$8,0)),WORKDAY(C358,ROUND(I358*SETTINGS!$I$8,0))))</f>
        <v/>
      </c>
      <c r="AQ358" s="9" t="str">
        <f aca="true">IF(C358="","",IF(AND(AP358&lt;&gt;"",TODAY()&gt;=AP358),"Refi Ready",IF(TODAY()-C358&gt;=SETTINGS!$I$11,"Prospecting","Performing")))</f>
        <v/>
      </c>
      <c r="AR358" s="22" t="str">
        <f aca="false">IF(OR(C358="",I358="",K358=""),"",IF(K358="Monthly",EDATE(C358,I358),WORKDAY(C358,I358)))</f>
        <v/>
      </c>
      <c r="AS358" s="11"/>
      <c r="AT358" s="23" t="str">
        <f aca="true">IF(C358="","",IF(AM358="Clawed Back","CLAWED",IF(TODAY()&lt;=C358+SETTINGS!$I$2,"⚠ AT RISK","SAFE")))</f>
        <v/>
      </c>
      <c r="AU358" s="11"/>
      <c r="AW358" s="24" t="n">
        <f aca="false">AW357+IF(AND(C358&lt;&gt;"",AO358&lt;&gt;"",OR('REP COMMISSION'!$B$3="",T358='REP COMMISSION'!$B$3,W358='REP COMMISSION'!$B$3,Z358='REP COMMISSION'!$B$3)),1,0)</f>
        <v>0</v>
      </c>
      <c r="AX358" s="24" t="n">
        <f aca="false">AX357+IF(AND(C358&lt;&gt;"",OR(F358="LOC - INITIAL",F358="CONSOLIDATION - UPFRONT COMM",F358="REVERSE - TOTAL FUNDING")),1,0)</f>
        <v>0</v>
      </c>
    </row>
    <row r="359" customFormat="false" ht="15" hidden="false" customHeight="false" outlineLevel="0" collapsed="false">
      <c r="A359" s="25" t="str">
        <f aca="false">IF(C359&lt;&gt;"","F27-"&amp;COUNT($C$4:C359),"")</f>
        <v/>
      </c>
      <c r="B359" s="26" t="str">
        <f aca="false">IF(OR(F359="LOC - INITIAL",F359="CONSOLIDATION - UPFRONT COMM",F359="REVERSE - TOTAL FUNDING"),A359,"")</f>
        <v/>
      </c>
      <c r="C359" s="27"/>
      <c r="D359" s="28"/>
      <c r="E359" s="28"/>
      <c r="F359" s="28"/>
      <c r="G359" s="29"/>
      <c r="H359" s="30"/>
      <c r="I359" s="28"/>
      <c r="J359" s="31" t="str">
        <f aca="false">IF(AND(G359&lt;&gt;"",H359&lt;&gt;""),G359*H359,"")</f>
        <v/>
      </c>
      <c r="K359" s="28"/>
      <c r="L359" s="32"/>
      <c r="M359" s="32"/>
      <c r="N359" s="31" t="n">
        <f aca="false">IF(OR(G359="",M359=""),0,IF(M359&gt;100,M359,G359*IF(M359&gt;1,M359/100,M359)))</f>
        <v>0</v>
      </c>
      <c r="O359" s="31" t="str">
        <f aca="false">IF(G359="","",G359*IF(L359="",0,IF(L359&gt;1,L359/100,L359))+N359)</f>
        <v/>
      </c>
      <c r="P359" s="28"/>
      <c r="Q359" s="33" t="str">
        <f aca="false">IF(P359="","",IFERROR(VLOOKUP(P359,PARTNERS!$A$2:$B$30,2,0),""))</f>
        <v/>
      </c>
      <c r="R359" s="17" t="str">
        <f aca="false">IF(O359="","",IF(OR(P359="",Q359=""),0,(O359-N359)*IF(Q359&gt;1,Q359/100,Q359)))</f>
        <v/>
      </c>
      <c r="S359" s="31" t="str">
        <f aca="false">IF(O359="","",O359-R359)</f>
        <v/>
      </c>
      <c r="T359" s="28"/>
      <c r="U359" s="34" t="str">
        <f aca="false">IF(T359="","",IFERROR(VLOOKUP(T359,REPS!$A$2:$D$40,2,0),""))</f>
        <v/>
      </c>
      <c r="V359" s="31" t="str">
        <f aca="false">IF(O359="","",IF(U359="",0,O359*IF(U359&gt;1,U359/100,U359)))</f>
        <v/>
      </c>
      <c r="W359" s="28"/>
      <c r="X359" s="34" t="str">
        <f aca="false">IF(W359="","",IFERROR(VLOOKUP(W359,REPS!$A$2:$D$40,3,0),""))</f>
        <v/>
      </c>
      <c r="Y359" s="31" t="str">
        <f aca="false">IF(O359="","",IF(X359="",0,O359*IF(X359&gt;1,X359/100,X359)))</f>
        <v/>
      </c>
      <c r="Z359" s="28"/>
      <c r="AA359" s="34" t="str">
        <f aca="false">IF(Z359="","",IFERROR(VLOOKUP(Z359,REPS!$A$2:$D$40,4,0),""))</f>
        <v/>
      </c>
      <c r="AB359" s="31" t="str">
        <f aca="false">IF(O359="","",IF(AA359="",0,O359*IF(AA359&gt;1,AA359/100,AA359)))</f>
        <v/>
      </c>
      <c r="AC359" s="31" t="str">
        <f aca="false">IF(O359="","",V359+Y359+AB359)</f>
        <v/>
      </c>
      <c r="AD359" s="19" t="str">
        <f aca="false">IF(O359="","",O359-R359-AC359)</f>
        <v/>
      </c>
      <c r="AE359" s="20"/>
      <c r="AF359" s="27"/>
      <c r="AG359" s="21" t="n">
        <f aca="false">IF(OR(AE359="",AE359=0),0,AE359*IF(U359="",0,IF(U359&gt;1,U359/100,U359)))</f>
        <v>0</v>
      </c>
      <c r="AH359" s="21" t="n">
        <f aca="false">IF(OR(AE359="",AE359=0),0,AE359*IF(X359="",0,IF(X359&gt;1,X359/100,X359)))</f>
        <v>0</v>
      </c>
      <c r="AI359" s="21" t="n">
        <f aca="false">IF(OR(AE359="",AE359=0),0,AE359*IF(AA359="",0,IF(AA359&gt;1,AA359/100,AA359)))</f>
        <v>0</v>
      </c>
      <c r="AJ359" s="21" t="n">
        <f aca="false">AG359+AH359+AI359</f>
        <v>0</v>
      </c>
      <c r="AK359" s="21" t="n">
        <f aca="false">IF(OR(AE359="",AE359=0),0,AE359-AJ359)</f>
        <v>0</v>
      </c>
      <c r="AL359" s="19" t="str">
        <f aca="false">IF(AD359="","",AD359-AK359)</f>
        <v/>
      </c>
      <c r="AM359" s="26" t="str">
        <f aca="false">IF(C359="","","Waiting for payment")</f>
        <v/>
      </c>
      <c r="AN359" s="27"/>
      <c r="AO359" s="27"/>
      <c r="AP359" s="35" t="str">
        <f aca="false">IF(OR(C359="",I359="",K359=""),"",IF(K359="Monthly",EDATE(C359,ROUND(I359*SETTINGS!$I$8,0)),WORKDAY(C359,ROUND(I359*SETTINGS!$I$8,0))))</f>
        <v/>
      </c>
      <c r="AQ359" s="26" t="str">
        <f aca="true">IF(C359="","",IF(AND(AP359&lt;&gt;"",TODAY()&gt;=AP359),"Refi Ready",IF(TODAY()-C359&gt;=SETTINGS!$I$11,"Prospecting","Performing")))</f>
        <v/>
      </c>
      <c r="AR359" s="35" t="str">
        <f aca="false">IF(OR(C359="",I359="",K359=""),"",IF(K359="Monthly",EDATE(C359,I359),WORKDAY(C359,I359)))</f>
        <v/>
      </c>
      <c r="AS359" s="28"/>
      <c r="AT359" s="36" t="str">
        <f aca="true">IF(C359="","",IF(AM359="Clawed Back","CLAWED",IF(TODAY()&lt;=C359+SETTINGS!$I$2,"⚠ AT RISK","SAFE")))</f>
        <v/>
      </c>
      <c r="AU359" s="28"/>
      <c r="AW359" s="24" t="n">
        <f aca="false">AW358+IF(AND(C359&lt;&gt;"",AO359&lt;&gt;"",OR('REP COMMISSION'!$B$3="",T359='REP COMMISSION'!$B$3,W359='REP COMMISSION'!$B$3,Z359='REP COMMISSION'!$B$3)),1,0)</f>
        <v>0</v>
      </c>
      <c r="AX359" s="24" t="n">
        <f aca="false">AX358+IF(AND(C359&lt;&gt;"",OR(F359="LOC - INITIAL",F359="CONSOLIDATION - UPFRONT COMM",F359="REVERSE - TOTAL FUNDING")),1,0)</f>
        <v>0</v>
      </c>
    </row>
    <row r="360" customFormat="false" ht="15" hidden="false" customHeight="false" outlineLevel="0" collapsed="false">
      <c r="A360" s="8" t="str">
        <f aca="false">IF(C360&lt;&gt;"","F27-"&amp;COUNT($C$4:C360),"")</f>
        <v/>
      </c>
      <c r="B360" s="9" t="str">
        <f aca="false">IF(OR(F360="LOC - INITIAL",F360="CONSOLIDATION - UPFRONT COMM",F360="REVERSE - TOTAL FUNDING"),A360,"")</f>
        <v/>
      </c>
      <c r="C360" s="10"/>
      <c r="D360" s="11"/>
      <c r="E360" s="11"/>
      <c r="F360" s="11"/>
      <c r="G360" s="12"/>
      <c r="H360" s="13"/>
      <c r="I360" s="11"/>
      <c r="J360" s="14" t="str">
        <f aca="false">IF(AND(G360&lt;&gt;"",H360&lt;&gt;""),G360*H360,"")</f>
        <v/>
      </c>
      <c r="K360" s="11"/>
      <c r="L360" s="15"/>
      <c r="M360" s="15"/>
      <c r="N360" s="14" t="n">
        <f aca="false">IF(OR(G360="",M360=""),0,IF(M360&gt;100,M360,G360*IF(M360&gt;1,M360/100,M360)))</f>
        <v>0</v>
      </c>
      <c r="O360" s="14" t="str">
        <f aca="false">IF(G360="","",G360*IF(L360="",0,IF(L360&gt;1,L360/100,L360))+N360)</f>
        <v/>
      </c>
      <c r="P360" s="11"/>
      <c r="Q360" s="16" t="str">
        <f aca="false">IF(P360="","",IFERROR(VLOOKUP(P360,PARTNERS!$A$2:$B$30,2,0),""))</f>
        <v/>
      </c>
      <c r="R360" s="17" t="str">
        <f aca="false">IF(O360="","",IF(OR(P360="",Q360=""),0,(O360-N360)*IF(Q360&gt;1,Q360/100,Q360)))</f>
        <v/>
      </c>
      <c r="S360" s="14" t="str">
        <f aca="false">IF(O360="","",O360-R360)</f>
        <v/>
      </c>
      <c r="T360" s="11"/>
      <c r="U360" s="18" t="str">
        <f aca="false">IF(T360="","",IFERROR(VLOOKUP(T360,REPS!$A$2:$D$40,2,0),""))</f>
        <v/>
      </c>
      <c r="V360" s="14" t="str">
        <f aca="false">IF(O360="","",IF(U360="",0,O360*IF(U360&gt;1,U360/100,U360)))</f>
        <v/>
      </c>
      <c r="W360" s="11"/>
      <c r="X360" s="18" t="str">
        <f aca="false">IF(W360="","",IFERROR(VLOOKUP(W360,REPS!$A$2:$D$40,3,0),""))</f>
        <v/>
      </c>
      <c r="Y360" s="14" t="str">
        <f aca="false">IF(O360="","",IF(X360="",0,O360*IF(X360&gt;1,X360/100,X360)))</f>
        <v/>
      </c>
      <c r="Z360" s="11"/>
      <c r="AA360" s="18" t="str">
        <f aca="false">IF(Z360="","",IFERROR(VLOOKUP(Z360,REPS!$A$2:$D$40,4,0),""))</f>
        <v/>
      </c>
      <c r="AB360" s="14" t="str">
        <f aca="false">IF(O360="","",IF(AA360="",0,O360*IF(AA360&gt;1,AA360/100,AA360)))</f>
        <v/>
      </c>
      <c r="AC360" s="14" t="str">
        <f aca="false">IF(O360="","",V360+Y360+AB360)</f>
        <v/>
      </c>
      <c r="AD360" s="19" t="str">
        <f aca="false">IF(O360="","",O360-R360-AC360)</f>
        <v/>
      </c>
      <c r="AE360" s="20"/>
      <c r="AF360" s="10"/>
      <c r="AG360" s="21" t="n">
        <f aca="false">IF(OR(AE360="",AE360=0),0,AE360*IF(U360="",0,IF(U360&gt;1,U360/100,U360)))</f>
        <v>0</v>
      </c>
      <c r="AH360" s="21" t="n">
        <f aca="false">IF(OR(AE360="",AE360=0),0,AE360*IF(X360="",0,IF(X360&gt;1,X360/100,X360)))</f>
        <v>0</v>
      </c>
      <c r="AI360" s="21" t="n">
        <f aca="false">IF(OR(AE360="",AE360=0),0,AE360*IF(AA360="",0,IF(AA360&gt;1,AA360/100,AA360)))</f>
        <v>0</v>
      </c>
      <c r="AJ360" s="21" t="n">
        <f aca="false">AG360+AH360+AI360</f>
        <v>0</v>
      </c>
      <c r="AK360" s="21" t="n">
        <f aca="false">IF(OR(AE360="",AE360=0),0,AE360-AJ360)</f>
        <v>0</v>
      </c>
      <c r="AL360" s="19" t="str">
        <f aca="false">IF(AD360="","",AD360-AK360)</f>
        <v/>
      </c>
      <c r="AM360" s="9" t="str">
        <f aca="false">IF(C360="","","Waiting for payment")</f>
        <v/>
      </c>
      <c r="AN360" s="10"/>
      <c r="AO360" s="10"/>
      <c r="AP360" s="22" t="str">
        <f aca="false">IF(OR(C360="",I360="",K360=""),"",IF(K360="Monthly",EDATE(C360,ROUND(I360*SETTINGS!$I$8,0)),WORKDAY(C360,ROUND(I360*SETTINGS!$I$8,0))))</f>
        <v/>
      </c>
      <c r="AQ360" s="9" t="str">
        <f aca="true">IF(C360="","",IF(AND(AP360&lt;&gt;"",TODAY()&gt;=AP360),"Refi Ready",IF(TODAY()-C360&gt;=SETTINGS!$I$11,"Prospecting","Performing")))</f>
        <v/>
      </c>
      <c r="AR360" s="22" t="str">
        <f aca="false">IF(OR(C360="",I360="",K360=""),"",IF(K360="Monthly",EDATE(C360,I360),WORKDAY(C360,I360)))</f>
        <v/>
      </c>
      <c r="AS360" s="11"/>
      <c r="AT360" s="23" t="str">
        <f aca="true">IF(C360="","",IF(AM360="Clawed Back","CLAWED",IF(TODAY()&lt;=C360+SETTINGS!$I$2,"⚠ AT RISK","SAFE")))</f>
        <v/>
      </c>
      <c r="AU360" s="11"/>
      <c r="AW360" s="24" t="n">
        <f aca="false">AW359+IF(AND(C360&lt;&gt;"",AO360&lt;&gt;"",OR('REP COMMISSION'!$B$3="",T360='REP COMMISSION'!$B$3,W360='REP COMMISSION'!$B$3,Z360='REP COMMISSION'!$B$3)),1,0)</f>
        <v>0</v>
      </c>
      <c r="AX360" s="24" t="n">
        <f aca="false">AX359+IF(AND(C360&lt;&gt;"",OR(F360="LOC - INITIAL",F360="CONSOLIDATION - UPFRONT COMM",F360="REVERSE - TOTAL FUNDING")),1,0)</f>
        <v>0</v>
      </c>
    </row>
    <row r="361" customFormat="false" ht="15" hidden="false" customHeight="false" outlineLevel="0" collapsed="false">
      <c r="A361" s="25" t="str">
        <f aca="false">IF(C361&lt;&gt;"","F27-"&amp;COUNT($C$4:C361),"")</f>
        <v/>
      </c>
      <c r="B361" s="26" t="str">
        <f aca="false">IF(OR(F361="LOC - INITIAL",F361="CONSOLIDATION - UPFRONT COMM",F361="REVERSE - TOTAL FUNDING"),A361,"")</f>
        <v/>
      </c>
      <c r="C361" s="27"/>
      <c r="D361" s="28"/>
      <c r="E361" s="28"/>
      <c r="F361" s="28"/>
      <c r="G361" s="29"/>
      <c r="H361" s="30"/>
      <c r="I361" s="28"/>
      <c r="J361" s="31" t="str">
        <f aca="false">IF(AND(G361&lt;&gt;"",H361&lt;&gt;""),G361*H361,"")</f>
        <v/>
      </c>
      <c r="K361" s="28"/>
      <c r="L361" s="32"/>
      <c r="M361" s="32"/>
      <c r="N361" s="31" t="n">
        <f aca="false">IF(OR(G361="",M361=""),0,IF(M361&gt;100,M361,G361*IF(M361&gt;1,M361/100,M361)))</f>
        <v>0</v>
      </c>
      <c r="O361" s="31" t="str">
        <f aca="false">IF(G361="","",G361*IF(L361="",0,IF(L361&gt;1,L361/100,L361))+N361)</f>
        <v/>
      </c>
      <c r="P361" s="28"/>
      <c r="Q361" s="33" t="str">
        <f aca="false">IF(P361="","",IFERROR(VLOOKUP(P361,PARTNERS!$A$2:$B$30,2,0),""))</f>
        <v/>
      </c>
      <c r="R361" s="17" t="str">
        <f aca="false">IF(O361="","",IF(OR(P361="",Q361=""),0,(O361-N361)*IF(Q361&gt;1,Q361/100,Q361)))</f>
        <v/>
      </c>
      <c r="S361" s="31" t="str">
        <f aca="false">IF(O361="","",O361-R361)</f>
        <v/>
      </c>
      <c r="T361" s="28"/>
      <c r="U361" s="34" t="str">
        <f aca="false">IF(T361="","",IFERROR(VLOOKUP(T361,REPS!$A$2:$D$40,2,0),""))</f>
        <v/>
      </c>
      <c r="V361" s="31" t="str">
        <f aca="false">IF(O361="","",IF(U361="",0,O361*IF(U361&gt;1,U361/100,U361)))</f>
        <v/>
      </c>
      <c r="W361" s="28"/>
      <c r="X361" s="34" t="str">
        <f aca="false">IF(W361="","",IFERROR(VLOOKUP(W361,REPS!$A$2:$D$40,3,0),""))</f>
        <v/>
      </c>
      <c r="Y361" s="31" t="str">
        <f aca="false">IF(O361="","",IF(X361="",0,O361*IF(X361&gt;1,X361/100,X361)))</f>
        <v/>
      </c>
      <c r="Z361" s="28"/>
      <c r="AA361" s="34" t="str">
        <f aca="false">IF(Z361="","",IFERROR(VLOOKUP(Z361,REPS!$A$2:$D$40,4,0),""))</f>
        <v/>
      </c>
      <c r="AB361" s="31" t="str">
        <f aca="false">IF(O361="","",IF(AA361="",0,O361*IF(AA361&gt;1,AA361/100,AA361)))</f>
        <v/>
      </c>
      <c r="AC361" s="31" t="str">
        <f aca="false">IF(O361="","",V361+Y361+AB361)</f>
        <v/>
      </c>
      <c r="AD361" s="19" t="str">
        <f aca="false">IF(O361="","",O361-R361-AC361)</f>
        <v/>
      </c>
      <c r="AE361" s="20"/>
      <c r="AF361" s="27"/>
      <c r="AG361" s="21" t="n">
        <f aca="false">IF(OR(AE361="",AE361=0),0,AE361*IF(U361="",0,IF(U361&gt;1,U361/100,U361)))</f>
        <v>0</v>
      </c>
      <c r="AH361" s="21" t="n">
        <f aca="false">IF(OR(AE361="",AE361=0),0,AE361*IF(X361="",0,IF(X361&gt;1,X361/100,X361)))</f>
        <v>0</v>
      </c>
      <c r="AI361" s="21" t="n">
        <f aca="false">IF(OR(AE361="",AE361=0),0,AE361*IF(AA361="",0,IF(AA361&gt;1,AA361/100,AA361)))</f>
        <v>0</v>
      </c>
      <c r="AJ361" s="21" t="n">
        <f aca="false">AG361+AH361+AI361</f>
        <v>0</v>
      </c>
      <c r="AK361" s="21" t="n">
        <f aca="false">IF(OR(AE361="",AE361=0),0,AE361-AJ361)</f>
        <v>0</v>
      </c>
      <c r="AL361" s="19" t="str">
        <f aca="false">IF(AD361="","",AD361-AK361)</f>
        <v/>
      </c>
      <c r="AM361" s="26" t="str">
        <f aca="false">IF(C361="","","Waiting for payment")</f>
        <v/>
      </c>
      <c r="AN361" s="27"/>
      <c r="AO361" s="27"/>
      <c r="AP361" s="35" t="str">
        <f aca="false">IF(OR(C361="",I361="",K361=""),"",IF(K361="Monthly",EDATE(C361,ROUND(I361*SETTINGS!$I$8,0)),WORKDAY(C361,ROUND(I361*SETTINGS!$I$8,0))))</f>
        <v/>
      </c>
      <c r="AQ361" s="26" t="str">
        <f aca="true">IF(C361="","",IF(AND(AP361&lt;&gt;"",TODAY()&gt;=AP361),"Refi Ready",IF(TODAY()-C361&gt;=SETTINGS!$I$11,"Prospecting","Performing")))</f>
        <v/>
      </c>
      <c r="AR361" s="35" t="str">
        <f aca="false">IF(OR(C361="",I361="",K361=""),"",IF(K361="Monthly",EDATE(C361,I361),WORKDAY(C361,I361)))</f>
        <v/>
      </c>
      <c r="AS361" s="28"/>
      <c r="AT361" s="36" t="str">
        <f aca="true">IF(C361="","",IF(AM361="Clawed Back","CLAWED",IF(TODAY()&lt;=C361+SETTINGS!$I$2,"⚠ AT RISK","SAFE")))</f>
        <v/>
      </c>
      <c r="AU361" s="28"/>
      <c r="AW361" s="24" t="n">
        <f aca="false">AW360+IF(AND(C361&lt;&gt;"",AO361&lt;&gt;"",OR('REP COMMISSION'!$B$3="",T361='REP COMMISSION'!$B$3,W361='REP COMMISSION'!$B$3,Z361='REP COMMISSION'!$B$3)),1,0)</f>
        <v>0</v>
      </c>
      <c r="AX361" s="24" t="n">
        <f aca="false">AX360+IF(AND(C361&lt;&gt;"",OR(F361="LOC - INITIAL",F361="CONSOLIDATION - UPFRONT COMM",F361="REVERSE - TOTAL FUNDING")),1,0)</f>
        <v>0</v>
      </c>
    </row>
    <row r="362" customFormat="false" ht="15" hidden="false" customHeight="false" outlineLevel="0" collapsed="false">
      <c r="A362" s="8" t="str">
        <f aca="false">IF(C362&lt;&gt;"","F27-"&amp;COUNT($C$4:C362),"")</f>
        <v/>
      </c>
      <c r="B362" s="9" t="str">
        <f aca="false">IF(OR(F362="LOC - INITIAL",F362="CONSOLIDATION - UPFRONT COMM",F362="REVERSE - TOTAL FUNDING"),A362,"")</f>
        <v/>
      </c>
      <c r="C362" s="10"/>
      <c r="D362" s="11"/>
      <c r="E362" s="11"/>
      <c r="F362" s="11"/>
      <c r="G362" s="12"/>
      <c r="H362" s="13"/>
      <c r="I362" s="11"/>
      <c r="J362" s="14" t="str">
        <f aca="false">IF(AND(G362&lt;&gt;"",H362&lt;&gt;""),G362*H362,"")</f>
        <v/>
      </c>
      <c r="K362" s="11"/>
      <c r="L362" s="15"/>
      <c r="M362" s="15"/>
      <c r="N362" s="14" t="n">
        <f aca="false">IF(OR(G362="",M362=""),0,IF(M362&gt;100,M362,G362*IF(M362&gt;1,M362/100,M362)))</f>
        <v>0</v>
      </c>
      <c r="O362" s="14" t="str">
        <f aca="false">IF(G362="","",G362*IF(L362="",0,IF(L362&gt;1,L362/100,L362))+N362)</f>
        <v/>
      </c>
      <c r="P362" s="11"/>
      <c r="Q362" s="16" t="str">
        <f aca="false">IF(P362="","",IFERROR(VLOOKUP(P362,PARTNERS!$A$2:$B$30,2,0),""))</f>
        <v/>
      </c>
      <c r="R362" s="17" t="str">
        <f aca="false">IF(O362="","",IF(OR(P362="",Q362=""),0,(O362-N362)*IF(Q362&gt;1,Q362/100,Q362)))</f>
        <v/>
      </c>
      <c r="S362" s="14" t="str">
        <f aca="false">IF(O362="","",O362-R362)</f>
        <v/>
      </c>
      <c r="T362" s="11"/>
      <c r="U362" s="18" t="str">
        <f aca="false">IF(T362="","",IFERROR(VLOOKUP(T362,REPS!$A$2:$D$40,2,0),""))</f>
        <v/>
      </c>
      <c r="V362" s="14" t="str">
        <f aca="false">IF(O362="","",IF(U362="",0,O362*IF(U362&gt;1,U362/100,U362)))</f>
        <v/>
      </c>
      <c r="W362" s="11"/>
      <c r="X362" s="18" t="str">
        <f aca="false">IF(W362="","",IFERROR(VLOOKUP(W362,REPS!$A$2:$D$40,3,0),""))</f>
        <v/>
      </c>
      <c r="Y362" s="14" t="str">
        <f aca="false">IF(O362="","",IF(X362="",0,O362*IF(X362&gt;1,X362/100,X362)))</f>
        <v/>
      </c>
      <c r="Z362" s="11"/>
      <c r="AA362" s="18" t="str">
        <f aca="false">IF(Z362="","",IFERROR(VLOOKUP(Z362,REPS!$A$2:$D$40,4,0),""))</f>
        <v/>
      </c>
      <c r="AB362" s="14" t="str">
        <f aca="false">IF(O362="","",IF(AA362="",0,O362*IF(AA362&gt;1,AA362/100,AA362)))</f>
        <v/>
      </c>
      <c r="AC362" s="14" t="str">
        <f aca="false">IF(O362="","",V362+Y362+AB362)</f>
        <v/>
      </c>
      <c r="AD362" s="19" t="str">
        <f aca="false">IF(O362="","",O362-R362-AC362)</f>
        <v/>
      </c>
      <c r="AE362" s="20"/>
      <c r="AF362" s="10"/>
      <c r="AG362" s="21" t="n">
        <f aca="false">IF(OR(AE362="",AE362=0),0,AE362*IF(U362="",0,IF(U362&gt;1,U362/100,U362)))</f>
        <v>0</v>
      </c>
      <c r="AH362" s="21" t="n">
        <f aca="false">IF(OR(AE362="",AE362=0),0,AE362*IF(X362="",0,IF(X362&gt;1,X362/100,X362)))</f>
        <v>0</v>
      </c>
      <c r="AI362" s="21" t="n">
        <f aca="false">IF(OR(AE362="",AE362=0),0,AE362*IF(AA362="",0,IF(AA362&gt;1,AA362/100,AA362)))</f>
        <v>0</v>
      </c>
      <c r="AJ362" s="21" t="n">
        <f aca="false">AG362+AH362+AI362</f>
        <v>0</v>
      </c>
      <c r="AK362" s="21" t="n">
        <f aca="false">IF(OR(AE362="",AE362=0),0,AE362-AJ362)</f>
        <v>0</v>
      </c>
      <c r="AL362" s="19" t="str">
        <f aca="false">IF(AD362="","",AD362-AK362)</f>
        <v/>
      </c>
      <c r="AM362" s="9" t="str">
        <f aca="false">IF(C362="","","Waiting for payment")</f>
        <v/>
      </c>
      <c r="AN362" s="10"/>
      <c r="AO362" s="10"/>
      <c r="AP362" s="22" t="str">
        <f aca="false">IF(OR(C362="",I362="",K362=""),"",IF(K362="Monthly",EDATE(C362,ROUND(I362*SETTINGS!$I$8,0)),WORKDAY(C362,ROUND(I362*SETTINGS!$I$8,0))))</f>
        <v/>
      </c>
      <c r="AQ362" s="9" t="str">
        <f aca="true">IF(C362="","",IF(AND(AP362&lt;&gt;"",TODAY()&gt;=AP362),"Refi Ready",IF(TODAY()-C362&gt;=SETTINGS!$I$11,"Prospecting","Performing")))</f>
        <v/>
      </c>
      <c r="AR362" s="22" t="str">
        <f aca="false">IF(OR(C362="",I362="",K362=""),"",IF(K362="Monthly",EDATE(C362,I362),WORKDAY(C362,I362)))</f>
        <v/>
      </c>
      <c r="AS362" s="11"/>
      <c r="AT362" s="23" t="str">
        <f aca="true">IF(C362="","",IF(AM362="Clawed Back","CLAWED",IF(TODAY()&lt;=C362+SETTINGS!$I$2,"⚠ AT RISK","SAFE")))</f>
        <v/>
      </c>
      <c r="AU362" s="11"/>
      <c r="AW362" s="24" t="n">
        <f aca="false">AW361+IF(AND(C362&lt;&gt;"",AO362&lt;&gt;"",OR('REP COMMISSION'!$B$3="",T362='REP COMMISSION'!$B$3,W362='REP COMMISSION'!$B$3,Z362='REP COMMISSION'!$B$3)),1,0)</f>
        <v>0</v>
      </c>
      <c r="AX362" s="24" t="n">
        <f aca="false">AX361+IF(AND(C362&lt;&gt;"",OR(F362="LOC - INITIAL",F362="CONSOLIDATION - UPFRONT COMM",F362="REVERSE - TOTAL FUNDING")),1,0)</f>
        <v>0</v>
      </c>
    </row>
    <row r="363" customFormat="false" ht="15" hidden="false" customHeight="false" outlineLevel="0" collapsed="false">
      <c r="A363" s="25" t="str">
        <f aca="false">IF(C363&lt;&gt;"","F27-"&amp;COUNT($C$4:C363),"")</f>
        <v/>
      </c>
      <c r="B363" s="26" t="str">
        <f aca="false">IF(OR(F363="LOC - INITIAL",F363="CONSOLIDATION - UPFRONT COMM",F363="REVERSE - TOTAL FUNDING"),A363,"")</f>
        <v/>
      </c>
      <c r="C363" s="27"/>
      <c r="D363" s="28"/>
      <c r="E363" s="28"/>
      <c r="F363" s="28"/>
      <c r="G363" s="29"/>
      <c r="H363" s="30"/>
      <c r="I363" s="28"/>
      <c r="J363" s="31" t="str">
        <f aca="false">IF(AND(G363&lt;&gt;"",H363&lt;&gt;""),G363*H363,"")</f>
        <v/>
      </c>
      <c r="K363" s="28"/>
      <c r="L363" s="32"/>
      <c r="M363" s="32"/>
      <c r="N363" s="31" t="n">
        <f aca="false">IF(OR(G363="",M363=""),0,IF(M363&gt;100,M363,G363*IF(M363&gt;1,M363/100,M363)))</f>
        <v>0</v>
      </c>
      <c r="O363" s="31" t="str">
        <f aca="false">IF(G363="","",G363*IF(L363="",0,IF(L363&gt;1,L363/100,L363))+N363)</f>
        <v/>
      </c>
      <c r="P363" s="28"/>
      <c r="Q363" s="33" t="str">
        <f aca="false">IF(P363="","",IFERROR(VLOOKUP(P363,PARTNERS!$A$2:$B$30,2,0),""))</f>
        <v/>
      </c>
      <c r="R363" s="17" t="str">
        <f aca="false">IF(O363="","",IF(OR(P363="",Q363=""),0,(O363-N363)*IF(Q363&gt;1,Q363/100,Q363)))</f>
        <v/>
      </c>
      <c r="S363" s="31" t="str">
        <f aca="false">IF(O363="","",O363-R363)</f>
        <v/>
      </c>
      <c r="T363" s="28"/>
      <c r="U363" s="34" t="str">
        <f aca="false">IF(T363="","",IFERROR(VLOOKUP(T363,REPS!$A$2:$D$40,2,0),""))</f>
        <v/>
      </c>
      <c r="V363" s="31" t="str">
        <f aca="false">IF(O363="","",IF(U363="",0,O363*IF(U363&gt;1,U363/100,U363)))</f>
        <v/>
      </c>
      <c r="W363" s="28"/>
      <c r="X363" s="34" t="str">
        <f aca="false">IF(W363="","",IFERROR(VLOOKUP(W363,REPS!$A$2:$D$40,3,0),""))</f>
        <v/>
      </c>
      <c r="Y363" s="31" t="str">
        <f aca="false">IF(O363="","",IF(X363="",0,O363*IF(X363&gt;1,X363/100,X363)))</f>
        <v/>
      </c>
      <c r="Z363" s="28"/>
      <c r="AA363" s="34" t="str">
        <f aca="false">IF(Z363="","",IFERROR(VLOOKUP(Z363,REPS!$A$2:$D$40,4,0),""))</f>
        <v/>
      </c>
      <c r="AB363" s="31" t="str">
        <f aca="false">IF(O363="","",IF(AA363="",0,O363*IF(AA363&gt;1,AA363/100,AA363)))</f>
        <v/>
      </c>
      <c r="AC363" s="31" t="str">
        <f aca="false">IF(O363="","",V363+Y363+AB363)</f>
        <v/>
      </c>
      <c r="AD363" s="19" t="str">
        <f aca="false">IF(O363="","",O363-R363-AC363)</f>
        <v/>
      </c>
      <c r="AE363" s="20"/>
      <c r="AF363" s="27"/>
      <c r="AG363" s="21" t="n">
        <f aca="false">IF(OR(AE363="",AE363=0),0,AE363*IF(U363="",0,IF(U363&gt;1,U363/100,U363)))</f>
        <v>0</v>
      </c>
      <c r="AH363" s="21" t="n">
        <f aca="false">IF(OR(AE363="",AE363=0),0,AE363*IF(X363="",0,IF(X363&gt;1,X363/100,X363)))</f>
        <v>0</v>
      </c>
      <c r="AI363" s="21" t="n">
        <f aca="false">IF(OR(AE363="",AE363=0),0,AE363*IF(AA363="",0,IF(AA363&gt;1,AA363/100,AA363)))</f>
        <v>0</v>
      </c>
      <c r="AJ363" s="21" t="n">
        <f aca="false">AG363+AH363+AI363</f>
        <v>0</v>
      </c>
      <c r="AK363" s="21" t="n">
        <f aca="false">IF(OR(AE363="",AE363=0),0,AE363-AJ363)</f>
        <v>0</v>
      </c>
      <c r="AL363" s="19" t="str">
        <f aca="false">IF(AD363="","",AD363-AK363)</f>
        <v/>
      </c>
      <c r="AM363" s="26" t="str">
        <f aca="false">IF(C363="","","Waiting for payment")</f>
        <v/>
      </c>
      <c r="AN363" s="27"/>
      <c r="AO363" s="27"/>
      <c r="AP363" s="35" t="str">
        <f aca="false">IF(OR(C363="",I363="",K363=""),"",IF(K363="Monthly",EDATE(C363,ROUND(I363*SETTINGS!$I$8,0)),WORKDAY(C363,ROUND(I363*SETTINGS!$I$8,0))))</f>
        <v/>
      </c>
      <c r="AQ363" s="26" t="str">
        <f aca="true">IF(C363="","",IF(AND(AP363&lt;&gt;"",TODAY()&gt;=AP363),"Refi Ready",IF(TODAY()-C363&gt;=SETTINGS!$I$11,"Prospecting","Performing")))</f>
        <v/>
      </c>
      <c r="AR363" s="35" t="str">
        <f aca="false">IF(OR(C363="",I363="",K363=""),"",IF(K363="Monthly",EDATE(C363,I363),WORKDAY(C363,I363)))</f>
        <v/>
      </c>
      <c r="AS363" s="28"/>
      <c r="AT363" s="36" t="str">
        <f aca="true">IF(C363="","",IF(AM363="Clawed Back","CLAWED",IF(TODAY()&lt;=C363+SETTINGS!$I$2,"⚠ AT RISK","SAFE")))</f>
        <v/>
      </c>
      <c r="AU363" s="28"/>
      <c r="AW363" s="24" t="n">
        <f aca="false">AW362+IF(AND(C363&lt;&gt;"",AO363&lt;&gt;"",OR('REP COMMISSION'!$B$3="",T363='REP COMMISSION'!$B$3,W363='REP COMMISSION'!$B$3,Z363='REP COMMISSION'!$B$3)),1,0)</f>
        <v>0</v>
      </c>
      <c r="AX363" s="24" t="n">
        <f aca="false">AX362+IF(AND(C363&lt;&gt;"",OR(F363="LOC - INITIAL",F363="CONSOLIDATION - UPFRONT COMM",F363="REVERSE - TOTAL FUNDING")),1,0)</f>
        <v>0</v>
      </c>
    </row>
    <row r="364" customFormat="false" ht="15" hidden="false" customHeight="false" outlineLevel="0" collapsed="false">
      <c r="A364" s="8" t="str">
        <f aca="false">IF(C364&lt;&gt;"","F27-"&amp;COUNT($C$4:C364),"")</f>
        <v/>
      </c>
      <c r="B364" s="9" t="str">
        <f aca="false">IF(OR(F364="LOC - INITIAL",F364="CONSOLIDATION - UPFRONT COMM",F364="REVERSE - TOTAL FUNDING"),A364,"")</f>
        <v/>
      </c>
      <c r="C364" s="10"/>
      <c r="D364" s="11"/>
      <c r="E364" s="11"/>
      <c r="F364" s="11"/>
      <c r="G364" s="12"/>
      <c r="H364" s="13"/>
      <c r="I364" s="11"/>
      <c r="J364" s="14" t="str">
        <f aca="false">IF(AND(G364&lt;&gt;"",H364&lt;&gt;""),G364*H364,"")</f>
        <v/>
      </c>
      <c r="K364" s="11"/>
      <c r="L364" s="15"/>
      <c r="M364" s="15"/>
      <c r="N364" s="14" t="n">
        <f aca="false">IF(OR(G364="",M364=""),0,IF(M364&gt;100,M364,G364*IF(M364&gt;1,M364/100,M364)))</f>
        <v>0</v>
      </c>
      <c r="O364" s="14" t="str">
        <f aca="false">IF(G364="","",G364*IF(L364="",0,IF(L364&gt;1,L364/100,L364))+N364)</f>
        <v/>
      </c>
      <c r="P364" s="11"/>
      <c r="Q364" s="16" t="str">
        <f aca="false">IF(P364="","",IFERROR(VLOOKUP(P364,PARTNERS!$A$2:$B$30,2,0),""))</f>
        <v/>
      </c>
      <c r="R364" s="17" t="str">
        <f aca="false">IF(O364="","",IF(OR(P364="",Q364=""),0,(O364-N364)*IF(Q364&gt;1,Q364/100,Q364)))</f>
        <v/>
      </c>
      <c r="S364" s="14" t="str">
        <f aca="false">IF(O364="","",O364-R364)</f>
        <v/>
      </c>
      <c r="T364" s="11"/>
      <c r="U364" s="18" t="str">
        <f aca="false">IF(T364="","",IFERROR(VLOOKUP(T364,REPS!$A$2:$D$40,2,0),""))</f>
        <v/>
      </c>
      <c r="V364" s="14" t="str">
        <f aca="false">IF(O364="","",IF(U364="",0,O364*IF(U364&gt;1,U364/100,U364)))</f>
        <v/>
      </c>
      <c r="W364" s="11"/>
      <c r="X364" s="18" t="str">
        <f aca="false">IF(W364="","",IFERROR(VLOOKUP(W364,REPS!$A$2:$D$40,3,0),""))</f>
        <v/>
      </c>
      <c r="Y364" s="14" t="str">
        <f aca="false">IF(O364="","",IF(X364="",0,O364*IF(X364&gt;1,X364/100,X364)))</f>
        <v/>
      </c>
      <c r="Z364" s="11"/>
      <c r="AA364" s="18" t="str">
        <f aca="false">IF(Z364="","",IFERROR(VLOOKUP(Z364,REPS!$A$2:$D$40,4,0),""))</f>
        <v/>
      </c>
      <c r="AB364" s="14" t="str">
        <f aca="false">IF(O364="","",IF(AA364="",0,O364*IF(AA364&gt;1,AA364/100,AA364)))</f>
        <v/>
      </c>
      <c r="AC364" s="14" t="str">
        <f aca="false">IF(O364="","",V364+Y364+AB364)</f>
        <v/>
      </c>
      <c r="AD364" s="19" t="str">
        <f aca="false">IF(O364="","",O364-R364-AC364)</f>
        <v/>
      </c>
      <c r="AE364" s="20"/>
      <c r="AF364" s="10"/>
      <c r="AG364" s="21" t="n">
        <f aca="false">IF(OR(AE364="",AE364=0),0,AE364*IF(U364="",0,IF(U364&gt;1,U364/100,U364)))</f>
        <v>0</v>
      </c>
      <c r="AH364" s="21" t="n">
        <f aca="false">IF(OR(AE364="",AE364=0),0,AE364*IF(X364="",0,IF(X364&gt;1,X364/100,X364)))</f>
        <v>0</v>
      </c>
      <c r="AI364" s="21" t="n">
        <f aca="false">IF(OR(AE364="",AE364=0),0,AE364*IF(AA364="",0,IF(AA364&gt;1,AA364/100,AA364)))</f>
        <v>0</v>
      </c>
      <c r="AJ364" s="21" t="n">
        <f aca="false">AG364+AH364+AI364</f>
        <v>0</v>
      </c>
      <c r="AK364" s="21" t="n">
        <f aca="false">IF(OR(AE364="",AE364=0),0,AE364-AJ364)</f>
        <v>0</v>
      </c>
      <c r="AL364" s="19" t="str">
        <f aca="false">IF(AD364="","",AD364-AK364)</f>
        <v/>
      </c>
      <c r="AM364" s="9" t="str">
        <f aca="false">IF(C364="","","Waiting for payment")</f>
        <v/>
      </c>
      <c r="AN364" s="10"/>
      <c r="AO364" s="10"/>
      <c r="AP364" s="22" t="str">
        <f aca="false">IF(OR(C364="",I364="",K364=""),"",IF(K364="Monthly",EDATE(C364,ROUND(I364*SETTINGS!$I$8,0)),WORKDAY(C364,ROUND(I364*SETTINGS!$I$8,0))))</f>
        <v/>
      </c>
      <c r="AQ364" s="9" t="str">
        <f aca="true">IF(C364="","",IF(AND(AP364&lt;&gt;"",TODAY()&gt;=AP364),"Refi Ready",IF(TODAY()-C364&gt;=SETTINGS!$I$11,"Prospecting","Performing")))</f>
        <v/>
      </c>
      <c r="AR364" s="22" t="str">
        <f aca="false">IF(OR(C364="",I364="",K364=""),"",IF(K364="Monthly",EDATE(C364,I364),WORKDAY(C364,I364)))</f>
        <v/>
      </c>
      <c r="AS364" s="11"/>
      <c r="AT364" s="23" t="str">
        <f aca="true">IF(C364="","",IF(AM364="Clawed Back","CLAWED",IF(TODAY()&lt;=C364+SETTINGS!$I$2,"⚠ AT RISK","SAFE")))</f>
        <v/>
      </c>
      <c r="AU364" s="11"/>
      <c r="AW364" s="24" t="n">
        <f aca="false">AW363+IF(AND(C364&lt;&gt;"",AO364&lt;&gt;"",OR('REP COMMISSION'!$B$3="",T364='REP COMMISSION'!$B$3,W364='REP COMMISSION'!$B$3,Z364='REP COMMISSION'!$B$3)),1,0)</f>
        <v>0</v>
      </c>
      <c r="AX364" s="24" t="n">
        <f aca="false">AX363+IF(AND(C364&lt;&gt;"",OR(F364="LOC - INITIAL",F364="CONSOLIDATION - UPFRONT COMM",F364="REVERSE - TOTAL FUNDING")),1,0)</f>
        <v>0</v>
      </c>
    </row>
    <row r="365" customFormat="false" ht="15" hidden="false" customHeight="false" outlineLevel="0" collapsed="false">
      <c r="A365" s="25" t="str">
        <f aca="false">IF(C365&lt;&gt;"","F27-"&amp;COUNT($C$4:C365),"")</f>
        <v/>
      </c>
      <c r="B365" s="26" t="str">
        <f aca="false">IF(OR(F365="LOC - INITIAL",F365="CONSOLIDATION - UPFRONT COMM",F365="REVERSE - TOTAL FUNDING"),A365,"")</f>
        <v/>
      </c>
      <c r="C365" s="27"/>
      <c r="D365" s="28"/>
      <c r="E365" s="28"/>
      <c r="F365" s="28"/>
      <c r="G365" s="29"/>
      <c r="H365" s="30"/>
      <c r="I365" s="28"/>
      <c r="J365" s="31" t="str">
        <f aca="false">IF(AND(G365&lt;&gt;"",H365&lt;&gt;""),G365*H365,"")</f>
        <v/>
      </c>
      <c r="K365" s="28"/>
      <c r="L365" s="32"/>
      <c r="M365" s="32"/>
      <c r="N365" s="31" t="n">
        <f aca="false">IF(OR(G365="",M365=""),0,IF(M365&gt;100,M365,G365*IF(M365&gt;1,M365/100,M365)))</f>
        <v>0</v>
      </c>
      <c r="O365" s="31" t="str">
        <f aca="false">IF(G365="","",G365*IF(L365="",0,IF(L365&gt;1,L365/100,L365))+N365)</f>
        <v/>
      </c>
      <c r="P365" s="28"/>
      <c r="Q365" s="33" t="str">
        <f aca="false">IF(P365="","",IFERROR(VLOOKUP(P365,PARTNERS!$A$2:$B$30,2,0),""))</f>
        <v/>
      </c>
      <c r="R365" s="17" t="str">
        <f aca="false">IF(O365="","",IF(OR(P365="",Q365=""),0,(O365-N365)*IF(Q365&gt;1,Q365/100,Q365)))</f>
        <v/>
      </c>
      <c r="S365" s="31" t="str">
        <f aca="false">IF(O365="","",O365-R365)</f>
        <v/>
      </c>
      <c r="T365" s="28"/>
      <c r="U365" s="34" t="str">
        <f aca="false">IF(T365="","",IFERROR(VLOOKUP(T365,REPS!$A$2:$D$40,2,0),""))</f>
        <v/>
      </c>
      <c r="V365" s="31" t="str">
        <f aca="false">IF(O365="","",IF(U365="",0,O365*IF(U365&gt;1,U365/100,U365)))</f>
        <v/>
      </c>
      <c r="W365" s="28"/>
      <c r="X365" s="34" t="str">
        <f aca="false">IF(W365="","",IFERROR(VLOOKUP(W365,REPS!$A$2:$D$40,3,0),""))</f>
        <v/>
      </c>
      <c r="Y365" s="31" t="str">
        <f aca="false">IF(O365="","",IF(X365="",0,O365*IF(X365&gt;1,X365/100,X365)))</f>
        <v/>
      </c>
      <c r="Z365" s="28"/>
      <c r="AA365" s="34" t="str">
        <f aca="false">IF(Z365="","",IFERROR(VLOOKUP(Z365,REPS!$A$2:$D$40,4,0),""))</f>
        <v/>
      </c>
      <c r="AB365" s="31" t="str">
        <f aca="false">IF(O365="","",IF(AA365="",0,O365*IF(AA365&gt;1,AA365/100,AA365)))</f>
        <v/>
      </c>
      <c r="AC365" s="31" t="str">
        <f aca="false">IF(O365="","",V365+Y365+AB365)</f>
        <v/>
      </c>
      <c r="AD365" s="19" t="str">
        <f aca="false">IF(O365="","",O365-R365-AC365)</f>
        <v/>
      </c>
      <c r="AE365" s="20"/>
      <c r="AF365" s="27"/>
      <c r="AG365" s="21" t="n">
        <f aca="false">IF(OR(AE365="",AE365=0),0,AE365*IF(U365="",0,IF(U365&gt;1,U365/100,U365)))</f>
        <v>0</v>
      </c>
      <c r="AH365" s="21" t="n">
        <f aca="false">IF(OR(AE365="",AE365=0),0,AE365*IF(X365="",0,IF(X365&gt;1,X365/100,X365)))</f>
        <v>0</v>
      </c>
      <c r="AI365" s="21" t="n">
        <f aca="false">IF(OR(AE365="",AE365=0),0,AE365*IF(AA365="",0,IF(AA365&gt;1,AA365/100,AA365)))</f>
        <v>0</v>
      </c>
      <c r="AJ365" s="21" t="n">
        <f aca="false">AG365+AH365+AI365</f>
        <v>0</v>
      </c>
      <c r="AK365" s="21" t="n">
        <f aca="false">IF(OR(AE365="",AE365=0),0,AE365-AJ365)</f>
        <v>0</v>
      </c>
      <c r="AL365" s="19" t="str">
        <f aca="false">IF(AD365="","",AD365-AK365)</f>
        <v/>
      </c>
      <c r="AM365" s="26" t="str">
        <f aca="false">IF(C365="","","Waiting for payment")</f>
        <v/>
      </c>
      <c r="AN365" s="27"/>
      <c r="AO365" s="27"/>
      <c r="AP365" s="35" t="str">
        <f aca="false">IF(OR(C365="",I365="",K365=""),"",IF(K365="Monthly",EDATE(C365,ROUND(I365*SETTINGS!$I$8,0)),WORKDAY(C365,ROUND(I365*SETTINGS!$I$8,0))))</f>
        <v/>
      </c>
      <c r="AQ365" s="26" t="str">
        <f aca="true">IF(C365="","",IF(AND(AP365&lt;&gt;"",TODAY()&gt;=AP365),"Refi Ready",IF(TODAY()-C365&gt;=SETTINGS!$I$11,"Prospecting","Performing")))</f>
        <v/>
      </c>
      <c r="AR365" s="35" t="str">
        <f aca="false">IF(OR(C365="",I365="",K365=""),"",IF(K365="Monthly",EDATE(C365,I365),WORKDAY(C365,I365)))</f>
        <v/>
      </c>
      <c r="AS365" s="28"/>
      <c r="AT365" s="36" t="str">
        <f aca="true">IF(C365="","",IF(AM365="Clawed Back","CLAWED",IF(TODAY()&lt;=C365+SETTINGS!$I$2,"⚠ AT RISK","SAFE")))</f>
        <v/>
      </c>
      <c r="AU365" s="28"/>
      <c r="AW365" s="24" t="n">
        <f aca="false">AW364+IF(AND(C365&lt;&gt;"",AO365&lt;&gt;"",OR('REP COMMISSION'!$B$3="",T365='REP COMMISSION'!$B$3,W365='REP COMMISSION'!$B$3,Z365='REP COMMISSION'!$B$3)),1,0)</f>
        <v>0</v>
      </c>
      <c r="AX365" s="24" t="n">
        <f aca="false">AX364+IF(AND(C365&lt;&gt;"",OR(F365="LOC - INITIAL",F365="CONSOLIDATION - UPFRONT COMM",F365="REVERSE - TOTAL FUNDING")),1,0)</f>
        <v>0</v>
      </c>
    </row>
    <row r="366" customFormat="false" ht="15" hidden="false" customHeight="false" outlineLevel="0" collapsed="false">
      <c r="A366" s="8" t="str">
        <f aca="false">IF(C366&lt;&gt;"","F27-"&amp;COUNT($C$4:C366),"")</f>
        <v/>
      </c>
      <c r="B366" s="9" t="str">
        <f aca="false">IF(OR(F366="LOC - INITIAL",F366="CONSOLIDATION - UPFRONT COMM",F366="REVERSE - TOTAL FUNDING"),A366,"")</f>
        <v/>
      </c>
      <c r="C366" s="10"/>
      <c r="D366" s="11"/>
      <c r="E366" s="11"/>
      <c r="F366" s="11"/>
      <c r="G366" s="12"/>
      <c r="H366" s="13"/>
      <c r="I366" s="11"/>
      <c r="J366" s="14" t="str">
        <f aca="false">IF(AND(G366&lt;&gt;"",H366&lt;&gt;""),G366*H366,"")</f>
        <v/>
      </c>
      <c r="K366" s="11"/>
      <c r="L366" s="15"/>
      <c r="M366" s="15"/>
      <c r="N366" s="14" t="n">
        <f aca="false">IF(OR(G366="",M366=""),0,IF(M366&gt;100,M366,G366*IF(M366&gt;1,M366/100,M366)))</f>
        <v>0</v>
      </c>
      <c r="O366" s="14" t="str">
        <f aca="false">IF(G366="","",G366*IF(L366="",0,IF(L366&gt;1,L366/100,L366))+N366)</f>
        <v/>
      </c>
      <c r="P366" s="11"/>
      <c r="Q366" s="16" t="str">
        <f aca="false">IF(P366="","",IFERROR(VLOOKUP(P366,PARTNERS!$A$2:$B$30,2,0),""))</f>
        <v/>
      </c>
      <c r="R366" s="17" t="str">
        <f aca="false">IF(O366="","",IF(OR(P366="",Q366=""),0,(O366-N366)*IF(Q366&gt;1,Q366/100,Q366)))</f>
        <v/>
      </c>
      <c r="S366" s="14" t="str">
        <f aca="false">IF(O366="","",O366-R366)</f>
        <v/>
      </c>
      <c r="T366" s="11"/>
      <c r="U366" s="18" t="str">
        <f aca="false">IF(T366="","",IFERROR(VLOOKUP(T366,REPS!$A$2:$D$40,2,0),""))</f>
        <v/>
      </c>
      <c r="V366" s="14" t="str">
        <f aca="false">IF(O366="","",IF(U366="",0,O366*IF(U366&gt;1,U366/100,U366)))</f>
        <v/>
      </c>
      <c r="W366" s="11"/>
      <c r="X366" s="18" t="str">
        <f aca="false">IF(W366="","",IFERROR(VLOOKUP(W366,REPS!$A$2:$D$40,3,0),""))</f>
        <v/>
      </c>
      <c r="Y366" s="14" t="str">
        <f aca="false">IF(O366="","",IF(X366="",0,O366*IF(X366&gt;1,X366/100,X366)))</f>
        <v/>
      </c>
      <c r="Z366" s="11"/>
      <c r="AA366" s="18" t="str">
        <f aca="false">IF(Z366="","",IFERROR(VLOOKUP(Z366,REPS!$A$2:$D$40,4,0),""))</f>
        <v/>
      </c>
      <c r="AB366" s="14" t="str">
        <f aca="false">IF(O366="","",IF(AA366="",0,O366*IF(AA366&gt;1,AA366/100,AA366)))</f>
        <v/>
      </c>
      <c r="AC366" s="14" t="str">
        <f aca="false">IF(O366="","",V366+Y366+AB366)</f>
        <v/>
      </c>
      <c r="AD366" s="19" t="str">
        <f aca="false">IF(O366="","",O366-R366-AC366)</f>
        <v/>
      </c>
      <c r="AE366" s="20"/>
      <c r="AF366" s="10"/>
      <c r="AG366" s="21" t="n">
        <f aca="false">IF(OR(AE366="",AE366=0),0,AE366*IF(U366="",0,IF(U366&gt;1,U366/100,U366)))</f>
        <v>0</v>
      </c>
      <c r="AH366" s="21" t="n">
        <f aca="false">IF(OR(AE366="",AE366=0),0,AE366*IF(X366="",0,IF(X366&gt;1,X366/100,X366)))</f>
        <v>0</v>
      </c>
      <c r="AI366" s="21" t="n">
        <f aca="false">IF(OR(AE366="",AE366=0),0,AE366*IF(AA366="",0,IF(AA366&gt;1,AA366/100,AA366)))</f>
        <v>0</v>
      </c>
      <c r="AJ366" s="21" t="n">
        <f aca="false">AG366+AH366+AI366</f>
        <v>0</v>
      </c>
      <c r="AK366" s="21" t="n">
        <f aca="false">IF(OR(AE366="",AE366=0),0,AE366-AJ366)</f>
        <v>0</v>
      </c>
      <c r="AL366" s="19" t="str">
        <f aca="false">IF(AD366="","",AD366-AK366)</f>
        <v/>
      </c>
      <c r="AM366" s="9" t="str">
        <f aca="false">IF(C366="","","Waiting for payment")</f>
        <v/>
      </c>
      <c r="AN366" s="10"/>
      <c r="AO366" s="10"/>
      <c r="AP366" s="22" t="str">
        <f aca="false">IF(OR(C366="",I366="",K366=""),"",IF(K366="Monthly",EDATE(C366,ROUND(I366*SETTINGS!$I$8,0)),WORKDAY(C366,ROUND(I366*SETTINGS!$I$8,0))))</f>
        <v/>
      </c>
      <c r="AQ366" s="9" t="str">
        <f aca="true">IF(C366="","",IF(AND(AP366&lt;&gt;"",TODAY()&gt;=AP366),"Refi Ready",IF(TODAY()-C366&gt;=SETTINGS!$I$11,"Prospecting","Performing")))</f>
        <v/>
      </c>
      <c r="AR366" s="22" t="str">
        <f aca="false">IF(OR(C366="",I366="",K366=""),"",IF(K366="Monthly",EDATE(C366,I366),WORKDAY(C366,I366)))</f>
        <v/>
      </c>
      <c r="AS366" s="11"/>
      <c r="AT366" s="23" t="str">
        <f aca="true">IF(C366="","",IF(AM366="Clawed Back","CLAWED",IF(TODAY()&lt;=C366+SETTINGS!$I$2,"⚠ AT RISK","SAFE")))</f>
        <v/>
      </c>
      <c r="AU366" s="11"/>
      <c r="AW366" s="24" t="n">
        <f aca="false">AW365+IF(AND(C366&lt;&gt;"",AO366&lt;&gt;"",OR('REP COMMISSION'!$B$3="",T366='REP COMMISSION'!$B$3,W366='REP COMMISSION'!$B$3,Z366='REP COMMISSION'!$B$3)),1,0)</f>
        <v>0</v>
      </c>
      <c r="AX366" s="24" t="n">
        <f aca="false">AX365+IF(AND(C366&lt;&gt;"",OR(F366="LOC - INITIAL",F366="CONSOLIDATION - UPFRONT COMM",F366="REVERSE - TOTAL FUNDING")),1,0)</f>
        <v>0</v>
      </c>
    </row>
    <row r="367" customFormat="false" ht="15" hidden="false" customHeight="false" outlineLevel="0" collapsed="false">
      <c r="A367" s="25" t="str">
        <f aca="false">IF(C367&lt;&gt;"","F27-"&amp;COUNT($C$4:C367),"")</f>
        <v/>
      </c>
      <c r="B367" s="26" t="str">
        <f aca="false">IF(OR(F367="LOC - INITIAL",F367="CONSOLIDATION - UPFRONT COMM",F367="REVERSE - TOTAL FUNDING"),A367,"")</f>
        <v/>
      </c>
      <c r="C367" s="27"/>
      <c r="D367" s="28"/>
      <c r="E367" s="28"/>
      <c r="F367" s="28"/>
      <c r="G367" s="29"/>
      <c r="H367" s="30"/>
      <c r="I367" s="28"/>
      <c r="J367" s="31" t="str">
        <f aca="false">IF(AND(G367&lt;&gt;"",H367&lt;&gt;""),G367*H367,"")</f>
        <v/>
      </c>
      <c r="K367" s="28"/>
      <c r="L367" s="32"/>
      <c r="M367" s="32"/>
      <c r="N367" s="31" t="n">
        <f aca="false">IF(OR(G367="",M367=""),0,IF(M367&gt;100,M367,G367*IF(M367&gt;1,M367/100,M367)))</f>
        <v>0</v>
      </c>
      <c r="O367" s="31" t="str">
        <f aca="false">IF(G367="","",G367*IF(L367="",0,IF(L367&gt;1,L367/100,L367))+N367)</f>
        <v/>
      </c>
      <c r="P367" s="28"/>
      <c r="Q367" s="33" t="str">
        <f aca="false">IF(P367="","",IFERROR(VLOOKUP(P367,PARTNERS!$A$2:$B$30,2,0),""))</f>
        <v/>
      </c>
      <c r="R367" s="17" t="str">
        <f aca="false">IF(O367="","",IF(OR(P367="",Q367=""),0,(O367-N367)*IF(Q367&gt;1,Q367/100,Q367)))</f>
        <v/>
      </c>
      <c r="S367" s="31" t="str">
        <f aca="false">IF(O367="","",O367-R367)</f>
        <v/>
      </c>
      <c r="T367" s="28"/>
      <c r="U367" s="34" t="str">
        <f aca="false">IF(T367="","",IFERROR(VLOOKUP(T367,REPS!$A$2:$D$40,2,0),""))</f>
        <v/>
      </c>
      <c r="V367" s="31" t="str">
        <f aca="false">IF(O367="","",IF(U367="",0,O367*IF(U367&gt;1,U367/100,U367)))</f>
        <v/>
      </c>
      <c r="W367" s="28"/>
      <c r="X367" s="34" t="str">
        <f aca="false">IF(W367="","",IFERROR(VLOOKUP(W367,REPS!$A$2:$D$40,3,0),""))</f>
        <v/>
      </c>
      <c r="Y367" s="31" t="str">
        <f aca="false">IF(O367="","",IF(X367="",0,O367*IF(X367&gt;1,X367/100,X367)))</f>
        <v/>
      </c>
      <c r="Z367" s="28"/>
      <c r="AA367" s="34" t="str">
        <f aca="false">IF(Z367="","",IFERROR(VLOOKUP(Z367,REPS!$A$2:$D$40,4,0),""))</f>
        <v/>
      </c>
      <c r="AB367" s="31" t="str">
        <f aca="false">IF(O367="","",IF(AA367="",0,O367*IF(AA367&gt;1,AA367/100,AA367)))</f>
        <v/>
      </c>
      <c r="AC367" s="31" t="str">
        <f aca="false">IF(O367="","",V367+Y367+AB367)</f>
        <v/>
      </c>
      <c r="AD367" s="19" t="str">
        <f aca="false">IF(O367="","",O367-R367-AC367)</f>
        <v/>
      </c>
      <c r="AE367" s="20"/>
      <c r="AF367" s="27"/>
      <c r="AG367" s="21" t="n">
        <f aca="false">IF(OR(AE367="",AE367=0),0,AE367*IF(U367="",0,IF(U367&gt;1,U367/100,U367)))</f>
        <v>0</v>
      </c>
      <c r="AH367" s="21" t="n">
        <f aca="false">IF(OR(AE367="",AE367=0),0,AE367*IF(X367="",0,IF(X367&gt;1,X367/100,X367)))</f>
        <v>0</v>
      </c>
      <c r="AI367" s="21" t="n">
        <f aca="false">IF(OR(AE367="",AE367=0),0,AE367*IF(AA367="",0,IF(AA367&gt;1,AA367/100,AA367)))</f>
        <v>0</v>
      </c>
      <c r="AJ367" s="21" t="n">
        <f aca="false">AG367+AH367+AI367</f>
        <v>0</v>
      </c>
      <c r="AK367" s="21" t="n">
        <f aca="false">IF(OR(AE367="",AE367=0),0,AE367-AJ367)</f>
        <v>0</v>
      </c>
      <c r="AL367" s="19" t="str">
        <f aca="false">IF(AD367="","",AD367-AK367)</f>
        <v/>
      </c>
      <c r="AM367" s="26" t="str">
        <f aca="false">IF(C367="","","Waiting for payment")</f>
        <v/>
      </c>
      <c r="AN367" s="27"/>
      <c r="AO367" s="27"/>
      <c r="AP367" s="35" t="str">
        <f aca="false">IF(OR(C367="",I367="",K367=""),"",IF(K367="Monthly",EDATE(C367,ROUND(I367*SETTINGS!$I$8,0)),WORKDAY(C367,ROUND(I367*SETTINGS!$I$8,0))))</f>
        <v/>
      </c>
      <c r="AQ367" s="26" t="str">
        <f aca="true">IF(C367="","",IF(AND(AP367&lt;&gt;"",TODAY()&gt;=AP367),"Refi Ready",IF(TODAY()-C367&gt;=SETTINGS!$I$11,"Prospecting","Performing")))</f>
        <v/>
      </c>
      <c r="AR367" s="35" t="str">
        <f aca="false">IF(OR(C367="",I367="",K367=""),"",IF(K367="Monthly",EDATE(C367,I367),WORKDAY(C367,I367)))</f>
        <v/>
      </c>
      <c r="AS367" s="28"/>
      <c r="AT367" s="36" t="str">
        <f aca="true">IF(C367="","",IF(AM367="Clawed Back","CLAWED",IF(TODAY()&lt;=C367+SETTINGS!$I$2,"⚠ AT RISK","SAFE")))</f>
        <v/>
      </c>
      <c r="AU367" s="28"/>
      <c r="AW367" s="24" t="n">
        <f aca="false">AW366+IF(AND(C367&lt;&gt;"",AO367&lt;&gt;"",OR('REP COMMISSION'!$B$3="",T367='REP COMMISSION'!$B$3,W367='REP COMMISSION'!$B$3,Z367='REP COMMISSION'!$B$3)),1,0)</f>
        <v>0</v>
      </c>
      <c r="AX367" s="24" t="n">
        <f aca="false">AX366+IF(AND(C367&lt;&gt;"",OR(F367="LOC - INITIAL",F367="CONSOLIDATION - UPFRONT COMM",F367="REVERSE - TOTAL FUNDING")),1,0)</f>
        <v>0</v>
      </c>
    </row>
    <row r="368" customFormat="false" ht="15" hidden="false" customHeight="false" outlineLevel="0" collapsed="false">
      <c r="A368" s="8" t="str">
        <f aca="false">IF(C368&lt;&gt;"","F27-"&amp;COUNT($C$4:C368),"")</f>
        <v/>
      </c>
      <c r="B368" s="9" t="str">
        <f aca="false">IF(OR(F368="LOC - INITIAL",F368="CONSOLIDATION - UPFRONT COMM",F368="REVERSE - TOTAL FUNDING"),A368,"")</f>
        <v/>
      </c>
      <c r="C368" s="10"/>
      <c r="D368" s="11"/>
      <c r="E368" s="11"/>
      <c r="F368" s="11"/>
      <c r="G368" s="12"/>
      <c r="H368" s="13"/>
      <c r="I368" s="11"/>
      <c r="J368" s="14" t="str">
        <f aca="false">IF(AND(G368&lt;&gt;"",H368&lt;&gt;""),G368*H368,"")</f>
        <v/>
      </c>
      <c r="K368" s="11"/>
      <c r="L368" s="15"/>
      <c r="M368" s="15"/>
      <c r="N368" s="14" t="n">
        <f aca="false">IF(OR(G368="",M368=""),0,IF(M368&gt;100,M368,G368*IF(M368&gt;1,M368/100,M368)))</f>
        <v>0</v>
      </c>
      <c r="O368" s="14" t="str">
        <f aca="false">IF(G368="","",G368*IF(L368="",0,IF(L368&gt;1,L368/100,L368))+N368)</f>
        <v/>
      </c>
      <c r="P368" s="11"/>
      <c r="Q368" s="16" t="str">
        <f aca="false">IF(P368="","",IFERROR(VLOOKUP(P368,PARTNERS!$A$2:$B$30,2,0),""))</f>
        <v/>
      </c>
      <c r="R368" s="17" t="str">
        <f aca="false">IF(O368="","",IF(OR(P368="",Q368=""),0,(O368-N368)*IF(Q368&gt;1,Q368/100,Q368)))</f>
        <v/>
      </c>
      <c r="S368" s="14" t="str">
        <f aca="false">IF(O368="","",O368-R368)</f>
        <v/>
      </c>
      <c r="T368" s="11"/>
      <c r="U368" s="18" t="str">
        <f aca="false">IF(T368="","",IFERROR(VLOOKUP(T368,REPS!$A$2:$D$40,2,0),""))</f>
        <v/>
      </c>
      <c r="V368" s="14" t="str">
        <f aca="false">IF(O368="","",IF(U368="",0,O368*IF(U368&gt;1,U368/100,U368)))</f>
        <v/>
      </c>
      <c r="W368" s="11"/>
      <c r="X368" s="18" t="str">
        <f aca="false">IF(W368="","",IFERROR(VLOOKUP(W368,REPS!$A$2:$D$40,3,0),""))</f>
        <v/>
      </c>
      <c r="Y368" s="14" t="str">
        <f aca="false">IF(O368="","",IF(X368="",0,O368*IF(X368&gt;1,X368/100,X368)))</f>
        <v/>
      </c>
      <c r="Z368" s="11"/>
      <c r="AA368" s="18" t="str">
        <f aca="false">IF(Z368="","",IFERROR(VLOOKUP(Z368,REPS!$A$2:$D$40,4,0),""))</f>
        <v/>
      </c>
      <c r="AB368" s="14" t="str">
        <f aca="false">IF(O368="","",IF(AA368="",0,O368*IF(AA368&gt;1,AA368/100,AA368)))</f>
        <v/>
      </c>
      <c r="AC368" s="14" t="str">
        <f aca="false">IF(O368="","",V368+Y368+AB368)</f>
        <v/>
      </c>
      <c r="AD368" s="19" t="str">
        <f aca="false">IF(O368="","",O368-R368-AC368)</f>
        <v/>
      </c>
      <c r="AE368" s="20"/>
      <c r="AF368" s="10"/>
      <c r="AG368" s="21" t="n">
        <f aca="false">IF(OR(AE368="",AE368=0),0,AE368*IF(U368="",0,IF(U368&gt;1,U368/100,U368)))</f>
        <v>0</v>
      </c>
      <c r="AH368" s="21" t="n">
        <f aca="false">IF(OR(AE368="",AE368=0),0,AE368*IF(X368="",0,IF(X368&gt;1,X368/100,X368)))</f>
        <v>0</v>
      </c>
      <c r="AI368" s="21" t="n">
        <f aca="false">IF(OR(AE368="",AE368=0),0,AE368*IF(AA368="",0,IF(AA368&gt;1,AA368/100,AA368)))</f>
        <v>0</v>
      </c>
      <c r="AJ368" s="21" t="n">
        <f aca="false">AG368+AH368+AI368</f>
        <v>0</v>
      </c>
      <c r="AK368" s="21" t="n">
        <f aca="false">IF(OR(AE368="",AE368=0),0,AE368-AJ368)</f>
        <v>0</v>
      </c>
      <c r="AL368" s="19" t="str">
        <f aca="false">IF(AD368="","",AD368-AK368)</f>
        <v/>
      </c>
      <c r="AM368" s="9" t="str">
        <f aca="false">IF(C368="","","Waiting for payment")</f>
        <v/>
      </c>
      <c r="AN368" s="10"/>
      <c r="AO368" s="10"/>
      <c r="AP368" s="22" t="str">
        <f aca="false">IF(OR(C368="",I368="",K368=""),"",IF(K368="Monthly",EDATE(C368,ROUND(I368*SETTINGS!$I$8,0)),WORKDAY(C368,ROUND(I368*SETTINGS!$I$8,0))))</f>
        <v/>
      </c>
      <c r="AQ368" s="9" t="str">
        <f aca="true">IF(C368="","",IF(AND(AP368&lt;&gt;"",TODAY()&gt;=AP368),"Refi Ready",IF(TODAY()-C368&gt;=SETTINGS!$I$11,"Prospecting","Performing")))</f>
        <v/>
      </c>
      <c r="AR368" s="22" t="str">
        <f aca="false">IF(OR(C368="",I368="",K368=""),"",IF(K368="Monthly",EDATE(C368,I368),WORKDAY(C368,I368)))</f>
        <v/>
      </c>
      <c r="AS368" s="11"/>
      <c r="AT368" s="23" t="str">
        <f aca="true">IF(C368="","",IF(AM368="Clawed Back","CLAWED",IF(TODAY()&lt;=C368+SETTINGS!$I$2,"⚠ AT RISK","SAFE")))</f>
        <v/>
      </c>
      <c r="AU368" s="11"/>
      <c r="AW368" s="24" t="n">
        <f aca="false">AW367+IF(AND(C368&lt;&gt;"",AO368&lt;&gt;"",OR('REP COMMISSION'!$B$3="",T368='REP COMMISSION'!$B$3,W368='REP COMMISSION'!$B$3,Z368='REP COMMISSION'!$B$3)),1,0)</f>
        <v>0</v>
      </c>
      <c r="AX368" s="24" t="n">
        <f aca="false">AX367+IF(AND(C368&lt;&gt;"",OR(F368="LOC - INITIAL",F368="CONSOLIDATION - UPFRONT COMM",F368="REVERSE - TOTAL FUNDING")),1,0)</f>
        <v>0</v>
      </c>
    </row>
    <row r="369" customFormat="false" ht="15" hidden="false" customHeight="false" outlineLevel="0" collapsed="false">
      <c r="A369" s="25" t="str">
        <f aca="false">IF(C369&lt;&gt;"","F27-"&amp;COUNT($C$4:C369),"")</f>
        <v/>
      </c>
      <c r="B369" s="26" t="str">
        <f aca="false">IF(OR(F369="LOC - INITIAL",F369="CONSOLIDATION - UPFRONT COMM",F369="REVERSE - TOTAL FUNDING"),A369,"")</f>
        <v/>
      </c>
      <c r="C369" s="27"/>
      <c r="D369" s="28"/>
      <c r="E369" s="28"/>
      <c r="F369" s="28"/>
      <c r="G369" s="29"/>
      <c r="H369" s="30"/>
      <c r="I369" s="28"/>
      <c r="J369" s="31" t="str">
        <f aca="false">IF(AND(G369&lt;&gt;"",H369&lt;&gt;""),G369*H369,"")</f>
        <v/>
      </c>
      <c r="K369" s="28"/>
      <c r="L369" s="32"/>
      <c r="M369" s="32"/>
      <c r="N369" s="31" t="n">
        <f aca="false">IF(OR(G369="",M369=""),0,IF(M369&gt;100,M369,G369*IF(M369&gt;1,M369/100,M369)))</f>
        <v>0</v>
      </c>
      <c r="O369" s="31" t="str">
        <f aca="false">IF(G369="","",G369*IF(L369="",0,IF(L369&gt;1,L369/100,L369))+N369)</f>
        <v/>
      </c>
      <c r="P369" s="28"/>
      <c r="Q369" s="33" t="str">
        <f aca="false">IF(P369="","",IFERROR(VLOOKUP(P369,PARTNERS!$A$2:$B$30,2,0),""))</f>
        <v/>
      </c>
      <c r="R369" s="17" t="str">
        <f aca="false">IF(O369="","",IF(OR(P369="",Q369=""),0,(O369-N369)*IF(Q369&gt;1,Q369/100,Q369)))</f>
        <v/>
      </c>
      <c r="S369" s="31" t="str">
        <f aca="false">IF(O369="","",O369-R369)</f>
        <v/>
      </c>
      <c r="T369" s="28"/>
      <c r="U369" s="34" t="str">
        <f aca="false">IF(T369="","",IFERROR(VLOOKUP(T369,REPS!$A$2:$D$40,2,0),""))</f>
        <v/>
      </c>
      <c r="V369" s="31" t="str">
        <f aca="false">IF(O369="","",IF(U369="",0,O369*IF(U369&gt;1,U369/100,U369)))</f>
        <v/>
      </c>
      <c r="W369" s="28"/>
      <c r="X369" s="34" t="str">
        <f aca="false">IF(W369="","",IFERROR(VLOOKUP(W369,REPS!$A$2:$D$40,3,0),""))</f>
        <v/>
      </c>
      <c r="Y369" s="31" t="str">
        <f aca="false">IF(O369="","",IF(X369="",0,O369*IF(X369&gt;1,X369/100,X369)))</f>
        <v/>
      </c>
      <c r="Z369" s="28"/>
      <c r="AA369" s="34" t="str">
        <f aca="false">IF(Z369="","",IFERROR(VLOOKUP(Z369,REPS!$A$2:$D$40,4,0),""))</f>
        <v/>
      </c>
      <c r="AB369" s="31" t="str">
        <f aca="false">IF(O369="","",IF(AA369="",0,O369*IF(AA369&gt;1,AA369/100,AA369)))</f>
        <v/>
      </c>
      <c r="AC369" s="31" t="str">
        <f aca="false">IF(O369="","",V369+Y369+AB369)</f>
        <v/>
      </c>
      <c r="AD369" s="19" t="str">
        <f aca="false">IF(O369="","",O369-R369-AC369)</f>
        <v/>
      </c>
      <c r="AE369" s="20"/>
      <c r="AF369" s="27"/>
      <c r="AG369" s="21" t="n">
        <f aca="false">IF(OR(AE369="",AE369=0),0,AE369*IF(U369="",0,IF(U369&gt;1,U369/100,U369)))</f>
        <v>0</v>
      </c>
      <c r="AH369" s="21" t="n">
        <f aca="false">IF(OR(AE369="",AE369=0),0,AE369*IF(X369="",0,IF(X369&gt;1,X369/100,X369)))</f>
        <v>0</v>
      </c>
      <c r="AI369" s="21" t="n">
        <f aca="false">IF(OR(AE369="",AE369=0),0,AE369*IF(AA369="",0,IF(AA369&gt;1,AA369/100,AA369)))</f>
        <v>0</v>
      </c>
      <c r="AJ369" s="21" t="n">
        <f aca="false">AG369+AH369+AI369</f>
        <v>0</v>
      </c>
      <c r="AK369" s="21" t="n">
        <f aca="false">IF(OR(AE369="",AE369=0),0,AE369-AJ369)</f>
        <v>0</v>
      </c>
      <c r="AL369" s="19" t="str">
        <f aca="false">IF(AD369="","",AD369-AK369)</f>
        <v/>
      </c>
      <c r="AM369" s="26" t="str">
        <f aca="false">IF(C369="","","Waiting for payment")</f>
        <v/>
      </c>
      <c r="AN369" s="27"/>
      <c r="AO369" s="27"/>
      <c r="AP369" s="35" t="str">
        <f aca="false">IF(OR(C369="",I369="",K369=""),"",IF(K369="Monthly",EDATE(C369,ROUND(I369*SETTINGS!$I$8,0)),WORKDAY(C369,ROUND(I369*SETTINGS!$I$8,0))))</f>
        <v/>
      </c>
      <c r="AQ369" s="26" t="str">
        <f aca="true">IF(C369="","",IF(AND(AP369&lt;&gt;"",TODAY()&gt;=AP369),"Refi Ready",IF(TODAY()-C369&gt;=SETTINGS!$I$11,"Prospecting","Performing")))</f>
        <v/>
      </c>
      <c r="AR369" s="35" t="str">
        <f aca="false">IF(OR(C369="",I369="",K369=""),"",IF(K369="Monthly",EDATE(C369,I369),WORKDAY(C369,I369)))</f>
        <v/>
      </c>
      <c r="AS369" s="28"/>
      <c r="AT369" s="36" t="str">
        <f aca="true">IF(C369="","",IF(AM369="Clawed Back","CLAWED",IF(TODAY()&lt;=C369+SETTINGS!$I$2,"⚠ AT RISK","SAFE")))</f>
        <v/>
      </c>
      <c r="AU369" s="28"/>
      <c r="AW369" s="24" t="n">
        <f aca="false">AW368+IF(AND(C369&lt;&gt;"",AO369&lt;&gt;"",OR('REP COMMISSION'!$B$3="",T369='REP COMMISSION'!$B$3,W369='REP COMMISSION'!$B$3,Z369='REP COMMISSION'!$B$3)),1,0)</f>
        <v>0</v>
      </c>
      <c r="AX369" s="24" t="n">
        <f aca="false">AX368+IF(AND(C369&lt;&gt;"",OR(F369="LOC - INITIAL",F369="CONSOLIDATION - UPFRONT COMM",F369="REVERSE - TOTAL FUNDING")),1,0)</f>
        <v>0</v>
      </c>
    </row>
    <row r="370" customFormat="false" ht="15" hidden="false" customHeight="false" outlineLevel="0" collapsed="false">
      <c r="A370" s="8" t="str">
        <f aca="false">IF(C370&lt;&gt;"","F27-"&amp;COUNT($C$4:C370),"")</f>
        <v/>
      </c>
      <c r="B370" s="9" t="str">
        <f aca="false">IF(OR(F370="LOC - INITIAL",F370="CONSOLIDATION - UPFRONT COMM",F370="REVERSE - TOTAL FUNDING"),A370,"")</f>
        <v/>
      </c>
      <c r="C370" s="10"/>
      <c r="D370" s="11"/>
      <c r="E370" s="11"/>
      <c r="F370" s="11"/>
      <c r="G370" s="12"/>
      <c r="H370" s="13"/>
      <c r="I370" s="11"/>
      <c r="J370" s="14" t="str">
        <f aca="false">IF(AND(G370&lt;&gt;"",H370&lt;&gt;""),G370*H370,"")</f>
        <v/>
      </c>
      <c r="K370" s="11"/>
      <c r="L370" s="15"/>
      <c r="M370" s="15"/>
      <c r="N370" s="14" t="n">
        <f aca="false">IF(OR(G370="",M370=""),0,IF(M370&gt;100,M370,G370*IF(M370&gt;1,M370/100,M370)))</f>
        <v>0</v>
      </c>
      <c r="O370" s="14" t="str">
        <f aca="false">IF(G370="","",G370*IF(L370="",0,IF(L370&gt;1,L370/100,L370))+N370)</f>
        <v/>
      </c>
      <c r="P370" s="11"/>
      <c r="Q370" s="16" t="str">
        <f aca="false">IF(P370="","",IFERROR(VLOOKUP(P370,PARTNERS!$A$2:$B$30,2,0),""))</f>
        <v/>
      </c>
      <c r="R370" s="17" t="str">
        <f aca="false">IF(O370="","",IF(OR(P370="",Q370=""),0,(O370-N370)*IF(Q370&gt;1,Q370/100,Q370)))</f>
        <v/>
      </c>
      <c r="S370" s="14" t="str">
        <f aca="false">IF(O370="","",O370-R370)</f>
        <v/>
      </c>
      <c r="T370" s="11"/>
      <c r="U370" s="18" t="str">
        <f aca="false">IF(T370="","",IFERROR(VLOOKUP(T370,REPS!$A$2:$D$40,2,0),""))</f>
        <v/>
      </c>
      <c r="V370" s="14" t="str">
        <f aca="false">IF(O370="","",IF(U370="",0,O370*IF(U370&gt;1,U370/100,U370)))</f>
        <v/>
      </c>
      <c r="W370" s="11"/>
      <c r="X370" s="18" t="str">
        <f aca="false">IF(W370="","",IFERROR(VLOOKUP(W370,REPS!$A$2:$D$40,3,0),""))</f>
        <v/>
      </c>
      <c r="Y370" s="14" t="str">
        <f aca="false">IF(O370="","",IF(X370="",0,O370*IF(X370&gt;1,X370/100,X370)))</f>
        <v/>
      </c>
      <c r="Z370" s="11"/>
      <c r="AA370" s="18" t="str">
        <f aca="false">IF(Z370="","",IFERROR(VLOOKUP(Z370,REPS!$A$2:$D$40,4,0),""))</f>
        <v/>
      </c>
      <c r="AB370" s="14" t="str">
        <f aca="false">IF(O370="","",IF(AA370="",0,O370*IF(AA370&gt;1,AA370/100,AA370)))</f>
        <v/>
      </c>
      <c r="AC370" s="14" t="str">
        <f aca="false">IF(O370="","",V370+Y370+AB370)</f>
        <v/>
      </c>
      <c r="AD370" s="19" t="str">
        <f aca="false">IF(O370="","",O370-R370-AC370)</f>
        <v/>
      </c>
      <c r="AE370" s="20"/>
      <c r="AF370" s="10"/>
      <c r="AG370" s="21" t="n">
        <f aca="false">IF(OR(AE370="",AE370=0),0,AE370*IF(U370="",0,IF(U370&gt;1,U370/100,U370)))</f>
        <v>0</v>
      </c>
      <c r="AH370" s="21" t="n">
        <f aca="false">IF(OR(AE370="",AE370=0),0,AE370*IF(X370="",0,IF(X370&gt;1,X370/100,X370)))</f>
        <v>0</v>
      </c>
      <c r="AI370" s="21" t="n">
        <f aca="false">IF(OR(AE370="",AE370=0),0,AE370*IF(AA370="",0,IF(AA370&gt;1,AA370/100,AA370)))</f>
        <v>0</v>
      </c>
      <c r="AJ370" s="21" t="n">
        <f aca="false">AG370+AH370+AI370</f>
        <v>0</v>
      </c>
      <c r="AK370" s="21" t="n">
        <f aca="false">IF(OR(AE370="",AE370=0),0,AE370-AJ370)</f>
        <v>0</v>
      </c>
      <c r="AL370" s="19" t="str">
        <f aca="false">IF(AD370="","",AD370-AK370)</f>
        <v/>
      </c>
      <c r="AM370" s="9" t="str">
        <f aca="false">IF(C370="","","Waiting for payment")</f>
        <v/>
      </c>
      <c r="AN370" s="10"/>
      <c r="AO370" s="10"/>
      <c r="AP370" s="22" t="str">
        <f aca="false">IF(OR(C370="",I370="",K370=""),"",IF(K370="Monthly",EDATE(C370,ROUND(I370*SETTINGS!$I$8,0)),WORKDAY(C370,ROUND(I370*SETTINGS!$I$8,0))))</f>
        <v/>
      </c>
      <c r="AQ370" s="9" t="str">
        <f aca="true">IF(C370="","",IF(AND(AP370&lt;&gt;"",TODAY()&gt;=AP370),"Refi Ready",IF(TODAY()-C370&gt;=SETTINGS!$I$11,"Prospecting","Performing")))</f>
        <v/>
      </c>
      <c r="AR370" s="22" t="str">
        <f aca="false">IF(OR(C370="",I370="",K370=""),"",IF(K370="Monthly",EDATE(C370,I370),WORKDAY(C370,I370)))</f>
        <v/>
      </c>
      <c r="AS370" s="11"/>
      <c r="AT370" s="23" t="str">
        <f aca="true">IF(C370="","",IF(AM370="Clawed Back","CLAWED",IF(TODAY()&lt;=C370+SETTINGS!$I$2,"⚠ AT RISK","SAFE")))</f>
        <v/>
      </c>
      <c r="AU370" s="11"/>
      <c r="AW370" s="24" t="n">
        <f aca="false">AW369+IF(AND(C370&lt;&gt;"",AO370&lt;&gt;"",OR('REP COMMISSION'!$B$3="",T370='REP COMMISSION'!$B$3,W370='REP COMMISSION'!$B$3,Z370='REP COMMISSION'!$B$3)),1,0)</f>
        <v>0</v>
      </c>
      <c r="AX370" s="24" t="n">
        <f aca="false">AX369+IF(AND(C370&lt;&gt;"",OR(F370="LOC - INITIAL",F370="CONSOLIDATION - UPFRONT COMM",F370="REVERSE - TOTAL FUNDING")),1,0)</f>
        <v>0</v>
      </c>
    </row>
    <row r="371" customFormat="false" ht="15" hidden="false" customHeight="false" outlineLevel="0" collapsed="false">
      <c r="A371" s="25" t="str">
        <f aca="false">IF(C371&lt;&gt;"","F27-"&amp;COUNT($C$4:C371),"")</f>
        <v/>
      </c>
      <c r="B371" s="26" t="str">
        <f aca="false">IF(OR(F371="LOC - INITIAL",F371="CONSOLIDATION - UPFRONT COMM",F371="REVERSE - TOTAL FUNDING"),A371,"")</f>
        <v/>
      </c>
      <c r="C371" s="27"/>
      <c r="D371" s="28"/>
      <c r="E371" s="28"/>
      <c r="F371" s="28"/>
      <c r="G371" s="29"/>
      <c r="H371" s="30"/>
      <c r="I371" s="28"/>
      <c r="J371" s="31" t="str">
        <f aca="false">IF(AND(G371&lt;&gt;"",H371&lt;&gt;""),G371*H371,"")</f>
        <v/>
      </c>
      <c r="K371" s="28"/>
      <c r="L371" s="32"/>
      <c r="M371" s="32"/>
      <c r="N371" s="31" t="n">
        <f aca="false">IF(OR(G371="",M371=""),0,IF(M371&gt;100,M371,G371*IF(M371&gt;1,M371/100,M371)))</f>
        <v>0</v>
      </c>
      <c r="O371" s="31" t="str">
        <f aca="false">IF(G371="","",G371*IF(L371="",0,IF(L371&gt;1,L371/100,L371))+N371)</f>
        <v/>
      </c>
      <c r="P371" s="28"/>
      <c r="Q371" s="33" t="str">
        <f aca="false">IF(P371="","",IFERROR(VLOOKUP(P371,PARTNERS!$A$2:$B$30,2,0),""))</f>
        <v/>
      </c>
      <c r="R371" s="17" t="str">
        <f aca="false">IF(O371="","",IF(OR(P371="",Q371=""),0,(O371-N371)*IF(Q371&gt;1,Q371/100,Q371)))</f>
        <v/>
      </c>
      <c r="S371" s="31" t="str">
        <f aca="false">IF(O371="","",O371-R371)</f>
        <v/>
      </c>
      <c r="T371" s="28"/>
      <c r="U371" s="34" t="str">
        <f aca="false">IF(T371="","",IFERROR(VLOOKUP(T371,REPS!$A$2:$D$40,2,0),""))</f>
        <v/>
      </c>
      <c r="V371" s="31" t="str">
        <f aca="false">IF(O371="","",IF(U371="",0,O371*IF(U371&gt;1,U371/100,U371)))</f>
        <v/>
      </c>
      <c r="W371" s="28"/>
      <c r="X371" s="34" t="str">
        <f aca="false">IF(W371="","",IFERROR(VLOOKUP(W371,REPS!$A$2:$D$40,3,0),""))</f>
        <v/>
      </c>
      <c r="Y371" s="31" t="str">
        <f aca="false">IF(O371="","",IF(X371="",0,O371*IF(X371&gt;1,X371/100,X371)))</f>
        <v/>
      </c>
      <c r="Z371" s="28"/>
      <c r="AA371" s="34" t="str">
        <f aca="false">IF(Z371="","",IFERROR(VLOOKUP(Z371,REPS!$A$2:$D$40,4,0),""))</f>
        <v/>
      </c>
      <c r="AB371" s="31" t="str">
        <f aca="false">IF(O371="","",IF(AA371="",0,O371*IF(AA371&gt;1,AA371/100,AA371)))</f>
        <v/>
      </c>
      <c r="AC371" s="31" t="str">
        <f aca="false">IF(O371="","",V371+Y371+AB371)</f>
        <v/>
      </c>
      <c r="AD371" s="19" t="str">
        <f aca="false">IF(O371="","",O371-R371-AC371)</f>
        <v/>
      </c>
      <c r="AE371" s="20"/>
      <c r="AF371" s="27"/>
      <c r="AG371" s="21" t="n">
        <f aca="false">IF(OR(AE371="",AE371=0),0,AE371*IF(U371="",0,IF(U371&gt;1,U371/100,U371)))</f>
        <v>0</v>
      </c>
      <c r="AH371" s="21" t="n">
        <f aca="false">IF(OR(AE371="",AE371=0),0,AE371*IF(X371="",0,IF(X371&gt;1,X371/100,X371)))</f>
        <v>0</v>
      </c>
      <c r="AI371" s="21" t="n">
        <f aca="false">IF(OR(AE371="",AE371=0),0,AE371*IF(AA371="",0,IF(AA371&gt;1,AA371/100,AA371)))</f>
        <v>0</v>
      </c>
      <c r="AJ371" s="21" t="n">
        <f aca="false">AG371+AH371+AI371</f>
        <v>0</v>
      </c>
      <c r="AK371" s="21" t="n">
        <f aca="false">IF(OR(AE371="",AE371=0),0,AE371-AJ371)</f>
        <v>0</v>
      </c>
      <c r="AL371" s="19" t="str">
        <f aca="false">IF(AD371="","",AD371-AK371)</f>
        <v/>
      </c>
      <c r="AM371" s="26" t="str">
        <f aca="false">IF(C371="","","Waiting for payment")</f>
        <v/>
      </c>
      <c r="AN371" s="27"/>
      <c r="AO371" s="27"/>
      <c r="AP371" s="35" t="str">
        <f aca="false">IF(OR(C371="",I371="",K371=""),"",IF(K371="Monthly",EDATE(C371,ROUND(I371*SETTINGS!$I$8,0)),WORKDAY(C371,ROUND(I371*SETTINGS!$I$8,0))))</f>
        <v/>
      </c>
      <c r="AQ371" s="26" t="str">
        <f aca="true">IF(C371="","",IF(AND(AP371&lt;&gt;"",TODAY()&gt;=AP371),"Refi Ready",IF(TODAY()-C371&gt;=SETTINGS!$I$11,"Prospecting","Performing")))</f>
        <v/>
      </c>
      <c r="AR371" s="35" t="str">
        <f aca="false">IF(OR(C371="",I371="",K371=""),"",IF(K371="Monthly",EDATE(C371,I371),WORKDAY(C371,I371)))</f>
        <v/>
      </c>
      <c r="AS371" s="28"/>
      <c r="AT371" s="36" t="str">
        <f aca="true">IF(C371="","",IF(AM371="Clawed Back","CLAWED",IF(TODAY()&lt;=C371+SETTINGS!$I$2,"⚠ AT RISK","SAFE")))</f>
        <v/>
      </c>
      <c r="AU371" s="28"/>
      <c r="AW371" s="24" t="n">
        <f aca="false">AW370+IF(AND(C371&lt;&gt;"",AO371&lt;&gt;"",OR('REP COMMISSION'!$B$3="",T371='REP COMMISSION'!$B$3,W371='REP COMMISSION'!$B$3,Z371='REP COMMISSION'!$B$3)),1,0)</f>
        <v>0</v>
      </c>
      <c r="AX371" s="24" t="n">
        <f aca="false">AX370+IF(AND(C371&lt;&gt;"",OR(F371="LOC - INITIAL",F371="CONSOLIDATION - UPFRONT COMM",F371="REVERSE - TOTAL FUNDING")),1,0)</f>
        <v>0</v>
      </c>
    </row>
    <row r="372" customFormat="false" ht="15" hidden="false" customHeight="false" outlineLevel="0" collapsed="false">
      <c r="A372" s="8" t="str">
        <f aca="false">IF(C372&lt;&gt;"","F27-"&amp;COUNT($C$4:C372),"")</f>
        <v/>
      </c>
      <c r="B372" s="9" t="str">
        <f aca="false">IF(OR(F372="LOC - INITIAL",F372="CONSOLIDATION - UPFRONT COMM",F372="REVERSE - TOTAL FUNDING"),A372,"")</f>
        <v/>
      </c>
      <c r="C372" s="10"/>
      <c r="D372" s="11"/>
      <c r="E372" s="11"/>
      <c r="F372" s="11"/>
      <c r="G372" s="12"/>
      <c r="H372" s="13"/>
      <c r="I372" s="11"/>
      <c r="J372" s="14" t="str">
        <f aca="false">IF(AND(G372&lt;&gt;"",H372&lt;&gt;""),G372*H372,"")</f>
        <v/>
      </c>
      <c r="K372" s="11"/>
      <c r="L372" s="15"/>
      <c r="M372" s="15"/>
      <c r="N372" s="14" t="n">
        <f aca="false">IF(OR(G372="",M372=""),0,IF(M372&gt;100,M372,G372*IF(M372&gt;1,M372/100,M372)))</f>
        <v>0</v>
      </c>
      <c r="O372" s="14" t="str">
        <f aca="false">IF(G372="","",G372*IF(L372="",0,IF(L372&gt;1,L372/100,L372))+N372)</f>
        <v/>
      </c>
      <c r="P372" s="11"/>
      <c r="Q372" s="16" t="str">
        <f aca="false">IF(P372="","",IFERROR(VLOOKUP(P372,PARTNERS!$A$2:$B$30,2,0),""))</f>
        <v/>
      </c>
      <c r="R372" s="17" t="str">
        <f aca="false">IF(O372="","",IF(OR(P372="",Q372=""),0,(O372-N372)*IF(Q372&gt;1,Q372/100,Q372)))</f>
        <v/>
      </c>
      <c r="S372" s="14" t="str">
        <f aca="false">IF(O372="","",O372-R372)</f>
        <v/>
      </c>
      <c r="T372" s="11"/>
      <c r="U372" s="18" t="str">
        <f aca="false">IF(T372="","",IFERROR(VLOOKUP(T372,REPS!$A$2:$D$40,2,0),""))</f>
        <v/>
      </c>
      <c r="V372" s="14" t="str">
        <f aca="false">IF(O372="","",IF(U372="",0,O372*IF(U372&gt;1,U372/100,U372)))</f>
        <v/>
      </c>
      <c r="W372" s="11"/>
      <c r="X372" s="18" t="str">
        <f aca="false">IF(W372="","",IFERROR(VLOOKUP(W372,REPS!$A$2:$D$40,3,0),""))</f>
        <v/>
      </c>
      <c r="Y372" s="14" t="str">
        <f aca="false">IF(O372="","",IF(X372="",0,O372*IF(X372&gt;1,X372/100,X372)))</f>
        <v/>
      </c>
      <c r="Z372" s="11"/>
      <c r="AA372" s="18" t="str">
        <f aca="false">IF(Z372="","",IFERROR(VLOOKUP(Z372,REPS!$A$2:$D$40,4,0),""))</f>
        <v/>
      </c>
      <c r="AB372" s="14" t="str">
        <f aca="false">IF(O372="","",IF(AA372="",0,O372*IF(AA372&gt;1,AA372/100,AA372)))</f>
        <v/>
      </c>
      <c r="AC372" s="14" t="str">
        <f aca="false">IF(O372="","",V372+Y372+AB372)</f>
        <v/>
      </c>
      <c r="AD372" s="19" t="str">
        <f aca="false">IF(O372="","",O372-R372-AC372)</f>
        <v/>
      </c>
      <c r="AE372" s="20"/>
      <c r="AF372" s="10"/>
      <c r="AG372" s="21" t="n">
        <f aca="false">IF(OR(AE372="",AE372=0),0,AE372*IF(U372="",0,IF(U372&gt;1,U372/100,U372)))</f>
        <v>0</v>
      </c>
      <c r="AH372" s="21" t="n">
        <f aca="false">IF(OR(AE372="",AE372=0),0,AE372*IF(X372="",0,IF(X372&gt;1,X372/100,X372)))</f>
        <v>0</v>
      </c>
      <c r="AI372" s="21" t="n">
        <f aca="false">IF(OR(AE372="",AE372=0),0,AE372*IF(AA372="",0,IF(AA372&gt;1,AA372/100,AA372)))</f>
        <v>0</v>
      </c>
      <c r="AJ372" s="21" t="n">
        <f aca="false">AG372+AH372+AI372</f>
        <v>0</v>
      </c>
      <c r="AK372" s="21" t="n">
        <f aca="false">IF(OR(AE372="",AE372=0),0,AE372-AJ372)</f>
        <v>0</v>
      </c>
      <c r="AL372" s="19" t="str">
        <f aca="false">IF(AD372="","",AD372-AK372)</f>
        <v/>
      </c>
      <c r="AM372" s="9" t="str">
        <f aca="false">IF(C372="","","Waiting for payment")</f>
        <v/>
      </c>
      <c r="AN372" s="10"/>
      <c r="AO372" s="10"/>
      <c r="AP372" s="22" t="str">
        <f aca="false">IF(OR(C372="",I372="",K372=""),"",IF(K372="Monthly",EDATE(C372,ROUND(I372*SETTINGS!$I$8,0)),WORKDAY(C372,ROUND(I372*SETTINGS!$I$8,0))))</f>
        <v/>
      </c>
      <c r="AQ372" s="9" t="str">
        <f aca="true">IF(C372="","",IF(AND(AP372&lt;&gt;"",TODAY()&gt;=AP372),"Refi Ready",IF(TODAY()-C372&gt;=SETTINGS!$I$11,"Prospecting","Performing")))</f>
        <v/>
      </c>
      <c r="AR372" s="22" t="str">
        <f aca="false">IF(OR(C372="",I372="",K372=""),"",IF(K372="Monthly",EDATE(C372,I372),WORKDAY(C372,I372)))</f>
        <v/>
      </c>
      <c r="AS372" s="11"/>
      <c r="AT372" s="23" t="str">
        <f aca="true">IF(C372="","",IF(AM372="Clawed Back","CLAWED",IF(TODAY()&lt;=C372+SETTINGS!$I$2,"⚠ AT RISK","SAFE")))</f>
        <v/>
      </c>
      <c r="AU372" s="11"/>
      <c r="AW372" s="24" t="n">
        <f aca="false">AW371+IF(AND(C372&lt;&gt;"",AO372&lt;&gt;"",OR('REP COMMISSION'!$B$3="",T372='REP COMMISSION'!$B$3,W372='REP COMMISSION'!$B$3,Z372='REP COMMISSION'!$B$3)),1,0)</f>
        <v>0</v>
      </c>
      <c r="AX372" s="24" t="n">
        <f aca="false">AX371+IF(AND(C372&lt;&gt;"",OR(F372="LOC - INITIAL",F372="CONSOLIDATION - UPFRONT COMM",F372="REVERSE - TOTAL FUNDING")),1,0)</f>
        <v>0</v>
      </c>
    </row>
    <row r="373" customFormat="false" ht="15" hidden="false" customHeight="false" outlineLevel="0" collapsed="false">
      <c r="A373" s="25" t="str">
        <f aca="false">IF(C373&lt;&gt;"","F27-"&amp;COUNT($C$4:C373),"")</f>
        <v/>
      </c>
      <c r="B373" s="26" t="str">
        <f aca="false">IF(OR(F373="LOC - INITIAL",F373="CONSOLIDATION - UPFRONT COMM",F373="REVERSE - TOTAL FUNDING"),A373,"")</f>
        <v/>
      </c>
      <c r="C373" s="27"/>
      <c r="D373" s="28"/>
      <c r="E373" s="28"/>
      <c r="F373" s="28"/>
      <c r="G373" s="29"/>
      <c r="H373" s="30"/>
      <c r="I373" s="28"/>
      <c r="J373" s="31" t="str">
        <f aca="false">IF(AND(G373&lt;&gt;"",H373&lt;&gt;""),G373*H373,"")</f>
        <v/>
      </c>
      <c r="K373" s="28"/>
      <c r="L373" s="32"/>
      <c r="M373" s="32"/>
      <c r="N373" s="31" t="n">
        <f aca="false">IF(OR(G373="",M373=""),0,IF(M373&gt;100,M373,G373*IF(M373&gt;1,M373/100,M373)))</f>
        <v>0</v>
      </c>
      <c r="O373" s="31" t="str">
        <f aca="false">IF(G373="","",G373*IF(L373="",0,IF(L373&gt;1,L373/100,L373))+N373)</f>
        <v/>
      </c>
      <c r="P373" s="28"/>
      <c r="Q373" s="33" t="str">
        <f aca="false">IF(P373="","",IFERROR(VLOOKUP(P373,PARTNERS!$A$2:$B$30,2,0),""))</f>
        <v/>
      </c>
      <c r="R373" s="17" t="str">
        <f aca="false">IF(O373="","",IF(OR(P373="",Q373=""),0,(O373-N373)*IF(Q373&gt;1,Q373/100,Q373)))</f>
        <v/>
      </c>
      <c r="S373" s="31" t="str">
        <f aca="false">IF(O373="","",O373-R373)</f>
        <v/>
      </c>
      <c r="T373" s="28"/>
      <c r="U373" s="34" t="str">
        <f aca="false">IF(T373="","",IFERROR(VLOOKUP(T373,REPS!$A$2:$D$40,2,0),""))</f>
        <v/>
      </c>
      <c r="V373" s="31" t="str">
        <f aca="false">IF(O373="","",IF(U373="",0,O373*IF(U373&gt;1,U373/100,U373)))</f>
        <v/>
      </c>
      <c r="W373" s="28"/>
      <c r="X373" s="34" t="str">
        <f aca="false">IF(W373="","",IFERROR(VLOOKUP(W373,REPS!$A$2:$D$40,3,0),""))</f>
        <v/>
      </c>
      <c r="Y373" s="31" t="str">
        <f aca="false">IF(O373="","",IF(X373="",0,O373*IF(X373&gt;1,X373/100,X373)))</f>
        <v/>
      </c>
      <c r="Z373" s="28"/>
      <c r="AA373" s="34" t="str">
        <f aca="false">IF(Z373="","",IFERROR(VLOOKUP(Z373,REPS!$A$2:$D$40,4,0),""))</f>
        <v/>
      </c>
      <c r="AB373" s="31" t="str">
        <f aca="false">IF(O373="","",IF(AA373="",0,O373*IF(AA373&gt;1,AA373/100,AA373)))</f>
        <v/>
      </c>
      <c r="AC373" s="31" t="str">
        <f aca="false">IF(O373="","",V373+Y373+AB373)</f>
        <v/>
      </c>
      <c r="AD373" s="19" t="str">
        <f aca="false">IF(O373="","",O373-R373-AC373)</f>
        <v/>
      </c>
      <c r="AE373" s="20"/>
      <c r="AF373" s="27"/>
      <c r="AG373" s="21" t="n">
        <f aca="false">IF(OR(AE373="",AE373=0),0,AE373*IF(U373="",0,IF(U373&gt;1,U373/100,U373)))</f>
        <v>0</v>
      </c>
      <c r="AH373" s="21" t="n">
        <f aca="false">IF(OR(AE373="",AE373=0),0,AE373*IF(X373="",0,IF(X373&gt;1,X373/100,X373)))</f>
        <v>0</v>
      </c>
      <c r="AI373" s="21" t="n">
        <f aca="false">IF(OR(AE373="",AE373=0),0,AE373*IF(AA373="",0,IF(AA373&gt;1,AA373/100,AA373)))</f>
        <v>0</v>
      </c>
      <c r="AJ373" s="21" t="n">
        <f aca="false">AG373+AH373+AI373</f>
        <v>0</v>
      </c>
      <c r="AK373" s="21" t="n">
        <f aca="false">IF(OR(AE373="",AE373=0),0,AE373-AJ373)</f>
        <v>0</v>
      </c>
      <c r="AL373" s="19" t="str">
        <f aca="false">IF(AD373="","",AD373-AK373)</f>
        <v/>
      </c>
      <c r="AM373" s="26" t="str">
        <f aca="false">IF(C373="","","Waiting for payment")</f>
        <v/>
      </c>
      <c r="AN373" s="27"/>
      <c r="AO373" s="27"/>
      <c r="AP373" s="35" t="str">
        <f aca="false">IF(OR(C373="",I373="",K373=""),"",IF(K373="Monthly",EDATE(C373,ROUND(I373*SETTINGS!$I$8,0)),WORKDAY(C373,ROUND(I373*SETTINGS!$I$8,0))))</f>
        <v/>
      </c>
      <c r="AQ373" s="26" t="str">
        <f aca="true">IF(C373="","",IF(AND(AP373&lt;&gt;"",TODAY()&gt;=AP373),"Refi Ready",IF(TODAY()-C373&gt;=SETTINGS!$I$11,"Prospecting","Performing")))</f>
        <v/>
      </c>
      <c r="AR373" s="35" t="str">
        <f aca="false">IF(OR(C373="",I373="",K373=""),"",IF(K373="Monthly",EDATE(C373,I373),WORKDAY(C373,I373)))</f>
        <v/>
      </c>
      <c r="AS373" s="28"/>
      <c r="AT373" s="36" t="str">
        <f aca="true">IF(C373="","",IF(AM373="Clawed Back","CLAWED",IF(TODAY()&lt;=C373+SETTINGS!$I$2,"⚠ AT RISK","SAFE")))</f>
        <v/>
      </c>
      <c r="AU373" s="28"/>
      <c r="AW373" s="24" t="n">
        <f aca="false">AW372+IF(AND(C373&lt;&gt;"",AO373&lt;&gt;"",OR('REP COMMISSION'!$B$3="",T373='REP COMMISSION'!$B$3,W373='REP COMMISSION'!$B$3,Z373='REP COMMISSION'!$B$3)),1,0)</f>
        <v>0</v>
      </c>
      <c r="AX373" s="24" t="n">
        <f aca="false">AX372+IF(AND(C373&lt;&gt;"",OR(F373="LOC - INITIAL",F373="CONSOLIDATION - UPFRONT COMM",F373="REVERSE - TOTAL FUNDING")),1,0)</f>
        <v>0</v>
      </c>
    </row>
    <row r="374" customFormat="false" ht="15" hidden="false" customHeight="false" outlineLevel="0" collapsed="false">
      <c r="A374" s="8" t="str">
        <f aca="false">IF(C374&lt;&gt;"","F27-"&amp;COUNT($C$4:C374),"")</f>
        <v/>
      </c>
      <c r="B374" s="9" t="str">
        <f aca="false">IF(OR(F374="LOC - INITIAL",F374="CONSOLIDATION - UPFRONT COMM",F374="REVERSE - TOTAL FUNDING"),A374,"")</f>
        <v/>
      </c>
      <c r="C374" s="10"/>
      <c r="D374" s="11"/>
      <c r="E374" s="11"/>
      <c r="F374" s="11"/>
      <c r="G374" s="12"/>
      <c r="H374" s="13"/>
      <c r="I374" s="11"/>
      <c r="J374" s="14" t="str">
        <f aca="false">IF(AND(G374&lt;&gt;"",H374&lt;&gt;""),G374*H374,"")</f>
        <v/>
      </c>
      <c r="K374" s="11"/>
      <c r="L374" s="15"/>
      <c r="M374" s="15"/>
      <c r="N374" s="14" t="n">
        <f aca="false">IF(OR(G374="",M374=""),0,IF(M374&gt;100,M374,G374*IF(M374&gt;1,M374/100,M374)))</f>
        <v>0</v>
      </c>
      <c r="O374" s="14" t="str">
        <f aca="false">IF(G374="","",G374*IF(L374="",0,IF(L374&gt;1,L374/100,L374))+N374)</f>
        <v/>
      </c>
      <c r="P374" s="11"/>
      <c r="Q374" s="16" t="str">
        <f aca="false">IF(P374="","",IFERROR(VLOOKUP(P374,PARTNERS!$A$2:$B$30,2,0),""))</f>
        <v/>
      </c>
      <c r="R374" s="17" t="str">
        <f aca="false">IF(O374="","",IF(OR(P374="",Q374=""),0,(O374-N374)*IF(Q374&gt;1,Q374/100,Q374)))</f>
        <v/>
      </c>
      <c r="S374" s="14" t="str">
        <f aca="false">IF(O374="","",O374-R374)</f>
        <v/>
      </c>
      <c r="T374" s="11"/>
      <c r="U374" s="18" t="str">
        <f aca="false">IF(T374="","",IFERROR(VLOOKUP(T374,REPS!$A$2:$D$40,2,0),""))</f>
        <v/>
      </c>
      <c r="V374" s="14" t="str">
        <f aca="false">IF(O374="","",IF(U374="",0,O374*IF(U374&gt;1,U374/100,U374)))</f>
        <v/>
      </c>
      <c r="W374" s="11"/>
      <c r="X374" s="18" t="str">
        <f aca="false">IF(W374="","",IFERROR(VLOOKUP(W374,REPS!$A$2:$D$40,3,0),""))</f>
        <v/>
      </c>
      <c r="Y374" s="14" t="str">
        <f aca="false">IF(O374="","",IF(X374="",0,O374*IF(X374&gt;1,X374/100,X374)))</f>
        <v/>
      </c>
      <c r="Z374" s="11"/>
      <c r="AA374" s="18" t="str">
        <f aca="false">IF(Z374="","",IFERROR(VLOOKUP(Z374,REPS!$A$2:$D$40,4,0),""))</f>
        <v/>
      </c>
      <c r="AB374" s="14" t="str">
        <f aca="false">IF(O374="","",IF(AA374="",0,O374*IF(AA374&gt;1,AA374/100,AA374)))</f>
        <v/>
      </c>
      <c r="AC374" s="14" t="str">
        <f aca="false">IF(O374="","",V374+Y374+AB374)</f>
        <v/>
      </c>
      <c r="AD374" s="19" t="str">
        <f aca="false">IF(O374="","",O374-R374-AC374)</f>
        <v/>
      </c>
      <c r="AE374" s="20"/>
      <c r="AF374" s="10"/>
      <c r="AG374" s="21" t="n">
        <f aca="false">IF(OR(AE374="",AE374=0),0,AE374*IF(U374="",0,IF(U374&gt;1,U374/100,U374)))</f>
        <v>0</v>
      </c>
      <c r="AH374" s="21" t="n">
        <f aca="false">IF(OR(AE374="",AE374=0),0,AE374*IF(X374="",0,IF(X374&gt;1,X374/100,X374)))</f>
        <v>0</v>
      </c>
      <c r="AI374" s="21" t="n">
        <f aca="false">IF(OR(AE374="",AE374=0),0,AE374*IF(AA374="",0,IF(AA374&gt;1,AA374/100,AA374)))</f>
        <v>0</v>
      </c>
      <c r="AJ374" s="21" t="n">
        <f aca="false">AG374+AH374+AI374</f>
        <v>0</v>
      </c>
      <c r="AK374" s="21" t="n">
        <f aca="false">IF(OR(AE374="",AE374=0),0,AE374-AJ374)</f>
        <v>0</v>
      </c>
      <c r="AL374" s="19" t="str">
        <f aca="false">IF(AD374="","",AD374-AK374)</f>
        <v/>
      </c>
      <c r="AM374" s="9" t="str">
        <f aca="false">IF(C374="","","Waiting for payment")</f>
        <v/>
      </c>
      <c r="AN374" s="10"/>
      <c r="AO374" s="10"/>
      <c r="AP374" s="22" t="str">
        <f aca="false">IF(OR(C374="",I374="",K374=""),"",IF(K374="Monthly",EDATE(C374,ROUND(I374*SETTINGS!$I$8,0)),WORKDAY(C374,ROUND(I374*SETTINGS!$I$8,0))))</f>
        <v/>
      </c>
      <c r="AQ374" s="9" t="str">
        <f aca="true">IF(C374="","",IF(AND(AP374&lt;&gt;"",TODAY()&gt;=AP374),"Refi Ready",IF(TODAY()-C374&gt;=SETTINGS!$I$11,"Prospecting","Performing")))</f>
        <v/>
      </c>
      <c r="AR374" s="22" t="str">
        <f aca="false">IF(OR(C374="",I374="",K374=""),"",IF(K374="Monthly",EDATE(C374,I374),WORKDAY(C374,I374)))</f>
        <v/>
      </c>
      <c r="AS374" s="11"/>
      <c r="AT374" s="23" t="str">
        <f aca="true">IF(C374="","",IF(AM374="Clawed Back","CLAWED",IF(TODAY()&lt;=C374+SETTINGS!$I$2,"⚠ AT RISK","SAFE")))</f>
        <v/>
      </c>
      <c r="AU374" s="11"/>
      <c r="AW374" s="24" t="n">
        <f aca="false">AW373+IF(AND(C374&lt;&gt;"",AO374&lt;&gt;"",OR('REP COMMISSION'!$B$3="",T374='REP COMMISSION'!$B$3,W374='REP COMMISSION'!$B$3,Z374='REP COMMISSION'!$B$3)),1,0)</f>
        <v>0</v>
      </c>
      <c r="AX374" s="24" t="n">
        <f aca="false">AX373+IF(AND(C374&lt;&gt;"",OR(F374="LOC - INITIAL",F374="CONSOLIDATION - UPFRONT COMM",F374="REVERSE - TOTAL FUNDING")),1,0)</f>
        <v>0</v>
      </c>
    </row>
    <row r="375" customFormat="false" ht="15" hidden="false" customHeight="false" outlineLevel="0" collapsed="false">
      <c r="A375" s="25" t="str">
        <f aca="false">IF(C375&lt;&gt;"","F27-"&amp;COUNT($C$4:C375),"")</f>
        <v/>
      </c>
      <c r="B375" s="26" t="str">
        <f aca="false">IF(OR(F375="LOC - INITIAL",F375="CONSOLIDATION - UPFRONT COMM",F375="REVERSE - TOTAL FUNDING"),A375,"")</f>
        <v/>
      </c>
      <c r="C375" s="27"/>
      <c r="D375" s="28"/>
      <c r="E375" s="28"/>
      <c r="F375" s="28"/>
      <c r="G375" s="29"/>
      <c r="H375" s="30"/>
      <c r="I375" s="28"/>
      <c r="J375" s="31" t="str">
        <f aca="false">IF(AND(G375&lt;&gt;"",H375&lt;&gt;""),G375*H375,"")</f>
        <v/>
      </c>
      <c r="K375" s="28"/>
      <c r="L375" s="32"/>
      <c r="M375" s="32"/>
      <c r="N375" s="31" t="n">
        <f aca="false">IF(OR(G375="",M375=""),0,IF(M375&gt;100,M375,G375*IF(M375&gt;1,M375/100,M375)))</f>
        <v>0</v>
      </c>
      <c r="O375" s="31" t="str">
        <f aca="false">IF(G375="","",G375*IF(L375="",0,IF(L375&gt;1,L375/100,L375))+N375)</f>
        <v/>
      </c>
      <c r="P375" s="28"/>
      <c r="Q375" s="33" t="str">
        <f aca="false">IF(P375="","",IFERROR(VLOOKUP(P375,PARTNERS!$A$2:$B$30,2,0),""))</f>
        <v/>
      </c>
      <c r="R375" s="17" t="str">
        <f aca="false">IF(O375="","",IF(OR(P375="",Q375=""),0,(O375-N375)*IF(Q375&gt;1,Q375/100,Q375)))</f>
        <v/>
      </c>
      <c r="S375" s="31" t="str">
        <f aca="false">IF(O375="","",O375-R375)</f>
        <v/>
      </c>
      <c r="T375" s="28"/>
      <c r="U375" s="34" t="str">
        <f aca="false">IF(T375="","",IFERROR(VLOOKUP(T375,REPS!$A$2:$D$40,2,0),""))</f>
        <v/>
      </c>
      <c r="V375" s="31" t="str">
        <f aca="false">IF(O375="","",IF(U375="",0,O375*IF(U375&gt;1,U375/100,U375)))</f>
        <v/>
      </c>
      <c r="W375" s="28"/>
      <c r="X375" s="34" t="str">
        <f aca="false">IF(W375="","",IFERROR(VLOOKUP(W375,REPS!$A$2:$D$40,3,0),""))</f>
        <v/>
      </c>
      <c r="Y375" s="31" t="str">
        <f aca="false">IF(O375="","",IF(X375="",0,O375*IF(X375&gt;1,X375/100,X375)))</f>
        <v/>
      </c>
      <c r="Z375" s="28"/>
      <c r="AA375" s="34" t="str">
        <f aca="false">IF(Z375="","",IFERROR(VLOOKUP(Z375,REPS!$A$2:$D$40,4,0),""))</f>
        <v/>
      </c>
      <c r="AB375" s="31" t="str">
        <f aca="false">IF(O375="","",IF(AA375="",0,O375*IF(AA375&gt;1,AA375/100,AA375)))</f>
        <v/>
      </c>
      <c r="AC375" s="31" t="str">
        <f aca="false">IF(O375="","",V375+Y375+AB375)</f>
        <v/>
      </c>
      <c r="AD375" s="19" t="str">
        <f aca="false">IF(O375="","",O375-R375-AC375)</f>
        <v/>
      </c>
      <c r="AE375" s="20"/>
      <c r="AF375" s="27"/>
      <c r="AG375" s="21" t="n">
        <f aca="false">IF(OR(AE375="",AE375=0),0,AE375*IF(U375="",0,IF(U375&gt;1,U375/100,U375)))</f>
        <v>0</v>
      </c>
      <c r="AH375" s="21" t="n">
        <f aca="false">IF(OR(AE375="",AE375=0),0,AE375*IF(X375="",0,IF(X375&gt;1,X375/100,X375)))</f>
        <v>0</v>
      </c>
      <c r="AI375" s="21" t="n">
        <f aca="false">IF(OR(AE375="",AE375=0),0,AE375*IF(AA375="",0,IF(AA375&gt;1,AA375/100,AA375)))</f>
        <v>0</v>
      </c>
      <c r="AJ375" s="21" t="n">
        <f aca="false">AG375+AH375+AI375</f>
        <v>0</v>
      </c>
      <c r="AK375" s="21" t="n">
        <f aca="false">IF(OR(AE375="",AE375=0),0,AE375-AJ375)</f>
        <v>0</v>
      </c>
      <c r="AL375" s="19" t="str">
        <f aca="false">IF(AD375="","",AD375-AK375)</f>
        <v/>
      </c>
      <c r="AM375" s="26" t="str">
        <f aca="false">IF(C375="","","Waiting for payment")</f>
        <v/>
      </c>
      <c r="AN375" s="27"/>
      <c r="AO375" s="27"/>
      <c r="AP375" s="35" t="str">
        <f aca="false">IF(OR(C375="",I375="",K375=""),"",IF(K375="Monthly",EDATE(C375,ROUND(I375*SETTINGS!$I$8,0)),WORKDAY(C375,ROUND(I375*SETTINGS!$I$8,0))))</f>
        <v/>
      </c>
      <c r="AQ375" s="26" t="str">
        <f aca="true">IF(C375="","",IF(AND(AP375&lt;&gt;"",TODAY()&gt;=AP375),"Refi Ready",IF(TODAY()-C375&gt;=SETTINGS!$I$11,"Prospecting","Performing")))</f>
        <v/>
      </c>
      <c r="AR375" s="35" t="str">
        <f aca="false">IF(OR(C375="",I375="",K375=""),"",IF(K375="Monthly",EDATE(C375,I375),WORKDAY(C375,I375)))</f>
        <v/>
      </c>
      <c r="AS375" s="28"/>
      <c r="AT375" s="36" t="str">
        <f aca="true">IF(C375="","",IF(AM375="Clawed Back","CLAWED",IF(TODAY()&lt;=C375+SETTINGS!$I$2,"⚠ AT RISK","SAFE")))</f>
        <v/>
      </c>
      <c r="AU375" s="28"/>
      <c r="AW375" s="24" t="n">
        <f aca="false">AW374+IF(AND(C375&lt;&gt;"",AO375&lt;&gt;"",OR('REP COMMISSION'!$B$3="",T375='REP COMMISSION'!$B$3,W375='REP COMMISSION'!$B$3,Z375='REP COMMISSION'!$B$3)),1,0)</f>
        <v>0</v>
      </c>
      <c r="AX375" s="24" t="n">
        <f aca="false">AX374+IF(AND(C375&lt;&gt;"",OR(F375="LOC - INITIAL",F375="CONSOLIDATION - UPFRONT COMM",F375="REVERSE - TOTAL FUNDING")),1,0)</f>
        <v>0</v>
      </c>
    </row>
    <row r="376" customFormat="false" ht="15" hidden="false" customHeight="false" outlineLevel="0" collapsed="false">
      <c r="A376" s="8" t="str">
        <f aca="false">IF(C376&lt;&gt;"","F27-"&amp;COUNT($C$4:C376),"")</f>
        <v/>
      </c>
      <c r="B376" s="9" t="str">
        <f aca="false">IF(OR(F376="LOC - INITIAL",F376="CONSOLIDATION - UPFRONT COMM",F376="REVERSE - TOTAL FUNDING"),A376,"")</f>
        <v/>
      </c>
      <c r="C376" s="10"/>
      <c r="D376" s="11"/>
      <c r="E376" s="11"/>
      <c r="F376" s="11"/>
      <c r="G376" s="12"/>
      <c r="H376" s="13"/>
      <c r="I376" s="11"/>
      <c r="J376" s="14" t="str">
        <f aca="false">IF(AND(G376&lt;&gt;"",H376&lt;&gt;""),G376*H376,"")</f>
        <v/>
      </c>
      <c r="K376" s="11"/>
      <c r="L376" s="15"/>
      <c r="M376" s="15"/>
      <c r="N376" s="14" t="n">
        <f aca="false">IF(OR(G376="",M376=""),0,IF(M376&gt;100,M376,G376*IF(M376&gt;1,M376/100,M376)))</f>
        <v>0</v>
      </c>
      <c r="O376" s="14" t="str">
        <f aca="false">IF(G376="","",G376*IF(L376="",0,IF(L376&gt;1,L376/100,L376))+N376)</f>
        <v/>
      </c>
      <c r="P376" s="11"/>
      <c r="Q376" s="16" t="str">
        <f aca="false">IF(P376="","",IFERROR(VLOOKUP(P376,PARTNERS!$A$2:$B$30,2,0),""))</f>
        <v/>
      </c>
      <c r="R376" s="17" t="str">
        <f aca="false">IF(O376="","",IF(OR(P376="",Q376=""),0,(O376-N376)*IF(Q376&gt;1,Q376/100,Q376)))</f>
        <v/>
      </c>
      <c r="S376" s="14" t="str">
        <f aca="false">IF(O376="","",O376-R376)</f>
        <v/>
      </c>
      <c r="T376" s="11"/>
      <c r="U376" s="18" t="str">
        <f aca="false">IF(T376="","",IFERROR(VLOOKUP(T376,REPS!$A$2:$D$40,2,0),""))</f>
        <v/>
      </c>
      <c r="V376" s="14" t="str">
        <f aca="false">IF(O376="","",IF(U376="",0,O376*IF(U376&gt;1,U376/100,U376)))</f>
        <v/>
      </c>
      <c r="W376" s="11"/>
      <c r="X376" s="18" t="str">
        <f aca="false">IF(W376="","",IFERROR(VLOOKUP(W376,REPS!$A$2:$D$40,3,0),""))</f>
        <v/>
      </c>
      <c r="Y376" s="14" t="str">
        <f aca="false">IF(O376="","",IF(X376="",0,O376*IF(X376&gt;1,X376/100,X376)))</f>
        <v/>
      </c>
      <c r="Z376" s="11"/>
      <c r="AA376" s="18" t="str">
        <f aca="false">IF(Z376="","",IFERROR(VLOOKUP(Z376,REPS!$A$2:$D$40,4,0),""))</f>
        <v/>
      </c>
      <c r="AB376" s="14" t="str">
        <f aca="false">IF(O376="","",IF(AA376="",0,O376*IF(AA376&gt;1,AA376/100,AA376)))</f>
        <v/>
      </c>
      <c r="AC376" s="14" t="str">
        <f aca="false">IF(O376="","",V376+Y376+AB376)</f>
        <v/>
      </c>
      <c r="AD376" s="19" t="str">
        <f aca="false">IF(O376="","",O376-R376-AC376)</f>
        <v/>
      </c>
      <c r="AE376" s="20"/>
      <c r="AF376" s="10"/>
      <c r="AG376" s="21" t="n">
        <f aca="false">IF(OR(AE376="",AE376=0),0,AE376*IF(U376="",0,IF(U376&gt;1,U376/100,U376)))</f>
        <v>0</v>
      </c>
      <c r="AH376" s="21" t="n">
        <f aca="false">IF(OR(AE376="",AE376=0),0,AE376*IF(X376="",0,IF(X376&gt;1,X376/100,X376)))</f>
        <v>0</v>
      </c>
      <c r="AI376" s="21" t="n">
        <f aca="false">IF(OR(AE376="",AE376=0),0,AE376*IF(AA376="",0,IF(AA376&gt;1,AA376/100,AA376)))</f>
        <v>0</v>
      </c>
      <c r="AJ376" s="21" t="n">
        <f aca="false">AG376+AH376+AI376</f>
        <v>0</v>
      </c>
      <c r="AK376" s="21" t="n">
        <f aca="false">IF(OR(AE376="",AE376=0),0,AE376-AJ376)</f>
        <v>0</v>
      </c>
      <c r="AL376" s="19" t="str">
        <f aca="false">IF(AD376="","",AD376-AK376)</f>
        <v/>
      </c>
      <c r="AM376" s="9" t="str">
        <f aca="false">IF(C376="","","Waiting for payment")</f>
        <v/>
      </c>
      <c r="AN376" s="10"/>
      <c r="AO376" s="10"/>
      <c r="AP376" s="22" t="str">
        <f aca="false">IF(OR(C376="",I376="",K376=""),"",IF(K376="Monthly",EDATE(C376,ROUND(I376*SETTINGS!$I$8,0)),WORKDAY(C376,ROUND(I376*SETTINGS!$I$8,0))))</f>
        <v/>
      </c>
      <c r="AQ376" s="9" t="str">
        <f aca="true">IF(C376="","",IF(AND(AP376&lt;&gt;"",TODAY()&gt;=AP376),"Refi Ready",IF(TODAY()-C376&gt;=SETTINGS!$I$11,"Prospecting","Performing")))</f>
        <v/>
      </c>
      <c r="AR376" s="22" t="str">
        <f aca="false">IF(OR(C376="",I376="",K376=""),"",IF(K376="Monthly",EDATE(C376,I376),WORKDAY(C376,I376)))</f>
        <v/>
      </c>
      <c r="AS376" s="11"/>
      <c r="AT376" s="23" t="str">
        <f aca="true">IF(C376="","",IF(AM376="Clawed Back","CLAWED",IF(TODAY()&lt;=C376+SETTINGS!$I$2,"⚠ AT RISK","SAFE")))</f>
        <v/>
      </c>
      <c r="AU376" s="11"/>
      <c r="AW376" s="24" t="n">
        <f aca="false">AW375+IF(AND(C376&lt;&gt;"",AO376&lt;&gt;"",OR('REP COMMISSION'!$B$3="",T376='REP COMMISSION'!$B$3,W376='REP COMMISSION'!$B$3,Z376='REP COMMISSION'!$B$3)),1,0)</f>
        <v>0</v>
      </c>
      <c r="AX376" s="24" t="n">
        <f aca="false">AX375+IF(AND(C376&lt;&gt;"",OR(F376="LOC - INITIAL",F376="CONSOLIDATION - UPFRONT COMM",F376="REVERSE - TOTAL FUNDING")),1,0)</f>
        <v>0</v>
      </c>
    </row>
    <row r="377" customFormat="false" ht="15" hidden="false" customHeight="false" outlineLevel="0" collapsed="false">
      <c r="A377" s="25" t="str">
        <f aca="false">IF(C377&lt;&gt;"","F27-"&amp;COUNT($C$4:C377),"")</f>
        <v/>
      </c>
      <c r="B377" s="26" t="str">
        <f aca="false">IF(OR(F377="LOC - INITIAL",F377="CONSOLIDATION - UPFRONT COMM",F377="REVERSE - TOTAL FUNDING"),A377,"")</f>
        <v/>
      </c>
      <c r="C377" s="27"/>
      <c r="D377" s="28"/>
      <c r="E377" s="28"/>
      <c r="F377" s="28"/>
      <c r="G377" s="29"/>
      <c r="H377" s="30"/>
      <c r="I377" s="28"/>
      <c r="J377" s="31" t="str">
        <f aca="false">IF(AND(G377&lt;&gt;"",H377&lt;&gt;""),G377*H377,"")</f>
        <v/>
      </c>
      <c r="K377" s="28"/>
      <c r="L377" s="32"/>
      <c r="M377" s="32"/>
      <c r="N377" s="31" t="n">
        <f aca="false">IF(OR(G377="",M377=""),0,IF(M377&gt;100,M377,G377*IF(M377&gt;1,M377/100,M377)))</f>
        <v>0</v>
      </c>
      <c r="O377" s="31" t="str">
        <f aca="false">IF(G377="","",G377*IF(L377="",0,IF(L377&gt;1,L377/100,L377))+N377)</f>
        <v/>
      </c>
      <c r="P377" s="28"/>
      <c r="Q377" s="33" t="str">
        <f aca="false">IF(P377="","",IFERROR(VLOOKUP(P377,PARTNERS!$A$2:$B$30,2,0),""))</f>
        <v/>
      </c>
      <c r="R377" s="17" t="str">
        <f aca="false">IF(O377="","",IF(OR(P377="",Q377=""),0,(O377-N377)*IF(Q377&gt;1,Q377/100,Q377)))</f>
        <v/>
      </c>
      <c r="S377" s="31" t="str">
        <f aca="false">IF(O377="","",O377-R377)</f>
        <v/>
      </c>
      <c r="T377" s="28"/>
      <c r="U377" s="34" t="str">
        <f aca="false">IF(T377="","",IFERROR(VLOOKUP(T377,REPS!$A$2:$D$40,2,0),""))</f>
        <v/>
      </c>
      <c r="V377" s="31" t="str">
        <f aca="false">IF(O377="","",IF(U377="",0,O377*IF(U377&gt;1,U377/100,U377)))</f>
        <v/>
      </c>
      <c r="W377" s="28"/>
      <c r="X377" s="34" t="str">
        <f aca="false">IF(W377="","",IFERROR(VLOOKUP(W377,REPS!$A$2:$D$40,3,0),""))</f>
        <v/>
      </c>
      <c r="Y377" s="31" t="str">
        <f aca="false">IF(O377="","",IF(X377="",0,O377*IF(X377&gt;1,X377/100,X377)))</f>
        <v/>
      </c>
      <c r="Z377" s="28"/>
      <c r="AA377" s="34" t="str">
        <f aca="false">IF(Z377="","",IFERROR(VLOOKUP(Z377,REPS!$A$2:$D$40,4,0),""))</f>
        <v/>
      </c>
      <c r="AB377" s="31" t="str">
        <f aca="false">IF(O377="","",IF(AA377="",0,O377*IF(AA377&gt;1,AA377/100,AA377)))</f>
        <v/>
      </c>
      <c r="AC377" s="31" t="str">
        <f aca="false">IF(O377="","",V377+Y377+AB377)</f>
        <v/>
      </c>
      <c r="AD377" s="19" t="str">
        <f aca="false">IF(O377="","",O377-R377-AC377)</f>
        <v/>
      </c>
      <c r="AE377" s="20"/>
      <c r="AF377" s="27"/>
      <c r="AG377" s="21" t="n">
        <f aca="false">IF(OR(AE377="",AE377=0),0,AE377*IF(U377="",0,IF(U377&gt;1,U377/100,U377)))</f>
        <v>0</v>
      </c>
      <c r="AH377" s="21" t="n">
        <f aca="false">IF(OR(AE377="",AE377=0),0,AE377*IF(X377="",0,IF(X377&gt;1,X377/100,X377)))</f>
        <v>0</v>
      </c>
      <c r="AI377" s="21" t="n">
        <f aca="false">IF(OR(AE377="",AE377=0),0,AE377*IF(AA377="",0,IF(AA377&gt;1,AA377/100,AA377)))</f>
        <v>0</v>
      </c>
      <c r="AJ377" s="21" t="n">
        <f aca="false">AG377+AH377+AI377</f>
        <v>0</v>
      </c>
      <c r="AK377" s="21" t="n">
        <f aca="false">IF(OR(AE377="",AE377=0),0,AE377-AJ377)</f>
        <v>0</v>
      </c>
      <c r="AL377" s="19" t="str">
        <f aca="false">IF(AD377="","",AD377-AK377)</f>
        <v/>
      </c>
      <c r="AM377" s="26" t="str">
        <f aca="false">IF(C377="","","Waiting for payment")</f>
        <v/>
      </c>
      <c r="AN377" s="27"/>
      <c r="AO377" s="27"/>
      <c r="AP377" s="35" t="str">
        <f aca="false">IF(OR(C377="",I377="",K377=""),"",IF(K377="Monthly",EDATE(C377,ROUND(I377*SETTINGS!$I$8,0)),WORKDAY(C377,ROUND(I377*SETTINGS!$I$8,0))))</f>
        <v/>
      </c>
      <c r="AQ377" s="26" t="str">
        <f aca="true">IF(C377="","",IF(AND(AP377&lt;&gt;"",TODAY()&gt;=AP377),"Refi Ready",IF(TODAY()-C377&gt;=SETTINGS!$I$11,"Prospecting","Performing")))</f>
        <v/>
      </c>
      <c r="AR377" s="35" t="str">
        <f aca="false">IF(OR(C377="",I377="",K377=""),"",IF(K377="Monthly",EDATE(C377,I377),WORKDAY(C377,I377)))</f>
        <v/>
      </c>
      <c r="AS377" s="28"/>
      <c r="AT377" s="36" t="str">
        <f aca="true">IF(C377="","",IF(AM377="Clawed Back","CLAWED",IF(TODAY()&lt;=C377+SETTINGS!$I$2,"⚠ AT RISK","SAFE")))</f>
        <v/>
      </c>
      <c r="AU377" s="28"/>
      <c r="AW377" s="24" t="n">
        <f aca="false">AW376+IF(AND(C377&lt;&gt;"",AO377&lt;&gt;"",OR('REP COMMISSION'!$B$3="",T377='REP COMMISSION'!$B$3,W377='REP COMMISSION'!$B$3,Z377='REP COMMISSION'!$B$3)),1,0)</f>
        <v>0</v>
      </c>
      <c r="AX377" s="24" t="n">
        <f aca="false">AX376+IF(AND(C377&lt;&gt;"",OR(F377="LOC - INITIAL",F377="CONSOLIDATION - UPFRONT COMM",F377="REVERSE - TOTAL FUNDING")),1,0)</f>
        <v>0</v>
      </c>
    </row>
    <row r="378" customFormat="false" ht="15" hidden="false" customHeight="false" outlineLevel="0" collapsed="false">
      <c r="A378" s="8" t="str">
        <f aca="false">IF(C378&lt;&gt;"","F27-"&amp;COUNT($C$4:C378),"")</f>
        <v/>
      </c>
      <c r="B378" s="9" t="str">
        <f aca="false">IF(OR(F378="LOC - INITIAL",F378="CONSOLIDATION - UPFRONT COMM",F378="REVERSE - TOTAL FUNDING"),A378,"")</f>
        <v/>
      </c>
      <c r="C378" s="10"/>
      <c r="D378" s="11"/>
      <c r="E378" s="11"/>
      <c r="F378" s="11"/>
      <c r="G378" s="12"/>
      <c r="H378" s="13"/>
      <c r="I378" s="11"/>
      <c r="J378" s="14" t="str">
        <f aca="false">IF(AND(G378&lt;&gt;"",H378&lt;&gt;""),G378*H378,"")</f>
        <v/>
      </c>
      <c r="K378" s="11"/>
      <c r="L378" s="15"/>
      <c r="M378" s="15"/>
      <c r="N378" s="14" t="n">
        <f aca="false">IF(OR(G378="",M378=""),0,IF(M378&gt;100,M378,G378*IF(M378&gt;1,M378/100,M378)))</f>
        <v>0</v>
      </c>
      <c r="O378" s="14" t="str">
        <f aca="false">IF(G378="","",G378*IF(L378="",0,IF(L378&gt;1,L378/100,L378))+N378)</f>
        <v/>
      </c>
      <c r="P378" s="11"/>
      <c r="Q378" s="16" t="str">
        <f aca="false">IF(P378="","",IFERROR(VLOOKUP(P378,PARTNERS!$A$2:$B$30,2,0),""))</f>
        <v/>
      </c>
      <c r="R378" s="17" t="str">
        <f aca="false">IF(O378="","",IF(OR(P378="",Q378=""),0,(O378-N378)*IF(Q378&gt;1,Q378/100,Q378)))</f>
        <v/>
      </c>
      <c r="S378" s="14" t="str">
        <f aca="false">IF(O378="","",O378-R378)</f>
        <v/>
      </c>
      <c r="T378" s="11"/>
      <c r="U378" s="18" t="str">
        <f aca="false">IF(T378="","",IFERROR(VLOOKUP(T378,REPS!$A$2:$D$40,2,0),""))</f>
        <v/>
      </c>
      <c r="V378" s="14" t="str">
        <f aca="false">IF(O378="","",IF(U378="",0,O378*IF(U378&gt;1,U378/100,U378)))</f>
        <v/>
      </c>
      <c r="W378" s="11"/>
      <c r="X378" s="18" t="str">
        <f aca="false">IF(W378="","",IFERROR(VLOOKUP(W378,REPS!$A$2:$D$40,3,0),""))</f>
        <v/>
      </c>
      <c r="Y378" s="14" t="str">
        <f aca="false">IF(O378="","",IF(X378="",0,O378*IF(X378&gt;1,X378/100,X378)))</f>
        <v/>
      </c>
      <c r="Z378" s="11"/>
      <c r="AA378" s="18" t="str">
        <f aca="false">IF(Z378="","",IFERROR(VLOOKUP(Z378,REPS!$A$2:$D$40,4,0),""))</f>
        <v/>
      </c>
      <c r="AB378" s="14" t="str">
        <f aca="false">IF(O378="","",IF(AA378="",0,O378*IF(AA378&gt;1,AA378/100,AA378)))</f>
        <v/>
      </c>
      <c r="AC378" s="14" t="str">
        <f aca="false">IF(O378="","",V378+Y378+AB378)</f>
        <v/>
      </c>
      <c r="AD378" s="19" t="str">
        <f aca="false">IF(O378="","",O378-R378-AC378)</f>
        <v/>
      </c>
      <c r="AE378" s="20"/>
      <c r="AF378" s="10"/>
      <c r="AG378" s="21" t="n">
        <f aca="false">IF(OR(AE378="",AE378=0),0,AE378*IF(U378="",0,IF(U378&gt;1,U378/100,U378)))</f>
        <v>0</v>
      </c>
      <c r="AH378" s="21" t="n">
        <f aca="false">IF(OR(AE378="",AE378=0),0,AE378*IF(X378="",0,IF(X378&gt;1,X378/100,X378)))</f>
        <v>0</v>
      </c>
      <c r="AI378" s="21" t="n">
        <f aca="false">IF(OR(AE378="",AE378=0),0,AE378*IF(AA378="",0,IF(AA378&gt;1,AA378/100,AA378)))</f>
        <v>0</v>
      </c>
      <c r="AJ378" s="21" t="n">
        <f aca="false">AG378+AH378+AI378</f>
        <v>0</v>
      </c>
      <c r="AK378" s="21" t="n">
        <f aca="false">IF(OR(AE378="",AE378=0),0,AE378-AJ378)</f>
        <v>0</v>
      </c>
      <c r="AL378" s="19" t="str">
        <f aca="false">IF(AD378="","",AD378-AK378)</f>
        <v/>
      </c>
      <c r="AM378" s="9" t="str">
        <f aca="false">IF(C378="","","Waiting for payment")</f>
        <v/>
      </c>
      <c r="AN378" s="10"/>
      <c r="AO378" s="10"/>
      <c r="AP378" s="22" t="str">
        <f aca="false">IF(OR(C378="",I378="",K378=""),"",IF(K378="Monthly",EDATE(C378,ROUND(I378*SETTINGS!$I$8,0)),WORKDAY(C378,ROUND(I378*SETTINGS!$I$8,0))))</f>
        <v/>
      </c>
      <c r="AQ378" s="9" t="str">
        <f aca="true">IF(C378="","",IF(AND(AP378&lt;&gt;"",TODAY()&gt;=AP378),"Refi Ready",IF(TODAY()-C378&gt;=SETTINGS!$I$11,"Prospecting","Performing")))</f>
        <v/>
      </c>
      <c r="AR378" s="22" t="str">
        <f aca="false">IF(OR(C378="",I378="",K378=""),"",IF(K378="Monthly",EDATE(C378,I378),WORKDAY(C378,I378)))</f>
        <v/>
      </c>
      <c r="AS378" s="11"/>
      <c r="AT378" s="23" t="str">
        <f aca="true">IF(C378="","",IF(AM378="Clawed Back","CLAWED",IF(TODAY()&lt;=C378+SETTINGS!$I$2,"⚠ AT RISK","SAFE")))</f>
        <v/>
      </c>
      <c r="AU378" s="11"/>
      <c r="AW378" s="24" t="n">
        <f aca="false">AW377+IF(AND(C378&lt;&gt;"",AO378&lt;&gt;"",OR('REP COMMISSION'!$B$3="",T378='REP COMMISSION'!$B$3,W378='REP COMMISSION'!$B$3,Z378='REP COMMISSION'!$B$3)),1,0)</f>
        <v>0</v>
      </c>
      <c r="AX378" s="24" t="n">
        <f aca="false">AX377+IF(AND(C378&lt;&gt;"",OR(F378="LOC - INITIAL",F378="CONSOLIDATION - UPFRONT COMM",F378="REVERSE - TOTAL FUNDING")),1,0)</f>
        <v>0</v>
      </c>
    </row>
    <row r="379" customFormat="false" ht="15" hidden="false" customHeight="false" outlineLevel="0" collapsed="false">
      <c r="A379" s="25" t="str">
        <f aca="false">IF(C379&lt;&gt;"","F27-"&amp;COUNT($C$4:C379),"")</f>
        <v/>
      </c>
      <c r="B379" s="26" t="str">
        <f aca="false">IF(OR(F379="LOC - INITIAL",F379="CONSOLIDATION - UPFRONT COMM",F379="REVERSE - TOTAL FUNDING"),A379,"")</f>
        <v/>
      </c>
      <c r="C379" s="27"/>
      <c r="D379" s="28"/>
      <c r="E379" s="28"/>
      <c r="F379" s="28"/>
      <c r="G379" s="29"/>
      <c r="H379" s="30"/>
      <c r="I379" s="28"/>
      <c r="J379" s="31" t="str">
        <f aca="false">IF(AND(G379&lt;&gt;"",H379&lt;&gt;""),G379*H379,"")</f>
        <v/>
      </c>
      <c r="K379" s="28"/>
      <c r="L379" s="32"/>
      <c r="M379" s="32"/>
      <c r="N379" s="31" t="n">
        <f aca="false">IF(OR(G379="",M379=""),0,IF(M379&gt;100,M379,G379*IF(M379&gt;1,M379/100,M379)))</f>
        <v>0</v>
      </c>
      <c r="O379" s="31" t="str">
        <f aca="false">IF(G379="","",G379*IF(L379="",0,IF(L379&gt;1,L379/100,L379))+N379)</f>
        <v/>
      </c>
      <c r="P379" s="28"/>
      <c r="Q379" s="33" t="str">
        <f aca="false">IF(P379="","",IFERROR(VLOOKUP(P379,PARTNERS!$A$2:$B$30,2,0),""))</f>
        <v/>
      </c>
      <c r="R379" s="17" t="str">
        <f aca="false">IF(O379="","",IF(OR(P379="",Q379=""),0,(O379-N379)*IF(Q379&gt;1,Q379/100,Q379)))</f>
        <v/>
      </c>
      <c r="S379" s="31" t="str">
        <f aca="false">IF(O379="","",O379-R379)</f>
        <v/>
      </c>
      <c r="T379" s="28"/>
      <c r="U379" s="34" t="str">
        <f aca="false">IF(T379="","",IFERROR(VLOOKUP(T379,REPS!$A$2:$D$40,2,0),""))</f>
        <v/>
      </c>
      <c r="V379" s="31" t="str">
        <f aca="false">IF(O379="","",IF(U379="",0,O379*IF(U379&gt;1,U379/100,U379)))</f>
        <v/>
      </c>
      <c r="W379" s="28"/>
      <c r="X379" s="34" t="str">
        <f aca="false">IF(W379="","",IFERROR(VLOOKUP(W379,REPS!$A$2:$D$40,3,0),""))</f>
        <v/>
      </c>
      <c r="Y379" s="31" t="str">
        <f aca="false">IF(O379="","",IF(X379="",0,O379*IF(X379&gt;1,X379/100,X379)))</f>
        <v/>
      </c>
      <c r="Z379" s="28"/>
      <c r="AA379" s="34" t="str">
        <f aca="false">IF(Z379="","",IFERROR(VLOOKUP(Z379,REPS!$A$2:$D$40,4,0),""))</f>
        <v/>
      </c>
      <c r="AB379" s="31" t="str">
        <f aca="false">IF(O379="","",IF(AA379="",0,O379*IF(AA379&gt;1,AA379/100,AA379)))</f>
        <v/>
      </c>
      <c r="AC379" s="31" t="str">
        <f aca="false">IF(O379="","",V379+Y379+AB379)</f>
        <v/>
      </c>
      <c r="AD379" s="19" t="str">
        <f aca="false">IF(O379="","",O379-R379-AC379)</f>
        <v/>
      </c>
      <c r="AE379" s="20"/>
      <c r="AF379" s="27"/>
      <c r="AG379" s="21" t="n">
        <f aca="false">IF(OR(AE379="",AE379=0),0,AE379*IF(U379="",0,IF(U379&gt;1,U379/100,U379)))</f>
        <v>0</v>
      </c>
      <c r="AH379" s="21" t="n">
        <f aca="false">IF(OR(AE379="",AE379=0),0,AE379*IF(X379="",0,IF(X379&gt;1,X379/100,X379)))</f>
        <v>0</v>
      </c>
      <c r="AI379" s="21" t="n">
        <f aca="false">IF(OR(AE379="",AE379=0),0,AE379*IF(AA379="",0,IF(AA379&gt;1,AA379/100,AA379)))</f>
        <v>0</v>
      </c>
      <c r="AJ379" s="21" t="n">
        <f aca="false">AG379+AH379+AI379</f>
        <v>0</v>
      </c>
      <c r="AK379" s="21" t="n">
        <f aca="false">IF(OR(AE379="",AE379=0),0,AE379-AJ379)</f>
        <v>0</v>
      </c>
      <c r="AL379" s="19" t="str">
        <f aca="false">IF(AD379="","",AD379-AK379)</f>
        <v/>
      </c>
      <c r="AM379" s="26" t="str">
        <f aca="false">IF(C379="","","Waiting for payment")</f>
        <v/>
      </c>
      <c r="AN379" s="27"/>
      <c r="AO379" s="27"/>
      <c r="AP379" s="35" t="str">
        <f aca="false">IF(OR(C379="",I379="",K379=""),"",IF(K379="Monthly",EDATE(C379,ROUND(I379*SETTINGS!$I$8,0)),WORKDAY(C379,ROUND(I379*SETTINGS!$I$8,0))))</f>
        <v/>
      </c>
      <c r="AQ379" s="26" t="str">
        <f aca="true">IF(C379="","",IF(AND(AP379&lt;&gt;"",TODAY()&gt;=AP379),"Refi Ready",IF(TODAY()-C379&gt;=SETTINGS!$I$11,"Prospecting","Performing")))</f>
        <v/>
      </c>
      <c r="AR379" s="35" t="str">
        <f aca="false">IF(OR(C379="",I379="",K379=""),"",IF(K379="Monthly",EDATE(C379,I379),WORKDAY(C379,I379)))</f>
        <v/>
      </c>
      <c r="AS379" s="28"/>
      <c r="AT379" s="36" t="str">
        <f aca="true">IF(C379="","",IF(AM379="Clawed Back","CLAWED",IF(TODAY()&lt;=C379+SETTINGS!$I$2,"⚠ AT RISK","SAFE")))</f>
        <v/>
      </c>
      <c r="AU379" s="28"/>
      <c r="AW379" s="24" t="n">
        <f aca="false">AW378+IF(AND(C379&lt;&gt;"",AO379&lt;&gt;"",OR('REP COMMISSION'!$B$3="",T379='REP COMMISSION'!$B$3,W379='REP COMMISSION'!$B$3,Z379='REP COMMISSION'!$B$3)),1,0)</f>
        <v>0</v>
      </c>
      <c r="AX379" s="24" t="n">
        <f aca="false">AX378+IF(AND(C379&lt;&gt;"",OR(F379="LOC - INITIAL",F379="CONSOLIDATION - UPFRONT COMM",F379="REVERSE - TOTAL FUNDING")),1,0)</f>
        <v>0</v>
      </c>
    </row>
    <row r="380" customFormat="false" ht="15" hidden="false" customHeight="false" outlineLevel="0" collapsed="false">
      <c r="A380" s="8" t="str">
        <f aca="false">IF(C380&lt;&gt;"","F27-"&amp;COUNT($C$4:C380),"")</f>
        <v/>
      </c>
      <c r="B380" s="9" t="str">
        <f aca="false">IF(OR(F380="LOC - INITIAL",F380="CONSOLIDATION - UPFRONT COMM",F380="REVERSE - TOTAL FUNDING"),A380,"")</f>
        <v/>
      </c>
      <c r="C380" s="10"/>
      <c r="D380" s="11"/>
      <c r="E380" s="11"/>
      <c r="F380" s="11"/>
      <c r="G380" s="12"/>
      <c r="H380" s="13"/>
      <c r="I380" s="11"/>
      <c r="J380" s="14" t="str">
        <f aca="false">IF(AND(G380&lt;&gt;"",H380&lt;&gt;""),G380*H380,"")</f>
        <v/>
      </c>
      <c r="K380" s="11"/>
      <c r="L380" s="15"/>
      <c r="M380" s="15"/>
      <c r="N380" s="14" t="n">
        <f aca="false">IF(OR(G380="",M380=""),0,IF(M380&gt;100,M380,G380*IF(M380&gt;1,M380/100,M380)))</f>
        <v>0</v>
      </c>
      <c r="O380" s="14" t="str">
        <f aca="false">IF(G380="","",G380*IF(L380="",0,IF(L380&gt;1,L380/100,L380))+N380)</f>
        <v/>
      </c>
      <c r="P380" s="11"/>
      <c r="Q380" s="16" t="str">
        <f aca="false">IF(P380="","",IFERROR(VLOOKUP(P380,PARTNERS!$A$2:$B$30,2,0),""))</f>
        <v/>
      </c>
      <c r="R380" s="17" t="str">
        <f aca="false">IF(O380="","",IF(OR(P380="",Q380=""),0,(O380-N380)*IF(Q380&gt;1,Q380/100,Q380)))</f>
        <v/>
      </c>
      <c r="S380" s="14" t="str">
        <f aca="false">IF(O380="","",O380-R380)</f>
        <v/>
      </c>
      <c r="T380" s="11"/>
      <c r="U380" s="18" t="str">
        <f aca="false">IF(T380="","",IFERROR(VLOOKUP(T380,REPS!$A$2:$D$40,2,0),""))</f>
        <v/>
      </c>
      <c r="V380" s="14" t="str">
        <f aca="false">IF(O380="","",IF(U380="",0,O380*IF(U380&gt;1,U380/100,U380)))</f>
        <v/>
      </c>
      <c r="W380" s="11"/>
      <c r="X380" s="18" t="str">
        <f aca="false">IF(W380="","",IFERROR(VLOOKUP(W380,REPS!$A$2:$D$40,3,0),""))</f>
        <v/>
      </c>
      <c r="Y380" s="14" t="str">
        <f aca="false">IF(O380="","",IF(X380="",0,O380*IF(X380&gt;1,X380/100,X380)))</f>
        <v/>
      </c>
      <c r="Z380" s="11"/>
      <c r="AA380" s="18" t="str">
        <f aca="false">IF(Z380="","",IFERROR(VLOOKUP(Z380,REPS!$A$2:$D$40,4,0),""))</f>
        <v/>
      </c>
      <c r="AB380" s="14" t="str">
        <f aca="false">IF(O380="","",IF(AA380="",0,O380*IF(AA380&gt;1,AA380/100,AA380)))</f>
        <v/>
      </c>
      <c r="AC380" s="14" t="str">
        <f aca="false">IF(O380="","",V380+Y380+AB380)</f>
        <v/>
      </c>
      <c r="AD380" s="19" t="str">
        <f aca="false">IF(O380="","",O380-R380-AC380)</f>
        <v/>
      </c>
      <c r="AE380" s="20"/>
      <c r="AF380" s="10"/>
      <c r="AG380" s="21" t="n">
        <f aca="false">IF(OR(AE380="",AE380=0),0,AE380*IF(U380="",0,IF(U380&gt;1,U380/100,U380)))</f>
        <v>0</v>
      </c>
      <c r="AH380" s="21" t="n">
        <f aca="false">IF(OR(AE380="",AE380=0),0,AE380*IF(X380="",0,IF(X380&gt;1,X380/100,X380)))</f>
        <v>0</v>
      </c>
      <c r="AI380" s="21" t="n">
        <f aca="false">IF(OR(AE380="",AE380=0),0,AE380*IF(AA380="",0,IF(AA380&gt;1,AA380/100,AA380)))</f>
        <v>0</v>
      </c>
      <c r="AJ380" s="21" t="n">
        <f aca="false">AG380+AH380+AI380</f>
        <v>0</v>
      </c>
      <c r="AK380" s="21" t="n">
        <f aca="false">IF(OR(AE380="",AE380=0),0,AE380-AJ380)</f>
        <v>0</v>
      </c>
      <c r="AL380" s="19" t="str">
        <f aca="false">IF(AD380="","",AD380-AK380)</f>
        <v/>
      </c>
      <c r="AM380" s="9" t="str">
        <f aca="false">IF(C380="","","Waiting for payment")</f>
        <v/>
      </c>
      <c r="AN380" s="10"/>
      <c r="AO380" s="10"/>
      <c r="AP380" s="22" t="str">
        <f aca="false">IF(OR(C380="",I380="",K380=""),"",IF(K380="Monthly",EDATE(C380,ROUND(I380*SETTINGS!$I$8,0)),WORKDAY(C380,ROUND(I380*SETTINGS!$I$8,0))))</f>
        <v/>
      </c>
      <c r="AQ380" s="9" t="str">
        <f aca="true">IF(C380="","",IF(AND(AP380&lt;&gt;"",TODAY()&gt;=AP380),"Refi Ready",IF(TODAY()-C380&gt;=SETTINGS!$I$11,"Prospecting","Performing")))</f>
        <v/>
      </c>
      <c r="AR380" s="22" t="str">
        <f aca="false">IF(OR(C380="",I380="",K380=""),"",IF(K380="Monthly",EDATE(C380,I380),WORKDAY(C380,I380)))</f>
        <v/>
      </c>
      <c r="AS380" s="11"/>
      <c r="AT380" s="23" t="str">
        <f aca="true">IF(C380="","",IF(AM380="Clawed Back","CLAWED",IF(TODAY()&lt;=C380+SETTINGS!$I$2,"⚠ AT RISK","SAFE")))</f>
        <v/>
      </c>
      <c r="AU380" s="11"/>
      <c r="AW380" s="24" t="n">
        <f aca="false">AW379+IF(AND(C380&lt;&gt;"",AO380&lt;&gt;"",OR('REP COMMISSION'!$B$3="",T380='REP COMMISSION'!$B$3,W380='REP COMMISSION'!$B$3,Z380='REP COMMISSION'!$B$3)),1,0)</f>
        <v>0</v>
      </c>
      <c r="AX380" s="24" t="n">
        <f aca="false">AX379+IF(AND(C380&lt;&gt;"",OR(F380="LOC - INITIAL",F380="CONSOLIDATION - UPFRONT COMM",F380="REVERSE - TOTAL FUNDING")),1,0)</f>
        <v>0</v>
      </c>
    </row>
    <row r="381" customFormat="false" ht="15" hidden="false" customHeight="false" outlineLevel="0" collapsed="false">
      <c r="A381" s="25" t="str">
        <f aca="false">IF(C381&lt;&gt;"","F27-"&amp;COUNT($C$4:C381),"")</f>
        <v/>
      </c>
      <c r="B381" s="26" t="str">
        <f aca="false">IF(OR(F381="LOC - INITIAL",F381="CONSOLIDATION - UPFRONT COMM",F381="REVERSE - TOTAL FUNDING"),A381,"")</f>
        <v/>
      </c>
      <c r="C381" s="27"/>
      <c r="D381" s="28"/>
      <c r="E381" s="28"/>
      <c r="F381" s="28"/>
      <c r="G381" s="29"/>
      <c r="H381" s="30"/>
      <c r="I381" s="28"/>
      <c r="J381" s="31" t="str">
        <f aca="false">IF(AND(G381&lt;&gt;"",H381&lt;&gt;""),G381*H381,"")</f>
        <v/>
      </c>
      <c r="K381" s="28"/>
      <c r="L381" s="32"/>
      <c r="M381" s="32"/>
      <c r="N381" s="31" t="n">
        <f aca="false">IF(OR(G381="",M381=""),0,IF(M381&gt;100,M381,G381*IF(M381&gt;1,M381/100,M381)))</f>
        <v>0</v>
      </c>
      <c r="O381" s="31" t="str">
        <f aca="false">IF(G381="","",G381*IF(L381="",0,IF(L381&gt;1,L381/100,L381))+N381)</f>
        <v/>
      </c>
      <c r="P381" s="28"/>
      <c r="Q381" s="33" t="str">
        <f aca="false">IF(P381="","",IFERROR(VLOOKUP(P381,PARTNERS!$A$2:$B$30,2,0),""))</f>
        <v/>
      </c>
      <c r="R381" s="17" t="str">
        <f aca="false">IF(O381="","",IF(OR(P381="",Q381=""),0,(O381-N381)*IF(Q381&gt;1,Q381/100,Q381)))</f>
        <v/>
      </c>
      <c r="S381" s="31" t="str">
        <f aca="false">IF(O381="","",O381-R381)</f>
        <v/>
      </c>
      <c r="T381" s="28"/>
      <c r="U381" s="34" t="str">
        <f aca="false">IF(T381="","",IFERROR(VLOOKUP(T381,REPS!$A$2:$D$40,2,0),""))</f>
        <v/>
      </c>
      <c r="V381" s="31" t="str">
        <f aca="false">IF(O381="","",IF(U381="",0,O381*IF(U381&gt;1,U381/100,U381)))</f>
        <v/>
      </c>
      <c r="W381" s="28"/>
      <c r="X381" s="34" t="str">
        <f aca="false">IF(W381="","",IFERROR(VLOOKUP(W381,REPS!$A$2:$D$40,3,0),""))</f>
        <v/>
      </c>
      <c r="Y381" s="31" t="str">
        <f aca="false">IF(O381="","",IF(X381="",0,O381*IF(X381&gt;1,X381/100,X381)))</f>
        <v/>
      </c>
      <c r="Z381" s="28"/>
      <c r="AA381" s="34" t="str">
        <f aca="false">IF(Z381="","",IFERROR(VLOOKUP(Z381,REPS!$A$2:$D$40,4,0),""))</f>
        <v/>
      </c>
      <c r="AB381" s="31" t="str">
        <f aca="false">IF(O381="","",IF(AA381="",0,O381*IF(AA381&gt;1,AA381/100,AA381)))</f>
        <v/>
      </c>
      <c r="AC381" s="31" t="str">
        <f aca="false">IF(O381="","",V381+Y381+AB381)</f>
        <v/>
      </c>
      <c r="AD381" s="19" t="str">
        <f aca="false">IF(O381="","",O381-R381-AC381)</f>
        <v/>
      </c>
      <c r="AE381" s="20"/>
      <c r="AF381" s="27"/>
      <c r="AG381" s="21" t="n">
        <f aca="false">IF(OR(AE381="",AE381=0),0,AE381*IF(U381="",0,IF(U381&gt;1,U381/100,U381)))</f>
        <v>0</v>
      </c>
      <c r="AH381" s="21" t="n">
        <f aca="false">IF(OR(AE381="",AE381=0),0,AE381*IF(X381="",0,IF(X381&gt;1,X381/100,X381)))</f>
        <v>0</v>
      </c>
      <c r="AI381" s="21" t="n">
        <f aca="false">IF(OR(AE381="",AE381=0),0,AE381*IF(AA381="",0,IF(AA381&gt;1,AA381/100,AA381)))</f>
        <v>0</v>
      </c>
      <c r="AJ381" s="21" t="n">
        <f aca="false">AG381+AH381+AI381</f>
        <v>0</v>
      </c>
      <c r="AK381" s="21" t="n">
        <f aca="false">IF(OR(AE381="",AE381=0),0,AE381-AJ381)</f>
        <v>0</v>
      </c>
      <c r="AL381" s="19" t="str">
        <f aca="false">IF(AD381="","",AD381-AK381)</f>
        <v/>
      </c>
      <c r="AM381" s="26" t="str">
        <f aca="false">IF(C381="","","Waiting for payment")</f>
        <v/>
      </c>
      <c r="AN381" s="27"/>
      <c r="AO381" s="27"/>
      <c r="AP381" s="35" t="str">
        <f aca="false">IF(OR(C381="",I381="",K381=""),"",IF(K381="Monthly",EDATE(C381,ROUND(I381*SETTINGS!$I$8,0)),WORKDAY(C381,ROUND(I381*SETTINGS!$I$8,0))))</f>
        <v/>
      </c>
      <c r="AQ381" s="26" t="str">
        <f aca="true">IF(C381="","",IF(AND(AP381&lt;&gt;"",TODAY()&gt;=AP381),"Refi Ready",IF(TODAY()-C381&gt;=SETTINGS!$I$11,"Prospecting","Performing")))</f>
        <v/>
      </c>
      <c r="AR381" s="35" t="str">
        <f aca="false">IF(OR(C381="",I381="",K381=""),"",IF(K381="Monthly",EDATE(C381,I381),WORKDAY(C381,I381)))</f>
        <v/>
      </c>
      <c r="AS381" s="28"/>
      <c r="AT381" s="36" t="str">
        <f aca="true">IF(C381="","",IF(AM381="Clawed Back","CLAWED",IF(TODAY()&lt;=C381+SETTINGS!$I$2,"⚠ AT RISK","SAFE")))</f>
        <v/>
      </c>
      <c r="AU381" s="28"/>
      <c r="AW381" s="24" t="n">
        <f aca="false">AW380+IF(AND(C381&lt;&gt;"",AO381&lt;&gt;"",OR('REP COMMISSION'!$B$3="",T381='REP COMMISSION'!$B$3,W381='REP COMMISSION'!$B$3,Z381='REP COMMISSION'!$B$3)),1,0)</f>
        <v>0</v>
      </c>
      <c r="AX381" s="24" t="n">
        <f aca="false">AX380+IF(AND(C381&lt;&gt;"",OR(F381="LOC - INITIAL",F381="CONSOLIDATION - UPFRONT COMM",F381="REVERSE - TOTAL FUNDING")),1,0)</f>
        <v>0</v>
      </c>
    </row>
    <row r="382" customFormat="false" ht="15" hidden="false" customHeight="false" outlineLevel="0" collapsed="false">
      <c r="A382" s="8" t="str">
        <f aca="false">IF(C382&lt;&gt;"","F27-"&amp;COUNT($C$4:C382),"")</f>
        <v/>
      </c>
      <c r="B382" s="9" t="str">
        <f aca="false">IF(OR(F382="LOC - INITIAL",F382="CONSOLIDATION - UPFRONT COMM",F382="REVERSE - TOTAL FUNDING"),A382,"")</f>
        <v/>
      </c>
      <c r="C382" s="10"/>
      <c r="D382" s="11"/>
      <c r="E382" s="11"/>
      <c r="F382" s="11"/>
      <c r="G382" s="12"/>
      <c r="H382" s="13"/>
      <c r="I382" s="11"/>
      <c r="J382" s="14" t="str">
        <f aca="false">IF(AND(G382&lt;&gt;"",H382&lt;&gt;""),G382*H382,"")</f>
        <v/>
      </c>
      <c r="K382" s="11"/>
      <c r="L382" s="15"/>
      <c r="M382" s="15"/>
      <c r="N382" s="14" t="n">
        <f aca="false">IF(OR(G382="",M382=""),0,IF(M382&gt;100,M382,G382*IF(M382&gt;1,M382/100,M382)))</f>
        <v>0</v>
      </c>
      <c r="O382" s="14" t="str">
        <f aca="false">IF(G382="","",G382*IF(L382="",0,IF(L382&gt;1,L382/100,L382))+N382)</f>
        <v/>
      </c>
      <c r="P382" s="11"/>
      <c r="Q382" s="16" t="str">
        <f aca="false">IF(P382="","",IFERROR(VLOOKUP(P382,PARTNERS!$A$2:$B$30,2,0),""))</f>
        <v/>
      </c>
      <c r="R382" s="17" t="str">
        <f aca="false">IF(O382="","",IF(OR(P382="",Q382=""),0,(O382-N382)*IF(Q382&gt;1,Q382/100,Q382)))</f>
        <v/>
      </c>
      <c r="S382" s="14" t="str">
        <f aca="false">IF(O382="","",O382-R382)</f>
        <v/>
      </c>
      <c r="T382" s="11"/>
      <c r="U382" s="18" t="str">
        <f aca="false">IF(T382="","",IFERROR(VLOOKUP(T382,REPS!$A$2:$D$40,2,0),""))</f>
        <v/>
      </c>
      <c r="V382" s="14" t="str">
        <f aca="false">IF(O382="","",IF(U382="",0,O382*IF(U382&gt;1,U382/100,U382)))</f>
        <v/>
      </c>
      <c r="W382" s="11"/>
      <c r="X382" s="18" t="str">
        <f aca="false">IF(W382="","",IFERROR(VLOOKUP(W382,REPS!$A$2:$D$40,3,0),""))</f>
        <v/>
      </c>
      <c r="Y382" s="14" t="str">
        <f aca="false">IF(O382="","",IF(X382="",0,O382*IF(X382&gt;1,X382/100,X382)))</f>
        <v/>
      </c>
      <c r="Z382" s="11"/>
      <c r="AA382" s="18" t="str">
        <f aca="false">IF(Z382="","",IFERROR(VLOOKUP(Z382,REPS!$A$2:$D$40,4,0),""))</f>
        <v/>
      </c>
      <c r="AB382" s="14" t="str">
        <f aca="false">IF(O382="","",IF(AA382="",0,O382*IF(AA382&gt;1,AA382/100,AA382)))</f>
        <v/>
      </c>
      <c r="AC382" s="14" t="str">
        <f aca="false">IF(O382="","",V382+Y382+AB382)</f>
        <v/>
      </c>
      <c r="AD382" s="19" t="str">
        <f aca="false">IF(O382="","",O382-R382-AC382)</f>
        <v/>
      </c>
      <c r="AE382" s="20"/>
      <c r="AF382" s="10"/>
      <c r="AG382" s="21" t="n">
        <f aca="false">IF(OR(AE382="",AE382=0),0,AE382*IF(U382="",0,IF(U382&gt;1,U382/100,U382)))</f>
        <v>0</v>
      </c>
      <c r="AH382" s="21" t="n">
        <f aca="false">IF(OR(AE382="",AE382=0),0,AE382*IF(X382="",0,IF(X382&gt;1,X382/100,X382)))</f>
        <v>0</v>
      </c>
      <c r="AI382" s="21" t="n">
        <f aca="false">IF(OR(AE382="",AE382=0),0,AE382*IF(AA382="",0,IF(AA382&gt;1,AA382/100,AA382)))</f>
        <v>0</v>
      </c>
      <c r="AJ382" s="21" t="n">
        <f aca="false">AG382+AH382+AI382</f>
        <v>0</v>
      </c>
      <c r="AK382" s="21" t="n">
        <f aca="false">IF(OR(AE382="",AE382=0),0,AE382-AJ382)</f>
        <v>0</v>
      </c>
      <c r="AL382" s="19" t="str">
        <f aca="false">IF(AD382="","",AD382-AK382)</f>
        <v/>
      </c>
      <c r="AM382" s="9" t="str">
        <f aca="false">IF(C382="","","Waiting for payment")</f>
        <v/>
      </c>
      <c r="AN382" s="10"/>
      <c r="AO382" s="10"/>
      <c r="AP382" s="22" t="str">
        <f aca="false">IF(OR(C382="",I382="",K382=""),"",IF(K382="Monthly",EDATE(C382,ROUND(I382*SETTINGS!$I$8,0)),WORKDAY(C382,ROUND(I382*SETTINGS!$I$8,0))))</f>
        <v/>
      </c>
      <c r="AQ382" s="9" t="str">
        <f aca="true">IF(C382="","",IF(AND(AP382&lt;&gt;"",TODAY()&gt;=AP382),"Refi Ready",IF(TODAY()-C382&gt;=SETTINGS!$I$11,"Prospecting","Performing")))</f>
        <v/>
      </c>
      <c r="AR382" s="22" t="str">
        <f aca="false">IF(OR(C382="",I382="",K382=""),"",IF(K382="Monthly",EDATE(C382,I382),WORKDAY(C382,I382)))</f>
        <v/>
      </c>
      <c r="AS382" s="11"/>
      <c r="AT382" s="23" t="str">
        <f aca="true">IF(C382="","",IF(AM382="Clawed Back","CLAWED",IF(TODAY()&lt;=C382+SETTINGS!$I$2,"⚠ AT RISK","SAFE")))</f>
        <v/>
      </c>
      <c r="AU382" s="11"/>
      <c r="AW382" s="24" t="n">
        <f aca="false">AW381+IF(AND(C382&lt;&gt;"",AO382&lt;&gt;"",OR('REP COMMISSION'!$B$3="",T382='REP COMMISSION'!$B$3,W382='REP COMMISSION'!$B$3,Z382='REP COMMISSION'!$B$3)),1,0)</f>
        <v>0</v>
      </c>
      <c r="AX382" s="24" t="n">
        <f aca="false">AX381+IF(AND(C382&lt;&gt;"",OR(F382="LOC - INITIAL",F382="CONSOLIDATION - UPFRONT COMM",F382="REVERSE - TOTAL FUNDING")),1,0)</f>
        <v>0</v>
      </c>
    </row>
    <row r="383" customFormat="false" ht="15" hidden="false" customHeight="false" outlineLevel="0" collapsed="false">
      <c r="A383" s="25" t="str">
        <f aca="false">IF(C383&lt;&gt;"","F27-"&amp;COUNT($C$4:C383),"")</f>
        <v/>
      </c>
      <c r="B383" s="26" t="str">
        <f aca="false">IF(OR(F383="LOC - INITIAL",F383="CONSOLIDATION - UPFRONT COMM",F383="REVERSE - TOTAL FUNDING"),A383,"")</f>
        <v/>
      </c>
      <c r="C383" s="27"/>
      <c r="D383" s="28"/>
      <c r="E383" s="28"/>
      <c r="F383" s="28"/>
      <c r="G383" s="29"/>
      <c r="H383" s="30"/>
      <c r="I383" s="28"/>
      <c r="J383" s="31" t="str">
        <f aca="false">IF(AND(G383&lt;&gt;"",H383&lt;&gt;""),G383*H383,"")</f>
        <v/>
      </c>
      <c r="K383" s="28"/>
      <c r="L383" s="32"/>
      <c r="M383" s="32"/>
      <c r="N383" s="31" t="n">
        <f aca="false">IF(OR(G383="",M383=""),0,IF(M383&gt;100,M383,G383*IF(M383&gt;1,M383/100,M383)))</f>
        <v>0</v>
      </c>
      <c r="O383" s="31" t="str">
        <f aca="false">IF(G383="","",G383*IF(L383="",0,IF(L383&gt;1,L383/100,L383))+N383)</f>
        <v/>
      </c>
      <c r="P383" s="28"/>
      <c r="Q383" s="33" t="str">
        <f aca="false">IF(P383="","",IFERROR(VLOOKUP(P383,PARTNERS!$A$2:$B$30,2,0),""))</f>
        <v/>
      </c>
      <c r="R383" s="17" t="str">
        <f aca="false">IF(O383="","",IF(OR(P383="",Q383=""),0,(O383-N383)*IF(Q383&gt;1,Q383/100,Q383)))</f>
        <v/>
      </c>
      <c r="S383" s="31" t="str">
        <f aca="false">IF(O383="","",O383-R383)</f>
        <v/>
      </c>
      <c r="T383" s="28"/>
      <c r="U383" s="34" t="str">
        <f aca="false">IF(T383="","",IFERROR(VLOOKUP(T383,REPS!$A$2:$D$40,2,0),""))</f>
        <v/>
      </c>
      <c r="V383" s="31" t="str">
        <f aca="false">IF(O383="","",IF(U383="",0,O383*IF(U383&gt;1,U383/100,U383)))</f>
        <v/>
      </c>
      <c r="W383" s="28"/>
      <c r="X383" s="34" t="str">
        <f aca="false">IF(W383="","",IFERROR(VLOOKUP(W383,REPS!$A$2:$D$40,3,0),""))</f>
        <v/>
      </c>
      <c r="Y383" s="31" t="str">
        <f aca="false">IF(O383="","",IF(X383="",0,O383*IF(X383&gt;1,X383/100,X383)))</f>
        <v/>
      </c>
      <c r="Z383" s="28"/>
      <c r="AA383" s="34" t="str">
        <f aca="false">IF(Z383="","",IFERROR(VLOOKUP(Z383,REPS!$A$2:$D$40,4,0),""))</f>
        <v/>
      </c>
      <c r="AB383" s="31" t="str">
        <f aca="false">IF(O383="","",IF(AA383="",0,O383*IF(AA383&gt;1,AA383/100,AA383)))</f>
        <v/>
      </c>
      <c r="AC383" s="31" t="str">
        <f aca="false">IF(O383="","",V383+Y383+AB383)</f>
        <v/>
      </c>
      <c r="AD383" s="19" t="str">
        <f aca="false">IF(O383="","",O383-R383-AC383)</f>
        <v/>
      </c>
      <c r="AE383" s="20"/>
      <c r="AF383" s="27"/>
      <c r="AG383" s="21" t="n">
        <f aca="false">IF(OR(AE383="",AE383=0),0,AE383*IF(U383="",0,IF(U383&gt;1,U383/100,U383)))</f>
        <v>0</v>
      </c>
      <c r="AH383" s="21" t="n">
        <f aca="false">IF(OR(AE383="",AE383=0),0,AE383*IF(X383="",0,IF(X383&gt;1,X383/100,X383)))</f>
        <v>0</v>
      </c>
      <c r="AI383" s="21" t="n">
        <f aca="false">IF(OR(AE383="",AE383=0),0,AE383*IF(AA383="",0,IF(AA383&gt;1,AA383/100,AA383)))</f>
        <v>0</v>
      </c>
      <c r="AJ383" s="21" t="n">
        <f aca="false">AG383+AH383+AI383</f>
        <v>0</v>
      </c>
      <c r="AK383" s="21" t="n">
        <f aca="false">IF(OR(AE383="",AE383=0),0,AE383-AJ383)</f>
        <v>0</v>
      </c>
      <c r="AL383" s="19" t="str">
        <f aca="false">IF(AD383="","",AD383-AK383)</f>
        <v/>
      </c>
      <c r="AM383" s="26" t="str">
        <f aca="false">IF(C383="","","Waiting for payment")</f>
        <v/>
      </c>
      <c r="AN383" s="27"/>
      <c r="AO383" s="27"/>
      <c r="AP383" s="35" t="str">
        <f aca="false">IF(OR(C383="",I383="",K383=""),"",IF(K383="Monthly",EDATE(C383,ROUND(I383*SETTINGS!$I$8,0)),WORKDAY(C383,ROUND(I383*SETTINGS!$I$8,0))))</f>
        <v/>
      </c>
      <c r="AQ383" s="26" t="str">
        <f aca="true">IF(C383="","",IF(AND(AP383&lt;&gt;"",TODAY()&gt;=AP383),"Refi Ready",IF(TODAY()-C383&gt;=SETTINGS!$I$11,"Prospecting","Performing")))</f>
        <v/>
      </c>
      <c r="AR383" s="35" t="str">
        <f aca="false">IF(OR(C383="",I383="",K383=""),"",IF(K383="Monthly",EDATE(C383,I383),WORKDAY(C383,I383)))</f>
        <v/>
      </c>
      <c r="AS383" s="28"/>
      <c r="AT383" s="36" t="str">
        <f aca="true">IF(C383="","",IF(AM383="Clawed Back","CLAWED",IF(TODAY()&lt;=C383+SETTINGS!$I$2,"⚠ AT RISK","SAFE")))</f>
        <v/>
      </c>
      <c r="AU383" s="28"/>
      <c r="AW383" s="24" t="n">
        <f aca="false">AW382+IF(AND(C383&lt;&gt;"",AO383&lt;&gt;"",OR('REP COMMISSION'!$B$3="",T383='REP COMMISSION'!$B$3,W383='REP COMMISSION'!$B$3,Z383='REP COMMISSION'!$B$3)),1,0)</f>
        <v>0</v>
      </c>
      <c r="AX383" s="24" t="n">
        <f aca="false">AX382+IF(AND(C383&lt;&gt;"",OR(F383="LOC - INITIAL",F383="CONSOLIDATION - UPFRONT COMM",F383="REVERSE - TOTAL FUNDING")),1,0)</f>
        <v>0</v>
      </c>
    </row>
    <row r="384" customFormat="false" ht="15" hidden="false" customHeight="false" outlineLevel="0" collapsed="false">
      <c r="A384" s="8" t="str">
        <f aca="false">IF(C384&lt;&gt;"","F27-"&amp;COUNT($C$4:C384),"")</f>
        <v/>
      </c>
      <c r="B384" s="9" t="str">
        <f aca="false">IF(OR(F384="LOC - INITIAL",F384="CONSOLIDATION - UPFRONT COMM",F384="REVERSE - TOTAL FUNDING"),A384,"")</f>
        <v/>
      </c>
      <c r="C384" s="10"/>
      <c r="D384" s="11"/>
      <c r="E384" s="11"/>
      <c r="F384" s="11"/>
      <c r="G384" s="12"/>
      <c r="H384" s="13"/>
      <c r="I384" s="11"/>
      <c r="J384" s="14" t="str">
        <f aca="false">IF(AND(G384&lt;&gt;"",H384&lt;&gt;""),G384*H384,"")</f>
        <v/>
      </c>
      <c r="K384" s="11"/>
      <c r="L384" s="15"/>
      <c r="M384" s="15"/>
      <c r="N384" s="14" t="n">
        <f aca="false">IF(OR(G384="",M384=""),0,IF(M384&gt;100,M384,G384*IF(M384&gt;1,M384/100,M384)))</f>
        <v>0</v>
      </c>
      <c r="O384" s="14" t="str">
        <f aca="false">IF(G384="","",G384*IF(L384="",0,IF(L384&gt;1,L384/100,L384))+N384)</f>
        <v/>
      </c>
      <c r="P384" s="11"/>
      <c r="Q384" s="16" t="str">
        <f aca="false">IF(P384="","",IFERROR(VLOOKUP(P384,PARTNERS!$A$2:$B$30,2,0),""))</f>
        <v/>
      </c>
      <c r="R384" s="17" t="str">
        <f aca="false">IF(O384="","",IF(OR(P384="",Q384=""),0,(O384-N384)*IF(Q384&gt;1,Q384/100,Q384)))</f>
        <v/>
      </c>
      <c r="S384" s="14" t="str">
        <f aca="false">IF(O384="","",O384-R384)</f>
        <v/>
      </c>
      <c r="T384" s="11"/>
      <c r="U384" s="18" t="str">
        <f aca="false">IF(T384="","",IFERROR(VLOOKUP(T384,REPS!$A$2:$D$40,2,0),""))</f>
        <v/>
      </c>
      <c r="V384" s="14" t="str">
        <f aca="false">IF(O384="","",IF(U384="",0,O384*IF(U384&gt;1,U384/100,U384)))</f>
        <v/>
      </c>
      <c r="W384" s="11"/>
      <c r="X384" s="18" t="str">
        <f aca="false">IF(W384="","",IFERROR(VLOOKUP(W384,REPS!$A$2:$D$40,3,0),""))</f>
        <v/>
      </c>
      <c r="Y384" s="14" t="str">
        <f aca="false">IF(O384="","",IF(X384="",0,O384*IF(X384&gt;1,X384/100,X384)))</f>
        <v/>
      </c>
      <c r="Z384" s="11"/>
      <c r="AA384" s="18" t="str">
        <f aca="false">IF(Z384="","",IFERROR(VLOOKUP(Z384,REPS!$A$2:$D$40,4,0),""))</f>
        <v/>
      </c>
      <c r="AB384" s="14" t="str">
        <f aca="false">IF(O384="","",IF(AA384="",0,O384*IF(AA384&gt;1,AA384/100,AA384)))</f>
        <v/>
      </c>
      <c r="AC384" s="14" t="str">
        <f aca="false">IF(O384="","",V384+Y384+AB384)</f>
        <v/>
      </c>
      <c r="AD384" s="19" t="str">
        <f aca="false">IF(O384="","",O384-R384-AC384)</f>
        <v/>
      </c>
      <c r="AE384" s="20"/>
      <c r="AF384" s="10"/>
      <c r="AG384" s="21" t="n">
        <f aca="false">IF(OR(AE384="",AE384=0),0,AE384*IF(U384="",0,IF(U384&gt;1,U384/100,U384)))</f>
        <v>0</v>
      </c>
      <c r="AH384" s="21" t="n">
        <f aca="false">IF(OR(AE384="",AE384=0),0,AE384*IF(X384="",0,IF(X384&gt;1,X384/100,X384)))</f>
        <v>0</v>
      </c>
      <c r="AI384" s="21" t="n">
        <f aca="false">IF(OR(AE384="",AE384=0),0,AE384*IF(AA384="",0,IF(AA384&gt;1,AA384/100,AA384)))</f>
        <v>0</v>
      </c>
      <c r="AJ384" s="21" t="n">
        <f aca="false">AG384+AH384+AI384</f>
        <v>0</v>
      </c>
      <c r="AK384" s="21" t="n">
        <f aca="false">IF(OR(AE384="",AE384=0),0,AE384-AJ384)</f>
        <v>0</v>
      </c>
      <c r="AL384" s="19" t="str">
        <f aca="false">IF(AD384="","",AD384-AK384)</f>
        <v/>
      </c>
      <c r="AM384" s="9" t="str">
        <f aca="false">IF(C384="","","Waiting for payment")</f>
        <v/>
      </c>
      <c r="AN384" s="10"/>
      <c r="AO384" s="10"/>
      <c r="AP384" s="22" t="str">
        <f aca="false">IF(OR(C384="",I384="",K384=""),"",IF(K384="Monthly",EDATE(C384,ROUND(I384*SETTINGS!$I$8,0)),WORKDAY(C384,ROUND(I384*SETTINGS!$I$8,0))))</f>
        <v/>
      </c>
      <c r="AQ384" s="9" t="str">
        <f aca="true">IF(C384="","",IF(AND(AP384&lt;&gt;"",TODAY()&gt;=AP384),"Refi Ready",IF(TODAY()-C384&gt;=SETTINGS!$I$11,"Prospecting","Performing")))</f>
        <v/>
      </c>
      <c r="AR384" s="22" t="str">
        <f aca="false">IF(OR(C384="",I384="",K384=""),"",IF(K384="Monthly",EDATE(C384,I384),WORKDAY(C384,I384)))</f>
        <v/>
      </c>
      <c r="AS384" s="11"/>
      <c r="AT384" s="23" t="str">
        <f aca="true">IF(C384="","",IF(AM384="Clawed Back","CLAWED",IF(TODAY()&lt;=C384+SETTINGS!$I$2,"⚠ AT RISK","SAFE")))</f>
        <v/>
      </c>
      <c r="AU384" s="11"/>
      <c r="AW384" s="24" t="n">
        <f aca="false">AW383+IF(AND(C384&lt;&gt;"",AO384&lt;&gt;"",OR('REP COMMISSION'!$B$3="",T384='REP COMMISSION'!$B$3,W384='REP COMMISSION'!$B$3,Z384='REP COMMISSION'!$B$3)),1,0)</f>
        <v>0</v>
      </c>
      <c r="AX384" s="24" t="n">
        <f aca="false">AX383+IF(AND(C384&lt;&gt;"",OR(F384="LOC - INITIAL",F384="CONSOLIDATION - UPFRONT COMM",F384="REVERSE - TOTAL FUNDING")),1,0)</f>
        <v>0</v>
      </c>
    </row>
    <row r="385" customFormat="false" ht="15" hidden="false" customHeight="false" outlineLevel="0" collapsed="false">
      <c r="A385" s="25" t="str">
        <f aca="false">IF(C385&lt;&gt;"","F27-"&amp;COUNT($C$4:C385),"")</f>
        <v/>
      </c>
      <c r="B385" s="26" t="str">
        <f aca="false">IF(OR(F385="LOC - INITIAL",F385="CONSOLIDATION - UPFRONT COMM",F385="REVERSE - TOTAL FUNDING"),A385,"")</f>
        <v/>
      </c>
      <c r="C385" s="27"/>
      <c r="D385" s="28"/>
      <c r="E385" s="28"/>
      <c r="F385" s="28"/>
      <c r="G385" s="29"/>
      <c r="H385" s="30"/>
      <c r="I385" s="28"/>
      <c r="J385" s="31" t="str">
        <f aca="false">IF(AND(G385&lt;&gt;"",H385&lt;&gt;""),G385*H385,"")</f>
        <v/>
      </c>
      <c r="K385" s="28"/>
      <c r="L385" s="32"/>
      <c r="M385" s="32"/>
      <c r="N385" s="31" t="n">
        <f aca="false">IF(OR(G385="",M385=""),0,IF(M385&gt;100,M385,G385*IF(M385&gt;1,M385/100,M385)))</f>
        <v>0</v>
      </c>
      <c r="O385" s="31" t="str">
        <f aca="false">IF(G385="","",G385*IF(L385="",0,IF(L385&gt;1,L385/100,L385))+N385)</f>
        <v/>
      </c>
      <c r="P385" s="28"/>
      <c r="Q385" s="33" t="str">
        <f aca="false">IF(P385="","",IFERROR(VLOOKUP(P385,PARTNERS!$A$2:$B$30,2,0),""))</f>
        <v/>
      </c>
      <c r="R385" s="17" t="str">
        <f aca="false">IF(O385="","",IF(OR(P385="",Q385=""),0,(O385-N385)*IF(Q385&gt;1,Q385/100,Q385)))</f>
        <v/>
      </c>
      <c r="S385" s="31" t="str">
        <f aca="false">IF(O385="","",O385-R385)</f>
        <v/>
      </c>
      <c r="T385" s="28"/>
      <c r="U385" s="34" t="str">
        <f aca="false">IF(T385="","",IFERROR(VLOOKUP(T385,REPS!$A$2:$D$40,2,0),""))</f>
        <v/>
      </c>
      <c r="V385" s="31" t="str">
        <f aca="false">IF(O385="","",IF(U385="",0,O385*IF(U385&gt;1,U385/100,U385)))</f>
        <v/>
      </c>
      <c r="W385" s="28"/>
      <c r="X385" s="34" t="str">
        <f aca="false">IF(W385="","",IFERROR(VLOOKUP(W385,REPS!$A$2:$D$40,3,0),""))</f>
        <v/>
      </c>
      <c r="Y385" s="31" t="str">
        <f aca="false">IF(O385="","",IF(X385="",0,O385*IF(X385&gt;1,X385/100,X385)))</f>
        <v/>
      </c>
      <c r="Z385" s="28"/>
      <c r="AA385" s="34" t="str">
        <f aca="false">IF(Z385="","",IFERROR(VLOOKUP(Z385,REPS!$A$2:$D$40,4,0),""))</f>
        <v/>
      </c>
      <c r="AB385" s="31" t="str">
        <f aca="false">IF(O385="","",IF(AA385="",0,O385*IF(AA385&gt;1,AA385/100,AA385)))</f>
        <v/>
      </c>
      <c r="AC385" s="31" t="str">
        <f aca="false">IF(O385="","",V385+Y385+AB385)</f>
        <v/>
      </c>
      <c r="AD385" s="19" t="str">
        <f aca="false">IF(O385="","",O385-R385-AC385)</f>
        <v/>
      </c>
      <c r="AE385" s="20"/>
      <c r="AF385" s="27"/>
      <c r="AG385" s="21" t="n">
        <f aca="false">IF(OR(AE385="",AE385=0),0,AE385*IF(U385="",0,IF(U385&gt;1,U385/100,U385)))</f>
        <v>0</v>
      </c>
      <c r="AH385" s="21" t="n">
        <f aca="false">IF(OR(AE385="",AE385=0),0,AE385*IF(X385="",0,IF(X385&gt;1,X385/100,X385)))</f>
        <v>0</v>
      </c>
      <c r="AI385" s="21" t="n">
        <f aca="false">IF(OR(AE385="",AE385=0),0,AE385*IF(AA385="",0,IF(AA385&gt;1,AA385/100,AA385)))</f>
        <v>0</v>
      </c>
      <c r="AJ385" s="21" t="n">
        <f aca="false">AG385+AH385+AI385</f>
        <v>0</v>
      </c>
      <c r="AK385" s="21" t="n">
        <f aca="false">IF(OR(AE385="",AE385=0),0,AE385-AJ385)</f>
        <v>0</v>
      </c>
      <c r="AL385" s="19" t="str">
        <f aca="false">IF(AD385="","",AD385-AK385)</f>
        <v/>
      </c>
      <c r="AM385" s="26" t="str">
        <f aca="false">IF(C385="","","Waiting for payment")</f>
        <v/>
      </c>
      <c r="AN385" s="27"/>
      <c r="AO385" s="27"/>
      <c r="AP385" s="35" t="str">
        <f aca="false">IF(OR(C385="",I385="",K385=""),"",IF(K385="Monthly",EDATE(C385,ROUND(I385*SETTINGS!$I$8,0)),WORKDAY(C385,ROUND(I385*SETTINGS!$I$8,0))))</f>
        <v/>
      </c>
      <c r="AQ385" s="26" t="str">
        <f aca="true">IF(C385="","",IF(AND(AP385&lt;&gt;"",TODAY()&gt;=AP385),"Refi Ready",IF(TODAY()-C385&gt;=SETTINGS!$I$11,"Prospecting","Performing")))</f>
        <v/>
      </c>
      <c r="AR385" s="35" t="str">
        <f aca="false">IF(OR(C385="",I385="",K385=""),"",IF(K385="Monthly",EDATE(C385,I385),WORKDAY(C385,I385)))</f>
        <v/>
      </c>
      <c r="AS385" s="28"/>
      <c r="AT385" s="36" t="str">
        <f aca="true">IF(C385="","",IF(AM385="Clawed Back","CLAWED",IF(TODAY()&lt;=C385+SETTINGS!$I$2,"⚠ AT RISK","SAFE")))</f>
        <v/>
      </c>
      <c r="AU385" s="28"/>
      <c r="AW385" s="24" t="n">
        <f aca="false">AW384+IF(AND(C385&lt;&gt;"",AO385&lt;&gt;"",OR('REP COMMISSION'!$B$3="",T385='REP COMMISSION'!$B$3,W385='REP COMMISSION'!$B$3,Z385='REP COMMISSION'!$B$3)),1,0)</f>
        <v>0</v>
      </c>
      <c r="AX385" s="24" t="n">
        <f aca="false">AX384+IF(AND(C385&lt;&gt;"",OR(F385="LOC - INITIAL",F385="CONSOLIDATION - UPFRONT COMM",F385="REVERSE - TOTAL FUNDING")),1,0)</f>
        <v>0</v>
      </c>
    </row>
    <row r="386" customFormat="false" ht="15" hidden="false" customHeight="false" outlineLevel="0" collapsed="false">
      <c r="A386" s="8" t="str">
        <f aca="false">IF(C386&lt;&gt;"","F27-"&amp;COUNT($C$4:C386),"")</f>
        <v/>
      </c>
      <c r="B386" s="9" t="str">
        <f aca="false">IF(OR(F386="LOC - INITIAL",F386="CONSOLIDATION - UPFRONT COMM",F386="REVERSE - TOTAL FUNDING"),A386,"")</f>
        <v/>
      </c>
      <c r="C386" s="10"/>
      <c r="D386" s="11"/>
      <c r="E386" s="11"/>
      <c r="F386" s="11"/>
      <c r="G386" s="12"/>
      <c r="H386" s="13"/>
      <c r="I386" s="11"/>
      <c r="J386" s="14" t="str">
        <f aca="false">IF(AND(G386&lt;&gt;"",H386&lt;&gt;""),G386*H386,"")</f>
        <v/>
      </c>
      <c r="K386" s="11"/>
      <c r="L386" s="15"/>
      <c r="M386" s="15"/>
      <c r="N386" s="14" t="n">
        <f aca="false">IF(OR(G386="",M386=""),0,IF(M386&gt;100,M386,G386*IF(M386&gt;1,M386/100,M386)))</f>
        <v>0</v>
      </c>
      <c r="O386" s="14" t="str">
        <f aca="false">IF(G386="","",G386*IF(L386="",0,IF(L386&gt;1,L386/100,L386))+N386)</f>
        <v/>
      </c>
      <c r="P386" s="11"/>
      <c r="Q386" s="16" t="str">
        <f aca="false">IF(P386="","",IFERROR(VLOOKUP(P386,PARTNERS!$A$2:$B$30,2,0),""))</f>
        <v/>
      </c>
      <c r="R386" s="17" t="str">
        <f aca="false">IF(O386="","",IF(OR(P386="",Q386=""),0,(O386-N386)*IF(Q386&gt;1,Q386/100,Q386)))</f>
        <v/>
      </c>
      <c r="S386" s="14" t="str">
        <f aca="false">IF(O386="","",O386-R386)</f>
        <v/>
      </c>
      <c r="T386" s="11"/>
      <c r="U386" s="18" t="str">
        <f aca="false">IF(T386="","",IFERROR(VLOOKUP(T386,REPS!$A$2:$D$40,2,0),""))</f>
        <v/>
      </c>
      <c r="V386" s="14" t="str">
        <f aca="false">IF(O386="","",IF(U386="",0,O386*IF(U386&gt;1,U386/100,U386)))</f>
        <v/>
      </c>
      <c r="W386" s="11"/>
      <c r="X386" s="18" t="str">
        <f aca="false">IF(W386="","",IFERROR(VLOOKUP(W386,REPS!$A$2:$D$40,3,0),""))</f>
        <v/>
      </c>
      <c r="Y386" s="14" t="str">
        <f aca="false">IF(O386="","",IF(X386="",0,O386*IF(X386&gt;1,X386/100,X386)))</f>
        <v/>
      </c>
      <c r="Z386" s="11"/>
      <c r="AA386" s="18" t="str">
        <f aca="false">IF(Z386="","",IFERROR(VLOOKUP(Z386,REPS!$A$2:$D$40,4,0),""))</f>
        <v/>
      </c>
      <c r="AB386" s="14" t="str">
        <f aca="false">IF(O386="","",IF(AA386="",0,O386*IF(AA386&gt;1,AA386/100,AA386)))</f>
        <v/>
      </c>
      <c r="AC386" s="14" t="str">
        <f aca="false">IF(O386="","",V386+Y386+AB386)</f>
        <v/>
      </c>
      <c r="AD386" s="19" t="str">
        <f aca="false">IF(O386="","",O386-R386-AC386)</f>
        <v/>
      </c>
      <c r="AE386" s="20"/>
      <c r="AF386" s="10"/>
      <c r="AG386" s="21" t="n">
        <f aca="false">IF(OR(AE386="",AE386=0),0,AE386*IF(U386="",0,IF(U386&gt;1,U386/100,U386)))</f>
        <v>0</v>
      </c>
      <c r="AH386" s="21" t="n">
        <f aca="false">IF(OR(AE386="",AE386=0),0,AE386*IF(X386="",0,IF(X386&gt;1,X386/100,X386)))</f>
        <v>0</v>
      </c>
      <c r="AI386" s="21" t="n">
        <f aca="false">IF(OR(AE386="",AE386=0),0,AE386*IF(AA386="",0,IF(AA386&gt;1,AA386/100,AA386)))</f>
        <v>0</v>
      </c>
      <c r="AJ386" s="21" t="n">
        <f aca="false">AG386+AH386+AI386</f>
        <v>0</v>
      </c>
      <c r="AK386" s="21" t="n">
        <f aca="false">IF(OR(AE386="",AE386=0),0,AE386-AJ386)</f>
        <v>0</v>
      </c>
      <c r="AL386" s="19" t="str">
        <f aca="false">IF(AD386="","",AD386-AK386)</f>
        <v/>
      </c>
      <c r="AM386" s="9" t="str">
        <f aca="false">IF(C386="","","Waiting for payment")</f>
        <v/>
      </c>
      <c r="AN386" s="10"/>
      <c r="AO386" s="10"/>
      <c r="AP386" s="22" t="str">
        <f aca="false">IF(OR(C386="",I386="",K386=""),"",IF(K386="Monthly",EDATE(C386,ROUND(I386*SETTINGS!$I$8,0)),WORKDAY(C386,ROUND(I386*SETTINGS!$I$8,0))))</f>
        <v/>
      </c>
      <c r="AQ386" s="9" t="str">
        <f aca="true">IF(C386="","",IF(AND(AP386&lt;&gt;"",TODAY()&gt;=AP386),"Refi Ready",IF(TODAY()-C386&gt;=SETTINGS!$I$11,"Prospecting","Performing")))</f>
        <v/>
      </c>
      <c r="AR386" s="22" t="str">
        <f aca="false">IF(OR(C386="",I386="",K386=""),"",IF(K386="Monthly",EDATE(C386,I386),WORKDAY(C386,I386)))</f>
        <v/>
      </c>
      <c r="AS386" s="11"/>
      <c r="AT386" s="23" t="str">
        <f aca="true">IF(C386="","",IF(AM386="Clawed Back","CLAWED",IF(TODAY()&lt;=C386+SETTINGS!$I$2,"⚠ AT RISK","SAFE")))</f>
        <v/>
      </c>
      <c r="AU386" s="11"/>
      <c r="AW386" s="24" t="n">
        <f aca="false">AW385+IF(AND(C386&lt;&gt;"",AO386&lt;&gt;"",OR('REP COMMISSION'!$B$3="",T386='REP COMMISSION'!$B$3,W386='REP COMMISSION'!$B$3,Z386='REP COMMISSION'!$B$3)),1,0)</f>
        <v>0</v>
      </c>
      <c r="AX386" s="24" t="n">
        <f aca="false">AX385+IF(AND(C386&lt;&gt;"",OR(F386="LOC - INITIAL",F386="CONSOLIDATION - UPFRONT COMM",F386="REVERSE - TOTAL FUNDING")),1,0)</f>
        <v>0</v>
      </c>
    </row>
    <row r="387" customFormat="false" ht="15" hidden="false" customHeight="false" outlineLevel="0" collapsed="false">
      <c r="A387" s="25" t="str">
        <f aca="false">IF(C387&lt;&gt;"","F27-"&amp;COUNT($C$4:C387),"")</f>
        <v/>
      </c>
      <c r="B387" s="26" t="str">
        <f aca="false">IF(OR(F387="LOC - INITIAL",F387="CONSOLIDATION - UPFRONT COMM",F387="REVERSE - TOTAL FUNDING"),A387,"")</f>
        <v/>
      </c>
      <c r="C387" s="27"/>
      <c r="D387" s="28"/>
      <c r="E387" s="28"/>
      <c r="F387" s="28"/>
      <c r="G387" s="29"/>
      <c r="H387" s="30"/>
      <c r="I387" s="28"/>
      <c r="J387" s="31" t="str">
        <f aca="false">IF(AND(G387&lt;&gt;"",H387&lt;&gt;""),G387*H387,"")</f>
        <v/>
      </c>
      <c r="K387" s="28"/>
      <c r="L387" s="32"/>
      <c r="M387" s="32"/>
      <c r="N387" s="31" t="n">
        <f aca="false">IF(OR(G387="",M387=""),0,IF(M387&gt;100,M387,G387*IF(M387&gt;1,M387/100,M387)))</f>
        <v>0</v>
      </c>
      <c r="O387" s="31" t="str">
        <f aca="false">IF(G387="","",G387*IF(L387="",0,IF(L387&gt;1,L387/100,L387))+N387)</f>
        <v/>
      </c>
      <c r="P387" s="28"/>
      <c r="Q387" s="33" t="str">
        <f aca="false">IF(P387="","",IFERROR(VLOOKUP(P387,PARTNERS!$A$2:$B$30,2,0),""))</f>
        <v/>
      </c>
      <c r="R387" s="17" t="str">
        <f aca="false">IF(O387="","",IF(OR(P387="",Q387=""),0,(O387-N387)*IF(Q387&gt;1,Q387/100,Q387)))</f>
        <v/>
      </c>
      <c r="S387" s="31" t="str">
        <f aca="false">IF(O387="","",O387-R387)</f>
        <v/>
      </c>
      <c r="T387" s="28"/>
      <c r="U387" s="34" t="str">
        <f aca="false">IF(T387="","",IFERROR(VLOOKUP(T387,REPS!$A$2:$D$40,2,0),""))</f>
        <v/>
      </c>
      <c r="V387" s="31" t="str">
        <f aca="false">IF(O387="","",IF(U387="",0,O387*IF(U387&gt;1,U387/100,U387)))</f>
        <v/>
      </c>
      <c r="W387" s="28"/>
      <c r="X387" s="34" t="str">
        <f aca="false">IF(W387="","",IFERROR(VLOOKUP(W387,REPS!$A$2:$D$40,3,0),""))</f>
        <v/>
      </c>
      <c r="Y387" s="31" t="str">
        <f aca="false">IF(O387="","",IF(X387="",0,O387*IF(X387&gt;1,X387/100,X387)))</f>
        <v/>
      </c>
      <c r="Z387" s="28"/>
      <c r="AA387" s="34" t="str">
        <f aca="false">IF(Z387="","",IFERROR(VLOOKUP(Z387,REPS!$A$2:$D$40,4,0),""))</f>
        <v/>
      </c>
      <c r="AB387" s="31" t="str">
        <f aca="false">IF(O387="","",IF(AA387="",0,O387*IF(AA387&gt;1,AA387/100,AA387)))</f>
        <v/>
      </c>
      <c r="AC387" s="31" t="str">
        <f aca="false">IF(O387="","",V387+Y387+AB387)</f>
        <v/>
      </c>
      <c r="AD387" s="19" t="str">
        <f aca="false">IF(O387="","",O387-R387-AC387)</f>
        <v/>
      </c>
      <c r="AE387" s="20"/>
      <c r="AF387" s="27"/>
      <c r="AG387" s="21" t="n">
        <f aca="false">IF(OR(AE387="",AE387=0),0,AE387*IF(U387="",0,IF(U387&gt;1,U387/100,U387)))</f>
        <v>0</v>
      </c>
      <c r="AH387" s="21" t="n">
        <f aca="false">IF(OR(AE387="",AE387=0),0,AE387*IF(X387="",0,IF(X387&gt;1,X387/100,X387)))</f>
        <v>0</v>
      </c>
      <c r="AI387" s="21" t="n">
        <f aca="false">IF(OR(AE387="",AE387=0),0,AE387*IF(AA387="",0,IF(AA387&gt;1,AA387/100,AA387)))</f>
        <v>0</v>
      </c>
      <c r="AJ387" s="21" t="n">
        <f aca="false">AG387+AH387+AI387</f>
        <v>0</v>
      </c>
      <c r="AK387" s="21" t="n">
        <f aca="false">IF(OR(AE387="",AE387=0),0,AE387-AJ387)</f>
        <v>0</v>
      </c>
      <c r="AL387" s="19" t="str">
        <f aca="false">IF(AD387="","",AD387-AK387)</f>
        <v/>
      </c>
      <c r="AM387" s="26" t="str">
        <f aca="false">IF(C387="","","Waiting for payment")</f>
        <v/>
      </c>
      <c r="AN387" s="27"/>
      <c r="AO387" s="27"/>
      <c r="AP387" s="35" t="str">
        <f aca="false">IF(OR(C387="",I387="",K387=""),"",IF(K387="Monthly",EDATE(C387,ROUND(I387*SETTINGS!$I$8,0)),WORKDAY(C387,ROUND(I387*SETTINGS!$I$8,0))))</f>
        <v/>
      </c>
      <c r="AQ387" s="26" t="str">
        <f aca="true">IF(C387="","",IF(AND(AP387&lt;&gt;"",TODAY()&gt;=AP387),"Refi Ready",IF(TODAY()-C387&gt;=SETTINGS!$I$11,"Prospecting","Performing")))</f>
        <v/>
      </c>
      <c r="AR387" s="35" t="str">
        <f aca="false">IF(OR(C387="",I387="",K387=""),"",IF(K387="Monthly",EDATE(C387,I387),WORKDAY(C387,I387)))</f>
        <v/>
      </c>
      <c r="AS387" s="28"/>
      <c r="AT387" s="36" t="str">
        <f aca="true">IF(C387="","",IF(AM387="Clawed Back","CLAWED",IF(TODAY()&lt;=C387+SETTINGS!$I$2,"⚠ AT RISK","SAFE")))</f>
        <v/>
      </c>
      <c r="AU387" s="28"/>
      <c r="AW387" s="24" t="n">
        <f aca="false">AW386+IF(AND(C387&lt;&gt;"",AO387&lt;&gt;"",OR('REP COMMISSION'!$B$3="",T387='REP COMMISSION'!$B$3,W387='REP COMMISSION'!$B$3,Z387='REP COMMISSION'!$B$3)),1,0)</f>
        <v>0</v>
      </c>
      <c r="AX387" s="24" t="n">
        <f aca="false">AX386+IF(AND(C387&lt;&gt;"",OR(F387="LOC - INITIAL",F387="CONSOLIDATION - UPFRONT COMM",F387="REVERSE - TOTAL FUNDING")),1,0)</f>
        <v>0</v>
      </c>
    </row>
    <row r="388" customFormat="false" ht="15" hidden="false" customHeight="false" outlineLevel="0" collapsed="false">
      <c r="A388" s="8" t="str">
        <f aca="false">IF(C388&lt;&gt;"","F27-"&amp;COUNT($C$4:C388),"")</f>
        <v/>
      </c>
      <c r="B388" s="9" t="str">
        <f aca="false">IF(OR(F388="LOC - INITIAL",F388="CONSOLIDATION - UPFRONT COMM",F388="REVERSE - TOTAL FUNDING"),A388,"")</f>
        <v/>
      </c>
      <c r="C388" s="10"/>
      <c r="D388" s="11"/>
      <c r="E388" s="11"/>
      <c r="F388" s="11"/>
      <c r="G388" s="12"/>
      <c r="H388" s="13"/>
      <c r="I388" s="11"/>
      <c r="J388" s="14" t="str">
        <f aca="false">IF(AND(G388&lt;&gt;"",H388&lt;&gt;""),G388*H388,"")</f>
        <v/>
      </c>
      <c r="K388" s="11"/>
      <c r="L388" s="15"/>
      <c r="M388" s="15"/>
      <c r="N388" s="14" t="n">
        <f aca="false">IF(OR(G388="",M388=""),0,IF(M388&gt;100,M388,G388*IF(M388&gt;1,M388/100,M388)))</f>
        <v>0</v>
      </c>
      <c r="O388" s="14" t="str">
        <f aca="false">IF(G388="","",G388*IF(L388="",0,IF(L388&gt;1,L388/100,L388))+N388)</f>
        <v/>
      </c>
      <c r="P388" s="11"/>
      <c r="Q388" s="16" t="str">
        <f aca="false">IF(P388="","",IFERROR(VLOOKUP(P388,PARTNERS!$A$2:$B$30,2,0),""))</f>
        <v/>
      </c>
      <c r="R388" s="17" t="str">
        <f aca="false">IF(O388="","",IF(OR(P388="",Q388=""),0,(O388-N388)*IF(Q388&gt;1,Q388/100,Q388)))</f>
        <v/>
      </c>
      <c r="S388" s="14" t="str">
        <f aca="false">IF(O388="","",O388-R388)</f>
        <v/>
      </c>
      <c r="T388" s="11"/>
      <c r="U388" s="18" t="str">
        <f aca="false">IF(T388="","",IFERROR(VLOOKUP(T388,REPS!$A$2:$D$40,2,0),""))</f>
        <v/>
      </c>
      <c r="V388" s="14" t="str">
        <f aca="false">IF(O388="","",IF(U388="",0,O388*IF(U388&gt;1,U388/100,U388)))</f>
        <v/>
      </c>
      <c r="W388" s="11"/>
      <c r="X388" s="18" t="str">
        <f aca="false">IF(W388="","",IFERROR(VLOOKUP(W388,REPS!$A$2:$D$40,3,0),""))</f>
        <v/>
      </c>
      <c r="Y388" s="14" t="str">
        <f aca="false">IF(O388="","",IF(X388="",0,O388*IF(X388&gt;1,X388/100,X388)))</f>
        <v/>
      </c>
      <c r="Z388" s="11"/>
      <c r="AA388" s="18" t="str">
        <f aca="false">IF(Z388="","",IFERROR(VLOOKUP(Z388,REPS!$A$2:$D$40,4,0),""))</f>
        <v/>
      </c>
      <c r="AB388" s="14" t="str">
        <f aca="false">IF(O388="","",IF(AA388="",0,O388*IF(AA388&gt;1,AA388/100,AA388)))</f>
        <v/>
      </c>
      <c r="AC388" s="14" t="str">
        <f aca="false">IF(O388="","",V388+Y388+AB388)</f>
        <v/>
      </c>
      <c r="AD388" s="19" t="str">
        <f aca="false">IF(O388="","",O388-R388-AC388)</f>
        <v/>
      </c>
      <c r="AE388" s="20"/>
      <c r="AF388" s="10"/>
      <c r="AG388" s="21" t="n">
        <f aca="false">IF(OR(AE388="",AE388=0),0,AE388*IF(U388="",0,IF(U388&gt;1,U388/100,U388)))</f>
        <v>0</v>
      </c>
      <c r="AH388" s="21" t="n">
        <f aca="false">IF(OR(AE388="",AE388=0),0,AE388*IF(X388="",0,IF(X388&gt;1,X388/100,X388)))</f>
        <v>0</v>
      </c>
      <c r="AI388" s="21" t="n">
        <f aca="false">IF(OR(AE388="",AE388=0),0,AE388*IF(AA388="",0,IF(AA388&gt;1,AA388/100,AA388)))</f>
        <v>0</v>
      </c>
      <c r="AJ388" s="21" t="n">
        <f aca="false">AG388+AH388+AI388</f>
        <v>0</v>
      </c>
      <c r="AK388" s="21" t="n">
        <f aca="false">IF(OR(AE388="",AE388=0),0,AE388-AJ388)</f>
        <v>0</v>
      </c>
      <c r="AL388" s="19" t="str">
        <f aca="false">IF(AD388="","",AD388-AK388)</f>
        <v/>
      </c>
      <c r="AM388" s="9" t="str">
        <f aca="false">IF(C388="","","Waiting for payment")</f>
        <v/>
      </c>
      <c r="AN388" s="10"/>
      <c r="AO388" s="10"/>
      <c r="AP388" s="22" t="str">
        <f aca="false">IF(OR(C388="",I388="",K388=""),"",IF(K388="Monthly",EDATE(C388,ROUND(I388*SETTINGS!$I$8,0)),WORKDAY(C388,ROUND(I388*SETTINGS!$I$8,0))))</f>
        <v/>
      </c>
      <c r="AQ388" s="9" t="str">
        <f aca="true">IF(C388="","",IF(AND(AP388&lt;&gt;"",TODAY()&gt;=AP388),"Refi Ready",IF(TODAY()-C388&gt;=SETTINGS!$I$11,"Prospecting","Performing")))</f>
        <v/>
      </c>
      <c r="AR388" s="22" t="str">
        <f aca="false">IF(OR(C388="",I388="",K388=""),"",IF(K388="Monthly",EDATE(C388,I388),WORKDAY(C388,I388)))</f>
        <v/>
      </c>
      <c r="AS388" s="11"/>
      <c r="AT388" s="23" t="str">
        <f aca="true">IF(C388="","",IF(AM388="Clawed Back","CLAWED",IF(TODAY()&lt;=C388+SETTINGS!$I$2,"⚠ AT RISK","SAFE")))</f>
        <v/>
      </c>
      <c r="AU388" s="11"/>
      <c r="AW388" s="24" t="n">
        <f aca="false">AW387+IF(AND(C388&lt;&gt;"",AO388&lt;&gt;"",OR('REP COMMISSION'!$B$3="",T388='REP COMMISSION'!$B$3,W388='REP COMMISSION'!$B$3,Z388='REP COMMISSION'!$B$3)),1,0)</f>
        <v>0</v>
      </c>
      <c r="AX388" s="24" t="n">
        <f aca="false">AX387+IF(AND(C388&lt;&gt;"",OR(F388="LOC - INITIAL",F388="CONSOLIDATION - UPFRONT COMM",F388="REVERSE - TOTAL FUNDING")),1,0)</f>
        <v>0</v>
      </c>
    </row>
    <row r="389" customFormat="false" ht="15" hidden="false" customHeight="false" outlineLevel="0" collapsed="false">
      <c r="A389" s="25" t="str">
        <f aca="false">IF(C389&lt;&gt;"","F27-"&amp;COUNT($C$4:C389),"")</f>
        <v/>
      </c>
      <c r="B389" s="26" t="str">
        <f aca="false">IF(OR(F389="LOC - INITIAL",F389="CONSOLIDATION - UPFRONT COMM",F389="REVERSE - TOTAL FUNDING"),A389,"")</f>
        <v/>
      </c>
      <c r="C389" s="27"/>
      <c r="D389" s="28"/>
      <c r="E389" s="28"/>
      <c r="F389" s="28"/>
      <c r="G389" s="29"/>
      <c r="H389" s="30"/>
      <c r="I389" s="28"/>
      <c r="J389" s="31" t="str">
        <f aca="false">IF(AND(G389&lt;&gt;"",H389&lt;&gt;""),G389*H389,"")</f>
        <v/>
      </c>
      <c r="K389" s="28"/>
      <c r="L389" s="32"/>
      <c r="M389" s="32"/>
      <c r="N389" s="31" t="n">
        <f aca="false">IF(OR(G389="",M389=""),0,IF(M389&gt;100,M389,G389*IF(M389&gt;1,M389/100,M389)))</f>
        <v>0</v>
      </c>
      <c r="O389" s="31" t="str">
        <f aca="false">IF(G389="","",G389*IF(L389="",0,IF(L389&gt;1,L389/100,L389))+N389)</f>
        <v/>
      </c>
      <c r="P389" s="28"/>
      <c r="Q389" s="33" t="str">
        <f aca="false">IF(P389="","",IFERROR(VLOOKUP(P389,PARTNERS!$A$2:$B$30,2,0),""))</f>
        <v/>
      </c>
      <c r="R389" s="17" t="str">
        <f aca="false">IF(O389="","",IF(OR(P389="",Q389=""),0,(O389-N389)*IF(Q389&gt;1,Q389/100,Q389)))</f>
        <v/>
      </c>
      <c r="S389" s="31" t="str">
        <f aca="false">IF(O389="","",O389-R389)</f>
        <v/>
      </c>
      <c r="T389" s="28"/>
      <c r="U389" s="34" t="str">
        <f aca="false">IF(T389="","",IFERROR(VLOOKUP(T389,REPS!$A$2:$D$40,2,0),""))</f>
        <v/>
      </c>
      <c r="V389" s="31" t="str">
        <f aca="false">IF(O389="","",IF(U389="",0,O389*IF(U389&gt;1,U389/100,U389)))</f>
        <v/>
      </c>
      <c r="W389" s="28"/>
      <c r="X389" s="34" t="str">
        <f aca="false">IF(W389="","",IFERROR(VLOOKUP(W389,REPS!$A$2:$D$40,3,0),""))</f>
        <v/>
      </c>
      <c r="Y389" s="31" t="str">
        <f aca="false">IF(O389="","",IF(X389="",0,O389*IF(X389&gt;1,X389/100,X389)))</f>
        <v/>
      </c>
      <c r="Z389" s="28"/>
      <c r="AA389" s="34" t="str">
        <f aca="false">IF(Z389="","",IFERROR(VLOOKUP(Z389,REPS!$A$2:$D$40,4,0),""))</f>
        <v/>
      </c>
      <c r="AB389" s="31" t="str">
        <f aca="false">IF(O389="","",IF(AA389="",0,O389*IF(AA389&gt;1,AA389/100,AA389)))</f>
        <v/>
      </c>
      <c r="AC389" s="31" t="str">
        <f aca="false">IF(O389="","",V389+Y389+AB389)</f>
        <v/>
      </c>
      <c r="AD389" s="19" t="str">
        <f aca="false">IF(O389="","",O389-R389-AC389)</f>
        <v/>
      </c>
      <c r="AE389" s="20"/>
      <c r="AF389" s="27"/>
      <c r="AG389" s="21" t="n">
        <f aca="false">IF(OR(AE389="",AE389=0),0,AE389*IF(U389="",0,IF(U389&gt;1,U389/100,U389)))</f>
        <v>0</v>
      </c>
      <c r="AH389" s="21" t="n">
        <f aca="false">IF(OR(AE389="",AE389=0),0,AE389*IF(X389="",0,IF(X389&gt;1,X389/100,X389)))</f>
        <v>0</v>
      </c>
      <c r="AI389" s="21" t="n">
        <f aca="false">IF(OR(AE389="",AE389=0),0,AE389*IF(AA389="",0,IF(AA389&gt;1,AA389/100,AA389)))</f>
        <v>0</v>
      </c>
      <c r="AJ389" s="21" t="n">
        <f aca="false">AG389+AH389+AI389</f>
        <v>0</v>
      </c>
      <c r="AK389" s="21" t="n">
        <f aca="false">IF(OR(AE389="",AE389=0),0,AE389-AJ389)</f>
        <v>0</v>
      </c>
      <c r="AL389" s="19" t="str">
        <f aca="false">IF(AD389="","",AD389-AK389)</f>
        <v/>
      </c>
      <c r="AM389" s="26" t="str">
        <f aca="false">IF(C389="","","Waiting for payment")</f>
        <v/>
      </c>
      <c r="AN389" s="27"/>
      <c r="AO389" s="27"/>
      <c r="AP389" s="35" t="str">
        <f aca="false">IF(OR(C389="",I389="",K389=""),"",IF(K389="Monthly",EDATE(C389,ROUND(I389*SETTINGS!$I$8,0)),WORKDAY(C389,ROUND(I389*SETTINGS!$I$8,0))))</f>
        <v/>
      </c>
      <c r="AQ389" s="26" t="str">
        <f aca="true">IF(C389="","",IF(AND(AP389&lt;&gt;"",TODAY()&gt;=AP389),"Refi Ready",IF(TODAY()-C389&gt;=SETTINGS!$I$11,"Prospecting","Performing")))</f>
        <v/>
      </c>
      <c r="AR389" s="35" t="str">
        <f aca="false">IF(OR(C389="",I389="",K389=""),"",IF(K389="Monthly",EDATE(C389,I389),WORKDAY(C389,I389)))</f>
        <v/>
      </c>
      <c r="AS389" s="28"/>
      <c r="AT389" s="36" t="str">
        <f aca="true">IF(C389="","",IF(AM389="Clawed Back","CLAWED",IF(TODAY()&lt;=C389+SETTINGS!$I$2,"⚠ AT RISK","SAFE")))</f>
        <v/>
      </c>
      <c r="AU389" s="28"/>
      <c r="AW389" s="24" t="n">
        <f aca="false">AW388+IF(AND(C389&lt;&gt;"",AO389&lt;&gt;"",OR('REP COMMISSION'!$B$3="",T389='REP COMMISSION'!$B$3,W389='REP COMMISSION'!$B$3,Z389='REP COMMISSION'!$B$3)),1,0)</f>
        <v>0</v>
      </c>
      <c r="AX389" s="24" t="n">
        <f aca="false">AX388+IF(AND(C389&lt;&gt;"",OR(F389="LOC - INITIAL",F389="CONSOLIDATION - UPFRONT COMM",F389="REVERSE - TOTAL FUNDING")),1,0)</f>
        <v>0</v>
      </c>
    </row>
    <row r="390" customFormat="false" ht="15" hidden="false" customHeight="false" outlineLevel="0" collapsed="false">
      <c r="A390" s="8" t="str">
        <f aca="false">IF(C390&lt;&gt;"","F27-"&amp;COUNT($C$4:C390),"")</f>
        <v/>
      </c>
      <c r="B390" s="9" t="str">
        <f aca="false">IF(OR(F390="LOC - INITIAL",F390="CONSOLIDATION - UPFRONT COMM",F390="REVERSE - TOTAL FUNDING"),A390,"")</f>
        <v/>
      </c>
      <c r="C390" s="10"/>
      <c r="D390" s="11"/>
      <c r="E390" s="11"/>
      <c r="F390" s="11"/>
      <c r="G390" s="12"/>
      <c r="H390" s="13"/>
      <c r="I390" s="11"/>
      <c r="J390" s="14" t="str">
        <f aca="false">IF(AND(G390&lt;&gt;"",H390&lt;&gt;""),G390*H390,"")</f>
        <v/>
      </c>
      <c r="K390" s="11"/>
      <c r="L390" s="15"/>
      <c r="M390" s="15"/>
      <c r="N390" s="14" t="n">
        <f aca="false">IF(OR(G390="",M390=""),0,IF(M390&gt;100,M390,G390*IF(M390&gt;1,M390/100,M390)))</f>
        <v>0</v>
      </c>
      <c r="O390" s="14" t="str">
        <f aca="false">IF(G390="","",G390*IF(L390="",0,IF(L390&gt;1,L390/100,L390))+N390)</f>
        <v/>
      </c>
      <c r="P390" s="11"/>
      <c r="Q390" s="16" t="str">
        <f aca="false">IF(P390="","",IFERROR(VLOOKUP(P390,PARTNERS!$A$2:$B$30,2,0),""))</f>
        <v/>
      </c>
      <c r="R390" s="17" t="str">
        <f aca="false">IF(O390="","",IF(OR(P390="",Q390=""),0,(O390-N390)*IF(Q390&gt;1,Q390/100,Q390)))</f>
        <v/>
      </c>
      <c r="S390" s="14" t="str">
        <f aca="false">IF(O390="","",O390-R390)</f>
        <v/>
      </c>
      <c r="T390" s="11"/>
      <c r="U390" s="18" t="str">
        <f aca="false">IF(T390="","",IFERROR(VLOOKUP(T390,REPS!$A$2:$D$40,2,0),""))</f>
        <v/>
      </c>
      <c r="V390" s="14" t="str">
        <f aca="false">IF(O390="","",IF(U390="",0,O390*IF(U390&gt;1,U390/100,U390)))</f>
        <v/>
      </c>
      <c r="W390" s="11"/>
      <c r="X390" s="18" t="str">
        <f aca="false">IF(W390="","",IFERROR(VLOOKUP(W390,REPS!$A$2:$D$40,3,0),""))</f>
        <v/>
      </c>
      <c r="Y390" s="14" t="str">
        <f aca="false">IF(O390="","",IF(X390="",0,O390*IF(X390&gt;1,X390/100,X390)))</f>
        <v/>
      </c>
      <c r="Z390" s="11"/>
      <c r="AA390" s="18" t="str">
        <f aca="false">IF(Z390="","",IFERROR(VLOOKUP(Z390,REPS!$A$2:$D$40,4,0),""))</f>
        <v/>
      </c>
      <c r="AB390" s="14" t="str">
        <f aca="false">IF(O390="","",IF(AA390="",0,O390*IF(AA390&gt;1,AA390/100,AA390)))</f>
        <v/>
      </c>
      <c r="AC390" s="14" t="str">
        <f aca="false">IF(O390="","",V390+Y390+AB390)</f>
        <v/>
      </c>
      <c r="AD390" s="19" t="str">
        <f aca="false">IF(O390="","",O390-R390-AC390)</f>
        <v/>
      </c>
      <c r="AE390" s="20"/>
      <c r="AF390" s="10"/>
      <c r="AG390" s="21" t="n">
        <f aca="false">IF(OR(AE390="",AE390=0),0,AE390*IF(U390="",0,IF(U390&gt;1,U390/100,U390)))</f>
        <v>0</v>
      </c>
      <c r="AH390" s="21" t="n">
        <f aca="false">IF(OR(AE390="",AE390=0),0,AE390*IF(X390="",0,IF(X390&gt;1,X390/100,X390)))</f>
        <v>0</v>
      </c>
      <c r="AI390" s="21" t="n">
        <f aca="false">IF(OR(AE390="",AE390=0),0,AE390*IF(AA390="",0,IF(AA390&gt;1,AA390/100,AA390)))</f>
        <v>0</v>
      </c>
      <c r="AJ390" s="21" t="n">
        <f aca="false">AG390+AH390+AI390</f>
        <v>0</v>
      </c>
      <c r="AK390" s="21" t="n">
        <f aca="false">IF(OR(AE390="",AE390=0),0,AE390-AJ390)</f>
        <v>0</v>
      </c>
      <c r="AL390" s="19" t="str">
        <f aca="false">IF(AD390="","",AD390-AK390)</f>
        <v/>
      </c>
      <c r="AM390" s="9" t="str">
        <f aca="false">IF(C390="","","Waiting for payment")</f>
        <v/>
      </c>
      <c r="AN390" s="10"/>
      <c r="AO390" s="10"/>
      <c r="AP390" s="22" t="str">
        <f aca="false">IF(OR(C390="",I390="",K390=""),"",IF(K390="Monthly",EDATE(C390,ROUND(I390*SETTINGS!$I$8,0)),WORKDAY(C390,ROUND(I390*SETTINGS!$I$8,0))))</f>
        <v/>
      </c>
      <c r="AQ390" s="9" t="str">
        <f aca="true">IF(C390="","",IF(AND(AP390&lt;&gt;"",TODAY()&gt;=AP390),"Refi Ready",IF(TODAY()-C390&gt;=SETTINGS!$I$11,"Prospecting","Performing")))</f>
        <v/>
      </c>
      <c r="AR390" s="22" t="str">
        <f aca="false">IF(OR(C390="",I390="",K390=""),"",IF(K390="Monthly",EDATE(C390,I390),WORKDAY(C390,I390)))</f>
        <v/>
      </c>
      <c r="AS390" s="11"/>
      <c r="AT390" s="23" t="str">
        <f aca="true">IF(C390="","",IF(AM390="Clawed Back","CLAWED",IF(TODAY()&lt;=C390+SETTINGS!$I$2,"⚠ AT RISK","SAFE")))</f>
        <v/>
      </c>
      <c r="AU390" s="11"/>
      <c r="AW390" s="24" t="n">
        <f aca="false">AW389+IF(AND(C390&lt;&gt;"",AO390&lt;&gt;"",OR('REP COMMISSION'!$B$3="",T390='REP COMMISSION'!$B$3,W390='REP COMMISSION'!$B$3,Z390='REP COMMISSION'!$B$3)),1,0)</f>
        <v>0</v>
      </c>
      <c r="AX390" s="24" t="n">
        <f aca="false">AX389+IF(AND(C390&lt;&gt;"",OR(F390="LOC - INITIAL",F390="CONSOLIDATION - UPFRONT COMM",F390="REVERSE - TOTAL FUNDING")),1,0)</f>
        <v>0</v>
      </c>
    </row>
    <row r="391" customFormat="false" ht="15" hidden="false" customHeight="false" outlineLevel="0" collapsed="false">
      <c r="A391" s="25" t="str">
        <f aca="false">IF(C391&lt;&gt;"","F27-"&amp;COUNT($C$4:C391),"")</f>
        <v/>
      </c>
      <c r="B391" s="26" t="str">
        <f aca="false">IF(OR(F391="LOC - INITIAL",F391="CONSOLIDATION - UPFRONT COMM",F391="REVERSE - TOTAL FUNDING"),A391,"")</f>
        <v/>
      </c>
      <c r="C391" s="27"/>
      <c r="D391" s="28"/>
      <c r="E391" s="28"/>
      <c r="F391" s="28"/>
      <c r="G391" s="29"/>
      <c r="H391" s="30"/>
      <c r="I391" s="28"/>
      <c r="J391" s="31" t="str">
        <f aca="false">IF(AND(G391&lt;&gt;"",H391&lt;&gt;""),G391*H391,"")</f>
        <v/>
      </c>
      <c r="K391" s="28"/>
      <c r="L391" s="32"/>
      <c r="M391" s="32"/>
      <c r="N391" s="31" t="n">
        <f aca="false">IF(OR(G391="",M391=""),0,IF(M391&gt;100,M391,G391*IF(M391&gt;1,M391/100,M391)))</f>
        <v>0</v>
      </c>
      <c r="O391" s="31" t="str">
        <f aca="false">IF(G391="","",G391*IF(L391="",0,IF(L391&gt;1,L391/100,L391))+N391)</f>
        <v/>
      </c>
      <c r="P391" s="28"/>
      <c r="Q391" s="33" t="str">
        <f aca="false">IF(P391="","",IFERROR(VLOOKUP(P391,PARTNERS!$A$2:$B$30,2,0),""))</f>
        <v/>
      </c>
      <c r="R391" s="17" t="str">
        <f aca="false">IF(O391="","",IF(OR(P391="",Q391=""),0,(O391-N391)*IF(Q391&gt;1,Q391/100,Q391)))</f>
        <v/>
      </c>
      <c r="S391" s="31" t="str">
        <f aca="false">IF(O391="","",O391-R391)</f>
        <v/>
      </c>
      <c r="T391" s="28"/>
      <c r="U391" s="34" t="str">
        <f aca="false">IF(T391="","",IFERROR(VLOOKUP(T391,REPS!$A$2:$D$40,2,0),""))</f>
        <v/>
      </c>
      <c r="V391" s="31" t="str">
        <f aca="false">IF(O391="","",IF(U391="",0,O391*IF(U391&gt;1,U391/100,U391)))</f>
        <v/>
      </c>
      <c r="W391" s="28"/>
      <c r="X391" s="34" t="str">
        <f aca="false">IF(W391="","",IFERROR(VLOOKUP(W391,REPS!$A$2:$D$40,3,0),""))</f>
        <v/>
      </c>
      <c r="Y391" s="31" t="str">
        <f aca="false">IF(O391="","",IF(X391="",0,O391*IF(X391&gt;1,X391/100,X391)))</f>
        <v/>
      </c>
      <c r="Z391" s="28"/>
      <c r="AA391" s="34" t="str">
        <f aca="false">IF(Z391="","",IFERROR(VLOOKUP(Z391,REPS!$A$2:$D$40,4,0),""))</f>
        <v/>
      </c>
      <c r="AB391" s="31" t="str">
        <f aca="false">IF(O391="","",IF(AA391="",0,O391*IF(AA391&gt;1,AA391/100,AA391)))</f>
        <v/>
      </c>
      <c r="AC391" s="31" t="str">
        <f aca="false">IF(O391="","",V391+Y391+AB391)</f>
        <v/>
      </c>
      <c r="AD391" s="19" t="str">
        <f aca="false">IF(O391="","",O391-R391-AC391)</f>
        <v/>
      </c>
      <c r="AE391" s="20"/>
      <c r="AF391" s="27"/>
      <c r="AG391" s="21" t="n">
        <f aca="false">IF(OR(AE391="",AE391=0),0,AE391*IF(U391="",0,IF(U391&gt;1,U391/100,U391)))</f>
        <v>0</v>
      </c>
      <c r="AH391" s="21" t="n">
        <f aca="false">IF(OR(AE391="",AE391=0),0,AE391*IF(X391="",0,IF(X391&gt;1,X391/100,X391)))</f>
        <v>0</v>
      </c>
      <c r="AI391" s="21" t="n">
        <f aca="false">IF(OR(AE391="",AE391=0),0,AE391*IF(AA391="",0,IF(AA391&gt;1,AA391/100,AA391)))</f>
        <v>0</v>
      </c>
      <c r="AJ391" s="21" t="n">
        <f aca="false">AG391+AH391+AI391</f>
        <v>0</v>
      </c>
      <c r="AK391" s="21" t="n">
        <f aca="false">IF(OR(AE391="",AE391=0),0,AE391-AJ391)</f>
        <v>0</v>
      </c>
      <c r="AL391" s="19" t="str">
        <f aca="false">IF(AD391="","",AD391-AK391)</f>
        <v/>
      </c>
      <c r="AM391" s="26" t="str">
        <f aca="false">IF(C391="","","Waiting for payment")</f>
        <v/>
      </c>
      <c r="AN391" s="27"/>
      <c r="AO391" s="27"/>
      <c r="AP391" s="35" t="str">
        <f aca="false">IF(OR(C391="",I391="",K391=""),"",IF(K391="Monthly",EDATE(C391,ROUND(I391*SETTINGS!$I$8,0)),WORKDAY(C391,ROUND(I391*SETTINGS!$I$8,0))))</f>
        <v/>
      </c>
      <c r="AQ391" s="26" t="str">
        <f aca="true">IF(C391="","",IF(AND(AP391&lt;&gt;"",TODAY()&gt;=AP391),"Refi Ready",IF(TODAY()-C391&gt;=SETTINGS!$I$11,"Prospecting","Performing")))</f>
        <v/>
      </c>
      <c r="AR391" s="35" t="str">
        <f aca="false">IF(OR(C391="",I391="",K391=""),"",IF(K391="Monthly",EDATE(C391,I391),WORKDAY(C391,I391)))</f>
        <v/>
      </c>
      <c r="AS391" s="28"/>
      <c r="AT391" s="36" t="str">
        <f aca="true">IF(C391="","",IF(AM391="Clawed Back","CLAWED",IF(TODAY()&lt;=C391+SETTINGS!$I$2,"⚠ AT RISK","SAFE")))</f>
        <v/>
      </c>
      <c r="AU391" s="28"/>
      <c r="AW391" s="24" t="n">
        <f aca="false">AW390+IF(AND(C391&lt;&gt;"",AO391&lt;&gt;"",OR('REP COMMISSION'!$B$3="",T391='REP COMMISSION'!$B$3,W391='REP COMMISSION'!$B$3,Z391='REP COMMISSION'!$B$3)),1,0)</f>
        <v>0</v>
      </c>
      <c r="AX391" s="24" t="n">
        <f aca="false">AX390+IF(AND(C391&lt;&gt;"",OR(F391="LOC - INITIAL",F391="CONSOLIDATION - UPFRONT COMM",F391="REVERSE - TOTAL FUNDING")),1,0)</f>
        <v>0</v>
      </c>
    </row>
    <row r="392" customFormat="false" ht="15" hidden="false" customHeight="false" outlineLevel="0" collapsed="false">
      <c r="A392" s="8" t="str">
        <f aca="false">IF(C392&lt;&gt;"","F27-"&amp;COUNT($C$4:C392),"")</f>
        <v/>
      </c>
      <c r="B392" s="9" t="str">
        <f aca="false">IF(OR(F392="LOC - INITIAL",F392="CONSOLIDATION - UPFRONT COMM",F392="REVERSE - TOTAL FUNDING"),A392,"")</f>
        <v/>
      </c>
      <c r="C392" s="10"/>
      <c r="D392" s="11"/>
      <c r="E392" s="11"/>
      <c r="F392" s="11"/>
      <c r="G392" s="12"/>
      <c r="H392" s="13"/>
      <c r="I392" s="11"/>
      <c r="J392" s="14" t="str">
        <f aca="false">IF(AND(G392&lt;&gt;"",H392&lt;&gt;""),G392*H392,"")</f>
        <v/>
      </c>
      <c r="K392" s="11"/>
      <c r="L392" s="15"/>
      <c r="M392" s="15"/>
      <c r="N392" s="14" t="n">
        <f aca="false">IF(OR(G392="",M392=""),0,IF(M392&gt;100,M392,G392*IF(M392&gt;1,M392/100,M392)))</f>
        <v>0</v>
      </c>
      <c r="O392" s="14" t="str">
        <f aca="false">IF(G392="","",G392*IF(L392="",0,IF(L392&gt;1,L392/100,L392))+N392)</f>
        <v/>
      </c>
      <c r="P392" s="11"/>
      <c r="Q392" s="16" t="str">
        <f aca="false">IF(P392="","",IFERROR(VLOOKUP(P392,PARTNERS!$A$2:$B$30,2,0),""))</f>
        <v/>
      </c>
      <c r="R392" s="17" t="str">
        <f aca="false">IF(O392="","",IF(OR(P392="",Q392=""),0,(O392-N392)*IF(Q392&gt;1,Q392/100,Q392)))</f>
        <v/>
      </c>
      <c r="S392" s="14" t="str">
        <f aca="false">IF(O392="","",O392-R392)</f>
        <v/>
      </c>
      <c r="T392" s="11"/>
      <c r="U392" s="18" t="str">
        <f aca="false">IF(T392="","",IFERROR(VLOOKUP(T392,REPS!$A$2:$D$40,2,0),""))</f>
        <v/>
      </c>
      <c r="V392" s="14" t="str">
        <f aca="false">IF(O392="","",IF(U392="",0,O392*IF(U392&gt;1,U392/100,U392)))</f>
        <v/>
      </c>
      <c r="W392" s="11"/>
      <c r="X392" s="18" t="str">
        <f aca="false">IF(W392="","",IFERROR(VLOOKUP(W392,REPS!$A$2:$D$40,3,0),""))</f>
        <v/>
      </c>
      <c r="Y392" s="14" t="str">
        <f aca="false">IF(O392="","",IF(X392="",0,O392*IF(X392&gt;1,X392/100,X392)))</f>
        <v/>
      </c>
      <c r="Z392" s="11"/>
      <c r="AA392" s="18" t="str">
        <f aca="false">IF(Z392="","",IFERROR(VLOOKUP(Z392,REPS!$A$2:$D$40,4,0),""))</f>
        <v/>
      </c>
      <c r="AB392" s="14" t="str">
        <f aca="false">IF(O392="","",IF(AA392="",0,O392*IF(AA392&gt;1,AA392/100,AA392)))</f>
        <v/>
      </c>
      <c r="AC392" s="14" t="str">
        <f aca="false">IF(O392="","",V392+Y392+AB392)</f>
        <v/>
      </c>
      <c r="AD392" s="19" t="str">
        <f aca="false">IF(O392="","",O392-R392-AC392)</f>
        <v/>
      </c>
      <c r="AE392" s="20"/>
      <c r="AF392" s="10"/>
      <c r="AG392" s="21" t="n">
        <f aca="false">IF(OR(AE392="",AE392=0),0,AE392*IF(U392="",0,IF(U392&gt;1,U392/100,U392)))</f>
        <v>0</v>
      </c>
      <c r="AH392" s="21" t="n">
        <f aca="false">IF(OR(AE392="",AE392=0),0,AE392*IF(X392="",0,IF(X392&gt;1,X392/100,X392)))</f>
        <v>0</v>
      </c>
      <c r="AI392" s="21" t="n">
        <f aca="false">IF(OR(AE392="",AE392=0),0,AE392*IF(AA392="",0,IF(AA392&gt;1,AA392/100,AA392)))</f>
        <v>0</v>
      </c>
      <c r="AJ392" s="21" t="n">
        <f aca="false">AG392+AH392+AI392</f>
        <v>0</v>
      </c>
      <c r="AK392" s="21" t="n">
        <f aca="false">IF(OR(AE392="",AE392=0),0,AE392-AJ392)</f>
        <v>0</v>
      </c>
      <c r="AL392" s="19" t="str">
        <f aca="false">IF(AD392="","",AD392-AK392)</f>
        <v/>
      </c>
      <c r="AM392" s="9" t="str">
        <f aca="false">IF(C392="","","Waiting for payment")</f>
        <v/>
      </c>
      <c r="AN392" s="10"/>
      <c r="AO392" s="10"/>
      <c r="AP392" s="22" t="str">
        <f aca="false">IF(OR(C392="",I392="",K392=""),"",IF(K392="Monthly",EDATE(C392,ROUND(I392*SETTINGS!$I$8,0)),WORKDAY(C392,ROUND(I392*SETTINGS!$I$8,0))))</f>
        <v/>
      </c>
      <c r="AQ392" s="9" t="str">
        <f aca="true">IF(C392="","",IF(AND(AP392&lt;&gt;"",TODAY()&gt;=AP392),"Refi Ready",IF(TODAY()-C392&gt;=SETTINGS!$I$11,"Prospecting","Performing")))</f>
        <v/>
      </c>
      <c r="AR392" s="22" t="str">
        <f aca="false">IF(OR(C392="",I392="",K392=""),"",IF(K392="Monthly",EDATE(C392,I392),WORKDAY(C392,I392)))</f>
        <v/>
      </c>
      <c r="AS392" s="11"/>
      <c r="AT392" s="23" t="str">
        <f aca="true">IF(C392="","",IF(AM392="Clawed Back","CLAWED",IF(TODAY()&lt;=C392+SETTINGS!$I$2,"⚠ AT RISK","SAFE")))</f>
        <v/>
      </c>
      <c r="AU392" s="11"/>
      <c r="AW392" s="24" t="n">
        <f aca="false">AW391+IF(AND(C392&lt;&gt;"",AO392&lt;&gt;"",OR('REP COMMISSION'!$B$3="",T392='REP COMMISSION'!$B$3,W392='REP COMMISSION'!$B$3,Z392='REP COMMISSION'!$B$3)),1,0)</f>
        <v>0</v>
      </c>
      <c r="AX392" s="24" t="n">
        <f aca="false">AX391+IF(AND(C392&lt;&gt;"",OR(F392="LOC - INITIAL",F392="CONSOLIDATION - UPFRONT COMM",F392="REVERSE - TOTAL FUNDING")),1,0)</f>
        <v>0</v>
      </c>
    </row>
    <row r="393" customFormat="false" ht="15" hidden="false" customHeight="false" outlineLevel="0" collapsed="false">
      <c r="A393" s="25" t="str">
        <f aca="false">IF(C393&lt;&gt;"","F27-"&amp;COUNT($C$4:C393),"")</f>
        <v/>
      </c>
      <c r="B393" s="26" t="str">
        <f aca="false">IF(OR(F393="LOC - INITIAL",F393="CONSOLIDATION - UPFRONT COMM",F393="REVERSE - TOTAL FUNDING"),A393,"")</f>
        <v/>
      </c>
      <c r="C393" s="27"/>
      <c r="D393" s="28"/>
      <c r="E393" s="28"/>
      <c r="F393" s="28"/>
      <c r="G393" s="29"/>
      <c r="H393" s="30"/>
      <c r="I393" s="28"/>
      <c r="J393" s="31" t="str">
        <f aca="false">IF(AND(G393&lt;&gt;"",H393&lt;&gt;""),G393*H393,"")</f>
        <v/>
      </c>
      <c r="K393" s="28"/>
      <c r="L393" s="32"/>
      <c r="M393" s="32"/>
      <c r="N393" s="31" t="n">
        <f aca="false">IF(OR(G393="",M393=""),0,IF(M393&gt;100,M393,G393*IF(M393&gt;1,M393/100,M393)))</f>
        <v>0</v>
      </c>
      <c r="O393" s="31" t="str">
        <f aca="false">IF(G393="","",G393*IF(L393="",0,IF(L393&gt;1,L393/100,L393))+N393)</f>
        <v/>
      </c>
      <c r="P393" s="28"/>
      <c r="Q393" s="33" t="str">
        <f aca="false">IF(P393="","",IFERROR(VLOOKUP(P393,PARTNERS!$A$2:$B$30,2,0),""))</f>
        <v/>
      </c>
      <c r="R393" s="17" t="str">
        <f aca="false">IF(O393="","",IF(OR(P393="",Q393=""),0,(O393-N393)*IF(Q393&gt;1,Q393/100,Q393)))</f>
        <v/>
      </c>
      <c r="S393" s="31" t="str">
        <f aca="false">IF(O393="","",O393-R393)</f>
        <v/>
      </c>
      <c r="T393" s="28"/>
      <c r="U393" s="34" t="str">
        <f aca="false">IF(T393="","",IFERROR(VLOOKUP(T393,REPS!$A$2:$D$40,2,0),""))</f>
        <v/>
      </c>
      <c r="V393" s="31" t="str">
        <f aca="false">IF(O393="","",IF(U393="",0,O393*IF(U393&gt;1,U393/100,U393)))</f>
        <v/>
      </c>
      <c r="W393" s="28"/>
      <c r="X393" s="34" t="str">
        <f aca="false">IF(W393="","",IFERROR(VLOOKUP(W393,REPS!$A$2:$D$40,3,0),""))</f>
        <v/>
      </c>
      <c r="Y393" s="31" t="str">
        <f aca="false">IF(O393="","",IF(X393="",0,O393*IF(X393&gt;1,X393/100,X393)))</f>
        <v/>
      </c>
      <c r="Z393" s="28"/>
      <c r="AA393" s="34" t="str">
        <f aca="false">IF(Z393="","",IFERROR(VLOOKUP(Z393,REPS!$A$2:$D$40,4,0),""))</f>
        <v/>
      </c>
      <c r="AB393" s="31" t="str">
        <f aca="false">IF(O393="","",IF(AA393="",0,O393*IF(AA393&gt;1,AA393/100,AA393)))</f>
        <v/>
      </c>
      <c r="AC393" s="31" t="str">
        <f aca="false">IF(O393="","",V393+Y393+AB393)</f>
        <v/>
      </c>
      <c r="AD393" s="19" t="str">
        <f aca="false">IF(O393="","",O393-R393-AC393)</f>
        <v/>
      </c>
      <c r="AE393" s="20"/>
      <c r="AF393" s="27"/>
      <c r="AG393" s="21" t="n">
        <f aca="false">IF(OR(AE393="",AE393=0),0,AE393*IF(U393="",0,IF(U393&gt;1,U393/100,U393)))</f>
        <v>0</v>
      </c>
      <c r="AH393" s="21" t="n">
        <f aca="false">IF(OR(AE393="",AE393=0),0,AE393*IF(X393="",0,IF(X393&gt;1,X393/100,X393)))</f>
        <v>0</v>
      </c>
      <c r="AI393" s="21" t="n">
        <f aca="false">IF(OR(AE393="",AE393=0),0,AE393*IF(AA393="",0,IF(AA393&gt;1,AA393/100,AA393)))</f>
        <v>0</v>
      </c>
      <c r="AJ393" s="21" t="n">
        <f aca="false">AG393+AH393+AI393</f>
        <v>0</v>
      </c>
      <c r="AK393" s="21" t="n">
        <f aca="false">IF(OR(AE393="",AE393=0),0,AE393-AJ393)</f>
        <v>0</v>
      </c>
      <c r="AL393" s="19" t="str">
        <f aca="false">IF(AD393="","",AD393-AK393)</f>
        <v/>
      </c>
      <c r="AM393" s="26" t="str">
        <f aca="false">IF(C393="","","Waiting for payment")</f>
        <v/>
      </c>
      <c r="AN393" s="27"/>
      <c r="AO393" s="27"/>
      <c r="AP393" s="35" t="str">
        <f aca="false">IF(OR(C393="",I393="",K393=""),"",IF(K393="Monthly",EDATE(C393,ROUND(I393*SETTINGS!$I$8,0)),WORKDAY(C393,ROUND(I393*SETTINGS!$I$8,0))))</f>
        <v/>
      </c>
      <c r="AQ393" s="26" t="str">
        <f aca="true">IF(C393="","",IF(AND(AP393&lt;&gt;"",TODAY()&gt;=AP393),"Refi Ready",IF(TODAY()-C393&gt;=SETTINGS!$I$11,"Prospecting","Performing")))</f>
        <v/>
      </c>
      <c r="AR393" s="35" t="str">
        <f aca="false">IF(OR(C393="",I393="",K393=""),"",IF(K393="Monthly",EDATE(C393,I393),WORKDAY(C393,I393)))</f>
        <v/>
      </c>
      <c r="AS393" s="28"/>
      <c r="AT393" s="36" t="str">
        <f aca="true">IF(C393="","",IF(AM393="Clawed Back","CLAWED",IF(TODAY()&lt;=C393+SETTINGS!$I$2,"⚠ AT RISK","SAFE")))</f>
        <v/>
      </c>
      <c r="AU393" s="28"/>
      <c r="AW393" s="24" t="n">
        <f aca="false">AW392+IF(AND(C393&lt;&gt;"",AO393&lt;&gt;"",OR('REP COMMISSION'!$B$3="",T393='REP COMMISSION'!$B$3,W393='REP COMMISSION'!$B$3,Z393='REP COMMISSION'!$B$3)),1,0)</f>
        <v>0</v>
      </c>
      <c r="AX393" s="24" t="n">
        <f aca="false">AX392+IF(AND(C393&lt;&gt;"",OR(F393="LOC - INITIAL",F393="CONSOLIDATION - UPFRONT COMM",F393="REVERSE - TOTAL FUNDING")),1,0)</f>
        <v>0</v>
      </c>
    </row>
    <row r="394" customFormat="false" ht="15" hidden="false" customHeight="false" outlineLevel="0" collapsed="false">
      <c r="A394" s="8" t="str">
        <f aca="false">IF(C394&lt;&gt;"","F27-"&amp;COUNT($C$4:C394),"")</f>
        <v/>
      </c>
      <c r="B394" s="9" t="str">
        <f aca="false">IF(OR(F394="LOC - INITIAL",F394="CONSOLIDATION - UPFRONT COMM",F394="REVERSE - TOTAL FUNDING"),A394,"")</f>
        <v/>
      </c>
      <c r="C394" s="10"/>
      <c r="D394" s="11"/>
      <c r="E394" s="11"/>
      <c r="F394" s="11"/>
      <c r="G394" s="12"/>
      <c r="H394" s="13"/>
      <c r="I394" s="11"/>
      <c r="J394" s="14" t="str">
        <f aca="false">IF(AND(G394&lt;&gt;"",H394&lt;&gt;""),G394*H394,"")</f>
        <v/>
      </c>
      <c r="K394" s="11"/>
      <c r="L394" s="15"/>
      <c r="M394" s="15"/>
      <c r="N394" s="14" t="n">
        <f aca="false">IF(OR(G394="",M394=""),0,IF(M394&gt;100,M394,G394*IF(M394&gt;1,M394/100,M394)))</f>
        <v>0</v>
      </c>
      <c r="O394" s="14" t="str">
        <f aca="false">IF(G394="","",G394*IF(L394="",0,IF(L394&gt;1,L394/100,L394))+N394)</f>
        <v/>
      </c>
      <c r="P394" s="11"/>
      <c r="Q394" s="16" t="str">
        <f aca="false">IF(P394="","",IFERROR(VLOOKUP(P394,PARTNERS!$A$2:$B$30,2,0),""))</f>
        <v/>
      </c>
      <c r="R394" s="17" t="str">
        <f aca="false">IF(O394="","",IF(OR(P394="",Q394=""),0,(O394-N394)*IF(Q394&gt;1,Q394/100,Q394)))</f>
        <v/>
      </c>
      <c r="S394" s="14" t="str">
        <f aca="false">IF(O394="","",O394-R394)</f>
        <v/>
      </c>
      <c r="T394" s="11"/>
      <c r="U394" s="18" t="str">
        <f aca="false">IF(T394="","",IFERROR(VLOOKUP(T394,REPS!$A$2:$D$40,2,0),""))</f>
        <v/>
      </c>
      <c r="V394" s="14" t="str">
        <f aca="false">IF(O394="","",IF(U394="",0,O394*IF(U394&gt;1,U394/100,U394)))</f>
        <v/>
      </c>
      <c r="W394" s="11"/>
      <c r="X394" s="18" t="str">
        <f aca="false">IF(W394="","",IFERROR(VLOOKUP(W394,REPS!$A$2:$D$40,3,0),""))</f>
        <v/>
      </c>
      <c r="Y394" s="14" t="str">
        <f aca="false">IF(O394="","",IF(X394="",0,O394*IF(X394&gt;1,X394/100,X394)))</f>
        <v/>
      </c>
      <c r="Z394" s="11"/>
      <c r="AA394" s="18" t="str">
        <f aca="false">IF(Z394="","",IFERROR(VLOOKUP(Z394,REPS!$A$2:$D$40,4,0),""))</f>
        <v/>
      </c>
      <c r="AB394" s="14" t="str">
        <f aca="false">IF(O394="","",IF(AA394="",0,O394*IF(AA394&gt;1,AA394/100,AA394)))</f>
        <v/>
      </c>
      <c r="AC394" s="14" t="str">
        <f aca="false">IF(O394="","",V394+Y394+AB394)</f>
        <v/>
      </c>
      <c r="AD394" s="19" t="str">
        <f aca="false">IF(O394="","",O394-R394-AC394)</f>
        <v/>
      </c>
      <c r="AE394" s="20"/>
      <c r="AF394" s="10"/>
      <c r="AG394" s="21" t="n">
        <f aca="false">IF(OR(AE394="",AE394=0),0,AE394*IF(U394="",0,IF(U394&gt;1,U394/100,U394)))</f>
        <v>0</v>
      </c>
      <c r="AH394" s="21" t="n">
        <f aca="false">IF(OR(AE394="",AE394=0),0,AE394*IF(X394="",0,IF(X394&gt;1,X394/100,X394)))</f>
        <v>0</v>
      </c>
      <c r="AI394" s="21" t="n">
        <f aca="false">IF(OR(AE394="",AE394=0),0,AE394*IF(AA394="",0,IF(AA394&gt;1,AA394/100,AA394)))</f>
        <v>0</v>
      </c>
      <c r="AJ394" s="21" t="n">
        <f aca="false">AG394+AH394+AI394</f>
        <v>0</v>
      </c>
      <c r="AK394" s="21" t="n">
        <f aca="false">IF(OR(AE394="",AE394=0),0,AE394-AJ394)</f>
        <v>0</v>
      </c>
      <c r="AL394" s="19" t="str">
        <f aca="false">IF(AD394="","",AD394-AK394)</f>
        <v/>
      </c>
      <c r="AM394" s="9" t="str">
        <f aca="false">IF(C394="","","Waiting for payment")</f>
        <v/>
      </c>
      <c r="AN394" s="10"/>
      <c r="AO394" s="10"/>
      <c r="AP394" s="22" t="str">
        <f aca="false">IF(OR(C394="",I394="",K394=""),"",IF(K394="Monthly",EDATE(C394,ROUND(I394*SETTINGS!$I$8,0)),WORKDAY(C394,ROUND(I394*SETTINGS!$I$8,0))))</f>
        <v/>
      </c>
      <c r="AQ394" s="9" t="str">
        <f aca="true">IF(C394="","",IF(AND(AP394&lt;&gt;"",TODAY()&gt;=AP394),"Refi Ready",IF(TODAY()-C394&gt;=SETTINGS!$I$11,"Prospecting","Performing")))</f>
        <v/>
      </c>
      <c r="AR394" s="22" t="str">
        <f aca="false">IF(OR(C394="",I394="",K394=""),"",IF(K394="Monthly",EDATE(C394,I394),WORKDAY(C394,I394)))</f>
        <v/>
      </c>
      <c r="AS394" s="11"/>
      <c r="AT394" s="23" t="str">
        <f aca="true">IF(C394="","",IF(AM394="Clawed Back","CLAWED",IF(TODAY()&lt;=C394+SETTINGS!$I$2,"⚠ AT RISK","SAFE")))</f>
        <v/>
      </c>
      <c r="AU394" s="11"/>
      <c r="AW394" s="24" t="n">
        <f aca="false">AW393+IF(AND(C394&lt;&gt;"",AO394&lt;&gt;"",OR('REP COMMISSION'!$B$3="",T394='REP COMMISSION'!$B$3,W394='REP COMMISSION'!$B$3,Z394='REP COMMISSION'!$B$3)),1,0)</f>
        <v>0</v>
      </c>
      <c r="AX394" s="24" t="n">
        <f aca="false">AX393+IF(AND(C394&lt;&gt;"",OR(F394="LOC - INITIAL",F394="CONSOLIDATION - UPFRONT COMM",F394="REVERSE - TOTAL FUNDING")),1,0)</f>
        <v>0</v>
      </c>
    </row>
    <row r="395" customFormat="false" ht="15" hidden="false" customHeight="false" outlineLevel="0" collapsed="false">
      <c r="A395" s="25" t="str">
        <f aca="false">IF(C395&lt;&gt;"","F27-"&amp;COUNT($C$4:C395),"")</f>
        <v/>
      </c>
      <c r="B395" s="26" t="str">
        <f aca="false">IF(OR(F395="LOC - INITIAL",F395="CONSOLIDATION - UPFRONT COMM",F395="REVERSE - TOTAL FUNDING"),A395,"")</f>
        <v/>
      </c>
      <c r="C395" s="27"/>
      <c r="D395" s="28"/>
      <c r="E395" s="28"/>
      <c r="F395" s="28"/>
      <c r="G395" s="29"/>
      <c r="H395" s="30"/>
      <c r="I395" s="28"/>
      <c r="J395" s="31" t="str">
        <f aca="false">IF(AND(G395&lt;&gt;"",H395&lt;&gt;""),G395*H395,"")</f>
        <v/>
      </c>
      <c r="K395" s="28"/>
      <c r="L395" s="32"/>
      <c r="M395" s="32"/>
      <c r="N395" s="31" t="n">
        <f aca="false">IF(OR(G395="",M395=""),0,IF(M395&gt;100,M395,G395*IF(M395&gt;1,M395/100,M395)))</f>
        <v>0</v>
      </c>
      <c r="O395" s="31" t="str">
        <f aca="false">IF(G395="","",G395*IF(L395="",0,IF(L395&gt;1,L395/100,L395))+N395)</f>
        <v/>
      </c>
      <c r="P395" s="28"/>
      <c r="Q395" s="33" t="str">
        <f aca="false">IF(P395="","",IFERROR(VLOOKUP(P395,PARTNERS!$A$2:$B$30,2,0),""))</f>
        <v/>
      </c>
      <c r="R395" s="17" t="str">
        <f aca="false">IF(O395="","",IF(OR(P395="",Q395=""),0,(O395-N395)*IF(Q395&gt;1,Q395/100,Q395)))</f>
        <v/>
      </c>
      <c r="S395" s="31" t="str">
        <f aca="false">IF(O395="","",O395-R395)</f>
        <v/>
      </c>
      <c r="T395" s="28"/>
      <c r="U395" s="34" t="str">
        <f aca="false">IF(T395="","",IFERROR(VLOOKUP(T395,REPS!$A$2:$D$40,2,0),""))</f>
        <v/>
      </c>
      <c r="V395" s="31" t="str">
        <f aca="false">IF(O395="","",IF(U395="",0,O395*IF(U395&gt;1,U395/100,U395)))</f>
        <v/>
      </c>
      <c r="W395" s="28"/>
      <c r="X395" s="34" t="str">
        <f aca="false">IF(W395="","",IFERROR(VLOOKUP(W395,REPS!$A$2:$D$40,3,0),""))</f>
        <v/>
      </c>
      <c r="Y395" s="31" t="str">
        <f aca="false">IF(O395="","",IF(X395="",0,O395*IF(X395&gt;1,X395/100,X395)))</f>
        <v/>
      </c>
      <c r="Z395" s="28"/>
      <c r="AA395" s="34" t="str">
        <f aca="false">IF(Z395="","",IFERROR(VLOOKUP(Z395,REPS!$A$2:$D$40,4,0),""))</f>
        <v/>
      </c>
      <c r="AB395" s="31" t="str">
        <f aca="false">IF(O395="","",IF(AA395="",0,O395*IF(AA395&gt;1,AA395/100,AA395)))</f>
        <v/>
      </c>
      <c r="AC395" s="31" t="str">
        <f aca="false">IF(O395="","",V395+Y395+AB395)</f>
        <v/>
      </c>
      <c r="AD395" s="19" t="str">
        <f aca="false">IF(O395="","",O395-R395-AC395)</f>
        <v/>
      </c>
      <c r="AE395" s="20"/>
      <c r="AF395" s="27"/>
      <c r="AG395" s="21" t="n">
        <f aca="false">IF(OR(AE395="",AE395=0),0,AE395*IF(U395="",0,IF(U395&gt;1,U395/100,U395)))</f>
        <v>0</v>
      </c>
      <c r="AH395" s="21" t="n">
        <f aca="false">IF(OR(AE395="",AE395=0),0,AE395*IF(X395="",0,IF(X395&gt;1,X395/100,X395)))</f>
        <v>0</v>
      </c>
      <c r="AI395" s="21" t="n">
        <f aca="false">IF(OR(AE395="",AE395=0),0,AE395*IF(AA395="",0,IF(AA395&gt;1,AA395/100,AA395)))</f>
        <v>0</v>
      </c>
      <c r="AJ395" s="21" t="n">
        <f aca="false">AG395+AH395+AI395</f>
        <v>0</v>
      </c>
      <c r="AK395" s="21" t="n">
        <f aca="false">IF(OR(AE395="",AE395=0),0,AE395-AJ395)</f>
        <v>0</v>
      </c>
      <c r="AL395" s="19" t="str">
        <f aca="false">IF(AD395="","",AD395-AK395)</f>
        <v/>
      </c>
      <c r="AM395" s="26" t="str">
        <f aca="false">IF(C395="","","Waiting for payment")</f>
        <v/>
      </c>
      <c r="AN395" s="27"/>
      <c r="AO395" s="27"/>
      <c r="AP395" s="35" t="str">
        <f aca="false">IF(OR(C395="",I395="",K395=""),"",IF(K395="Monthly",EDATE(C395,ROUND(I395*SETTINGS!$I$8,0)),WORKDAY(C395,ROUND(I395*SETTINGS!$I$8,0))))</f>
        <v/>
      </c>
      <c r="AQ395" s="26" t="str">
        <f aca="true">IF(C395="","",IF(AND(AP395&lt;&gt;"",TODAY()&gt;=AP395),"Refi Ready",IF(TODAY()-C395&gt;=SETTINGS!$I$11,"Prospecting","Performing")))</f>
        <v/>
      </c>
      <c r="AR395" s="35" t="str">
        <f aca="false">IF(OR(C395="",I395="",K395=""),"",IF(K395="Monthly",EDATE(C395,I395),WORKDAY(C395,I395)))</f>
        <v/>
      </c>
      <c r="AS395" s="28"/>
      <c r="AT395" s="36" t="str">
        <f aca="true">IF(C395="","",IF(AM395="Clawed Back","CLAWED",IF(TODAY()&lt;=C395+SETTINGS!$I$2,"⚠ AT RISK","SAFE")))</f>
        <v/>
      </c>
      <c r="AU395" s="28"/>
      <c r="AW395" s="24" t="n">
        <f aca="false">AW394+IF(AND(C395&lt;&gt;"",AO395&lt;&gt;"",OR('REP COMMISSION'!$B$3="",T395='REP COMMISSION'!$B$3,W395='REP COMMISSION'!$B$3,Z395='REP COMMISSION'!$B$3)),1,0)</f>
        <v>0</v>
      </c>
      <c r="AX395" s="24" t="n">
        <f aca="false">AX394+IF(AND(C395&lt;&gt;"",OR(F395="LOC - INITIAL",F395="CONSOLIDATION - UPFRONT COMM",F395="REVERSE - TOTAL FUNDING")),1,0)</f>
        <v>0</v>
      </c>
    </row>
    <row r="396" customFormat="false" ht="15" hidden="false" customHeight="false" outlineLevel="0" collapsed="false">
      <c r="A396" s="8" t="str">
        <f aca="false">IF(C396&lt;&gt;"","F27-"&amp;COUNT($C$4:C396),"")</f>
        <v/>
      </c>
      <c r="B396" s="9" t="str">
        <f aca="false">IF(OR(F396="LOC - INITIAL",F396="CONSOLIDATION - UPFRONT COMM",F396="REVERSE - TOTAL FUNDING"),A396,"")</f>
        <v/>
      </c>
      <c r="C396" s="10"/>
      <c r="D396" s="11"/>
      <c r="E396" s="11"/>
      <c r="F396" s="11"/>
      <c r="G396" s="12"/>
      <c r="H396" s="13"/>
      <c r="I396" s="11"/>
      <c r="J396" s="14" t="str">
        <f aca="false">IF(AND(G396&lt;&gt;"",H396&lt;&gt;""),G396*H396,"")</f>
        <v/>
      </c>
      <c r="K396" s="11"/>
      <c r="L396" s="15"/>
      <c r="M396" s="15"/>
      <c r="N396" s="14" t="n">
        <f aca="false">IF(OR(G396="",M396=""),0,IF(M396&gt;100,M396,G396*IF(M396&gt;1,M396/100,M396)))</f>
        <v>0</v>
      </c>
      <c r="O396" s="14" t="str">
        <f aca="false">IF(G396="","",G396*IF(L396="",0,IF(L396&gt;1,L396/100,L396))+N396)</f>
        <v/>
      </c>
      <c r="P396" s="11"/>
      <c r="Q396" s="16" t="str">
        <f aca="false">IF(P396="","",IFERROR(VLOOKUP(P396,PARTNERS!$A$2:$B$30,2,0),""))</f>
        <v/>
      </c>
      <c r="R396" s="17" t="str">
        <f aca="false">IF(O396="","",IF(OR(P396="",Q396=""),0,(O396-N396)*IF(Q396&gt;1,Q396/100,Q396)))</f>
        <v/>
      </c>
      <c r="S396" s="14" t="str">
        <f aca="false">IF(O396="","",O396-R396)</f>
        <v/>
      </c>
      <c r="T396" s="11"/>
      <c r="U396" s="18" t="str">
        <f aca="false">IF(T396="","",IFERROR(VLOOKUP(T396,REPS!$A$2:$D$40,2,0),""))</f>
        <v/>
      </c>
      <c r="V396" s="14" t="str">
        <f aca="false">IF(O396="","",IF(U396="",0,O396*IF(U396&gt;1,U396/100,U396)))</f>
        <v/>
      </c>
      <c r="W396" s="11"/>
      <c r="X396" s="18" t="str">
        <f aca="false">IF(W396="","",IFERROR(VLOOKUP(W396,REPS!$A$2:$D$40,3,0),""))</f>
        <v/>
      </c>
      <c r="Y396" s="14" t="str">
        <f aca="false">IF(O396="","",IF(X396="",0,O396*IF(X396&gt;1,X396/100,X396)))</f>
        <v/>
      </c>
      <c r="Z396" s="11"/>
      <c r="AA396" s="18" t="str">
        <f aca="false">IF(Z396="","",IFERROR(VLOOKUP(Z396,REPS!$A$2:$D$40,4,0),""))</f>
        <v/>
      </c>
      <c r="AB396" s="14" t="str">
        <f aca="false">IF(O396="","",IF(AA396="",0,O396*IF(AA396&gt;1,AA396/100,AA396)))</f>
        <v/>
      </c>
      <c r="AC396" s="14" t="str">
        <f aca="false">IF(O396="","",V396+Y396+AB396)</f>
        <v/>
      </c>
      <c r="AD396" s="19" t="str">
        <f aca="false">IF(O396="","",O396-R396-AC396)</f>
        <v/>
      </c>
      <c r="AE396" s="20"/>
      <c r="AF396" s="10"/>
      <c r="AG396" s="21" t="n">
        <f aca="false">IF(OR(AE396="",AE396=0),0,AE396*IF(U396="",0,IF(U396&gt;1,U396/100,U396)))</f>
        <v>0</v>
      </c>
      <c r="AH396" s="21" t="n">
        <f aca="false">IF(OR(AE396="",AE396=0),0,AE396*IF(X396="",0,IF(X396&gt;1,X396/100,X396)))</f>
        <v>0</v>
      </c>
      <c r="AI396" s="21" t="n">
        <f aca="false">IF(OR(AE396="",AE396=0),0,AE396*IF(AA396="",0,IF(AA396&gt;1,AA396/100,AA396)))</f>
        <v>0</v>
      </c>
      <c r="AJ396" s="21" t="n">
        <f aca="false">AG396+AH396+AI396</f>
        <v>0</v>
      </c>
      <c r="AK396" s="21" t="n">
        <f aca="false">IF(OR(AE396="",AE396=0),0,AE396-AJ396)</f>
        <v>0</v>
      </c>
      <c r="AL396" s="19" t="str">
        <f aca="false">IF(AD396="","",AD396-AK396)</f>
        <v/>
      </c>
      <c r="AM396" s="9" t="str">
        <f aca="false">IF(C396="","","Waiting for payment")</f>
        <v/>
      </c>
      <c r="AN396" s="10"/>
      <c r="AO396" s="10"/>
      <c r="AP396" s="22" t="str">
        <f aca="false">IF(OR(C396="",I396="",K396=""),"",IF(K396="Monthly",EDATE(C396,ROUND(I396*SETTINGS!$I$8,0)),WORKDAY(C396,ROUND(I396*SETTINGS!$I$8,0))))</f>
        <v/>
      </c>
      <c r="AQ396" s="9" t="str">
        <f aca="true">IF(C396="","",IF(AND(AP396&lt;&gt;"",TODAY()&gt;=AP396),"Refi Ready",IF(TODAY()-C396&gt;=SETTINGS!$I$11,"Prospecting","Performing")))</f>
        <v/>
      </c>
      <c r="AR396" s="22" t="str">
        <f aca="false">IF(OR(C396="",I396="",K396=""),"",IF(K396="Monthly",EDATE(C396,I396),WORKDAY(C396,I396)))</f>
        <v/>
      </c>
      <c r="AS396" s="11"/>
      <c r="AT396" s="23" t="str">
        <f aca="true">IF(C396="","",IF(AM396="Clawed Back","CLAWED",IF(TODAY()&lt;=C396+SETTINGS!$I$2,"⚠ AT RISK","SAFE")))</f>
        <v/>
      </c>
      <c r="AU396" s="11"/>
      <c r="AW396" s="24" t="n">
        <f aca="false">AW395+IF(AND(C396&lt;&gt;"",AO396&lt;&gt;"",OR('REP COMMISSION'!$B$3="",T396='REP COMMISSION'!$B$3,W396='REP COMMISSION'!$B$3,Z396='REP COMMISSION'!$B$3)),1,0)</f>
        <v>0</v>
      </c>
      <c r="AX396" s="24" t="n">
        <f aca="false">AX395+IF(AND(C396&lt;&gt;"",OR(F396="LOC - INITIAL",F396="CONSOLIDATION - UPFRONT COMM",F396="REVERSE - TOTAL FUNDING")),1,0)</f>
        <v>0</v>
      </c>
    </row>
    <row r="397" customFormat="false" ht="15" hidden="false" customHeight="false" outlineLevel="0" collapsed="false">
      <c r="A397" s="25" t="str">
        <f aca="false">IF(C397&lt;&gt;"","F27-"&amp;COUNT($C$4:C397),"")</f>
        <v/>
      </c>
      <c r="B397" s="26" t="str">
        <f aca="false">IF(OR(F397="LOC - INITIAL",F397="CONSOLIDATION - UPFRONT COMM",F397="REVERSE - TOTAL FUNDING"),A397,"")</f>
        <v/>
      </c>
      <c r="C397" s="27"/>
      <c r="D397" s="28"/>
      <c r="E397" s="28"/>
      <c r="F397" s="28"/>
      <c r="G397" s="29"/>
      <c r="H397" s="30"/>
      <c r="I397" s="28"/>
      <c r="J397" s="31" t="str">
        <f aca="false">IF(AND(G397&lt;&gt;"",H397&lt;&gt;""),G397*H397,"")</f>
        <v/>
      </c>
      <c r="K397" s="28"/>
      <c r="L397" s="32"/>
      <c r="M397" s="32"/>
      <c r="N397" s="31" t="n">
        <f aca="false">IF(OR(G397="",M397=""),0,IF(M397&gt;100,M397,G397*IF(M397&gt;1,M397/100,M397)))</f>
        <v>0</v>
      </c>
      <c r="O397" s="31" t="str">
        <f aca="false">IF(G397="","",G397*IF(L397="",0,IF(L397&gt;1,L397/100,L397))+N397)</f>
        <v/>
      </c>
      <c r="P397" s="28"/>
      <c r="Q397" s="33" t="str">
        <f aca="false">IF(P397="","",IFERROR(VLOOKUP(P397,PARTNERS!$A$2:$B$30,2,0),""))</f>
        <v/>
      </c>
      <c r="R397" s="17" t="str">
        <f aca="false">IF(O397="","",IF(OR(P397="",Q397=""),0,(O397-N397)*IF(Q397&gt;1,Q397/100,Q397)))</f>
        <v/>
      </c>
      <c r="S397" s="31" t="str">
        <f aca="false">IF(O397="","",O397-R397)</f>
        <v/>
      </c>
      <c r="T397" s="28"/>
      <c r="U397" s="34" t="str">
        <f aca="false">IF(T397="","",IFERROR(VLOOKUP(T397,REPS!$A$2:$D$40,2,0),""))</f>
        <v/>
      </c>
      <c r="V397" s="31" t="str">
        <f aca="false">IF(O397="","",IF(U397="",0,O397*IF(U397&gt;1,U397/100,U397)))</f>
        <v/>
      </c>
      <c r="W397" s="28"/>
      <c r="X397" s="34" t="str">
        <f aca="false">IF(W397="","",IFERROR(VLOOKUP(W397,REPS!$A$2:$D$40,3,0),""))</f>
        <v/>
      </c>
      <c r="Y397" s="31" t="str">
        <f aca="false">IF(O397="","",IF(X397="",0,O397*IF(X397&gt;1,X397/100,X397)))</f>
        <v/>
      </c>
      <c r="Z397" s="28"/>
      <c r="AA397" s="34" t="str">
        <f aca="false">IF(Z397="","",IFERROR(VLOOKUP(Z397,REPS!$A$2:$D$40,4,0),""))</f>
        <v/>
      </c>
      <c r="AB397" s="31" t="str">
        <f aca="false">IF(O397="","",IF(AA397="",0,O397*IF(AA397&gt;1,AA397/100,AA397)))</f>
        <v/>
      </c>
      <c r="AC397" s="31" t="str">
        <f aca="false">IF(O397="","",V397+Y397+AB397)</f>
        <v/>
      </c>
      <c r="AD397" s="19" t="str">
        <f aca="false">IF(O397="","",O397-R397-AC397)</f>
        <v/>
      </c>
      <c r="AE397" s="20"/>
      <c r="AF397" s="27"/>
      <c r="AG397" s="21" t="n">
        <f aca="false">IF(OR(AE397="",AE397=0),0,AE397*IF(U397="",0,IF(U397&gt;1,U397/100,U397)))</f>
        <v>0</v>
      </c>
      <c r="AH397" s="21" t="n">
        <f aca="false">IF(OR(AE397="",AE397=0),0,AE397*IF(X397="",0,IF(X397&gt;1,X397/100,X397)))</f>
        <v>0</v>
      </c>
      <c r="AI397" s="21" t="n">
        <f aca="false">IF(OR(AE397="",AE397=0),0,AE397*IF(AA397="",0,IF(AA397&gt;1,AA397/100,AA397)))</f>
        <v>0</v>
      </c>
      <c r="AJ397" s="21" t="n">
        <f aca="false">AG397+AH397+AI397</f>
        <v>0</v>
      </c>
      <c r="AK397" s="21" t="n">
        <f aca="false">IF(OR(AE397="",AE397=0),0,AE397-AJ397)</f>
        <v>0</v>
      </c>
      <c r="AL397" s="19" t="str">
        <f aca="false">IF(AD397="","",AD397-AK397)</f>
        <v/>
      </c>
      <c r="AM397" s="26" t="str">
        <f aca="false">IF(C397="","","Waiting for payment")</f>
        <v/>
      </c>
      <c r="AN397" s="27"/>
      <c r="AO397" s="27"/>
      <c r="AP397" s="35" t="str">
        <f aca="false">IF(OR(C397="",I397="",K397=""),"",IF(K397="Monthly",EDATE(C397,ROUND(I397*SETTINGS!$I$8,0)),WORKDAY(C397,ROUND(I397*SETTINGS!$I$8,0))))</f>
        <v/>
      </c>
      <c r="AQ397" s="26" t="str">
        <f aca="true">IF(C397="","",IF(AND(AP397&lt;&gt;"",TODAY()&gt;=AP397),"Refi Ready",IF(TODAY()-C397&gt;=SETTINGS!$I$11,"Prospecting","Performing")))</f>
        <v/>
      </c>
      <c r="AR397" s="35" t="str">
        <f aca="false">IF(OR(C397="",I397="",K397=""),"",IF(K397="Monthly",EDATE(C397,I397),WORKDAY(C397,I397)))</f>
        <v/>
      </c>
      <c r="AS397" s="28"/>
      <c r="AT397" s="36" t="str">
        <f aca="true">IF(C397="","",IF(AM397="Clawed Back","CLAWED",IF(TODAY()&lt;=C397+SETTINGS!$I$2,"⚠ AT RISK","SAFE")))</f>
        <v/>
      </c>
      <c r="AU397" s="28"/>
      <c r="AW397" s="24" t="n">
        <f aca="false">AW396+IF(AND(C397&lt;&gt;"",AO397&lt;&gt;"",OR('REP COMMISSION'!$B$3="",T397='REP COMMISSION'!$B$3,W397='REP COMMISSION'!$B$3,Z397='REP COMMISSION'!$B$3)),1,0)</f>
        <v>0</v>
      </c>
      <c r="AX397" s="24" t="n">
        <f aca="false">AX396+IF(AND(C397&lt;&gt;"",OR(F397="LOC - INITIAL",F397="CONSOLIDATION - UPFRONT COMM",F397="REVERSE - TOTAL FUNDING")),1,0)</f>
        <v>0</v>
      </c>
    </row>
    <row r="398" customFormat="false" ht="15" hidden="false" customHeight="false" outlineLevel="0" collapsed="false">
      <c r="A398" s="8" t="str">
        <f aca="false">IF(C398&lt;&gt;"","F27-"&amp;COUNT($C$4:C398),"")</f>
        <v/>
      </c>
      <c r="B398" s="9" t="str">
        <f aca="false">IF(OR(F398="LOC - INITIAL",F398="CONSOLIDATION - UPFRONT COMM",F398="REVERSE - TOTAL FUNDING"),A398,"")</f>
        <v/>
      </c>
      <c r="C398" s="10"/>
      <c r="D398" s="11"/>
      <c r="E398" s="11"/>
      <c r="F398" s="11"/>
      <c r="G398" s="12"/>
      <c r="H398" s="13"/>
      <c r="I398" s="11"/>
      <c r="J398" s="14" t="str">
        <f aca="false">IF(AND(G398&lt;&gt;"",H398&lt;&gt;""),G398*H398,"")</f>
        <v/>
      </c>
      <c r="K398" s="11"/>
      <c r="L398" s="15"/>
      <c r="M398" s="15"/>
      <c r="N398" s="14" t="n">
        <f aca="false">IF(OR(G398="",M398=""),0,IF(M398&gt;100,M398,G398*IF(M398&gt;1,M398/100,M398)))</f>
        <v>0</v>
      </c>
      <c r="O398" s="14" t="str">
        <f aca="false">IF(G398="","",G398*IF(L398="",0,IF(L398&gt;1,L398/100,L398))+N398)</f>
        <v/>
      </c>
      <c r="P398" s="11"/>
      <c r="Q398" s="16" t="str">
        <f aca="false">IF(P398="","",IFERROR(VLOOKUP(P398,PARTNERS!$A$2:$B$30,2,0),""))</f>
        <v/>
      </c>
      <c r="R398" s="17" t="str">
        <f aca="false">IF(O398="","",IF(OR(P398="",Q398=""),0,(O398-N398)*IF(Q398&gt;1,Q398/100,Q398)))</f>
        <v/>
      </c>
      <c r="S398" s="14" t="str">
        <f aca="false">IF(O398="","",O398-R398)</f>
        <v/>
      </c>
      <c r="T398" s="11"/>
      <c r="U398" s="18" t="str">
        <f aca="false">IF(T398="","",IFERROR(VLOOKUP(T398,REPS!$A$2:$D$40,2,0),""))</f>
        <v/>
      </c>
      <c r="V398" s="14" t="str">
        <f aca="false">IF(O398="","",IF(U398="",0,O398*IF(U398&gt;1,U398/100,U398)))</f>
        <v/>
      </c>
      <c r="W398" s="11"/>
      <c r="X398" s="18" t="str">
        <f aca="false">IF(W398="","",IFERROR(VLOOKUP(W398,REPS!$A$2:$D$40,3,0),""))</f>
        <v/>
      </c>
      <c r="Y398" s="14" t="str">
        <f aca="false">IF(O398="","",IF(X398="",0,O398*IF(X398&gt;1,X398/100,X398)))</f>
        <v/>
      </c>
      <c r="Z398" s="11"/>
      <c r="AA398" s="18" t="str">
        <f aca="false">IF(Z398="","",IFERROR(VLOOKUP(Z398,REPS!$A$2:$D$40,4,0),""))</f>
        <v/>
      </c>
      <c r="AB398" s="14" t="str">
        <f aca="false">IF(O398="","",IF(AA398="",0,O398*IF(AA398&gt;1,AA398/100,AA398)))</f>
        <v/>
      </c>
      <c r="AC398" s="14" t="str">
        <f aca="false">IF(O398="","",V398+Y398+AB398)</f>
        <v/>
      </c>
      <c r="AD398" s="19" t="str">
        <f aca="false">IF(O398="","",O398-R398-AC398)</f>
        <v/>
      </c>
      <c r="AE398" s="20"/>
      <c r="AF398" s="10"/>
      <c r="AG398" s="21" t="n">
        <f aca="false">IF(OR(AE398="",AE398=0),0,AE398*IF(U398="",0,IF(U398&gt;1,U398/100,U398)))</f>
        <v>0</v>
      </c>
      <c r="AH398" s="21" t="n">
        <f aca="false">IF(OR(AE398="",AE398=0),0,AE398*IF(X398="",0,IF(X398&gt;1,X398/100,X398)))</f>
        <v>0</v>
      </c>
      <c r="AI398" s="21" t="n">
        <f aca="false">IF(OR(AE398="",AE398=0),0,AE398*IF(AA398="",0,IF(AA398&gt;1,AA398/100,AA398)))</f>
        <v>0</v>
      </c>
      <c r="AJ398" s="21" t="n">
        <f aca="false">AG398+AH398+AI398</f>
        <v>0</v>
      </c>
      <c r="AK398" s="21" t="n">
        <f aca="false">IF(OR(AE398="",AE398=0),0,AE398-AJ398)</f>
        <v>0</v>
      </c>
      <c r="AL398" s="19" t="str">
        <f aca="false">IF(AD398="","",AD398-AK398)</f>
        <v/>
      </c>
      <c r="AM398" s="9" t="str">
        <f aca="false">IF(C398="","","Waiting for payment")</f>
        <v/>
      </c>
      <c r="AN398" s="10"/>
      <c r="AO398" s="10"/>
      <c r="AP398" s="22" t="str">
        <f aca="false">IF(OR(C398="",I398="",K398=""),"",IF(K398="Monthly",EDATE(C398,ROUND(I398*SETTINGS!$I$8,0)),WORKDAY(C398,ROUND(I398*SETTINGS!$I$8,0))))</f>
        <v/>
      </c>
      <c r="AQ398" s="9" t="str">
        <f aca="true">IF(C398="","",IF(AND(AP398&lt;&gt;"",TODAY()&gt;=AP398),"Refi Ready",IF(TODAY()-C398&gt;=SETTINGS!$I$11,"Prospecting","Performing")))</f>
        <v/>
      </c>
      <c r="AR398" s="22" t="str">
        <f aca="false">IF(OR(C398="",I398="",K398=""),"",IF(K398="Monthly",EDATE(C398,I398),WORKDAY(C398,I398)))</f>
        <v/>
      </c>
      <c r="AS398" s="11"/>
      <c r="AT398" s="23" t="str">
        <f aca="true">IF(C398="","",IF(AM398="Clawed Back","CLAWED",IF(TODAY()&lt;=C398+SETTINGS!$I$2,"⚠ AT RISK","SAFE")))</f>
        <v/>
      </c>
      <c r="AU398" s="11"/>
      <c r="AW398" s="24" t="n">
        <f aca="false">AW397+IF(AND(C398&lt;&gt;"",AO398&lt;&gt;"",OR('REP COMMISSION'!$B$3="",T398='REP COMMISSION'!$B$3,W398='REP COMMISSION'!$B$3,Z398='REP COMMISSION'!$B$3)),1,0)</f>
        <v>0</v>
      </c>
      <c r="AX398" s="24" t="n">
        <f aca="false">AX397+IF(AND(C398&lt;&gt;"",OR(F398="LOC - INITIAL",F398="CONSOLIDATION - UPFRONT COMM",F398="REVERSE - TOTAL FUNDING")),1,0)</f>
        <v>0</v>
      </c>
    </row>
    <row r="399" customFormat="false" ht="15" hidden="false" customHeight="false" outlineLevel="0" collapsed="false">
      <c r="A399" s="25" t="str">
        <f aca="false">IF(C399&lt;&gt;"","F27-"&amp;COUNT($C$4:C399),"")</f>
        <v/>
      </c>
      <c r="B399" s="26" t="str">
        <f aca="false">IF(OR(F399="LOC - INITIAL",F399="CONSOLIDATION - UPFRONT COMM",F399="REVERSE - TOTAL FUNDING"),A399,"")</f>
        <v/>
      </c>
      <c r="C399" s="27"/>
      <c r="D399" s="28"/>
      <c r="E399" s="28"/>
      <c r="F399" s="28"/>
      <c r="G399" s="29"/>
      <c r="H399" s="30"/>
      <c r="I399" s="28"/>
      <c r="J399" s="31" t="str">
        <f aca="false">IF(AND(G399&lt;&gt;"",H399&lt;&gt;""),G399*H399,"")</f>
        <v/>
      </c>
      <c r="K399" s="28"/>
      <c r="L399" s="32"/>
      <c r="M399" s="32"/>
      <c r="N399" s="31" t="n">
        <f aca="false">IF(OR(G399="",M399=""),0,IF(M399&gt;100,M399,G399*IF(M399&gt;1,M399/100,M399)))</f>
        <v>0</v>
      </c>
      <c r="O399" s="31" t="str">
        <f aca="false">IF(G399="","",G399*IF(L399="",0,IF(L399&gt;1,L399/100,L399))+N399)</f>
        <v/>
      </c>
      <c r="P399" s="28"/>
      <c r="Q399" s="33" t="str">
        <f aca="false">IF(P399="","",IFERROR(VLOOKUP(P399,PARTNERS!$A$2:$B$30,2,0),""))</f>
        <v/>
      </c>
      <c r="R399" s="17" t="str">
        <f aca="false">IF(O399="","",IF(OR(P399="",Q399=""),0,(O399-N399)*IF(Q399&gt;1,Q399/100,Q399)))</f>
        <v/>
      </c>
      <c r="S399" s="31" t="str">
        <f aca="false">IF(O399="","",O399-R399)</f>
        <v/>
      </c>
      <c r="T399" s="28"/>
      <c r="U399" s="34" t="str">
        <f aca="false">IF(T399="","",IFERROR(VLOOKUP(T399,REPS!$A$2:$D$40,2,0),""))</f>
        <v/>
      </c>
      <c r="V399" s="31" t="str">
        <f aca="false">IF(O399="","",IF(U399="",0,O399*IF(U399&gt;1,U399/100,U399)))</f>
        <v/>
      </c>
      <c r="W399" s="28"/>
      <c r="X399" s="34" t="str">
        <f aca="false">IF(W399="","",IFERROR(VLOOKUP(W399,REPS!$A$2:$D$40,3,0),""))</f>
        <v/>
      </c>
      <c r="Y399" s="31" t="str">
        <f aca="false">IF(O399="","",IF(X399="",0,O399*IF(X399&gt;1,X399/100,X399)))</f>
        <v/>
      </c>
      <c r="Z399" s="28"/>
      <c r="AA399" s="34" t="str">
        <f aca="false">IF(Z399="","",IFERROR(VLOOKUP(Z399,REPS!$A$2:$D$40,4,0),""))</f>
        <v/>
      </c>
      <c r="AB399" s="31" t="str">
        <f aca="false">IF(O399="","",IF(AA399="",0,O399*IF(AA399&gt;1,AA399/100,AA399)))</f>
        <v/>
      </c>
      <c r="AC399" s="31" t="str">
        <f aca="false">IF(O399="","",V399+Y399+AB399)</f>
        <v/>
      </c>
      <c r="AD399" s="19" t="str">
        <f aca="false">IF(O399="","",O399-R399-AC399)</f>
        <v/>
      </c>
      <c r="AE399" s="20"/>
      <c r="AF399" s="27"/>
      <c r="AG399" s="21" t="n">
        <f aca="false">IF(OR(AE399="",AE399=0),0,AE399*IF(U399="",0,IF(U399&gt;1,U399/100,U399)))</f>
        <v>0</v>
      </c>
      <c r="AH399" s="21" t="n">
        <f aca="false">IF(OR(AE399="",AE399=0),0,AE399*IF(X399="",0,IF(X399&gt;1,X399/100,X399)))</f>
        <v>0</v>
      </c>
      <c r="AI399" s="21" t="n">
        <f aca="false">IF(OR(AE399="",AE399=0),0,AE399*IF(AA399="",0,IF(AA399&gt;1,AA399/100,AA399)))</f>
        <v>0</v>
      </c>
      <c r="AJ399" s="21" t="n">
        <f aca="false">AG399+AH399+AI399</f>
        <v>0</v>
      </c>
      <c r="AK399" s="21" t="n">
        <f aca="false">IF(OR(AE399="",AE399=0),0,AE399-AJ399)</f>
        <v>0</v>
      </c>
      <c r="AL399" s="19" t="str">
        <f aca="false">IF(AD399="","",AD399-AK399)</f>
        <v/>
      </c>
      <c r="AM399" s="26" t="str">
        <f aca="false">IF(C399="","","Waiting for payment")</f>
        <v/>
      </c>
      <c r="AN399" s="27"/>
      <c r="AO399" s="27"/>
      <c r="AP399" s="35" t="str">
        <f aca="false">IF(OR(C399="",I399="",K399=""),"",IF(K399="Monthly",EDATE(C399,ROUND(I399*SETTINGS!$I$8,0)),WORKDAY(C399,ROUND(I399*SETTINGS!$I$8,0))))</f>
        <v/>
      </c>
      <c r="AQ399" s="26" t="str">
        <f aca="true">IF(C399="","",IF(AND(AP399&lt;&gt;"",TODAY()&gt;=AP399),"Refi Ready",IF(TODAY()-C399&gt;=SETTINGS!$I$11,"Prospecting","Performing")))</f>
        <v/>
      </c>
      <c r="AR399" s="35" t="str">
        <f aca="false">IF(OR(C399="",I399="",K399=""),"",IF(K399="Monthly",EDATE(C399,I399),WORKDAY(C399,I399)))</f>
        <v/>
      </c>
      <c r="AS399" s="28"/>
      <c r="AT399" s="36" t="str">
        <f aca="true">IF(C399="","",IF(AM399="Clawed Back","CLAWED",IF(TODAY()&lt;=C399+SETTINGS!$I$2,"⚠ AT RISK","SAFE")))</f>
        <v/>
      </c>
      <c r="AU399" s="28"/>
      <c r="AW399" s="24" t="n">
        <f aca="false">AW398+IF(AND(C399&lt;&gt;"",AO399&lt;&gt;"",OR('REP COMMISSION'!$B$3="",T399='REP COMMISSION'!$B$3,W399='REP COMMISSION'!$B$3,Z399='REP COMMISSION'!$B$3)),1,0)</f>
        <v>0</v>
      </c>
      <c r="AX399" s="24" t="n">
        <f aca="false">AX398+IF(AND(C399&lt;&gt;"",OR(F399="LOC - INITIAL",F399="CONSOLIDATION - UPFRONT COMM",F399="REVERSE - TOTAL FUNDING")),1,0)</f>
        <v>0</v>
      </c>
    </row>
    <row r="400" customFormat="false" ht="15" hidden="false" customHeight="false" outlineLevel="0" collapsed="false">
      <c r="A400" s="8" t="str">
        <f aca="false">IF(C400&lt;&gt;"","F27-"&amp;COUNT($C$4:C400),"")</f>
        <v/>
      </c>
      <c r="B400" s="9" t="str">
        <f aca="false">IF(OR(F400="LOC - INITIAL",F400="CONSOLIDATION - UPFRONT COMM",F400="REVERSE - TOTAL FUNDING"),A400,"")</f>
        <v/>
      </c>
      <c r="C400" s="10"/>
      <c r="D400" s="11"/>
      <c r="E400" s="11"/>
      <c r="F400" s="11"/>
      <c r="G400" s="12"/>
      <c r="H400" s="13"/>
      <c r="I400" s="11"/>
      <c r="J400" s="14" t="str">
        <f aca="false">IF(AND(G400&lt;&gt;"",H400&lt;&gt;""),G400*H400,"")</f>
        <v/>
      </c>
      <c r="K400" s="11"/>
      <c r="L400" s="15"/>
      <c r="M400" s="15"/>
      <c r="N400" s="14" t="n">
        <f aca="false">IF(OR(G400="",M400=""),0,IF(M400&gt;100,M400,G400*IF(M400&gt;1,M400/100,M400)))</f>
        <v>0</v>
      </c>
      <c r="O400" s="14" t="str">
        <f aca="false">IF(G400="","",G400*IF(L400="",0,IF(L400&gt;1,L400/100,L400))+N400)</f>
        <v/>
      </c>
      <c r="P400" s="11"/>
      <c r="Q400" s="16" t="str">
        <f aca="false">IF(P400="","",IFERROR(VLOOKUP(P400,PARTNERS!$A$2:$B$30,2,0),""))</f>
        <v/>
      </c>
      <c r="R400" s="17" t="str">
        <f aca="false">IF(O400="","",IF(OR(P400="",Q400=""),0,(O400-N400)*IF(Q400&gt;1,Q400/100,Q400)))</f>
        <v/>
      </c>
      <c r="S400" s="14" t="str">
        <f aca="false">IF(O400="","",O400-R400)</f>
        <v/>
      </c>
      <c r="T400" s="11"/>
      <c r="U400" s="18" t="str">
        <f aca="false">IF(T400="","",IFERROR(VLOOKUP(T400,REPS!$A$2:$D$40,2,0),""))</f>
        <v/>
      </c>
      <c r="V400" s="14" t="str">
        <f aca="false">IF(O400="","",IF(U400="",0,O400*IF(U400&gt;1,U400/100,U400)))</f>
        <v/>
      </c>
      <c r="W400" s="11"/>
      <c r="X400" s="18" t="str">
        <f aca="false">IF(W400="","",IFERROR(VLOOKUP(W400,REPS!$A$2:$D$40,3,0),""))</f>
        <v/>
      </c>
      <c r="Y400" s="14" t="str">
        <f aca="false">IF(O400="","",IF(X400="",0,O400*IF(X400&gt;1,X400/100,X400)))</f>
        <v/>
      </c>
      <c r="Z400" s="11"/>
      <c r="AA400" s="18" t="str">
        <f aca="false">IF(Z400="","",IFERROR(VLOOKUP(Z400,REPS!$A$2:$D$40,4,0),""))</f>
        <v/>
      </c>
      <c r="AB400" s="14" t="str">
        <f aca="false">IF(O400="","",IF(AA400="",0,O400*IF(AA400&gt;1,AA400/100,AA400)))</f>
        <v/>
      </c>
      <c r="AC400" s="14" t="str">
        <f aca="false">IF(O400="","",V400+Y400+AB400)</f>
        <v/>
      </c>
      <c r="AD400" s="19" t="str">
        <f aca="false">IF(O400="","",O400-R400-AC400)</f>
        <v/>
      </c>
      <c r="AE400" s="20"/>
      <c r="AF400" s="10"/>
      <c r="AG400" s="21" t="n">
        <f aca="false">IF(OR(AE400="",AE400=0),0,AE400*IF(U400="",0,IF(U400&gt;1,U400/100,U400)))</f>
        <v>0</v>
      </c>
      <c r="AH400" s="21" t="n">
        <f aca="false">IF(OR(AE400="",AE400=0),0,AE400*IF(X400="",0,IF(X400&gt;1,X400/100,X400)))</f>
        <v>0</v>
      </c>
      <c r="AI400" s="21" t="n">
        <f aca="false">IF(OR(AE400="",AE400=0),0,AE400*IF(AA400="",0,IF(AA400&gt;1,AA400/100,AA400)))</f>
        <v>0</v>
      </c>
      <c r="AJ400" s="21" t="n">
        <f aca="false">AG400+AH400+AI400</f>
        <v>0</v>
      </c>
      <c r="AK400" s="21" t="n">
        <f aca="false">IF(OR(AE400="",AE400=0),0,AE400-AJ400)</f>
        <v>0</v>
      </c>
      <c r="AL400" s="19" t="str">
        <f aca="false">IF(AD400="","",AD400-AK400)</f>
        <v/>
      </c>
      <c r="AM400" s="9" t="str">
        <f aca="false">IF(C400="","","Waiting for payment")</f>
        <v/>
      </c>
      <c r="AN400" s="10"/>
      <c r="AO400" s="10"/>
      <c r="AP400" s="22" t="str">
        <f aca="false">IF(OR(C400="",I400="",K400=""),"",IF(K400="Monthly",EDATE(C400,ROUND(I400*SETTINGS!$I$8,0)),WORKDAY(C400,ROUND(I400*SETTINGS!$I$8,0))))</f>
        <v/>
      </c>
      <c r="AQ400" s="9" t="str">
        <f aca="true">IF(C400="","",IF(AND(AP400&lt;&gt;"",TODAY()&gt;=AP400),"Refi Ready",IF(TODAY()-C400&gt;=SETTINGS!$I$11,"Prospecting","Performing")))</f>
        <v/>
      </c>
      <c r="AR400" s="22" t="str">
        <f aca="false">IF(OR(C400="",I400="",K400=""),"",IF(K400="Monthly",EDATE(C400,I400),WORKDAY(C400,I400)))</f>
        <v/>
      </c>
      <c r="AS400" s="11"/>
      <c r="AT400" s="23" t="str">
        <f aca="true">IF(C400="","",IF(AM400="Clawed Back","CLAWED",IF(TODAY()&lt;=C400+SETTINGS!$I$2,"⚠ AT RISK","SAFE")))</f>
        <v/>
      </c>
      <c r="AU400" s="11"/>
      <c r="AW400" s="24" t="n">
        <f aca="false">AW399+IF(AND(C400&lt;&gt;"",AO400&lt;&gt;"",OR('REP COMMISSION'!$B$3="",T400='REP COMMISSION'!$B$3,W400='REP COMMISSION'!$B$3,Z400='REP COMMISSION'!$B$3)),1,0)</f>
        <v>0</v>
      </c>
      <c r="AX400" s="24" t="n">
        <f aca="false">AX399+IF(AND(C400&lt;&gt;"",OR(F400="LOC - INITIAL",F400="CONSOLIDATION - UPFRONT COMM",F400="REVERSE - TOTAL FUNDING")),1,0)</f>
        <v>0</v>
      </c>
    </row>
    <row r="401" customFormat="false" ht="15" hidden="false" customHeight="false" outlineLevel="0" collapsed="false">
      <c r="A401" s="25" t="str">
        <f aca="false">IF(C401&lt;&gt;"","F27-"&amp;COUNT($C$4:C401),"")</f>
        <v/>
      </c>
      <c r="B401" s="26" t="str">
        <f aca="false">IF(OR(F401="LOC - INITIAL",F401="CONSOLIDATION - UPFRONT COMM",F401="REVERSE - TOTAL FUNDING"),A401,"")</f>
        <v/>
      </c>
      <c r="C401" s="27"/>
      <c r="D401" s="28"/>
      <c r="E401" s="28"/>
      <c r="F401" s="28"/>
      <c r="G401" s="29"/>
      <c r="H401" s="30"/>
      <c r="I401" s="28"/>
      <c r="J401" s="31" t="str">
        <f aca="false">IF(AND(G401&lt;&gt;"",H401&lt;&gt;""),G401*H401,"")</f>
        <v/>
      </c>
      <c r="K401" s="28"/>
      <c r="L401" s="32"/>
      <c r="M401" s="32"/>
      <c r="N401" s="31" t="n">
        <f aca="false">IF(OR(G401="",M401=""),0,IF(M401&gt;100,M401,G401*IF(M401&gt;1,M401/100,M401)))</f>
        <v>0</v>
      </c>
      <c r="O401" s="31" t="str">
        <f aca="false">IF(G401="","",G401*IF(L401="",0,IF(L401&gt;1,L401/100,L401))+N401)</f>
        <v/>
      </c>
      <c r="P401" s="28"/>
      <c r="Q401" s="33" t="str">
        <f aca="false">IF(P401="","",IFERROR(VLOOKUP(P401,PARTNERS!$A$2:$B$30,2,0),""))</f>
        <v/>
      </c>
      <c r="R401" s="17" t="str">
        <f aca="false">IF(O401="","",IF(OR(P401="",Q401=""),0,(O401-N401)*IF(Q401&gt;1,Q401/100,Q401)))</f>
        <v/>
      </c>
      <c r="S401" s="31" t="str">
        <f aca="false">IF(O401="","",O401-R401)</f>
        <v/>
      </c>
      <c r="T401" s="28"/>
      <c r="U401" s="34" t="str">
        <f aca="false">IF(T401="","",IFERROR(VLOOKUP(T401,REPS!$A$2:$D$40,2,0),""))</f>
        <v/>
      </c>
      <c r="V401" s="31" t="str">
        <f aca="false">IF(O401="","",IF(U401="",0,O401*IF(U401&gt;1,U401/100,U401)))</f>
        <v/>
      </c>
      <c r="W401" s="28"/>
      <c r="X401" s="34" t="str">
        <f aca="false">IF(W401="","",IFERROR(VLOOKUP(W401,REPS!$A$2:$D$40,3,0),""))</f>
        <v/>
      </c>
      <c r="Y401" s="31" t="str">
        <f aca="false">IF(O401="","",IF(X401="",0,O401*IF(X401&gt;1,X401/100,X401)))</f>
        <v/>
      </c>
      <c r="Z401" s="28"/>
      <c r="AA401" s="34" t="str">
        <f aca="false">IF(Z401="","",IFERROR(VLOOKUP(Z401,REPS!$A$2:$D$40,4,0),""))</f>
        <v/>
      </c>
      <c r="AB401" s="31" t="str">
        <f aca="false">IF(O401="","",IF(AA401="",0,O401*IF(AA401&gt;1,AA401/100,AA401)))</f>
        <v/>
      </c>
      <c r="AC401" s="31" t="str">
        <f aca="false">IF(O401="","",V401+Y401+AB401)</f>
        <v/>
      </c>
      <c r="AD401" s="19" t="str">
        <f aca="false">IF(O401="","",O401-R401-AC401)</f>
        <v/>
      </c>
      <c r="AE401" s="20"/>
      <c r="AF401" s="27"/>
      <c r="AG401" s="21" t="n">
        <f aca="false">IF(OR(AE401="",AE401=0),0,AE401*IF(U401="",0,IF(U401&gt;1,U401/100,U401)))</f>
        <v>0</v>
      </c>
      <c r="AH401" s="21" t="n">
        <f aca="false">IF(OR(AE401="",AE401=0),0,AE401*IF(X401="",0,IF(X401&gt;1,X401/100,X401)))</f>
        <v>0</v>
      </c>
      <c r="AI401" s="21" t="n">
        <f aca="false">IF(OR(AE401="",AE401=0),0,AE401*IF(AA401="",0,IF(AA401&gt;1,AA401/100,AA401)))</f>
        <v>0</v>
      </c>
      <c r="AJ401" s="21" t="n">
        <f aca="false">AG401+AH401+AI401</f>
        <v>0</v>
      </c>
      <c r="AK401" s="21" t="n">
        <f aca="false">IF(OR(AE401="",AE401=0),0,AE401-AJ401)</f>
        <v>0</v>
      </c>
      <c r="AL401" s="19" t="str">
        <f aca="false">IF(AD401="","",AD401-AK401)</f>
        <v/>
      </c>
      <c r="AM401" s="26" t="str">
        <f aca="false">IF(C401="","","Waiting for payment")</f>
        <v/>
      </c>
      <c r="AN401" s="27"/>
      <c r="AO401" s="27"/>
      <c r="AP401" s="35" t="str">
        <f aca="false">IF(OR(C401="",I401="",K401=""),"",IF(K401="Monthly",EDATE(C401,ROUND(I401*SETTINGS!$I$8,0)),WORKDAY(C401,ROUND(I401*SETTINGS!$I$8,0))))</f>
        <v/>
      </c>
      <c r="AQ401" s="26" t="str">
        <f aca="true">IF(C401="","",IF(AND(AP401&lt;&gt;"",TODAY()&gt;=AP401),"Refi Ready",IF(TODAY()-C401&gt;=SETTINGS!$I$11,"Prospecting","Performing")))</f>
        <v/>
      </c>
      <c r="AR401" s="35" t="str">
        <f aca="false">IF(OR(C401="",I401="",K401=""),"",IF(K401="Monthly",EDATE(C401,I401),WORKDAY(C401,I401)))</f>
        <v/>
      </c>
      <c r="AS401" s="28"/>
      <c r="AT401" s="36" t="str">
        <f aca="true">IF(C401="","",IF(AM401="Clawed Back","CLAWED",IF(TODAY()&lt;=C401+SETTINGS!$I$2,"⚠ AT RISK","SAFE")))</f>
        <v/>
      </c>
      <c r="AU401" s="28"/>
      <c r="AW401" s="24" t="n">
        <f aca="false">AW400+IF(AND(C401&lt;&gt;"",AO401&lt;&gt;"",OR('REP COMMISSION'!$B$3="",T401='REP COMMISSION'!$B$3,W401='REP COMMISSION'!$B$3,Z401='REP COMMISSION'!$B$3)),1,0)</f>
        <v>0</v>
      </c>
      <c r="AX401" s="24" t="n">
        <f aca="false">AX400+IF(AND(C401&lt;&gt;"",OR(F401="LOC - INITIAL",F401="CONSOLIDATION - UPFRONT COMM",F401="REVERSE - TOTAL FUNDING")),1,0)</f>
        <v>0</v>
      </c>
    </row>
    <row r="402" customFormat="false" ht="15" hidden="false" customHeight="false" outlineLevel="0" collapsed="false">
      <c r="A402" s="8" t="str">
        <f aca="false">IF(C402&lt;&gt;"","F27-"&amp;COUNT($C$4:C402),"")</f>
        <v/>
      </c>
      <c r="B402" s="9" t="str">
        <f aca="false">IF(OR(F402="LOC - INITIAL",F402="CONSOLIDATION - UPFRONT COMM",F402="REVERSE - TOTAL FUNDING"),A402,"")</f>
        <v/>
      </c>
      <c r="C402" s="10"/>
      <c r="D402" s="11"/>
      <c r="E402" s="11"/>
      <c r="F402" s="11"/>
      <c r="G402" s="12"/>
      <c r="H402" s="13"/>
      <c r="I402" s="11"/>
      <c r="J402" s="14" t="str">
        <f aca="false">IF(AND(G402&lt;&gt;"",H402&lt;&gt;""),G402*H402,"")</f>
        <v/>
      </c>
      <c r="K402" s="11"/>
      <c r="L402" s="15"/>
      <c r="M402" s="15"/>
      <c r="N402" s="14" t="n">
        <f aca="false">IF(OR(G402="",M402=""),0,IF(M402&gt;100,M402,G402*IF(M402&gt;1,M402/100,M402)))</f>
        <v>0</v>
      </c>
      <c r="O402" s="14" t="str">
        <f aca="false">IF(G402="","",G402*IF(L402="",0,IF(L402&gt;1,L402/100,L402))+N402)</f>
        <v/>
      </c>
      <c r="P402" s="11"/>
      <c r="Q402" s="16" t="str">
        <f aca="false">IF(P402="","",IFERROR(VLOOKUP(P402,PARTNERS!$A$2:$B$30,2,0),""))</f>
        <v/>
      </c>
      <c r="R402" s="17" t="str">
        <f aca="false">IF(O402="","",IF(OR(P402="",Q402=""),0,(O402-N402)*IF(Q402&gt;1,Q402/100,Q402)))</f>
        <v/>
      </c>
      <c r="S402" s="14" t="str">
        <f aca="false">IF(O402="","",O402-R402)</f>
        <v/>
      </c>
      <c r="T402" s="11"/>
      <c r="U402" s="18" t="str">
        <f aca="false">IF(T402="","",IFERROR(VLOOKUP(T402,REPS!$A$2:$D$40,2,0),""))</f>
        <v/>
      </c>
      <c r="V402" s="14" t="str">
        <f aca="false">IF(O402="","",IF(U402="",0,O402*IF(U402&gt;1,U402/100,U402)))</f>
        <v/>
      </c>
      <c r="W402" s="11"/>
      <c r="X402" s="18" t="str">
        <f aca="false">IF(W402="","",IFERROR(VLOOKUP(W402,REPS!$A$2:$D$40,3,0),""))</f>
        <v/>
      </c>
      <c r="Y402" s="14" t="str">
        <f aca="false">IF(O402="","",IF(X402="",0,O402*IF(X402&gt;1,X402/100,X402)))</f>
        <v/>
      </c>
      <c r="Z402" s="11"/>
      <c r="AA402" s="18" t="str">
        <f aca="false">IF(Z402="","",IFERROR(VLOOKUP(Z402,REPS!$A$2:$D$40,4,0),""))</f>
        <v/>
      </c>
      <c r="AB402" s="14" t="str">
        <f aca="false">IF(O402="","",IF(AA402="",0,O402*IF(AA402&gt;1,AA402/100,AA402)))</f>
        <v/>
      </c>
      <c r="AC402" s="14" t="str">
        <f aca="false">IF(O402="","",V402+Y402+AB402)</f>
        <v/>
      </c>
      <c r="AD402" s="19" t="str">
        <f aca="false">IF(O402="","",O402-R402-AC402)</f>
        <v/>
      </c>
      <c r="AE402" s="20"/>
      <c r="AF402" s="10"/>
      <c r="AG402" s="21" t="n">
        <f aca="false">IF(OR(AE402="",AE402=0),0,AE402*IF(U402="",0,IF(U402&gt;1,U402/100,U402)))</f>
        <v>0</v>
      </c>
      <c r="AH402" s="21" t="n">
        <f aca="false">IF(OR(AE402="",AE402=0),0,AE402*IF(X402="",0,IF(X402&gt;1,X402/100,X402)))</f>
        <v>0</v>
      </c>
      <c r="AI402" s="21" t="n">
        <f aca="false">IF(OR(AE402="",AE402=0),0,AE402*IF(AA402="",0,IF(AA402&gt;1,AA402/100,AA402)))</f>
        <v>0</v>
      </c>
      <c r="AJ402" s="21" t="n">
        <f aca="false">AG402+AH402+AI402</f>
        <v>0</v>
      </c>
      <c r="AK402" s="21" t="n">
        <f aca="false">IF(OR(AE402="",AE402=0),0,AE402-AJ402)</f>
        <v>0</v>
      </c>
      <c r="AL402" s="19" t="str">
        <f aca="false">IF(AD402="","",AD402-AK402)</f>
        <v/>
      </c>
      <c r="AM402" s="9" t="str">
        <f aca="false">IF(C402="","","Waiting for payment")</f>
        <v/>
      </c>
      <c r="AN402" s="10"/>
      <c r="AO402" s="10"/>
      <c r="AP402" s="22" t="str">
        <f aca="false">IF(OR(C402="",I402="",K402=""),"",IF(K402="Monthly",EDATE(C402,ROUND(I402*SETTINGS!$I$8,0)),WORKDAY(C402,ROUND(I402*SETTINGS!$I$8,0))))</f>
        <v/>
      </c>
      <c r="AQ402" s="9" t="str">
        <f aca="true">IF(C402="","",IF(AND(AP402&lt;&gt;"",TODAY()&gt;=AP402),"Refi Ready",IF(TODAY()-C402&gt;=SETTINGS!$I$11,"Prospecting","Performing")))</f>
        <v/>
      </c>
      <c r="AR402" s="22" t="str">
        <f aca="false">IF(OR(C402="",I402="",K402=""),"",IF(K402="Monthly",EDATE(C402,I402),WORKDAY(C402,I402)))</f>
        <v/>
      </c>
      <c r="AS402" s="11"/>
      <c r="AT402" s="23" t="str">
        <f aca="true">IF(C402="","",IF(AM402="Clawed Back","CLAWED",IF(TODAY()&lt;=C402+SETTINGS!$I$2,"⚠ AT RISK","SAFE")))</f>
        <v/>
      </c>
      <c r="AU402" s="11"/>
      <c r="AW402" s="24" t="n">
        <f aca="false">AW401+IF(AND(C402&lt;&gt;"",AO402&lt;&gt;"",OR('REP COMMISSION'!$B$3="",T402='REP COMMISSION'!$B$3,W402='REP COMMISSION'!$B$3,Z402='REP COMMISSION'!$B$3)),1,0)</f>
        <v>0</v>
      </c>
      <c r="AX402" s="24" t="n">
        <f aca="false">AX401+IF(AND(C402&lt;&gt;"",OR(F402="LOC - INITIAL",F402="CONSOLIDATION - UPFRONT COMM",F402="REVERSE - TOTAL FUNDING")),1,0)</f>
        <v>0</v>
      </c>
    </row>
    <row r="403" customFormat="false" ht="15" hidden="false" customHeight="false" outlineLevel="0" collapsed="false">
      <c r="A403" s="25" t="str">
        <f aca="false">IF(C403&lt;&gt;"","F27-"&amp;COUNT($C$4:C403),"")</f>
        <v/>
      </c>
      <c r="B403" s="26" t="str">
        <f aca="false">IF(OR(F403="LOC - INITIAL",F403="CONSOLIDATION - UPFRONT COMM",F403="REVERSE - TOTAL FUNDING"),A403,"")</f>
        <v/>
      </c>
      <c r="C403" s="27"/>
      <c r="D403" s="28"/>
      <c r="E403" s="28"/>
      <c r="F403" s="28"/>
      <c r="G403" s="29"/>
      <c r="H403" s="30"/>
      <c r="I403" s="28"/>
      <c r="J403" s="31" t="str">
        <f aca="false">IF(AND(G403&lt;&gt;"",H403&lt;&gt;""),G403*H403,"")</f>
        <v/>
      </c>
      <c r="K403" s="28"/>
      <c r="L403" s="32"/>
      <c r="M403" s="32"/>
      <c r="N403" s="31" t="n">
        <f aca="false">IF(OR(G403="",M403=""),0,IF(M403&gt;100,M403,G403*IF(M403&gt;1,M403/100,M403)))</f>
        <v>0</v>
      </c>
      <c r="O403" s="31" t="str">
        <f aca="false">IF(G403="","",G403*IF(L403="",0,IF(L403&gt;1,L403/100,L403))+N403)</f>
        <v/>
      </c>
      <c r="P403" s="28"/>
      <c r="Q403" s="33" t="str">
        <f aca="false">IF(P403="","",IFERROR(VLOOKUP(P403,PARTNERS!$A$2:$B$30,2,0),""))</f>
        <v/>
      </c>
      <c r="R403" s="17" t="str">
        <f aca="false">IF(O403="","",IF(OR(P403="",Q403=""),0,(O403-N403)*IF(Q403&gt;1,Q403/100,Q403)))</f>
        <v/>
      </c>
      <c r="S403" s="31" t="str">
        <f aca="false">IF(O403="","",O403-R403)</f>
        <v/>
      </c>
      <c r="T403" s="28"/>
      <c r="U403" s="34" t="str">
        <f aca="false">IF(T403="","",IFERROR(VLOOKUP(T403,REPS!$A$2:$D$40,2,0),""))</f>
        <v/>
      </c>
      <c r="V403" s="31" t="str">
        <f aca="false">IF(O403="","",IF(U403="",0,O403*IF(U403&gt;1,U403/100,U403)))</f>
        <v/>
      </c>
      <c r="W403" s="28"/>
      <c r="X403" s="34" t="str">
        <f aca="false">IF(W403="","",IFERROR(VLOOKUP(W403,REPS!$A$2:$D$40,3,0),""))</f>
        <v/>
      </c>
      <c r="Y403" s="31" t="str">
        <f aca="false">IF(O403="","",IF(X403="",0,O403*IF(X403&gt;1,X403/100,X403)))</f>
        <v/>
      </c>
      <c r="Z403" s="28"/>
      <c r="AA403" s="34" t="str">
        <f aca="false">IF(Z403="","",IFERROR(VLOOKUP(Z403,REPS!$A$2:$D$40,4,0),""))</f>
        <v/>
      </c>
      <c r="AB403" s="31" t="str">
        <f aca="false">IF(O403="","",IF(AA403="",0,O403*IF(AA403&gt;1,AA403/100,AA403)))</f>
        <v/>
      </c>
      <c r="AC403" s="31" t="str">
        <f aca="false">IF(O403="","",V403+Y403+AB403)</f>
        <v/>
      </c>
      <c r="AD403" s="19" t="str">
        <f aca="false">IF(O403="","",O403-R403-AC403)</f>
        <v/>
      </c>
      <c r="AE403" s="20"/>
      <c r="AF403" s="27"/>
      <c r="AG403" s="21" t="n">
        <f aca="false">IF(OR(AE403="",AE403=0),0,AE403*IF(U403="",0,IF(U403&gt;1,U403/100,U403)))</f>
        <v>0</v>
      </c>
      <c r="AH403" s="21" t="n">
        <f aca="false">IF(OR(AE403="",AE403=0),0,AE403*IF(X403="",0,IF(X403&gt;1,X403/100,X403)))</f>
        <v>0</v>
      </c>
      <c r="AI403" s="21" t="n">
        <f aca="false">IF(OR(AE403="",AE403=0),0,AE403*IF(AA403="",0,IF(AA403&gt;1,AA403/100,AA403)))</f>
        <v>0</v>
      </c>
      <c r="AJ403" s="21" t="n">
        <f aca="false">AG403+AH403+AI403</f>
        <v>0</v>
      </c>
      <c r="AK403" s="21" t="n">
        <f aca="false">IF(OR(AE403="",AE403=0),0,AE403-AJ403)</f>
        <v>0</v>
      </c>
      <c r="AL403" s="19" t="str">
        <f aca="false">IF(AD403="","",AD403-AK403)</f>
        <v/>
      </c>
      <c r="AM403" s="26" t="str">
        <f aca="false">IF(C403="","","Waiting for payment")</f>
        <v/>
      </c>
      <c r="AN403" s="27"/>
      <c r="AO403" s="27"/>
      <c r="AP403" s="35" t="str">
        <f aca="false">IF(OR(C403="",I403="",K403=""),"",IF(K403="Monthly",EDATE(C403,ROUND(I403*SETTINGS!$I$8,0)),WORKDAY(C403,ROUND(I403*SETTINGS!$I$8,0))))</f>
        <v/>
      </c>
      <c r="AQ403" s="26" t="str">
        <f aca="true">IF(C403="","",IF(AND(AP403&lt;&gt;"",TODAY()&gt;=AP403),"Refi Ready",IF(TODAY()-C403&gt;=SETTINGS!$I$11,"Prospecting","Performing")))</f>
        <v/>
      </c>
      <c r="AR403" s="35" t="str">
        <f aca="false">IF(OR(C403="",I403="",K403=""),"",IF(K403="Monthly",EDATE(C403,I403),WORKDAY(C403,I403)))</f>
        <v/>
      </c>
      <c r="AS403" s="28"/>
      <c r="AT403" s="36" t="str">
        <f aca="true">IF(C403="","",IF(AM403="Clawed Back","CLAWED",IF(TODAY()&lt;=C403+SETTINGS!$I$2,"⚠ AT RISK","SAFE")))</f>
        <v/>
      </c>
      <c r="AU403" s="28"/>
      <c r="AW403" s="24" t="n">
        <f aca="false">AW402+IF(AND(C403&lt;&gt;"",AO403&lt;&gt;"",OR('REP COMMISSION'!$B$3="",T403='REP COMMISSION'!$B$3,W403='REP COMMISSION'!$B$3,Z403='REP COMMISSION'!$B$3)),1,0)</f>
        <v>0</v>
      </c>
      <c r="AX403" s="24" t="n">
        <f aca="false">AX402+IF(AND(C403&lt;&gt;"",OR(F403="LOC - INITIAL",F403="CONSOLIDATION - UPFRONT COMM",F403="REVERSE - TOTAL FUNDING")),1,0)</f>
        <v>0</v>
      </c>
    </row>
    <row r="404" customFormat="false" ht="15" hidden="false" customHeight="false" outlineLevel="0" collapsed="false">
      <c r="A404" s="8" t="str">
        <f aca="false">IF(C404&lt;&gt;"","F27-"&amp;COUNT($C$4:C404),"")</f>
        <v/>
      </c>
      <c r="B404" s="9" t="str">
        <f aca="false">IF(OR(F404="LOC - INITIAL",F404="CONSOLIDATION - UPFRONT COMM",F404="REVERSE - TOTAL FUNDING"),A404,"")</f>
        <v/>
      </c>
      <c r="C404" s="10"/>
      <c r="D404" s="11"/>
      <c r="E404" s="11"/>
      <c r="F404" s="11"/>
      <c r="G404" s="12"/>
      <c r="H404" s="13"/>
      <c r="I404" s="11"/>
      <c r="J404" s="14" t="str">
        <f aca="false">IF(AND(G404&lt;&gt;"",H404&lt;&gt;""),G404*H404,"")</f>
        <v/>
      </c>
      <c r="K404" s="11"/>
      <c r="L404" s="15"/>
      <c r="M404" s="15"/>
      <c r="N404" s="14" t="n">
        <f aca="false">IF(OR(G404="",M404=""),0,IF(M404&gt;100,M404,G404*IF(M404&gt;1,M404/100,M404)))</f>
        <v>0</v>
      </c>
      <c r="O404" s="14" t="str">
        <f aca="false">IF(G404="","",G404*IF(L404="",0,IF(L404&gt;1,L404/100,L404))+N404)</f>
        <v/>
      </c>
      <c r="P404" s="11"/>
      <c r="Q404" s="16" t="str">
        <f aca="false">IF(P404="","",IFERROR(VLOOKUP(P404,PARTNERS!$A$2:$B$30,2,0),""))</f>
        <v/>
      </c>
      <c r="R404" s="17" t="str">
        <f aca="false">IF(O404="","",IF(OR(P404="",Q404=""),0,(O404-N404)*IF(Q404&gt;1,Q404/100,Q404)))</f>
        <v/>
      </c>
      <c r="S404" s="14" t="str">
        <f aca="false">IF(O404="","",O404-R404)</f>
        <v/>
      </c>
      <c r="T404" s="11"/>
      <c r="U404" s="18" t="str">
        <f aca="false">IF(T404="","",IFERROR(VLOOKUP(T404,REPS!$A$2:$D$40,2,0),""))</f>
        <v/>
      </c>
      <c r="V404" s="14" t="str">
        <f aca="false">IF(O404="","",IF(U404="",0,O404*IF(U404&gt;1,U404/100,U404)))</f>
        <v/>
      </c>
      <c r="W404" s="11"/>
      <c r="X404" s="18" t="str">
        <f aca="false">IF(W404="","",IFERROR(VLOOKUP(W404,REPS!$A$2:$D$40,3,0),""))</f>
        <v/>
      </c>
      <c r="Y404" s="14" t="str">
        <f aca="false">IF(O404="","",IF(X404="",0,O404*IF(X404&gt;1,X404/100,X404)))</f>
        <v/>
      </c>
      <c r="Z404" s="11"/>
      <c r="AA404" s="18" t="str">
        <f aca="false">IF(Z404="","",IFERROR(VLOOKUP(Z404,REPS!$A$2:$D$40,4,0),""))</f>
        <v/>
      </c>
      <c r="AB404" s="14" t="str">
        <f aca="false">IF(O404="","",IF(AA404="",0,O404*IF(AA404&gt;1,AA404/100,AA404)))</f>
        <v/>
      </c>
      <c r="AC404" s="14" t="str">
        <f aca="false">IF(O404="","",V404+Y404+AB404)</f>
        <v/>
      </c>
      <c r="AD404" s="19" t="str">
        <f aca="false">IF(O404="","",O404-R404-AC404)</f>
        <v/>
      </c>
      <c r="AE404" s="20"/>
      <c r="AF404" s="10"/>
      <c r="AG404" s="21" t="n">
        <f aca="false">IF(OR(AE404="",AE404=0),0,AE404*IF(U404="",0,IF(U404&gt;1,U404/100,U404)))</f>
        <v>0</v>
      </c>
      <c r="AH404" s="21" t="n">
        <f aca="false">IF(OR(AE404="",AE404=0),0,AE404*IF(X404="",0,IF(X404&gt;1,X404/100,X404)))</f>
        <v>0</v>
      </c>
      <c r="AI404" s="21" t="n">
        <f aca="false">IF(OR(AE404="",AE404=0),0,AE404*IF(AA404="",0,IF(AA404&gt;1,AA404/100,AA404)))</f>
        <v>0</v>
      </c>
      <c r="AJ404" s="21" t="n">
        <f aca="false">AG404+AH404+AI404</f>
        <v>0</v>
      </c>
      <c r="AK404" s="21" t="n">
        <f aca="false">IF(OR(AE404="",AE404=0),0,AE404-AJ404)</f>
        <v>0</v>
      </c>
      <c r="AL404" s="19" t="str">
        <f aca="false">IF(AD404="","",AD404-AK404)</f>
        <v/>
      </c>
      <c r="AM404" s="9" t="str">
        <f aca="false">IF(C404="","","Waiting for payment")</f>
        <v/>
      </c>
      <c r="AN404" s="10"/>
      <c r="AO404" s="10"/>
      <c r="AP404" s="22" t="str">
        <f aca="false">IF(OR(C404="",I404="",K404=""),"",IF(K404="Monthly",EDATE(C404,ROUND(I404*SETTINGS!$I$8,0)),WORKDAY(C404,ROUND(I404*SETTINGS!$I$8,0))))</f>
        <v/>
      </c>
      <c r="AQ404" s="9" t="str">
        <f aca="true">IF(C404="","",IF(AND(AP404&lt;&gt;"",TODAY()&gt;=AP404),"Refi Ready",IF(TODAY()-C404&gt;=SETTINGS!$I$11,"Prospecting","Performing")))</f>
        <v/>
      </c>
      <c r="AR404" s="22" t="str">
        <f aca="false">IF(OR(C404="",I404="",K404=""),"",IF(K404="Monthly",EDATE(C404,I404),WORKDAY(C404,I404)))</f>
        <v/>
      </c>
      <c r="AS404" s="11"/>
      <c r="AT404" s="23" t="str">
        <f aca="true">IF(C404="","",IF(AM404="Clawed Back","CLAWED",IF(TODAY()&lt;=C404+SETTINGS!$I$2,"⚠ AT RISK","SAFE")))</f>
        <v/>
      </c>
      <c r="AU404" s="11"/>
      <c r="AW404" s="24" t="n">
        <f aca="false">AW403+IF(AND(C404&lt;&gt;"",AO404&lt;&gt;"",OR('REP COMMISSION'!$B$3="",T404='REP COMMISSION'!$B$3,W404='REP COMMISSION'!$B$3,Z404='REP COMMISSION'!$B$3)),1,0)</f>
        <v>0</v>
      </c>
      <c r="AX404" s="24" t="n">
        <f aca="false">AX403+IF(AND(C404&lt;&gt;"",OR(F404="LOC - INITIAL",F404="CONSOLIDATION - UPFRONT COMM",F404="REVERSE - TOTAL FUNDING")),1,0)</f>
        <v>0</v>
      </c>
    </row>
    <row r="405" customFormat="false" ht="15" hidden="false" customHeight="false" outlineLevel="0" collapsed="false">
      <c r="A405" s="25" t="str">
        <f aca="false">IF(C405&lt;&gt;"","F27-"&amp;COUNT($C$4:C405),"")</f>
        <v/>
      </c>
      <c r="B405" s="26" t="str">
        <f aca="false">IF(OR(F405="LOC - INITIAL",F405="CONSOLIDATION - UPFRONT COMM",F405="REVERSE - TOTAL FUNDING"),A405,"")</f>
        <v/>
      </c>
      <c r="C405" s="27"/>
      <c r="D405" s="28"/>
      <c r="E405" s="28"/>
      <c r="F405" s="28"/>
      <c r="G405" s="29"/>
      <c r="H405" s="30"/>
      <c r="I405" s="28"/>
      <c r="J405" s="31" t="str">
        <f aca="false">IF(AND(G405&lt;&gt;"",H405&lt;&gt;""),G405*H405,"")</f>
        <v/>
      </c>
      <c r="K405" s="28"/>
      <c r="L405" s="32"/>
      <c r="M405" s="32"/>
      <c r="N405" s="31" t="n">
        <f aca="false">IF(OR(G405="",M405=""),0,IF(M405&gt;100,M405,G405*IF(M405&gt;1,M405/100,M405)))</f>
        <v>0</v>
      </c>
      <c r="O405" s="31" t="str">
        <f aca="false">IF(G405="","",G405*IF(L405="",0,IF(L405&gt;1,L405/100,L405))+N405)</f>
        <v/>
      </c>
      <c r="P405" s="28"/>
      <c r="Q405" s="33" t="str">
        <f aca="false">IF(P405="","",IFERROR(VLOOKUP(P405,PARTNERS!$A$2:$B$30,2,0),""))</f>
        <v/>
      </c>
      <c r="R405" s="17" t="str">
        <f aca="false">IF(O405="","",IF(OR(P405="",Q405=""),0,(O405-N405)*IF(Q405&gt;1,Q405/100,Q405)))</f>
        <v/>
      </c>
      <c r="S405" s="31" t="str">
        <f aca="false">IF(O405="","",O405-R405)</f>
        <v/>
      </c>
      <c r="T405" s="28"/>
      <c r="U405" s="34" t="str">
        <f aca="false">IF(T405="","",IFERROR(VLOOKUP(T405,REPS!$A$2:$D$40,2,0),""))</f>
        <v/>
      </c>
      <c r="V405" s="31" t="str">
        <f aca="false">IF(O405="","",IF(U405="",0,O405*IF(U405&gt;1,U405/100,U405)))</f>
        <v/>
      </c>
      <c r="W405" s="28"/>
      <c r="X405" s="34" t="str">
        <f aca="false">IF(W405="","",IFERROR(VLOOKUP(W405,REPS!$A$2:$D$40,3,0),""))</f>
        <v/>
      </c>
      <c r="Y405" s="31" t="str">
        <f aca="false">IF(O405="","",IF(X405="",0,O405*IF(X405&gt;1,X405/100,X405)))</f>
        <v/>
      </c>
      <c r="Z405" s="28"/>
      <c r="AA405" s="34" t="str">
        <f aca="false">IF(Z405="","",IFERROR(VLOOKUP(Z405,REPS!$A$2:$D$40,4,0),""))</f>
        <v/>
      </c>
      <c r="AB405" s="31" t="str">
        <f aca="false">IF(O405="","",IF(AA405="",0,O405*IF(AA405&gt;1,AA405/100,AA405)))</f>
        <v/>
      </c>
      <c r="AC405" s="31" t="str">
        <f aca="false">IF(O405="","",V405+Y405+AB405)</f>
        <v/>
      </c>
      <c r="AD405" s="19" t="str">
        <f aca="false">IF(O405="","",O405-R405-AC405)</f>
        <v/>
      </c>
      <c r="AE405" s="20"/>
      <c r="AF405" s="27"/>
      <c r="AG405" s="21" t="n">
        <f aca="false">IF(OR(AE405="",AE405=0),0,AE405*IF(U405="",0,IF(U405&gt;1,U405/100,U405)))</f>
        <v>0</v>
      </c>
      <c r="AH405" s="21" t="n">
        <f aca="false">IF(OR(AE405="",AE405=0),0,AE405*IF(X405="",0,IF(X405&gt;1,X405/100,X405)))</f>
        <v>0</v>
      </c>
      <c r="AI405" s="21" t="n">
        <f aca="false">IF(OR(AE405="",AE405=0),0,AE405*IF(AA405="",0,IF(AA405&gt;1,AA405/100,AA405)))</f>
        <v>0</v>
      </c>
      <c r="AJ405" s="21" t="n">
        <f aca="false">AG405+AH405+AI405</f>
        <v>0</v>
      </c>
      <c r="AK405" s="21" t="n">
        <f aca="false">IF(OR(AE405="",AE405=0),0,AE405-AJ405)</f>
        <v>0</v>
      </c>
      <c r="AL405" s="19" t="str">
        <f aca="false">IF(AD405="","",AD405-AK405)</f>
        <v/>
      </c>
      <c r="AM405" s="26" t="str">
        <f aca="false">IF(C405="","","Waiting for payment")</f>
        <v/>
      </c>
      <c r="AN405" s="27"/>
      <c r="AO405" s="27"/>
      <c r="AP405" s="35" t="str">
        <f aca="false">IF(OR(C405="",I405="",K405=""),"",IF(K405="Monthly",EDATE(C405,ROUND(I405*SETTINGS!$I$8,0)),WORKDAY(C405,ROUND(I405*SETTINGS!$I$8,0))))</f>
        <v/>
      </c>
      <c r="AQ405" s="26" t="str">
        <f aca="true">IF(C405="","",IF(AND(AP405&lt;&gt;"",TODAY()&gt;=AP405),"Refi Ready",IF(TODAY()-C405&gt;=SETTINGS!$I$11,"Prospecting","Performing")))</f>
        <v/>
      </c>
      <c r="AR405" s="35" t="str">
        <f aca="false">IF(OR(C405="",I405="",K405=""),"",IF(K405="Monthly",EDATE(C405,I405),WORKDAY(C405,I405)))</f>
        <v/>
      </c>
      <c r="AS405" s="28"/>
      <c r="AT405" s="36" t="str">
        <f aca="true">IF(C405="","",IF(AM405="Clawed Back","CLAWED",IF(TODAY()&lt;=C405+SETTINGS!$I$2,"⚠ AT RISK","SAFE")))</f>
        <v/>
      </c>
      <c r="AU405" s="28"/>
      <c r="AW405" s="24" t="n">
        <f aca="false">AW404+IF(AND(C405&lt;&gt;"",AO405&lt;&gt;"",OR('REP COMMISSION'!$B$3="",T405='REP COMMISSION'!$B$3,W405='REP COMMISSION'!$B$3,Z405='REP COMMISSION'!$B$3)),1,0)</f>
        <v>0</v>
      </c>
      <c r="AX405" s="24" t="n">
        <f aca="false">AX404+IF(AND(C405&lt;&gt;"",OR(F405="LOC - INITIAL",F405="CONSOLIDATION - UPFRONT COMM",F405="REVERSE - TOTAL FUNDING")),1,0)</f>
        <v>0</v>
      </c>
    </row>
    <row r="406" customFormat="false" ht="15" hidden="false" customHeight="false" outlineLevel="0" collapsed="false">
      <c r="A406" s="8" t="str">
        <f aca="false">IF(C406&lt;&gt;"","F27-"&amp;COUNT($C$4:C406),"")</f>
        <v/>
      </c>
      <c r="B406" s="9" t="str">
        <f aca="false">IF(OR(F406="LOC - INITIAL",F406="CONSOLIDATION - UPFRONT COMM",F406="REVERSE - TOTAL FUNDING"),A406,"")</f>
        <v/>
      </c>
      <c r="C406" s="10"/>
      <c r="D406" s="11"/>
      <c r="E406" s="11"/>
      <c r="F406" s="11"/>
      <c r="G406" s="12"/>
      <c r="H406" s="13"/>
      <c r="I406" s="11"/>
      <c r="J406" s="14" t="str">
        <f aca="false">IF(AND(G406&lt;&gt;"",H406&lt;&gt;""),G406*H406,"")</f>
        <v/>
      </c>
      <c r="K406" s="11"/>
      <c r="L406" s="15"/>
      <c r="M406" s="15"/>
      <c r="N406" s="14" t="n">
        <f aca="false">IF(OR(G406="",M406=""),0,IF(M406&gt;100,M406,G406*IF(M406&gt;1,M406/100,M406)))</f>
        <v>0</v>
      </c>
      <c r="O406" s="14" t="str">
        <f aca="false">IF(G406="","",G406*IF(L406="",0,IF(L406&gt;1,L406/100,L406))+N406)</f>
        <v/>
      </c>
      <c r="P406" s="11"/>
      <c r="Q406" s="16" t="str">
        <f aca="false">IF(P406="","",IFERROR(VLOOKUP(P406,PARTNERS!$A$2:$B$30,2,0),""))</f>
        <v/>
      </c>
      <c r="R406" s="17" t="str">
        <f aca="false">IF(O406="","",IF(OR(P406="",Q406=""),0,(O406-N406)*IF(Q406&gt;1,Q406/100,Q406)))</f>
        <v/>
      </c>
      <c r="S406" s="14" t="str">
        <f aca="false">IF(O406="","",O406-R406)</f>
        <v/>
      </c>
      <c r="T406" s="11"/>
      <c r="U406" s="18" t="str">
        <f aca="false">IF(T406="","",IFERROR(VLOOKUP(T406,REPS!$A$2:$D$40,2,0),""))</f>
        <v/>
      </c>
      <c r="V406" s="14" t="str">
        <f aca="false">IF(O406="","",IF(U406="",0,O406*IF(U406&gt;1,U406/100,U406)))</f>
        <v/>
      </c>
      <c r="W406" s="11"/>
      <c r="X406" s="18" t="str">
        <f aca="false">IF(W406="","",IFERROR(VLOOKUP(W406,REPS!$A$2:$D$40,3,0),""))</f>
        <v/>
      </c>
      <c r="Y406" s="14" t="str">
        <f aca="false">IF(O406="","",IF(X406="",0,O406*IF(X406&gt;1,X406/100,X406)))</f>
        <v/>
      </c>
      <c r="Z406" s="11"/>
      <c r="AA406" s="18" t="str">
        <f aca="false">IF(Z406="","",IFERROR(VLOOKUP(Z406,REPS!$A$2:$D$40,4,0),""))</f>
        <v/>
      </c>
      <c r="AB406" s="14" t="str">
        <f aca="false">IF(O406="","",IF(AA406="",0,O406*IF(AA406&gt;1,AA406/100,AA406)))</f>
        <v/>
      </c>
      <c r="AC406" s="14" t="str">
        <f aca="false">IF(O406="","",V406+Y406+AB406)</f>
        <v/>
      </c>
      <c r="AD406" s="19" t="str">
        <f aca="false">IF(O406="","",O406-R406-AC406)</f>
        <v/>
      </c>
      <c r="AE406" s="20"/>
      <c r="AF406" s="10"/>
      <c r="AG406" s="21" t="n">
        <f aca="false">IF(OR(AE406="",AE406=0),0,AE406*IF(U406="",0,IF(U406&gt;1,U406/100,U406)))</f>
        <v>0</v>
      </c>
      <c r="AH406" s="21" t="n">
        <f aca="false">IF(OR(AE406="",AE406=0),0,AE406*IF(X406="",0,IF(X406&gt;1,X406/100,X406)))</f>
        <v>0</v>
      </c>
      <c r="AI406" s="21" t="n">
        <f aca="false">IF(OR(AE406="",AE406=0),0,AE406*IF(AA406="",0,IF(AA406&gt;1,AA406/100,AA406)))</f>
        <v>0</v>
      </c>
      <c r="AJ406" s="21" t="n">
        <f aca="false">AG406+AH406+AI406</f>
        <v>0</v>
      </c>
      <c r="AK406" s="21" t="n">
        <f aca="false">IF(OR(AE406="",AE406=0),0,AE406-AJ406)</f>
        <v>0</v>
      </c>
      <c r="AL406" s="19" t="str">
        <f aca="false">IF(AD406="","",AD406-AK406)</f>
        <v/>
      </c>
      <c r="AM406" s="9" t="str">
        <f aca="false">IF(C406="","","Waiting for payment")</f>
        <v/>
      </c>
      <c r="AN406" s="10"/>
      <c r="AO406" s="10"/>
      <c r="AP406" s="22" t="str">
        <f aca="false">IF(OR(C406="",I406="",K406=""),"",IF(K406="Monthly",EDATE(C406,ROUND(I406*SETTINGS!$I$8,0)),WORKDAY(C406,ROUND(I406*SETTINGS!$I$8,0))))</f>
        <v/>
      </c>
      <c r="AQ406" s="9" t="str">
        <f aca="true">IF(C406="","",IF(AND(AP406&lt;&gt;"",TODAY()&gt;=AP406),"Refi Ready",IF(TODAY()-C406&gt;=SETTINGS!$I$11,"Prospecting","Performing")))</f>
        <v/>
      </c>
      <c r="AR406" s="22" t="str">
        <f aca="false">IF(OR(C406="",I406="",K406=""),"",IF(K406="Monthly",EDATE(C406,I406),WORKDAY(C406,I406)))</f>
        <v/>
      </c>
      <c r="AS406" s="11"/>
      <c r="AT406" s="23" t="str">
        <f aca="true">IF(C406="","",IF(AM406="Clawed Back","CLAWED",IF(TODAY()&lt;=C406+SETTINGS!$I$2,"⚠ AT RISK","SAFE")))</f>
        <v/>
      </c>
      <c r="AU406" s="11"/>
      <c r="AW406" s="24" t="n">
        <f aca="false">AW405+IF(AND(C406&lt;&gt;"",AO406&lt;&gt;"",OR('REP COMMISSION'!$B$3="",T406='REP COMMISSION'!$B$3,W406='REP COMMISSION'!$B$3,Z406='REP COMMISSION'!$B$3)),1,0)</f>
        <v>0</v>
      </c>
      <c r="AX406" s="24" t="n">
        <f aca="false">AX405+IF(AND(C406&lt;&gt;"",OR(F406="LOC - INITIAL",F406="CONSOLIDATION - UPFRONT COMM",F406="REVERSE - TOTAL FUNDING")),1,0)</f>
        <v>0</v>
      </c>
    </row>
    <row r="407" customFormat="false" ht="15" hidden="false" customHeight="false" outlineLevel="0" collapsed="false">
      <c r="A407" s="25" t="str">
        <f aca="false">IF(C407&lt;&gt;"","F27-"&amp;COUNT($C$4:C407),"")</f>
        <v/>
      </c>
      <c r="B407" s="26" t="str">
        <f aca="false">IF(OR(F407="LOC - INITIAL",F407="CONSOLIDATION - UPFRONT COMM",F407="REVERSE - TOTAL FUNDING"),A407,"")</f>
        <v/>
      </c>
      <c r="C407" s="27"/>
      <c r="D407" s="28"/>
      <c r="E407" s="28"/>
      <c r="F407" s="28"/>
      <c r="G407" s="29"/>
      <c r="H407" s="30"/>
      <c r="I407" s="28"/>
      <c r="J407" s="31" t="str">
        <f aca="false">IF(AND(G407&lt;&gt;"",H407&lt;&gt;""),G407*H407,"")</f>
        <v/>
      </c>
      <c r="K407" s="28"/>
      <c r="L407" s="32"/>
      <c r="M407" s="32"/>
      <c r="N407" s="31" t="n">
        <f aca="false">IF(OR(G407="",M407=""),0,IF(M407&gt;100,M407,G407*IF(M407&gt;1,M407/100,M407)))</f>
        <v>0</v>
      </c>
      <c r="O407" s="31" t="str">
        <f aca="false">IF(G407="","",G407*IF(L407="",0,IF(L407&gt;1,L407/100,L407))+N407)</f>
        <v/>
      </c>
      <c r="P407" s="28"/>
      <c r="Q407" s="33" t="str">
        <f aca="false">IF(P407="","",IFERROR(VLOOKUP(P407,PARTNERS!$A$2:$B$30,2,0),""))</f>
        <v/>
      </c>
      <c r="R407" s="17" t="str">
        <f aca="false">IF(O407="","",IF(OR(P407="",Q407=""),0,(O407-N407)*IF(Q407&gt;1,Q407/100,Q407)))</f>
        <v/>
      </c>
      <c r="S407" s="31" t="str">
        <f aca="false">IF(O407="","",O407-R407)</f>
        <v/>
      </c>
      <c r="T407" s="28"/>
      <c r="U407" s="34" t="str">
        <f aca="false">IF(T407="","",IFERROR(VLOOKUP(T407,REPS!$A$2:$D$40,2,0),""))</f>
        <v/>
      </c>
      <c r="V407" s="31" t="str">
        <f aca="false">IF(O407="","",IF(U407="",0,O407*IF(U407&gt;1,U407/100,U407)))</f>
        <v/>
      </c>
      <c r="W407" s="28"/>
      <c r="X407" s="34" t="str">
        <f aca="false">IF(W407="","",IFERROR(VLOOKUP(W407,REPS!$A$2:$D$40,3,0),""))</f>
        <v/>
      </c>
      <c r="Y407" s="31" t="str">
        <f aca="false">IF(O407="","",IF(X407="",0,O407*IF(X407&gt;1,X407/100,X407)))</f>
        <v/>
      </c>
      <c r="Z407" s="28"/>
      <c r="AA407" s="34" t="str">
        <f aca="false">IF(Z407="","",IFERROR(VLOOKUP(Z407,REPS!$A$2:$D$40,4,0),""))</f>
        <v/>
      </c>
      <c r="AB407" s="31" t="str">
        <f aca="false">IF(O407="","",IF(AA407="",0,O407*IF(AA407&gt;1,AA407/100,AA407)))</f>
        <v/>
      </c>
      <c r="AC407" s="31" t="str">
        <f aca="false">IF(O407="","",V407+Y407+AB407)</f>
        <v/>
      </c>
      <c r="AD407" s="19" t="str">
        <f aca="false">IF(O407="","",O407-R407-AC407)</f>
        <v/>
      </c>
      <c r="AE407" s="20"/>
      <c r="AF407" s="27"/>
      <c r="AG407" s="21" t="n">
        <f aca="false">IF(OR(AE407="",AE407=0),0,AE407*IF(U407="",0,IF(U407&gt;1,U407/100,U407)))</f>
        <v>0</v>
      </c>
      <c r="AH407" s="21" t="n">
        <f aca="false">IF(OR(AE407="",AE407=0),0,AE407*IF(X407="",0,IF(X407&gt;1,X407/100,X407)))</f>
        <v>0</v>
      </c>
      <c r="AI407" s="21" t="n">
        <f aca="false">IF(OR(AE407="",AE407=0),0,AE407*IF(AA407="",0,IF(AA407&gt;1,AA407/100,AA407)))</f>
        <v>0</v>
      </c>
      <c r="AJ407" s="21" t="n">
        <f aca="false">AG407+AH407+AI407</f>
        <v>0</v>
      </c>
      <c r="AK407" s="21" t="n">
        <f aca="false">IF(OR(AE407="",AE407=0),0,AE407-AJ407)</f>
        <v>0</v>
      </c>
      <c r="AL407" s="19" t="str">
        <f aca="false">IF(AD407="","",AD407-AK407)</f>
        <v/>
      </c>
      <c r="AM407" s="26" t="str">
        <f aca="false">IF(C407="","","Waiting for payment")</f>
        <v/>
      </c>
      <c r="AN407" s="27"/>
      <c r="AO407" s="27"/>
      <c r="AP407" s="35" t="str">
        <f aca="false">IF(OR(C407="",I407="",K407=""),"",IF(K407="Monthly",EDATE(C407,ROUND(I407*SETTINGS!$I$8,0)),WORKDAY(C407,ROUND(I407*SETTINGS!$I$8,0))))</f>
        <v/>
      </c>
      <c r="AQ407" s="26" t="str">
        <f aca="true">IF(C407="","",IF(AND(AP407&lt;&gt;"",TODAY()&gt;=AP407),"Refi Ready",IF(TODAY()-C407&gt;=SETTINGS!$I$11,"Prospecting","Performing")))</f>
        <v/>
      </c>
      <c r="AR407" s="35" t="str">
        <f aca="false">IF(OR(C407="",I407="",K407=""),"",IF(K407="Monthly",EDATE(C407,I407),WORKDAY(C407,I407)))</f>
        <v/>
      </c>
      <c r="AS407" s="28"/>
      <c r="AT407" s="36" t="str">
        <f aca="true">IF(C407="","",IF(AM407="Clawed Back","CLAWED",IF(TODAY()&lt;=C407+SETTINGS!$I$2,"⚠ AT RISK","SAFE")))</f>
        <v/>
      </c>
      <c r="AU407" s="28"/>
      <c r="AW407" s="24" t="n">
        <f aca="false">AW406+IF(AND(C407&lt;&gt;"",AO407&lt;&gt;"",OR('REP COMMISSION'!$B$3="",T407='REP COMMISSION'!$B$3,W407='REP COMMISSION'!$B$3,Z407='REP COMMISSION'!$B$3)),1,0)</f>
        <v>0</v>
      </c>
      <c r="AX407" s="24" t="n">
        <f aca="false">AX406+IF(AND(C407&lt;&gt;"",OR(F407="LOC - INITIAL",F407="CONSOLIDATION - UPFRONT COMM",F407="REVERSE - TOTAL FUNDING")),1,0)</f>
        <v>0</v>
      </c>
    </row>
    <row r="408" customFormat="false" ht="15" hidden="false" customHeight="false" outlineLevel="0" collapsed="false">
      <c r="A408" s="8" t="str">
        <f aca="false">IF(C408&lt;&gt;"","F27-"&amp;COUNT($C$4:C408),"")</f>
        <v/>
      </c>
      <c r="B408" s="9" t="str">
        <f aca="false">IF(OR(F408="LOC - INITIAL",F408="CONSOLIDATION - UPFRONT COMM",F408="REVERSE - TOTAL FUNDING"),A408,"")</f>
        <v/>
      </c>
      <c r="C408" s="10"/>
      <c r="D408" s="11"/>
      <c r="E408" s="11"/>
      <c r="F408" s="11"/>
      <c r="G408" s="12"/>
      <c r="H408" s="13"/>
      <c r="I408" s="11"/>
      <c r="J408" s="14" t="str">
        <f aca="false">IF(AND(G408&lt;&gt;"",H408&lt;&gt;""),G408*H408,"")</f>
        <v/>
      </c>
      <c r="K408" s="11"/>
      <c r="L408" s="15"/>
      <c r="M408" s="15"/>
      <c r="N408" s="14" t="n">
        <f aca="false">IF(OR(G408="",M408=""),0,IF(M408&gt;100,M408,G408*IF(M408&gt;1,M408/100,M408)))</f>
        <v>0</v>
      </c>
      <c r="O408" s="14" t="str">
        <f aca="false">IF(G408="","",G408*IF(L408="",0,IF(L408&gt;1,L408/100,L408))+N408)</f>
        <v/>
      </c>
      <c r="P408" s="11"/>
      <c r="Q408" s="16" t="str">
        <f aca="false">IF(P408="","",IFERROR(VLOOKUP(P408,PARTNERS!$A$2:$B$30,2,0),""))</f>
        <v/>
      </c>
      <c r="R408" s="17" t="str">
        <f aca="false">IF(O408="","",IF(OR(P408="",Q408=""),0,(O408-N408)*IF(Q408&gt;1,Q408/100,Q408)))</f>
        <v/>
      </c>
      <c r="S408" s="14" t="str">
        <f aca="false">IF(O408="","",O408-R408)</f>
        <v/>
      </c>
      <c r="T408" s="11"/>
      <c r="U408" s="18" t="str">
        <f aca="false">IF(T408="","",IFERROR(VLOOKUP(T408,REPS!$A$2:$D$40,2,0),""))</f>
        <v/>
      </c>
      <c r="V408" s="14" t="str">
        <f aca="false">IF(O408="","",IF(U408="",0,O408*IF(U408&gt;1,U408/100,U408)))</f>
        <v/>
      </c>
      <c r="W408" s="11"/>
      <c r="X408" s="18" t="str">
        <f aca="false">IF(W408="","",IFERROR(VLOOKUP(W408,REPS!$A$2:$D$40,3,0),""))</f>
        <v/>
      </c>
      <c r="Y408" s="14" t="str">
        <f aca="false">IF(O408="","",IF(X408="",0,O408*IF(X408&gt;1,X408/100,X408)))</f>
        <v/>
      </c>
      <c r="Z408" s="11"/>
      <c r="AA408" s="18" t="str">
        <f aca="false">IF(Z408="","",IFERROR(VLOOKUP(Z408,REPS!$A$2:$D$40,4,0),""))</f>
        <v/>
      </c>
      <c r="AB408" s="14" t="str">
        <f aca="false">IF(O408="","",IF(AA408="",0,O408*IF(AA408&gt;1,AA408/100,AA408)))</f>
        <v/>
      </c>
      <c r="AC408" s="14" t="str">
        <f aca="false">IF(O408="","",V408+Y408+AB408)</f>
        <v/>
      </c>
      <c r="AD408" s="19" t="str">
        <f aca="false">IF(O408="","",O408-R408-AC408)</f>
        <v/>
      </c>
      <c r="AE408" s="20"/>
      <c r="AF408" s="10"/>
      <c r="AG408" s="21" t="n">
        <f aca="false">IF(OR(AE408="",AE408=0),0,AE408*IF(U408="",0,IF(U408&gt;1,U408/100,U408)))</f>
        <v>0</v>
      </c>
      <c r="AH408" s="21" t="n">
        <f aca="false">IF(OR(AE408="",AE408=0),0,AE408*IF(X408="",0,IF(X408&gt;1,X408/100,X408)))</f>
        <v>0</v>
      </c>
      <c r="AI408" s="21" t="n">
        <f aca="false">IF(OR(AE408="",AE408=0),0,AE408*IF(AA408="",0,IF(AA408&gt;1,AA408/100,AA408)))</f>
        <v>0</v>
      </c>
      <c r="AJ408" s="21" t="n">
        <f aca="false">AG408+AH408+AI408</f>
        <v>0</v>
      </c>
      <c r="AK408" s="21" t="n">
        <f aca="false">IF(OR(AE408="",AE408=0),0,AE408-AJ408)</f>
        <v>0</v>
      </c>
      <c r="AL408" s="19" t="str">
        <f aca="false">IF(AD408="","",AD408-AK408)</f>
        <v/>
      </c>
      <c r="AM408" s="9" t="str">
        <f aca="false">IF(C408="","","Waiting for payment")</f>
        <v/>
      </c>
      <c r="AN408" s="10"/>
      <c r="AO408" s="10"/>
      <c r="AP408" s="22" t="str">
        <f aca="false">IF(OR(C408="",I408="",K408=""),"",IF(K408="Monthly",EDATE(C408,ROUND(I408*SETTINGS!$I$8,0)),WORKDAY(C408,ROUND(I408*SETTINGS!$I$8,0))))</f>
        <v/>
      </c>
      <c r="AQ408" s="9" t="str">
        <f aca="true">IF(C408="","",IF(AND(AP408&lt;&gt;"",TODAY()&gt;=AP408),"Refi Ready",IF(TODAY()-C408&gt;=SETTINGS!$I$11,"Prospecting","Performing")))</f>
        <v/>
      </c>
      <c r="AR408" s="22" t="str">
        <f aca="false">IF(OR(C408="",I408="",K408=""),"",IF(K408="Monthly",EDATE(C408,I408),WORKDAY(C408,I408)))</f>
        <v/>
      </c>
      <c r="AS408" s="11"/>
      <c r="AT408" s="23" t="str">
        <f aca="true">IF(C408="","",IF(AM408="Clawed Back","CLAWED",IF(TODAY()&lt;=C408+SETTINGS!$I$2,"⚠ AT RISK","SAFE")))</f>
        <v/>
      </c>
      <c r="AU408" s="11"/>
      <c r="AW408" s="24" t="n">
        <f aca="false">AW407+IF(AND(C408&lt;&gt;"",AO408&lt;&gt;"",OR('REP COMMISSION'!$B$3="",T408='REP COMMISSION'!$B$3,W408='REP COMMISSION'!$B$3,Z408='REP COMMISSION'!$B$3)),1,0)</f>
        <v>0</v>
      </c>
      <c r="AX408" s="24" t="n">
        <f aca="false">AX407+IF(AND(C408&lt;&gt;"",OR(F408="LOC - INITIAL",F408="CONSOLIDATION - UPFRONT COMM",F408="REVERSE - TOTAL FUNDING")),1,0)</f>
        <v>0</v>
      </c>
    </row>
    <row r="409" customFormat="false" ht="15" hidden="false" customHeight="false" outlineLevel="0" collapsed="false">
      <c r="A409" s="25" t="str">
        <f aca="false">IF(C409&lt;&gt;"","F27-"&amp;COUNT($C$4:C409),"")</f>
        <v/>
      </c>
      <c r="B409" s="26" t="str">
        <f aca="false">IF(OR(F409="LOC - INITIAL",F409="CONSOLIDATION - UPFRONT COMM",F409="REVERSE - TOTAL FUNDING"),A409,"")</f>
        <v/>
      </c>
      <c r="C409" s="27"/>
      <c r="D409" s="28"/>
      <c r="E409" s="28"/>
      <c r="F409" s="28"/>
      <c r="G409" s="29"/>
      <c r="H409" s="30"/>
      <c r="I409" s="28"/>
      <c r="J409" s="31" t="str">
        <f aca="false">IF(AND(G409&lt;&gt;"",H409&lt;&gt;""),G409*H409,"")</f>
        <v/>
      </c>
      <c r="K409" s="28"/>
      <c r="L409" s="32"/>
      <c r="M409" s="32"/>
      <c r="N409" s="31" t="n">
        <f aca="false">IF(OR(G409="",M409=""),0,IF(M409&gt;100,M409,G409*IF(M409&gt;1,M409/100,M409)))</f>
        <v>0</v>
      </c>
      <c r="O409" s="31" t="str">
        <f aca="false">IF(G409="","",G409*IF(L409="",0,IF(L409&gt;1,L409/100,L409))+N409)</f>
        <v/>
      </c>
      <c r="P409" s="28"/>
      <c r="Q409" s="33" t="str">
        <f aca="false">IF(P409="","",IFERROR(VLOOKUP(P409,PARTNERS!$A$2:$B$30,2,0),""))</f>
        <v/>
      </c>
      <c r="R409" s="17" t="str">
        <f aca="false">IF(O409="","",IF(OR(P409="",Q409=""),0,(O409-N409)*IF(Q409&gt;1,Q409/100,Q409)))</f>
        <v/>
      </c>
      <c r="S409" s="31" t="str">
        <f aca="false">IF(O409="","",O409-R409)</f>
        <v/>
      </c>
      <c r="T409" s="28"/>
      <c r="U409" s="34" t="str">
        <f aca="false">IF(T409="","",IFERROR(VLOOKUP(T409,REPS!$A$2:$D$40,2,0),""))</f>
        <v/>
      </c>
      <c r="V409" s="31" t="str">
        <f aca="false">IF(O409="","",IF(U409="",0,O409*IF(U409&gt;1,U409/100,U409)))</f>
        <v/>
      </c>
      <c r="W409" s="28"/>
      <c r="X409" s="34" t="str">
        <f aca="false">IF(W409="","",IFERROR(VLOOKUP(W409,REPS!$A$2:$D$40,3,0),""))</f>
        <v/>
      </c>
      <c r="Y409" s="31" t="str">
        <f aca="false">IF(O409="","",IF(X409="",0,O409*IF(X409&gt;1,X409/100,X409)))</f>
        <v/>
      </c>
      <c r="Z409" s="28"/>
      <c r="AA409" s="34" t="str">
        <f aca="false">IF(Z409="","",IFERROR(VLOOKUP(Z409,REPS!$A$2:$D$40,4,0),""))</f>
        <v/>
      </c>
      <c r="AB409" s="31" t="str">
        <f aca="false">IF(O409="","",IF(AA409="",0,O409*IF(AA409&gt;1,AA409/100,AA409)))</f>
        <v/>
      </c>
      <c r="AC409" s="31" t="str">
        <f aca="false">IF(O409="","",V409+Y409+AB409)</f>
        <v/>
      </c>
      <c r="AD409" s="19" t="str">
        <f aca="false">IF(O409="","",O409-R409-AC409)</f>
        <v/>
      </c>
      <c r="AE409" s="20"/>
      <c r="AF409" s="27"/>
      <c r="AG409" s="21" t="n">
        <f aca="false">IF(OR(AE409="",AE409=0),0,AE409*IF(U409="",0,IF(U409&gt;1,U409/100,U409)))</f>
        <v>0</v>
      </c>
      <c r="AH409" s="21" t="n">
        <f aca="false">IF(OR(AE409="",AE409=0),0,AE409*IF(X409="",0,IF(X409&gt;1,X409/100,X409)))</f>
        <v>0</v>
      </c>
      <c r="AI409" s="21" t="n">
        <f aca="false">IF(OR(AE409="",AE409=0),0,AE409*IF(AA409="",0,IF(AA409&gt;1,AA409/100,AA409)))</f>
        <v>0</v>
      </c>
      <c r="AJ409" s="21" t="n">
        <f aca="false">AG409+AH409+AI409</f>
        <v>0</v>
      </c>
      <c r="AK409" s="21" t="n">
        <f aca="false">IF(OR(AE409="",AE409=0),0,AE409-AJ409)</f>
        <v>0</v>
      </c>
      <c r="AL409" s="19" t="str">
        <f aca="false">IF(AD409="","",AD409-AK409)</f>
        <v/>
      </c>
      <c r="AM409" s="26" t="str">
        <f aca="false">IF(C409="","","Waiting for payment")</f>
        <v/>
      </c>
      <c r="AN409" s="27"/>
      <c r="AO409" s="27"/>
      <c r="AP409" s="35" t="str">
        <f aca="false">IF(OR(C409="",I409="",K409=""),"",IF(K409="Monthly",EDATE(C409,ROUND(I409*SETTINGS!$I$8,0)),WORKDAY(C409,ROUND(I409*SETTINGS!$I$8,0))))</f>
        <v/>
      </c>
      <c r="AQ409" s="26" t="str">
        <f aca="true">IF(C409="","",IF(AND(AP409&lt;&gt;"",TODAY()&gt;=AP409),"Refi Ready",IF(TODAY()-C409&gt;=SETTINGS!$I$11,"Prospecting","Performing")))</f>
        <v/>
      </c>
      <c r="AR409" s="35" t="str">
        <f aca="false">IF(OR(C409="",I409="",K409=""),"",IF(K409="Monthly",EDATE(C409,I409),WORKDAY(C409,I409)))</f>
        <v/>
      </c>
      <c r="AS409" s="28"/>
      <c r="AT409" s="36" t="str">
        <f aca="true">IF(C409="","",IF(AM409="Clawed Back","CLAWED",IF(TODAY()&lt;=C409+SETTINGS!$I$2,"⚠ AT RISK","SAFE")))</f>
        <v/>
      </c>
      <c r="AU409" s="28"/>
      <c r="AW409" s="24" t="n">
        <f aca="false">AW408+IF(AND(C409&lt;&gt;"",AO409&lt;&gt;"",OR('REP COMMISSION'!$B$3="",T409='REP COMMISSION'!$B$3,W409='REP COMMISSION'!$B$3,Z409='REP COMMISSION'!$B$3)),1,0)</f>
        <v>0</v>
      </c>
      <c r="AX409" s="24" t="n">
        <f aca="false">AX408+IF(AND(C409&lt;&gt;"",OR(F409="LOC - INITIAL",F409="CONSOLIDATION - UPFRONT COMM",F409="REVERSE - TOTAL FUNDING")),1,0)</f>
        <v>0</v>
      </c>
    </row>
    <row r="410" customFormat="false" ht="18" hidden="false" customHeight="true" outlineLevel="0" collapsed="false">
      <c r="A410" s="37" t="s">
        <v>49</v>
      </c>
      <c r="B410" s="38"/>
      <c r="C410" s="38"/>
      <c r="D410" s="37" t="str">
        <f aca="false">COUNT(C310:C409)&amp;" units"</f>
        <v>0 units</v>
      </c>
      <c r="E410" s="38"/>
      <c r="F410" s="38"/>
      <c r="G410" s="39" t="n">
        <f aca="false">SUM(G310:G409)</f>
        <v>0</v>
      </c>
      <c r="H410" s="38"/>
      <c r="I410" s="38"/>
      <c r="J410" s="38"/>
      <c r="K410" s="38"/>
      <c r="L410" s="38"/>
      <c r="M410" s="38"/>
      <c r="N410" s="39" t="n">
        <f aca="false">SUM(N310:N409)</f>
        <v>0</v>
      </c>
      <c r="O410" s="39" t="n">
        <f aca="false">SUM(O310:O409)</f>
        <v>0</v>
      </c>
      <c r="P410" s="38"/>
      <c r="Q410" s="38"/>
      <c r="R410" s="39" t="n">
        <f aca="false">SUM(R310:R409)</f>
        <v>0</v>
      </c>
      <c r="S410" s="39" t="n">
        <f aca="false">SUM(S310:S409)</f>
        <v>0</v>
      </c>
      <c r="T410" s="38"/>
      <c r="U410" s="38"/>
      <c r="V410" s="38"/>
      <c r="W410" s="38"/>
      <c r="X410" s="38"/>
      <c r="Y410" s="38"/>
      <c r="Z410" s="38"/>
      <c r="AA410" s="38"/>
      <c r="AB410" s="38"/>
      <c r="AC410" s="39" t="n">
        <f aca="false">SUM(AC310:AC409)</f>
        <v>0</v>
      </c>
      <c r="AD410" s="39" t="n">
        <f aca="false">SUM(AD310:AD409)</f>
        <v>0</v>
      </c>
      <c r="AE410" s="39" t="n">
        <f aca="false">SUM(AE310:AE409)</f>
        <v>0</v>
      </c>
      <c r="AF410" s="38"/>
      <c r="AG410" s="38"/>
      <c r="AH410" s="38"/>
      <c r="AI410" s="38"/>
      <c r="AJ410" s="39" t="n">
        <f aca="false">SUM(AJ310:AJ409)</f>
        <v>0</v>
      </c>
      <c r="AK410" s="39" t="n">
        <f aca="false">SUM(AK310:AK409)</f>
        <v>0</v>
      </c>
      <c r="AL410" s="39" t="n">
        <f aca="false">SUM(AL310:AL409)</f>
        <v>0</v>
      </c>
      <c r="AM410" s="38"/>
      <c r="AN410" s="38"/>
      <c r="AO410" s="38"/>
      <c r="AP410" s="38"/>
      <c r="AQ410" s="38"/>
      <c r="AR410" s="38"/>
      <c r="AS410" s="38"/>
      <c r="AT410" s="38"/>
      <c r="AU410" s="38"/>
      <c r="AW410" s="24" t="n">
        <f aca="false">AW409</f>
        <v>0</v>
      </c>
      <c r="AX410" s="24" t="n">
        <f aca="false">AX409</f>
        <v>0</v>
      </c>
    </row>
    <row r="411" customFormat="false" ht="19.5" hidden="false" customHeight="true" outlineLevel="0" collapsed="false">
      <c r="A411" s="6" t="s">
        <v>74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W411" s="24" t="n">
        <f aca="false">AW410</f>
        <v>0</v>
      </c>
      <c r="AX411" s="24" t="n">
        <f aca="false">AX410</f>
        <v>0</v>
      </c>
    </row>
    <row r="412" customFormat="false" ht="15" hidden="false" customHeight="false" outlineLevel="0" collapsed="false">
      <c r="A412" s="8" t="str">
        <f aca="false">IF(C412&lt;&gt;"","F27-"&amp;COUNT($C$4:C412),"")</f>
        <v/>
      </c>
      <c r="B412" s="9" t="str">
        <f aca="false">IF(OR(F412="LOC - INITIAL",F412="CONSOLIDATION - UPFRONT COMM",F412="REVERSE - TOTAL FUNDING"),A412,"")</f>
        <v/>
      </c>
      <c r="C412" s="10"/>
      <c r="D412" s="11"/>
      <c r="E412" s="11"/>
      <c r="F412" s="11"/>
      <c r="G412" s="12"/>
      <c r="H412" s="13"/>
      <c r="I412" s="11"/>
      <c r="J412" s="14" t="str">
        <f aca="false">IF(AND(G412&lt;&gt;"",H412&lt;&gt;""),G412*H412,"")</f>
        <v/>
      </c>
      <c r="K412" s="11"/>
      <c r="L412" s="15"/>
      <c r="M412" s="15"/>
      <c r="N412" s="14" t="n">
        <f aca="false">IF(OR(G412="",M412=""),0,IF(M412&gt;100,M412,G412*IF(M412&gt;1,M412/100,M412)))</f>
        <v>0</v>
      </c>
      <c r="O412" s="14" t="str">
        <f aca="false">IF(G412="","",G412*IF(L412="",0,IF(L412&gt;1,L412/100,L412))+N412)</f>
        <v/>
      </c>
      <c r="P412" s="11"/>
      <c r="Q412" s="16" t="str">
        <f aca="false">IF(P412="","",IFERROR(VLOOKUP(P412,PARTNERS!$A$2:$B$30,2,0),""))</f>
        <v/>
      </c>
      <c r="R412" s="17" t="str">
        <f aca="false">IF(O412="","",IF(OR(P412="",Q412=""),0,(O412-N412)*IF(Q412&gt;1,Q412/100,Q412)))</f>
        <v/>
      </c>
      <c r="S412" s="14" t="str">
        <f aca="false">IF(O412="","",O412-R412)</f>
        <v/>
      </c>
      <c r="T412" s="11"/>
      <c r="U412" s="18" t="str">
        <f aca="false">IF(T412="","",IFERROR(VLOOKUP(T412,REPS!$A$2:$D$40,2,0),""))</f>
        <v/>
      </c>
      <c r="V412" s="14" t="str">
        <f aca="false">IF(O412="","",IF(U412="",0,O412*IF(U412&gt;1,U412/100,U412)))</f>
        <v/>
      </c>
      <c r="W412" s="11"/>
      <c r="X412" s="18" t="str">
        <f aca="false">IF(W412="","",IFERROR(VLOOKUP(W412,REPS!$A$2:$D$40,3,0),""))</f>
        <v/>
      </c>
      <c r="Y412" s="14" t="str">
        <f aca="false">IF(O412="","",IF(X412="",0,O412*IF(X412&gt;1,X412/100,X412)))</f>
        <v/>
      </c>
      <c r="Z412" s="11"/>
      <c r="AA412" s="18" t="str">
        <f aca="false">IF(Z412="","",IFERROR(VLOOKUP(Z412,REPS!$A$2:$D$40,4,0),""))</f>
        <v/>
      </c>
      <c r="AB412" s="14" t="str">
        <f aca="false">IF(O412="","",IF(AA412="",0,O412*IF(AA412&gt;1,AA412/100,AA412)))</f>
        <v/>
      </c>
      <c r="AC412" s="14" t="str">
        <f aca="false">IF(O412="","",V412+Y412+AB412)</f>
        <v/>
      </c>
      <c r="AD412" s="19" t="str">
        <f aca="false">IF(O412="","",O412-R412-AC412)</f>
        <v/>
      </c>
      <c r="AE412" s="20"/>
      <c r="AF412" s="10"/>
      <c r="AG412" s="21" t="n">
        <f aca="false">IF(OR(AE412="",AE412=0),0,AE412*IF(U412="",0,IF(U412&gt;1,U412/100,U412)))</f>
        <v>0</v>
      </c>
      <c r="AH412" s="21" t="n">
        <f aca="false">IF(OR(AE412="",AE412=0),0,AE412*IF(X412="",0,IF(X412&gt;1,X412/100,X412)))</f>
        <v>0</v>
      </c>
      <c r="AI412" s="21" t="n">
        <f aca="false">IF(OR(AE412="",AE412=0),0,AE412*IF(AA412="",0,IF(AA412&gt;1,AA412/100,AA412)))</f>
        <v>0</v>
      </c>
      <c r="AJ412" s="21" t="n">
        <f aca="false">AG412+AH412+AI412</f>
        <v>0</v>
      </c>
      <c r="AK412" s="21" t="n">
        <f aca="false">IF(OR(AE412="",AE412=0),0,AE412-AJ412)</f>
        <v>0</v>
      </c>
      <c r="AL412" s="19" t="str">
        <f aca="false">IF(AD412="","",AD412-AK412)</f>
        <v/>
      </c>
      <c r="AM412" s="9" t="str">
        <f aca="false">IF(C412="","","Waiting for payment")</f>
        <v/>
      </c>
      <c r="AN412" s="10"/>
      <c r="AO412" s="10"/>
      <c r="AP412" s="22" t="str">
        <f aca="false">IF(OR(C412="",I412="",K412=""),"",IF(K412="Monthly",EDATE(C412,ROUND(I412*SETTINGS!$I$8,0)),WORKDAY(C412,ROUND(I412*SETTINGS!$I$8,0))))</f>
        <v/>
      </c>
      <c r="AQ412" s="9" t="str">
        <f aca="true">IF(C412="","",IF(AND(AP412&lt;&gt;"",TODAY()&gt;=AP412),"Refi Ready",IF(TODAY()-C412&gt;=SETTINGS!$I$11,"Prospecting","Performing")))</f>
        <v/>
      </c>
      <c r="AR412" s="22" t="str">
        <f aca="false">IF(OR(C412="",I412="",K412=""),"",IF(K412="Monthly",EDATE(C412,I412),WORKDAY(C412,I412)))</f>
        <v/>
      </c>
      <c r="AS412" s="11"/>
      <c r="AT412" s="23" t="str">
        <f aca="true">IF(C412="","",IF(AM412="Clawed Back","CLAWED",IF(TODAY()&lt;=C412+SETTINGS!$I$2,"⚠ AT RISK","SAFE")))</f>
        <v/>
      </c>
      <c r="AU412" s="11"/>
      <c r="AW412" s="24" t="n">
        <f aca="false">AW411+IF(AND(C412&lt;&gt;"",AO412&lt;&gt;"",OR('REP COMMISSION'!$B$3="",T412='REP COMMISSION'!$B$3,W412='REP COMMISSION'!$B$3,Z412='REP COMMISSION'!$B$3)),1,0)</f>
        <v>0</v>
      </c>
      <c r="AX412" s="24" t="n">
        <f aca="false">AX411+IF(AND(C412&lt;&gt;"",OR(F412="LOC - INITIAL",F412="CONSOLIDATION - UPFRONT COMM",F412="REVERSE - TOTAL FUNDING")),1,0)</f>
        <v>0</v>
      </c>
    </row>
    <row r="413" customFormat="false" ht="15" hidden="false" customHeight="false" outlineLevel="0" collapsed="false">
      <c r="A413" s="25" t="str">
        <f aca="false">IF(C413&lt;&gt;"","F27-"&amp;COUNT($C$4:C413),"")</f>
        <v/>
      </c>
      <c r="B413" s="26" t="str">
        <f aca="false">IF(OR(F413="LOC - INITIAL",F413="CONSOLIDATION - UPFRONT COMM",F413="REVERSE - TOTAL FUNDING"),A413,"")</f>
        <v/>
      </c>
      <c r="C413" s="27"/>
      <c r="D413" s="28"/>
      <c r="E413" s="28"/>
      <c r="F413" s="28"/>
      <c r="G413" s="29"/>
      <c r="H413" s="30"/>
      <c r="I413" s="28"/>
      <c r="J413" s="31" t="str">
        <f aca="false">IF(AND(G413&lt;&gt;"",H413&lt;&gt;""),G413*H413,"")</f>
        <v/>
      </c>
      <c r="K413" s="28"/>
      <c r="L413" s="32"/>
      <c r="M413" s="32"/>
      <c r="N413" s="31" t="n">
        <f aca="false">IF(OR(G413="",M413=""),0,IF(M413&gt;100,M413,G413*IF(M413&gt;1,M413/100,M413)))</f>
        <v>0</v>
      </c>
      <c r="O413" s="31" t="str">
        <f aca="false">IF(G413="","",G413*IF(L413="",0,IF(L413&gt;1,L413/100,L413))+N413)</f>
        <v/>
      </c>
      <c r="P413" s="28"/>
      <c r="Q413" s="33" t="str">
        <f aca="false">IF(P413="","",IFERROR(VLOOKUP(P413,PARTNERS!$A$2:$B$30,2,0),""))</f>
        <v/>
      </c>
      <c r="R413" s="17" t="str">
        <f aca="false">IF(O413="","",IF(OR(P413="",Q413=""),0,(O413-N413)*IF(Q413&gt;1,Q413/100,Q413)))</f>
        <v/>
      </c>
      <c r="S413" s="31" t="str">
        <f aca="false">IF(O413="","",O413-R413)</f>
        <v/>
      </c>
      <c r="T413" s="28"/>
      <c r="U413" s="34" t="str">
        <f aca="false">IF(T413="","",IFERROR(VLOOKUP(T413,REPS!$A$2:$D$40,2,0),""))</f>
        <v/>
      </c>
      <c r="V413" s="31" t="str">
        <f aca="false">IF(O413="","",IF(U413="",0,O413*IF(U413&gt;1,U413/100,U413)))</f>
        <v/>
      </c>
      <c r="W413" s="28"/>
      <c r="X413" s="34" t="str">
        <f aca="false">IF(W413="","",IFERROR(VLOOKUP(W413,REPS!$A$2:$D$40,3,0),""))</f>
        <v/>
      </c>
      <c r="Y413" s="31" t="str">
        <f aca="false">IF(O413="","",IF(X413="",0,O413*IF(X413&gt;1,X413/100,X413)))</f>
        <v/>
      </c>
      <c r="Z413" s="28"/>
      <c r="AA413" s="34" t="str">
        <f aca="false">IF(Z413="","",IFERROR(VLOOKUP(Z413,REPS!$A$2:$D$40,4,0),""))</f>
        <v/>
      </c>
      <c r="AB413" s="31" t="str">
        <f aca="false">IF(O413="","",IF(AA413="",0,O413*IF(AA413&gt;1,AA413/100,AA413)))</f>
        <v/>
      </c>
      <c r="AC413" s="31" t="str">
        <f aca="false">IF(O413="","",V413+Y413+AB413)</f>
        <v/>
      </c>
      <c r="AD413" s="19" t="str">
        <f aca="false">IF(O413="","",O413-R413-AC413)</f>
        <v/>
      </c>
      <c r="AE413" s="20"/>
      <c r="AF413" s="27"/>
      <c r="AG413" s="21" t="n">
        <f aca="false">IF(OR(AE413="",AE413=0),0,AE413*IF(U413="",0,IF(U413&gt;1,U413/100,U413)))</f>
        <v>0</v>
      </c>
      <c r="AH413" s="21" t="n">
        <f aca="false">IF(OR(AE413="",AE413=0),0,AE413*IF(X413="",0,IF(X413&gt;1,X413/100,X413)))</f>
        <v>0</v>
      </c>
      <c r="AI413" s="21" t="n">
        <f aca="false">IF(OR(AE413="",AE413=0),0,AE413*IF(AA413="",0,IF(AA413&gt;1,AA413/100,AA413)))</f>
        <v>0</v>
      </c>
      <c r="AJ413" s="21" t="n">
        <f aca="false">AG413+AH413+AI413</f>
        <v>0</v>
      </c>
      <c r="AK413" s="21" t="n">
        <f aca="false">IF(OR(AE413="",AE413=0),0,AE413-AJ413)</f>
        <v>0</v>
      </c>
      <c r="AL413" s="19" t="str">
        <f aca="false">IF(AD413="","",AD413-AK413)</f>
        <v/>
      </c>
      <c r="AM413" s="26" t="str">
        <f aca="false">IF(C413="","","Waiting for payment")</f>
        <v/>
      </c>
      <c r="AN413" s="27"/>
      <c r="AO413" s="27"/>
      <c r="AP413" s="35" t="str">
        <f aca="false">IF(OR(C413="",I413="",K413=""),"",IF(K413="Monthly",EDATE(C413,ROUND(I413*SETTINGS!$I$8,0)),WORKDAY(C413,ROUND(I413*SETTINGS!$I$8,0))))</f>
        <v/>
      </c>
      <c r="AQ413" s="26" t="str">
        <f aca="true">IF(C413="","",IF(AND(AP413&lt;&gt;"",TODAY()&gt;=AP413),"Refi Ready",IF(TODAY()-C413&gt;=SETTINGS!$I$11,"Prospecting","Performing")))</f>
        <v/>
      </c>
      <c r="AR413" s="35" t="str">
        <f aca="false">IF(OR(C413="",I413="",K413=""),"",IF(K413="Monthly",EDATE(C413,I413),WORKDAY(C413,I413)))</f>
        <v/>
      </c>
      <c r="AS413" s="28"/>
      <c r="AT413" s="36" t="str">
        <f aca="true">IF(C413="","",IF(AM413="Clawed Back","CLAWED",IF(TODAY()&lt;=C413+SETTINGS!$I$2,"⚠ AT RISK","SAFE")))</f>
        <v/>
      </c>
      <c r="AU413" s="28"/>
      <c r="AW413" s="24" t="n">
        <f aca="false">AW412+IF(AND(C413&lt;&gt;"",AO413&lt;&gt;"",OR('REP COMMISSION'!$B$3="",T413='REP COMMISSION'!$B$3,W413='REP COMMISSION'!$B$3,Z413='REP COMMISSION'!$B$3)),1,0)</f>
        <v>0</v>
      </c>
      <c r="AX413" s="24" t="n">
        <f aca="false">AX412+IF(AND(C413&lt;&gt;"",OR(F413="LOC - INITIAL",F413="CONSOLIDATION - UPFRONT COMM",F413="REVERSE - TOTAL FUNDING")),1,0)</f>
        <v>0</v>
      </c>
    </row>
    <row r="414" customFormat="false" ht="15" hidden="false" customHeight="false" outlineLevel="0" collapsed="false">
      <c r="A414" s="8" t="str">
        <f aca="false">IF(C414&lt;&gt;"","F27-"&amp;COUNT($C$4:C414),"")</f>
        <v/>
      </c>
      <c r="B414" s="9" t="str">
        <f aca="false">IF(OR(F414="LOC - INITIAL",F414="CONSOLIDATION - UPFRONT COMM",F414="REVERSE - TOTAL FUNDING"),A414,"")</f>
        <v/>
      </c>
      <c r="C414" s="10"/>
      <c r="D414" s="11"/>
      <c r="E414" s="11"/>
      <c r="F414" s="11"/>
      <c r="G414" s="12"/>
      <c r="H414" s="13"/>
      <c r="I414" s="11"/>
      <c r="J414" s="14" t="str">
        <f aca="false">IF(AND(G414&lt;&gt;"",H414&lt;&gt;""),G414*H414,"")</f>
        <v/>
      </c>
      <c r="K414" s="11"/>
      <c r="L414" s="15"/>
      <c r="M414" s="15"/>
      <c r="N414" s="14" t="n">
        <f aca="false">IF(OR(G414="",M414=""),0,IF(M414&gt;100,M414,G414*IF(M414&gt;1,M414/100,M414)))</f>
        <v>0</v>
      </c>
      <c r="O414" s="14" t="str">
        <f aca="false">IF(G414="","",G414*IF(L414="",0,IF(L414&gt;1,L414/100,L414))+N414)</f>
        <v/>
      </c>
      <c r="P414" s="11"/>
      <c r="Q414" s="16" t="str">
        <f aca="false">IF(P414="","",IFERROR(VLOOKUP(P414,PARTNERS!$A$2:$B$30,2,0),""))</f>
        <v/>
      </c>
      <c r="R414" s="17" t="str">
        <f aca="false">IF(O414="","",IF(OR(P414="",Q414=""),0,(O414-N414)*IF(Q414&gt;1,Q414/100,Q414)))</f>
        <v/>
      </c>
      <c r="S414" s="14" t="str">
        <f aca="false">IF(O414="","",O414-R414)</f>
        <v/>
      </c>
      <c r="T414" s="11"/>
      <c r="U414" s="18" t="str">
        <f aca="false">IF(T414="","",IFERROR(VLOOKUP(T414,REPS!$A$2:$D$40,2,0),""))</f>
        <v/>
      </c>
      <c r="V414" s="14" t="str">
        <f aca="false">IF(O414="","",IF(U414="",0,O414*IF(U414&gt;1,U414/100,U414)))</f>
        <v/>
      </c>
      <c r="W414" s="11"/>
      <c r="X414" s="18" t="str">
        <f aca="false">IF(W414="","",IFERROR(VLOOKUP(W414,REPS!$A$2:$D$40,3,0),""))</f>
        <v/>
      </c>
      <c r="Y414" s="14" t="str">
        <f aca="false">IF(O414="","",IF(X414="",0,O414*IF(X414&gt;1,X414/100,X414)))</f>
        <v/>
      </c>
      <c r="Z414" s="11"/>
      <c r="AA414" s="18" t="str">
        <f aca="false">IF(Z414="","",IFERROR(VLOOKUP(Z414,REPS!$A$2:$D$40,4,0),""))</f>
        <v/>
      </c>
      <c r="AB414" s="14" t="str">
        <f aca="false">IF(O414="","",IF(AA414="",0,O414*IF(AA414&gt;1,AA414/100,AA414)))</f>
        <v/>
      </c>
      <c r="AC414" s="14" t="str">
        <f aca="false">IF(O414="","",V414+Y414+AB414)</f>
        <v/>
      </c>
      <c r="AD414" s="19" t="str">
        <f aca="false">IF(O414="","",O414-R414-AC414)</f>
        <v/>
      </c>
      <c r="AE414" s="20"/>
      <c r="AF414" s="10"/>
      <c r="AG414" s="21" t="n">
        <f aca="false">IF(OR(AE414="",AE414=0),0,AE414*IF(U414="",0,IF(U414&gt;1,U414/100,U414)))</f>
        <v>0</v>
      </c>
      <c r="AH414" s="21" t="n">
        <f aca="false">IF(OR(AE414="",AE414=0),0,AE414*IF(X414="",0,IF(X414&gt;1,X414/100,X414)))</f>
        <v>0</v>
      </c>
      <c r="AI414" s="21" t="n">
        <f aca="false">IF(OR(AE414="",AE414=0),0,AE414*IF(AA414="",0,IF(AA414&gt;1,AA414/100,AA414)))</f>
        <v>0</v>
      </c>
      <c r="AJ414" s="21" t="n">
        <f aca="false">AG414+AH414+AI414</f>
        <v>0</v>
      </c>
      <c r="AK414" s="21" t="n">
        <f aca="false">IF(OR(AE414="",AE414=0),0,AE414-AJ414)</f>
        <v>0</v>
      </c>
      <c r="AL414" s="19" t="str">
        <f aca="false">IF(AD414="","",AD414-AK414)</f>
        <v/>
      </c>
      <c r="AM414" s="9" t="str">
        <f aca="false">IF(C414="","","Waiting for payment")</f>
        <v/>
      </c>
      <c r="AN414" s="10"/>
      <c r="AO414" s="10"/>
      <c r="AP414" s="22" t="str">
        <f aca="false">IF(OR(C414="",I414="",K414=""),"",IF(K414="Monthly",EDATE(C414,ROUND(I414*SETTINGS!$I$8,0)),WORKDAY(C414,ROUND(I414*SETTINGS!$I$8,0))))</f>
        <v/>
      </c>
      <c r="AQ414" s="9" t="str">
        <f aca="true">IF(C414="","",IF(AND(AP414&lt;&gt;"",TODAY()&gt;=AP414),"Refi Ready",IF(TODAY()-C414&gt;=SETTINGS!$I$11,"Prospecting","Performing")))</f>
        <v/>
      </c>
      <c r="AR414" s="22" t="str">
        <f aca="false">IF(OR(C414="",I414="",K414=""),"",IF(K414="Monthly",EDATE(C414,I414),WORKDAY(C414,I414)))</f>
        <v/>
      </c>
      <c r="AS414" s="11"/>
      <c r="AT414" s="23" t="str">
        <f aca="true">IF(C414="","",IF(AM414="Clawed Back","CLAWED",IF(TODAY()&lt;=C414+SETTINGS!$I$2,"⚠ AT RISK","SAFE")))</f>
        <v/>
      </c>
      <c r="AU414" s="11"/>
      <c r="AW414" s="24" t="n">
        <f aca="false">AW413+IF(AND(C414&lt;&gt;"",AO414&lt;&gt;"",OR('REP COMMISSION'!$B$3="",T414='REP COMMISSION'!$B$3,W414='REP COMMISSION'!$B$3,Z414='REP COMMISSION'!$B$3)),1,0)</f>
        <v>0</v>
      </c>
      <c r="AX414" s="24" t="n">
        <f aca="false">AX413+IF(AND(C414&lt;&gt;"",OR(F414="LOC - INITIAL",F414="CONSOLIDATION - UPFRONT COMM",F414="REVERSE - TOTAL FUNDING")),1,0)</f>
        <v>0</v>
      </c>
    </row>
    <row r="415" customFormat="false" ht="15" hidden="false" customHeight="false" outlineLevel="0" collapsed="false">
      <c r="A415" s="25" t="str">
        <f aca="false">IF(C415&lt;&gt;"","F27-"&amp;COUNT($C$4:C415),"")</f>
        <v/>
      </c>
      <c r="B415" s="26" t="str">
        <f aca="false">IF(OR(F415="LOC - INITIAL",F415="CONSOLIDATION - UPFRONT COMM",F415="REVERSE - TOTAL FUNDING"),A415,"")</f>
        <v/>
      </c>
      <c r="C415" s="27"/>
      <c r="D415" s="28"/>
      <c r="E415" s="28"/>
      <c r="F415" s="28"/>
      <c r="G415" s="29"/>
      <c r="H415" s="30"/>
      <c r="I415" s="28"/>
      <c r="J415" s="31" t="str">
        <f aca="false">IF(AND(G415&lt;&gt;"",H415&lt;&gt;""),G415*H415,"")</f>
        <v/>
      </c>
      <c r="K415" s="28"/>
      <c r="L415" s="32"/>
      <c r="M415" s="32"/>
      <c r="N415" s="31" t="n">
        <f aca="false">IF(OR(G415="",M415=""),0,IF(M415&gt;100,M415,G415*IF(M415&gt;1,M415/100,M415)))</f>
        <v>0</v>
      </c>
      <c r="O415" s="31" t="str">
        <f aca="false">IF(G415="","",G415*IF(L415="",0,IF(L415&gt;1,L415/100,L415))+N415)</f>
        <v/>
      </c>
      <c r="P415" s="28"/>
      <c r="Q415" s="33" t="str">
        <f aca="false">IF(P415="","",IFERROR(VLOOKUP(P415,PARTNERS!$A$2:$B$30,2,0),""))</f>
        <v/>
      </c>
      <c r="R415" s="17" t="str">
        <f aca="false">IF(O415="","",IF(OR(P415="",Q415=""),0,(O415-N415)*IF(Q415&gt;1,Q415/100,Q415)))</f>
        <v/>
      </c>
      <c r="S415" s="31" t="str">
        <f aca="false">IF(O415="","",O415-R415)</f>
        <v/>
      </c>
      <c r="T415" s="28"/>
      <c r="U415" s="34" t="str">
        <f aca="false">IF(T415="","",IFERROR(VLOOKUP(T415,REPS!$A$2:$D$40,2,0),""))</f>
        <v/>
      </c>
      <c r="V415" s="31" t="str">
        <f aca="false">IF(O415="","",IF(U415="",0,O415*IF(U415&gt;1,U415/100,U415)))</f>
        <v/>
      </c>
      <c r="W415" s="28"/>
      <c r="X415" s="34" t="str">
        <f aca="false">IF(W415="","",IFERROR(VLOOKUP(W415,REPS!$A$2:$D$40,3,0),""))</f>
        <v/>
      </c>
      <c r="Y415" s="31" t="str">
        <f aca="false">IF(O415="","",IF(X415="",0,O415*IF(X415&gt;1,X415/100,X415)))</f>
        <v/>
      </c>
      <c r="Z415" s="28"/>
      <c r="AA415" s="34" t="str">
        <f aca="false">IF(Z415="","",IFERROR(VLOOKUP(Z415,REPS!$A$2:$D$40,4,0),""))</f>
        <v/>
      </c>
      <c r="AB415" s="31" t="str">
        <f aca="false">IF(O415="","",IF(AA415="",0,O415*IF(AA415&gt;1,AA415/100,AA415)))</f>
        <v/>
      </c>
      <c r="AC415" s="31" t="str">
        <f aca="false">IF(O415="","",V415+Y415+AB415)</f>
        <v/>
      </c>
      <c r="AD415" s="19" t="str">
        <f aca="false">IF(O415="","",O415-R415-AC415)</f>
        <v/>
      </c>
      <c r="AE415" s="20"/>
      <c r="AF415" s="27"/>
      <c r="AG415" s="21" t="n">
        <f aca="false">IF(OR(AE415="",AE415=0),0,AE415*IF(U415="",0,IF(U415&gt;1,U415/100,U415)))</f>
        <v>0</v>
      </c>
      <c r="AH415" s="21" t="n">
        <f aca="false">IF(OR(AE415="",AE415=0),0,AE415*IF(X415="",0,IF(X415&gt;1,X415/100,X415)))</f>
        <v>0</v>
      </c>
      <c r="AI415" s="21" t="n">
        <f aca="false">IF(OR(AE415="",AE415=0),0,AE415*IF(AA415="",0,IF(AA415&gt;1,AA415/100,AA415)))</f>
        <v>0</v>
      </c>
      <c r="AJ415" s="21" t="n">
        <f aca="false">AG415+AH415+AI415</f>
        <v>0</v>
      </c>
      <c r="AK415" s="21" t="n">
        <f aca="false">IF(OR(AE415="",AE415=0),0,AE415-AJ415)</f>
        <v>0</v>
      </c>
      <c r="AL415" s="19" t="str">
        <f aca="false">IF(AD415="","",AD415-AK415)</f>
        <v/>
      </c>
      <c r="AM415" s="26" t="str">
        <f aca="false">IF(C415="","","Waiting for payment")</f>
        <v/>
      </c>
      <c r="AN415" s="27"/>
      <c r="AO415" s="27"/>
      <c r="AP415" s="35" t="str">
        <f aca="false">IF(OR(C415="",I415="",K415=""),"",IF(K415="Monthly",EDATE(C415,ROUND(I415*SETTINGS!$I$8,0)),WORKDAY(C415,ROUND(I415*SETTINGS!$I$8,0))))</f>
        <v/>
      </c>
      <c r="AQ415" s="26" t="str">
        <f aca="true">IF(C415="","",IF(AND(AP415&lt;&gt;"",TODAY()&gt;=AP415),"Refi Ready",IF(TODAY()-C415&gt;=SETTINGS!$I$11,"Prospecting","Performing")))</f>
        <v/>
      </c>
      <c r="AR415" s="35" t="str">
        <f aca="false">IF(OR(C415="",I415="",K415=""),"",IF(K415="Monthly",EDATE(C415,I415),WORKDAY(C415,I415)))</f>
        <v/>
      </c>
      <c r="AS415" s="28"/>
      <c r="AT415" s="36" t="str">
        <f aca="true">IF(C415="","",IF(AM415="Clawed Back","CLAWED",IF(TODAY()&lt;=C415+SETTINGS!$I$2,"⚠ AT RISK","SAFE")))</f>
        <v/>
      </c>
      <c r="AU415" s="28"/>
      <c r="AW415" s="24" t="n">
        <f aca="false">AW414+IF(AND(C415&lt;&gt;"",AO415&lt;&gt;"",OR('REP COMMISSION'!$B$3="",T415='REP COMMISSION'!$B$3,W415='REP COMMISSION'!$B$3,Z415='REP COMMISSION'!$B$3)),1,0)</f>
        <v>0</v>
      </c>
      <c r="AX415" s="24" t="n">
        <f aca="false">AX414+IF(AND(C415&lt;&gt;"",OR(F415="LOC - INITIAL",F415="CONSOLIDATION - UPFRONT COMM",F415="REVERSE - TOTAL FUNDING")),1,0)</f>
        <v>0</v>
      </c>
    </row>
    <row r="416" customFormat="false" ht="15" hidden="false" customHeight="false" outlineLevel="0" collapsed="false">
      <c r="A416" s="8" t="str">
        <f aca="false">IF(C416&lt;&gt;"","F27-"&amp;COUNT($C$4:C416),"")</f>
        <v/>
      </c>
      <c r="B416" s="9" t="str">
        <f aca="false">IF(OR(F416="LOC - INITIAL",F416="CONSOLIDATION - UPFRONT COMM",F416="REVERSE - TOTAL FUNDING"),A416,"")</f>
        <v/>
      </c>
      <c r="C416" s="10"/>
      <c r="D416" s="11"/>
      <c r="E416" s="11"/>
      <c r="F416" s="11"/>
      <c r="G416" s="12"/>
      <c r="H416" s="13"/>
      <c r="I416" s="11"/>
      <c r="J416" s="14" t="str">
        <f aca="false">IF(AND(G416&lt;&gt;"",H416&lt;&gt;""),G416*H416,"")</f>
        <v/>
      </c>
      <c r="K416" s="11"/>
      <c r="L416" s="15"/>
      <c r="M416" s="15"/>
      <c r="N416" s="14" t="n">
        <f aca="false">IF(OR(G416="",M416=""),0,IF(M416&gt;100,M416,G416*IF(M416&gt;1,M416/100,M416)))</f>
        <v>0</v>
      </c>
      <c r="O416" s="14" t="str">
        <f aca="false">IF(G416="","",G416*IF(L416="",0,IF(L416&gt;1,L416/100,L416))+N416)</f>
        <v/>
      </c>
      <c r="P416" s="11"/>
      <c r="Q416" s="16" t="str">
        <f aca="false">IF(P416="","",IFERROR(VLOOKUP(P416,PARTNERS!$A$2:$B$30,2,0),""))</f>
        <v/>
      </c>
      <c r="R416" s="17" t="str">
        <f aca="false">IF(O416="","",IF(OR(P416="",Q416=""),0,(O416-N416)*IF(Q416&gt;1,Q416/100,Q416)))</f>
        <v/>
      </c>
      <c r="S416" s="14" t="str">
        <f aca="false">IF(O416="","",O416-R416)</f>
        <v/>
      </c>
      <c r="T416" s="11"/>
      <c r="U416" s="18" t="str">
        <f aca="false">IF(T416="","",IFERROR(VLOOKUP(T416,REPS!$A$2:$D$40,2,0),""))</f>
        <v/>
      </c>
      <c r="V416" s="14" t="str">
        <f aca="false">IF(O416="","",IF(U416="",0,O416*IF(U416&gt;1,U416/100,U416)))</f>
        <v/>
      </c>
      <c r="W416" s="11"/>
      <c r="X416" s="18" t="str">
        <f aca="false">IF(W416="","",IFERROR(VLOOKUP(W416,REPS!$A$2:$D$40,3,0),""))</f>
        <v/>
      </c>
      <c r="Y416" s="14" t="str">
        <f aca="false">IF(O416="","",IF(X416="",0,O416*IF(X416&gt;1,X416/100,X416)))</f>
        <v/>
      </c>
      <c r="Z416" s="11"/>
      <c r="AA416" s="18" t="str">
        <f aca="false">IF(Z416="","",IFERROR(VLOOKUP(Z416,REPS!$A$2:$D$40,4,0),""))</f>
        <v/>
      </c>
      <c r="AB416" s="14" t="str">
        <f aca="false">IF(O416="","",IF(AA416="",0,O416*IF(AA416&gt;1,AA416/100,AA416)))</f>
        <v/>
      </c>
      <c r="AC416" s="14" t="str">
        <f aca="false">IF(O416="","",V416+Y416+AB416)</f>
        <v/>
      </c>
      <c r="AD416" s="19" t="str">
        <f aca="false">IF(O416="","",O416-R416-AC416)</f>
        <v/>
      </c>
      <c r="AE416" s="20"/>
      <c r="AF416" s="10"/>
      <c r="AG416" s="21" t="n">
        <f aca="false">IF(OR(AE416="",AE416=0),0,AE416*IF(U416="",0,IF(U416&gt;1,U416/100,U416)))</f>
        <v>0</v>
      </c>
      <c r="AH416" s="21" t="n">
        <f aca="false">IF(OR(AE416="",AE416=0),0,AE416*IF(X416="",0,IF(X416&gt;1,X416/100,X416)))</f>
        <v>0</v>
      </c>
      <c r="AI416" s="21" t="n">
        <f aca="false">IF(OR(AE416="",AE416=0),0,AE416*IF(AA416="",0,IF(AA416&gt;1,AA416/100,AA416)))</f>
        <v>0</v>
      </c>
      <c r="AJ416" s="21" t="n">
        <f aca="false">AG416+AH416+AI416</f>
        <v>0</v>
      </c>
      <c r="AK416" s="21" t="n">
        <f aca="false">IF(OR(AE416="",AE416=0),0,AE416-AJ416)</f>
        <v>0</v>
      </c>
      <c r="AL416" s="19" t="str">
        <f aca="false">IF(AD416="","",AD416-AK416)</f>
        <v/>
      </c>
      <c r="AM416" s="9" t="str">
        <f aca="false">IF(C416="","","Waiting for payment")</f>
        <v/>
      </c>
      <c r="AN416" s="10"/>
      <c r="AO416" s="10"/>
      <c r="AP416" s="22" t="str">
        <f aca="false">IF(OR(C416="",I416="",K416=""),"",IF(K416="Monthly",EDATE(C416,ROUND(I416*SETTINGS!$I$8,0)),WORKDAY(C416,ROUND(I416*SETTINGS!$I$8,0))))</f>
        <v/>
      </c>
      <c r="AQ416" s="9" t="str">
        <f aca="true">IF(C416="","",IF(AND(AP416&lt;&gt;"",TODAY()&gt;=AP416),"Refi Ready",IF(TODAY()-C416&gt;=SETTINGS!$I$11,"Prospecting","Performing")))</f>
        <v/>
      </c>
      <c r="AR416" s="22" t="str">
        <f aca="false">IF(OR(C416="",I416="",K416=""),"",IF(K416="Monthly",EDATE(C416,I416),WORKDAY(C416,I416)))</f>
        <v/>
      </c>
      <c r="AS416" s="11"/>
      <c r="AT416" s="23" t="str">
        <f aca="true">IF(C416="","",IF(AM416="Clawed Back","CLAWED",IF(TODAY()&lt;=C416+SETTINGS!$I$2,"⚠ AT RISK","SAFE")))</f>
        <v/>
      </c>
      <c r="AU416" s="11"/>
      <c r="AW416" s="24" t="n">
        <f aca="false">AW415+IF(AND(C416&lt;&gt;"",AO416&lt;&gt;"",OR('REP COMMISSION'!$B$3="",T416='REP COMMISSION'!$B$3,W416='REP COMMISSION'!$B$3,Z416='REP COMMISSION'!$B$3)),1,0)</f>
        <v>0</v>
      </c>
      <c r="AX416" s="24" t="n">
        <f aca="false">AX415+IF(AND(C416&lt;&gt;"",OR(F416="LOC - INITIAL",F416="CONSOLIDATION - UPFRONT COMM",F416="REVERSE - TOTAL FUNDING")),1,0)</f>
        <v>0</v>
      </c>
    </row>
    <row r="417" customFormat="false" ht="15" hidden="false" customHeight="false" outlineLevel="0" collapsed="false">
      <c r="A417" s="25" t="str">
        <f aca="false">IF(C417&lt;&gt;"","F27-"&amp;COUNT($C$4:C417),"")</f>
        <v/>
      </c>
      <c r="B417" s="26" t="str">
        <f aca="false">IF(OR(F417="LOC - INITIAL",F417="CONSOLIDATION - UPFRONT COMM",F417="REVERSE - TOTAL FUNDING"),A417,"")</f>
        <v/>
      </c>
      <c r="C417" s="27"/>
      <c r="D417" s="28"/>
      <c r="E417" s="28"/>
      <c r="F417" s="28"/>
      <c r="G417" s="29"/>
      <c r="H417" s="30"/>
      <c r="I417" s="28"/>
      <c r="J417" s="31" t="str">
        <f aca="false">IF(AND(G417&lt;&gt;"",H417&lt;&gt;""),G417*H417,"")</f>
        <v/>
      </c>
      <c r="K417" s="28"/>
      <c r="L417" s="32"/>
      <c r="M417" s="32"/>
      <c r="N417" s="31" t="n">
        <f aca="false">IF(OR(G417="",M417=""),0,IF(M417&gt;100,M417,G417*IF(M417&gt;1,M417/100,M417)))</f>
        <v>0</v>
      </c>
      <c r="O417" s="31" t="str">
        <f aca="false">IF(G417="","",G417*IF(L417="",0,IF(L417&gt;1,L417/100,L417))+N417)</f>
        <v/>
      </c>
      <c r="P417" s="28"/>
      <c r="Q417" s="33" t="str">
        <f aca="false">IF(P417="","",IFERROR(VLOOKUP(P417,PARTNERS!$A$2:$B$30,2,0),""))</f>
        <v/>
      </c>
      <c r="R417" s="17" t="str">
        <f aca="false">IF(O417="","",IF(OR(P417="",Q417=""),0,(O417-N417)*IF(Q417&gt;1,Q417/100,Q417)))</f>
        <v/>
      </c>
      <c r="S417" s="31" t="str">
        <f aca="false">IF(O417="","",O417-R417)</f>
        <v/>
      </c>
      <c r="T417" s="28"/>
      <c r="U417" s="34" t="str">
        <f aca="false">IF(T417="","",IFERROR(VLOOKUP(T417,REPS!$A$2:$D$40,2,0),""))</f>
        <v/>
      </c>
      <c r="V417" s="31" t="str">
        <f aca="false">IF(O417="","",IF(U417="",0,O417*IF(U417&gt;1,U417/100,U417)))</f>
        <v/>
      </c>
      <c r="W417" s="28"/>
      <c r="X417" s="34" t="str">
        <f aca="false">IF(W417="","",IFERROR(VLOOKUP(W417,REPS!$A$2:$D$40,3,0),""))</f>
        <v/>
      </c>
      <c r="Y417" s="31" t="str">
        <f aca="false">IF(O417="","",IF(X417="",0,O417*IF(X417&gt;1,X417/100,X417)))</f>
        <v/>
      </c>
      <c r="Z417" s="28"/>
      <c r="AA417" s="34" t="str">
        <f aca="false">IF(Z417="","",IFERROR(VLOOKUP(Z417,REPS!$A$2:$D$40,4,0),""))</f>
        <v/>
      </c>
      <c r="AB417" s="31" t="str">
        <f aca="false">IF(O417="","",IF(AA417="",0,O417*IF(AA417&gt;1,AA417/100,AA417)))</f>
        <v/>
      </c>
      <c r="AC417" s="31" t="str">
        <f aca="false">IF(O417="","",V417+Y417+AB417)</f>
        <v/>
      </c>
      <c r="AD417" s="19" t="str">
        <f aca="false">IF(O417="","",O417-R417-AC417)</f>
        <v/>
      </c>
      <c r="AE417" s="20"/>
      <c r="AF417" s="27"/>
      <c r="AG417" s="21" t="n">
        <f aca="false">IF(OR(AE417="",AE417=0),0,AE417*IF(U417="",0,IF(U417&gt;1,U417/100,U417)))</f>
        <v>0</v>
      </c>
      <c r="AH417" s="21" t="n">
        <f aca="false">IF(OR(AE417="",AE417=0),0,AE417*IF(X417="",0,IF(X417&gt;1,X417/100,X417)))</f>
        <v>0</v>
      </c>
      <c r="AI417" s="21" t="n">
        <f aca="false">IF(OR(AE417="",AE417=0),0,AE417*IF(AA417="",0,IF(AA417&gt;1,AA417/100,AA417)))</f>
        <v>0</v>
      </c>
      <c r="AJ417" s="21" t="n">
        <f aca="false">AG417+AH417+AI417</f>
        <v>0</v>
      </c>
      <c r="AK417" s="21" t="n">
        <f aca="false">IF(OR(AE417="",AE417=0),0,AE417-AJ417)</f>
        <v>0</v>
      </c>
      <c r="AL417" s="19" t="str">
        <f aca="false">IF(AD417="","",AD417-AK417)</f>
        <v/>
      </c>
      <c r="AM417" s="26" t="str">
        <f aca="false">IF(C417="","","Waiting for payment")</f>
        <v/>
      </c>
      <c r="AN417" s="27"/>
      <c r="AO417" s="27"/>
      <c r="AP417" s="35" t="str">
        <f aca="false">IF(OR(C417="",I417="",K417=""),"",IF(K417="Monthly",EDATE(C417,ROUND(I417*SETTINGS!$I$8,0)),WORKDAY(C417,ROUND(I417*SETTINGS!$I$8,0))))</f>
        <v/>
      </c>
      <c r="AQ417" s="26" t="str">
        <f aca="true">IF(C417="","",IF(AND(AP417&lt;&gt;"",TODAY()&gt;=AP417),"Refi Ready",IF(TODAY()-C417&gt;=SETTINGS!$I$11,"Prospecting","Performing")))</f>
        <v/>
      </c>
      <c r="AR417" s="35" t="str">
        <f aca="false">IF(OR(C417="",I417="",K417=""),"",IF(K417="Monthly",EDATE(C417,I417),WORKDAY(C417,I417)))</f>
        <v/>
      </c>
      <c r="AS417" s="28"/>
      <c r="AT417" s="36" t="str">
        <f aca="true">IF(C417="","",IF(AM417="Clawed Back","CLAWED",IF(TODAY()&lt;=C417+SETTINGS!$I$2,"⚠ AT RISK","SAFE")))</f>
        <v/>
      </c>
      <c r="AU417" s="28"/>
      <c r="AW417" s="24" t="n">
        <f aca="false">AW416+IF(AND(C417&lt;&gt;"",AO417&lt;&gt;"",OR('REP COMMISSION'!$B$3="",T417='REP COMMISSION'!$B$3,W417='REP COMMISSION'!$B$3,Z417='REP COMMISSION'!$B$3)),1,0)</f>
        <v>0</v>
      </c>
      <c r="AX417" s="24" t="n">
        <f aca="false">AX416+IF(AND(C417&lt;&gt;"",OR(F417="LOC - INITIAL",F417="CONSOLIDATION - UPFRONT COMM",F417="REVERSE - TOTAL FUNDING")),1,0)</f>
        <v>0</v>
      </c>
    </row>
    <row r="418" customFormat="false" ht="15" hidden="false" customHeight="false" outlineLevel="0" collapsed="false">
      <c r="A418" s="8" t="str">
        <f aca="false">IF(C418&lt;&gt;"","F27-"&amp;COUNT($C$4:C418),"")</f>
        <v/>
      </c>
      <c r="B418" s="9" t="str">
        <f aca="false">IF(OR(F418="LOC - INITIAL",F418="CONSOLIDATION - UPFRONT COMM",F418="REVERSE - TOTAL FUNDING"),A418,"")</f>
        <v/>
      </c>
      <c r="C418" s="10"/>
      <c r="D418" s="11"/>
      <c r="E418" s="11"/>
      <c r="F418" s="11"/>
      <c r="G418" s="12"/>
      <c r="H418" s="13"/>
      <c r="I418" s="11"/>
      <c r="J418" s="14" t="str">
        <f aca="false">IF(AND(G418&lt;&gt;"",H418&lt;&gt;""),G418*H418,"")</f>
        <v/>
      </c>
      <c r="K418" s="11"/>
      <c r="L418" s="15"/>
      <c r="M418" s="15"/>
      <c r="N418" s="14" t="n">
        <f aca="false">IF(OR(G418="",M418=""),0,IF(M418&gt;100,M418,G418*IF(M418&gt;1,M418/100,M418)))</f>
        <v>0</v>
      </c>
      <c r="O418" s="14" t="str">
        <f aca="false">IF(G418="","",G418*IF(L418="",0,IF(L418&gt;1,L418/100,L418))+N418)</f>
        <v/>
      </c>
      <c r="P418" s="11"/>
      <c r="Q418" s="16" t="str">
        <f aca="false">IF(P418="","",IFERROR(VLOOKUP(P418,PARTNERS!$A$2:$B$30,2,0),""))</f>
        <v/>
      </c>
      <c r="R418" s="17" t="str">
        <f aca="false">IF(O418="","",IF(OR(P418="",Q418=""),0,(O418-N418)*IF(Q418&gt;1,Q418/100,Q418)))</f>
        <v/>
      </c>
      <c r="S418" s="14" t="str">
        <f aca="false">IF(O418="","",O418-R418)</f>
        <v/>
      </c>
      <c r="T418" s="11"/>
      <c r="U418" s="18" t="str">
        <f aca="false">IF(T418="","",IFERROR(VLOOKUP(T418,REPS!$A$2:$D$40,2,0),""))</f>
        <v/>
      </c>
      <c r="V418" s="14" t="str">
        <f aca="false">IF(O418="","",IF(U418="",0,O418*IF(U418&gt;1,U418/100,U418)))</f>
        <v/>
      </c>
      <c r="W418" s="11"/>
      <c r="X418" s="18" t="str">
        <f aca="false">IF(W418="","",IFERROR(VLOOKUP(W418,REPS!$A$2:$D$40,3,0),""))</f>
        <v/>
      </c>
      <c r="Y418" s="14" t="str">
        <f aca="false">IF(O418="","",IF(X418="",0,O418*IF(X418&gt;1,X418/100,X418)))</f>
        <v/>
      </c>
      <c r="Z418" s="11"/>
      <c r="AA418" s="18" t="str">
        <f aca="false">IF(Z418="","",IFERROR(VLOOKUP(Z418,REPS!$A$2:$D$40,4,0),""))</f>
        <v/>
      </c>
      <c r="AB418" s="14" t="str">
        <f aca="false">IF(O418="","",IF(AA418="",0,O418*IF(AA418&gt;1,AA418/100,AA418)))</f>
        <v/>
      </c>
      <c r="AC418" s="14" t="str">
        <f aca="false">IF(O418="","",V418+Y418+AB418)</f>
        <v/>
      </c>
      <c r="AD418" s="19" t="str">
        <f aca="false">IF(O418="","",O418-R418-AC418)</f>
        <v/>
      </c>
      <c r="AE418" s="20"/>
      <c r="AF418" s="10"/>
      <c r="AG418" s="21" t="n">
        <f aca="false">IF(OR(AE418="",AE418=0),0,AE418*IF(U418="",0,IF(U418&gt;1,U418/100,U418)))</f>
        <v>0</v>
      </c>
      <c r="AH418" s="21" t="n">
        <f aca="false">IF(OR(AE418="",AE418=0),0,AE418*IF(X418="",0,IF(X418&gt;1,X418/100,X418)))</f>
        <v>0</v>
      </c>
      <c r="AI418" s="21" t="n">
        <f aca="false">IF(OR(AE418="",AE418=0),0,AE418*IF(AA418="",0,IF(AA418&gt;1,AA418/100,AA418)))</f>
        <v>0</v>
      </c>
      <c r="AJ418" s="21" t="n">
        <f aca="false">AG418+AH418+AI418</f>
        <v>0</v>
      </c>
      <c r="AK418" s="21" t="n">
        <f aca="false">IF(OR(AE418="",AE418=0),0,AE418-AJ418)</f>
        <v>0</v>
      </c>
      <c r="AL418" s="19" t="str">
        <f aca="false">IF(AD418="","",AD418-AK418)</f>
        <v/>
      </c>
      <c r="AM418" s="9" t="str">
        <f aca="false">IF(C418="","","Waiting for payment")</f>
        <v/>
      </c>
      <c r="AN418" s="10"/>
      <c r="AO418" s="10"/>
      <c r="AP418" s="22" t="str">
        <f aca="false">IF(OR(C418="",I418="",K418=""),"",IF(K418="Monthly",EDATE(C418,ROUND(I418*SETTINGS!$I$8,0)),WORKDAY(C418,ROUND(I418*SETTINGS!$I$8,0))))</f>
        <v/>
      </c>
      <c r="AQ418" s="9" t="str">
        <f aca="true">IF(C418="","",IF(AND(AP418&lt;&gt;"",TODAY()&gt;=AP418),"Refi Ready",IF(TODAY()-C418&gt;=SETTINGS!$I$11,"Prospecting","Performing")))</f>
        <v/>
      </c>
      <c r="AR418" s="22" t="str">
        <f aca="false">IF(OR(C418="",I418="",K418=""),"",IF(K418="Monthly",EDATE(C418,I418),WORKDAY(C418,I418)))</f>
        <v/>
      </c>
      <c r="AS418" s="11"/>
      <c r="AT418" s="23" t="str">
        <f aca="true">IF(C418="","",IF(AM418="Clawed Back","CLAWED",IF(TODAY()&lt;=C418+SETTINGS!$I$2,"⚠ AT RISK","SAFE")))</f>
        <v/>
      </c>
      <c r="AU418" s="11"/>
      <c r="AW418" s="24" t="n">
        <f aca="false">AW417+IF(AND(C418&lt;&gt;"",AO418&lt;&gt;"",OR('REP COMMISSION'!$B$3="",T418='REP COMMISSION'!$B$3,W418='REP COMMISSION'!$B$3,Z418='REP COMMISSION'!$B$3)),1,0)</f>
        <v>0</v>
      </c>
      <c r="AX418" s="24" t="n">
        <f aca="false">AX417+IF(AND(C418&lt;&gt;"",OR(F418="LOC - INITIAL",F418="CONSOLIDATION - UPFRONT COMM",F418="REVERSE - TOTAL FUNDING")),1,0)</f>
        <v>0</v>
      </c>
    </row>
    <row r="419" customFormat="false" ht="15" hidden="false" customHeight="false" outlineLevel="0" collapsed="false">
      <c r="A419" s="25" t="str">
        <f aca="false">IF(C419&lt;&gt;"","F27-"&amp;COUNT($C$4:C419),"")</f>
        <v/>
      </c>
      <c r="B419" s="26" t="str">
        <f aca="false">IF(OR(F419="LOC - INITIAL",F419="CONSOLIDATION - UPFRONT COMM",F419="REVERSE - TOTAL FUNDING"),A419,"")</f>
        <v/>
      </c>
      <c r="C419" s="27"/>
      <c r="D419" s="28"/>
      <c r="E419" s="28"/>
      <c r="F419" s="28"/>
      <c r="G419" s="29"/>
      <c r="H419" s="30"/>
      <c r="I419" s="28"/>
      <c r="J419" s="31" t="str">
        <f aca="false">IF(AND(G419&lt;&gt;"",H419&lt;&gt;""),G419*H419,"")</f>
        <v/>
      </c>
      <c r="K419" s="28"/>
      <c r="L419" s="32"/>
      <c r="M419" s="32"/>
      <c r="N419" s="31" t="n">
        <f aca="false">IF(OR(G419="",M419=""),0,IF(M419&gt;100,M419,G419*IF(M419&gt;1,M419/100,M419)))</f>
        <v>0</v>
      </c>
      <c r="O419" s="31" t="str">
        <f aca="false">IF(G419="","",G419*IF(L419="",0,IF(L419&gt;1,L419/100,L419))+N419)</f>
        <v/>
      </c>
      <c r="P419" s="28"/>
      <c r="Q419" s="33" t="str">
        <f aca="false">IF(P419="","",IFERROR(VLOOKUP(P419,PARTNERS!$A$2:$B$30,2,0),""))</f>
        <v/>
      </c>
      <c r="R419" s="17" t="str">
        <f aca="false">IF(O419="","",IF(OR(P419="",Q419=""),0,(O419-N419)*IF(Q419&gt;1,Q419/100,Q419)))</f>
        <v/>
      </c>
      <c r="S419" s="31" t="str">
        <f aca="false">IF(O419="","",O419-R419)</f>
        <v/>
      </c>
      <c r="T419" s="28"/>
      <c r="U419" s="34" t="str">
        <f aca="false">IF(T419="","",IFERROR(VLOOKUP(T419,REPS!$A$2:$D$40,2,0),""))</f>
        <v/>
      </c>
      <c r="V419" s="31" t="str">
        <f aca="false">IF(O419="","",IF(U419="",0,O419*IF(U419&gt;1,U419/100,U419)))</f>
        <v/>
      </c>
      <c r="W419" s="28"/>
      <c r="X419" s="34" t="str">
        <f aca="false">IF(W419="","",IFERROR(VLOOKUP(W419,REPS!$A$2:$D$40,3,0),""))</f>
        <v/>
      </c>
      <c r="Y419" s="31" t="str">
        <f aca="false">IF(O419="","",IF(X419="",0,O419*IF(X419&gt;1,X419/100,X419)))</f>
        <v/>
      </c>
      <c r="Z419" s="28"/>
      <c r="AA419" s="34" t="str">
        <f aca="false">IF(Z419="","",IFERROR(VLOOKUP(Z419,REPS!$A$2:$D$40,4,0),""))</f>
        <v/>
      </c>
      <c r="AB419" s="31" t="str">
        <f aca="false">IF(O419="","",IF(AA419="",0,O419*IF(AA419&gt;1,AA419/100,AA419)))</f>
        <v/>
      </c>
      <c r="AC419" s="31" t="str">
        <f aca="false">IF(O419="","",V419+Y419+AB419)</f>
        <v/>
      </c>
      <c r="AD419" s="19" t="str">
        <f aca="false">IF(O419="","",O419-R419-AC419)</f>
        <v/>
      </c>
      <c r="AE419" s="20"/>
      <c r="AF419" s="27"/>
      <c r="AG419" s="21" t="n">
        <f aca="false">IF(OR(AE419="",AE419=0),0,AE419*IF(U419="",0,IF(U419&gt;1,U419/100,U419)))</f>
        <v>0</v>
      </c>
      <c r="AH419" s="21" t="n">
        <f aca="false">IF(OR(AE419="",AE419=0),0,AE419*IF(X419="",0,IF(X419&gt;1,X419/100,X419)))</f>
        <v>0</v>
      </c>
      <c r="AI419" s="21" t="n">
        <f aca="false">IF(OR(AE419="",AE419=0),0,AE419*IF(AA419="",0,IF(AA419&gt;1,AA419/100,AA419)))</f>
        <v>0</v>
      </c>
      <c r="AJ419" s="21" t="n">
        <f aca="false">AG419+AH419+AI419</f>
        <v>0</v>
      </c>
      <c r="AK419" s="21" t="n">
        <f aca="false">IF(OR(AE419="",AE419=0),0,AE419-AJ419)</f>
        <v>0</v>
      </c>
      <c r="AL419" s="19" t="str">
        <f aca="false">IF(AD419="","",AD419-AK419)</f>
        <v/>
      </c>
      <c r="AM419" s="26" t="str">
        <f aca="false">IF(C419="","","Waiting for payment")</f>
        <v/>
      </c>
      <c r="AN419" s="27"/>
      <c r="AO419" s="27"/>
      <c r="AP419" s="35" t="str">
        <f aca="false">IF(OR(C419="",I419="",K419=""),"",IF(K419="Monthly",EDATE(C419,ROUND(I419*SETTINGS!$I$8,0)),WORKDAY(C419,ROUND(I419*SETTINGS!$I$8,0))))</f>
        <v/>
      </c>
      <c r="AQ419" s="26" t="str">
        <f aca="true">IF(C419="","",IF(AND(AP419&lt;&gt;"",TODAY()&gt;=AP419),"Refi Ready",IF(TODAY()-C419&gt;=SETTINGS!$I$11,"Prospecting","Performing")))</f>
        <v/>
      </c>
      <c r="AR419" s="35" t="str">
        <f aca="false">IF(OR(C419="",I419="",K419=""),"",IF(K419="Monthly",EDATE(C419,I419),WORKDAY(C419,I419)))</f>
        <v/>
      </c>
      <c r="AS419" s="28"/>
      <c r="AT419" s="36" t="str">
        <f aca="true">IF(C419="","",IF(AM419="Clawed Back","CLAWED",IF(TODAY()&lt;=C419+SETTINGS!$I$2,"⚠ AT RISK","SAFE")))</f>
        <v/>
      </c>
      <c r="AU419" s="28"/>
      <c r="AW419" s="24" t="n">
        <f aca="false">AW418+IF(AND(C419&lt;&gt;"",AO419&lt;&gt;"",OR('REP COMMISSION'!$B$3="",T419='REP COMMISSION'!$B$3,W419='REP COMMISSION'!$B$3,Z419='REP COMMISSION'!$B$3)),1,0)</f>
        <v>0</v>
      </c>
      <c r="AX419" s="24" t="n">
        <f aca="false">AX418+IF(AND(C419&lt;&gt;"",OR(F419="LOC - INITIAL",F419="CONSOLIDATION - UPFRONT COMM",F419="REVERSE - TOTAL FUNDING")),1,0)</f>
        <v>0</v>
      </c>
    </row>
    <row r="420" customFormat="false" ht="15" hidden="false" customHeight="false" outlineLevel="0" collapsed="false">
      <c r="A420" s="8" t="str">
        <f aca="false">IF(C420&lt;&gt;"","F27-"&amp;COUNT($C$4:C420),"")</f>
        <v/>
      </c>
      <c r="B420" s="9" t="str">
        <f aca="false">IF(OR(F420="LOC - INITIAL",F420="CONSOLIDATION - UPFRONT COMM",F420="REVERSE - TOTAL FUNDING"),A420,"")</f>
        <v/>
      </c>
      <c r="C420" s="10"/>
      <c r="D420" s="11"/>
      <c r="E420" s="11"/>
      <c r="F420" s="11"/>
      <c r="G420" s="12"/>
      <c r="H420" s="13"/>
      <c r="I420" s="11"/>
      <c r="J420" s="14" t="str">
        <f aca="false">IF(AND(G420&lt;&gt;"",H420&lt;&gt;""),G420*H420,"")</f>
        <v/>
      </c>
      <c r="K420" s="11"/>
      <c r="L420" s="15"/>
      <c r="M420" s="15"/>
      <c r="N420" s="14" t="n">
        <f aca="false">IF(OR(G420="",M420=""),0,IF(M420&gt;100,M420,G420*IF(M420&gt;1,M420/100,M420)))</f>
        <v>0</v>
      </c>
      <c r="O420" s="14" t="str">
        <f aca="false">IF(G420="","",G420*IF(L420="",0,IF(L420&gt;1,L420/100,L420))+N420)</f>
        <v/>
      </c>
      <c r="P420" s="11"/>
      <c r="Q420" s="16" t="str">
        <f aca="false">IF(P420="","",IFERROR(VLOOKUP(P420,PARTNERS!$A$2:$B$30,2,0),""))</f>
        <v/>
      </c>
      <c r="R420" s="17" t="str">
        <f aca="false">IF(O420="","",IF(OR(P420="",Q420=""),0,(O420-N420)*IF(Q420&gt;1,Q420/100,Q420)))</f>
        <v/>
      </c>
      <c r="S420" s="14" t="str">
        <f aca="false">IF(O420="","",O420-R420)</f>
        <v/>
      </c>
      <c r="T420" s="11"/>
      <c r="U420" s="18" t="str">
        <f aca="false">IF(T420="","",IFERROR(VLOOKUP(T420,REPS!$A$2:$D$40,2,0),""))</f>
        <v/>
      </c>
      <c r="V420" s="14" t="str">
        <f aca="false">IF(O420="","",IF(U420="",0,O420*IF(U420&gt;1,U420/100,U420)))</f>
        <v/>
      </c>
      <c r="W420" s="11"/>
      <c r="X420" s="18" t="str">
        <f aca="false">IF(W420="","",IFERROR(VLOOKUP(W420,REPS!$A$2:$D$40,3,0),""))</f>
        <v/>
      </c>
      <c r="Y420" s="14" t="str">
        <f aca="false">IF(O420="","",IF(X420="",0,O420*IF(X420&gt;1,X420/100,X420)))</f>
        <v/>
      </c>
      <c r="Z420" s="11"/>
      <c r="AA420" s="18" t="str">
        <f aca="false">IF(Z420="","",IFERROR(VLOOKUP(Z420,REPS!$A$2:$D$40,4,0),""))</f>
        <v/>
      </c>
      <c r="AB420" s="14" t="str">
        <f aca="false">IF(O420="","",IF(AA420="",0,O420*IF(AA420&gt;1,AA420/100,AA420)))</f>
        <v/>
      </c>
      <c r="AC420" s="14" t="str">
        <f aca="false">IF(O420="","",V420+Y420+AB420)</f>
        <v/>
      </c>
      <c r="AD420" s="19" t="str">
        <f aca="false">IF(O420="","",O420-R420-AC420)</f>
        <v/>
      </c>
      <c r="AE420" s="20"/>
      <c r="AF420" s="10"/>
      <c r="AG420" s="21" t="n">
        <f aca="false">IF(OR(AE420="",AE420=0),0,AE420*IF(U420="",0,IF(U420&gt;1,U420/100,U420)))</f>
        <v>0</v>
      </c>
      <c r="AH420" s="21" t="n">
        <f aca="false">IF(OR(AE420="",AE420=0),0,AE420*IF(X420="",0,IF(X420&gt;1,X420/100,X420)))</f>
        <v>0</v>
      </c>
      <c r="AI420" s="21" t="n">
        <f aca="false">IF(OR(AE420="",AE420=0),0,AE420*IF(AA420="",0,IF(AA420&gt;1,AA420/100,AA420)))</f>
        <v>0</v>
      </c>
      <c r="AJ420" s="21" t="n">
        <f aca="false">AG420+AH420+AI420</f>
        <v>0</v>
      </c>
      <c r="AK420" s="21" t="n">
        <f aca="false">IF(OR(AE420="",AE420=0),0,AE420-AJ420)</f>
        <v>0</v>
      </c>
      <c r="AL420" s="19" t="str">
        <f aca="false">IF(AD420="","",AD420-AK420)</f>
        <v/>
      </c>
      <c r="AM420" s="9" t="str">
        <f aca="false">IF(C420="","","Waiting for payment")</f>
        <v/>
      </c>
      <c r="AN420" s="10"/>
      <c r="AO420" s="10"/>
      <c r="AP420" s="22" t="str">
        <f aca="false">IF(OR(C420="",I420="",K420=""),"",IF(K420="Monthly",EDATE(C420,ROUND(I420*SETTINGS!$I$8,0)),WORKDAY(C420,ROUND(I420*SETTINGS!$I$8,0))))</f>
        <v/>
      </c>
      <c r="AQ420" s="9" t="str">
        <f aca="true">IF(C420="","",IF(AND(AP420&lt;&gt;"",TODAY()&gt;=AP420),"Refi Ready",IF(TODAY()-C420&gt;=SETTINGS!$I$11,"Prospecting","Performing")))</f>
        <v/>
      </c>
      <c r="AR420" s="22" t="str">
        <f aca="false">IF(OR(C420="",I420="",K420=""),"",IF(K420="Monthly",EDATE(C420,I420),WORKDAY(C420,I420)))</f>
        <v/>
      </c>
      <c r="AS420" s="11"/>
      <c r="AT420" s="23" t="str">
        <f aca="true">IF(C420="","",IF(AM420="Clawed Back","CLAWED",IF(TODAY()&lt;=C420+SETTINGS!$I$2,"⚠ AT RISK","SAFE")))</f>
        <v/>
      </c>
      <c r="AU420" s="11"/>
      <c r="AW420" s="24" t="n">
        <f aca="false">AW419+IF(AND(C420&lt;&gt;"",AO420&lt;&gt;"",OR('REP COMMISSION'!$B$3="",T420='REP COMMISSION'!$B$3,W420='REP COMMISSION'!$B$3,Z420='REP COMMISSION'!$B$3)),1,0)</f>
        <v>0</v>
      </c>
      <c r="AX420" s="24" t="n">
        <f aca="false">AX419+IF(AND(C420&lt;&gt;"",OR(F420="LOC - INITIAL",F420="CONSOLIDATION - UPFRONT COMM",F420="REVERSE - TOTAL FUNDING")),1,0)</f>
        <v>0</v>
      </c>
    </row>
    <row r="421" customFormat="false" ht="15" hidden="false" customHeight="false" outlineLevel="0" collapsed="false">
      <c r="A421" s="25" t="str">
        <f aca="false">IF(C421&lt;&gt;"","F27-"&amp;COUNT($C$4:C421),"")</f>
        <v/>
      </c>
      <c r="B421" s="26" t="str">
        <f aca="false">IF(OR(F421="LOC - INITIAL",F421="CONSOLIDATION - UPFRONT COMM",F421="REVERSE - TOTAL FUNDING"),A421,"")</f>
        <v/>
      </c>
      <c r="C421" s="27"/>
      <c r="D421" s="28"/>
      <c r="E421" s="28"/>
      <c r="F421" s="28"/>
      <c r="G421" s="29"/>
      <c r="H421" s="30"/>
      <c r="I421" s="28"/>
      <c r="J421" s="31" t="str">
        <f aca="false">IF(AND(G421&lt;&gt;"",H421&lt;&gt;""),G421*H421,"")</f>
        <v/>
      </c>
      <c r="K421" s="28"/>
      <c r="L421" s="32"/>
      <c r="M421" s="32"/>
      <c r="N421" s="31" t="n">
        <f aca="false">IF(OR(G421="",M421=""),0,IF(M421&gt;100,M421,G421*IF(M421&gt;1,M421/100,M421)))</f>
        <v>0</v>
      </c>
      <c r="O421" s="31" t="str">
        <f aca="false">IF(G421="","",G421*IF(L421="",0,IF(L421&gt;1,L421/100,L421))+N421)</f>
        <v/>
      </c>
      <c r="P421" s="28"/>
      <c r="Q421" s="33" t="str">
        <f aca="false">IF(P421="","",IFERROR(VLOOKUP(P421,PARTNERS!$A$2:$B$30,2,0),""))</f>
        <v/>
      </c>
      <c r="R421" s="17" t="str">
        <f aca="false">IF(O421="","",IF(OR(P421="",Q421=""),0,(O421-N421)*IF(Q421&gt;1,Q421/100,Q421)))</f>
        <v/>
      </c>
      <c r="S421" s="31" t="str">
        <f aca="false">IF(O421="","",O421-R421)</f>
        <v/>
      </c>
      <c r="T421" s="28"/>
      <c r="U421" s="34" t="str">
        <f aca="false">IF(T421="","",IFERROR(VLOOKUP(T421,REPS!$A$2:$D$40,2,0),""))</f>
        <v/>
      </c>
      <c r="V421" s="31" t="str">
        <f aca="false">IF(O421="","",IF(U421="",0,O421*IF(U421&gt;1,U421/100,U421)))</f>
        <v/>
      </c>
      <c r="W421" s="28"/>
      <c r="X421" s="34" t="str">
        <f aca="false">IF(W421="","",IFERROR(VLOOKUP(W421,REPS!$A$2:$D$40,3,0),""))</f>
        <v/>
      </c>
      <c r="Y421" s="31" t="str">
        <f aca="false">IF(O421="","",IF(X421="",0,O421*IF(X421&gt;1,X421/100,X421)))</f>
        <v/>
      </c>
      <c r="Z421" s="28"/>
      <c r="AA421" s="34" t="str">
        <f aca="false">IF(Z421="","",IFERROR(VLOOKUP(Z421,REPS!$A$2:$D$40,4,0),""))</f>
        <v/>
      </c>
      <c r="AB421" s="31" t="str">
        <f aca="false">IF(O421="","",IF(AA421="",0,O421*IF(AA421&gt;1,AA421/100,AA421)))</f>
        <v/>
      </c>
      <c r="AC421" s="31" t="str">
        <f aca="false">IF(O421="","",V421+Y421+AB421)</f>
        <v/>
      </c>
      <c r="AD421" s="19" t="str">
        <f aca="false">IF(O421="","",O421-R421-AC421)</f>
        <v/>
      </c>
      <c r="AE421" s="20"/>
      <c r="AF421" s="27"/>
      <c r="AG421" s="21" t="n">
        <f aca="false">IF(OR(AE421="",AE421=0),0,AE421*IF(U421="",0,IF(U421&gt;1,U421/100,U421)))</f>
        <v>0</v>
      </c>
      <c r="AH421" s="21" t="n">
        <f aca="false">IF(OR(AE421="",AE421=0),0,AE421*IF(X421="",0,IF(X421&gt;1,X421/100,X421)))</f>
        <v>0</v>
      </c>
      <c r="AI421" s="21" t="n">
        <f aca="false">IF(OR(AE421="",AE421=0),0,AE421*IF(AA421="",0,IF(AA421&gt;1,AA421/100,AA421)))</f>
        <v>0</v>
      </c>
      <c r="AJ421" s="21" t="n">
        <f aca="false">AG421+AH421+AI421</f>
        <v>0</v>
      </c>
      <c r="AK421" s="21" t="n">
        <f aca="false">IF(OR(AE421="",AE421=0),0,AE421-AJ421)</f>
        <v>0</v>
      </c>
      <c r="AL421" s="19" t="str">
        <f aca="false">IF(AD421="","",AD421-AK421)</f>
        <v/>
      </c>
      <c r="AM421" s="26" t="str">
        <f aca="false">IF(C421="","","Waiting for payment")</f>
        <v/>
      </c>
      <c r="AN421" s="27"/>
      <c r="AO421" s="27"/>
      <c r="AP421" s="35" t="str">
        <f aca="false">IF(OR(C421="",I421="",K421=""),"",IF(K421="Monthly",EDATE(C421,ROUND(I421*SETTINGS!$I$8,0)),WORKDAY(C421,ROUND(I421*SETTINGS!$I$8,0))))</f>
        <v/>
      </c>
      <c r="AQ421" s="26" t="str">
        <f aca="true">IF(C421="","",IF(AND(AP421&lt;&gt;"",TODAY()&gt;=AP421),"Refi Ready",IF(TODAY()-C421&gt;=SETTINGS!$I$11,"Prospecting","Performing")))</f>
        <v/>
      </c>
      <c r="AR421" s="35" t="str">
        <f aca="false">IF(OR(C421="",I421="",K421=""),"",IF(K421="Monthly",EDATE(C421,I421),WORKDAY(C421,I421)))</f>
        <v/>
      </c>
      <c r="AS421" s="28"/>
      <c r="AT421" s="36" t="str">
        <f aca="true">IF(C421="","",IF(AM421="Clawed Back","CLAWED",IF(TODAY()&lt;=C421+SETTINGS!$I$2,"⚠ AT RISK","SAFE")))</f>
        <v/>
      </c>
      <c r="AU421" s="28"/>
      <c r="AW421" s="24" t="n">
        <f aca="false">AW420+IF(AND(C421&lt;&gt;"",AO421&lt;&gt;"",OR('REP COMMISSION'!$B$3="",T421='REP COMMISSION'!$B$3,W421='REP COMMISSION'!$B$3,Z421='REP COMMISSION'!$B$3)),1,0)</f>
        <v>0</v>
      </c>
      <c r="AX421" s="24" t="n">
        <f aca="false">AX420+IF(AND(C421&lt;&gt;"",OR(F421="LOC - INITIAL",F421="CONSOLIDATION - UPFRONT COMM",F421="REVERSE - TOTAL FUNDING")),1,0)</f>
        <v>0</v>
      </c>
    </row>
    <row r="422" customFormat="false" ht="15" hidden="false" customHeight="false" outlineLevel="0" collapsed="false">
      <c r="A422" s="8" t="str">
        <f aca="false">IF(C422&lt;&gt;"","F27-"&amp;COUNT($C$4:C422),"")</f>
        <v/>
      </c>
      <c r="B422" s="9" t="str">
        <f aca="false">IF(OR(F422="LOC - INITIAL",F422="CONSOLIDATION - UPFRONT COMM",F422="REVERSE - TOTAL FUNDING"),A422,"")</f>
        <v/>
      </c>
      <c r="C422" s="10"/>
      <c r="D422" s="11"/>
      <c r="E422" s="11"/>
      <c r="F422" s="11"/>
      <c r="G422" s="12"/>
      <c r="H422" s="13"/>
      <c r="I422" s="11"/>
      <c r="J422" s="14" t="str">
        <f aca="false">IF(AND(G422&lt;&gt;"",H422&lt;&gt;""),G422*H422,"")</f>
        <v/>
      </c>
      <c r="K422" s="11"/>
      <c r="L422" s="15"/>
      <c r="M422" s="15"/>
      <c r="N422" s="14" t="n">
        <f aca="false">IF(OR(G422="",M422=""),0,IF(M422&gt;100,M422,G422*IF(M422&gt;1,M422/100,M422)))</f>
        <v>0</v>
      </c>
      <c r="O422" s="14" t="str">
        <f aca="false">IF(G422="","",G422*IF(L422="",0,IF(L422&gt;1,L422/100,L422))+N422)</f>
        <v/>
      </c>
      <c r="P422" s="11"/>
      <c r="Q422" s="16" t="str">
        <f aca="false">IF(P422="","",IFERROR(VLOOKUP(P422,PARTNERS!$A$2:$B$30,2,0),""))</f>
        <v/>
      </c>
      <c r="R422" s="17" t="str">
        <f aca="false">IF(O422="","",IF(OR(P422="",Q422=""),0,(O422-N422)*IF(Q422&gt;1,Q422/100,Q422)))</f>
        <v/>
      </c>
      <c r="S422" s="14" t="str">
        <f aca="false">IF(O422="","",O422-R422)</f>
        <v/>
      </c>
      <c r="T422" s="11"/>
      <c r="U422" s="18" t="str">
        <f aca="false">IF(T422="","",IFERROR(VLOOKUP(T422,REPS!$A$2:$D$40,2,0),""))</f>
        <v/>
      </c>
      <c r="V422" s="14" t="str">
        <f aca="false">IF(O422="","",IF(U422="",0,O422*IF(U422&gt;1,U422/100,U422)))</f>
        <v/>
      </c>
      <c r="W422" s="11"/>
      <c r="X422" s="18" t="str">
        <f aca="false">IF(W422="","",IFERROR(VLOOKUP(W422,REPS!$A$2:$D$40,3,0),""))</f>
        <v/>
      </c>
      <c r="Y422" s="14" t="str">
        <f aca="false">IF(O422="","",IF(X422="",0,O422*IF(X422&gt;1,X422/100,X422)))</f>
        <v/>
      </c>
      <c r="Z422" s="11"/>
      <c r="AA422" s="18" t="str">
        <f aca="false">IF(Z422="","",IFERROR(VLOOKUP(Z422,REPS!$A$2:$D$40,4,0),""))</f>
        <v/>
      </c>
      <c r="AB422" s="14" t="str">
        <f aca="false">IF(O422="","",IF(AA422="",0,O422*IF(AA422&gt;1,AA422/100,AA422)))</f>
        <v/>
      </c>
      <c r="AC422" s="14" t="str">
        <f aca="false">IF(O422="","",V422+Y422+AB422)</f>
        <v/>
      </c>
      <c r="AD422" s="19" t="str">
        <f aca="false">IF(O422="","",O422-R422-AC422)</f>
        <v/>
      </c>
      <c r="AE422" s="20"/>
      <c r="AF422" s="10"/>
      <c r="AG422" s="21" t="n">
        <f aca="false">IF(OR(AE422="",AE422=0),0,AE422*IF(U422="",0,IF(U422&gt;1,U422/100,U422)))</f>
        <v>0</v>
      </c>
      <c r="AH422" s="21" t="n">
        <f aca="false">IF(OR(AE422="",AE422=0),0,AE422*IF(X422="",0,IF(X422&gt;1,X422/100,X422)))</f>
        <v>0</v>
      </c>
      <c r="AI422" s="21" t="n">
        <f aca="false">IF(OR(AE422="",AE422=0),0,AE422*IF(AA422="",0,IF(AA422&gt;1,AA422/100,AA422)))</f>
        <v>0</v>
      </c>
      <c r="AJ422" s="21" t="n">
        <f aca="false">AG422+AH422+AI422</f>
        <v>0</v>
      </c>
      <c r="AK422" s="21" t="n">
        <f aca="false">IF(OR(AE422="",AE422=0),0,AE422-AJ422)</f>
        <v>0</v>
      </c>
      <c r="AL422" s="19" t="str">
        <f aca="false">IF(AD422="","",AD422-AK422)</f>
        <v/>
      </c>
      <c r="AM422" s="9" t="str">
        <f aca="false">IF(C422="","","Waiting for payment")</f>
        <v/>
      </c>
      <c r="AN422" s="10"/>
      <c r="AO422" s="10"/>
      <c r="AP422" s="22" t="str">
        <f aca="false">IF(OR(C422="",I422="",K422=""),"",IF(K422="Monthly",EDATE(C422,ROUND(I422*SETTINGS!$I$8,0)),WORKDAY(C422,ROUND(I422*SETTINGS!$I$8,0))))</f>
        <v/>
      </c>
      <c r="AQ422" s="9" t="str">
        <f aca="true">IF(C422="","",IF(AND(AP422&lt;&gt;"",TODAY()&gt;=AP422),"Refi Ready",IF(TODAY()-C422&gt;=SETTINGS!$I$11,"Prospecting","Performing")))</f>
        <v/>
      </c>
      <c r="AR422" s="22" t="str">
        <f aca="false">IF(OR(C422="",I422="",K422=""),"",IF(K422="Monthly",EDATE(C422,I422),WORKDAY(C422,I422)))</f>
        <v/>
      </c>
      <c r="AS422" s="11"/>
      <c r="AT422" s="23" t="str">
        <f aca="true">IF(C422="","",IF(AM422="Clawed Back","CLAWED",IF(TODAY()&lt;=C422+SETTINGS!$I$2,"⚠ AT RISK","SAFE")))</f>
        <v/>
      </c>
      <c r="AU422" s="11"/>
      <c r="AW422" s="24" t="n">
        <f aca="false">AW421+IF(AND(C422&lt;&gt;"",AO422&lt;&gt;"",OR('REP COMMISSION'!$B$3="",T422='REP COMMISSION'!$B$3,W422='REP COMMISSION'!$B$3,Z422='REP COMMISSION'!$B$3)),1,0)</f>
        <v>0</v>
      </c>
      <c r="AX422" s="24" t="n">
        <f aca="false">AX421+IF(AND(C422&lt;&gt;"",OR(F422="LOC - INITIAL",F422="CONSOLIDATION - UPFRONT COMM",F422="REVERSE - TOTAL FUNDING")),1,0)</f>
        <v>0</v>
      </c>
    </row>
    <row r="423" customFormat="false" ht="15" hidden="false" customHeight="false" outlineLevel="0" collapsed="false">
      <c r="A423" s="25" t="str">
        <f aca="false">IF(C423&lt;&gt;"","F27-"&amp;COUNT($C$4:C423),"")</f>
        <v/>
      </c>
      <c r="B423" s="26" t="str">
        <f aca="false">IF(OR(F423="LOC - INITIAL",F423="CONSOLIDATION - UPFRONT COMM",F423="REVERSE - TOTAL FUNDING"),A423,"")</f>
        <v/>
      </c>
      <c r="C423" s="27"/>
      <c r="D423" s="28"/>
      <c r="E423" s="28"/>
      <c r="F423" s="28"/>
      <c r="G423" s="29"/>
      <c r="H423" s="30"/>
      <c r="I423" s="28"/>
      <c r="J423" s="31" t="str">
        <f aca="false">IF(AND(G423&lt;&gt;"",H423&lt;&gt;""),G423*H423,"")</f>
        <v/>
      </c>
      <c r="K423" s="28"/>
      <c r="L423" s="32"/>
      <c r="M423" s="32"/>
      <c r="N423" s="31" t="n">
        <f aca="false">IF(OR(G423="",M423=""),0,IF(M423&gt;100,M423,G423*IF(M423&gt;1,M423/100,M423)))</f>
        <v>0</v>
      </c>
      <c r="O423" s="31" t="str">
        <f aca="false">IF(G423="","",G423*IF(L423="",0,IF(L423&gt;1,L423/100,L423))+N423)</f>
        <v/>
      </c>
      <c r="P423" s="28"/>
      <c r="Q423" s="33" t="str">
        <f aca="false">IF(P423="","",IFERROR(VLOOKUP(P423,PARTNERS!$A$2:$B$30,2,0),""))</f>
        <v/>
      </c>
      <c r="R423" s="17" t="str">
        <f aca="false">IF(O423="","",IF(OR(P423="",Q423=""),0,(O423-N423)*IF(Q423&gt;1,Q423/100,Q423)))</f>
        <v/>
      </c>
      <c r="S423" s="31" t="str">
        <f aca="false">IF(O423="","",O423-R423)</f>
        <v/>
      </c>
      <c r="T423" s="28"/>
      <c r="U423" s="34" t="str">
        <f aca="false">IF(T423="","",IFERROR(VLOOKUP(T423,REPS!$A$2:$D$40,2,0),""))</f>
        <v/>
      </c>
      <c r="V423" s="31" t="str">
        <f aca="false">IF(O423="","",IF(U423="",0,O423*IF(U423&gt;1,U423/100,U423)))</f>
        <v/>
      </c>
      <c r="W423" s="28"/>
      <c r="X423" s="34" t="str">
        <f aca="false">IF(W423="","",IFERROR(VLOOKUP(W423,REPS!$A$2:$D$40,3,0),""))</f>
        <v/>
      </c>
      <c r="Y423" s="31" t="str">
        <f aca="false">IF(O423="","",IF(X423="",0,O423*IF(X423&gt;1,X423/100,X423)))</f>
        <v/>
      </c>
      <c r="Z423" s="28"/>
      <c r="AA423" s="34" t="str">
        <f aca="false">IF(Z423="","",IFERROR(VLOOKUP(Z423,REPS!$A$2:$D$40,4,0),""))</f>
        <v/>
      </c>
      <c r="AB423" s="31" t="str">
        <f aca="false">IF(O423="","",IF(AA423="",0,O423*IF(AA423&gt;1,AA423/100,AA423)))</f>
        <v/>
      </c>
      <c r="AC423" s="31" t="str">
        <f aca="false">IF(O423="","",V423+Y423+AB423)</f>
        <v/>
      </c>
      <c r="AD423" s="19" t="str">
        <f aca="false">IF(O423="","",O423-R423-AC423)</f>
        <v/>
      </c>
      <c r="AE423" s="20"/>
      <c r="AF423" s="27"/>
      <c r="AG423" s="21" t="n">
        <f aca="false">IF(OR(AE423="",AE423=0),0,AE423*IF(U423="",0,IF(U423&gt;1,U423/100,U423)))</f>
        <v>0</v>
      </c>
      <c r="AH423" s="21" t="n">
        <f aca="false">IF(OR(AE423="",AE423=0),0,AE423*IF(X423="",0,IF(X423&gt;1,X423/100,X423)))</f>
        <v>0</v>
      </c>
      <c r="AI423" s="21" t="n">
        <f aca="false">IF(OR(AE423="",AE423=0),0,AE423*IF(AA423="",0,IF(AA423&gt;1,AA423/100,AA423)))</f>
        <v>0</v>
      </c>
      <c r="AJ423" s="21" t="n">
        <f aca="false">AG423+AH423+AI423</f>
        <v>0</v>
      </c>
      <c r="AK423" s="21" t="n">
        <f aca="false">IF(OR(AE423="",AE423=0),0,AE423-AJ423)</f>
        <v>0</v>
      </c>
      <c r="AL423" s="19" t="str">
        <f aca="false">IF(AD423="","",AD423-AK423)</f>
        <v/>
      </c>
      <c r="AM423" s="26" t="str">
        <f aca="false">IF(C423="","","Waiting for payment")</f>
        <v/>
      </c>
      <c r="AN423" s="27"/>
      <c r="AO423" s="27"/>
      <c r="AP423" s="35" t="str">
        <f aca="false">IF(OR(C423="",I423="",K423=""),"",IF(K423="Monthly",EDATE(C423,ROUND(I423*SETTINGS!$I$8,0)),WORKDAY(C423,ROUND(I423*SETTINGS!$I$8,0))))</f>
        <v/>
      </c>
      <c r="AQ423" s="26" t="str">
        <f aca="true">IF(C423="","",IF(AND(AP423&lt;&gt;"",TODAY()&gt;=AP423),"Refi Ready",IF(TODAY()-C423&gt;=SETTINGS!$I$11,"Prospecting","Performing")))</f>
        <v/>
      </c>
      <c r="AR423" s="35" t="str">
        <f aca="false">IF(OR(C423="",I423="",K423=""),"",IF(K423="Monthly",EDATE(C423,I423),WORKDAY(C423,I423)))</f>
        <v/>
      </c>
      <c r="AS423" s="28"/>
      <c r="AT423" s="36" t="str">
        <f aca="true">IF(C423="","",IF(AM423="Clawed Back","CLAWED",IF(TODAY()&lt;=C423+SETTINGS!$I$2,"⚠ AT RISK","SAFE")))</f>
        <v/>
      </c>
      <c r="AU423" s="28"/>
      <c r="AW423" s="24" t="n">
        <f aca="false">AW422+IF(AND(C423&lt;&gt;"",AO423&lt;&gt;"",OR('REP COMMISSION'!$B$3="",T423='REP COMMISSION'!$B$3,W423='REP COMMISSION'!$B$3,Z423='REP COMMISSION'!$B$3)),1,0)</f>
        <v>0</v>
      </c>
      <c r="AX423" s="24" t="n">
        <f aca="false">AX422+IF(AND(C423&lt;&gt;"",OR(F423="LOC - INITIAL",F423="CONSOLIDATION - UPFRONT COMM",F423="REVERSE - TOTAL FUNDING")),1,0)</f>
        <v>0</v>
      </c>
    </row>
    <row r="424" customFormat="false" ht="15" hidden="false" customHeight="false" outlineLevel="0" collapsed="false">
      <c r="A424" s="8" t="str">
        <f aca="false">IF(C424&lt;&gt;"","F27-"&amp;COUNT($C$4:C424),"")</f>
        <v/>
      </c>
      <c r="B424" s="9" t="str">
        <f aca="false">IF(OR(F424="LOC - INITIAL",F424="CONSOLIDATION - UPFRONT COMM",F424="REVERSE - TOTAL FUNDING"),A424,"")</f>
        <v/>
      </c>
      <c r="C424" s="10"/>
      <c r="D424" s="11"/>
      <c r="E424" s="11"/>
      <c r="F424" s="11"/>
      <c r="G424" s="12"/>
      <c r="H424" s="13"/>
      <c r="I424" s="11"/>
      <c r="J424" s="14" t="str">
        <f aca="false">IF(AND(G424&lt;&gt;"",H424&lt;&gt;""),G424*H424,"")</f>
        <v/>
      </c>
      <c r="K424" s="11"/>
      <c r="L424" s="15"/>
      <c r="M424" s="15"/>
      <c r="N424" s="14" t="n">
        <f aca="false">IF(OR(G424="",M424=""),0,IF(M424&gt;100,M424,G424*IF(M424&gt;1,M424/100,M424)))</f>
        <v>0</v>
      </c>
      <c r="O424" s="14" t="str">
        <f aca="false">IF(G424="","",G424*IF(L424="",0,IF(L424&gt;1,L424/100,L424))+N424)</f>
        <v/>
      </c>
      <c r="P424" s="11"/>
      <c r="Q424" s="16" t="str">
        <f aca="false">IF(P424="","",IFERROR(VLOOKUP(P424,PARTNERS!$A$2:$B$30,2,0),""))</f>
        <v/>
      </c>
      <c r="R424" s="17" t="str">
        <f aca="false">IF(O424="","",IF(OR(P424="",Q424=""),0,(O424-N424)*IF(Q424&gt;1,Q424/100,Q424)))</f>
        <v/>
      </c>
      <c r="S424" s="14" t="str">
        <f aca="false">IF(O424="","",O424-R424)</f>
        <v/>
      </c>
      <c r="T424" s="11"/>
      <c r="U424" s="18" t="str">
        <f aca="false">IF(T424="","",IFERROR(VLOOKUP(T424,REPS!$A$2:$D$40,2,0),""))</f>
        <v/>
      </c>
      <c r="V424" s="14" t="str">
        <f aca="false">IF(O424="","",IF(U424="",0,O424*IF(U424&gt;1,U424/100,U424)))</f>
        <v/>
      </c>
      <c r="W424" s="11"/>
      <c r="X424" s="18" t="str">
        <f aca="false">IF(W424="","",IFERROR(VLOOKUP(W424,REPS!$A$2:$D$40,3,0),""))</f>
        <v/>
      </c>
      <c r="Y424" s="14" t="str">
        <f aca="false">IF(O424="","",IF(X424="",0,O424*IF(X424&gt;1,X424/100,X424)))</f>
        <v/>
      </c>
      <c r="Z424" s="11"/>
      <c r="AA424" s="18" t="str">
        <f aca="false">IF(Z424="","",IFERROR(VLOOKUP(Z424,REPS!$A$2:$D$40,4,0),""))</f>
        <v/>
      </c>
      <c r="AB424" s="14" t="str">
        <f aca="false">IF(O424="","",IF(AA424="",0,O424*IF(AA424&gt;1,AA424/100,AA424)))</f>
        <v/>
      </c>
      <c r="AC424" s="14" t="str">
        <f aca="false">IF(O424="","",V424+Y424+AB424)</f>
        <v/>
      </c>
      <c r="AD424" s="19" t="str">
        <f aca="false">IF(O424="","",O424-R424-AC424)</f>
        <v/>
      </c>
      <c r="AE424" s="20"/>
      <c r="AF424" s="10"/>
      <c r="AG424" s="21" t="n">
        <f aca="false">IF(OR(AE424="",AE424=0),0,AE424*IF(U424="",0,IF(U424&gt;1,U424/100,U424)))</f>
        <v>0</v>
      </c>
      <c r="AH424" s="21" t="n">
        <f aca="false">IF(OR(AE424="",AE424=0),0,AE424*IF(X424="",0,IF(X424&gt;1,X424/100,X424)))</f>
        <v>0</v>
      </c>
      <c r="AI424" s="21" t="n">
        <f aca="false">IF(OR(AE424="",AE424=0),0,AE424*IF(AA424="",0,IF(AA424&gt;1,AA424/100,AA424)))</f>
        <v>0</v>
      </c>
      <c r="AJ424" s="21" t="n">
        <f aca="false">AG424+AH424+AI424</f>
        <v>0</v>
      </c>
      <c r="AK424" s="21" t="n">
        <f aca="false">IF(OR(AE424="",AE424=0),0,AE424-AJ424)</f>
        <v>0</v>
      </c>
      <c r="AL424" s="19" t="str">
        <f aca="false">IF(AD424="","",AD424-AK424)</f>
        <v/>
      </c>
      <c r="AM424" s="9" t="str">
        <f aca="false">IF(C424="","","Waiting for payment")</f>
        <v/>
      </c>
      <c r="AN424" s="10"/>
      <c r="AO424" s="10"/>
      <c r="AP424" s="22" t="str">
        <f aca="false">IF(OR(C424="",I424="",K424=""),"",IF(K424="Monthly",EDATE(C424,ROUND(I424*SETTINGS!$I$8,0)),WORKDAY(C424,ROUND(I424*SETTINGS!$I$8,0))))</f>
        <v/>
      </c>
      <c r="AQ424" s="9" t="str">
        <f aca="true">IF(C424="","",IF(AND(AP424&lt;&gt;"",TODAY()&gt;=AP424),"Refi Ready",IF(TODAY()-C424&gt;=SETTINGS!$I$11,"Prospecting","Performing")))</f>
        <v/>
      </c>
      <c r="AR424" s="22" t="str">
        <f aca="false">IF(OR(C424="",I424="",K424=""),"",IF(K424="Monthly",EDATE(C424,I424),WORKDAY(C424,I424)))</f>
        <v/>
      </c>
      <c r="AS424" s="11"/>
      <c r="AT424" s="23" t="str">
        <f aca="true">IF(C424="","",IF(AM424="Clawed Back","CLAWED",IF(TODAY()&lt;=C424+SETTINGS!$I$2,"⚠ AT RISK","SAFE")))</f>
        <v/>
      </c>
      <c r="AU424" s="11"/>
      <c r="AW424" s="24" t="n">
        <f aca="false">AW423+IF(AND(C424&lt;&gt;"",AO424&lt;&gt;"",OR('REP COMMISSION'!$B$3="",T424='REP COMMISSION'!$B$3,W424='REP COMMISSION'!$B$3,Z424='REP COMMISSION'!$B$3)),1,0)</f>
        <v>0</v>
      </c>
      <c r="AX424" s="24" t="n">
        <f aca="false">AX423+IF(AND(C424&lt;&gt;"",OR(F424="LOC - INITIAL",F424="CONSOLIDATION - UPFRONT COMM",F424="REVERSE - TOTAL FUNDING")),1,0)</f>
        <v>0</v>
      </c>
    </row>
    <row r="425" customFormat="false" ht="15" hidden="false" customHeight="false" outlineLevel="0" collapsed="false">
      <c r="A425" s="25" t="str">
        <f aca="false">IF(C425&lt;&gt;"","F27-"&amp;COUNT($C$4:C425),"")</f>
        <v/>
      </c>
      <c r="B425" s="26" t="str">
        <f aca="false">IF(OR(F425="LOC - INITIAL",F425="CONSOLIDATION - UPFRONT COMM",F425="REVERSE - TOTAL FUNDING"),A425,"")</f>
        <v/>
      </c>
      <c r="C425" s="27"/>
      <c r="D425" s="28"/>
      <c r="E425" s="28"/>
      <c r="F425" s="28"/>
      <c r="G425" s="29"/>
      <c r="H425" s="30"/>
      <c r="I425" s="28"/>
      <c r="J425" s="31" t="str">
        <f aca="false">IF(AND(G425&lt;&gt;"",H425&lt;&gt;""),G425*H425,"")</f>
        <v/>
      </c>
      <c r="K425" s="28"/>
      <c r="L425" s="32"/>
      <c r="M425" s="32"/>
      <c r="N425" s="31" t="n">
        <f aca="false">IF(OR(G425="",M425=""),0,IF(M425&gt;100,M425,G425*IF(M425&gt;1,M425/100,M425)))</f>
        <v>0</v>
      </c>
      <c r="O425" s="31" t="str">
        <f aca="false">IF(G425="","",G425*IF(L425="",0,IF(L425&gt;1,L425/100,L425))+N425)</f>
        <v/>
      </c>
      <c r="P425" s="28"/>
      <c r="Q425" s="33" t="str">
        <f aca="false">IF(P425="","",IFERROR(VLOOKUP(P425,PARTNERS!$A$2:$B$30,2,0),""))</f>
        <v/>
      </c>
      <c r="R425" s="17" t="str">
        <f aca="false">IF(O425="","",IF(OR(P425="",Q425=""),0,(O425-N425)*IF(Q425&gt;1,Q425/100,Q425)))</f>
        <v/>
      </c>
      <c r="S425" s="31" t="str">
        <f aca="false">IF(O425="","",O425-R425)</f>
        <v/>
      </c>
      <c r="T425" s="28"/>
      <c r="U425" s="34" t="str">
        <f aca="false">IF(T425="","",IFERROR(VLOOKUP(T425,REPS!$A$2:$D$40,2,0),""))</f>
        <v/>
      </c>
      <c r="V425" s="31" t="str">
        <f aca="false">IF(O425="","",IF(U425="",0,O425*IF(U425&gt;1,U425/100,U425)))</f>
        <v/>
      </c>
      <c r="W425" s="28"/>
      <c r="X425" s="34" t="str">
        <f aca="false">IF(W425="","",IFERROR(VLOOKUP(W425,REPS!$A$2:$D$40,3,0),""))</f>
        <v/>
      </c>
      <c r="Y425" s="31" t="str">
        <f aca="false">IF(O425="","",IF(X425="",0,O425*IF(X425&gt;1,X425/100,X425)))</f>
        <v/>
      </c>
      <c r="Z425" s="28"/>
      <c r="AA425" s="34" t="str">
        <f aca="false">IF(Z425="","",IFERROR(VLOOKUP(Z425,REPS!$A$2:$D$40,4,0),""))</f>
        <v/>
      </c>
      <c r="AB425" s="31" t="str">
        <f aca="false">IF(O425="","",IF(AA425="",0,O425*IF(AA425&gt;1,AA425/100,AA425)))</f>
        <v/>
      </c>
      <c r="AC425" s="31" t="str">
        <f aca="false">IF(O425="","",V425+Y425+AB425)</f>
        <v/>
      </c>
      <c r="AD425" s="19" t="str">
        <f aca="false">IF(O425="","",O425-R425-AC425)</f>
        <v/>
      </c>
      <c r="AE425" s="20"/>
      <c r="AF425" s="27"/>
      <c r="AG425" s="21" t="n">
        <f aca="false">IF(OR(AE425="",AE425=0),0,AE425*IF(U425="",0,IF(U425&gt;1,U425/100,U425)))</f>
        <v>0</v>
      </c>
      <c r="AH425" s="21" t="n">
        <f aca="false">IF(OR(AE425="",AE425=0),0,AE425*IF(X425="",0,IF(X425&gt;1,X425/100,X425)))</f>
        <v>0</v>
      </c>
      <c r="AI425" s="21" t="n">
        <f aca="false">IF(OR(AE425="",AE425=0),0,AE425*IF(AA425="",0,IF(AA425&gt;1,AA425/100,AA425)))</f>
        <v>0</v>
      </c>
      <c r="AJ425" s="21" t="n">
        <f aca="false">AG425+AH425+AI425</f>
        <v>0</v>
      </c>
      <c r="AK425" s="21" t="n">
        <f aca="false">IF(OR(AE425="",AE425=0),0,AE425-AJ425)</f>
        <v>0</v>
      </c>
      <c r="AL425" s="19" t="str">
        <f aca="false">IF(AD425="","",AD425-AK425)</f>
        <v/>
      </c>
      <c r="AM425" s="26" t="str">
        <f aca="false">IF(C425="","","Waiting for payment")</f>
        <v/>
      </c>
      <c r="AN425" s="27"/>
      <c r="AO425" s="27"/>
      <c r="AP425" s="35" t="str">
        <f aca="false">IF(OR(C425="",I425="",K425=""),"",IF(K425="Monthly",EDATE(C425,ROUND(I425*SETTINGS!$I$8,0)),WORKDAY(C425,ROUND(I425*SETTINGS!$I$8,0))))</f>
        <v/>
      </c>
      <c r="AQ425" s="26" t="str">
        <f aca="true">IF(C425="","",IF(AND(AP425&lt;&gt;"",TODAY()&gt;=AP425),"Refi Ready",IF(TODAY()-C425&gt;=SETTINGS!$I$11,"Prospecting","Performing")))</f>
        <v/>
      </c>
      <c r="AR425" s="35" t="str">
        <f aca="false">IF(OR(C425="",I425="",K425=""),"",IF(K425="Monthly",EDATE(C425,I425),WORKDAY(C425,I425)))</f>
        <v/>
      </c>
      <c r="AS425" s="28"/>
      <c r="AT425" s="36" t="str">
        <f aca="true">IF(C425="","",IF(AM425="Clawed Back","CLAWED",IF(TODAY()&lt;=C425+SETTINGS!$I$2,"⚠ AT RISK","SAFE")))</f>
        <v/>
      </c>
      <c r="AU425" s="28"/>
      <c r="AW425" s="24" t="n">
        <f aca="false">AW424+IF(AND(C425&lt;&gt;"",AO425&lt;&gt;"",OR('REP COMMISSION'!$B$3="",T425='REP COMMISSION'!$B$3,W425='REP COMMISSION'!$B$3,Z425='REP COMMISSION'!$B$3)),1,0)</f>
        <v>0</v>
      </c>
      <c r="AX425" s="24" t="n">
        <f aca="false">AX424+IF(AND(C425&lt;&gt;"",OR(F425="LOC - INITIAL",F425="CONSOLIDATION - UPFRONT COMM",F425="REVERSE - TOTAL FUNDING")),1,0)</f>
        <v>0</v>
      </c>
    </row>
    <row r="426" customFormat="false" ht="15" hidden="false" customHeight="false" outlineLevel="0" collapsed="false">
      <c r="A426" s="8" t="str">
        <f aca="false">IF(C426&lt;&gt;"","F27-"&amp;COUNT($C$4:C426),"")</f>
        <v/>
      </c>
      <c r="B426" s="9" t="str">
        <f aca="false">IF(OR(F426="LOC - INITIAL",F426="CONSOLIDATION - UPFRONT COMM",F426="REVERSE - TOTAL FUNDING"),A426,"")</f>
        <v/>
      </c>
      <c r="C426" s="10"/>
      <c r="D426" s="11"/>
      <c r="E426" s="11"/>
      <c r="F426" s="11"/>
      <c r="G426" s="12"/>
      <c r="H426" s="13"/>
      <c r="I426" s="11"/>
      <c r="J426" s="14" t="str">
        <f aca="false">IF(AND(G426&lt;&gt;"",H426&lt;&gt;""),G426*H426,"")</f>
        <v/>
      </c>
      <c r="K426" s="11"/>
      <c r="L426" s="15"/>
      <c r="M426" s="15"/>
      <c r="N426" s="14" t="n">
        <f aca="false">IF(OR(G426="",M426=""),0,IF(M426&gt;100,M426,G426*IF(M426&gt;1,M426/100,M426)))</f>
        <v>0</v>
      </c>
      <c r="O426" s="14" t="str">
        <f aca="false">IF(G426="","",G426*IF(L426="",0,IF(L426&gt;1,L426/100,L426))+N426)</f>
        <v/>
      </c>
      <c r="P426" s="11"/>
      <c r="Q426" s="16" t="str">
        <f aca="false">IF(P426="","",IFERROR(VLOOKUP(P426,PARTNERS!$A$2:$B$30,2,0),""))</f>
        <v/>
      </c>
      <c r="R426" s="17" t="str">
        <f aca="false">IF(O426="","",IF(OR(P426="",Q426=""),0,(O426-N426)*IF(Q426&gt;1,Q426/100,Q426)))</f>
        <v/>
      </c>
      <c r="S426" s="14" t="str">
        <f aca="false">IF(O426="","",O426-R426)</f>
        <v/>
      </c>
      <c r="T426" s="11"/>
      <c r="U426" s="18" t="str">
        <f aca="false">IF(T426="","",IFERROR(VLOOKUP(T426,REPS!$A$2:$D$40,2,0),""))</f>
        <v/>
      </c>
      <c r="V426" s="14" t="str">
        <f aca="false">IF(O426="","",IF(U426="",0,O426*IF(U426&gt;1,U426/100,U426)))</f>
        <v/>
      </c>
      <c r="W426" s="11"/>
      <c r="X426" s="18" t="str">
        <f aca="false">IF(W426="","",IFERROR(VLOOKUP(W426,REPS!$A$2:$D$40,3,0),""))</f>
        <v/>
      </c>
      <c r="Y426" s="14" t="str">
        <f aca="false">IF(O426="","",IF(X426="",0,O426*IF(X426&gt;1,X426/100,X426)))</f>
        <v/>
      </c>
      <c r="Z426" s="11"/>
      <c r="AA426" s="18" t="str">
        <f aca="false">IF(Z426="","",IFERROR(VLOOKUP(Z426,REPS!$A$2:$D$40,4,0),""))</f>
        <v/>
      </c>
      <c r="AB426" s="14" t="str">
        <f aca="false">IF(O426="","",IF(AA426="",0,O426*IF(AA426&gt;1,AA426/100,AA426)))</f>
        <v/>
      </c>
      <c r="AC426" s="14" t="str">
        <f aca="false">IF(O426="","",V426+Y426+AB426)</f>
        <v/>
      </c>
      <c r="AD426" s="19" t="str">
        <f aca="false">IF(O426="","",O426-R426-AC426)</f>
        <v/>
      </c>
      <c r="AE426" s="20"/>
      <c r="AF426" s="10"/>
      <c r="AG426" s="21" t="n">
        <f aca="false">IF(OR(AE426="",AE426=0),0,AE426*IF(U426="",0,IF(U426&gt;1,U426/100,U426)))</f>
        <v>0</v>
      </c>
      <c r="AH426" s="21" t="n">
        <f aca="false">IF(OR(AE426="",AE426=0),0,AE426*IF(X426="",0,IF(X426&gt;1,X426/100,X426)))</f>
        <v>0</v>
      </c>
      <c r="AI426" s="21" t="n">
        <f aca="false">IF(OR(AE426="",AE426=0),0,AE426*IF(AA426="",0,IF(AA426&gt;1,AA426/100,AA426)))</f>
        <v>0</v>
      </c>
      <c r="AJ426" s="21" t="n">
        <f aca="false">AG426+AH426+AI426</f>
        <v>0</v>
      </c>
      <c r="AK426" s="21" t="n">
        <f aca="false">IF(OR(AE426="",AE426=0),0,AE426-AJ426)</f>
        <v>0</v>
      </c>
      <c r="AL426" s="19" t="str">
        <f aca="false">IF(AD426="","",AD426-AK426)</f>
        <v/>
      </c>
      <c r="AM426" s="9" t="str">
        <f aca="false">IF(C426="","","Waiting for payment")</f>
        <v/>
      </c>
      <c r="AN426" s="10"/>
      <c r="AO426" s="10"/>
      <c r="AP426" s="22" t="str">
        <f aca="false">IF(OR(C426="",I426="",K426=""),"",IF(K426="Monthly",EDATE(C426,ROUND(I426*SETTINGS!$I$8,0)),WORKDAY(C426,ROUND(I426*SETTINGS!$I$8,0))))</f>
        <v/>
      </c>
      <c r="AQ426" s="9" t="str">
        <f aca="true">IF(C426="","",IF(AND(AP426&lt;&gt;"",TODAY()&gt;=AP426),"Refi Ready",IF(TODAY()-C426&gt;=SETTINGS!$I$11,"Prospecting","Performing")))</f>
        <v/>
      </c>
      <c r="AR426" s="22" t="str">
        <f aca="false">IF(OR(C426="",I426="",K426=""),"",IF(K426="Monthly",EDATE(C426,I426),WORKDAY(C426,I426)))</f>
        <v/>
      </c>
      <c r="AS426" s="11"/>
      <c r="AT426" s="23" t="str">
        <f aca="true">IF(C426="","",IF(AM426="Clawed Back","CLAWED",IF(TODAY()&lt;=C426+SETTINGS!$I$2,"⚠ AT RISK","SAFE")))</f>
        <v/>
      </c>
      <c r="AU426" s="11"/>
      <c r="AW426" s="24" t="n">
        <f aca="false">AW425+IF(AND(C426&lt;&gt;"",AO426&lt;&gt;"",OR('REP COMMISSION'!$B$3="",T426='REP COMMISSION'!$B$3,W426='REP COMMISSION'!$B$3,Z426='REP COMMISSION'!$B$3)),1,0)</f>
        <v>0</v>
      </c>
      <c r="AX426" s="24" t="n">
        <f aca="false">AX425+IF(AND(C426&lt;&gt;"",OR(F426="LOC - INITIAL",F426="CONSOLIDATION - UPFRONT COMM",F426="REVERSE - TOTAL FUNDING")),1,0)</f>
        <v>0</v>
      </c>
    </row>
    <row r="427" customFormat="false" ht="15" hidden="false" customHeight="false" outlineLevel="0" collapsed="false">
      <c r="A427" s="25" t="str">
        <f aca="false">IF(C427&lt;&gt;"","F27-"&amp;COUNT($C$4:C427),"")</f>
        <v/>
      </c>
      <c r="B427" s="26" t="str">
        <f aca="false">IF(OR(F427="LOC - INITIAL",F427="CONSOLIDATION - UPFRONT COMM",F427="REVERSE - TOTAL FUNDING"),A427,"")</f>
        <v/>
      </c>
      <c r="C427" s="27"/>
      <c r="D427" s="28"/>
      <c r="E427" s="28"/>
      <c r="F427" s="28"/>
      <c r="G427" s="29"/>
      <c r="H427" s="30"/>
      <c r="I427" s="28"/>
      <c r="J427" s="31" t="str">
        <f aca="false">IF(AND(G427&lt;&gt;"",H427&lt;&gt;""),G427*H427,"")</f>
        <v/>
      </c>
      <c r="K427" s="28"/>
      <c r="L427" s="32"/>
      <c r="M427" s="32"/>
      <c r="N427" s="31" t="n">
        <f aca="false">IF(OR(G427="",M427=""),0,IF(M427&gt;100,M427,G427*IF(M427&gt;1,M427/100,M427)))</f>
        <v>0</v>
      </c>
      <c r="O427" s="31" t="str">
        <f aca="false">IF(G427="","",G427*IF(L427="",0,IF(L427&gt;1,L427/100,L427))+N427)</f>
        <v/>
      </c>
      <c r="P427" s="28"/>
      <c r="Q427" s="33" t="str">
        <f aca="false">IF(P427="","",IFERROR(VLOOKUP(P427,PARTNERS!$A$2:$B$30,2,0),""))</f>
        <v/>
      </c>
      <c r="R427" s="17" t="str">
        <f aca="false">IF(O427="","",IF(OR(P427="",Q427=""),0,(O427-N427)*IF(Q427&gt;1,Q427/100,Q427)))</f>
        <v/>
      </c>
      <c r="S427" s="31" t="str">
        <f aca="false">IF(O427="","",O427-R427)</f>
        <v/>
      </c>
      <c r="T427" s="28"/>
      <c r="U427" s="34" t="str">
        <f aca="false">IF(T427="","",IFERROR(VLOOKUP(T427,REPS!$A$2:$D$40,2,0),""))</f>
        <v/>
      </c>
      <c r="V427" s="31" t="str">
        <f aca="false">IF(O427="","",IF(U427="",0,O427*IF(U427&gt;1,U427/100,U427)))</f>
        <v/>
      </c>
      <c r="W427" s="28"/>
      <c r="X427" s="34" t="str">
        <f aca="false">IF(W427="","",IFERROR(VLOOKUP(W427,REPS!$A$2:$D$40,3,0),""))</f>
        <v/>
      </c>
      <c r="Y427" s="31" t="str">
        <f aca="false">IF(O427="","",IF(X427="",0,O427*IF(X427&gt;1,X427/100,X427)))</f>
        <v/>
      </c>
      <c r="Z427" s="28"/>
      <c r="AA427" s="34" t="str">
        <f aca="false">IF(Z427="","",IFERROR(VLOOKUP(Z427,REPS!$A$2:$D$40,4,0),""))</f>
        <v/>
      </c>
      <c r="AB427" s="31" t="str">
        <f aca="false">IF(O427="","",IF(AA427="",0,O427*IF(AA427&gt;1,AA427/100,AA427)))</f>
        <v/>
      </c>
      <c r="AC427" s="31" t="str">
        <f aca="false">IF(O427="","",V427+Y427+AB427)</f>
        <v/>
      </c>
      <c r="AD427" s="19" t="str">
        <f aca="false">IF(O427="","",O427-R427-AC427)</f>
        <v/>
      </c>
      <c r="AE427" s="20"/>
      <c r="AF427" s="27"/>
      <c r="AG427" s="21" t="n">
        <f aca="false">IF(OR(AE427="",AE427=0),0,AE427*IF(U427="",0,IF(U427&gt;1,U427/100,U427)))</f>
        <v>0</v>
      </c>
      <c r="AH427" s="21" t="n">
        <f aca="false">IF(OR(AE427="",AE427=0),0,AE427*IF(X427="",0,IF(X427&gt;1,X427/100,X427)))</f>
        <v>0</v>
      </c>
      <c r="AI427" s="21" t="n">
        <f aca="false">IF(OR(AE427="",AE427=0),0,AE427*IF(AA427="",0,IF(AA427&gt;1,AA427/100,AA427)))</f>
        <v>0</v>
      </c>
      <c r="AJ427" s="21" t="n">
        <f aca="false">AG427+AH427+AI427</f>
        <v>0</v>
      </c>
      <c r="AK427" s="21" t="n">
        <f aca="false">IF(OR(AE427="",AE427=0),0,AE427-AJ427)</f>
        <v>0</v>
      </c>
      <c r="AL427" s="19" t="str">
        <f aca="false">IF(AD427="","",AD427-AK427)</f>
        <v/>
      </c>
      <c r="AM427" s="26" t="str">
        <f aca="false">IF(C427="","","Waiting for payment")</f>
        <v/>
      </c>
      <c r="AN427" s="27"/>
      <c r="AO427" s="27"/>
      <c r="AP427" s="35" t="str">
        <f aca="false">IF(OR(C427="",I427="",K427=""),"",IF(K427="Monthly",EDATE(C427,ROUND(I427*SETTINGS!$I$8,0)),WORKDAY(C427,ROUND(I427*SETTINGS!$I$8,0))))</f>
        <v/>
      </c>
      <c r="AQ427" s="26" t="str">
        <f aca="true">IF(C427="","",IF(AND(AP427&lt;&gt;"",TODAY()&gt;=AP427),"Refi Ready",IF(TODAY()-C427&gt;=SETTINGS!$I$11,"Prospecting","Performing")))</f>
        <v/>
      </c>
      <c r="AR427" s="35" t="str">
        <f aca="false">IF(OR(C427="",I427="",K427=""),"",IF(K427="Monthly",EDATE(C427,I427),WORKDAY(C427,I427)))</f>
        <v/>
      </c>
      <c r="AS427" s="28"/>
      <c r="AT427" s="36" t="str">
        <f aca="true">IF(C427="","",IF(AM427="Clawed Back","CLAWED",IF(TODAY()&lt;=C427+SETTINGS!$I$2,"⚠ AT RISK","SAFE")))</f>
        <v/>
      </c>
      <c r="AU427" s="28"/>
      <c r="AW427" s="24" t="n">
        <f aca="false">AW426+IF(AND(C427&lt;&gt;"",AO427&lt;&gt;"",OR('REP COMMISSION'!$B$3="",T427='REP COMMISSION'!$B$3,W427='REP COMMISSION'!$B$3,Z427='REP COMMISSION'!$B$3)),1,0)</f>
        <v>0</v>
      </c>
      <c r="AX427" s="24" t="n">
        <f aca="false">AX426+IF(AND(C427&lt;&gt;"",OR(F427="LOC - INITIAL",F427="CONSOLIDATION - UPFRONT COMM",F427="REVERSE - TOTAL FUNDING")),1,0)</f>
        <v>0</v>
      </c>
    </row>
    <row r="428" customFormat="false" ht="15" hidden="false" customHeight="false" outlineLevel="0" collapsed="false">
      <c r="A428" s="8" t="str">
        <f aca="false">IF(C428&lt;&gt;"","F27-"&amp;COUNT($C$4:C428),"")</f>
        <v/>
      </c>
      <c r="B428" s="9" t="str">
        <f aca="false">IF(OR(F428="LOC - INITIAL",F428="CONSOLIDATION - UPFRONT COMM",F428="REVERSE - TOTAL FUNDING"),A428,"")</f>
        <v/>
      </c>
      <c r="C428" s="10"/>
      <c r="D428" s="11"/>
      <c r="E428" s="11"/>
      <c r="F428" s="11"/>
      <c r="G428" s="12"/>
      <c r="H428" s="13"/>
      <c r="I428" s="11"/>
      <c r="J428" s="14" t="str">
        <f aca="false">IF(AND(G428&lt;&gt;"",H428&lt;&gt;""),G428*H428,"")</f>
        <v/>
      </c>
      <c r="K428" s="11"/>
      <c r="L428" s="15"/>
      <c r="M428" s="15"/>
      <c r="N428" s="14" t="n">
        <f aca="false">IF(OR(G428="",M428=""),0,IF(M428&gt;100,M428,G428*IF(M428&gt;1,M428/100,M428)))</f>
        <v>0</v>
      </c>
      <c r="O428" s="14" t="str">
        <f aca="false">IF(G428="","",G428*IF(L428="",0,IF(L428&gt;1,L428/100,L428))+N428)</f>
        <v/>
      </c>
      <c r="P428" s="11"/>
      <c r="Q428" s="16" t="str">
        <f aca="false">IF(P428="","",IFERROR(VLOOKUP(P428,PARTNERS!$A$2:$B$30,2,0),""))</f>
        <v/>
      </c>
      <c r="R428" s="17" t="str">
        <f aca="false">IF(O428="","",IF(OR(P428="",Q428=""),0,(O428-N428)*IF(Q428&gt;1,Q428/100,Q428)))</f>
        <v/>
      </c>
      <c r="S428" s="14" t="str">
        <f aca="false">IF(O428="","",O428-R428)</f>
        <v/>
      </c>
      <c r="T428" s="11"/>
      <c r="U428" s="18" t="str">
        <f aca="false">IF(T428="","",IFERROR(VLOOKUP(T428,REPS!$A$2:$D$40,2,0),""))</f>
        <v/>
      </c>
      <c r="V428" s="14" t="str">
        <f aca="false">IF(O428="","",IF(U428="",0,O428*IF(U428&gt;1,U428/100,U428)))</f>
        <v/>
      </c>
      <c r="W428" s="11"/>
      <c r="X428" s="18" t="str">
        <f aca="false">IF(W428="","",IFERROR(VLOOKUP(W428,REPS!$A$2:$D$40,3,0),""))</f>
        <v/>
      </c>
      <c r="Y428" s="14" t="str">
        <f aca="false">IF(O428="","",IF(X428="",0,O428*IF(X428&gt;1,X428/100,X428)))</f>
        <v/>
      </c>
      <c r="Z428" s="11"/>
      <c r="AA428" s="18" t="str">
        <f aca="false">IF(Z428="","",IFERROR(VLOOKUP(Z428,REPS!$A$2:$D$40,4,0),""))</f>
        <v/>
      </c>
      <c r="AB428" s="14" t="str">
        <f aca="false">IF(O428="","",IF(AA428="",0,O428*IF(AA428&gt;1,AA428/100,AA428)))</f>
        <v/>
      </c>
      <c r="AC428" s="14" t="str">
        <f aca="false">IF(O428="","",V428+Y428+AB428)</f>
        <v/>
      </c>
      <c r="AD428" s="19" t="str">
        <f aca="false">IF(O428="","",O428-R428-AC428)</f>
        <v/>
      </c>
      <c r="AE428" s="20"/>
      <c r="AF428" s="10"/>
      <c r="AG428" s="21" t="n">
        <f aca="false">IF(OR(AE428="",AE428=0),0,AE428*IF(U428="",0,IF(U428&gt;1,U428/100,U428)))</f>
        <v>0</v>
      </c>
      <c r="AH428" s="21" t="n">
        <f aca="false">IF(OR(AE428="",AE428=0),0,AE428*IF(X428="",0,IF(X428&gt;1,X428/100,X428)))</f>
        <v>0</v>
      </c>
      <c r="AI428" s="21" t="n">
        <f aca="false">IF(OR(AE428="",AE428=0),0,AE428*IF(AA428="",0,IF(AA428&gt;1,AA428/100,AA428)))</f>
        <v>0</v>
      </c>
      <c r="AJ428" s="21" t="n">
        <f aca="false">AG428+AH428+AI428</f>
        <v>0</v>
      </c>
      <c r="AK428" s="21" t="n">
        <f aca="false">IF(OR(AE428="",AE428=0),0,AE428-AJ428)</f>
        <v>0</v>
      </c>
      <c r="AL428" s="19" t="str">
        <f aca="false">IF(AD428="","",AD428-AK428)</f>
        <v/>
      </c>
      <c r="AM428" s="9" t="str">
        <f aca="false">IF(C428="","","Waiting for payment")</f>
        <v/>
      </c>
      <c r="AN428" s="10"/>
      <c r="AO428" s="10"/>
      <c r="AP428" s="22" t="str">
        <f aca="false">IF(OR(C428="",I428="",K428=""),"",IF(K428="Monthly",EDATE(C428,ROUND(I428*SETTINGS!$I$8,0)),WORKDAY(C428,ROUND(I428*SETTINGS!$I$8,0))))</f>
        <v/>
      </c>
      <c r="AQ428" s="9" t="str">
        <f aca="true">IF(C428="","",IF(AND(AP428&lt;&gt;"",TODAY()&gt;=AP428),"Refi Ready",IF(TODAY()-C428&gt;=SETTINGS!$I$11,"Prospecting","Performing")))</f>
        <v/>
      </c>
      <c r="AR428" s="22" t="str">
        <f aca="false">IF(OR(C428="",I428="",K428=""),"",IF(K428="Monthly",EDATE(C428,I428),WORKDAY(C428,I428)))</f>
        <v/>
      </c>
      <c r="AS428" s="11"/>
      <c r="AT428" s="23" t="str">
        <f aca="true">IF(C428="","",IF(AM428="Clawed Back","CLAWED",IF(TODAY()&lt;=C428+SETTINGS!$I$2,"⚠ AT RISK","SAFE")))</f>
        <v/>
      </c>
      <c r="AU428" s="11"/>
      <c r="AW428" s="24" t="n">
        <f aca="false">AW427+IF(AND(C428&lt;&gt;"",AO428&lt;&gt;"",OR('REP COMMISSION'!$B$3="",T428='REP COMMISSION'!$B$3,W428='REP COMMISSION'!$B$3,Z428='REP COMMISSION'!$B$3)),1,0)</f>
        <v>0</v>
      </c>
      <c r="AX428" s="24" t="n">
        <f aca="false">AX427+IF(AND(C428&lt;&gt;"",OR(F428="LOC - INITIAL",F428="CONSOLIDATION - UPFRONT COMM",F428="REVERSE - TOTAL FUNDING")),1,0)</f>
        <v>0</v>
      </c>
    </row>
    <row r="429" customFormat="false" ht="15" hidden="false" customHeight="false" outlineLevel="0" collapsed="false">
      <c r="A429" s="25" t="str">
        <f aca="false">IF(C429&lt;&gt;"","F27-"&amp;COUNT($C$4:C429),"")</f>
        <v/>
      </c>
      <c r="B429" s="26" t="str">
        <f aca="false">IF(OR(F429="LOC - INITIAL",F429="CONSOLIDATION - UPFRONT COMM",F429="REVERSE - TOTAL FUNDING"),A429,"")</f>
        <v/>
      </c>
      <c r="C429" s="27"/>
      <c r="D429" s="28"/>
      <c r="E429" s="28"/>
      <c r="F429" s="28"/>
      <c r="G429" s="29"/>
      <c r="H429" s="30"/>
      <c r="I429" s="28"/>
      <c r="J429" s="31" t="str">
        <f aca="false">IF(AND(G429&lt;&gt;"",H429&lt;&gt;""),G429*H429,"")</f>
        <v/>
      </c>
      <c r="K429" s="28"/>
      <c r="L429" s="32"/>
      <c r="M429" s="32"/>
      <c r="N429" s="31" t="n">
        <f aca="false">IF(OR(G429="",M429=""),0,IF(M429&gt;100,M429,G429*IF(M429&gt;1,M429/100,M429)))</f>
        <v>0</v>
      </c>
      <c r="O429" s="31" t="str">
        <f aca="false">IF(G429="","",G429*IF(L429="",0,IF(L429&gt;1,L429/100,L429))+N429)</f>
        <v/>
      </c>
      <c r="P429" s="28"/>
      <c r="Q429" s="33" t="str">
        <f aca="false">IF(P429="","",IFERROR(VLOOKUP(P429,PARTNERS!$A$2:$B$30,2,0),""))</f>
        <v/>
      </c>
      <c r="R429" s="17" t="str">
        <f aca="false">IF(O429="","",IF(OR(P429="",Q429=""),0,(O429-N429)*IF(Q429&gt;1,Q429/100,Q429)))</f>
        <v/>
      </c>
      <c r="S429" s="31" t="str">
        <f aca="false">IF(O429="","",O429-R429)</f>
        <v/>
      </c>
      <c r="T429" s="28"/>
      <c r="U429" s="34" t="str">
        <f aca="false">IF(T429="","",IFERROR(VLOOKUP(T429,REPS!$A$2:$D$40,2,0),""))</f>
        <v/>
      </c>
      <c r="V429" s="31" t="str">
        <f aca="false">IF(O429="","",IF(U429="",0,O429*IF(U429&gt;1,U429/100,U429)))</f>
        <v/>
      </c>
      <c r="W429" s="28"/>
      <c r="X429" s="34" t="str">
        <f aca="false">IF(W429="","",IFERROR(VLOOKUP(W429,REPS!$A$2:$D$40,3,0),""))</f>
        <v/>
      </c>
      <c r="Y429" s="31" t="str">
        <f aca="false">IF(O429="","",IF(X429="",0,O429*IF(X429&gt;1,X429/100,X429)))</f>
        <v/>
      </c>
      <c r="Z429" s="28"/>
      <c r="AA429" s="34" t="str">
        <f aca="false">IF(Z429="","",IFERROR(VLOOKUP(Z429,REPS!$A$2:$D$40,4,0),""))</f>
        <v/>
      </c>
      <c r="AB429" s="31" t="str">
        <f aca="false">IF(O429="","",IF(AA429="",0,O429*IF(AA429&gt;1,AA429/100,AA429)))</f>
        <v/>
      </c>
      <c r="AC429" s="31" t="str">
        <f aca="false">IF(O429="","",V429+Y429+AB429)</f>
        <v/>
      </c>
      <c r="AD429" s="19" t="str">
        <f aca="false">IF(O429="","",O429-R429-AC429)</f>
        <v/>
      </c>
      <c r="AE429" s="20"/>
      <c r="AF429" s="27"/>
      <c r="AG429" s="21" t="n">
        <f aca="false">IF(OR(AE429="",AE429=0),0,AE429*IF(U429="",0,IF(U429&gt;1,U429/100,U429)))</f>
        <v>0</v>
      </c>
      <c r="AH429" s="21" t="n">
        <f aca="false">IF(OR(AE429="",AE429=0),0,AE429*IF(X429="",0,IF(X429&gt;1,X429/100,X429)))</f>
        <v>0</v>
      </c>
      <c r="AI429" s="21" t="n">
        <f aca="false">IF(OR(AE429="",AE429=0),0,AE429*IF(AA429="",0,IF(AA429&gt;1,AA429/100,AA429)))</f>
        <v>0</v>
      </c>
      <c r="AJ429" s="21" t="n">
        <f aca="false">AG429+AH429+AI429</f>
        <v>0</v>
      </c>
      <c r="AK429" s="21" t="n">
        <f aca="false">IF(OR(AE429="",AE429=0),0,AE429-AJ429)</f>
        <v>0</v>
      </c>
      <c r="AL429" s="19" t="str">
        <f aca="false">IF(AD429="","",AD429-AK429)</f>
        <v/>
      </c>
      <c r="AM429" s="26" t="str">
        <f aca="false">IF(C429="","","Waiting for payment")</f>
        <v/>
      </c>
      <c r="AN429" s="27"/>
      <c r="AO429" s="27"/>
      <c r="AP429" s="35" t="str">
        <f aca="false">IF(OR(C429="",I429="",K429=""),"",IF(K429="Monthly",EDATE(C429,ROUND(I429*SETTINGS!$I$8,0)),WORKDAY(C429,ROUND(I429*SETTINGS!$I$8,0))))</f>
        <v/>
      </c>
      <c r="AQ429" s="26" t="str">
        <f aca="true">IF(C429="","",IF(AND(AP429&lt;&gt;"",TODAY()&gt;=AP429),"Refi Ready",IF(TODAY()-C429&gt;=SETTINGS!$I$11,"Prospecting","Performing")))</f>
        <v/>
      </c>
      <c r="AR429" s="35" t="str">
        <f aca="false">IF(OR(C429="",I429="",K429=""),"",IF(K429="Monthly",EDATE(C429,I429),WORKDAY(C429,I429)))</f>
        <v/>
      </c>
      <c r="AS429" s="28"/>
      <c r="AT429" s="36" t="str">
        <f aca="true">IF(C429="","",IF(AM429="Clawed Back","CLAWED",IF(TODAY()&lt;=C429+SETTINGS!$I$2,"⚠ AT RISK","SAFE")))</f>
        <v/>
      </c>
      <c r="AU429" s="28"/>
      <c r="AW429" s="24" t="n">
        <f aca="false">AW428+IF(AND(C429&lt;&gt;"",AO429&lt;&gt;"",OR('REP COMMISSION'!$B$3="",T429='REP COMMISSION'!$B$3,W429='REP COMMISSION'!$B$3,Z429='REP COMMISSION'!$B$3)),1,0)</f>
        <v>0</v>
      </c>
      <c r="AX429" s="24" t="n">
        <f aca="false">AX428+IF(AND(C429&lt;&gt;"",OR(F429="LOC - INITIAL",F429="CONSOLIDATION - UPFRONT COMM",F429="REVERSE - TOTAL FUNDING")),1,0)</f>
        <v>0</v>
      </c>
    </row>
    <row r="430" customFormat="false" ht="15" hidden="false" customHeight="false" outlineLevel="0" collapsed="false">
      <c r="A430" s="8" t="str">
        <f aca="false">IF(C430&lt;&gt;"","F27-"&amp;COUNT($C$4:C430),"")</f>
        <v/>
      </c>
      <c r="B430" s="9" t="str">
        <f aca="false">IF(OR(F430="LOC - INITIAL",F430="CONSOLIDATION - UPFRONT COMM",F430="REVERSE - TOTAL FUNDING"),A430,"")</f>
        <v/>
      </c>
      <c r="C430" s="10"/>
      <c r="D430" s="11"/>
      <c r="E430" s="11"/>
      <c r="F430" s="11"/>
      <c r="G430" s="12"/>
      <c r="H430" s="13"/>
      <c r="I430" s="11"/>
      <c r="J430" s="14" t="str">
        <f aca="false">IF(AND(G430&lt;&gt;"",H430&lt;&gt;""),G430*H430,"")</f>
        <v/>
      </c>
      <c r="K430" s="11"/>
      <c r="L430" s="15"/>
      <c r="M430" s="15"/>
      <c r="N430" s="14" t="n">
        <f aca="false">IF(OR(G430="",M430=""),0,IF(M430&gt;100,M430,G430*IF(M430&gt;1,M430/100,M430)))</f>
        <v>0</v>
      </c>
      <c r="O430" s="14" t="str">
        <f aca="false">IF(G430="","",G430*IF(L430="",0,IF(L430&gt;1,L430/100,L430))+N430)</f>
        <v/>
      </c>
      <c r="P430" s="11"/>
      <c r="Q430" s="16" t="str">
        <f aca="false">IF(P430="","",IFERROR(VLOOKUP(P430,PARTNERS!$A$2:$B$30,2,0),""))</f>
        <v/>
      </c>
      <c r="R430" s="17" t="str">
        <f aca="false">IF(O430="","",IF(OR(P430="",Q430=""),0,(O430-N430)*IF(Q430&gt;1,Q430/100,Q430)))</f>
        <v/>
      </c>
      <c r="S430" s="14" t="str">
        <f aca="false">IF(O430="","",O430-R430)</f>
        <v/>
      </c>
      <c r="T430" s="11"/>
      <c r="U430" s="18" t="str">
        <f aca="false">IF(T430="","",IFERROR(VLOOKUP(T430,REPS!$A$2:$D$40,2,0),""))</f>
        <v/>
      </c>
      <c r="V430" s="14" t="str">
        <f aca="false">IF(O430="","",IF(U430="",0,O430*IF(U430&gt;1,U430/100,U430)))</f>
        <v/>
      </c>
      <c r="W430" s="11"/>
      <c r="X430" s="18" t="str">
        <f aca="false">IF(W430="","",IFERROR(VLOOKUP(W430,REPS!$A$2:$D$40,3,0),""))</f>
        <v/>
      </c>
      <c r="Y430" s="14" t="str">
        <f aca="false">IF(O430="","",IF(X430="",0,O430*IF(X430&gt;1,X430/100,X430)))</f>
        <v/>
      </c>
      <c r="Z430" s="11"/>
      <c r="AA430" s="18" t="str">
        <f aca="false">IF(Z430="","",IFERROR(VLOOKUP(Z430,REPS!$A$2:$D$40,4,0),""))</f>
        <v/>
      </c>
      <c r="AB430" s="14" t="str">
        <f aca="false">IF(O430="","",IF(AA430="",0,O430*IF(AA430&gt;1,AA430/100,AA430)))</f>
        <v/>
      </c>
      <c r="AC430" s="14" t="str">
        <f aca="false">IF(O430="","",V430+Y430+AB430)</f>
        <v/>
      </c>
      <c r="AD430" s="19" t="str">
        <f aca="false">IF(O430="","",O430-R430-AC430)</f>
        <v/>
      </c>
      <c r="AE430" s="20"/>
      <c r="AF430" s="10"/>
      <c r="AG430" s="21" t="n">
        <f aca="false">IF(OR(AE430="",AE430=0),0,AE430*IF(U430="",0,IF(U430&gt;1,U430/100,U430)))</f>
        <v>0</v>
      </c>
      <c r="AH430" s="21" t="n">
        <f aca="false">IF(OR(AE430="",AE430=0),0,AE430*IF(X430="",0,IF(X430&gt;1,X430/100,X430)))</f>
        <v>0</v>
      </c>
      <c r="AI430" s="21" t="n">
        <f aca="false">IF(OR(AE430="",AE430=0),0,AE430*IF(AA430="",0,IF(AA430&gt;1,AA430/100,AA430)))</f>
        <v>0</v>
      </c>
      <c r="AJ430" s="21" t="n">
        <f aca="false">AG430+AH430+AI430</f>
        <v>0</v>
      </c>
      <c r="AK430" s="21" t="n">
        <f aca="false">IF(OR(AE430="",AE430=0),0,AE430-AJ430)</f>
        <v>0</v>
      </c>
      <c r="AL430" s="19" t="str">
        <f aca="false">IF(AD430="","",AD430-AK430)</f>
        <v/>
      </c>
      <c r="AM430" s="9" t="str">
        <f aca="false">IF(C430="","","Waiting for payment")</f>
        <v/>
      </c>
      <c r="AN430" s="10"/>
      <c r="AO430" s="10"/>
      <c r="AP430" s="22" t="str">
        <f aca="false">IF(OR(C430="",I430="",K430=""),"",IF(K430="Monthly",EDATE(C430,ROUND(I430*SETTINGS!$I$8,0)),WORKDAY(C430,ROUND(I430*SETTINGS!$I$8,0))))</f>
        <v/>
      </c>
      <c r="AQ430" s="9" t="str">
        <f aca="true">IF(C430="","",IF(AND(AP430&lt;&gt;"",TODAY()&gt;=AP430),"Refi Ready",IF(TODAY()-C430&gt;=SETTINGS!$I$11,"Prospecting","Performing")))</f>
        <v/>
      </c>
      <c r="AR430" s="22" t="str">
        <f aca="false">IF(OR(C430="",I430="",K430=""),"",IF(K430="Monthly",EDATE(C430,I430),WORKDAY(C430,I430)))</f>
        <v/>
      </c>
      <c r="AS430" s="11"/>
      <c r="AT430" s="23" t="str">
        <f aca="true">IF(C430="","",IF(AM430="Clawed Back","CLAWED",IF(TODAY()&lt;=C430+SETTINGS!$I$2,"⚠ AT RISK","SAFE")))</f>
        <v/>
      </c>
      <c r="AU430" s="11"/>
      <c r="AW430" s="24" t="n">
        <f aca="false">AW429+IF(AND(C430&lt;&gt;"",AO430&lt;&gt;"",OR('REP COMMISSION'!$B$3="",T430='REP COMMISSION'!$B$3,W430='REP COMMISSION'!$B$3,Z430='REP COMMISSION'!$B$3)),1,0)</f>
        <v>0</v>
      </c>
      <c r="AX430" s="24" t="n">
        <f aca="false">AX429+IF(AND(C430&lt;&gt;"",OR(F430="LOC - INITIAL",F430="CONSOLIDATION - UPFRONT COMM",F430="REVERSE - TOTAL FUNDING")),1,0)</f>
        <v>0</v>
      </c>
    </row>
    <row r="431" customFormat="false" ht="15" hidden="false" customHeight="false" outlineLevel="0" collapsed="false">
      <c r="A431" s="25" t="str">
        <f aca="false">IF(C431&lt;&gt;"","F27-"&amp;COUNT($C$4:C431),"")</f>
        <v/>
      </c>
      <c r="B431" s="26" t="str">
        <f aca="false">IF(OR(F431="LOC - INITIAL",F431="CONSOLIDATION - UPFRONT COMM",F431="REVERSE - TOTAL FUNDING"),A431,"")</f>
        <v/>
      </c>
      <c r="C431" s="27"/>
      <c r="D431" s="28"/>
      <c r="E431" s="28"/>
      <c r="F431" s="28"/>
      <c r="G431" s="29"/>
      <c r="H431" s="30"/>
      <c r="I431" s="28"/>
      <c r="J431" s="31" t="str">
        <f aca="false">IF(AND(G431&lt;&gt;"",H431&lt;&gt;""),G431*H431,"")</f>
        <v/>
      </c>
      <c r="K431" s="28"/>
      <c r="L431" s="32"/>
      <c r="M431" s="32"/>
      <c r="N431" s="31" t="n">
        <f aca="false">IF(OR(G431="",M431=""),0,IF(M431&gt;100,M431,G431*IF(M431&gt;1,M431/100,M431)))</f>
        <v>0</v>
      </c>
      <c r="O431" s="31" t="str">
        <f aca="false">IF(G431="","",G431*IF(L431="",0,IF(L431&gt;1,L431/100,L431))+N431)</f>
        <v/>
      </c>
      <c r="P431" s="28"/>
      <c r="Q431" s="33" t="str">
        <f aca="false">IF(P431="","",IFERROR(VLOOKUP(P431,PARTNERS!$A$2:$B$30,2,0),""))</f>
        <v/>
      </c>
      <c r="R431" s="17" t="str">
        <f aca="false">IF(O431="","",IF(OR(P431="",Q431=""),0,(O431-N431)*IF(Q431&gt;1,Q431/100,Q431)))</f>
        <v/>
      </c>
      <c r="S431" s="31" t="str">
        <f aca="false">IF(O431="","",O431-R431)</f>
        <v/>
      </c>
      <c r="T431" s="28"/>
      <c r="U431" s="34" t="str">
        <f aca="false">IF(T431="","",IFERROR(VLOOKUP(T431,REPS!$A$2:$D$40,2,0),""))</f>
        <v/>
      </c>
      <c r="V431" s="31" t="str">
        <f aca="false">IF(O431="","",IF(U431="",0,O431*IF(U431&gt;1,U431/100,U431)))</f>
        <v/>
      </c>
      <c r="W431" s="28"/>
      <c r="X431" s="34" t="str">
        <f aca="false">IF(W431="","",IFERROR(VLOOKUP(W431,REPS!$A$2:$D$40,3,0),""))</f>
        <v/>
      </c>
      <c r="Y431" s="31" t="str">
        <f aca="false">IF(O431="","",IF(X431="",0,O431*IF(X431&gt;1,X431/100,X431)))</f>
        <v/>
      </c>
      <c r="Z431" s="28"/>
      <c r="AA431" s="34" t="str">
        <f aca="false">IF(Z431="","",IFERROR(VLOOKUP(Z431,REPS!$A$2:$D$40,4,0),""))</f>
        <v/>
      </c>
      <c r="AB431" s="31" t="str">
        <f aca="false">IF(O431="","",IF(AA431="",0,O431*IF(AA431&gt;1,AA431/100,AA431)))</f>
        <v/>
      </c>
      <c r="AC431" s="31" t="str">
        <f aca="false">IF(O431="","",V431+Y431+AB431)</f>
        <v/>
      </c>
      <c r="AD431" s="19" t="str">
        <f aca="false">IF(O431="","",O431-R431-AC431)</f>
        <v/>
      </c>
      <c r="AE431" s="20"/>
      <c r="AF431" s="27"/>
      <c r="AG431" s="21" t="n">
        <f aca="false">IF(OR(AE431="",AE431=0),0,AE431*IF(U431="",0,IF(U431&gt;1,U431/100,U431)))</f>
        <v>0</v>
      </c>
      <c r="AH431" s="21" t="n">
        <f aca="false">IF(OR(AE431="",AE431=0),0,AE431*IF(X431="",0,IF(X431&gt;1,X431/100,X431)))</f>
        <v>0</v>
      </c>
      <c r="AI431" s="21" t="n">
        <f aca="false">IF(OR(AE431="",AE431=0),0,AE431*IF(AA431="",0,IF(AA431&gt;1,AA431/100,AA431)))</f>
        <v>0</v>
      </c>
      <c r="AJ431" s="21" t="n">
        <f aca="false">AG431+AH431+AI431</f>
        <v>0</v>
      </c>
      <c r="AK431" s="21" t="n">
        <f aca="false">IF(OR(AE431="",AE431=0),0,AE431-AJ431)</f>
        <v>0</v>
      </c>
      <c r="AL431" s="19" t="str">
        <f aca="false">IF(AD431="","",AD431-AK431)</f>
        <v/>
      </c>
      <c r="AM431" s="26" t="str">
        <f aca="false">IF(C431="","","Waiting for payment")</f>
        <v/>
      </c>
      <c r="AN431" s="27"/>
      <c r="AO431" s="27"/>
      <c r="AP431" s="35" t="str">
        <f aca="false">IF(OR(C431="",I431="",K431=""),"",IF(K431="Monthly",EDATE(C431,ROUND(I431*SETTINGS!$I$8,0)),WORKDAY(C431,ROUND(I431*SETTINGS!$I$8,0))))</f>
        <v/>
      </c>
      <c r="AQ431" s="26" t="str">
        <f aca="true">IF(C431="","",IF(AND(AP431&lt;&gt;"",TODAY()&gt;=AP431),"Refi Ready",IF(TODAY()-C431&gt;=SETTINGS!$I$11,"Prospecting","Performing")))</f>
        <v/>
      </c>
      <c r="AR431" s="35" t="str">
        <f aca="false">IF(OR(C431="",I431="",K431=""),"",IF(K431="Monthly",EDATE(C431,I431),WORKDAY(C431,I431)))</f>
        <v/>
      </c>
      <c r="AS431" s="28"/>
      <c r="AT431" s="36" t="str">
        <f aca="true">IF(C431="","",IF(AM431="Clawed Back","CLAWED",IF(TODAY()&lt;=C431+SETTINGS!$I$2,"⚠ AT RISK","SAFE")))</f>
        <v/>
      </c>
      <c r="AU431" s="28"/>
      <c r="AW431" s="24" t="n">
        <f aca="false">AW430+IF(AND(C431&lt;&gt;"",AO431&lt;&gt;"",OR('REP COMMISSION'!$B$3="",T431='REP COMMISSION'!$B$3,W431='REP COMMISSION'!$B$3,Z431='REP COMMISSION'!$B$3)),1,0)</f>
        <v>0</v>
      </c>
      <c r="AX431" s="24" t="n">
        <f aca="false">AX430+IF(AND(C431&lt;&gt;"",OR(F431="LOC - INITIAL",F431="CONSOLIDATION - UPFRONT COMM",F431="REVERSE - TOTAL FUNDING")),1,0)</f>
        <v>0</v>
      </c>
    </row>
    <row r="432" customFormat="false" ht="15" hidden="false" customHeight="false" outlineLevel="0" collapsed="false">
      <c r="A432" s="8" t="str">
        <f aca="false">IF(C432&lt;&gt;"","F27-"&amp;COUNT($C$4:C432),"")</f>
        <v/>
      </c>
      <c r="B432" s="9" t="str">
        <f aca="false">IF(OR(F432="LOC - INITIAL",F432="CONSOLIDATION - UPFRONT COMM",F432="REVERSE - TOTAL FUNDING"),A432,"")</f>
        <v/>
      </c>
      <c r="C432" s="10"/>
      <c r="D432" s="11"/>
      <c r="E432" s="11"/>
      <c r="F432" s="11"/>
      <c r="G432" s="12"/>
      <c r="H432" s="13"/>
      <c r="I432" s="11"/>
      <c r="J432" s="14" t="str">
        <f aca="false">IF(AND(G432&lt;&gt;"",H432&lt;&gt;""),G432*H432,"")</f>
        <v/>
      </c>
      <c r="K432" s="11"/>
      <c r="L432" s="15"/>
      <c r="M432" s="15"/>
      <c r="N432" s="14" t="n">
        <f aca="false">IF(OR(G432="",M432=""),0,IF(M432&gt;100,M432,G432*IF(M432&gt;1,M432/100,M432)))</f>
        <v>0</v>
      </c>
      <c r="O432" s="14" t="str">
        <f aca="false">IF(G432="","",G432*IF(L432="",0,IF(L432&gt;1,L432/100,L432))+N432)</f>
        <v/>
      </c>
      <c r="P432" s="11"/>
      <c r="Q432" s="16" t="str">
        <f aca="false">IF(P432="","",IFERROR(VLOOKUP(P432,PARTNERS!$A$2:$B$30,2,0),""))</f>
        <v/>
      </c>
      <c r="R432" s="17" t="str">
        <f aca="false">IF(O432="","",IF(OR(P432="",Q432=""),0,(O432-N432)*IF(Q432&gt;1,Q432/100,Q432)))</f>
        <v/>
      </c>
      <c r="S432" s="14" t="str">
        <f aca="false">IF(O432="","",O432-R432)</f>
        <v/>
      </c>
      <c r="T432" s="11"/>
      <c r="U432" s="18" t="str">
        <f aca="false">IF(T432="","",IFERROR(VLOOKUP(T432,REPS!$A$2:$D$40,2,0),""))</f>
        <v/>
      </c>
      <c r="V432" s="14" t="str">
        <f aca="false">IF(O432="","",IF(U432="",0,O432*IF(U432&gt;1,U432/100,U432)))</f>
        <v/>
      </c>
      <c r="W432" s="11"/>
      <c r="X432" s="18" t="str">
        <f aca="false">IF(W432="","",IFERROR(VLOOKUP(W432,REPS!$A$2:$D$40,3,0),""))</f>
        <v/>
      </c>
      <c r="Y432" s="14" t="str">
        <f aca="false">IF(O432="","",IF(X432="",0,O432*IF(X432&gt;1,X432/100,X432)))</f>
        <v/>
      </c>
      <c r="Z432" s="11"/>
      <c r="AA432" s="18" t="str">
        <f aca="false">IF(Z432="","",IFERROR(VLOOKUP(Z432,REPS!$A$2:$D$40,4,0),""))</f>
        <v/>
      </c>
      <c r="AB432" s="14" t="str">
        <f aca="false">IF(O432="","",IF(AA432="",0,O432*IF(AA432&gt;1,AA432/100,AA432)))</f>
        <v/>
      </c>
      <c r="AC432" s="14" t="str">
        <f aca="false">IF(O432="","",V432+Y432+AB432)</f>
        <v/>
      </c>
      <c r="AD432" s="19" t="str">
        <f aca="false">IF(O432="","",O432-R432-AC432)</f>
        <v/>
      </c>
      <c r="AE432" s="20"/>
      <c r="AF432" s="10"/>
      <c r="AG432" s="21" t="n">
        <f aca="false">IF(OR(AE432="",AE432=0),0,AE432*IF(U432="",0,IF(U432&gt;1,U432/100,U432)))</f>
        <v>0</v>
      </c>
      <c r="AH432" s="21" t="n">
        <f aca="false">IF(OR(AE432="",AE432=0),0,AE432*IF(X432="",0,IF(X432&gt;1,X432/100,X432)))</f>
        <v>0</v>
      </c>
      <c r="AI432" s="21" t="n">
        <f aca="false">IF(OR(AE432="",AE432=0),0,AE432*IF(AA432="",0,IF(AA432&gt;1,AA432/100,AA432)))</f>
        <v>0</v>
      </c>
      <c r="AJ432" s="21" t="n">
        <f aca="false">AG432+AH432+AI432</f>
        <v>0</v>
      </c>
      <c r="AK432" s="21" t="n">
        <f aca="false">IF(OR(AE432="",AE432=0),0,AE432-AJ432)</f>
        <v>0</v>
      </c>
      <c r="AL432" s="19" t="str">
        <f aca="false">IF(AD432="","",AD432-AK432)</f>
        <v/>
      </c>
      <c r="AM432" s="9" t="str">
        <f aca="false">IF(C432="","","Waiting for payment")</f>
        <v/>
      </c>
      <c r="AN432" s="10"/>
      <c r="AO432" s="10"/>
      <c r="AP432" s="22" t="str">
        <f aca="false">IF(OR(C432="",I432="",K432=""),"",IF(K432="Monthly",EDATE(C432,ROUND(I432*SETTINGS!$I$8,0)),WORKDAY(C432,ROUND(I432*SETTINGS!$I$8,0))))</f>
        <v/>
      </c>
      <c r="AQ432" s="9" t="str">
        <f aca="true">IF(C432="","",IF(AND(AP432&lt;&gt;"",TODAY()&gt;=AP432),"Refi Ready",IF(TODAY()-C432&gt;=SETTINGS!$I$11,"Prospecting","Performing")))</f>
        <v/>
      </c>
      <c r="AR432" s="22" t="str">
        <f aca="false">IF(OR(C432="",I432="",K432=""),"",IF(K432="Monthly",EDATE(C432,I432),WORKDAY(C432,I432)))</f>
        <v/>
      </c>
      <c r="AS432" s="11"/>
      <c r="AT432" s="23" t="str">
        <f aca="true">IF(C432="","",IF(AM432="Clawed Back","CLAWED",IF(TODAY()&lt;=C432+SETTINGS!$I$2,"⚠ AT RISK","SAFE")))</f>
        <v/>
      </c>
      <c r="AU432" s="11"/>
      <c r="AW432" s="24" t="n">
        <f aca="false">AW431+IF(AND(C432&lt;&gt;"",AO432&lt;&gt;"",OR('REP COMMISSION'!$B$3="",T432='REP COMMISSION'!$B$3,W432='REP COMMISSION'!$B$3,Z432='REP COMMISSION'!$B$3)),1,0)</f>
        <v>0</v>
      </c>
      <c r="AX432" s="24" t="n">
        <f aca="false">AX431+IF(AND(C432&lt;&gt;"",OR(F432="LOC - INITIAL",F432="CONSOLIDATION - UPFRONT COMM",F432="REVERSE - TOTAL FUNDING")),1,0)</f>
        <v>0</v>
      </c>
    </row>
    <row r="433" customFormat="false" ht="15" hidden="false" customHeight="false" outlineLevel="0" collapsed="false">
      <c r="A433" s="25" t="str">
        <f aca="false">IF(C433&lt;&gt;"","F27-"&amp;COUNT($C$4:C433),"")</f>
        <v/>
      </c>
      <c r="B433" s="26" t="str">
        <f aca="false">IF(OR(F433="LOC - INITIAL",F433="CONSOLIDATION - UPFRONT COMM",F433="REVERSE - TOTAL FUNDING"),A433,"")</f>
        <v/>
      </c>
      <c r="C433" s="27"/>
      <c r="D433" s="28"/>
      <c r="E433" s="28"/>
      <c r="F433" s="28"/>
      <c r="G433" s="29"/>
      <c r="H433" s="30"/>
      <c r="I433" s="28"/>
      <c r="J433" s="31" t="str">
        <f aca="false">IF(AND(G433&lt;&gt;"",H433&lt;&gt;""),G433*H433,"")</f>
        <v/>
      </c>
      <c r="K433" s="28"/>
      <c r="L433" s="32"/>
      <c r="M433" s="32"/>
      <c r="N433" s="31" t="n">
        <f aca="false">IF(OR(G433="",M433=""),0,IF(M433&gt;100,M433,G433*IF(M433&gt;1,M433/100,M433)))</f>
        <v>0</v>
      </c>
      <c r="O433" s="31" t="str">
        <f aca="false">IF(G433="","",G433*IF(L433="",0,IF(L433&gt;1,L433/100,L433))+N433)</f>
        <v/>
      </c>
      <c r="P433" s="28"/>
      <c r="Q433" s="33" t="str">
        <f aca="false">IF(P433="","",IFERROR(VLOOKUP(P433,PARTNERS!$A$2:$B$30,2,0),""))</f>
        <v/>
      </c>
      <c r="R433" s="17" t="str">
        <f aca="false">IF(O433="","",IF(OR(P433="",Q433=""),0,(O433-N433)*IF(Q433&gt;1,Q433/100,Q433)))</f>
        <v/>
      </c>
      <c r="S433" s="31" t="str">
        <f aca="false">IF(O433="","",O433-R433)</f>
        <v/>
      </c>
      <c r="T433" s="28"/>
      <c r="U433" s="34" t="str">
        <f aca="false">IF(T433="","",IFERROR(VLOOKUP(T433,REPS!$A$2:$D$40,2,0),""))</f>
        <v/>
      </c>
      <c r="V433" s="31" t="str">
        <f aca="false">IF(O433="","",IF(U433="",0,O433*IF(U433&gt;1,U433/100,U433)))</f>
        <v/>
      </c>
      <c r="W433" s="28"/>
      <c r="X433" s="34" t="str">
        <f aca="false">IF(W433="","",IFERROR(VLOOKUP(W433,REPS!$A$2:$D$40,3,0),""))</f>
        <v/>
      </c>
      <c r="Y433" s="31" t="str">
        <f aca="false">IF(O433="","",IF(X433="",0,O433*IF(X433&gt;1,X433/100,X433)))</f>
        <v/>
      </c>
      <c r="Z433" s="28"/>
      <c r="AA433" s="34" t="str">
        <f aca="false">IF(Z433="","",IFERROR(VLOOKUP(Z433,REPS!$A$2:$D$40,4,0),""))</f>
        <v/>
      </c>
      <c r="AB433" s="31" t="str">
        <f aca="false">IF(O433="","",IF(AA433="",0,O433*IF(AA433&gt;1,AA433/100,AA433)))</f>
        <v/>
      </c>
      <c r="AC433" s="31" t="str">
        <f aca="false">IF(O433="","",V433+Y433+AB433)</f>
        <v/>
      </c>
      <c r="AD433" s="19" t="str">
        <f aca="false">IF(O433="","",O433-R433-AC433)</f>
        <v/>
      </c>
      <c r="AE433" s="20"/>
      <c r="AF433" s="27"/>
      <c r="AG433" s="21" t="n">
        <f aca="false">IF(OR(AE433="",AE433=0),0,AE433*IF(U433="",0,IF(U433&gt;1,U433/100,U433)))</f>
        <v>0</v>
      </c>
      <c r="AH433" s="21" t="n">
        <f aca="false">IF(OR(AE433="",AE433=0),0,AE433*IF(X433="",0,IF(X433&gt;1,X433/100,X433)))</f>
        <v>0</v>
      </c>
      <c r="AI433" s="21" t="n">
        <f aca="false">IF(OR(AE433="",AE433=0),0,AE433*IF(AA433="",0,IF(AA433&gt;1,AA433/100,AA433)))</f>
        <v>0</v>
      </c>
      <c r="AJ433" s="21" t="n">
        <f aca="false">AG433+AH433+AI433</f>
        <v>0</v>
      </c>
      <c r="AK433" s="21" t="n">
        <f aca="false">IF(OR(AE433="",AE433=0),0,AE433-AJ433)</f>
        <v>0</v>
      </c>
      <c r="AL433" s="19" t="str">
        <f aca="false">IF(AD433="","",AD433-AK433)</f>
        <v/>
      </c>
      <c r="AM433" s="26" t="str">
        <f aca="false">IF(C433="","","Waiting for payment")</f>
        <v/>
      </c>
      <c r="AN433" s="27"/>
      <c r="AO433" s="27"/>
      <c r="AP433" s="35" t="str">
        <f aca="false">IF(OR(C433="",I433="",K433=""),"",IF(K433="Monthly",EDATE(C433,ROUND(I433*SETTINGS!$I$8,0)),WORKDAY(C433,ROUND(I433*SETTINGS!$I$8,0))))</f>
        <v/>
      </c>
      <c r="AQ433" s="26" t="str">
        <f aca="true">IF(C433="","",IF(AND(AP433&lt;&gt;"",TODAY()&gt;=AP433),"Refi Ready",IF(TODAY()-C433&gt;=SETTINGS!$I$11,"Prospecting","Performing")))</f>
        <v/>
      </c>
      <c r="AR433" s="35" t="str">
        <f aca="false">IF(OR(C433="",I433="",K433=""),"",IF(K433="Monthly",EDATE(C433,I433),WORKDAY(C433,I433)))</f>
        <v/>
      </c>
      <c r="AS433" s="28"/>
      <c r="AT433" s="36" t="str">
        <f aca="true">IF(C433="","",IF(AM433="Clawed Back","CLAWED",IF(TODAY()&lt;=C433+SETTINGS!$I$2,"⚠ AT RISK","SAFE")))</f>
        <v/>
      </c>
      <c r="AU433" s="28"/>
      <c r="AW433" s="24" t="n">
        <f aca="false">AW432+IF(AND(C433&lt;&gt;"",AO433&lt;&gt;"",OR('REP COMMISSION'!$B$3="",T433='REP COMMISSION'!$B$3,W433='REP COMMISSION'!$B$3,Z433='REP COMMISSION'!$B$3)),1,0)</f>
        <v>0</v>
      </c>
      <c r="AX433" s="24" t="n">
        <f aca="false">AX432+IF(AND(C433&lt;&gt;"",OR(F433="LOC - INITIAL",F433="CONSOLIDATION - UPFRONT COMM",F433="REVERSE - TOTAL FUNDING")),1,0)</f>
        <v>0</v>
      </c>
    </row>
    <row r="434" customFormat="false" ht="15" hidden="false" customHeight="false" outlineLevel="0" collapsed="false">
      <c r="A434" s="8" t="str">
        <f aca="false">IF(C434&lt;&gt;"","F27-"&amp;COUNT($C$4:C434),"")</f>
        <v/>
      </c>
      <c r="B434" s="9" t="str">
        <f aca="false">IF(OR(F434="LOC - INITIAL",F434="CONSOLIDATION - UPFRONT COMM",F434="REVERSE - TOTAL FUNDING"),A434,"")</f>
        <v/>
      </c>
      <c r="C434" s="10"/>
      <c r="D434" s="11"/>
      <c r="E434" s="11"/>
      <c r="F434" s="11"/>
      <c r="G434" s="12"/>
      <c r="H434" s="13"/>
      <c r="I434" s="11"/>
      <c r="J434" s="14" t="str">
        <f aca="false">IF(AND(G434&lt;&gt;"",H434&lt;&gt;""),G434*H434,"")</f>
        <v/>
      </c>
      <c r="K434" s="11"/>
      <c r="L434" s="15"/>
      <c r="M434" s="15"/>
      <c r="N434" s="14" t="n">
        <f aca="false">IF(OR(G434="",M434=""),0,IF(M434&gt;100,M434,G434*IF(M434&gt;1,M434/100,M434)))</f>
        <v>0</v>
      </c>
      <c r="O434" s="14" t="str">
        <f aca="false">IF(G434="","",G434*IF(L434="",0,IF(L434&gt;1,L434/100,L434))+N434)</f>
        <v/>
      </c>
      <c r="P434" s="11"/>
      <c r="Q434" s="16" t="str">
        <f aca="false">IF(P434="","",IFERROR(VLOOKUP(P434,PARTNERS!$A$2:$B$30,2,0),""))</f>
        <v/>
      </c>
      <c r="R434" s="17" t="str">
        <f aca="false">IF(O434="","",IF(OR(P434="",Q434=""),0,(O434-N434)*IF(Q434&gt;1,Q434/100,Q434)))</f>
        <v/>
      </c>
      <c r="S434" s="14" t="str">
        <f aca="false">IF(O434="","",O434-R434)</f>
        <v/>
      </c>
      <c r="T434" s="11"/>
      <c r="U434" s="18" t="str">
        <f aca="false">IF(T434="","",IFERROR(VLOOKUP(T434,REPS!$A$2:$D$40,2,0),""))</f>
        <v/>
      </c>
      <c r="V434" s="14" t="str">
        <f aca="false">IF(O434="","",IF(U434="",0,O434*IF(U434&gt;1,U434/100,U434)))</f>
        <v/>
      </c>
      <c r="W434" s="11"/>
      <c r="X434" s="18" t="str">
        <f aca="false">IF(W434="","",IFERROR(VLOOKUP(W434,REPS!$A$2:$D$40,3,0),""))</f>
        <v/>
      </c>
      <c r="Y434" s="14" t="str">
        <f aca="false">IF(O434="","",IF(X434="",0,O434*IF(X434&gt;1,X434/100,X434)))</f>
        <v/>
      </c>
      <c r="Z434" s="11"/>
      <c r="AA434" s="18" t="str">
        <f aca="false">IF(Z434="","",IFERROR(VLOOKUP(Z434,REPS!$A$2:$D$40,4,0),""))</f>
        <v/>
      </c>
      <c r="AB434" s="14" t="str">
        <f aca="false">IF(O434="","",IF(AA434="",0,O434*IF(AA434&gt;1,AA434/100,AA434)))</f>
        <v/>
      </c>
      <c r="AC434" s="14" t="str">
        <f aca="false">IF(O434="","",V434+Y434+AB434)</f>
        <v/>
      </c>
      <c r="AD434" s="19" t="str">
        <f aca="false">IF(O434="","",O434-R434-AC434)</f>
        <v/>
      </c>
      <c r="AE434" s="20"/>
      <c r="AF434" s="10"/>
      <c r="AG434" s="21" t="n">
        <f aca="false">IF(OR(AE434="",AE434=0),0,AE434*IF(U434="",0,IF(U434&gt;1,U434/100,U434)))</f>
        <v>0</v>
      </c>
      <c r="AH434" s="21" t="n">
        <f aca="false">IF(OR(AE434="",AE434=0),0,AE434*IF(X434="",0,IF(X434&gt;1,X434/100,X434)))</f>
        <v>0</v>
      </c>
      <c r="AI434" s="21" t="n">
        <f aca="false">IF(OR(AE434="",AE434=0),0,AE434*IF(AA434="",0,IF(AA434&gt;1,AA434/100,AA434)))</f>
        <v>0</v>
      </c>
      <c r="AJ434" s="21" t="n">
        <f aca="false">AG434+AH434+AI434</f>
        <v>0</v>
      </c>
      <c r="AK434" s="21" t="n">
        <f aca="false">IF(OR(AE434="",AE434=0),0,AE434-AJ434)</f>
        <v>0</v>
      </c>
      <c r="AL434" s="19" t="str">
        <f aca="false">IF(AD434="","",AD434-AK434)</f>
        <v/>
      </c>
      <c r="AM434" s="9" t="str">
        <f aca="false">IF(C434="","","Waiting for payment")</f>
        <v/>
      </c>
      <c r="AN434" s="10"/>
      <c r="AO434" s="10"/>
      <c r="AP434" s="22" t="str">
        <f aca="false">IF(OR(C434="",I434="",K434=""),"",IF(K434="Monthly",EDATE(C434,ROUND(I434*SETTINGS!$I$8,0)),WORKDAY(C434,ROUND(I434*SETTINGS!$I$8,0))))</f>
        <v/>
      </c>
      <c r="AQ434" s="9" t="str">
        <f aca="true">IF(C434="","",IF(AND(AP434&lt;&gt;"",TODAY()&gt;=AP434),"Refi Ready",IF(TODAY()-C434&gt;=SETTINGS!$I$11,"Prospecting","Performing")))</f>
        <v/>
      </c>
      <c r="AR434" s="22" t="str">
        <f aca="false">IF(OR(C434="",I434="",K434=""),"",IF(K434="Monthly",EDATE(C434,I434),WORKDAY(C434,I434)))</f>
        <v/>
      </c>
      <c r="AS434" s="11"/>
      <c r="AT434" s="23" t="str">
        <f aca="true">IF(C434="","",IF(AM434="Clawed Back","CLAWED",IF(TODAY()&lt;=C434+SETTINGS!$I$2,"⚠ AT RISK","SAFE")))</f>
        <v/>
      </c>
      <c r="AU434" s="11"/>
      <c r="AW434" s="24" t="n">
        <f aca="false">AW433+IF(AND(C434&lt;&gt;"",AO434&lt;&gt;"",OR('REP COMMISSION'!$B$3="",T434='REP COMMISSION'!$B$3,W434='REP COMMISSION'!$B$3,Z434='REP COMMISSION'!$B$3)),1,0)</f>
        <v>0</v>
      </c>
      <c r="AX434" s="24" t="n">
        <f aca="false">AX433+IF(AND(C434&lt;&gt;"",OR(F434="LOC - INITIAL",F434="CONSOLIDATION - UPFRONT COMM",F434="REVERSE - TOTAL FUNDING")),1,0)</f>
        <v>0</v>
      </c>
    </row>
    <row r="435" customFormat="false" ht="15" hidden="false" customHeight="false" outlineLevel="0" collapsed="false">
      <c r="A435" s="25" t="str">
        <f aca="false">IF(C435&lt;&gt;"","F27-"&amp;COUNT($C$4:C435),"")</f>
        <v/>
      </c>
      <c r="B435" s="26" t="str">
        <f aca="false">IF(OR(F435="LOC - INITIAL",F435="CONSOLIDATION - UPFRONT COMM",F435="REVERSE - TOTAL FUNDING"),A435,"")</f>
        <v/>
      </c>
      <c r="C435" s="27"/>
      <c r="D435" s="28"/>
      <c r="E435" s="28"/>
      <c r="F435" s="28"/>
      <c r="G435" s="29"/>
      <c r="H435" s="30"/>
      <c r="I435" s="28"/>
      <c r="J435" s="31" t="str">
        <f aca="false">IF(AND(G435&lt;&gt;"",H435&lt;&gt;""),G435*H435,"")</f>
        <v/>
      </c>
      <c r="K435" s="28"/>
      <c r="L435" s="32"/>
      <c r="M435" s="32"/>
      <c r="N435" s="31" t="n">
        <f aca="false">IF(OR(G435="",M435=""),0,IF(M435&gt;100,M435,G435*IF(M435&gt;1,M435/100,M435)))</f>
        <v>0</v>
      </c>
      <c r="O435" s="31" t="str">
        <f aca="false">IF(G435="","",G435*IF(L435="",0,IF(L435&gt;1,L435/100,L435))+N435)</f>
        <v/>
      </c>
      <c r="P435" s="28"/>
      <c r="Q435" s="33" t="str">
        <f aca="false">IF(P435="","",IFERROR(VLOOKUP(P435,PARTNERS!$A$2:$B$30,2,0),""))</f>
        <v/>
      </c>
      <c r="R435" s="17" t="str">
        <f aca="false">IF(O435="","",IF(OR(P435="",Q435=""),0,(O435-N435)*IF(Q435&gt;1,Q435/100,Q435)))</f>
        <v/>
      </c>
      <c r="S435" s="31" t="str">
        <f aca="false">IF(O435="","",O435-R435)</f>
        <v/>
      </c>
      <c r="T435" s="28"/>
      <c r="U435" s="34" t="str">
        <f aca="false">IF(T435="","",IFERROR(VLOOKUP(T435,REPS!$A$2:$D$40,2,0),""))</f>
        <v/>
      </c>
      <c r="V435" s="31" t="str">
        <f aca="false">IF(O435="","",IF(U435="",0,O435*IF(U435&gt;1,U435/100,U435)))</f>
        <v/>
      </c>
      <c r="W435" s="28"/>
      <c r="X435" s="34" t="str">
        <f aca="false">IF(W435="","",IFERROR(VLOOKUP(W435,REPS!$A$2:$D$40,3,0),""))</f>
        <v/>
      </c>
      <c r="Y435" s="31" t="str">
        <f aca="false">IF(O435="","",IF(X435="",0,O435*IF(X435&gt;1,X435/100,X435)))</f>
        <v/>
      </c>
      <c r="Z435" s="28"/>
      <c r="AA435" s="34" t="str">
        <f aca="false">IF(Z435="","",IFERROR(VLOOKUP(Z435,REPS!$A$2:$D$40,4,0),""))</f>
        <v/>
      </c>
      <c r="AB435" s="31" t="str">
        <f aca="false">IF(O435="","",IF(AA435="",0,O435*IF(AA435&gt;1,AA435/100,AA435)))</f>
        <v/>
      </c>
      <c r="AC435" s="31" t="str">
        <f aca="false">IF(O435="","",V435+Y435+AB435)</f>
        <v/>
      </c>
      <c r="AD435" s="19" t="str">
        <f aca="false">IF(O435="","",O435-R435-AC435)</f>
        <v/>
      </c>
      <c r="AE435" s="20"/>
      <c r="AF435" s="27"/>
      <c r="AG435" s="21" t="n">
        <f aca="false">IF(OR(AE435="",AE435=0),0,AE435*IF(U435="",0,IF(U435&gt;1,U435/100,U435)))</f>
        <v>0</v>
      </c>
      <c r="AH435" s="21" t="n">
        <f aca="false">IF(OR(AE435="",AE435=0),0,AE435*IF(X435="",0,IF(X435&gt;1,X435/100,X435)))</f>
        <v>0</v>
      </c>
      <c r="AI435" s="21" t="n">
        <f aca="false">IF(OR(AE435="",AE435=0),0,AE435*IF(AA435="",0,IF(AA435&gt;1,AA435/100,AA435)))</f>
        <v>0</v>
      </c>
      <c r="AJ435" s="21" t="n">
        <f aca="false">AG435+AH435+AI435</f>
        <v>0</v>
      </c>
      <c r="AK435" s="21" t="n">
        <f aca="false">IF(OR(AE435="",AE435=0),0,AE435-AJ435)</f>
        <v>0</v>
      </c>
      <c r="AL435" s="19" t="str">
        <f aca="false">IF(AD435="","",AD435-AK435)</f>
        <v/>
      </c>
      <c r="AM435" s="26" t="str">
        <f aca="false">IF(C435="","","Waiting for payment")</f>
        <v/>
      </c>
      <c r="AN435" s="27"/>
      <c r="AO435" s="27"/>
      <c r="AP435" s="35" t="str">
        <f aca="false">IF(OR(C435="",I435="",K435=""),"",IF(K435="Monthly",EDATE(C435,ROUND(I435*SETTINGS!$I$8,0)),WORKDAY(C435,ROUND(I435*SETTINGS!$I$8,0))))</f>
        <v/>
      </c>
      <c r="AQ435" s="26" t="str">
        <f aca="true">IF(C435="","",IF(AND(AP435&lt;&gt;"",TODAY()&gt;=AP435),"Refi Ready",IF(TODAY()-C435&gt;=SETTINGS!$I$11,"Prospecting","Performing")))</f>
        <v/>
      </c>
      <c r="AR435" s="35" t="str">
        <f aca="false">IF(OR(C435="",I435="",K435=""),"",IF(K435="Monthly",EDATE(C435,I435),WORKDAY(C435,I435)))</f>
        <v/>
      </c>
      <c r="AS435" s="28"/>
      <c r="AT435" s="36" t="str">
        <f aca="true">IF(C435="","",IF(AM435="Clawed Back","CLAWED",IF(TODAY()&lt;=C435+SETTINGS!$I$2,"⚠ AT RISK","SAFE")))</f>
        <v/>
      </c>
      <c r="AU435" s="28"/>
      <c r="AW435" s="24" t="n">
        <f aca="false">AW434+IF(AND(C435&lt;&gt;"",AO435&lt;&gt;"",OR('REP COMMISSION'!$B$3="",T435='REP COMMISSION'!$B$3,W435='REP COMMISSION'!$B$3,Z435='REP COMMISSION'!$B$3)),1,0)</f>
        <v>0</v>
      </c>
      <c r="AX435" s="24" t="n">
        <f aca="false">AX434+IF(AND(C435&lt;&gt;"",OR(F435="LOC - INITIAL",F435="CONSOLIDATION - UPFRONT COMM",F435="REVERSE - TOTAL FUNDING")),1,0)</f>
        <v>0</v>
      </c>
    </row>
    <row r="436" customFormat="false" ht="15" hidden="false" customHeight="false" outlineLevel="0" collapsed="false">
      <c r="A436" s="8" t="str">
        <f aca="false">IF(C436&lt;&gt;"","F27-"&amp;COUNT($C$4:C436),"")</f>
        <v/>
      </c>
      <c r="B436" s="9" t="str">
        <f aca="false">IF(OR(F436="LOC - INITIAL",F436="CONSOLIDATION - UPFRONT COMM",F436="REVERSE - TOTAL FUNDING"),A436,"")</f>
        <v/>
      </c>
      <c r="C436" s="10"/>
      <c r="D436" s="11"/>
      <c r="E436" s="11"/>
      <c r="F436" s="11"/>
      <c r="G436" s="12"/>
      <c r="H436" s="13"/>
      <c r="I436" s="11"/>
      <c r="J436" s="14" t="str">
        <f aca="false">IF(AND(G436&lt;&gt;"",H436&lt;&gt;""),G436*H436,"")</f>
        <v/>
      </c>
      <c r="K436" s="11"/>
      <c r="L436" s="15"/>
      <c r="M436" s="15"/>
      <c r="N436" s="14" t="n">
        <f aca="false">IF(OR(G436="",M436=""),0,IF(M436&gt;100,M436,G436*IF(M436&gt;1,M436/100,M436)))</f>
        <v>0</v>
      </c>
      <c r="O436" s="14" t="str">
        <f aca="false">IF(G436="","",G436*IF(L436="",0,IF(L436&gt;1,L436/100,L436))+N436)</f>
        <v/>
      </c>
      <c r="P436" s="11"/>
      <c r="Q436" s="16" t="str">
        <f aca="false">IF(P436="","",IFERROR(VLOOKUP(P436,PARTNERS!$A$2:$B$30,2,0),""))</f>
        <v/>
      </c>
      <c r="R436" s="17" t="str">
        <f aca="false">IF(O436="","",IF(OR(P436="",Q436=""),0,(O436-N436)*IF(Q436&gt;1,Q436/100,Q436)))</f>
        <v/>
      </c>
      <c r="S436" s="14" t="str">
        <f aca="false">IF(O436="","",O436-R436)</f>
        <v/>
      </c>
      <c r="T436" s="11"/>
      <c r="U436" s="18" t="str">
        <f aca="false">IF(T436="","",IFERROR(VLOOKUP(T436,REPS!$A$2:$D$40,2,0),""))</f>
        <v/>
      </c>
      <c r="V436" s="14" t="str">
        <f aca="false">IF(O436="","",IF(U436="",0,O436*IF(U436&gt;1,U436/100,U436)))</f>
        <v/>
      </c>
      <c r="W436" s="11"/>
      <c r="X436" s="18" t="str">
        <f aca="false">IF(W436="","",IFERROR(VLOOKUP(W436,REPS!$A$2:$D$40,3,0),""))</f>
        <v/>
      </c>
      <c r="Y436" s="14" t="str">
        <f aca="false">IF(O436="","",IF(X436="",0,O436*IF(X436&gt;1,X436/100,X436)))</f>
        <v/>
      </c>
      <c r="Z436" s="11"/>
      <c r="AA436" s="18" t="str">
        <f aca="false">IF(Z436="","",IFERROR(VLOOKUP(Z436,REPS!$A$2:$D$40,4,0),""))</f>
        <v/>
      </c>
      <c r="AB436" s="14" t="str">
        <f aca="false">IF(O436="","",IF(AA436="",0,O436*IF(AA436&gt;1,AA436/100,AA436)))</f>
        <v/>
      </c>
      <c r="AC436" s="14" t="str">
        <f aca="false">IF(O436="","",V436+Y436+AB436)</f>
        <v/>
      </c>
      <c r="AD436" s="19" t="str">
        <f aca="false">IF(O436="","",O436-R436-AC436)</f>
        <v/>
      </c>
      <c r="AE436" s="20"/>
      <c r="AF436" s="10"/>
      <c r="AG436" s="21" t="n">
        <f aca="false">IF(OR(AE436="",AE436=0),0,AE436*IF(U436="",0,IF(U436&gt;1,U436/100,U436)))</f>
        <v>0</v>
      </c>
      <c r="AH436" s="21" t="n">
        <f aca="false">IF(OR(AE436="",AE436=0),0,AE436*IF(X436="",0,IF(X436&gt;1,X436/100,X436)))</f>
        <v>0</v>
      </c>
      <c r="AI436" s="21" t="n">
        <f aca="false">IF(OR(AE436="",AE436=0),0,AE436*IF(AA436="",0,IF(AA436&gt;1,AA436/100,AA436)))</f>
        <v>0</v>
      </c>
      <c r="AJ436" s="21" t="n">
        <f aca="false">AG436+AH436+AI436</f>
        <v>0</v>
      </c>
      <c r="AK436" s="21" t="n">
        <f aca="false">IF(OR(AE436="",AE436=0),0,AE436-AJ436)</f>
        <v>0</v>
      </c>
      <c r="AL436" s="19" t="str">
        <f aca="false">IF(AD436="","",AD436-AK436)</f>
        <v/>
      </c>
      <c r="AM436" s="9" t="str">
        <f aca="false">IF(C436="","","Waiting for payment")</f>
        <v/>
      </c>
      <c r="AN436" s="10"/>
      <c r="AO436" s="10"/>
      <c r="AP436" s="22" t="str">
        <f aca="false">IF(OR(C436="",I436="",K436=""),"",IF(K436="Monthly",EDATE(C436,ROUND(I436*SETTINGS!$I$8,0)),WORKDAY(C436,ROUND(I436*SETTINGS!$I$8,0))))</f>
        <v/>
      </c>
      <c r="AQ436" s="9" t="str">
        <f aca="true">IF(C436="","",IF(AND(AP436&lt;&gt;"",TODAY()&gt;=AP436),"Refi Ready",IF(TODAY()-C436&gt;=SETTINGS!$I$11,"Prospecting","Performing")))</f>
        <v/>
      </c>
      <c r="AR436" s="22" t="str">
        <f aca="false">IF(OR(C436="",I436="",K436=""),"",IF(K436="Monthly",EDATE(C436,I436),WORKDAY(C436,I436)))</f>
        <v/>
      </c>
      <c r="AS436" s="11"/>
      <c r="AT436" s="23" t="str">
        <f aca="true">IF(C436="","",IF(AM436="Clawed Back","CLAWED",IF(TODAY()&lt;=C436+SETTINGS!$I$2,"⚠ AT RISK","SAFE")))</f>
        <v/>
      </c>
      <c r="AU436" s="11"/>
      <c r="AW436" s="24" t="n">
        <f aca="false">AW435+IF(AND(C436&lt;&gt;"",AO436&lt;&gt;"",OR('REP COMMISSION'!$B$3="",T436='REP COMMISSION'!$B$3,W436='REP COMMISSION'!$B$3,Z436='REP COMMISSION'!$B$3)),1,0)</f>
        <v>0</v>
      </c>
      <c r="AX436" s="24" t="n">
        <f aca="false">AX435+IF(AND(C436&lt;&gt;"",OR(F436="LOC - INITIAL",F436="CONSOLIDATION - UPFRONT COMM",F436="REVERSE - TOTAL FUNDING")),1,0)</f>
        <v>0</v>
      </c>
    </row>
    <row r="437" customFormat="false" ht="15" hidden="false" customHeight="false" outlineLevel="0" collapsed="false">
      <c r="A437" s="25" t="str">
        <f aca="false">IF(C437&lt;&gt;"","F27-"&amp;COUNT($C$4:C437),"")</f>
        <v/>
      </c>
      <c r="B437" s="26" t="str">
        <f aca="false">IF(OR(F437="LOC - INITIAL",F437="CONSOLIDATION - UPFRONT COMM",F437="REVERSE - TOTAL FUNDING"),A437,"")</f>
        <v/>
      </c>
      <c r="C437" s="27"/>
      <c r="D437" s="28"/>
      <c r="E437" s="28"/>
      <c r="F437" s="28"/>
      <c r="G437" s="29"/>
      <c r="H437" s="30"/>
      <c r="I437" s="28"/>
      <c r="J437" s="31" t="str">
        <f aca="false">IF(AND(G437&lt;&gt;"",H437&lt;&gt;""),G437*H437,"")</f>
        <v/>
      </c>
      <c r="K437" s="28"/>
      <c r="L437" s="32"/>
      <c r="M437" s="32"/>
      <c r="N437" s="31" t="n">
        <f aca="false">IF(OR(G437="",M437=""),0,IF(M437&gt;100,M437,G437*IF(M437&gt;1,M437/100,M437)))</f>
        <v>0</v>
      </c>
      <c r="O437" s="31" t="str">
        <f aca="false">IF(G437="","",G437*IF(L437="",0,IF(L437&gt;1,L437/100,L437))+N437)</f>
        <v/>
      </c>
      <c r="P437" s="28"/>
      <c r="Q437" s="33" t="str">
        <f aca="false">IF(P437="","",IFERROR(VLOOKUP(P437,PARTNERS!$A$2:$B$30,2,0),""))</f>
        <v/>
      </c>
      <c r="R437" s="17" t="str">
        <f aca="false">IF(O437="","",IF(OR(P437="",Q437=""),0,(O437-N437)*IF(Q437&gt;1,Q437/100,Q437)))</f>
        <v/>
      </c>
      <c r="S437" s="31" t="str">
        <f aca="false">IF(O437="","",O437-R437)</f>
        <v/>
      </c>
      <c r="T437" s="28"/>
      <c r="U437" s="34" t="str">
        <f aca="false">IF(T437="","",IFERROR(VLOOKUP(T437,REPS!$A$2:$D$40,2,0),""))</f>
        <v/>
      </c>
      <c r="V437" s="31" t="str">
        <f aca="false">IF(O437="","",IF(U437="",0,O437*IF(U437&gt;1,U437/100,U437)))</f>
        <v/>
      </c>
      <c r="W437" s="28"/>
      <c r="X437" s="34" t="str">
        <f aca="false">IF(W437="","",IFERROR(VLOOKUP(W437,REPS!$A$2:$D$40,3,0),""))</f>
        <v/>
      </c>
      <c r="Y437" s="31" t="str">
        <f aca="false">IF(O437="","",IF(X437="",0,O437*IF(X437&gt;1,X437/100,X437)))</f>
        <v/>
      </c>
      <c r="Z437" s="28"/>
      <c r="AA437" s="34" t="str">
        <f aca="false">IF(Z437="","",IFERROR(VLOOKUP(Z437,REPS!$A$2:$D$40,4,0),""))</f>
        <v/>
      </c>
      <c r="AB437" s="31" t="str">
        <f aca="false">IF(O437="","",IF(AA437="",0,O437*IF(AA437&gt;1,AA437/100,AA437)))</f>
        <v/>
      </c>
      <c r="AC437" s="31" t="str">
        <f aca="false">IF(O437="","",V437+Y437+AB437)</f>
        <v/>
      </c>
      <c r="AD437" s="19" t="str">
        <f aca="false">IF(O437="","",O437-R437-AC437)</f>
        <v/>
      </c>
      <c r="AE437" s="20"/>
      <c r="AF437" s="27"/>
      <c r="AG437" s="21" t="n">
        <f aca="false">IF(OR(AE437="",AE437=0),0,AE437*IF(U437="",0,IF(U437&gt;1,U437/100,U437)))</f>
        <v>0</v>
      </c>
      <c r="AH437" s="21" t="n">
        <f aca="false">IF(OR(AE437="",AE437=0),0,AE437*IF(X437="",0,IF(X437&gt;1,X437/100,X437)))</f>
        <v>0</v>
      </c>
      <c r="AI437" s="21" t="n">
        <f aca="false">IF(OR(AE437="",AE437=0),0,AE437*IF(AA437="",0,IF(AA437&gt;1,AA437/100,AA437)))</f>
        <v>0</v>
      </c>
      <c r="AJ437" s="21" t="n">
        <f aca="false">AG437+AH437+AI437</f>
        <v>0</v>
      </c>
      <c r="AK437" s="21" t="n">
        <f aca="false">IF(OR(AE437="",AE437=0),0,AE437-AJ437)</f>
        <v>0</v>
      </c>
      <c r="AL437" s="19" t="str">
        <f aca="false">IF(AD437="","",AD437-AK437)</f>
        <v/>
      </c>
      <c r="AM437" s="26" t="str">
        <f aca="false">IF(C437="","","Waiting for payment")</f>
        <v/>
      </c>
      <c r="AN437" s="27"/>
      <c r="AO437" s="27"/>
      <c r="AP437" s="35" t="str">
        <f aca="false">IF(OR(C437="",I437="",K437=""),"",IF(K437="Monthly",EDATE(C437,ROUND(I437*SETTINGS!$I$8,0)),WORKDAY(C437,ROUND(I437*SETTINGS!$I$8,0))))</f>
        <v/>
      </c>
      <c r="AQ437" s="26" t="str">
        <f aca="true">IF(C437="","",IF(AND(AP437&lt;&gt;"",TODAY()&gt;=AP437),"Refi Ready",IF(TODAY()-C437&gt;=SETTINGS!$I$11,"Prospecting","Performing")))</f>
        <v/>
      </c>
      <c r="AR437" s="35" t="str">
        <f aca="false">IF(OR(C437="",I437="",K437=""),"",IF(K437="Monthly",EDATE(C437,I437),WORKDAY(C437,I437)))</f>
        <v/>
      </c>
      <c r="AS437" s="28"/>
      <c r="AT437" s="36" t="str">
        <f aca="true">IF(C437="","",IF(AM437="Clawed Back","CLAWED",IF(TODAY()&lt;=C437+SETTINGS!$I$2,"⚠ AT RISK","SAFE")))</f>
        <v/>
      </c>
      <c r="AU437" s="28"/>
      <c r="AW437" s="24" t="n">
        <f aca="false">AW436+IF(AND(C437&lt;&gt;"",AO437&lt;&gt;"",OR('REP COMMISSION'!$B$3="",T437='REP COMMISSION'!$B$3,W437='REP COMMISSION'!$B$3,Z437='REP COMMISSION'!$B$3)),1,0)</f>
        <v>0</v>
      </c>
      <c r="AX437" s="24" t="n">
        <f aca="false">AX436+IF(AND(C437&lt;&gt;"",OR(F437="LOC - INITIAL",F437="CONSOLIDATION - UPFRONT COMM",F437="REVERSE - TOTAL FUNDING")),1,0)</f>
        <v>0</v>
      </c>
    </row>
    <row r="438" customFormat="false" ht="15" hidden="false" customHeight="false" outlineLevel="0" collapsed="false">
      <c r="A438" s="8" t="str">
        <f aca="false">IF(C438&lt;&gt;"","F27-"&amp;COUNT($C$4:C438),"")</f>
        <v/>
      </c>
      <c r="B438" s="9" t="str">
        <f aca="false">IF(OR(F438="LOC - INITIAL",F438="CONSOLIDATION - UPFRONT COMM",F438="REVERSE - TOTAL FUNDING"),A438,"")</f>
        <v/>
      </c>
      <c r="C438" s="10"/>
      <c r="D438" s="11"/>
      <c r="E438" s="11"/>
      <c r="F438" s="11"/>
      <c r="G438" s="12"/>
      <c r="H438" s="13"/>
      <c r="I438" s="11"/>
      <c r="J438" s="14" t="str">
        <f aca="false">IF(AND(G438&lt;&gt;"",H438&lt;&gt;""),G438*H438,"")</f>
        <v/>
      </c>
      <c r="K438" s="11"/>
      <c r="L438" s="15"/>
      <c r="M438" s="15"/>
      <c r="N438" s="14" t="n">
        <f aca="false">IF(OR(G438="",M438=""),0,IF(M438&gt;100,M438,G438*IF(M438&gt;1,M438/100,M438)))</f>
        <v>0</v>
      </c>
      <c r="O438" s="14" t="str">
        <f aca="false">IF(G438="","",G438*IF(L438="",0,IF(L438&gt;1,L438/100,L438))+N438)</f>
        <v/>
      </c>
      <c r="P438" s="11"/>
      <c r="Q438" s="16" t="str">
        <f aca="false">IF(P438="","",IFERROR(VLOOKUP(P438,PARTNERS!$A$2:$B$30,2,0),""))</f>
        <v/>
      </c>
      <c r="R438" s="17" t="str">
        <f aca="false">IF(O438="","",IF(OR(P438="",Q438=""),0,(O438-N438)*IF(Q438&gt;1,Q438/100,Q438)))</f>
        <v/>
      </c>
      <c r="S438" s="14" t="str">
        <f aca="false">IF(O438="","",O438-R438)</f>
        <v/>
      </c>
      <c r="T438" s="11"/>
      <c r="U438" s="18" t="str">
        <f aca="false">IF(T438="","",IFERROR(VLOOKUP(T438,REPS!$A$2:$D$40,2,0),""))</f>
        <v/>
      </c>
      <c r="V438" s="14" t="str">
        <f aca="false">IF(O438="","",IF(U438="",0,O438*IF(U438&gt;1,U438/100,U438)))</f>
        <v/>
      </c>
      <c r="W438" s="11"/>
      <c r="X438" s="18" t="str">
        <f aca="false">IF(W438="","",IFERROR(VLOOKUP(W438,REPS!$A$2:$D$40,3,0),""))</f>
        <v/>
      </c>
      <c r="Y438" s="14" t="str">
        <f aca="false">IF(O438="","",IF(X438="",0,O438*IF(X438&gt;1,X438/100,X438)))</f>
        <v/>
      </c>
      <c r="Z438" s="11"/>
      <c r="AA438" s="18" t="str">
        <f aca="false">IF(Z438="","",IFERROR(VLOOKUP(Z438,REPS!$A$2:$D$40,4,0),""))</f>
        <v/>
      </c>
      <c r="AB438" s="14" t="str">
        <f aca="false">IF(O438="","",IF(AA438="",0,O438*IF(AA438&gt;1,AA438/100,AA438)))</f>
        <v/>
      </c>
      <c r="AC438" s="14" t="str">
        <f aca="false">IF(O438="","",V438+Y438+AB438)</f>
        <v/>
      </c>
      <c r="AD438" s="19" t="str">
        <f aca="false">IF(O438="","",O438-R438-AC438)</f>
        <v/>
      </c>
      <c r="AE438" s="20"/>
      <c r="AF438" s="10"/>
      <c r="AG438" s="21" t="n">
        <f aca="false">IF(OR(AE438="",AE438=0),0,AE438*IF(U438="",0,IF(U438&gt;1,U438/100,U438)))</f>
        <v>0</v>
      </c>
      <c r="AH438" s="21" t="n">
        <f aca="false">IF(OR(AE438="",AE438=0),0,AE438*IF(X438="",0,IF(X438&gt;1,X438/100,X438)))</f>
        <v>0</v>
      </c>
      <c r="AI438" s="21" t="n">
        <f aca="false">IF(OR(AE438="",AE438=0),0,AE438*IF(AA438="",0,IF(AA438&gt;1,AA438/100,AA438)))</f>
        <v>0</v>
      </c>
      <c r="AJ438" s="21" t="n">
        <f aca="false">AG438+AH438+AI438</f>
        <v>0</v>
      </c>
      <c r="AK438" s="21" t="n">
        <f aca="false">IF(OR(AE438="",AE438=0),0,AE438-AJ438)</f>
        <v>0</v>
      </c>
      <c r="AL438" s="19" t="str">
        <f aca="false">IF(AD438="","",AD438-AK438)</f>
        <v/>
      </c>
      <c r="AM438" s="9" t="str">
        <f aca="false">IF(C438="","","Waiting for payment")</f>
        <v/>
      </c>
      <c r="AN438" s="10"/>
      <c r="AO438" s="10"/>
      <c r="AP438" s="22" t="str">
        <f aca="false">IF(OR(C438="",I438="",K438=""),"",IF(K438="Monthly",EDATE(C438,ROUND(I438*SETTINGS!$I$8,0)),WORKDAY(C438,ROUND(I438*SETTINGS!$I$8,0))))</f>
        <v/>
      </c>
      <c r="AQ438" s="9" t="str">
        <f aca="true">IF(C438="","",IF(AND(AP438&lt;&gt;"",TODAY()&gt;=AP438),"Refi Ready",IF(TODAY()-C438&gt;=SETTINGS!$I$11,"Prospecting","Performing")))</f>
        <v/>
      </c>
      <c r="AR438" s="22" t="str">
        <f aca="false">IF(OR(C438="",I438="",K438=""),"",IF(K438="Monthly",EDATE(C438,I438),WORKDAY(C438,I438)))</f>
        <v/>
      </c>
      <c r="AS438" s="11"/>
      <c r="AT438" s="23" t="str">
        <f aca="true">IF(C438="","",IF(AM438="Clawed Back","CLAWED",IF(TODAY()&lt;=C438+SETTINGS!$I$2,"⚠ AT RISK","SAFE")))</f>
        <v/>
      </c>
      <c r="AU438" s="11"/>
      <c r="AW438" s="24" t="n">
        <f aca="false">AW437+IF(AND(C438&lt;&gt;"",AO438&lt;&gt;"",OR('REP COMMISSION'!$B$3="",T438='REP COMMISSION'!$B$3,W438='REP COMMISSION'!$B$3,Z438='REP COMMISSION'!$B$3)),1,0)</f>
        <v>0</v>
      </c>
      <c r="AX438" s="24" t="n">
        <f aca="false">AX437+IF(AND(C438&lt;&gt;"",OR(F438="LOC - INITIAL",F438="CONSOLIDATION - UPFRONT COMM",F438="REVERSE - TOTAL FUNDING")),1,0)</f>
        <v>0</v>
      </c>
    </row>
    <row r="439" customFormat="false" ht="15" hidden="false" customHeight="false" outlineLevel="0" collapsed="false">
      <c r="A439" s="25" t="str">
        <f aca="false">IF(C439&lt;&gt;"","F27-"&amp;COUNT($C$4:C439),"")</f>
        <v/>
      </c>
      <c r="B439" s="26" t="str">
        <f aca="false">IF(OR(F439="LOC - INITIAL",F439="CONSOLIDATION - UPFRONT COMM",F439="REVERSE - TOTAL FUNDING"),A439,"")</f>
        <v/>
      </c>
      <c r="C439" s="27"/>
      <c r="D439" s="28"/>
      <c r="E439" s="28"/>
      <c r="F439" s="28"/>
      <c r="G439" s="29"/>
      <c r="H439" s="30"/>
      <c r="I439" s="28"/>
      <c r="J439" s="31" t="str">
        <f aca="false">IF(AND(G439&lt;&gt;"",H439&lt;&gt;""),G439*H439,"")</f>
        <v/>
      </c>
      <c r="K439" s="28"/>
      <c r="L439" s="32"/>
      <c r="M439" s="32"/>
      <c r="N439" s="31" t="n">
        <f aca="false">IF(OR(G439="",M439=""),0,IF(M439&gt;100,M439,G439*IF(M439&gt;1,M439/100,M439)))</f>
        <v>0</v>
      </c>
      <c r="O439" s="31" t="str">
        <f aca="false">IF(G439="","",G439*IF(L439="",0,IF(L439&gt;1,L439/100,L439))+N439)</f>
        <v/>
      </c>
      <c r="P439" s="28"/>
      <c r="Q439" s="33" t="str">
        <f aca="false">IF(P439="","",IFERROR(VLOOKUP(P439,PARTNERS!$A$2:$B$30,2,0),""))</f>
        <v/>
      </c>
      <c r="R439" s="17" t="str">
        <f aca="false">IF(O439="","",IF(OR(P439="",Q439=""),0,(O439-N439)*IF(Q439&gt;1,Q439/100,Q439)))</f>
        <v/>
      </c>
      <c r="S439" s="31" t="str">
        <f aca="false">IF(O439="","",O439-R439)</f>
        <v/>
      </c>
      <c r="T439" s="28"/>
      <c r="U439" s="34" t="str">
        <f aca="false">IF(T439="","",IFERROR(VLOOKUP(T439,REPS!$A$2:$D$40,2,0),""))</f>
        <v/>
      </c>
      <c r="V439" s="31" t="str">
        <f aca="false">IF(O439="","",IF(U439="",0,O439*IF(U439&gt;1,U439/100,U439)))</f>
        <v/>
      </c>
      <c r="W439" s="28"/>
      <c r="X439" s="34" t="str">
        <f aca="false">IF(W439="","",IFERROR(VLOOKUP(W439,REPS!$A$2:$D$40,3,0),""))</f>
        <v/>
      </c>
      <c r="Y439" s="31" t="str">
        <f aca="false">IF(O439="","",IF(X439="",0,O439*IF(X439&gt;1,X439/100,X439)))</f>
        <v/>
      </c>
      <c r="Z439" s="28"/>
      <c r="AA439" s="34" t="str">
        <f aca="false">IF(Z439="","",IFERROR(VLOOKUP(Z439,REPS!$A$2:$D$40,4,0),""))</f>
        <v/>
      </c>
      <c r="AB439" s="31" t="str">
        <f aca="false">IF(O439="","",IF(AA439="",0,O439*IF(AA439&gt;1,AA439/100,AA439)))</f>
        <v/>
      </c>
      <c r="AC439" s="31" t="str">
        <f aca="false">IF(O439="","",V439+Y439+AB439)</f>
        <v/>
      </c>
      <c r="AD439" s="19" t="str">
        <f aca="false">IF(O439="","",O439-R439-AC439)</f>
        <v/>
      </c>
      <c r="AE439" s="20"/>
      <c r="AF439" s="27"/>
      <c r="AG439" s="21" t="n">
        <f aca="false">IF(OR(AE439="",AE439=0),0,AE439*IF(U439="",0,IF(U439&gt;1,U439/100,U439)))</f>
        <v>0</v>
      </c>
      <c r="AH439" s="21" t="n">
        <f aca="false">IF(OR(AE439="",AE439=0),0,AE439*IF(X439="",0,IF(X439&gt;1,X439/100,X439)))</f>
        <v>0</v>
      </c>
      <c r="AI439" s="21" t="n">
        <f aca="false">IF(OR(AE439="",AE439=0),0,AE439*IF(AA439="",0,IF(AA439&gt;1,AA439/100,AA439)))</f>
        <v>0</v>
      </c>
      <c r="AJ439" s="21" t="n">
        <f aca="false">AG439+AH439+AI439</f>
        <v>0</v>
      </c>
      <c r="AK439" s="21" t="n">
        <f aca="false">IF(OR(AE439="",AE439=0),0,AE439-AJ439)</f>
        <v>0</v>
      </c>
      <c r="AL439" s="19" t="str">
        <f aca="false">IF(AD439="","",AD439-AK439)</f>
        <v/>
      </c>
      <c r="AM439" s="26" t="str">
        <f aca="false">IF(C439="","","Waiting for payment")</f>
        <v/>
      </c>
      <c r="AN439" s="27"/>
      <c r="AO439" s="27"/>
      <c r="AP439" s="35" t="str">
        <f aca="false">IF(OR(C439="",I439="",K439=""),"",IF(K439="Monthly",EDATE(C439,ROUND(I439*SETTINGS!$I$8,0)),WORKDAY(C439,ROUND(I439*SETTINGS!$I$8,0))))</f>
        <v/>
      </c>
      <c r="AQ439" s="26" t="str">
        <f aca="true">IF(C439="","",IF(AND(AP439&lt;&gt;"",TODAY()&gt;=AP439),"Refi Ready",IF(TODAY()-C439&gt;=SETTINGS!$I$11,"Prospecting","Performing")))</f>
        <v/>
      </c>
      <c r="AR439" s="35" t="str">
        <f aca="false">IF(OR(C439="",I439="",K439=""),"",IF(K439="Monthly",EDATE(C439,I439),WORKDAY(C439,I439)))</f>
        <v/>
      </c>
      <c r="AS439" s="28"/>
      <c r="AT439" s="36" t="str">
        <f aca="true">IF(C439="","",IF(AM439="Clawed Back","CLAWED",IF(TODAY()&lt;=C439+SETTINGS!$I$2,"⚠ AT RISK","SAFE")))</f>
        <v/>
      </c>
      <c r="AU439" s="28"/>
      <c r="AW439" s="24" t="n">
        <f aca="false">AW438+IF(AND(C439&lt;&gt;"",AO439&lt;&gt;"",OR('REP COMMISSION'!$B$3="",T439='REP COMMISSION'!$B$3,W439='REP COMMISSION'!$B$3,Z439='REP COMMISSION'!$B$3)),1,0)</f>
        <v>0</v>
      </c>
      <c r="AX439" s="24" t="n">
        <f aca="false">AX438+IF(AND(C439&lt;&gt;"",OR(F439="LOC - INITIAL",F439="CONSOLIDATION - UPFRONT COMM",F439="REVERSE - TOTAL FUNDING")),1,0)</f>
        <v>0</v>
      </c>
    </row>
    <row r="440" customFormat="false" ht="15" hidden="false" customHeight="false" outlineLevel="0" collapsed="false">
      <c r="A440" s="8" t="str">
        <f aca="false">IF(C440&lt;&gt;"","F27-"&amp;COUNT($C$4:C440),"")</f>
        <v/>
      </c>
      <c r="B440" s="9" t="str">
        <f aca="false">IF(OR(F440="LOC - INITIAL",F440="CONSOLIDATION - UPFRONT COMM",F440="REVERSE - TOTAL FUNDING"),A440,"")</f>
        <v/>
      </c>
      <c r="C440" s="10"/>
      <c r="D440" s="11"/>
      <c r="E440" s="11"/>
      <c r="F440" s="11"/>
      <c r="G440" s="12"/>
      <c r="H440" s="13"/>
      <c r="I440" s="11"/>
      <c r="J440" s="14" t="str">
        <f aca="false">IF(AND(G440&lt;&gt;"",H440&lt;&gt;""),G440*H440,"")</f>
        <v/>
      </c>
      <c r="K440" s="11"/>
      <c r="L440" s="15"/>
      <c r="M440" s="15"/>
      <c r="N440" s="14" t="n">
        <f aca="false">IF(OR(G440="",M440=""),0,IF(M440&gt;100,M440,G440*IF(M440&gt;1,M440/100,M440)))</f>
        <v>0</v>
      </c>
      <c r="O440" s="14" t="str">
        <f aca="false">IF(G440="","",G440*IF(L440="",0,IF(L440&gt;1,L440/100,L440))+N440)</f>
        <v/>
      </c>
      <c r="P440" s="11"/>
      <c r="Q440" s="16" t="str">
        <f aca="false">IF(P440="","",IFERROR(VLOOKUP(P440,PARTNERS!$A$2:$B$30,2,0),""))</f>
        <v/>
      </c>
      <c r="R440" s="17" t="str">
        <f aca="false">IF(O440="","",IF(OR(P440="",Q440=""),0,(O440-N440)*IF(Q440&gt;1,Q440/100,Q440)))</f>
        <v/>
      </c>
      <c r="S440" s="14" t="str">
        <f aca="false">IF(O440="","",O440-R440)</f>
        <v/>
      </c>
      <c r="T440" s="11"/>
      <c r="U440" s="18" t="str">
        <f aca="false">IF(T440="","",IFERROR(VLOOKUP(T440,REPS!$A$2:$D$40,2,0),""))</f>
        <v/>
      </c>
      <c r="V440" s="14" t="str">
        <f aca="false">IF(O440="","",IF(U440="",0,O440*IF(U440&gt;1,U440/100,U440)))</f>
        <v/>
      </c>
      <c r="W440" s="11"/>
      <c r="X440" s="18" t="str">
        <f aca="false">IF(W440="","",IFERROR(VLOOKUP(W440,REPS!$A$2:$D$40,3,0),""))</f>
        <v/>
      </c>
      <c r="Y440" s="14" t="str">
        <f aca="false">IF(O440="","",IF(X440="",0,O440*IF(X440&gt;1,X440/100,X440)))</f>
        <v/>
      </c>
      <c r="Z440" s="11"/>
      <c r="AA440" s="18" t="str">
        <f aca="false">IF(Z440="","",IFERROR(VLOOKUP(Z440,REPS!$A$2:$D$40,4,0),""))</f>
        <v/>
      </c>
      <c r="AB440" s="14" t="str">
        <f aca="false">IF(O440="","",IF(AA440="",0,O440*IF(AA440&gt;1,AA440/100,AA440)))</f>
        <v/>
      </c>
      <c r="AC440" s="14" t="str">
        <f aca="false">IF(O440="","",V440+Y440+AB440)</f>
        <v/>
      </c>
      <c r="AD440" s="19" t="str">
        <f aca="false">IF(O440="","",O440-R440-AC440)</f>
        <v/>
      </c>
      <c r="AE440" s="20"/>
      <c r="AF440" s="10"/>
      <c r="AG440" s="21" t="n">
        <f aca="false">IF(OR(AE440="",AE440=0),0,AE440*IF(U440="",0,IF(U440&gt;1,U440/100,U440)))</f>
        <v>0</v>
      </c>
      <c r="AH440" s="21" t="n">
        <f aca="false">IF(OR(AE440="",AE440=0),0,AE440*IF(X440="",0,IF(X440&gt;1,X440/100,X440)))</f>
        <v>0</v>
      </c>
      <c r="AI440" s="21" t="n">
        <f aca="false">IF(OR(AE440="",AE440=0),0,AE440*IF(AA440="",0,IF(AA440&gt;1,AA440/100,AA440)))</f>
        <v>0</v>
      </c>
      <c r="AJ440" s="21" t="n">
        <f aca="false">AG440+AH440+AI440</f>
        <v>0</v>
      </c>
      <c r="AK440" s="21" t="n">
        <f aca="false">IF(OR(AE440="",AE440=0),0,AE440-AJ440)</f>
        <v>0</v>
      </c>
      <c r="AL440" s="19" t="str">
        <f aca="false">IF(AD440="","",AD440-AK440)</f>
        <v/>
      </c>
      <c r="AM440" s="9" t="str">
        <f aca="false">IF(C440="","","Waiting for payment")</f>
        <v/>
      </c>
      <c r="AN440" s="10"/>
      <c r="AO440" s="10"/>
      <c r="AP440" s="22" t="str">
        <f aca="false">IF(OR(C440="",I440="",K440=""),"",IF(K440="Monthly",EDATE(C440,ROUND(I440*SETTINGS!$I$8,0)),WORKDAY(C440,ROUND(I440*SETTINGS!$I$8,0))))</f>
        <v/>
      </c>
      <c r="AQ440" s="9" t="str">
        <f aca="true">IF(C440="","",IF(AND(AP440&lt;&gt;"",TODAY()&gt;=AP440),"Refi Ready",IF(TODAY()-C440&gt;=SETTINGS!$I$11,"Prospecting","Performing")))</f>
        <v/>
      </c>
      <c r="AR440" s="22" t="str">
        <f aca="false">IF(OR(C440="",I440="",K440=""),"",IF(K440="Monthly",EDATE(C440,I440),WORKDAY(C440,I440)))</f>
        <v/>
      </c>
      <c r="AS440" s="11"/>
      <c r="AT440" s="23" t="str">
        <f aca="true">IF(C440="","",IF(AM440="Clawed Back","CLAWED",IF(TODAY()&lt;=C440+SETTINGS!$I$2,"⚠ AT RISK","SAFE")))</f>
        <v/>
      </c>
      <c r="AU440" s="11"/>
      <c r="AW440" s="24" t="n">
        <f aca="false">AW439+IF(AND(C440&lt;&gt;"",AO440&lt;&gt;"",OR('REP COMMISSION'!$B$3="",T440='REP COMMISSION'!$B$3,W440='REP COMMISSION'!$B$3,Z440='REP COMMISSION'!$B$3)),1,0)</f>
        <v>0</v>
      </c>
      <c r="AX440" s="24" t="n">
        <f aca="false">AX439+IF(AND(C440&lt;&gt;"",OR(F440="LOC - INITIAL",F440="CONSOLIDATION - UPFRONT COMM",F440="REVERSE - TOTAL FUNDING")),1,0)</f>
        <v>0</v>
      </c>
    </row>
    <row r="441" customFormat="false" ht="15" hidden="false" customHeight="false" outlineLevel="0" collapsed="false">
      <c r="A441" s="25" t="str">
        <f aca="false">IF(C441&lt;&gt;"","F27-"&amp;COUNT($C$4:C441),"")</f>
        <v/>
      </c>
      <c r="B441" s="26" t="str">
        <f aca="false">IF(OR(F441="LOC - INITIAL",F441="CONSOLIDATION - UPFRONT COMM",F441="REVERSE - TOTAL FUNDING"),A441,"")</f>
        <v/>
      </c>
      <c r="C441" s="27"/>
      <c r="D441" s="28"/>
      <c r="E441" s="28"/>
      <c r="F441" s="28"/>
      <c r="G441" s="29"/>
      <c r="H441" s="30"/>
      <c r="I441" s="28"/>
      <c r="J441" s="31" t="str">
        <f aca="false">IF(AND(G441&lt;&gt;"",H441&lt;&gt;""),G441*H441,"")</f>
        <v/>
      </c>
      <c r="K441" s="28"/>
      <c r="L441" s="32"/>
      <c r="M441" s="32"/>
      <c r="N441" s="31" t="n">
        <f aca="false">IF(OR(G441="",M441=""),0,IF(M441&gt;100,M441,G441*IF(M441&gt;1,M441/100,M441)))</f>
        <v>0</v>
      </c>
      <c r="O441" s="31" t="str">
        <f aca="false">IF(G441="","",G441*IF(L441="",0,IF(L441&gt;1,L441/100,L441))+N441)</f>
        <v/>
      </c>
      <c r="P441" s="28"/>
      <c r="Q441" s="33" t="str">
        <f aca="false">IF(P441="","",IFERROR(VLOOKUP(P441,PARTNERS!$A$2:$B$30,2,0),""))</f>
        <v/>
      </c>
      <c r="R441" s="17" t="str">
        <f aca="false">IF(O441="","",IF(OR(P441="",Q441=""),0,(O441-N441)*IF(Q441&gt;1,Q441/100,Q441)))</f>
        <v/>
      </c>
      <c r="S441" s="31" t="str">
        <f aca="false">IF(O441="","",O441-R441)</f>
        <v/>
      </c>
      <c r="T441" s="28"/>
      <c r="U441" s="34" t="str">
        <f aca="false">IF(T441="","",IFERROR(VLOOKUP(T441,REPS!$A$2:$D$40,2,0),""))</f>
        <v/>
      </c>
      <c r="V441" s="31" t="str">
        <f aca="false">IF(O441="","",IF(U441="",0,O441*IF(U441&gt;1,U441/100,U441)))</f>
        <v/>
      </c>
      <c r="W441" s="28"/>
      <c r="X441" s="34" t="str">
        <f aca="false">IF(W441="","",IFERROR(VLOOKUP(W441,REPS!$A$2:$D$40,3,0),""))</f>
        <v/>
      </c>
      <c r="Y441" s="31" t="str">
        <f aca="false">IF(O441="","",IF(X441="",0,O441*IF(X441&gt;1,X441/100,X441)))</f>
        <v/>
      </c>
      <c r="Z441" s="28"/>
      <c r="AA441" s="34" t="str">
        <f aca="false">IF(Z441="","",IFERROR(VLOOKUP(Z441,REPS!$A$2:$D$40,4,0),""))</f>
        <v/>
      </c>
      <c r="AB441" s="31" t="str">
        <f aca="false">IF(O441="","",IF(AA441="",0,O441*IF(AA441&gt;1,AA441/100,AA441)))</f>
        <v/>
      </c>
      <c r="AC441" s="31" t="str">
        <f aca="false">IF(O441="","",V441+Y441+AB441)</f>
        <v/>
      </c>
      <c r="AD441" s="19" t="str">
        <f aca="false">IF(O441="","",O441-R441-AC441)</f>
        <v/>
      </c>
      <c r="AE441" s="20"/>
      <c r="AF441" s="27"/>
      <c r="AG441" s="21" t="n">
        <f aca="false">IF(OR(AE441="",AE441=0),0,AE441*IF(U441="",0,IF(U441&gt;1,U441/100,U441)))</f>
        <v>0</v>
      </c>
      <c r="AH441" s="21" t="n">
        <f aca="false">IF(OR(AE441="",AE441=0),0,AE441*IF(X441="",0,IF(X441&gt;1,X441/100,X441)))</f>
        <v>0</v>
      </c>
      <c r="AI441" s="21" t="n">
        <f aca="false">IF(OR(AE441="",AE441=0),0,AE441*IF(AA441="",0,IF(AA441&gt;1,AA441/100,AA441)))</f>
        <v>0</v>
      </c>
      <c r="AJ441" s="21" t="n">
        <f aca="false">AG441+AH441+AI441</f>
        <v>0</v>
      </c>
      <c r="AK441" s="21" t="n">
        <f aca="false">IF(OR(AE441="",AE441=0),0,AE441-AJ441)</f>
        <v>0</v>
      </c>
      <c r="AL441" s="19" t="str">
        <f aca="false">IF(AD441="","",AD441-AK441)</f>
        <v/>
      </c>
      <c r="AM441" s="26" t="str">
        <f aca="false">IF(C441="","","Waiting for payment")</f>
        <v/>
      </c>
      <c r="AN441" s="27"/>
      <c r="AO441" s="27"/>
      <c r="AP441" s="35" t="str">
        <f aca="false">IF(OR(C441="",I441="",K441=""),"",IF(K441="Monthly",EDATE(C441,ROUND(I441*SETTINGS!$I$8,0)),WORKDAY(C441,ROUND(I441*SETTINGS!$I$8,0))))</f>
        <v/>
      </c>
      <c r="AQ441" s="26" t="str">
        <f aca="true">IF(C441="","",IF(AND(AP441&lt;&gt;"",TODAY()&gt;=AP441),"Refi Ready",IF(TODAY()-C441&gt;=SETTINGS!$I$11,"Prospecting","Performing")))</f>
        <v/>
      </c>
      <c r="AR441" s="35" t="str">
        <f aca="false">IF(OR(C441="",I441="",K441=""),"",IF(K441="Monthly",EDATE(C441,I441),WORKDAY(C441,I441)))</f>
        <v/>
      </c>
      <c r="AS441" s="28"/>
      <c r="AT441" s="36" t="str">
        <f aca="true">IF(C441="","",IF(AM441="Clawed Back","CLAWED",IF(TODAY()&lt;=C441+SETTINGS!$I$2,"⚠ AT RISK","SAFE")))</f>
        <v/>
      </c>
      <c r="AU441" s="28"/>
      <c r="AW441" s="24" t="n">
        <f aca="false">AW440+IF(AND(C441&lt;&gt;"",AO441&lt;&gt;"",OR('REP COMMISSION'!$B$3="",T441='REP COMMISSION'!$B$3,W441='REP COMMISSION'!$B$3,Z441='REP COMMISSION'!$B$3)),1,0)</f>
        <v>0</v>
      </c>
      <c r="AX441" s="24" t="n">
        <f aca="false">AX440+IF(AND(C441&lt;&gt;"",OR(F441="LOC - INITIAL",F441="CONSOLIDATION - UPFRONT COMM",F441="REVERSE - TOTAL FUNDING")),1,0)</f>
        <v>0</v>
      </c>
    </row>
    <row r="442" customFormat="false" ht="15" hidden="false" customHeight="false" outlineLevel="0" collapsed="false">
      <c r="A442" s="8" t="str">
        <f aca="false">IF(C442&lt;&gt;"","F27-"&amp;COUNT($C$4:C442),"")</f>
        <v/>
      </c>
      <c r="B442" s="9" t="str">
        <f aca="false">IF(OR(F442="LOC - INITIAL",F442="CONSOLIDATION - UPFRONT COMM",F442="REVERSE - TOTAL FUNDING"),A442,"")</f>
        <v/>
      </c>
      <c r="C442" s="10"/>
      <c r="D442" s="11"/>
      <c r="E442" s="11"/>
      <c r="F442" s="11"/>
      <c r="G442" s="12"/>
      <c r="H442" s="13"/>
      <c r="I442" s="11"/>
      <c r="J442" s="14" t="str">
        <f aca="false">IF(AND(G442&lt;&gt;"",H442&lt;&gt;""),G442*H442,"")</f>
        <v/>
      </c>
      <c r="K442" s="11"/>
      <c r="L442" s="15"/>
      <c r="M442" s="15"/>
      <c r="N442" s="14" t="n">
        <f aca="false">IF(OR(G442="",M442=""),0,IF(M442&gt;100,M442,G442*IF(M442&gt;1,M442/100,M442)))</f>
        <v>0</v>
      </c>
      <c r="O442" s="14" t="str">
        <f aca="false">IF(G442="","",G442*IF(L442="",0,IF(L442&gt;1,L442/100,L442))+N442)</f>
        <v/>
      </c>
      <c r="P442" s="11"/>
      <c r="Q442" s="16" t="str">
        <f aca="false">IF(P442="","",IFERROR(VLOOKUP(P442,PARTNERS!$A$2:$B$30,2,0),""))</f>
        <v/>
      </c>
      <c r="R442" s="17" t="str">
        <f aca="false">IF(O442="","",IF(OR(P442="",Q442=""),0,(O442-N442)*IF(Q442&gt;1,Q442/100,Q442)))</f>
        <v/>
      </c>
      <c r="S442" s="14" t="str">
        <f aca="false">IF(O442="","",O442-R442)</f>
        <v/>
      </c>
      <c r="T442" s="11"/>
      <c r="U442" s="18" t="str">
        <f aca="false">IF(T442="","",IFERROR(VLOOKUP(T442,REPS!$A$2:$D$40,2,0),""))</f>
        <v/>
      </c>
      <c r="V442" s="14" t="str">
        <f aca="false">IF(O442="","",IF(U442="",0,O442*IF(U442&gt;1,U442/100,U442)))</f>
        <v/>
      </c>
      <c r="W442" s="11"/>
      <c r="X442" s="18" t="str">
        <f aca="false">IF(W442="","",IFERROR(VLOOKUP(W442,REPS!$A$2:$D$40,3,0),""))</f>
        <v/>
      </c>
      <c r="Y442" s="14" t="str">
        <f aca="false">IF(O442="","",IF(X442="",0,O442*IF(X442&gt;1,X442/100,X442)))</f>
        <v/>
      </c>
      <c r="Z442" s="11"/>
      <c r="AA442" s="18" t="str">
        <f aca="false">IF(Z442="","",IFERROR(VLOOKUP(Z442,REPS!$A$2:$D$40,4,0),""))</f>
        <v/>
      </c>
      <c r="AB442" s="14" t="str">
        <f aca="false">IF(O442="","",IF(AA442="",0,O442*IF(AA442&gt;1,AA442/100,AA442)))</f>
        <v/>
      </c>
      <c r="AC442" s="14" t="str">
        <f aca="false">IF(O442="","",V442+Y442+AB442)</f>
        <v/>
      </c>
      <c r="AD442" s="19" t="str">
        <f aca="false">IF(O442="","",O442-R442-AC442)</f>
        <v/>
      </c>
      <c r="AE442" s="20"/>
      <c r="AF442" s="10"/>
      <c r="AG442" s="21" t="n">
        <f aca="false">IF(OR(AE442="",AE442=0),0,AE442*IF(U442="",0,IF(U442&gt;1,U442/100,U442)))</f>
        <v>0</v>
      </c>
      <c r="AH442" s="21" t="n">
        <f aca="false">IF(OR(AE442="",AE442=0),0,AE442*IF(X442="",0,IF(X442&gt;1,X442/100,X442)))</f>
        <v>0</v>
      </c>
      <c r="AI442" s="21" t="n">
        <f aca="false">IF(OR(AE442="",AE442=0),0,AE442*IF(AA442="",0,IF(AA442&gt;1,AA442/100,AA442)))</f>
        <v>0</v>
      </c>
      <c r="AJ442" s="21" t="n">
        <f aca="false">AG442+AH442+AI442</f>
        <v>0</v>
      </c>
      <c r="AK442" s="21" t="n">
        <f aca="false">IF(OR(AE442="",AE442=0),0,AE442-AJ442)</f>
        <v>0</v>
      </c>
      <c r="AL442" s="19" t="str">
        <f aca="false">IF(AD442="","",AD442-AK442)</f>
        <v/>
      </c>
      <c r="AM442" s="9" t="str">
        <f aca="false">IF(C442="","","Waiting for payment")</f>
        <v/>
      </c>
      <c r="AN442" s="10"/>
      <c r="AO442" s="10"/>
      <c r="AP442" s="22" t="str">
        <f aca="false">IF(OR(C442="",I442="",K442=""),"",IF(K442="Monthly",EDATE(C442,ROUND(I442*SETTINGS!$I$8,0)),WORKDAY(C442,ROUND(I442*SETTINGS!$I$8,0))))</f>
        <v/>
      </c>
      <c r="AQ442" s="9" t="str">
        <f aca="true">IF(C442="","",IF(AND(AP442&lt;&gt;"",TODAY()&gt;=AP442),"Refi Ready",IF(TODAY()-C442&gt;=SETTINGS!$I$11,"Prospecting","Performing")))</f>
        <v/>
      </c>
      <c r="AR442" s="22" t="str">
        <f aca="false">IF(OR(C442="",I442="",K442=""),"",IF(K442="Monthly",EDATE(C442,I442),WORKDAY(C442,I442)))</f>
        <v/>
      </c>
      <c r="AS442" s="11"/>
      <c r="AT442" s="23" t="str">
        <f aca="true">IF(C442="","",IF(AM442="Clawed Back","CLAWED",IF(TODAY()&lt;=C442+SETTINGS!$I$2,"⚠ AT RISK","SAFE")))</f>
        <v/>
      </c>
      <c r="AU442" s="11"/>
      <c r="AW442" s="24" t="n">
        <f aca="false">AW441+IF(AND(C442&lt;&gt;"",AO442&lt;&gt;"",OR('REP COMMISSION'!$B$3="",T442='REP COMMISSION'!$B$3,W442='REP COMMISSION'!$B$3,Z442='REP COMMISSION'!$B$3)),1,0)</f>
        <v>0</v>
      </c>
      <c r="AX442" s="24" t="n">
        <f aca="false">AX441+IF(AND(C442&lt;&gt;"",OR(F442="LOC - INITIAL",F442="CONSOLIDATION - UPFRONT COMM",F442="REVERSE - TOTAL FUNDING")),1,0)</f>
        <v>0</v>
      </c>
    </row>
    <row r="443" customFormat="false" ht="15" hidden="false" customHeight="false" outlineLevel="0" collapsed="false">
      <c r="A443" s="25" t="str">
        <f aca="false">IF(C443&lt;&gt;"","F27-"&amp;COUNT($C$4:C443),"")</f>
        <v/>
      </c>
      <c r="B443" s="26" t="str">
        <f aca="false">IF(OR(F443="LOC - INITIAL",F443="CONSOLIDATION - UPFRONT COMM",F443="REVERSE - TOTAL FUNDING"),A443,"")</f>
        <v/>
      </c>
      <c r="C443" s="27"/>
      <c r="D443" s="28"/>
      <c r="E443" s="28"/>
      <c r="F443" s="28"/>
      <c r="G443" s="29"/>
      <c r="H443" s="30"/>
      <c r="I443" s="28"/>
      <c r="J443" s="31" t="str">
        <f aca="false">IF(AND(G443&lt;&gt;"",H443&lt;&gt;""),G443*H443,"")</f>
        <v/>
      </c>
      <c r="K443" s="28"/>
      <c r="L443" s="32"/>
      <c r="M443" s="32"/>
      <c r="N443" s="31" t="n">
        <f aca="false">IF(OR(G443="",M443=""),0,IF(M443&gt;100,M443,G443*IF(M443&gt;1,M443/100,M443)))</f>
        <v>0</v>
      </c>
      <c r="O443" s="31" t="str">
        <f aca="false">IF(G443="","",G443*IF(L443="",0,IF(L443&gt;1,L443/100,L443))+N443)</f>
        <v/>
      </c>
      <c r="P443" s="28"/>
      <c r="Q443" s="33" t="str">
        <f aca="false">IF(P443="","",IFERROR(VLOOKUP(P443,PARTNERS!$A$2:$B$30,2,0),""))</f>
        <v/>
      </c>
      <c r="R443" s="17" t="str">
        <f aca="false">IF(O443="","",IF(OR(P443="",Q443=""),0,(O443-N443)*IF(Q443&gt;1,Q443/100,Q443)))</f>
        <v/>
      </c>
      <c r="S443" s="31" t="str">
        <f aca="false">IF(O443="","",O443-R443)</f>
        <v/>
      </c>
      <c r="T443" s="28"/>
      <c r="U443" s="34" t="str">
        <f aca="false">IF(T443="","",IFERROR(VLOOKUP(T443,REPS!$A$2:$D$40,2,0),""))</f>
        <v/>
      </c>
      <c r="V443" s="31" t="str">
        <f aca="false">IF(O443="","",IF(U443="",0,O443*IF(U443&gt;1,U443/100,U443)))</f>
        <v/>
      </c>
      <c r="W443" s="28"/>
      <c r="X443" s="34" t="str">
        <f aca="false">IF(W443="","",IFERROR(VLOOKUP(W443,REPS!$A$2:$D$40,3,0),""))</f>
        <v/>
      </c>
      <c r="Y443" s="31" t="str">
        <f aca="false">IF(O443="","",IF(X443="",0,O443*IF(X443&gt;1,X443/100,X443)))</f>
        <v/>
      </c>
      <c r="Z443" s="28"/>
      <c r="AA443" s="34" t="str">
        <f aca="false">IF(Z443="","",IFERROR(VLOOKUP(Z443,REPS!$A$2:$D$40,4,0),""))</f>
        <v/>
      </c>
      <c r="AB443" s="31" t="str">
        <f aca="false">IF(O443="","",IF(AA443="",0,O443*IF(AA443&gt;1,AA443/100,AA443)))</f>
        <v/>
      </c>
      <c r="AC443" s="31" t="str">
        <f aca="false">IF(O443="","",V443+Y443+AB443)</f>
        <v/>
      </c>
      <c r="AD443" s="19" t="str">
        <f aca="false">IF(O443="","",O443-R443-AC443)</f>
        <v/>
      </c>
      <c r="AE443" s="20"/>
      <c r="AF443" s="27"/>
      <c r="AG443" s="21" t="n">
        <f aca="false">IF(OR(AE443="",AE443=0),0,AE443*IF(U443="",0,IF(U443&gt;1,U443/100,U443)))</f>
        <v>0</v>
      </c>
      <c r="AH443" s="21" t="n">
        <f aca="false">IF(OR(AE443="",AE443=0),0,AE443*IF(X443="",0,IF(X443&gt;1,X443/100,X443)))</f>
        <v>0</v>
      </c>
      <c r="AI443" s="21" t="n">
        <f aca="false">IF(OR(AE443="",AE443=0),0,AE443*IF(AA443="",0,IF(AA443&gt;1,AA443/100,AA443)))</f>
        <v>0</v>
      </c>
      <c r="AJ443" s="21" t="n">
        <f aca="false">AG443+AH443+AI443</f>
        <v>0</v>
      </c>
      <c r="AK443" s="21" t="n">
        <f aca="false">IF(OR(AE443="",AE443=0),0,AE443-AJ443)</f>
        <v>0</v>
      </c>
      <c r="AL443" s="19" t="str">
        <f aca="false">IF(AD443="","",AD443-AK443)</f>
        <v/>
      </c>
      <c r="AM443" s="26" t="str">
        <f aca="false">IF(C443="","","Waiting for payment")</f>
        <v/>
      </c>
      <c r="AN443" s="27"/>
      <c r="AO443" s="27"/>
      <c r="AP443" s="35" t="str">
        <f aca="false">IF(OR(C443="",I443="",K443=""),"",IF(K443="Monthly",EDATE(C443,ROUND(I443*SETTINGS!$I$8,0)),WORKDAY(C443,ROUND(I443*SETTINGS!$I$8,0))))</f>
        <v/>
      </c>
      <c r="AQ443" s="26" t="str">
        <f aca="true">IF(C443="","",IF(AND(AP443&lt;&gt;"",TODAY()&gt;=AP443),"Refi Ready",IF(TODAY()-C443&gt;=SETTINGS!$I$11,"Prospecting","Performing")))</f>
        <v/>
      </c>
      <c r="AR443" s="35" t="str">
        <f aca="false">IF(OR(C443="",I443="",K443=""),"",IF(K443="Monthly",EDATE(C443,I443),WORKDAY(C443,I443)))</f>
        <v/>
      </c>
      <c r="AS443" s="28"/>
      <c r="AT443" s="36" t="str">
        <f aca="true">IF(C443="","",IF(AM443="Clawed Back","CLAWED",IF(TODAY()&lt;=C443+SETTINGS!$I$2,"⚠ AT RISK","SAFE")))</f>
        <v/>
      </c>
      <c r="AU443" s="28"/>
      <c r="AW443" s="24" t="n">
        <f aca="false">AW442+IF(AND(C443&lt;&gt;"",AO443&lt;&gt;"",OR('REP COMMISSION'!$B$3="",T443='REP COMMISSION'!$B$3,W443='REP COMMISSION'!$B$3,Z443='REP COMMISSION'!$B$3)),1,0)</f>
        <v>0</v>
      </c>
      <c r="AX443" s="24" t="n">
        <f aca="false">AX442+IF(AND(C443&lt;&gt;"",OR(F443="LOC - INITIAL",F443="CONSOLIDATION - UPFRONT COMM",F443="REVERSE - TOTAL FUNDING")),1,0)</f>
        <v>0</v>
      </c>
    </row>
    <row r="444" customFormat="false" ht="15" hidden="false" customHeight="false" outlineLevel="0" collapsed="false">
      <c r="A444" s="8" t="str">
        <f aca="false">IF(C444&lt;&gt;"","F27-"&amp;COUNT($C$4:C444),"")</f>
        <v/>
      </c>
      <c r="B444" s="9" t="str">
        <f aca="false">IF(OR(F444="LOC - INITIAL",F444="CONSOLIDATION - UPFRONT COMM",F444="REVERSE - TOTAL FUNDING"),A444,"")</f>
        <v/>
      </c>
      <c r="C444" s="10"/>
      <c r="D444" s="11"/>
      <c r="E444" s="11"/>
      <c r="F444" s="11"/>
      <c r="G444" s="12"/>
      <c r="H444" s="13"/>
      <c r="I444" s="11"/>
      <c r="J444" s="14" t="str">
        <f aca="false">IF(AND(G444&lt;&gt;"",H444&lt;&gt;""),G444*H444,"")</f>
        <v/>
      </c>
      <c r="K444" s="11"/>
      <c r="L444" s="15"/>
      <c r="M444" s="15"/>
      <c r="N444" s="14" t="n">
        <f aca="false">IF(OR(G444="",M444=""),0,IF(M444&gt;100,M444,G444*IF(M444&gt;1,M444/100,M444)))</f>
        <v>0</v>
      </c>
      <c r="O444" s="14" t="str">
        <f aca="false">IF(G444="","",G444*IF(L444="",0,IF(L444&gt;1,L444/100,L444))+N444)</f>
        <v/>
      </c>
      <c r="P444" s="11"/>
      <c r="Q444" s="16" t="str">
        <f aca="false">IF(P444="","",IFERROR(VLOOKUP(P444,PARTNERS!$A$2:$B$30,2,0),""))</f>
        <v/>
      </c>
      <c r="R444" s="17" t="str">
        <f aca="false">IF(O444="","",IF(OR(P444="",Q444=""),0,(O444-N444)*IF(Q444&gt;1,Q444/100,Q444)))</f>
        <v/>
      </c>
      <c r="S444" s="14" t="str">
        <f aca="false">IF(O444="","",O444-R444)</f>
        <v/>
      </c>
      <c r="T444" s="11"/>
      <c r="U444" s="18" t="str">
        <f aca="false">IF(T444="","",IFERROR(VLOOKUP(T444,REPS!$A$2:$D$40,2,0),""))</f>
        <v/>
      </c>
      <c r="V444" s="14" t="str">
        <f aca="false">IF(O444="","",IF(U444="",0,O444*IF(U444&gt;1,U444/100,U444)))</f>
        <v/>
      </c>
      <c r="W444" s="11"/>
      <c r="X444" s="18" t="str">
        <f aca="false">IF(W444="","",IFERROR(VLOOKUP(W444,REPS!$A$2:$D$40,3,0),""))</f>
        <v/>
      </c>
      <c r="Y444" s="14" t="str">
        <f aca="false">IF(O444="","",IF(X444="",0,O444*IF(X444&gt;1,X444/100,X444)))</f>
        <v/>
      </c>
      <c r="Z444" s="11"/>
      <c r="AA444" s="18" t="str">
        <f aca="false">IF(Z444="","",IFERROR(VLOOKUP(Z444,REPS!$A$2:$D$40,4,0),""))</f>
        <v/>
      </c>
      <c r="AB444" s="14" t="str">
        <f aca="false">IF(O444="","",IF(AA444="",0,O444*IF(AA444&gt;1,AA444/100,AA444)))</f>
        <v/>
      </c>
      <c r="AC444" s="14" t="str">
        <f aca="false">IF(O444="","",V444+Y444+AB444)</f>
        <v/>
      </c>
      <c r="AD444" s="19" t="str">
        <f aca="false">IF(O444="","",O444-R444-AC444)</f>
        <v/>
      </c>
      <c r="AE444" s="20"/>
      <c r="AF444" s="10"/>
      <c r="AG444" s="21" t="n">
        <f aca="false">IF(OR(AE444="",AE444=0),0,AE444*IF(U444="",0,IF(U444&gt;1,U444/100,U444)))</f>
        <v>0</v>
      </c>
      <c r="AH444" s="21" t="n">
        <f aca="false">IF(OR(AE444="",AE444=0),0,AE444*IF(X444="",0,IF(X444&gt;1,X444/100,X444)))</f>
        <v>0</v>
      </c>
      <c r="AI444" s="21" t="n">
        <f aca="false">IF(OR(AE444="",AE444=0),0,AE444*IF(AA444="",0,IF(AA444&gt;1,AA444/100,AA444)))</f>
        <v>0</v>
      </c>
      <c r="AJ444" s="21" t="n">
        <f aca="false">AG444+AH444+AI444</f>
        <v>0</v>
      </c>
      <c r="AK444" s="21" t="n">
        <f aca="false">IF(OR(AE444="",AE444=0),0,AE444-AJ444)</f>
        <v>0</v>
      </c>
      <c r="AL444" s="19" t="str">
        <f aca="false">IF(AD444="","",AD444-AK444)</f>
        <v/>
      </c>
      <c r="AM444" s="9" t="str">
        <f aca="false">IF(C444="","","Waiting for payment")</f>
        <v/>
      </c>
      <c r="AN444" s="10"/>
      <c r="AO444" s="10"/>
      <c r="AP444" s="22" t="str">
        <f aca="false">IF(OR(C444="",I444="",K444=""),"",IF(K444="Monthly",EDATE(C444,ROUND(I444*SETTINGS!$I$8,0)),WORKDAY(C444,ROUND(I444*SETTINGS!$I$8,0))))</f>
        <v/>
      </c>
      <c r="AQ444" s="9" t="str">
        <f aca="true">IF(C444="","",IF(AND(AP444&lt;&gt;"",TODAY()&gt;=AP444),"Refi Ready",IF(TODAY()-C444&gt;=SETTINGS!$I$11,"Prospecting","Performing")))</f>
        <v/>
      </c>
      <c r="AR444" s="22" t="str">
        <f aca="false">IF(OR(C444="",I444="",K444=""),"",IF(K444="Monthly",EDATE(C444,I444),WORKDAY(C444,I444)))</f>
        <v/>
      </c>
      <c r="AS444" s="11"/>
      <c r="AT444" s="23" t="str">
        <f aca="true">IF(C444="","",IF(AM444="Clawed Back","CLAWED",IF(TODAY()&lt;=C444+SETTINGS!$I$2,"⚠ AT RISK","SAFE")))</f>
        <v/>
      </c>
      <c r="AU444" s="11"/>
      <c r="AW444" s="24" t="n">
        <f aca="false">AW443+IF(AND(C444&lt;&gt;"",AO444&lt;&gt;"",OR('REP COMMISSION'!$B$3="",T444='REP COMMISSION'!$B$3,W444='REP COMMISSION'!$B$3,Z444='REP COMMISSION'!$B$3)),1,0)</f>
        <v>0</v>
      </c>
      <c r="AX444" s="24" t="n">
        <f aca="false">AX443+IF(AND(C444&lt;&gt;"",OR(F444="LOC - INITIAL",F444="CONSOLIDATION - UPFRONT COMM",F444="REVERSE - TOTAL FUNDING")),1,0)</f>
        <v>0</v>
      </c>
    </row>
    <row r="445" customFormat="false" ht="15" hidden="false" customHeight="false" outlineLevel="0" collapsed="false">
      <c r="A445" s="25" t="str">
        <f aca="false">IF(C445&lt;&gt;"","F27-"&amp;COUNT($C$4:C445),"")</f>
        <v/>
      </c>
      <c r="B445" s="26" t="str">
        <f aca="false">IF(OR(F445="LOC - INITIAL",F445="CONSOLIDATION - UPFRONT COMM",F445="REVERSE - TOTAL FUNDING"),A445,"")</f>
        <v/>
      </c>
      <c r="C445" s="27"/>
      <c r="D445" s="28"/>
      <c r="E445" s="28"/>
      <c r="F445" s="28"/>
      <c r="G445" s="29"/>
      <c r="H445" s="30"/>
      <c r="I445" s="28"/>
      <c r="J445" s="31" t="str">
        <f aca="false">IF(AND(G445&lt;&gt;"",H445&lt;&gt;""),G445*H445,"")</f>
        <v/>
      </c>
      <c r="K445" s="28"/>
      <c r="L445" s="32"/>
      <c r="M445" s="32"/>
      <c r="N445" s="31" t="n">
        <f aca="false">IF(OR(G445="",M445=""),0,IF(M445&gt;100,M445,G445*IF(M445&gt;1,M445/100,M445)))</f>
        <v>0</v>
      </c>
      <c r="O445" s="31" t="str">
        <f aca="false">IF(G445="","",G445*IF(L445="",0,IF(L445&gt;1,L445/100,L445))+N445)</f>
        <v/>
      </c>
      <c r="P445" s="28"/>
      <c r="Q445" s="33" t="str">
        <f aca="false">IF(P445="","",IFERROR(VLOOKUP(P445,PARTNERS!$A$2:$B$30,2,0),""))</f>
        <v/>
      </c>
      <c r="R445" s="17" t="str">
        <f aca="false">IF(O445="","",IF(OR(P445="",Q445=""),0,(O445-N445)*IF(Q445&gt;1,Q445/100,Q445)))</f>
        <v/>
      </c>
      <c r="S445" s="31" t="str">
        <f aca="false">IF(O445="","",O445-R445)</f>
        <v/>
      </c>
      <c r="T445" s="28"/>
      <c r="U445" s="34" t="str">
        <f aca="false">IF(T445="","",IFERROR(VLOOKUP(T445,REPS!$A$2:$D$40,2,0),""))</f>
        <v/>
      </c>
      <c r="V445" s="31" t="str">
        <f aca="false">IF(O445="","",IF(U445="",0,O445*IF(U445&gt;1,U445/100,U445)))</f>
        <v/>
      </c>
      <c r="W445" s="28"/>
      <c r="X445" s="34" t="str">
        <f aca="false">IF(W445="","",IFERROR(VLOOKUP(W445,REPS!$A$2:$D$40,3,0),""))</f>
        <v/>
      </c>
      <c r="Y445" s="31" t="str">
        <f aca="false">IF(O445="","",IF(X445="",0,O445*IF(X445&gt;1,X445/100,X445)))</f>
        <v/>
      </c>
      <c r="Z445" s="28"/>
      <c r="AA445" s="34" t="str">
        <f aca="false">IF(Z445="","",IFERROR(VLOOKUP(Z445,REPS!$A$2:$D$40,4,0),""))</f>
        <v/>
      </c>
      <c r="AB445" s="31" t="str">
        <f aca="false">IF(O445="","",IF(AA445="",0,O445*IF(AA445&gt;1,AA445/100,AA445)))</f>
        <v/>
      </c>
      <c r="AC445" s="31" t="str">
        <f aca="false">IF(O445="","",V445+Y445+AB445)</f>
        <v/>
      </c>
      <c r="AD445" s="19" t="str">
        <f aca="false">IF(O445="","",O445-R445-AC445)</f>
        <v/>
      </c>
      <c r="AE445" s="20"/>
      <c r="AF445" s="27"/>
      <c r="AG445" s="21" t="n">
        <f aca="false">IF(OR(AE445="",AE445=0),0,AE445*IF(U445="",0,IF(U445&gt;1,U445/100,U445)))</f>
        <v>0</v>
      </c>
      <c r="AH445" s="21" t="n">
        <f aca="false">IF(OR(AE445="",AE445=0),0,AE445*IF(X445="",0,IF(X445&gt;1,X445/100,X445)))</f>
        <v>0</v>
      </c>
      <c r="AI445" s="21" t="n">
        <f aca="false">IF(OR(AE445="",AE445=0),0,AE445*IF(AA445="",0,IF(AA445&gt;1,AA445/100,AA445)))</f>
        <v>0</v>
      </c>
      <c r="AJ445" s="21" t="n">
        <f aca="false">AG445+AH445+AI445</f>
        <v>0</v>
      </c>
      <c r="AK445" s="21" t="n">
        <f aca="false">IF(OR(AE445="",AE445=0),0,AE445-AJ445)</f>
        <v>0</v>
      </c>
      <c r="AL445" s="19" t="str">
        <f aca="false">IF(AD445="","",AD445-AK445)</f>
        <v/>
      </c>
      <c r="AM445" s="26" t="str">
        <f aca="false">IF(C445="","","Waiting for payment")</f>
        <v/>
      </c>
      <c r="AN445" s="27"/>
      <c r="AO445" s="27"/>
      <c r="AP445" s="35" t="str">
        <f aca="false">IF(OR(C445="",I445="",K445=""),"",IF(K445="Monthly",EDATE(C445,ROUND(I445*SETTINGS!$I$8,0)),WORKDAY(C445,ROUND(I445*SETTINGS!$I$8,0))))</f>
        <v/>
      </c>
      <c r="AQ445" s="26" t="str">
        <f aca="true">IF(C445="","",IF(AND(AP445&lt;&gt;"",TODAY()&gt;=AP445),"Refi Ready",IF(TODAY()-C445&gt;=SETTINGS!$I$11,"Prospecting","Performing")))</f>
        <v/>
      </c>
      <c r="AR445" s="35" t="str">
        <f aca="false">IF(OR(C445="",I445="",K445=""),"",IF(K445="Monthly",EDATE(C445,I445),WORKDAY(C445,I445)))</f>
        <v/>
      </c>
      <c r="AS445" s="28"/>
      <c r="AT445" s="36" t="str">
        <f aca="true">IF(C445="","",IF(AM445="Clawed Back","CLAWED",IF(TODAY()&lt;=C445+SETTINGS!$I$2,"⚠ AT RISK","SAFE")))</f>
        <v/>
      </c>
      <c r="AU445" s="28"/>
      <c r="AW445" s="24" t="n">
        <f aca="false">AW444+IF(AND(C445&lt;&gt;"",AO445&lt;&gt;"",OR('REP COMMISSION'!$B$3="",T445='REP COMMISSION'!$B$3,W445='REP COMMISSION'!$B$3,Z445='REP COMMISSION'!$B$3)),1,0)</f>
        <v>0</v>
      </c>
      <c r="AX445" s="24" t="n">
        <f aca="false">AX444+IF(AND(C445&lt;&gt;"",OR(F445="LOC - INITIAL",F445="CONSOLIDATION - UPFRONT COMM",F445="REVERSE - TOTAL FUNDING")),1,0)</f>
        <v>0</v>
      </c>
    </row>
    <row r="446" customFormat="false" ht="15" hidden="false" customHeight="false" outlineLevel="0" collapsed="false">
      <c r="A446" s="8" t="str">
        <f aca="false">IF(C446&lt;&gt;"","F27-"&amp;COUNT($C$4:C446),"")</f>
        <v/>
      </c>
      <c r="B446" s="9" t="str">
        <f aca="false">IF(OR(F446="LOC - INITIAL",F446="CONSOLIDATION - UPFRONT COMM",F446="REVERSE - TOTAL FUNDING"),A446,"")</f>
        <v/>
      </c>
      <c r="C446" s="10"/>
      <c r="D446" s="11"/>
      <c r="E446" s="11"/>
      <c r="F446" s="11"/>
      <c r="G446" s="12"/>
      <c r="H446" s="13"/>
      <c r="I446" s="11"/>
      <c r="J446" s="14" t="str">
        <f aca="false">IF(AND(G446&lt;&gt;"",H446&lt;&gt;""),G446*H446,"")</f>
        <v/>
      </c>
      <c r="K446" s="11"/>
      <c r="L446" s="15"/>
      <c r="M446" s="15"/>
      <c r="N446" s="14" t="n">
        <f aca="false">IF(OR(G446="",M446=""),0,IF(M446&gt;100,M446,G446*IF(M446&gt;1,M446/100,M446)))</f>
        <v>0</v>
      </c>
      <c r="O446" s="14" t="str">
        <f aca="false">IF(G446="","",G446*IF(L446="",0,IF(L446&gt;1,L446/100,L446))+N446)</f>
        <v/>
      </c>
      <c r="P446" s="11"/>
      <c r="Q446" s="16" t="str">
        <f aca="false">IF(P446="","",IFERROR(VLOOKUP(P446,PARTNERS!$A$2:$B$30,2,0),""))</f>
        <v/>
      </c>
      <c r="R446" s="17" t="str">
        <f aca="false">IF(O446="","",IF(OR(P446="",Q446=""),0,(O446-N446)*IF(Q446&gt;1,Q446/100,Q446)))</f>
        <v/>
      </c>
      <c r="S446" s="14" t="str">
        <f aca="false">IF(O446="","",O446-R446)</f>
        <v/>
      </c>
      <c r="T446" s="11"/>
      <c r="U446" s="18" t="str">
        <f aca="false">IF(T446="","",IFERROR(VLOOKUP(T446,REPS!$A$2:$D$40,2,0),""))</f>
        <v/>
      </c>
      <c r="V446" s="14" t="str">
        <f aca="false">IF(O446="","",IF(U446="",0,O446*IF(U446&gt;1,U446/100,U446)))</f>
        <v/>
      </c>
      <c r="W446" s="11"/>
      <c r="X446" s="18" t="str">
        <f aca="false">IF(W446="","",IFERROR(VLOOKUP(W446,REPS!$A$2:$D$40,3,0),""))</f>
        <v/>
      </c>
      <c r="Y446" s="14" t="str">
        <f aca="false">IF(O446="","",IF(X446="",0,O446*IF(X446&gt;1,X446/100,X446)))</f>
        <v/>
      </c>
      <c r="Z446" s="11"/>
      <c r="AA446" s="18" t="str">
        <f aca="false">IF(Z446="","",IFERROR(VLOOKUP(Z446,REPS!$A$2:$D$40,4,0),""))</f>
        <v/>
      </c>
      <c r="AB446" s="14" t="str">
        <f aca="false">IF(O446="","",IF(AA446="",0,O446*IF(AA446&gt;1,AA446/100,AA446)))</f>
        <v/>
      </c>
      <c r="AC446" s="14" t="str">
        <f aca="false">IF(O446="","",V446+Y446+AB446)</f>
        <v/>
      </c>
      <c r="AD446" s="19" t="str">
        <f aca="false">IF(O446="","",O446-R446-AC446)</f>
        <v/>
      </c>
      <c r="AE446" s="20"/>
      <c r="AF446" s="10"/>
      <c r="AG446" s="21" t="n">
        <f aca="false">IF(OR(AE446="",AE446=0),0,AE446*IF(U446="",0,IF(U446&gt;1,U446/100,U446)))</f>
        <v>0</v>
      </c>
      <c r="AH446" s="21" t="n">
        <f aca="false">IF(OR(AE446="",AE446=0),0,AE446*IF(X446="",0,IF(X446&gt;1,X446/100,X446)))</f>
        <v>0</v>
      </c>
      <c r="AI446" s="21" t="n">
        <f aca="false">IF(OR(AE446="",AE446=0),0,AE446*IF(AA446="",0,IF(AA446&gt;1,AA446/100,AA446)))</f>
        <v>0</v>
      </c>
      <c r="AJ446" s="21" t="n">
        <f aca="false">AG446+AH446+AI446</f>
        <v>0</v>
      </c>
      <c r="AK446" s="21" t="n">
        <f aca="false">IF(OR(AE446="",AE446=0),0,AE446-AJ446)</f>
        <v>0</v>
      </c>
      <c r="AL446" s="19" t="str">
        <f aca="false">IF(AD446="","",AD446-AK446)</f>
        <v/>
      </c>
      <c r="AM446" s="9" t="str">
        <f aca="false">IF(C446="","","Waiting for payment")</f>
        <v/>
      </c>
      <c r="AN446" s="10"/>
      <c r="AO446" s="10"/>
      <c r="AP446" s="22" t="str">
        <f aca="false">IF(OR(C446="",I446="",K446=""),"",IF(K446="Monthly",EDATE(C446,ROUND(I446*SETTINGS!$I$8,0)),WORKDAY(C446,ROUND(I446*SETTINGS!$I$8,0))))</f>
        <v/>
      </c>
      <c r="AQ446" s="9" t="str">
        <f aca="true">IF(C446="","",IF(AND(AP446&lt;&gt;"",TODAY()&gt;=AP446),"Refi Ready",IF(TODAY()-C446&gt;=SETTINGS!$I$11,"Prospecting","Performing")))</f>
        <v/>
      </c>
      <c r="AR446" s="22" t="str">
        <f aca="false">IF(OR(C446="",I446="",K446=""),"",IF(K446="Monthly",EDATE(C446,I446),WORKDAY(C446,I446)))</f>
        <v/>
      </c>
      <c r="AS446" s="11"/>
      <c r="AT446" s="23" t="str">
        <f aca="true">IF(C446="","",IF(AM446="Clawed Back","CLAWED",IF(TODAY()&lt;=C446+SETTINGS!$I$2,"⚠ AT RISK","SAFE")))</f>
        <v/>
      </c>
      <c r="AU446" s="11"/>
      <c r="AW446" s="24" t="n">
        <f aca="false">AW445+IF(AND(C446&lt;&gt;"",AO446&lt;&gt;"",OR('REP COMMISSION'!$B$3="",T446='REP COMMISSION'!$B$3,W446='REP COMMISSION'!$B$3,Z446='REP COMMISSION'!$B$3)),1,0)</f>
        <v>0</v>
      </c>
      <c r="AX446" s="24" t="n">
        <f aca="false">AX445+IF(AND(C446&lt;&gt;"",OR(F446="LOC - INITIAL",F446="CONSOLIDATION - UPFRONT COMM",F446="REVERSE - TOTAL FUNDING")),1,0)</f>
        <v>0</v>
      </c>
    </row>
    <row r="447" customFormat="false" ht="15" hidden="false" customHeight="false" outlineLevel="0" collapsed="false">
      <c r="A447" s="25" t="str">
        <f aca="false">IF(C447&lt;&gt;"","F27-"&amp;COUNT($C$4:C447),"")</f>
        <v/>
      </c>
      <c r="B447" s="26" t="str">
        <f aca="false">IF(OR(F447="LOC - INITIAL",F447="CONSOLIDATION - UPFRONT COMM",F447="REVERSE - TOTAL FUNDING"),A447,"")</f>
        <v/>
      </c>
      <c r="C447" s="27"/>
      <c r="D447" s="28"/>
      <c r="E447" s="28"/>
      <c r="F447" s="28"/>
      <c r="G447" s="29"/>
      <c r="H447" s="30"/>
      <c r="I447" s="28"/>
      <c r="J447" s="31" t="str">
        <f aca="false">IF(AND(G447&lt;&gt;"",H447&lt;&gt;""),G447*H447,"")</f>
        <v/>
      </c>
      <c r="K447" s="28"/>
      <c r="L447" s="32"/>
      <c r="M447" s="32"/>
      <c r="N447" s="31" t="n">
        <f aca="false">IF(OR(G447="",M447=""),0,IF(M447&gt;100,M447,G447*IF(M447&gt;1,M447/100,M447)))</f>
        <v>0</v>
      </c>
      <c r="O447" s="31" t="str">
        <f aca="false">IF(G447="","",G447*IF(L447="",0,IF(L447&gt;1,L447/100,L447))+N447)</f>
        <v/>
      </c>
      <c r="P447" s="28"/>
      <c r="Q447" s="33" t="str">
        <f aca="false">IF(P447="","",IFERROR(VLOOKUP(P447,PARTNERS!$A$2:$B$30,2,0),""))</f>
        <v/>
      </c>
      <c r="R447" s="17" t="str">
        <f aca="false">IF(O447="","",IF(OR(P447="",Q447=""),0,(O447-N447)*IF(Q447&gt;1,Q447/100,Q447)))</f>
        <v/>
      </c>
      <c r="S447" s="31" t="str">
        <f aca="false">IF(O447="","",O447-R447)</f>
        <v/>
      </c>
      <c r="T447" s="28"/>
      <c r="U447" s="34" t="str">
        <f aca="false">IF(T447="","",IFERROR(VLOOKUP(T447,REPS!$A$2:$D$40,2,0),""))</f>
        <v/>
      </c>
      <c r="V447" s="31" t="str">
        <f aca="false">IF(O447="","",IF(U447="",0,O447*IF(U447&gt;1,U447/100,U447)))</f>
        <v/>
      </c>
      <c r="W447" s="28"/>
      <c r="X447" s="34" t="str">
        <f aca="false">IF(W447="","",IFERROR(VLOOKUP(W447,REPS!$A$2:$D$40,3,0),""))</f>
        <v/>
      </c>
      <c r="Y447" s="31" t="str">
        <f aca="false">IF(O447="","",IF(X447="",0,O447*IF(X447&gt;1,X447/100,X447)))</f>
        <v/>
      </c>
      <c r="Z447" s="28"/>
      <c r="AA447" s="34" t="str">
        <f aca="false">IF(Z447="","",IFERROR(VLOOKUP(Z447,REPS!$A$2:$D$40,4,0),""))</f>
        <v/>
      </c>
      <c r="AB447" s="31" t="str">
        <f aca="false">IF(O447="","",IF(AA447="",0,O447*IF(AA447&gt;1,AA447/100,AA447)))</f>
        <v/>
      </c>
      <c r="AC447" s="31" t="str">
        <f aca="false">IF(O447="","",V447+Y447+AB447)</f>
        <v/>
      </c>
      <c r="AD447" s="19" t="str">
        <f aca="false">IF(O447="","",O447-R447-AC447)</f>
        <v/>
      </c>
      <c r="AE447" s="20"/>
      <c r="AF447" s="27"/>
      <c r="AG447" s="21" t="n">
        <f aca="false">IF(OR(AE447="",AE447=0),0,AE447*IF(U447="",0,IF(U447&gt;1,U447/100,U447)))</f>
        <v>0</v>
      </c>
      <c r="AH447" s="21" t="n">
        <f aca="false">IF(OR(AE447="",AE447=0),0,AE447*IF(X447="",0,IF(X447&gt;1,X447/100,X447)))</f>
        <v>0</v>
      </c>
      <c r="AI447" s="21" t="n">
        <f aca="false">IF(OR(AE447="",AE447=0),0,AE447*IF(AA447="",0,IF(AA447&gt;1,AA447/100,AA447)))</f>
        <v>0</v>
      </c>
      <c r="AJ447" s="21" t="n">
        <f aca="false">AG447+AH447+AI447</f>
        <v>0</v>
      </c>
      <c r="AK447" s="21" t="n">
        <f aca="false">IF(OR(AE447="",AE447=0),0,AE447-AJ447)</f>
        <v>0</v>
      </c>
      <c r="AL447" s="19" t="str">
        <f aca="false">IF(AD447="","",AD447-AK447)</f>
        <v/>
      </c>
      <c r="AM447" s="26" t="str">
        <f aca="false">IF(C447="","","Waiting for payment")</f>
        <v/>
      </c>
      <c r="AN447" s="27"/>
      <c r="AO447" s="27"/>
      <c r="AP447" s="35" t="str">
        <f aca="false">IF(OR(C447="",I447="",K447=""),"",IF(K447="Monthly",EDATE(C447,ROUND(I447*SETTINGS!$I$8,0)),WORKDAY(C447,ROUND(I447*SETTINGS!$I$8,0))))</f>
        <v/>
      </c>
      <c r="AQ447" s="26" t="str">
        <f aca="true">IF(C447="","",IF(AND(AP447&lt;&gt;"",TODAY()&gt;=AP447),"Refi Ready",IF(TODAY()-C447&gt;=SETTINGS!$I$11,"Prospecting","Performing")))</f>
        <v/>
      </c>
      <c r="AR447" s="35" t="str">
        <f aca="false">IF(OR(C447="",I447="",K447=""),"",IF(K447="Monthly",EDATE(C447,I447),WORKDAY(C447,I447)))</f>
        <v/>
      </c>
      <c r="AS447" s="28"/>
      <c r="AT447" s="36" t="str">
        <f aca="true">IF(C447="","",IF(AM447="Clawed Back","CLAWED",IF(TODAY()&lt;=C447+SETTINGS!$I$2,"⚠ AT RISK","SAFE")))</f>
        <v/>
      </c>
      <c r="AU447" s="28"/>
      <c r="AW447" s="24" t="n">
        <f aca="false">AW446+IF(AND(C447&lt;&gt;"",AO447&lt;&gt;"",OR('REP COMMISSION'!$B$3="",T447='REP COMMISSION'!$B$3,W447='REP COMMISSION'!$B$3,Z447='REP COMMISSION'!$B$3)),1,0)</f>
        <v>0</v>
      </c>
      <c r="AX447" s="24" t="n">
        <f aca="false">AX446+IF(AND(C447&lt;&gt;"",OR(F447="LOC - INITIAL",F447="CONSOLIDATION - UPFRONT COMM",F447="REVERSE - TOTAL FUNDING")),1,0)</f>
        <v>0</v>
      </c>
    </row>
    <row r="448" customFormat="false" ht="15" hidden="false" customHeight="false" outlineLevel="0" collapsed="false">
      <c r="A448" s="8" t="str">
        <f aca="false">IF(C448&lt;&gt;"","F27-"&amp;COUNT($C$4:C448),"")</f>
        <v/>
      </c>
      <c r="B448" s="9" t="str">
        <f aca="false">IF(OR(F448="LOC - INITIAL",F448="CONSOLIDATION - UPFRONT COMM",F448="REVERSE - TOTAL FUNDING"),A448,"")</f>
        <v/>
      </c>
      <c r="C448" s="10"/>
      <c r="D448" s="11"/>
      <c r="E448" s="11"/>
      <c r="F448" s="11"/>
      <c r="G448" s="12"/>
      <c r="H448" s="13"/>
      <c r="I448" s="11"/>
      <c r="J448" s="14" t="str">
        <f aca="false">IF(AND(G448&lt;&gt;"",H448&lt;&gt;""),G448*H448,"")</f>
        <v/>
      </c>
      <c r="K448" s="11"/>
      <c r="L448" s="15"/>
      <c r="M448" s="15"/>
      <c r="N448" s="14" t="n">
        <f aca="false">IF(OR(G448="",M448=""),0,IF(M448&gt;100,M448,G448*IF(M448&gt;1,M448/100,M448)))</f>
        <v>0</v>
      </c>
      <c r="O448" s="14" t="str">
        <f aca="false">IF(G448="","",G448*IF(L448="",0,IF(L448&gt;1,L448/100,L448))+N448)</f>
        <v/>
      </c>
      <c r="P448" s="11"/>
      <c r="Q448" s="16" t="str">
        <f aca="false">IF(P448="","",IFERROR(VLOOKUP(P448,PARTNERS!$A$2:$B$30,2,0),""))</f>
        <v/>
      </c>
      <c r="R448" s="17" t="str">
        <f aca="false">IF(O448="","",IF(OR(P448="",Q448=""),0,(O448-N448)*IF(Q448&gt;1,Q448/100,Q448)))</f>
        <v/>
      </c>
      <c r="S448" s="14" t="str">
        <f aca="false">IF(O448="","",O448-R448)</f>
        <v/>
      </c>
      <c r="T448" s="11"/>
      <c r="U448" s="18" t="str">
        <f aca="false">IF(T448="","",IFERROR(VLOOKUP(T448,REPS!$A$2:$D$40,2,0),""))</f>
        <v/>
      </c>
      <c r="V448" s="14" t="str">
        <f aca="false">IF(O448="","",IF(U448="",0,O448*IF(U448&gt;1,U448/100,U448)))</f>
        <v/>
      </c>
      <c r="W448" s="11"/>
      <c r="X448" s="18" t="str">
        <f aca="false">IF(W448="","",IFERROR(VLOOKUP(W448,REPS!$A$2:$D$40,3,0),""))</f>
        <v/>
      </c>
      <c r="Y448" s="14" t="str">
        <f aca="false">IF(O448="","",IF(X448="",0,O448*IF(X448&gt;1,X448/100,X448)))</f>
        <v/>
      </c>
      <c r="Z448" s="11"/>
      <c r="AA448" s="18" t="str">
        <f aca="false">IF(Z448="","",IFERROR(VLOOKUP(Z448,REPS!$A$2:$D$40,4,0),""))</f>
        <v/>
      </c>
      <c r="AB448" s="14" t="str">
        <f aca="false">IF(O448="","",IF(AA448="",0,O448*IF(AA448&gt;1,AA448/100,AA448)))</f>
        <v/>
      </c>
      <c r="AC448" s="14" t="str">
        <f aca="false">IF(O448="","",V448+Y448+AB448)</f>
        <v/>
      </c>
      <c r="AD448" s="19" t="str">
        <f aca="false">IF(O448="","",O448-R448-AC448)</f>
        <v/>
      </c>
      <c r="AE448" s="20"/>
      <c r="AF448" s="10"/>
      <c r="AG448" s="21" t="n">
        <f aca="false">IF(OR(AE448="",AE448=0),0,AE448*IF(U448="",0,IF(U448&gt;1,U448/100,U448)))</f>
        <v>0</v>
      </c>
      <c r="AH448" s="21" t="n">
        <f aca="false">IF(OR(AE448="",AE448=0),0,AE448*IF(X448="",0,IF(X448&gt;1,X448/100,X448)))</f>
        <v>0</v>
      </c>
      <c r="AI448" s="21" t="n">
        <f aca="false">IF(OR(AE448="",AE448=0),0,AE448*IF(AA448="",0,IF(AA448&gt;1,AA448/100,AA448)))</f>
        <v>0</v>
      </c>
      <c r="AJ448" s="21" t="n">
        <f aca="false">AG448+AH448+AI448</f>
        <v>0</v>
      </c>
      <c r="AK448" s="21" t="n">
        <f aca="false">IF(OR(AE448="",AE448=0),0,AE448-AJ448)</f>
        <v>0</v>
      </c>
      <c r="AL448" s="19" t="str">
        <f aca="false">IF(AD448="","",AD448-AK448)</f>
        <v/>
      </c>
      <c r="AM448" s="9" t="str">
        <f aca="false">IF(C448="","","Waiting for payment")</f>
        <v/>
      </c>
      <c r="AN448" s="10"/>
      <c r="AO448" s="10"/>
      <c r="AP448" s="22" t="str">
        <f aca="false">IF(OR(C448="",I448="",K448=""),"",IF(K448="Monthly",EDATE(C448,ROUND(I448*SETTINGS!$I$8,0)),WORKDAY(C448,ROUND(I448*SETTINGS!$I$8,0))))</f>
        <v/>
      </c>
      <c r="AQ448" s="9" t="str">
        <f aca="true">IF(C448="","",IF(AND(AP448&lt;&gt;"",TODAY()&gt;=AP448),"Refi Ready",IF(TODAY()-C448&gt;=SETTINGS!$I$11,"Prospecting","Performing")))</f>
        <v/>
      </c>
      <c r="AR448" s="22" t="str">
        <f aca="false">IF(OR(C448="",I448="",K448=""),"",IF(K448="Monthly",EDATE(C448,I448),WORKDAY(C448,I448)))</f>
        <v/>
      </c>
      <c r="AS448" s="11"/>
      <c r="AT448" s="23" t="str">
        <f aca="true">IF(C448="","",IF(AM448="Clawed Back","CLAWED",IF(TODAY()&lt;=C448+SETTINGS!$I$2,"⚠ AT RISK","SAFE")))</f>
        <v/>
      </c>
      <c r="AU448" s="11"/>
      <c r="AW448" s="24" t="n">
        <f aca="false">AW447+IF(AND(C448&lt;&gt;"",AO448&lt;&gt;"",OR('REP COMMISSION'!$B$3="",T448='REP COMMISSION'!$B$3,W448='REP COMMISSION'!$B$3,Z448='REP COMMISSION'!$B$3)),1,0)</f>
        <v>0</v>
      </c>
      <c r="AX448" s="24" t="n">
        <f aca="false">AX447+IF(AND(C448&lt;&gt;"",OR(F448="LOC - INITIAL",F448="CONSOLIDATION - UPFRONT COMM",F448="REVERSE - TOTAL FUNDING")),1,0)</f>
        <v>0</v>
      </c>
    </row>
    <row r="449" customFormat="false" ht="15" hidden="false" customHeight="false" outlineLevel="0" collapsed="false">
      <c r="A449" s="25" t="str">
        <f aca="false">IF(C449&lt;&gt;"","F27-"&amp;COUNT($C$4:C449),"")</f>
        <v/>
      </c>
      <c r="B449" s="26" t="str">
        <f aca="false">IF(OR(F449="LOC - INITIAL",F449="CONSOLIDATION - UPFRONT COMM",F449="REVERSE - TOTAL FUNDING"),A449,"")</f>
        <v/>
      </c>
      <c r="C449" s="27"/>
      <c r="D449" s="28"/>
      <c r="E449" s="28"/>
      <c r="F449" s="28"/>
      <c r="G449" s="29"/>
      <c r="H449" s="30"/>
      <c r="I449" s="28"/>
      <c r="J449" s="31" t="str">
        <f aca="false">IF(AND(G449&lt;&gt;"",H449&lt;&gt;""),G449*H449,"")</f>
        <v/>
      </c>
      <c r="K449" s="28"/>
      <c r="L449" s="32"/>
      <c r="M449" s="32"/>
      <c r="N449" s="31" t="n">
        <f aca="false">IF(OR(G449="",M449=""),0,IF(M449&gt;100,M449,G449*IF(M449&gt;1,M449/100,M449)))</f>
        <v>0</v>
      </c>
      <c r="O449" s="31" t="str">
        <f aca="false">IF(G449="","",G449*IF(L449="",0,IF(L449&gt;1,L449/100,L449))+N449)</f>
        <v/>
      </c>
      <c r="P449" s="28"/>
      <c r="Q449" s="33" t="str">
        <f aca="false">IF(P449="","",IFERROR(VLOOKUP(P449,PARTNERS!$A$2:$B$30,2,0),""))</f>
        <v/>
      </c>
      <c r="R449" s="17" t="str">
        <f aca="false">IF(O449="","",IF(OR(P449="",Q449=""),0,(O449-N449)*IF(Q449&gt;1,Q449/100,Q449)))</f>
        <v/>
      </c>
      <c r="S449" s="31" t="str">
        <f aca="false">IF(O449="","",O449-R449)</f>
        <v/>
      </c>
      <c r="T449" s="28"/>
      <c r="U449" s="34" t="str">
        <f aca="false">IF(T449="","",IFERROR(VLOOKUP(T449,REPS!$A$2:$D$40,2,0),""))</f>
        <v/>
      </c>
      <c r="V449" s="31" t="str">
        <f aca="false">IF(O449="","",IF(U449="",0,O449*IF(U449&gt;1,U449/100,U449)))</f>
        <v/>
      </c>
      <c r="W449" s="28"/>
      <c r="X449" s="34" t="str">
        <f aca="false">IF(W449="","",IFERROR(VLOOKUP(W449,REPS!$A$2:$D$40,3,0),""))</f>
        <v/>
      </c>
      <c r="Y449" s="31" t="str">
        <f aca="false">IF(O449="","",IF(X449="",0,O449*IF(X449&gt;1,X449/100,X449)))</f>
        <v/>
      </c>
      <c r="Z449" s="28"/>
      <c r="AA449" s="34" t="str">
        <f aca="false">IF(Z449="","",IFERROR(VLOOKUP(Z449,REPS!$A$2:$D$40,4,0),""))</f>
        <v/>
      </c>
      <c r="AB449" s="31" t="str">
        <f aca="false">IF(O449="","",IF(AA449="",0,O449*IF(AA449&gt;1,AA449/100,AA449)))</f>
        <v/>
      </c>
      <c r="AC449" s="31" t="str">
        <f aca="false">IF(O449="","",V449+Y449+AB449)</f>
        <v/>
      </c>
      <c r="AD449" s="19" t="str">
        <f aca="false">IF(O449="","",O449-R449-AC449)</f>
        <v/>
      </c>
      <c r="AE449" s="20"/>
      <c r="AF449" s="27"/>
      <c r="AG449" s="21" t="n">
        <f aca="false">IF(OR(AE449="",AE449=0),0,AE449*IF(U449="",0,IF(U449&gt;1,U449/100,U449)))</f>
        <v>0</v>
      </c>
      <c r="AH449" s="21" t="n">
        <f aca="false">IF(OR(AE449="",AE449=0),0,AE449*IF(X449="",0,IF(X449&gt;1,X449/100,X449)))</f>
        <v>0</v>
      </c>
      <c r="AI449" s="21" t="n">
        <f aca="false">IF(OR(AE449="",AE449=0),0,AE449*IF(AA449="",0,IF(AA449&gt;1,AA449/100,AA449)))</f>
        <v>0</v>
      </c>
      <c r="AJ449" s="21" t="n">
        <f aca="false">AG449+AH449+AI449</f>
        <v>0</v>
      </c>
      <c r="AK449" s="21" t="n">
        <f aca="false">IF(OR(AE449="",AE449=0),0,AE449-AJ449)</f>
        <v>0</v>
      </c>
      <c r="AL449" s="19" t="str">
        <f aca="false">IF(AD449="","",AD449-AK449)</f>
        <v/>
      </c>
      <c r="AM449" s="26" t="str">
        <f aca="false">IF(C449="","","Waiting for payment")</f>
        <v/>
      </c>
      <c r="AN449" s="27"/>
      <c r="AO449" s="27"/>
      <c r="AP449" s="35" t="str">
        <f aca="false">IF(OR(C449="",I449="",K449=""),"",IF(K449="Monthly",EDATE(C449,ROUND(I449*SETTINGS!$I$8,0)),WORKDAY(C449,ROUND(I449*SETTINGS!$I$8,0))))</f>
        <v/>
      </c>
      <c r="AQ449" s="26" t="str">
        <f aca="true">IF(C449="","",IF(AND(AP449&lt;&gt;"",TODAY()&gt;=AP449),"Refi Ready",IF(TODAY()-C449&gt;=SETTINGS!$I$11,"Prospecting","Performing")))</f>
        <v/>
      </c>
      <c r="AR449" s="35" t="str">
        <f aca="false">IF(OR(C449="",I449="",K449=""),"",IF(K449="Monthly",EDATE(C449,I449),WORKDAY(C449,I449)))</f>
        <v/>
      </c>
      <c r="AS449" s="28"/>
      <c r="AT449" s="36" t="str">
        <f aca="true">IF(C449="","",IF(AM449="Clawed Back","CLAWED",IF(TODAY()&lt;=C449+SETTINGS!$I$2,"⚠ AT RISK","SAFE")))</f>
        <v/>
      </c>
      <c r="AU449" s="28"/>
      <c r="AW449" s="24" t="n">
        <f aca="false">AW448+IF(AND(C449&lt;&gt;"",AO449&lt;&gt;"",OR('REP COMMISSION'!$B$3="",T449='REP COMMISSION'!$B$3,W449='REP COMMISSION'!$B$3,Z449='REP COMMISSION'!$B$3)),1,0)</f>
        <v>0</v>
      </c>
      <c r="AX449" s="24" t="n">
        <f aca="false">AX448+IF(AND(C449&lt;&gt;"",OR(F449="LOC - INITIAL",F449="CONSOLIDATION - UPFRONT COMM",F449="REVERSE - TOTAL FUNDING")),1,0)</f>
        <v>0</v>
      </c>
    </row>
    <row r="450" customFormat="false" ht="15" hidden="false" customHeight="false" outlineLevel="0" collapsed="false">
      <c r="A450" s="8" t="str">
        <f aca="false">IF(C450&lt;&gt;"","F27-"&amp;COUNT($C$4:C450),"")</f>
        <v/>
      </c>
      <c r="B450" s="9" t="str">
        <f aca="false">IF(OR(F450="LOC - INITIAL",F450="CONSOLIDATION - UPFRONT COMM",F450="REVERSE - TOTAL FUNDING"),A450,"")</f>
        <v/>
      </c>
      <c r="C450" s="10"/>
      <c r="D450" s="11"/>
      <c r="E450" s="11"/>
      <c r="F450" s="11"/>
      <c r="G450" s="12"/>
      <c r="H450" s="13"/>
      <c r="I450" s="11"/>
      <c r="J450" s="14" t="str">
        <f aca="false">IF(AND(G450&lt;&gt;"",H450&lt;&gt;""),G450*H450,"")</f>
        <v/>
      </c>
      <c r="K450" s="11"/>
      <c r="L450" s="15"/>
      <c r="M450" s="15"/>
      <c r="N450" s="14" t="n">
        <f aca="false">IF(OR(G450="",M450=""),0,IF(M450&gt;100,M450,G450*IF(M450&gt;1,M450/100,M450)))</f>
        <v>0</v>
      </c>
      <c r="O450" s="14" t="str">
        <f aca="false">IF(G450="","",G450*IF(L450="",0,IF(L450&gt;1,L450/100,L450))+N450)</f>
        <v/>
      </c>
      <c r="P450" s="11"/>
      <c r="Q450" s="16" t="str">
        <f aca="false">IF(P450="","",IFERROR(VLOOKUP(P450,PARTNERS!$A$2:$B$30,2,0),""))</f>
        <v/>
      </c>
      <c r="R450" s="17" t="str">
        <f aca="false">IF(O450="","",IF(OR(P450="",Q450=""),0,(O450-N450)*IF(Q450&gt;1,Q450/100,Q450)))</f>
        <v/>
      </c>
      <c r="S450" s="14" t="str">
        <f aca="false">IF(O450="","",O450-R450)</f>
        <v/>
      </c>
      <c r="T450" s="11"/>
      <c r="U450" s="18" t="str">
        <f aca="false">IF(T450="","",IFERROR(VLOOKUP(T450,REPS!$A$2:$D$40,2,0),""))</f>
        <v/>
      </c>
      <c r="V450" s="14" t="str">
        <f aca="false">IF(O450="","",IF(U450="",0,O450*IF(U450&gt;1,U450/100,U450)))</f>
        <v/>
      </c>
      <c r="W450" s="11"/>
      <c r="X450" s="18" t="str">
        <f aca="false">IF(W450="","",IFERROR(VLOOKUP(W450,REPS!$A$2:$D$40,3,0),""))</f>
        <v/>
      </c>
      <c r="Y450" s="14" t="str">
        <f aca="false">IF(O450="","",IF(X450="",0,O450*IF(X450&gt;1,X450/100,X450)))</f>
        <v/>
      </c>
      <c r="Z450" s="11"/>
      <c r="AA450" s="18" t="str">
        <f aca="false">IF(Z450="","",IFERROR(VLOOKUP(Z450,REPS!$A$2:$D$40,4,0),""))</f>
        <v/>
      </c>
      <c r="AB450" s="14" t="str">
        <f aca="false">IF(O450="","",IF(AA450="",0,O450*IF(AA450&gt;1,AA450/100,AA450)))</f>
        <v/>
      </c>
      <c r="AC450" s="14" t="str">
        <f aca="false">IF(O450="","",V450+Y450+AB450)</f>
        <v/>
      </c>
      <c r="AD450" s="19" t="str">
        <f aca="false">IF(O450="","",O450-R450-AC450)</f>
        <v/>
      </c>
      <c r="AE450" s="20"/>
      <c r="AF450" s="10"/>
      <c r="AG450" s="21" t="n">
        <f aca="false">IF(OR(AE450="",AE450=0),0,AE450*IF(U450="",0,IF(U450&gt;1,U450/100,U450)))</f>
        <v>0</v>
      </c>
      <c r="AH450" s="21" t="n">
        <f aca="false">IF(OR(AE450="",AE450=0),0,AE450*IF(X450="",0,IF(X450&gt;1,X450/100,X450)))</f>
        <v>0</v>
      </c>
      <c r="AI450" s="21" t="n">
        <f aca="false">IF(OR(AE450="",AE450=0),0,AE450*IF(AA450="",0,IF(AA450&gt;1,AA450/100,AA450)))</f>
        <v>0</v>
      </c>
      <c r="AJ450" s="21" t="n">
        <f aca="false">AG450+AH450+AI450</f>
        <v>0</v>
      </c>
      <c r="AK450" s="21" t="n">
        <f aca="false">IF(OR(AE450="",AE450=0),0,AE450-AJ450)</f>
        <v>0</v>
      </c>
      <c r="AL450" s="19" t="str">
        <f aca="false">IF(AD450="","",AD450-AK450)</f>
        <v/>
      </c>
      <c r="AM450" s="9" t="str">
        <f aca="false">IF(C450="","","Waiting for payment")</f>
        <v/>
      </c>
      <c r="AN450" s="10"/>
      <c r="AO450" s="10"/>
      <c r="AP450" s="22" t="str">
        <f aca="false">IF(OR(C450="",I450="",K450=""),"",IF(K450="Monthly",EDATE(C450,ROUND(I450*SETTINGS!$I$8,0)),WORKDAY(C450,ROUND(I450*SETTINGS!$I$8,0))))</f>
        <v/>
      </c>
      <c r="AQ450" s="9" t="str">
        <f aca="true">IF(C450="","",IF(AND(AP450&lt;&gt;"",TODAY()&gt;=AP450),"Refi Ready",IF(TODAY()-C450&gt;=SETTINGS!$I$11,"Prospecting","Performing")))</f>
        <v/>
      </c>
      <c r="AR450" s="22" t="str">
        <f aca="false">IF(OR(C450="",I450="",K450=""),"",IF(K450="Monthly",EDATE(C450,I450),WORKDAY(C450,I450)))</f>
        <v/>
      </c>
      <c r="AS450" s="11"/>
      <c r="AT450" s="23" t="str">
        <f aca="true">IF(C450="","",IF(AM450="Clawed Back","CLAWED",IF(TODAY()&lt;=C450+SETTINGS!$I$2,"⚠ AT RISK","SAFE")))</f>
        <v/>
      </c>
      <c r="AU450" s="11"/>
      <c r="AW450" s="24" t="n">
        <f aca="false">AW449+IF(AND(C450&lt;&gt;"",AO450&lt;&gt;"",OR('REP COMMISSION'!$B$3="",T450='REP COMMISSION'!$B$3,W450='REP COMMISSION'!$B$3,Z450='REP COMMISSION'!$B$3)),1,0)</f>
        <v>0</v>
      </c>
      <c r="AX450" s="24" t="n">
        <f aca="false">AX449+IF(AND(C450&lt;&gt;"",OR(F450="LOC - INITIAL",F450="CONSOLIDATION - UPFRONT COMM",F450="REVERSE - TOTAL FUNDING")),1,0)</f>
        <v>0</v>
      </c>
    </row>
    <row r="451" customFormat="false" ht="15" hidden="false" customHeight="false" outlineLevel="0" collapsed="false">
      <c r="A451" s="25" t="str">
        <f aca="false">IF(C451&lt;&gt;"","F27-"&amp;COUNT($C$4:C451),"")</f>
        <v/>
      </c>
      <c r="B451" s="26" t="str">
        <f aca="false">IF(OR(F451="LOC - INITIAL",F451="CONSOLIDATION - UPFRONT COMM",F451="REVERSE - TOTAL FUNDING"),A451,"")</f>
        <v/>
      </c>
      <c r="C451" s="27"/>
      <c r="D451" s="28"/>
      <c r="E451" s="28"/>
      <c r="F451" s="28"/>
      <c r="G451" s="29"/>
      <c r="H451" s="30"/>
      <c r="I451" s="28"/>
      <c r="J451" s="31" t="str">
        <f aca="false">IF(AND(G451&lt;&gt;"",H451&lt;&gt;""),G451*H451,"")</f>
        <v/>
      </c>
      <c r="K451" s="28"/>
      <c r="L451" s="32"/>
      <c r="M451" s="32"/>
      <c r="N451" s="31" t="n">
        <f aca="false">IF(OR(G451="",M451=""),0,IF(M451&gt;100,M451,G451*IF(M451&gt;1,M451/100,M451)))</f>
        <v>0</v>
      </c>
      <c r="O451" s="31" t="str">
        <f aca="false">IF(G451="","",G451*IF(L451="",0,IF(L451&gt;1,L451/100,L451))+N451)</f>
        <v/>
      </c>
      <c r="P451" s="28"/>
      <c r="Q451" s="33" t="str">
        <f aca="false">IF(P451="","",IFERROR(VLOOKUP(P451,PARTNERS!$A$2:$B$30,2,0),""))</f>
        <v/>
      </c>
      <c r="R451" s="17" t="str">
        <f aca="false">IF(O451="","",IF(OR(P451="",Q451=""),0,(O451-N451)*IF(Q451&gt;1,Q451/100,Q451)))</f>
        <v/>
      </c>
      <c r="S451" s="31" t="str">
        <f aca="false">IF(O451="","",O451-R451)</f>
        <v/>
      </c>
      <c r="T451" s="28"/>
      <c r="U451" s="34" t="str">
        <f aca="false">IF(T451="","",IFERROR(VLOOKUP(T451,REPS!$A$2:$D$40,2,0),""))</f>
        <v/>
      </c>
      <c r="V451" s="31" t="str">
        <f aca="false">IF(O451="","",IF(U451="",0,O451*IF(U451&gt;1,U451/100,U451)))</f>
        <v/>
      </c>
      <c r="W451" s="28"/>
      <c r="X451" s="34" t="str">
        <f aca="false">IF(W451="","",IFERROR(VLOOKUP(W451,REPS!$A$2:$D$40,3,0),""))</f>
        <v/>
      </c>
      <c r="Y451" s="31" t="str">
        <f aca="false">IF(O451="","",IF(X451="",0,O451*IF(X451&gt;1,X451/100,X451)))</f>
        <v/>
      </c>
      <c r="Z451" s="28"/>
      <c r="AA451" s="34" t="str">
        <f aca="false">IF(Z451="","",IFERROR(VLOOKUP(Z451,REPS!$A$2:$D$40,4,0),""))</f>
        <v/>
      </c>
      <c r="AB451" s="31" t="str">
        <f aca="false">IF(O451="","",IF(AA451="",0,O451*IF(AA451&gt;1,AA451/100,AA451)))</f>
        <v/>
      </c>
      <c r="AC451" s="31" t="str">
        <f aca="false">IF(O451="","",V451+Y451+AB451)</f>
        <v/>
      </c>
      <c r="AD451" s="19" t="str">
        <f aca="false">IF(O451="","",O451-R451-AC451)</f>
        <v/>
      </c>
      <c r="AE451" s="20"/>
      <c r="AF451" s="27"/>
      <c r="AG451" s="21" t="n">
        <f aca="false">IF(OR(AE451="",AE451=0),0,AE451*IF(U451="",0,IF(U451&gt;1,U451/100,U451)))</f>
        <v>0</v>
      </c>
      <c r="AH451" s="21" t="n">
        <f aca="false">IF(OR(AE451="",AE451=0),0,AE451*IF(X451="",0,IF(X451&gt;1,X451/100,X451)))</f>
        <v>0</v>
      </c>
      <c r="AI451" s="21" t="n">
        <f aca="false">IF(OR(AE451="",AE451=0),0,AE451*IF(AA451="",0,IF(AA451&gt;1,AA451/100,AA451)))</f>
        <v>0</v>
      </c>
      <c r="AJ451" s="21" t="n">
        <f aca="false">AG451+AH451+AI451</f>
        <v>0</v>
      </c>
      <c r="AK451" s="21" t="n">
        <f aca="false">IF(OR(AE451="",AE451=0),0,AE451-AJ451)</f>
        <v>0</v>
      </c>
      <c r="AL451" s="19" t="str">
        <f aca="false">IF(AD451="","",AD451-AK451)</f>
        <v/>
      </c>
      <c r="AM451" s="26" t="str">
        <f aca="false">IF(C451="","","Waiting for payment")</f>
        <v/>
      </c>
      <c r="AN451" s="27"/>
      <c r="AO451" s="27"/>
      <c r="AP451" s="35" t="str">
        <f aca="false">IF(OR(C451="",I451="",K451=""),"",IF(K451="Monthly",EDATE(C451,ROUND(I451*SETTINGS!$I$8,0)),WORKDAY(C451,ROUND(I451*SETTINGS!$I$8,0))))</f>
        <v/>
      </c>
      <c r="AQ451" s="26" t="str">
        <f aca="true">IF(C451="","",IF(AND(AP451&lt;&gt;"",TODAY()&gt;=AP451),"Refi Ready",IF(TODAY()-C451&gt;=SETTINGS!$I$11,"Prospecting","Performing")))</f>
        <v/>
      </c>
      <c r="AR451" s="35" t="str">
        <f aca="false">IF(OR(C451="",I451="",K451=""),"",IF(K451="Monthly",EDATE(C451,I451),WORKDAY(C451,I451)))</f>
        <v/>
      </c>
      <c r="AS451" s="28"/>
      <c r="AT451" s="36" t="str">
        <f aca="true">IF(C451="","",IF(AM451="Clawed Back","CLAWED",IF(TODAY()&lt;=C451+SETTINGS!$I$2,"⚠ AT RISK","SAFE")))</f>
        <v/>
      </c>
      <c r="AU451" s="28"/>
      <c r="AW451" s="24" t="n">
        <f aca="false">AW450+IF(AND(C451&lt;&gt;"",AO451&lt;&gt;"",OR('REP COMMISSION'!$B$3="",T451='REP COMMISSION'!$B$3,W451='REP COMMISSION'!$B$3,Z451='REP COMMISSION'!$B$3)),1,0)</f>
        <v>0</v>
      </c>
      <c r="AX451" s="24" t="n">
        <f aca="false">AX450+IF(AND(C451&lt;&gt;"",OR(F451="LOC - INITIAL",F451="CONSOLIDATION - UPFRONT COMM",F451="REVERSE - TOTAL FUNDING")),1,0)</f>
        <v>0</v>
      </c>
    </row>
    <row r="452" customFormat="false" ht="15" hidden="false" customHeight="false" outlineLevel="0" collapsed="false">
      <c r="A452" s="8" t="str">
        <f aca="false">IF(C452&lt;&gt;"","F27-"&amp;COUNT($C$4:C452),"")</f>
        <v/>
      </c>
      <c r="B452" s="9" t="str">
        <f aca="false">IF(OR(F452="LOC - INITIAL",F452="CONSOLIDATION - UPFRONT COMM",F452="REVERSE - TOTAL FUNDING"),A452,"")</f>
        <v/>
      </c>
      <c r="C452" s="10"/>
      <c r="D452" s="11"/>
      <c r="E452" s="11"/>
      <c r="F452" s="11"/>
      <c r="G452" s="12"/>
      <c r="H452" s="13"/>
      <c r="I452" s="11"/>
      <c r="J452" s="14" t="str">
        <f aca="false">IF(AND(G452&lt;&gt;"",H452&lt;&gt;""),G452*H452,"")</f>
        <v/>
      </c>
      <c r="K452" s="11"/>
      <c r="L452" s="15"/>
      <c r="M452" s="15"/>
      <c r="N452" s="14" t="n">
        <f aca="false">IF(OR(G452="",M452=""),0,IF(M452&gt;100,M452,G452*IF(M452&gt;1,M452/100,M452)))</f>
        <v>0</v>
      </c>
      <c r="O452" s="14" t="str">
        <f aca="false">IF(G452="","",G452*IF(L452="",0,IF(L452&gt;1,L452/100,L452))+N452)</f>
        <v/>
      </c>
      <c r="P452" s="11"/>
      <c r="Q452" s="16" t="str">
        <f aca="false">IF(P452="","",IFERROR(VLOOKUP(P452,PARTNERS!$A$2:$B$30,2,0),""))</f>
        <v/>
      </c>
      <c r="R452" s="17" t="str">
        <f aca="false">IF(O452="","",IF(OR(P452="",Q452=""),0,(O452-N452)*IF(Q452&gt;1,Q452/100,Q452)))</f>
        <v/>
      </c>
      <c r="S452" s="14" t="str">
        <f aca="false">IF(O452="","",O452-R452)</f>
        <v/>
      </c>
      <c r="T452" s="11"/>
      <c r="U452" s="18" t="str">
        <f aca="false">IF(T452="","",IFERROR(VLOOKUP(T452,REPS!$A$2:$D$40,2,0),""))</f>
        <v/>
      </c>
      <c r="V452" s="14" t="str">
        <f aca="false">IF(O452="","",IF(U452="",0,O452*IF(U452&gt;1,U452/100,U452)))</f>
        <v/>
      </c>
      <c r="W452" s="11"/>
      <c r="X452" s="18" t="str">
        <f aca="false">IF(W452="","",IFERROR(VLOOKUP(W452,REPS!$A$2:$D$40,3,0),""))</f>
        <v/>
      </c>
      <c r="Y452" s="14" t="str">
        <f aca="false">IF(O452="","",IF(X452="",0,O452*IF(X452&gt;1,X452/100,X452)))</f>
        <v/>
      </c>
      <c r="Z452" s="11"/>
      <c r="AA452" s="18" t="str">
        <f aca="false">IF(Z452="","",IFERROR(VLOOKUP(Z452,REPS!$A$2:$D$40,4,0),""))</f>
        <v/>
      </c>
      <c r="AB452" s="14" t="str">
        <f aca="false">IF(O452="","",IF(AA452="",0,O452*IF(AA452&gt;1,AA452/100,AA452)))</f>
        <v/>
      </c>
      <c r="AC452" s="14" t="str">
        <f aca="false">IF(O452="","",V452+Y452+AB452)</f>
        <v/>
      </c>
      <c r="AD452" s="19" t="str">
        <f aca="false">IF(O452="","",O452-R452-AC452)</f>
        <v/>
      </c>
      <c r="AE452" s="20"/>
      <c r="AF452" s="10"/>
      <c r="AG452" s="21" t="n">
        <f aca="false">IF(OR(AE452="",AE452=0),0,AE452*IF(U452="",0,IF(U452&gt;1,U452/100,U452)))</f>
        <v>0</v>
      </c>
      <c r="AH452" s="21" t="n">
        <f aca="false">IF(OR(AE452="",AE452=0),0,AE452*IF(X452="",0,IF(X452&gt;1,X452/100,X452)))</f>
        <v>0</v>
      </c>
      <c r="AI452" s="21" t="n">
        <f aca="false">IF(OR(AE452="",AE452=0),0,AE452*IF(AA452="",0,IF(AA452&gt;1,AA452/100,AA452)))</f>
        <v>0</v>
      </c>
      <c r="AJ452" s="21" t="n">
        <f aca="false">AG452+AH452+AI452</f>
        <v>0</v>
      </c>
      <c r="AK452" s="21" t="n">
        <f aca="false">IF(OR(AE452="",AE452=0),0,AE452-AJ452)</f>
        <v>0</v>
      </c>
      <c r="AL452" s="19" t="str">
        <f aca="false">IF(AD452="","",AD452-AK452)</f>
        <v/>
      </c>
      <c r="AM452" s="9" t="str">
        <f aca="false">IF(C452="","","Waiting for payment")</f>
        <v/>
      </c>
      <c r="AN452" s="10"/>
      <c r="AO452" s="10"/>
      <c r="AP452" s="22" t="str">
        <f aca="false">IF(OR(C452="",I452="",K452=""),"",IF(K452="Monthly",EDATE(C452,ROUND(I452*SETTINGS!$I$8,0)),WORKDAY(C452,ROUND(I452*SETTINGS!$I$8,0))))</f>
        <v/>
      </c>
      <c r="AQ452" s="9" t="str">
        <f aca="true">IF(C452="","",IF(AND(AP452&lt;&gt;"",TODAY()&gt;=AP452),"Refi Ready",IF(TODAY()-C452&gt;=SETTINGS!$I$11,"Prospecting","Performing")))</f>
        <v/>
      </c>
      <c r="AR452" s="22" t="str">
        <f aca="false">IF(OR(C452="",I452="",K452=""),"",IF(K452="Monthly",EDATE(C452,I452),WORKDAY(C452,I452)))</f>
        <v/>
      </c>
      <c r="AS452" s="11"/>
      <c r="AT452" s="23" t="str">
        <f aca="true">IF(C452="","",IF(AM452="Clawed Back","CLAWED",IF(TODAY()&lt;=C452+SETTINGS!$I$2,"⚠ AT RISK","SAFE")))</f>
        <v/>
      </c>
      <c r="AU452" s="11"/>
      <c r="AW452" s="24" t="n">
        <f aca="false">AW451+IF(AND(C452&lt;&gt;"",AO452&lt;&gt;"",OR('REP COMMISSION'!$B$3="",T452='REP COMMISSION'!$B$3,W452='REP COMMISSION'!$B$3,Z452='REP COMMISSION'!$B$3)),1,0)</f>
        <v>0</v>
      </c>
      <c r="AX452" s="24" t="n">
        <f aca="false">AX451+IF(AND(C452&lt;&gt;"",OR(F452="LOC - INITIAL",F452="CONSOLIDATION - UPFRONT COMM",F452="REVERSE - TOTAL FUNDING")),1,0)</f>
        <v>0</v>
      </c>
    </row>
    <row r="453" customFormat="false" ht="15" hidden="false" customHeight="false" outlineLevel="0" collapsed="false">
      <c r="A453" s="25" t="str">
        <f aca="false">IF(C453&lt;&gt;"","F27-"&amp;COUNT($C$4:C453),"")</f>
        <v/>
      </c>
      <c r="B453" s="26" t="str">
        <f aca="false">IF(OR(F453="LOC - INITIAL",F453="CONSOLIDATION - UPFRONT COMM",F453="REVERSE - TOTAL FUNDING"),A453,"")</f>
        <v/>
      </c>
      <c r="C453" s="27"/>
      <c r="D453" s="28"/>
      <c r="E453" s="28"/>
      <c r="F453" s="28"/>
      <c r="G453" s="29"/>
      <c r="H453" s="30"/>
      <c r="I453" s="28"/>
      <c r="J453" s="31" t="str">
        <f aca="false">IF(AND(G453&lt;&gt;"",H453&lt;&gt;""),G453*H453,"")</f>
        <v/>
      </c>
      <c r="K453" s="28"/>
      <c r="L453" s="32"/>
      <c r="M453" s="32"/>
      <c r="N453" s="31" t="n">
        <f aca="false">IF(OR(G453="",M453=""),0,IF(M453&gt;100,M453,G453*IF(M453&gt;1,M453/100,M453)))</f>
        <v>0</v>
      </c>
      <c r="O453" s="31" t="str">
        <f aca="false">IF(G453="","",G453*IF(L453="",0,IF(L453&gt;1,L453/100,L453))+N453)</f>
        <v/>
      </c>
      <c r="P453" s="28"/>
      <c r="Q453" s="33" t="str">
        <f aca="false">IF(P453="","",IFERROR(VLOOKUP(P453,PARTNERS!$A$2:$B$30,2,0),""))</f>
        <v/>
      </c>
      <c r="R453" s="17" t="str">
        <f aca="false">IF(O453="","",IF(OR(P453="",Q453=""),0,(O453-N453)*IF(Q453&gt;1,Q453/100,Q453)))</f>
        <v/>
      </c>
      <c r="S453" s="31" t="str">
        <f aca="false">IF(O453="","",O453-R453)</f>
        <v/>
      </c>
      <c r="T453" s="28"/>
      <c r="U453" s="34" t="str">
        <f aca="false">IF(T453="","",IFERROR(VLOOKUP(T453,REPS!$A$2:$D$40,2,0),""))</f>
        <v/>
      </c>
      <c r="V453" s="31" t="str">
        <f aca="false">IF(O453="","",IF(U453="",0,O453*IF(U453&gt;1,U453/100,U453)))</f>
        <v/>
      </c>
      <c r="W453" s="28"/>
      <c r="X453" s="34" t="str">
        <f aca="false">IF(W453="","",IFERROR(VLOOKUP(W453,REPS!$A$2:$D$40,3,0),""))</f>
        <v/>
      </c>
      <c r="Y453" s="31" t="str">
        <f aca="false">IF(O453="","",IF(X453="",0,O453*IF(X453&gt;1,X453/100,X453)))</f>
        <v/>
      </c>
      <c r="Z453" s="28"/>
      <c r="AA453" s="34" t="str">
        <f aca="false">IF(Z453="","",IFERROR(VLOOKUP(Z453,REPS!$A$2:$D$40,4,0),""))</f>
        <v/>
      </c>
      <c r="AB453" s="31" t="str">
        <f aca="false">IF(O453="","",IF(AA453="",0,O453*IF(AA453&gt;1,AA453/100,AA453)))</f>
        <v/>
      </c>
      <c r="AC453" s="31" t="str">
        <f aca="false">IF(O453="","",V453+Y453+AB453)</f>
        <v/>
      </c>
      <c r="AD453" s="19" t="str">
        <f aca="false">IF(O453="","",O453-R453-AC453)</f>
        <v/>
      </c>
      <c r="AE453" s="20"/>
      <c r="AF453" s="27"/>
      <c r="AG453" s="21" t="n">
        <f aca="false">IF(OR(AE453="",AE453=0),0,AE453*IF(U453="",0,IF(U453&gt;1,U453/100,U453)))</f>
        <v>0</v>
      </c>
      <c r="AH453" s="21" t="n">
        <f aca="false">IF(OR(AE453="",AE453=0),0,AE453*IF(X453="",0,IF(X453&gt;1,X453/100,X453)))</f>
        <v>0</v>
      </c>
      <c r="AI453" s="21" t="n">
        <f aca="false">IF(OR(AE453="",AE453=0),0,AE453*IF(AA453="",0,IF(AA453&gt;1,AA453/100,AA453)))</f>
        <v>0</v>
      </c>
      <c r="AJ453" s="21" t="n">
        <f aca="false">AG453+AH453+AI453</f>
        <v>0</v>
      </c>
      <c r="AK453" s="21" t="n">
        <f aca="false">IF(OR(AE453="",AE453=0),0,AE453-AJ453)</f>
        <v>0</v>
      </c>
      <c r="AL453" s="19" t="str">
        <f aca="false">IF(AD453="","",AD453-AK453)</f>
        <v/>
      </c>
      <c r="AM453" s="26" t="str">
        <f aca="false">IF(C453="","","Waiting for payment")</f>
        <v/>
      </c>
      <c r="AN453" s="27"/>
      <c r="AO453" s="27"/>
      <c r="AP453" s="35" t="str">
        <f aca="false">IF(OR(C453="",I453="",K453=""),"",IF(K453="Monthly",EDATE(C453,ROUND(I453*SETTINGS!$I$8,0)),WORKDAY(C453,ROUND(I453*SETTINGS!$I$8,0))))</f>
        <v/>
      </c>
      <c r="AQ453" s="26" t="str">
        <f aca="true">IF(C453="","",IF(AND(AP453&lt;&gt;"",TODAY()&gt;=AP453),"Refi Ready",IF(TODAY()-C453&gt;=SETTINGS!$I$11,"Prospecting","Performing")))</f>
        <v/>
      </c>
      <c r="AR453" s="35" t="str">
        <f aca="false">IF(OR(C453="",I453="",K453=""),"",IF(K453="Monthly",EDATE(C453,I453),WORKDAY(C453,I453)))</f>
        <v/>
      </c>
      <c r="AS453" s="28"/>
      <c r="AT453" s="36" t="str">
        <f aca="true">IF(C453="","",IF(AM453="Clawed Back","CLAWED",IF(TODAY()&lt;=C453+SETTINGS!$I$2,"⚠ AT RISK","SAFE")))</f>
        <v/>
      </c>
      <c r="AU453" s="28"/>
      <c r="AW453" s="24" t="n">
        <f aca="false">AW452+IF(AND(C453&lt;&gt;"",AO453&lt;&gt;"",OR('REP COMMISSION'!$B$3="",T453='REP COMMISSION'!$B$3,W453='REP COMMISSION'!$B$3,Z453='REP COMMISSION'!$B$3)),1,0)</f>
        <v>0</v>
      </c>
      <c r="AX453" s="24" t="n">
        <f aca="false">AX452+IF(AND(C453&lt;&gt;"",OR(F453="LOC - INITIAL",F453="CONSOLIDATION - UPFRONT COMM",F453="REVERSE - TOTAL FUNDING")),1,0)</f>
        <v>0</v>
      </c>
    </row>
    <row r="454" customFormat="false" ht="15" hidden="false" customHeight="false" outlineLevel="0" collapsed="false">
      <c r="A454" s="8" t="str">
        <f aca="false">IF(C454&lt;&gt;"","F27-"&amp;COUNT($C$4:C454),"")</f>
        <v/>
      </c>
      <c r="B454" s="9" t="str">
        <f aca="false">IF(OR(F454="LOC - INITIAL",F454="CONSOLIDATION - UPFRONT COMM",F454="REVERSE - TOTAL FUNDING"),A454,"")</f>
        <v/>
      </c>
      <c r="C454" s="10"/>
      <c r="D454" s="11"/>
      <c r="E454" s="11"/>
      <c r="F454" s="11"/>
      <c r="G454" s="12"/>
      <c r="H454" s="13"/>
      <c r="I454" s="11"/>
      <c r="J454" s="14" t="str">
        <f aca="false">IF(AND(G454&lt;&gt;"",H454&lt;&gt;""),G454*H454,"")</f>
        <v/>
      </c>
      <c r="K454" s="11"/>
      <c r="L454" s="15"/>
      <c r="M454" s="15"/>
      <c r="N454" s="14" t="n">
        <f aca="false">IF(OR(G454="",M454=""),0,IF(M454&gt;100,M454,G454*IF(M454&gt;1,M454/100,M454)))</f>
        <v>0</v>
      </c>
      <c r="O454" s="14" t="str">
        <f aca="false">IF(G454="","",G454*IF(L454="",0,IF(L454&gt;1,L454/100,L454))+N454)</f>
        <v/>
      </c>
      <c r="P454" s="11"/>
      <c r="Q454" s="16" t="str">
        <f aca="false">IF(P454="","",IFERROR(VLOOKUP(P454,PARTNERS!$A$2:$B$30,2,0),""))</f>
        <v/>
      </c>
      <c r="R454" s="17" t="str">
        <f aca="false">IF(O454="","",IF(OR(P454="",Q454=""),0,(O454-N454)*IF(Q454&gt;1,Q454/100,Q454)))</f>
        <v/>
      </c>
      <c r="S454" s="14" t="str">
        <f aca="false">IF(O454="","",O454-R454)</f>
        <v/>
      </c>
      <c r="T454" s="11"/>
      <c r="U454" s="18" t="str">
        <f aca="false">IF(T454="","",IFERROR(VLOOKUP(T454,REPS!$A$2:$D$40,2,0),""))</f>
        <v/>
      </c>
      <c r="V454" s="14" t="str">
        <f aca="false">IF(O454="","",IF(U454="",0,O454*IF(U454&gt;1,U454/100,U454)))</f>
        <v/>
      </c>
      <c r="W454" s="11"/>
      <c r="X454" s="18" t="str">
        <f aca="false">IF(W454="","",IFERROR(VLOOKUP(W454,REPS!$A$2:$D$40,3,0),""))</f>
        <v/>
      </c>
      <c r="Y454" s="14" t="str">
        <f aca="false">IF(O454="","",IF(X454="",0,O454*IF(X454&gt;1,X454/100,X454)))</f>
        <v/>
      </c>
      <c r="Z454" s="11"/>
      <c r="AA454" s="18" t="str">
        <f aca="false">IF(Z454="","",IFERROR(VLOOKUP(Z454,REPS!$A$2:$D$40,4,0),""))</f>
        <v/>
      </c>
      <c r="AB454" s="14" t="str">
        <f aca="false">IF(O454="","",IF(AA454="",0,O454*IF(AA454&gt;1,AA454/100,AA454)))</f>
        <v/>
      </c>
      <c r="AC454" s="14" t="str">
        <f aca="false">IF(O454="","",V454+Y454+AB454)</f>
        <v/>
      </c>
      <c r="AD454" s="19" t="str">
        <f aca="false">IF(O454="","",O454-R454-AC454)</f>
        <v/>
      </c>
      <c r="AE454" s="20"/>
      <c r="AF454" s="10"/>
      <c r="AG454" s="21" t="n">
        <f aca="false">IF(OR(AE454="",AE454=0),0,AE454*IF(U454="",0,IF(U454&gt;1,U454/100,U454)))</f>
        <v>0</v>
      </c>
      <c r="AH454" s="21" t="n">
        <f aca="false">IF(OR(AE454="",AE454=0),0,AE454*IF(X454="",0,IF(X454&gt;1,X454/100,X454)))</f>
        <v>0</v>
      </c>
      <c r="AI454" s="21" t="n">
        <f aca="false">IF(OR(AE454="",AE454=0),0,AE454*IF(AA454="",0,IF(AA454&gt;1,AA454/100,AA454)))</f>
        <v>0</v>
      </c>
      <c r="AJ454" s="21" t="n">
        <f aca="false">AG454+AH454+AI454</f>
        <v>0</v>
      </c>
      <c r="AK454" s="21" t="n">
        <f aca="false">IF(OR(AE454="",AE454=0),0,AE454-AJ454)</f>
        <v>0</v>
      </c>
      <c r="AL454" s="19" t="str">
        <f aca="false">IF(AD454="","",AD454-AK454)</f>
        <v/>
      </c>
      <c r="AM454" s="9" t="str">
        <f aca="false">IF(C454="","","Waiting for payment")</f>
        <v/>
      </c>
      <c r="AN454" s="10"/>
      <c r="AO454" s="10"/>
      <c r="AP454" s="22" t="str">
        <f aca="false">IF(OR(C454="",I454="",K454=""),"",IF(K454="Monthly",EDATE(C454,ROUND(I454*SETTINGS!$I$8,0)),WORKDAY(C454,ROUND(I454*SETTINGS!$I$8,0))))</f>
        <v/>
      </c>
      <c r="AQ454" s="9" t="str">
        <f aca="true">IF(C454="","",IF(AND(AP454&lt;&gt;"",TODAY()&gt;=AP454),"Refi Ready",IF(TODAY()-C454&gt;=SETTINGS!$I$11,"Prospecting","Performing")))</f>
        <v/>
      </c>
      <c r="AR454" s="22" t="str">
        <f aca="false">IF(OR(C454="",I454="",K454=""),"",IF(K454="Monthly",EDATE(C454,I454),WORKDAY(C454,I454)))</f>
        <v/>
      </c>
      <c r="AS454" s="11"/>
      <c r="AT454" s="23" t="str">
        <f aca="true">IF(C454="","",IF(AM454="Clawed Back","CLAWED",IF(TODAY()&lt;=C454+SETTINGS!$I$2,"⚠ AT RISK","SAFE")))</f>
        <v/>
      </c>
      <c r="AU454" s="11"/>
      <c r="AW454" s="24" t="n">
        <f aca="false">AW453+IF(AND(C454&lt;&gt;"",AO454&lt;&gt;"",OR('REP COMMISSION'!$B$3="",T454='REP COMMISSION'!$B$3,W454='REP COMMISSION'!$B$3,Z454='REP COMMISSION'!$B$3)),1,0)</f>
        <v>0</v>
      </c>
      <c r="AX454" s="24" t="n">
        <f aca="false">AX453+IF(AND(C454&lt;&gt;"",OR(F454="LOC - INITIAL",F454="CONSOLIDATION - UPFRONT COMM",F454="REVERSE - TOTAL FUNDING")),1,0)</f>
        <v>0</v>
      </c>
    </row>
    <row r="455" customFormat="false" ht="15" hidden="false" customHeight="false" outlineLevel="0" collapsed="false">
      <c r="A455" s="25" t="str">
        <f aca="false">IF(C455&lt;&gt;"","F27-"&amp;COUNT($C$4:C455),"")</f>
        <v/>
      </c>
      <c r="B455" s="26" t="str">
        <f aca="false">IF(OR(F455="LOC - INITIAL",F455="CONSOLIDATION - UPFRONT COMM",F455="REVERSE - TOTAL FUNDING"),A455,"")</f>
        <v/>
      </c>
      <c r="C455" s="27"/>
      <c r="D455" s="28"/>
      <c r="E455" s="28"/>
      <c r="F455" s="28"/>
      <c r="G455" s="29"/>
      <c r="H455" s="30"/>
      <c r="I455" s="28"/>
      <c r="J455" s="31" t="str">
        <f aca="false">IF(AND(G455&lt;&gt;"",H455&lt;&gt;""),G455*H455,"")</f>
        <v/>
      </c>
      <c r="K455" s="28"/>
      <c r="L455" s="32"/>
      <c r="M455" s="32"/>
      <c r="N455" s="31" t="n">
        <f aca="false">IF(OR(G455="",M455=""),0,IF(M455&gt;100,M455,G455*IF(M455&gt;1,M455/100,M455)))</f>
        <v>0</v>
      </c>
      <c r="O455" s="31" t="str">
        <f aca="false">IF(G455="","",G455*IF(L455="",0,IF(L455&gt;1,L455/100,L455))+N455)</f>
        <v/>
      </c>
      <c r="P455" s="28"/>
      <c r="Q455" s="33" t="str">
        <f aca="false">IF(P455="","",IFERROR(VLOOKUP(P455,PARTNERS!$A$2:$B$30,2,0),""))</f>
        <v/>
      </c>
      <c r="R455" s="17" t="str">
        <f aca="false">IF(O455="","",IF(OR(P455="",Q455=""),0,(O455-N455)*IF(Q455&gt;1,Q455/100,Q455)))</f>
        <v/>
      </c>
      <c r="S455" s="31" t="str">
        <f aca="false">IF(O455="","",O455-R455)</f>
        <v/>
      </c>
      <c r="T455" s="28"/>
      <c r="U455" s="34" t="str">
        <f aca="false">IF(T455="","",IFERROR(VLOOKUP(T455,REPS!$A$2:$D$40,2,0),""))</f>
        <v/>
      </c>
      <c r="V455" s="31" t="str">
        <f aca="false">IF(O455="","",IF(U455="",0,O455*IF(U455&gt;1,U455/100,U455)))</f>
        <v/>
      </c>
      <c r="W455" s="28"/>
      <c r="X455" s="34" t="str">
        <f aca="false">IF(W455="","",IFERROR(VLOOKUP(W455,REPS!$A$2:$D$40,3,0),""))</f>
        <v/>
      </c>
      <c r="Y455" s="31" t="str">
        <f aca="false">IF(O455="","",IF(X455="",0,O455*IF(X455&gt;1,X455/100,X455)))</f>
        <v/>
      </c>
      <c r="Z455" s="28"/>
      <c r="AA455" s="34" t="str">
        <f aca="false">IF(Z455="","",IFERROR(VLOOKUP(Z455,REPS!$A$2:$D$40,4,0),""))</f>
        <v/>
      </c>
      <c r="AB455" s="31" t="str">
        <f aca="false">IF(O455="","",IF(AA455="",0,O455*IF(AA455&gt;1,AA455/100,AA455)))</f>
        <v/>
      </c>
      <c r="AC455" s="31" t="str">
        <f aca="false">IF(O455="","",V455+Y455+AB455)</f>
        <v/>
      </c>
      <c r="AD455" s="19" t="str">
        <f aca="false">IF(O455="","",O455-R455-AC455)</f>
        <v/>
      </c>
      <c r="AE455" s="20"/>
      <c r="AF455" s="27"/>
      <c r="AG455" s="21" t="n">
        <f aca="false">IF(OR(AE455="",AE455=0),0,AE455*IF(U455="",0,IF(U455&gt;1,U455/100,U455)))</f>
        <v>0</v>
      </c>
      <c r="AH455" s="21" t="n">
        <f aca="false">IF(OR(AE455="",AE455=0),0,AE455*IF(X455="",0,IF(X455&gt;1,X455/100,X455)))</f>
        <v>0</v>
      </c>
      <c r="AI455" s="21" t="n">
        <f aca="false">IF(OR(AE455="",AE455=0),0,AE455*IF(AA455="",0,IF(AA455&gt;1,AA455/100,AA455)))</f>
        <v>0</v>
      </c>
      <c r="AJ455" s="21" t="n">
        <f aca="false">AG455+AH455+AI455</f>
        <v>0</v>
      </c>
      <c r="AK455" s="21" t="n">
        <f aca="false">IF(OR(AE455="",AE455=0),0,AE455-AJ455)</f>
        <v>0</v>
      </c>
      <c r="AL455" s="19" t="str">
        <f aca="false">IF(AD455="","",AD455-AK455)</f>
        <v/>
      </c>
      <c r="AM455" s="26" t="str">
        <f aca="false">IF(C455="","","Waiting for payment")</f>
        <v/>
      </c>
      <c r="AN455" s="27"/>
      <c r="AO455" s="27"/>
      <c r="AP455" s="35" t="str">
        <f aca="false">IF(OR(C455="",I455="",K455=""),"",IF(K455="Monthly",EDATE(C455,ROUND(I455*SETTINGS!$I$8,0)),WORKDAY(C455,ROUND(I455*SETTINGS!$I$8,0))))</f>
        <v/>
      </c>
      <c r="AQ455" s="26" t="str">
        <f aca="true">IF(C455="","",IF(AND(AP455&lt;&gt;"",TODAY()&gt;=AP455),"Refi Ready",IF(TODAY()-C455&gt;=SETTINGS!$I$11,"Prospecting","Performing")))</f>
        <v/>
      </c>
      <c r="AR455" s="35" t="str">
        <f aca="false">IF(OR(C455="",I455="",K455=""),"",IF(K455="Monthly",EDATE(C455,I455),WORKDAY(C455,I455)))</f>
        <v/>
      </c>
      <c r="AS455" s="28"/>
      <c r="AT455" s="36" t="str">
        <f aca="true">IF(C455="","",IF(AM455="Clawed Back","CLAWED",IF(TODAY()&lt;=C455+SETTINGS!$I$2,"⚠ AT RISK","SAFE")))</f>
        <v/>
      </c>
      <c r="AU455" s="28"/>
      <c r="AW455" s="24" t="n">
        <f aca="false">AW454+IF(AND(C455&lt;&gt;"",AO455&lt;&gt;"",OR('REP COMMISSION'!$B$3="",T455='REP COMMISSION'!$B$3,W455='REP COMMISSION'!$B$3,Z455='REP COMMISSION'!$B$3)),1,0)</f>
        <v>0</v>
      </c>
      <c r="AX455" s="24" t="n">
        <f aca="false">AX454+IF(AND(C455&lt;&gt;"",OR(F455="LOC - INITIAL",F455="CONSOLIDATION - UPFRONT COMM",F455="REVERSE - TOTAL FUNDING")),1,0)</f>
        <v>0</v>
      </c>
    </row>
    <row r="456" customFormat="false" ht="15" hidden="false" customHeight="false" outlineLevel="0" collapsed="false">
      <c r="A456" s="8" t="str">
        <f aca="false">IF(C456&lt;&gt;"","F27-"&amp;COUNT($C$4:C456),"")</f>
        <v/>
      </c>
      <c r="B456" s="9" t="str">
        <f aca="false">IF(OR(F456="LOC - INITIAL",F456="CONSOLIDATION - UPFRONT COMM",F456="REVERSE - TOTAL FUNDING"),A456,"")</f>
        <v/>
      </c>
      <c r="C456" s="10"/>
      <c r="D456" s="11"/>
      <c r="E456" s="11"/>
      <c r="F456" s="11"/>
      <c r="G456" s="12"/>
      <c r="H456" s="13"/>
      <c r="I456" s="11"/>
      <c r="J456" s="14" t="str">
        <f aca="false">IF(AND(G456&lt;&gt;"",H456&lt;&gt;""),G456*H456,"")</f>
        <v/>
      </c>
      <c r="K456" s="11"/>
      <c r="L456" s="15"/>
      <c r="M456" s="15"/>
      <c r="N456" s="14" t="n">
        <f aca="false">IF(OR(G456="",M456=""),0,IF(M456&gt;100,M456,G456*IF(M456&gt;1,M456/100,M456)))</f>
        <v>0</v>
      </c>
      <c r="O456" s="14" t="str">
        <f aca="false">IF(G456="","",G456*IF(L456="",0,IF(L456&gt;1,L456/100,L456))+N456)</f>
        <v/>
      </c>
      <c r="P456" s="11"/>
      <c r="Q456" s="16" t="str">
        <f aca="false">IF(P456="","",IFERROR(VLOOKUP(P456,PARTNERS!$A$2:$B$30,2,0),""))</f>
        <v/>
      </c>
      <c r="R456" s="17" t="str">
        <f aca="false">IF(O456="","",IF(OR(P456="",Q456=""),0,(O456-N456)*IF(Q456&gt;1,Q456/100,Q456)))</f>
        <v/>
      </c>
      <c r="S456" s="14" t="str">
        <f aca="false">IF(O456="","",O456-R456)</f>
        <v/>
      </c>
      <c r="T456" s="11"/>
      <c r="U456" s="18" t="str">
        <f aca="false">IF(T456="","",IFERROR(VLOOKUP(T456,REPS!$A$2:$D$40,2,0),""))</f>
        <v/>
      </c>
      <c r="V456" s="14" t="str">
        <f aca="false">IF(O456="","",IF(U456="",0,O456*IF(U456&gt;1,U456/100,U456)))</f>
        <v/>
      </c>
      <c r="W456" s="11"/>
      <c r="X456" s="18" t="str">
        <f aca="false">IF(W456="","",IFERROR(VLOOKUP(W456,REPS!$A$2:$D$40,3,0),""))</f>
        <v/>
      </c>
      <c r="Y456" s="14" t="str">
        <f aca="false">IF(O456="","",IF(X456="",0,O456*IF(X456&gt;1,X456/100,X456)))</f>
        <v/>
      </c>
      <c r="Z456" s="11"/>
      <c r="AA456" s="18" t="str">
        <f aca="false">IF(Z456="","",IFERROR(VLOOKUP(Z456,REPS!$A$2:$D$40,4,0),""))</f>
        <v/>
      </c>
      <c r="AB456" s="14" t="str">
        <f aca="false">IF(O456="","",IF(AA456="",0,O456*IF(AA456&gt;1,AA456/100,AA456)))</f>
        <v/>
      </c>
      <c r="AC456" s="14" t="str">
        <f aca="false">IF(O456="","",V456+Y456+AB456)</f>
        <v/>
      </c>
      <c r="AD456" s="19" t="str">
        <f aca="false">IF(O456="","",O456-R456-AC456)</f>
        <v/>
      </c>
      <c r="AE456" s="20"/>
      <c r="AF456" s="10"/>
      <c r="AG456" s="21" t="n">
        <f aca="false">IF(OR(AE456="",AE456=0),0,AE456*IF(U456="",0,IF(U456&gt;1,U456/100,U456)))</f>
        <v>0</v>
      </c>
      <c r="AH456" s="21" t="n">
        <f aca="false">IF(OR(AE456="",AE456=0),0,AE456*IF(X456="",0,IF(X456&gt;1,X456/100,X456)))</f>
        <v>0</v>
      </c>
      <c r="AI456" s="21" t="n">
        <f aca="false">IF(OR(AE456="",AE456=0),0,AE456*IF(AA456="",0,IF(AA456&gt;1,AA456/100,AA456)))</f>
        <v>0</v>
      </c>
      <c r="AJ456" s="21" t="n">
        <f aca="false">AG456+AH456+AI456</f>
        <v>0</v>
      </c>
      <c r="AK456" s="21" t="n">
        <f aca="false">IF(OR(AE456="",AE456=0),0,AE456-AJ456)</f>
        <v>0</v>
      </c>
      <c r="AL456" s="19" t="str">
        <f aca="false">IF(AD456="","",AD456-AK456)</f>
        <v/>
      </c>
      <c r="AM456" s="9" t="str">
        <f aca="false">IF(C456="","","Waiting for payment")</f>
        <v/>
      </c>
      <c r="AN456" s="10"/>
      <c r="AO456" s="10"/>
      <c r="AP456" s="22" t="str">
        <f aca="false">IF(OR(C456="",I456="",K456=""),"",IF(K456="Monthly",EDATE(C456,ROUND(I456*SETTINGS!$I$8,0)),WORKDAY(C456,ROUND(I456*SETTINGS!$I$8,0))))</f>
        <v/>
      </c>
      <c r="AQ456" s="9" t="str">
        <f aca="true">IF(C456="","",IF(AND(AP456&lt;&gt;"",TODAY()&gt;=AP456),"Refi Ready",IF(TODAY()-C456&gt;=SETTINGS!$I$11,"Prospecting","Performing")))</f>
        <v/>
      </c>
      <c r="AR456" s="22" t="str">
        <f aca="false">IF(OR(C456="",I456="",K456=""),"",IF(K456="Monthly",EDATE(C456,I456),WORKDAY(C456,I456)))</f>
        <v/>
      </c>
      <c r="AS456" s="11"/>
      <c r="AT456" s="23" t="str">
        <f aca="true">IF(C456="","",IF(AM456="Clawed Back","CLAWED",IF(TODAY()&lt;=C456+SETTINGS!$I$2,"⚠ AT RISK","SAFE")))</f>
        <v/>
      </c>
      <c r="AU456" s="11"/>
      <c r="AW456" s="24" t="n">
        <f aca="false">AW455+IF(AND(C456&lt;&gt;"",AO456&lt;&gt;"",OR('REP COMMISSION'!$B$3="",T456='REP COMMISSION'!$B$3,W456='REP COMMISSION'!$B$3,Z456='REP COMMISSION'!$B$3)),1,0)</f>
        <v>0</v>
      </c>
      <c r="AX456" s="24" t="n">
        <f aca="false">AX455+IF(AND(C456&lt;&gt;"",OR(F456="LOC - INITIAL",F456="CONSOLIDATION - UPFRONT COMM",F456="REVERSE - TOTAL FUNDING")),1,0)</f>
        <v>0</v>
      </c>
    </row>
    <row r="457" customFormat="false" ht="15" hidden="false" customHeight="false" outlineLevel="0" collapsed="false">
      <c r="A457" s="25" t="str">
        <f aca="false">IF(C457&lt;&gt;"","F27-"&amp;COUNT($C$4:C457),"")</f>
        <v/>
      </c>
      <c r="B457" s="26" t="str">
        <f aca="false">IF(OR(F457="LOC - INITIAL",F457="CONSOLIDATION - UPFRONT COMM",F457="REVERSE - TOTAL FUNDING"),A457,"")</f>
        <v/>
      </c>
      <c r="C457" s="27"/>
      <c r="D457" s="28"/>
      <c r="E457" s="28"/>
      <c r="F457" s="28"/>
      <c r="G457" s="29"/>
      <c r="H457" s="30"/>
      <c r="I457" s="28"/>
      <c r="J457" s="31" t="str">
        <f aca="false">IF(AND(G457&lt;&gt;"",H457&lt;&gt;""),G457*H457,"")</f>
        <v/>
      </c>
      <c r="K457" s="28"/>
      <c r="L457" s="32"/>
      <c r="M457" s="32"/>
      <c r="N457" s="31" t="n">
        <f aca="false">IF(OR(G457="",M457=""),0,IF(M457&gt;100,M457,G457*IF(M457&gt;1,M457/100,M457)))</f>
        <v>0</v>
      </c>
      <c r="O457" s="31" t="str">
        <f aca="false">IF(G457="","",G457*IF(L457="",0,IF(L457&gt;1,L457/100,L457))+N457)</f>
        <v/>
      </c>
      <c r="P457" s="28"/>
      <c r="Q457" s="33" t="str">
        <f aca="false">IF(P457="","",IFERROR(VLOOKUP(P457,PARTNERS!$A$2:$B$30,2,0),""))</f>
        <v/>
      </c>
      <c r="R457" s="17" t="str">
        <f aca="false">IF(O457="","",IF(OR(P457="",Q457=""),0,(O457-N457)*IF(Q457&gt;1,Q457/100,Q457)))</f>
        <v/>
      </c>
      <c r="S457" s="31" t="str">
        <f aca="false">IF(O457="","",O457-R457)</f>
        <v/>
      </c>
      <c r="T457" s="28"/>
      <c r="U457" s="34" t="str">
        <f aca="false">IF(T457="","",IFERROR(VLOOKUP(T457,REPS!$A$2:$D$40,2,0),""))</f>
        <v/>
      </c>
      <c r="V457" s="31" t="str">
        <f aca="false">IF(O457="","",IF(U457="",0,O457*IF(U457&gt;1,U457/100,U457)))</f>
        <v/>
      </c>
      <c r="W457" s="28"/>
      <c r="X457" s="34" t="str">
        <f aca="false">IF(W457="","",IFERROR(VLOOKUP(W457,REPS!$A$2:$D$40,3,0),""))</f>
        <v/>
      </c>
      <c r="Y457" s="31" t="str">
        <f aca="false">IF(O457="","",IF(X457="",0,O457*IF(X457&gt;1,X457/100,X457)))</f>
        <v/>
      </c>
      <c r="Z457" s="28"/>
      <c r="AA457" s="34" t="str">
        <f aca="false">IF(Z457="","",IFERROR(VLOOKUP(Z457,REPS!$A$2:$D$40,4,0),""))</f>
        <v/>
      </c>
      <c r="AB457" s="31" t="str">
        <f aca="false">IF(O457="","",IF(AA457="",0,O457*IF(AA457&gt;1,AA457/100,AA457)))</f>
        <v/>
      </c>
      <c r="AC457" s="31" t="str">
        <f aca="false">IF(O457="","",V457+Y457+AB457)</f>
        <v/>
      </c>
      <c r="AD457" s="19" t="str">
        <f aca="false">IF(O457="","",O457-R457-AC457)</f>
        <v/>
      </c>
      <c r="AE457" s="20"/>
      <c r="AF457" s="27"/>
      <c r="AG457" s="21" t="n">
        <f aca="false">IF(OR(AE457="",AE457=0),0,AE457*IF(U457="",0,IF(U457&gt;1,U457/100,U457)))</f>
        <v>0</v>
      </c>
      <c r="AH457" s="21" t="n">
        <f aca="false">IF(OR(AE457="",AE457=0),0,AE457*IF(X457="",0,IF(X457&gt;1,X457/100,X457)))</f>
        <v>0</v>
      </c>
      <c r="AI457" s="21" t="n">
        <f aca="false">IF(OR(AE457="",AE457=0),0,AE457*IF(AA457="",0,IF(AA457&gt;1,AA457/100,AA457)))</f>
        <v>0</v>
      </c>
      <c r="AJ457" s="21" t="n">
        <f aca="false">AG457+AH457+AI457</f>
        <v>0</v>
      </c>
      <c r="AK457" s="21" t="n">
        <f aca="false">IF(OR(AE457="",AE457=0),0,AE457-AJ457)</f>
        <v>0</v>
      </c>
      <c r="AL457" s="19" t="str">
        <f aca="false">IF(AD457="","",AD457-AK457)</f>
        <v/>
      </c>
      <c r="AM457" s="26" t="str">
        <f aca="false">IF(C457="","","Waiting for payment")</f>
        <v/>
      </c>
      <c r="AN457" s="27"/>
      <c r="AO457" s="27"/>
      <c r="AP457" s="35" t="str">
        <f aca="false">IF(OR(C457="",I457="",K457=""),"",IF(K457="Monthly",EDATE(C457,ROUND(I457*SETTINGS!$I$8,0)),WORKDAY(C457,ROUND(I457*SETTINGS!$I$8,0))))</f>
        <v/>
      </c>
      <c r="AQ457" s="26" t="str">
        <f aca="true">IF(C457="","",IF(AND(AP457&lt;&gt;"",TODAY()&gt;=AP457),"Refi Ready",IF(TODAY()-C457&gt;=SETTINGS!$I$11,"Prospecting","Performing")))</f>
        <v/>
      </c>
      <c r="AR457" s="35" t="str">
        <f aca="false">IF(OR(C457="",I457="",K457=""),"",IF(K457="Monthly",EDATE(C457,I457),WORKDAY(C457,I457)))</f>
        <v/>
      </c>
      <c r="AS457" s="28"/>
      <c r="AT457" s="36" t="str">
        <f aca="true">IF(C457="","",IF(AM457="Clawed Back","CLAWED",IF(TODAY()&lt;=C457+SETTINGS!$I$2,"⚠ AT RISK","SAFE")))</f>
        <v/>
      </c>
      <c r="AU457" s="28"/>
      <c r="AW457" s="24" t="n">
        <f aca="false">AW456+IF(AND(C457&lt;&gt;"",AO457&lt;&gt;"",OR('REP COMMISSION'!$B$3="",T457='REP COMMISSION'!$B$3,W457='REP COMMISSION'!$B$3,Z457='REP COMMISSION'!$B$3)),1,0)</f>
        <v>0</v>
      </c>
      <c r="AX457" s="24" t="n">
        <f aca="false">AX456+IF(AND(C457&lt;&gt;"",OR(F457="LOC - INITIAL",F457="CONSOLIDATION - UPFRONT COMM",F457="REVERSE - TOTAL FUNDING")),1,0)</f>
        <v>0</v>
      </c>
    </row>
    <row r="458" customFormat="false" ht="15" hidden="false" customHeight="false" outlineLevel="0" collapsed="false">
      <c r="A458" s="8" t="str">
        <f aca="false">IF(C458&lt;&gt;"","F27-"&amp;COUNT($C$4:C458),"")</f>
        <v/>
      </c>
      <c r="B458" s="9" t="str">
        <f aca="false">IF(OR(F458="LOC - INITIAL",F458="CONSOLIDATION - UPFRONT COMM",F458="REVERSE - TOTAL FUNDING"),A458,"")</f>
        <v/>
      </c>
      <c r="C458" s="10"/>
      <c r="D458" s="11"/>
      <c r="E458" s="11"/>
      <c r="F458" s="11"/>
      <c r="G458" s="12"/>
      <c r="H458" s="13"/>
      <c r="I458" s="11"/>
      <c r="J458" s="14" t="str">
        <f aca="false">IF(AND(G458&lt;&gt;"",H458&lt;&gt;""),G458*H458,"")</f>
        <v/>
      </c>
      <c r="K458" s="11"/>
      <c r="L458" s="15"/>
      <c r="M458" s="15"/>
      <c r="N458" s="14" t="n">
        <f aca="false">IF(OR(G458="",M458=""),0,IF(M458&gt;100,M458,G458*IF(M458&gt;1,M458/100,M458)))</f>
        <v>0</v>
      </c>
      <c r="O458" s="14" t="str">
        <f aca="false">IF(G458="","",G458*IF(L458="",0,IF(L458&gt;1,L458/100,L458))+N458)</f>
        <v/>
      </c>
      <c r="P458" s="11"/>
      <c r="Q458" s="16" t="str">
        <f aca="false">IF(P458="","",IFERROR(VLOOKUP(P458,PARTNERS!$A$2:$B$30,2,0),""))</f>
        <v/>
      </c>
      <c r="R458" s="17" t="str">
        <f aca="false">IF(O458="","",IF(OR(P458="",Q458=""),0,(O458-N458)*IF(Q458&gt;1,Q458/100,Q458)))</f>
        <v/>
      </c>
      <c r="S458" s="14" t="str">
        <f aca="false">IF(O458="","",O458-R458)</f>
        <v/>
      </c>
      <c r="T458" s="11"/>
      <c r="U458" s="18" t="str">
        <f aca="false">IF(T458="","",IFERROR(VLOOKUP(T458,REPS!$A$2:$D$40,2,0),""))</f>
        <v/>
      </c>
      <c r="V458" s="14" t="str">
        <f aca="false">IF(O458="","",IF(U458="",0,O458*IF(U458&gt;1,U458/100,U458)))</f>
        <v/>
      </c>
      <c r="W458" s="11"/>
      <c r="X458" s="18" t="str">
        <f aca="false">IF(W458="","",IFERROR(VLOOKUP(W458,REPS!$A$2:$D$40,3,0),""))</f>
        <v/>
      </c>
      <c r="Y458" s="14" t="str">
        <f aca="false">IF(O458="","",IF(X458="",0,O458*IF(X458&gt;1,X458/100,X458)))</f>
        <v/>
      </c>
      <c r="Z458" s="11"/>
      <c r="AA458" s="18" t="str">
        <f aca="false">IF(Z458="","",IFERROR(VLOOKUP(Z458,REPS!$A$2:$D$40,4,0),""))</f>
        <v/>
      </c>
      <c r="AB458" s="14" t="str">
        <f aca="false">IF(O458="","",IF(AA458="",0,O458*IF(AA458&gt;1,AA458/100,AA458)))</f>
        <v/>
      </c>
      <c r="AC458" s="14" t="str">
        <f aca="false">IF(O458="","",V458+Y458+AB458)</f>
        <v/>
      </c>
      <c r="AD458" s="19" t="str">
        <f aca="false">IF(O458="","",O458-R458-AC458)</f>
        <v/>
      </c>
      <c r="AE458" s="20"/>
      <c r="AF458" s="10"/>
      <c r="AG458" s="21" t="n">
        <f aca="false">IF(OR(AE458="",AE458=0),0,AE458*IF(U458="",0,IF(U458&gt;1,U458/100,U458)))</f>
        <v>0</v>
      </c>
      <c r="AH458" s="21" t="n">
        <f aca="false">IF(OR(AE458="",AE458=0),0,AE458*IF(X458="",0,IF(X458&gt;1,X458/100,X458)))</f>
        <v>0</v>
      </c>
      <c r="AI458" s="21" t="n">
        <f aca="false">IF(OR(AE458="",AE458=0),0,AE458*IF(AA458="",0,IF(AA458&gt;1,AA458/100,AA458)))</f>
        <v>0</v>
      </c>
      <c r="AJ458" s="21" t="n">
        <f aca="false">AG458+AH458+AI458</f>
        <v>0</v>
      </c>
      <c r="AK458" s="21" t="n">
        <f aca="false">IF(OR(AE458="",AE458=0),0,AE458-AJ458)</f>
        <v>0</v>
      </c>
      <c r="AL458" s="19" t="str">
        <f aca="false">IF(AD458="","",AD458-AK458)</f>
        <v/>
      </c>
      <c r="AM458" s="9" t="str">
        <f aca="false">IF(C458="","","Waiting for payment")</f>
        <v/>
      </c>
      <c r="AN458" s="10"/>
      <c r="AO458" s="10"/>
      <c r="AP458" s="22" t="str">
        <f aca="false">IF(OR(C458="",I458="",K458=""),"",IF(K458="Monthly",EDATE(C458,ROUND(I458*SETTINGS!$I$8,0)),WORKDAY(C458,ROUND(I458*SETTINGS!$I$8,0))))</f>
        <v/>
      </c>
      <c r="AQ458" s="9" t="str">
        <f aca="true">IF(C458="","",IF(AND(AP458&lt;&gt;"",TODAY()&gt;=AP458),"Refi Ready",IF(TODAY()-C458&gt;=SETTINGS!$I$11,"Prospecting","Performing")))</f>
        <v/>
      </c>
      <c r="AR458" s="22" t="str">
        <f aca="false">IF(OR(C458="",I458="",K458=""),"",IF(K458="Monthly",EDATE(C458,I458),WORKDAY(C458,I458)))</f>
        <v/>
      </c>
      <c r="AS458" s="11"/>
      <c r="AT458" s="23" t="str">
        <f aca="true">IF(C458="","",IF(AM458="Clawed Back","CLAWED",IF(TODAY()&lt;=C458+SETTINGS!$I$2,"⚠ AT RISK","SAFE")))</f>
        <v/>
      </c>
      <c r="AU458" s="11"/>
      <c r="AW458" s="24" t="n">
        <f aca="false">AW457+IF(AND(C458&lt;&gt;"",AO458&lt;&gt;"",OR('REP COMMISSION'!$B$3="",T458='REP COMMISSION'!$B$3,W458='REP COMMISSION'!$B$3,Z458='REP COMMISSION'!$B$3)),1,0)</f>
        <v>0</v>
      </c>
      <c r="AX458" s="24" t="n">
        <f aca="false">AX457+IF(AND(C458&lt;&gt;"",OR(F458="LOC - INITIAL",F458="CONSOLIDATION - UPFRONT COMM",F458="REVERSE - TOTAL FUNDING")),1,0)</f>
        <v>0</v>
      </c>
    </row>
    <row r="459" customFormat="false" ht="15" hidden="false" customHeight="false" outlineLevel="0" collapsed="false">
      <c r="A459" s="25" t="str">
        <f aca="false">IF(C459&lt;&gt;"","F27-"&amp;COUNT($C$4:C459),"")</f>
        <v/>
      </c>
      <c r="B459" s="26" t="str">
        <f aca="false">IF(OR(F459="LOC - INITIAL",F459="CONSOLIDATION - UPFRONT COMM",F459="REVERSE - TOTAL FUNDING"),A459,"")</f>
        <v/>
      </c>
      <c r="C459" s="27"/>
      <c r="D459" s="28"/>
      <c r="E459" s="28"/>
      <c r="F459" s="28"/>
      <c r="G459" s="29"/>
      <c r="H459" s="30"/>
      <c r="I459" s="28"/>
      <c r="J459" s="31" t="str">
        <f aca="false">IF(AND(G459&lt;&gt;"",H459&lt;&gt;""),G459*H459,"")</f>
        <v/>
      </c>
      <c r="K459" s="28"/>
      <c r="L459" s="32"/>
      <c r="M459" s="32"/>
      <c r="N459" s="31" t="n">
        <f aca="false">IF(OR(G459="",M459=""),0,IF(M459&gt;100,M459,G459*IF(M459&gt;1,M459/100,M459)))</f>
        <v>0</v>
      </c>
      <c r="O459" s="31" t="str">
        <f aca="false">IF(G459="","",G459*IF(L459="",0,IF(L459&gt;1,L459/100,L459))+N459)</f>
        <v/>
      </c>
      <c r="P459" s="28"/>
      <c r="Q459" s="33" t="str">
        <f aca="false">IF(P459="","",IFERROR(VLOOKUP(P459,PARTNERS!$A$2:$B$30,2,0),""))</f>
        <v/>
      </c>
      <c r="R459" s="17" t="str">
        <f aca="false">IF(O459="","",IF(OR(P459="",Q459=""),0,(O459-N459)*IF(Q459&gt;1,Q459/100,Q459)))</f>
        <v/>
      </c>
      <c r="S459" s="31" t="str">
        <f aca="false">IF(O459="","",O459-R459)</f>
        <v/>
      </c>
      <c r="T459" s="28"/>
      <c r="U459" s="34" t="str">
        <f aca="false">IF(T459="","",IFERROR(VLOOKUP(T459,REPS!$A$2:$D$40,2,0),""))</f>
        <v/>
      </c>
      <c r="V459" s="31" t="str">
        <f aca="false">IF(O459="","",IF(U459="",0,O459*IF(U459&gt;1,U459/100,U459)))</f>
        <v/>
      </c>
      <c r="W459" s="28"/>
      <c r="X459" s="34" t="str">
        <f aca="false">IF(W459="","",IFERROR(VLOOKUP(W459,REPS!$A$2:$D$40,3,0),""))</f>
        <v/>
      </c>
      <c r="Y459" s="31" t="str">
        <f aca="false">IF(O459="","",IF(X459="",0,O459*IF(X459&gt;1,X459/100,X459)))</f>
        <v/>
      </c>
      <c r="Z459" s="28"/>
      <c r="AA459" s="34" t="str">
        <f aca="false">IF(Z459="","",IFERROR(VLOOKUP(Z459,REPS!$A$2:$D$40,4,0),""))</f>
        <v/>
      </c>
      <c r="AB459" s="31" t="str">
        <f aca="false">IF(O459="","",IF(AA459="",0,O459*IF(AA459&gt;1,AA459/100,AA459)))</f>
        <v/>
      </c>
      <c r="AC459" s="31" t="str">
        <f aca="false">IF(O459="","",V459+Y459+AB459)</f>
        <v/>
      </c>
      <c r="AD459" s="19" t="str">
        <f aca="false">IF(O459="","",O459-R459-AC459)</f>
        <v/>
      </c>
      <c r="AE459" s="20"/>
      <c r="AF459" s="27"/>
      <c r="AG459" s="21" t="n">
        <f aca="false">IF(OR(AE459="",AE459=0),0,AE459*IF(U459="",0,IF(U459&gt;1,U459/100,U459)))</f>
        <v>0</v>
      </c>
      <c r="AH459" s="21" t="n">
        <f aca="false">IF(OR(AE459="",AE459=0),0,AE459*IF(X459="",0,IF(X459&gt;1,X459/100,X459)))</f>
        <v>0</v>
      </c>
      <c r="AI459" s="21" t="n">
        <f aca="false">IF(OR(AE459="",AE459=0),0,AE459*IF(AA459="",0,IF(AA459&gt;1,AA459/100,AA459)))</f>
        <v>0</v>
      </c>
      <c r="AJ459" s="21" t="n">
        <f aca="false">AG459+AH459+AI459</f>
        <v>0</v>
      </c>
      <c r="AK459" s="21" t="n">
        <f aca="false">IF(OR(AE459="",AE459=0),0,AE459-AJ459)</f>
        <v>0</v>
      </c>
      <c r="AL459" s="19" t="str">
        <f aca="false">IF(AD459="","",AD459-AK459)</f>
        <v/>
      </c>
      <c r="AM459" s="26" t="str">
        <f aca="false">IF(C459="","","Waiting for payment")</f>
        <v/>
      </c>
      <c r="AN459" s="27"/>
      <c r="AO459" s="27"/>
      <c r="AP459" s="35" t="str">
        <f aca="false">IF(OR(C459="",I459="",K459=""),"",IF(K459="Monthly",EDATE(C459,ROUND(I459*SETTINGS!$I$8,0)),WORKDAY(C459,ROUND(I459*SETTINGS!$I$8,0))))</f>
        <v/>
      </c>
      <c r="AQ459" s="26" t="str">
        <f aca="true">IF(C459="","",IF(AND(AP459&lt;&gt;"",TODAY()&gt;=AP459),"Refi Ready",IF(TODAY()-C459&gt;=SETTINGS!$I$11,"Prospecting","Performing")))</f>
        <v/>
      </c>
      <c r="AR459" s="35" t="str">
        <f aca="false">IF(OR(C459="",I459="",K459=""),"",IF(K459="Monthly",EDATE(C459,I459),WORKDAY(C459,I459)))</f>
        <v/>
      </c>
      <c r="AS459" s="28"/>
      <c r="AT459" s="36" t="str">
        <f aca="true">IF(C459="","",IF(AM459="Clawed Back","CLAWED",IF(TODAY()&lt;=C459+SETTINGS!$I$2,"⚠ AT RISK","SAFE")))</f>
        <v/>
      </c>
      <c r="AU459" s="28"/>
      <c r="AW459" s="24" t="n">
        <f aca="false">AW458+IF(AND(C459&lt;&gt;"",AO459&lt;&gt;"",OR('REP COMMISSION'!$B$3="",T459='REP COMMISSION'!$B$3,W459='REP COMMISSION'!$B$3,Z459='REP COMMISSION'!$B$3)),1,0)</f>
        <v>0</v>
      </c>
      <c r="AX459" s="24" t="n">
        <f aca="false">AX458+IF(AND(C459&lt;&gt;"",OR(F459="LOC - INITIAL",F459="CONSOLIDATION - UPFRONT COMM",F459="REVERSE - TOTAL FUNDING")),1,0)</f>
        <v>0</v>
      </c>
    </row>
    <row r="460" customFormat="false" ht="15" hidden="false" customHeight="false" outlineLevel="0" collapsed="false">
      <c r="A460" s="8" t="str">
        <f aca="false">IF(C460&lt;&gt;"","F27-"&amp;COUNT($C$4:C460),"")</f>
        <v/>
      </c>
      <c r="B460" s="9" t="str">
        <f aca="false">IF(OR(F460="LOC - INITIAL",F460="CONSOLIDATION - UPFRONT COMM",F460="REVERSE - TOTAL FUNDING"),A460,"")</f>
        <v/>
      </c>
      <c r="C460" s="10"/>
      <c r="D460" s="11"/>
      <c r="E460" s="11"/>
      <c r="F460" s="11"/>
      <c r="G460" s="12"/>
      <c r="H460" s="13"/>
      <c r="I460" s="11"/>
      <c r="J460" s="14" t="str">
        <f aca="false">IF(AND(G460&lt;&gt;"",H460&lt;&gt;""),G460*H460,"")</f>
        <v/>
      </c>
      <c r="K460" s="11"/>
      <c r="L460" s="15"/>
      <c r="M460" s="15"/>
      <c r="N460" s="14" t="n">
        <f aca="false">IF(OR(G460="",M460=""),0,IF(M460&gt;100,M460,G460*IF(M460&gt;1,M460/100,M460)))</f>
        <v>0</v>
      </c>
      <c r="O460" s="14" t="str">
        <f aca="false">IF(G460="","",G460*IF(L460="",0,IF(L460&gt;1,L460/100,L460))+N460)</f>
        <v/>
      </c>
      <c r="P460" s="11"/>
      <c r="Q460" s="16" t="str">
        <f aca="false">IF(P460="","",IFERROR(VLOOKUP(P460,PARTNERS!$A$2:$B$30,2,0),""))</f>
        <v/>
      </c>
      <c r="R460" s="17" t="str">
        <f aca="false">IF(O460="","",IF(OR(P460="",Q460=""),0,(O460-N460)*IF(Q460&gt;1,Q460/100,Q460)))</f>
        <v/>
      </c>
      <c r="S460" s="14" t="str">
        <f aca="false">IF(O460="","",O460-R460)</f>
        <v/>
      </c>
      <c r="T460" s="11"/>
      <c r="U460" s="18" t="str">
        <f aca="false">IF(T460="","",IFERROR(VLOOKUP(T460,REPS!$A$2:$D$40,2,0),""))</f>
        <v/>
      </c>
      <c r="V460" s="14" t="str">
        <f aca="false">IF(O460="","",IF(U460="",0,O460*IF(U460&gt;1,U460/100,U460)))</f>
        <v/>
      </c>
      <c r="W460" s="11"/>
      <c r="X460" s="18" t="str">
        <f aca="false">IF(W460="","",IFERROR(VLOOKUP(W460,REPS!$A$2:$D$40,3,0),""))</f>
        <v/>
      </c>
      <c r="Y460" s="14" t="str">
        <f aca="false">IF(O460="","",IF(X460="",0,O460*IF(X460&gt;1,X460/100,X460)))</f>
        <v/>
      </c>
      <c r="Z460" s="11"/>
      <c r="AA460" s="18" t="str">
        <f aca="false">IF(Z460="","",IFERROR(VLOOKUP(Z460,REPS!$A$2:$D$40,4,0),""))</f>
        <v/>
      </c>
      <c r="AB460" s="14" t="str">
        <f aca="false">IF(O460="","",IF(AA460="",0,O460*IF(AA460&gt;1,AA460/100,AA460)))</f>
        <v/>
      </c>
      <c r="AC460" s="14" t="str">
        <f aca="false">IF(O460="","",V460+Y460+AB460)</f>
        <v/>
      </c>
      <c r="AD460" s="19" t="str">
        <f aca="false">IF(O460="","",O460-R460-AC460)</f>
        <v/>
      </c>
      <c r="AE460" s="20"/>
      <c r="AF460" s="10"/>
      <c r="AG460" s="21" t="n">
        <f aca="false">IF(OR(AE460="",AE460=0),0,AE460*IF(U460="",0,IF(U460&gt;1,U460/100,U460)))</f>
        <v>0</v>
      </c>
      <c r="AH460" s="21" t="n">
        <f aca="false">IF(OR(AE460="",AE460=0),0,AE460*IF(X460="",0,IF(X460&gt;1,X460/100,X460)))</f>
        <v>0</v>
      </c>
      <c r="AI460" s="21" t="n">
        <f aca="false">IF(OR(AE460="",AE460=0),0,AE460*IF(AA460="",0,IF(AA460&gt;1,AA460/100,AA460)))</f>
        <v>0</v>
      </c>
      <c r="AJ460" s="21" t="n">
        <f aca="false">AG460+AH460+AI460</f>
        <v>0</v>
      </c>
      <c r="AK460" s="21" t="n">
        <f aca="false">IF(OR(AE460="",AE460=0),0,AE460-AJ460)</f>
        <v>0</v>
      </c>
      <c r="AL460" s="19" t="str">
        <f aca="false">IF(AD460="","",AD460-AK460)</f>
        <v/>
      </c>
      <c r="AM460" s="9" t="str">
        <f aca="false">IF(C460="","","Waiting for payment")</f>
        <v/>
      </c>
      <c r="AN460" s="10"/>
      <c r="AO460" s="10"/>
      <c r="AP460" s="22" t="str">
        <f aca="false">IF(OR(C460="",I460="",K460=""),"",IF(K460="Monthly",EDATE(C460,ROUND(I460*SETTINGS!$I$8,0)),WORKDAY(C460,ROUND(I460*SETTINGS!$I$8,0))))</f>
        <v/>
      </c>
      <c r="AQ460" s="9" t="str">
        <f aca="true">IF(C460="","",IF(AND(AP460&lt;&gt;"",TODAY()&gt;=AP460),"Refi Ready",IF(TODAY()-C460&gt;=SETTINGS!$I$11,"Prospecting","Performing")))</f>
        <v/>
      </c>
      <c r="AR460" s="22" t="str">
        <f aca="false">IF(OR(C460="",I460="",K460=""),"",IF(K460="Monthly",EDATE(C460,I460),WORKDAY(C460,I460)))</f>
        <v/>
      </c>
      <c r="AS460" s="11"/>
      <c r="AT460" s="23" t="str">
        <f aca="true">IF(C460="","",IF(AM460="Clawed Back","CLAWED",IF(TODAY()&lt;=C460+SETTINGS!$I$2,"⚠ AT RISK","SAFE")))</f>
        <v/>
      </c>
      <c r="AU460" s="11"/>
      <c r="AW460" s="24" t="n">
        <f aca="false">AW459+IF(AND(C460&lt;&gt;"",AO460&lt;&gt;"",OR('REP COMMISSION'!$B$3="",T460='REP COMMISSION'!$B$3,W460='REP COMMISSION'!$B$3,Z460='REP COMMISSION'!$B$3)),1,0)</f>
        <v>0</v>
      </c>
      <c r="AX460" s="24" t="n">
        <f aca="false">AX459+IF(AND(C460&lt;&gt;"",OR(F460="LOC - INITIAL",F460="CONSOLIDATION - UPFRONT COMM",F460="REVERSE - TOTAL FUNDING")),1,0)</f>
        <v>0</v>
      </c>
    </row>
    <row r="461" customFormat="false" ht="15" hidden="false" customHeight="false" outlineLevel="0" collapsed="false">
      <c r="A461" s="25" t="str">
        <f aca="false">IF(C461&lt;&gt;"","F27-"&amp;COUNT($C$4:C461),"")</f>
        <v/>
      </c>
      <c r="B461" s="26" t="str">
        <f aca="false">IF(OR(F461="LOC - INITIAL",F461="CONSOLIDATION - UPFRONT COMM",F461="REVERSE - TOTAL FUNDING"),A461,"")</f>
        <v/>
      </c>
      <c r="C461" s="27"/>
      <c r="D461" s="28"/>
      <c r="E461" s="28"/>
      <c r="F461" s="28"/>
      <c r="G461" s="29"/>
      <c r="H461" s="30"/>
      <c r="I461" s="28"/>
      <c r="J461" s="31" t="str">
        <f aca="false">IF(AND(G461&lt;&gt;"",H461&lt;&gt;""),G461*H461,"")</f>
        <v/>
      </c>
      <c r="K461" s="28"/>
      <c r="L461" s="32"/>
      <c r="M461" s="32"/>
      <c r="N461" s="31" t="n">
        <f aca="false">IF(OR(G461="",M461=""),0,IF(M461&gt;100,M461,G461*IF(M461&gt;1,M461/100,M461)))</f>
        <v>0</v>
      </c>
      <c r="O461" s="31" t="str">
        <f aca="false">IF(G461="","",G461*IF(L461="",0,IF(L461&gt;1,L461/100,L461))+N461)</f>
        <v/>
      </c>
      <c r="P461" s="28"/>
      <c r="Q461" s="33" t="str">
        <f aca="false">IF(P461="","",IFERROR(VLOOKUP(P461,PARTNERS!$A$2:$B$30,2,0),""))</f>
        <v/>
      </c>
      <c r="R461" s="17" t="str">
        <f aca="false">IF(O461="","",IF(OR(P461="",Q461=""),0,(O461-N461)*IF(Q461&gt;1,Q461/100,Q461)))</f>
        <v/>
      </c>
      <c r="S461" s="31" t="str">
        <f aca="false">IF(O461="","",O461-R461)</f>
        <v/>
      </c>
      <c r="T461" s="28"/>
      <c r="U461" s="34" t="str">
        <f aca="false">IF(T461="","",IFERROR(VLOOKUP(T461,REPS!$A$2:$D$40,2,0),""))</f>
        <v/>
      </c>
      <c r="V461" s="31" t="str">
        <f aca="false">IF(O461="","",IF(U461="",0,O461*IF(U461&gt;1,U461/100,U461)))</f>
        <v/>
      </c>
      <c r="W461" s="28"/>
      <c r="X461" s="34" t="str">
        <f aca="false">IF(W461="","",IFERROR(VLOOKUP(W461,REPS!$A$2:$D$40,3,0),""))</f>
        <v/>
      </c>
      <c r="Y461" s="31" t="str">
        <f aca="false">IF(O461="","",IF(X461="",0,O461*IF(X461&gt;1,X461/100,X461)))</f>
        <v/>
      </c>
      <c r="Z461" s="28"/>
      <c r="AA461" s="34" t="str">
        <f aca="false">IF(Z461="","",IFERROR(VLOOKUP(Z461,REPS!$A$2:$D$40,4,0),""))</f>
        <v/>
      </c>
      <c r="AB461" s="31" t="str">
        <f aca="false">IF(O461="","",IF(AA461="",0,O461*IF(AA461&gt;1,AA461/100,AA461)))</f>
        <v/>
      </c>
      <c r="AC461" s="31" t="str">
        <f aca="false">IF(O461="","",V461+Y461+AB461)</f>
        <v/>
      </c>
      <c r="AD461" s="19" t="str">
        <f aca="false">IF(O461="","",O461-R461-AC461)</f>
        <v/>
      </c>
      <c r="AE461" s="20"/>
      <c r="AF461" s="27"/>
      <c r="AG461" s="21" t="n">
        <f aca="false">IF(OR(AE461="",AE461=0),0,AE461*IF(U461="",0,IF(U461&gt;1,U461/100,U461)))</f>
        <v>0</v>
      </c>
      <c r="AH461" s="21" t="n">
        <f aca="false">IF(OR(AE461="",AE461=0),0,AE461*IF(X461="",0,IF(X461&gt;1,X461/100,X461)))</f>
        <v>0</v>
      </c>
      <c r="AI461" s="21" t="n">
        <f aca="false">IF(OR(AE461="",AE461=0),0,AE461*IF(AA461="",0,IF(AA461&gt;1,AA461/100,AA461)))</f>
        <v>0</v>
      </c>
      <c r="AJ461" s="21" t="n">
        <f aca="false">AG461+AH461+AI461</f>
        <v>0</v>
      </c>
      <c r="AK461" s="21" t="n">
        <f aca="false">IF(OR(AE461="",AE461=0),0,AE461-AJ461)</f>
        <v>0</v>
      </c>
      <c r="AL461" s="19" t="str">
        <f aca="false">IF(AD461="","",AD461-AK461)</f>
        <v/>
      </c>
      <c r="AM461" s="26" t="str">
        <f aca="false">IF(C461="","","Waiting for payment")</f>
        <v/>
      </c>
      <c r="AN461" s="27"/>
      <c r="AO461" s="27"/>
      <c r="AP461" s="35" t="str">
        <f aca="false">IF(OR(C461="",I461="",K461=""),"",IF(K461="Monthly",EDATE(C461,ROUND(I461*SETTINGS!$I$8,0)),WORKDAY(C461,ROUND(I461*SETTINGS!$I$8,0))))</f>
        <v/>
      </c>
      <c r="AQ461" s="26" t="str">
        <f aca="true">IF(C461="","",IF(AND(AP461&lt;&gt;"",TODAY()&gt;=AP461),"Refi Ready",IF(TODAY()-C461&gt;=SETTINGS!$I$11,"Prospecting","Performing")))</f>
        <v/>
      </c>
      <c r="AR461" s="35" t="str">
        <f aca="false">IF(OR(C461="",I461="",K461=""),"",IF(K461="Monthly",EDATE(C461,I461),WORKDAY(C461,I461)))</f>
        <v/>
      </c>
      <c r="AS461" s="28"/>
      <c r="AT461" s="36" t="str">
        <f aca="true">IF(C461="","",IF(AM461="Clawed Back","CLAWED",IF(TODAY()&lt;=C461+SETTINGS!$I$2,"⚠ AT RISK","SAFE")))</f>
        <v/>
      </c>
      <c r="AU461" s="28"/>
      <c r="AW461" s="24" t="n">
        <f aca="false">AW460+IF(AND(C461&lt;&gt;"",AO461&lt;&gt;"",OR('REP COMMISSION'!$B$3="",T461='REP COMMISSION'!$B$3,W461='REP COMMISSION'!$B$3,Z461='REP COMMISSION'!$B$3)),1,0)</f>
        <v>0</v>
      </c>
      <c r="AX461" s="24" t="n">
        <f aca="false">AX460+IF(AND(C461&lt;&gt;"",OR(F461="LOC - INITIAL",F461="CONSOLIDATION - UPFRONT COMM",F461="REVERSE - TOTAL FUNDING")),1,0)</f>
        <v>0</v>
      </c>
    </row>
    <row r="462" customFormat="false" ht="15" hidden="false" customHeight="false" outlineLevel="0" collapsed="false">
      <c r="A462" s="8" t="str">
        <f aca="false">IF(C462&lt;&gt;"","F27-"&amp;COUNT($C$4:C462),"")</f>
        <v/>
      </c>
      <c r="B462" s="9" t="str">
        <f aca="false">IF(OR(F462="LOC - INITIAL",F462="CONSOLIDATION - UPFRONT COMM",F462="REVERSE - TOTAL FUNDING"),A462,"")</f>
        <v/>
      </c>
      <c r="C462" s="10"/>
      <c r="D462" s="11"/>
      <c r="E462" s="11"/>
      <c r="F462" s="11"/>
      <c r="G462" s="12"/>
      <c r="H462" s="13"/>
      <c r="I462" s="11"/>
      <c r="J462" s="14" t="str">
        <f aca="false">IF(AND(G462&lt;&gt;"",H462&lt;&gt;""),G462*H462,"")</f>
        <v/>
      </c>
      <c r="K462" s="11"/>
      <c r="L462" s="15"/>
      <c r="M462" s="15"/>
      <c r="N462" s="14" t="n">
        <f aca="false">IF(OR(G462="",M462=""),0,IF(M462&gt;100,M462,G462*IF(M462&gt;1,M462/100,M462)))</f>
        <v>0</v>
      </c>
      <c r="O462" s="14" t="str">
        <f aca="false">IF(G462="","",G462*IF(L462="",0,IF(L462&gt;1,L462/100,L462))+N462)</f>
        <v/>
      </c>
      <c r="P462" s="11"/>
      <c r="Q462" s="16" t="str">
        <f aca="false">IF(P462="","",IFERROR(VLOOKUP(P462,PARTNERS!$A$2:$B$30,2,0),""))</f>
        <v/>
      </c>
      <c r="R462" s="17" t="str">
        <f aca="false">IF(O462="","",IF(OR(P462="",Q462=""),0,(O462-N462)*IF(Q462&gt;1,Q462/100,Q462)))</f>
        <v/>
      </c>
      <c r="S462" s="14" t="str">
        <f aca="false">IF(O462="","",O462-R462)</f>
        <v/>
      </c>
      <c r="T462" s="11"/>
      <c r="U462" s="18" t="str">
        <f aca="false">IF(T462="","",IFERROR(VLOOKUP(T462,REPS!$A$2:$D$40,2,0),""))</f>
        <v/>
      </c>
      <c r="V462" s="14" t="str">
        <f aca="false">IF(O462="","",IF(U462="",0,O462*IF(U462&gt;1,U462/100,U462)))</f>
        <v/>
      </c>
      <c r="W462" s="11"/>
      <c r="X462" s="18" t="str">
        <f aca="false">IF(W462="","",IFERROR(VLOOKUP(W462,REPS!$A$2:$D$40,3,0),""))</f>
        <v/>
      </c>
      <c r="Y462" s="14" t="str">
        <f aca="false">IF(O462="","",IF(X462="",0,O462*IF(X462&gt;1,X462/100,X462)))</f>
        <v/>
      </c>
      <c r="Z462" s="11"/>
      <c r="AA462" s="18" t="str">
        <f aca="false">IF(Z462="","",IFERROR(VLOOKUP(Z462,REPS!$A$2:$D$40,4,0),""))</f>
        <v/>
      </c>
      <c r="AB462" s="14" t="str">
        <f aca="false">IF(O462="","",IF(AA462="",0,O462*IF(AA462&gt;1,AA462/100,AA462)))</f>
        <v/>
      </c>
      <c r="AC462" s="14" t="str">
        <f aca="false">IF(O462="","",V462+Y462+AB462)</f>
        <v/>
      </c>
      <c r="AD462" s="19" t="str">
        <f aca="false">IF(O462="","",O462-R462-AC462)</f>
        <v/>
      </c>
      <c r="AE462" s="20"/>
      <c r="AF462" s="10"/>
      <c r="AG462" s="21" t="n">
        <f aca="false">IF(OR(AE462="",AE462=0),0,AE462*IF(U462="",0,IF(U462&gt;1,U462/100,U462)))</f>
        <v>0</v>
      </c>
      <c r="AH462" s="21" t="n">
        <f aca="false">IF(OR(AE462="",AE462=0),0,AE462*IF(X462="",0,IF(X462&gt;1,X462/100,X462)))</f>
        <v>0</v>
      </c>
      <c r="AI462" s="21" t="n">
        <f aca="false">IF(OR(AE462="",AE462=0),0,AE462*IF(AA462="",0,IF(AA462&gt;1,AA462/100,AA462)))</f>
        <v>0</v>
      </c>
      <c r="AJ462" s="21" t="n">
        <f aca="false">AG462+AH462+AI462</f>
        <v>0</v>
      </c>
      <c r="AK462" s="21" t="n">
        <f aca="false">IF(OR(AE462="",AE462=0),0,AE462-AJ462)</f>
        <v>0</v>
      </c>
      <c r="AL462" s="19" t="str">
        <f aca="false">IF(AD462="","",AD462-AK462)</f>
        <v/>
      </c>
      <c r="AM462" s="9" t="str">
        <f aca="false">IF(C462="","","Waiting for payment")</f>
        <v/>
      </c>
      <c r="AN462" s="10"/>
      <c r="AO462" s="10"/>
      <c r="AP462" s="22" t="str">
        <f aca="false">IF(OR(C462="",I462="",K462=""),"",IF(K462="Monthly",EDATE(C462,ROUND(I462*SETTINGS!$I$8,0)),WORKDAY(C462,ROUND(I462*SETTINGS!$I$8,0))))</f>
        <v/>
      </c>
      <c r="AQ462" s="9" t="str">
        <f aca="true">IF(C462="","",IF(AND(AP462&lt;&gt;"",TODAY()&gt;=AP462),"Refi Ready",IF(TODAY()-C462&gt;=SETTINGS!$I$11,"Prospecting","Performing")))</f>
        <v/>
      </c>
      <c r="AR462" s="22" t="str">
        <f aca="false">IF(OR(C462="",I462="",K462=""),"",IF(K462="Monthly",EDATE(C462,I462),WORKDAY(C462,I462)))</f>
        <v/>
      </c>
      <c r="AS462" s="11"/>
      <c r="AT462" s="23" t="str">
        <f aca="true">IF(C462="","",IF(AM462="Clawed Back","CLAWED",IF(TODAY()&lt;=C462+SETTINGS!$I$2,"⚠ AT RISK","SAFE")))</f>
        <v/>
      </c>
      <c r="AU462" s="11"/>
      <c r="AW462" s="24" t="n">
        <f aca="false">AW461+IF(AND(C462&lt;&gt;"",AO462&lt;&gt;"",OR('REP COMMISSION'!$B$3="",T462='REP COMMISSION'!$B$3,W462='REP COMMISSION'!$B$3,Z462='REP COMMISSION'!$B$3)),1,0)</f>
        <v>0</v>
      </c>
      <c r="AX462" s="24" t="n">
        <f aca="false">AX461+IF(AND(C462&lt;&gt;"",OR(F462="LOC - INITIAL",F462="CONSOLIDATION - UPFRONT COMM",F462="REVERSE - TOTAL FUNDING")),1,0)</f>
        <v>0</v>
      </c>
    </row>
    <row r="463" customFormat="false" ht="15" hidden="false" customHeight="false" outlineLevel="0" collapsed="false">
      <c r="A463" s="25" t="str">
        <f aca="false">IF(C463&lt;&gt;"","F27-"&amp;COUNT($C$4:C463),"")</f>
        <v/>
      </c>
      <c r="B463" s="26" t="str">
        <f aca="false">IF(OR(F463="LOC - INITIAL",F463="CONSOLIDATION - UPFRONT COMM",F463="REVERSE - TOTAL FUNDING"),A463,"")</f>
        <v/>
      </c>
      <c r="C463" s="27"/>
      <c r="D463" s="28"/>
      <c r="E463" s="28"/>
      <c r="F463" s="28"/>
      <c r="G463" s="29"/>
      <c r="H463" s="30"/>
      <c r="I463" s="28"/>
      <c r="J463" s="31" t="str">
        <f aca="false">IF(AND(G463&lt;&gt;"",H463&lt;&gt;""),G463*H463,"")</f>
        <v/>
      </c>
      <c r="K463" s="28"/>
      <c r="L463" s="32"/>
      <c r="M463" s="32"/>
      <c r="N463" s="31" t="n">
        <f aca="false">IF(OR(G463="",M463=""),0,IF(M463&gt;100,M463,G463*IF(M463&gt;1,M463/100,M463)))</f>
        <v>0</v>
      </c>
      <c r="O463" s="31" t="str">
        <f aca="false">IF(G463="","",G463*IF(L463="",0,IF(L463&gt;1,L463/100,L463))+N463)</f>
        <v/>
      </c>
      <c r="P463" s="28"/>
      <c r="Q463" s="33" t="str">
        <f aca="false">IF(P463="","",IFERROR(VLOOKUP(P463,PARTNERS!$A$2:$B$30,2,0),""))</f>
        <v/>
      </c>
      <c r="R463" s="17" t="str">
        <f aca="false">IF(O463="","",IF(OR(P463="",Q463=""),0,(O463-N463)*IF(Q463&gt;1,Q463/100,Q463)))</f>
        <v/>
      </c>
      <c r="S463" s="31" t="str">
        <f aca="false">IF(O463="","",O463-R463)</f>
        <v/>
      </c>
      <c r="T463" s="28"/>
      <c r="U463" s="34" t="str">
        <f aca="false">IF(T463="","",IFERROR(VLOOKUP(T463,REPS!$A$2:$D$40,2,0),""))</f>
        <v/>
      </c>
      <c r="V463" s="31" t="str">
        <f aca="false">IF(O463="","",IF(U463="",0,O463*IF(U463&gt;1,U463/100,U463)))</f>
        <v/>
      </c>
      <c r="W463" s="28"/>
      <c r="X463" s="34" t="str">
        <f aca="false">IF(W463="","",IFERROR(VLOOKUP(W463,REPS!$A$2:$D$40,3,0),""))</f>
        <v/>
      </c>
      <c r="Y463" s="31" t="str">
        <f aca="false">IF(O463="","",IF(X463="",0,O463*IF(X463&gt;1,X463/100,X463)))</f>
        <v/>
      </c>
      <c r="Z463" s="28"/>
      <c r="AA463" s="34" t="str">
        <f aca="false">IF(Z463="","",IFERROR(VLOOKUP(Z463,REPS!$A$2:$D$40,4,0),""))</f>
        <v/>
      </c>
      <c r="AB463" s="31" t="str">
        <f aca="false">IF(O463="","",IF(AA463="",0,O463*IF(AA463&gt;1,AA463/100,AA463)))</f>
        <v/>
      </c>
      <c r="AC463" s="31" t="str">
        <f aca="false">IF(O463="","",V463+Y463+AB463)</f>
        <v/>
      </c>
      <c r="AD463" s="19" t="str">
        <f aca="false">IF(O463="","",O463-R463-AC463)</f>
        <v/>
      </c>
      <c r="AE463" s="20"/>
      <c r="AF463" s="27"/>
      <c r="AG463" s="21" t="n">
        <f aca="false">IF(OR(AE463="",AE463=0),0,AE463*IF(U463="",0,IF(U463&gt;1,U463/100,U463)))</f>
        <v>0</v>
      </c>
      <c r="AH463" s="21" t="n">
        <f aca="false">IF(OR(AE463="",AE463=0),0,AE463*IF(X463="",0,IF(X463&gt;1,X463/100,X463)))</f>
        <v>0</v>
      </c>
      <c r="AI463" s="21" t="n">
        <f aca="false">IF(OR(AE463="",AE463=0),0,AE463*IF(AA463="",0,IF(AA463&gt;1,AA463/100,AA463)))</f>
        <v>0</v>
      </c>
      <c r="AJ463" s="21" t="n">
        <f aca="false">AG463+AH463+AI463</f>
        <v>0</v>
      </c>
      <c r="AK463" s="21" t="n">
        <f aca="false">IF(OR(AE463="",AE463=0),0,AE463-AJ463)</f>
        <v>0</v>
      </c>
      <c r="AL463" s="19" t="str">
        <f aca="false">IF(AD463="","",AD463-AK463)</f>
        <v/>
      </c>
      <c r="AM463" s="26" t="str">
        <f aca="false">IF(C463="","","Waiting for payment")</f>
        <v/>
      </c>
      <c r="AN463" s="27"/>
      <c r="AO463" s="27"/>
      <c r="AP463" s="35" t="str">
        <f aca="false">IF(OR(C463="",I463="",K463=""),"",IF(K463="Monthly",EDATE(C463,ROUND(I463*SETTINGS!$I$8,0)),WORKDAY(C463,ROUND(I463*SETTINGS!$I$8,0))))</f>
        <v/>
      </c>
      <c r="AQ463" s="26" t="str">
        <f aca="true">IF(C463="","",IF(AND(AP463&lt;&gt;"",TODAY()&gt;=AP463),"Refi Ready",IF(TODAY()-C463&gt;=SETTINGS!$I$11,"Prospecting","Performing")))</f>
        <v/>
      </c>
      <c r="AR463" s="35" t="str">
        <f aca="false">IF(OR(C463="",I463="",K463=""),"",IF(K463="Monthly",EDATE(C463,I463),WORKDAY(C463,I463)))</f>
        <v/>
      </c>
      <c r="AS463" s="28"/>
      <c r="AT463" s="36" t="str">
        <f aca="true">IF(C463="","",IF(AM463="Clawed Back","CLAWED",IF(TODAY()&lt;=C463+SETTINGS!$I$2,"⚠ AT RISK","SAFE")))</f>
        <v/>
      </c>
      <c r="AU463" s="28"/>
      <c r="AW463" s="24" t="n">
        <f aca="false">AW462+IF(AND(C463&lt;&gt;"",AO463&lt;&gt;"",OR('REP COMMISSION'!$B$3="",T463='REP COMMISSION'!$B$3,W463='REP COMMISSION'!$B$3,Z463='REP COMMISSION'!$B$3)),1,0)</f>
        <v>0</v>
      </c>
      <c r="AX463" s="24" t="n">
        <f aca="false">AX462+IF(AND(C463&lt;&gt;"",OR(F463="LOC - INITIAL",F463="CONSOLIDATION - UPFRONT COMM",F463="REVERSE - TOTAL FUNDING")),1,0)</f>
        <v>0</v>
      </c>
    </row>
    <row r="464" customFormat="false" ht="15" hidden="false" customHeight="false" outlineLevel="0" collapsed="false">
      <c r="A464" s="8" t="str">
        <f aca="false">IF(C464&lt;&gt;"","F27-"&amp;COUNT($C$4:C464),"")</f>
        <v/>
      </c>
      <c r="B464" s="9" t="str">
        <f aca="false">IF(OR(F464="LOC - INITIAL",F464="CONSOLIDATION - UPFRONT COMM",F464="REVERSE - TOTAL FUNDING"),A464,"")</f>
        <v/>
      </c>
      <c r="C464" s="10"/>
      <c r="D464" s="11"/>
      <c r="E464" s="11"/>
      <c r="F464" s="11"/>
      <c r="G464" s="12"/>
      <c r="H464" s="13"/>
      <c r="I464" s="11"/>
      <c r="J464" s="14" t="str">
        <f aca="false">IF(AND(G464&lt;&gt;"",H464&lt;&gt;""),G464*H464,"")</f>
        <v/>
      </c>
      <c r="K464" s="11"/>
      <c r="L464" s="15"/>
      <c r="M464" s="15"/>
      <c r="N464" s="14" t="n">
        <f aca="false">IF(OR(G464="",M464=""),0,IF(M464&gt;100,M464,G464*IF(M464&gt;1,M464/100,M464)))</f>
        <v>0</v>
      </c>
      <c r="O464" s="14" t="str">
        <f aca="false">IF(G464="","",G464*IF(L464="",0,IF(L464&gt;1,L464/100,L464))+N464)</f>
        <v/>
      </c>
      <c r="P464" s="11"/>
      <c r="Q464" s="16" t="str">
        <f aca="false">IF(P464="","",IFERROR(VLOOKUP(P464,PARTNERS!$A$2:$B$30,2,0),""))</f>
        <v/>
      </c>
      <c r="R464" s="17" t="str">
        <f aca="false">IF(O464="","",IF(OR(P464="",Q464=""),0,(O464-N464)*IF(Q464&gt;1,Q464/100,Q464)))</f>
        <v/>
      </c>
      <c r="S464" s="14" t="str">
        <f aca="false">IF(O464="","",O464-R464)</f>
        <v/>
      </c>
      <c r="T464" s="11"/>
      <c r="U464" s="18" t="str">
        <f aca="false">IF(T464="","",IFERROR(VLOOKUP(T464,REPS!$A$2:$D$40,2,0),""))</f>
        <v/>
      </c>
      <c r="V464" s="14" t="str">
        <f aca="false">IF(O464="","",IF(U464="",0,O464*IF(U464&gt;1,U464/100,U464)))</f>
        <v/>
      </c>
      <c r="W464" s="11"/>
      <c r="X464" s="18" t="str">
        <f aca="false">IF(W464="","",IFERROR(VLOOKUP(W464,REPS!$A$2:$D$40,3,0),""))</f>
        <v/>
      </c>
      <c r="Y464" s="14" t="str">
        <f aca="false">IF(O464="","",IF(X464="",0,O464*IF(X464&gt;1,X464/100,X464)))</f>
        <v/>
      </c>
      <c r="Z464" s="11"/>
      <c r="AA464" s="18" t="str">
        <f aca="false">IF(Z464="","",IFERROR(VLOOKUP(Z464,REPS!$A$2:$D$40,4,0),""))</f>
        <v/>
      </c>
      <c r="AB464" s="14" t="str">
        <f aca="false">IF(O464="","",IF(AA464="",0,O464*IF(AA464&gt;1,AA464/100,AA464)))</f>
        <v/>
      </c>
      <c r="AC464" s="14" t="str">
        <f aca="false">IF(O464="","",V464+Y464+AB464)</f>
        <v/>
      </c>
      <c r="AD464" s="19" t="str">
        <f aca="false">IF(O464="","",O464-R464-AC464)</f>
        <v/>
      </c>
      <c r="AE464" s="20"/>
      <c r="AF464" s="10"/>
      <c r="AG464" s="21" t="n">
        <f aca="false">IF(OR(AE464="",AE464=0),0,AE464*IF(U464="",0,IF(U464&gt;1,U464/100,U464)))</f>
        <v>0</v>
      </c>
      <c r="AH464" s="21" t="n">
        <f aca="false">IF(OR(AE464="",AE464=0),0,AE464*IF(X464="",0,IF(X464&gt;1,X464/100,X464)))</f>
        <v>0</v>
      </c>
      <c r="AI464" s="21" t="n">
        <f aca="false">IF(OR(AE464="",AE464=0),0,AE464*IF(AA464="",0,IF(AA464&gt;1,AA464/100,AA464)))</f>
        <v>0</v>
      </c>
      <c r="AJ464" s="21" t="n">
        <f aca="false">AG464+AH464+AI464</f>
        <v>0</v>
      </c>
      <c r="AK464" s="21" t="n">
        <f aca="false">IF(OR(AE464="",AE464=0),0,AE464-AJ464)</f>
        <v>0</v>
      </c>
      <c r="AL464" s="19" t="str">
        <f aca="false">IF(AD464="","",AD464-AK464)</f>
        <v/>
      </c>
      <c r="AM464" s="9" t="str">
        <f aca="false">IF(C464="","","Waiting for payment")</f>
        <v/>
      </c>
      <c r="AN464" s="10"/>
      <c r="AO464" s="10"/>
      <c r="AP464" s="22" t="str">
        <f aca="false">IF(OR(C464="",I464="",K464=""),"",IF(K464="Monthly",EDATE(C464,ROUND(I464*SETTINGS!$I$8,0)),WORKDAY(C464,ROUND(I464*SETTINGS!$I$8,0))))</f>
        <v/>
      </c>
      <c r="AQ464" s="9" t="str">
        <f aca="true">IF(C464="","",IF(AND(AP464&lt;&gt;"",TODAY()&gt;=AP464),"Refi Ready",IF(TODAY()-C464&gt;=SETTINGS!$I$11,"Prospecting","Performing")))</f>
        <v/>
      </c>
      <c r="AR464" s="22" t="str">
        <f aca="false">IF(OR(C464="",I464="",K464=""),"",IF(K464="Monthly",EDATE(C464,I464),WORKDAY(C464,I464)))</f>
        <v/>
      </c>
      <c r="AS464" s="11"/>
      <c r="AT464" s="23" t="str">
        <f aca="true">IF(C464="","",IF(AM464="Clawed Back","CLAWED",IF(TODAY()&lt;=C464+SETTINGS!$I$2,"⚠ AT RISK","SAFE")))</f>
        <v/>
      </c>
      <c r="AU464" s="11"/>
      <c r="AW464" s="24" t="n">
        <f aca="false">AW463+IF(AND(C464&lt;&gt;"",AO464&lt;&gt;"",OR('REP COMMISSION'!$B$3="",T464='REP COMMISSION'!$B$3,W464='REP COMMISSION'!$B$3,Z464='REP COMMISSION'!$B$3)),1,0)</f>
        <v>0</v>
      </c>
      <c r="AX464" s="24" t="n">
        <f aca="false">AX463+IF(AND(C464&lt;&gt;"",OR(F464="LOC - INITIAL",F464="CONSOLIDATION - UPFRONT COMM",F464="REVERSE - TOTAL FUNDING")),1,0)</f>
        <v>0</v>
      </c>
    </row>
    <row r="465" customFormat="false" ht="15" hidden="false" customHeight="false" outlineLevel="0" collapsed="false">
      <c r="A465" s="25" t="str">
        <f aca="false">IF(C465&lt;&gt;"","F27-"&amp;COUNT($C$4:C465),"")</f>
        <v/>
      </c>
      <c r="B465" s="26" t="str">
        <f aca="false">IF(OR(F465="LOC - INITIAL",F465="CONSOLIDATION - UPFRONT COMM",F465="REVERSE - TOTAL FUNDING"),A465,"")</f>
        <v/>
      </c>
      <c r="C465" s="27"/>
      <c r="D465" s="28"/>
      <c r="E465" s="28"/>
      <c r="F465" s="28"/>
      <c r="G465" s="29"/>
      <c r="H465" s="30"/>
      <c r="I465" s="28"/>
      <c r="J465" s="31" t="str">
        <f aca="false">IF(AND(G465&lt;&gt;"",H465&lt;&gt;""),G465*H465,"")</f>
        <v/>
      </c>
      <c r="K465" s="28"/>
      <c r="L465" s="32"/>
      <c r="M465" s="32"/>
      <c r="N465" s="31" t="n">
        <f aca="false">IF(OR(G465="",M465=""),0,IF(M465&gt;100,M465,G465*IF(M465&gt;1,M465/100,M465)))</f>
        <v>0</v>
      </c>
      <c r="O465" s="31" t="str">
        <f aca="false">IF(G465="","",G465*IF(L465="",0,IF(L465&gt;1,L465/100,L465))+N465)</f>
        <v/>
      </c>
      <c r="P465" s="28"/>
      <c r="Q465" s="33" t="str">
        <f aca="false">IF(P465="","",IFERROR(VLOOKUP(P465,PARTNERS!$A$2:$B$30,2,0),""))</f>
        <v/>
      </c>
      <c r="R465" s="17" t="str">
        <f aca="false">IF(O465="","",IF(OR(P465="",Q465=""),0,(O465-N465)*IF(Q465&gt;1,Q465/100,Q465)))</f>
        <v/>
      </c>
      <c r="S465" s="31" t="str">
        <f aca="false">IF(O465="","",O465-R465)</f>
        <v/>
      </c>
      <c r="T465" s="28"/>
      <c r="U465" s="34" t="str">
        <f aca="false">IF(T465="","",IFERROR(VLOOKUP(T465,REPS!$A$2:$D$40,2,0),""))</f>
        <v/>
      </c>
      <c r="V465" s="31" t="str">
        <f aca="false">IF(O465="","",IF(U465="",0,O465*IF(U465&gt;1,U465/100,U465)))</f>
        <v/>
      </c>
      <c r="W465" s="28"/>
      <c r="X465" s="34" t="str">
        <f aca="false">IF(W465="","",IFERROR(VLOOKUP(W465,REPS!$A$2:$D$40,3,0),""))</f>
        <v/>
      </c>
      <c r="Y465" s="31" t="str">
        <f aca="false">IF(O465="","",IF(X465="",0,O465*IF(X465&gt;1,X465/100,X465)))</f>
        <v/>
      </c>
      <c r="Z465" s="28"/>
      <c r="AA465" s="34" t="str">
        <f aca="false">IF(Z465="","",IFERROR(VLOOKUP(Z465,REPS!$A$2:$D$40,4,0),""))</f>
        <v/>
      </c>
      <c r="AB465" s="31" t="str">
        <f aca="false">IF(O465="","",IF(AA465="",0,O465*IF(AA465&gt;1,AA465/100,AA465)))</f>
        <v/>
      </c>
      <c r="AC465" s="31" t="str">
        <f aca="false">IF(O465="","",V465+Y465+AB465)</f>
        <v/>
      </c>
      <c r="AD465" s="19" t="str">
        <f aca="false">IF(O465="","",O465-R465-AC465)</f>
        <v/>
      </c>
      <c r="AE465" s="20"/>
      <c r="AF465" s="27"/>
      <c r="AG465" s="21" t="n">
        <f aca="false">IF(OR(AE465="",AE465=0),0,AE465*IF(U465="",0,IF(U465&gt;1,U465/100,U465)))</f>
        <v>0</v>
      </c>
      <c r="AH465" s="21" t="n">
        <f aca="false">IF(OR(AE465="",AE465=0),0,AE465*IF(X465="",0,IF(X465&gt;1,X465/100,X465)))</f>
        <v>0</v>
      </c>
      <c r="AI465" s="21" t="n">
        <f aca="false">IF(OR(AE465="",AE465=0),0,AE465*IF(AA465="",0,IF(AA465&gt;1,AA465/100,AA465)))</f>
        <v>0</v>
      </c>
      <c r="AJ465" s="21" t="n">
        <f aca="false">AG465+AH465+AI465</f>
        <v>0</v>
      </c>
      <c r="AK465" s="21" t="n">
        <f aca="false">IF(OR(AE465="",AE465=0),0,AE465-AJ465)</f>
        <v>0</v>
      </c>
      <c r="AL465" s="19" t="str">
        <f aca="false">IF(AD465="","",AD465-AK465)</f>
        <v/>
      </c>
      <c r="AM465" s="26" t="str">
        <f aca="false">IF(C465="","","Waiting for payment")</f>
        <v/>
      </c>
      <c r="AN465" s="27"/>
      <c r="AO465" s="27"/>
      <c r="AP465" s="35" t="str">
        <f aca="false">IF(OR(C465="",I465="",K465=""),"",IF(K465="Monthly",EDATE(C465,ROUND(I465*SETTINGS!$I$8,0)),WORKDAY(C465,ROUND(I465*SETTINGS!$I$8,0))))</f>
        <v/>
      </c>
      <c r="AQ465" s="26" t="str">
        <f aca="true">IF(C465="","",IF(AND(AP465&lt;&gt;"",TODAY()&gt;=AP465),"Refi Ready",IF(TODAY()-C465&gt;=SETTINGS!$I$11,"Prospecting","Performing")))</f>
        <v/>
      </c>
      <c r="AR465" s="35" t="str">
        <f aca="false">IF(OR(C465="",I465="",K465=""),"",IF(K465="Monthly",EDATE(C465,I465),WORKDAY(C465,I465)))</f>
        <v/>
      </c>
      <c r="AS465" s="28"/>
      <c r="AT465" s="36" t="str">
        <f aca="true">IF(C465="","",IF(AM465="Clawed Back","CLAWED",IF(TODAY()&lt;=C465+SETTINGS!$I$2,"⚠ AT RISK","SAFE")))</f>
        <v/>
      </c>
      <c r="AU465" s="28"/>
      <c r="AW465" s="24" t="n">
        <f aca="false">AW464+IF(AND(C465&lt;&gt;"",AO465&lt;&gt;"",OR('REP COMMISSION'!$B$3="",T465='REP COMMISSION'!$B$3,W465='REP COMMISSION'!$B$3,Z465='REP COMMISSION'!$B$3)),1,0)</f>
        <v>0</v>
      </c>
      <c r="AX465" s="24" t="n">
        <f aca="false">AX464+IF(AND(C465&lt;&gt;"",OR(F465="LOC - INITIAL",F465="CONSOLIDATION - UPFRONT COMM",F465="REVERSE - TOTAL FUNDING")),1,0)</f>
        <v>0</v>
      </c>
    </row>
    <row r="466" customFormat="false" ht="15" hidden="false" customHeight="false" outlineLevel="0" collapsed="false">
      <c r="A466" s="8" t="str">
        <f aca="false">IF(C466&lt;&gt;"","F27-"&amp;COUNT($C$4:C466),"")</f>
        <v/>
      </c>
      <c r="B466" s="9" t="str">
        <f aca="false">IF(OR(F466="LOC - INITIAL",F466="CONSOLIDATION - UPFRONT COMM",F466="REVERSE - TOTAL FUNDING"),A466,"")</f>
        <v/>
      </c>
      <c r="C466" s="10"/>
      <c r="D466" s="11"/>
      <c r="E466" s="11"/>
      <c r="F466" s="11"/>
      <c r="G466" s="12"/>
      <c r="H466" s="13"/>
      <c r="I466" s="11"/>
      <c r="J466" s="14" t="str">
        <f aca="false">IF(AND(G466&lt;&gt;"",H466&lt;&gt;""),G466*H466,"")</f>
        <v/>
      </c>
      <c r="K466" s="11"/>
      <c r="L466" s="15"/>
      <c r="M466" s="15"/>
      <c r="N466" s="14" t="n">
        <f aca="false">IF(OR(G466="",M466=""),0,IF(M466&gt;100,M466,G466*IF(M466&gt;1,M466/100,M466)))</f>
        <v>0</v>
      </c>
      <c r="O466" s="14" t="str">
        <f aca="false">IF(G466="","",G466*IF(L466="",0,IF(L466&gt;1,L466/100,L466))+N466)</f>
        <v/>
      </c>
      <c r="P466" s="11"/>
      <c r="Q466" s="16" t="str">
        <f aca="false">IF(P466="","",IFERROR(VLOOKUP(P466,PARTNERS!$A$2:$B$30,2,0),""))</f>
        <v/>
      </c>
      <c r="R466" s="17" t="str">
        <f aca="false">IF(O466="","",IF(OR(P466="",Q466=""),0,(O466-N466)*IF(Q466&gt;1,Q466/100,Q466)))</f>
        <v/>
      </c>
      <c r="S466" s="14" t="str">
        <f aca="false">IF(O466="","",O466-R466)</f>
        <v/>
      </c>
      <c r="T466" s="11"/>
      <c r="U466" s="18" t="str">
        <f aca="false">IF(T466="","",IFERROR(VLOOKUP(T466,REPS!$A$2:$D$40,2,0),""))</f>
        <v/>
      </c>
      <c r="V466" s="14" t="str">
        <f aca="false">IF(O466="","",IF(U466="",0,O466*IF(U466&gt;1,U466/100,U466)))</f>
        <v/>
      </c>
      <c r="W466" s="11"/>
      <c r="X466" s="18" t="str">
        <f aca="false">IF(W466="","",IFERROR(VLOOKUP(W466,REPS!$A$2:$D$40,3,0),""))</f>
        <v/>
      </c>
      <c r="Y466" s="14" t="str">
        <f aca="false">IF(O466="","",IF(X466="",0,O466*IF(X466&gt;1,X466/100,X466)))</f>
        <v/>
      </c>
      <c r="Z466" s="11"/>
      <c r="AA466" s="18" t="str">
        <f aca="false">IF(Z466="","",IFERROR(VLOOKUP(Z466,REPS!$A$2:$D$40,4,0),""))</f>
        <v/>
      </c>
      <c r="AB466" s="14" t="str">
        <f aca="false">IF(O466="","",IF(AA466="",0,O466*IF(AA466&gt;1,AA466/100,AA466)))</f>
        <v/>
      </c>
      <c r="AC466" s="14" t="str">
        <f aca="false">IF(O466="","",V466+Y466+AB466)</f>
        <v/>
      </c>
      <c r="AD466" s="19" t="str">
        <f aca="false">IF(O466="","",O466-R466-AC466)</f>
        <v/>
      </c>
      <c r="AE466" s="20"/>
      <c r="AF466" s="10"/>
      <c r="AG466" s="21" t="n">
        <f aca="false">IF(OR(AE466="",AE466=0),0,AE466*IF(U466="",0,IF(U466&gt;1,U466/100,U466)))</f>
        <v>0</v>
      </c>
      <c r="AH466" s="21" t="n">
        <f aca="false">IF(OR(AE466="",AE466=0),0,AE466*IF(X466="",0,IF(X466&gt;1,X466/100,X466)))</f>
        <v>0</v>
      </c>
      <c r="AI466" s="21" t="n">
        <f aca="false">IF(OR(AE466="",AE466=0),0,AE466*IF(AA466="",0,IF(AA466&gt;1,AA466/100,AA466)))</f>
        <v>0</v>
      </c>
      <c r="AJ466" s="21" t="n">
        <f aca="false">AG466+AH466+AI466</f>
        <v>0</v>
      </c>
      <c r="AK466" s="21" t="n">
        <f aca="false">IF(OR(AE466="",AE466=0),0,AE466-AJ466)</f>
        <v>0</v>
      </c>
      <c r="AL466" s="19" t="str">
        <f aca="false">IF(AD466="","",AD466-AK466)</f>
        <v/>
      </c>
      <c r="AM466" s="9" t="str">
        <f aca="false">IF(C466="","","Waiting for payment")</f>
        <v/>
      </c>
      <c r="AN466" s="10"/>
      <c r="AO466" s="10"/>
      <c r="AP466" s="22" t="str">
        <f aca="false">IF(OR(C466="",I466="",K466=""),"",IF(K466="Monthly",EDATE(C466,ROUND(I466*SETTINGS!$I$8,0)),WORKDAY(C466,ROUND(I466*SETTINGS!$I$8,0))))</f>
        <v/>
      </c>
      <c r="AQ466" s="9" t="str">
        <f aca="true">IF(C466="","",IF(AND(AP466&lt;&gt;"",TODAY()&gt;=AP466),"Refi Ready",IF(TODAY()-C466&gt;=SETTINGS!$I$11,"Prospecting","Performing")))</f>
        <v/>
      </c>
      <c r="AR466" s="22" t="str">
        <f aca="false">IF(OR(C466="",I466="",K466=""),"",IF(K466="Monthly",EDATE(C466,I466),WORKDAY(C466,I466)))</f>
        <v/>
      </c>
      <c r="AS466" s="11"/>
      <c r="AT466" s="23" t="str">
        <f aca="true">IF(C466="","",IF(AM466="Clawed Back","CLAWED",IF(TODAY()&lt;=C466+SETTINGS!$I$2,"⚠ AT RISK","SAFE")))</f>
        <v/>
      </c>
      <c r="AU466" s="11"/>
      <c r="AW466" s="24" t="n">
        <f aca="false">AW465+IF(AND(C466&lt;&gt;"",AO466&lt;&gt;"",OR('REP COMMISSION'!$B$3="",T466='REP COMMISSION'!$B$3,W466='REP COMMISSION'!$B$3,Z466='REP COMMISSION'!$B$3)),1,0)</f>
        <v>0</v>
      </c>
      <c r="AX466" s="24" t="n">
        <f aca="false">AX465+IF(AND(C466&lt;&gt;"",OR(F466="LOC - INITIAL",F466="CONSOLIDATION - UPFRONT COMM",F466="REVERSE - TOTAL FUNDING")),1,0)</f>
        <v>0</v>
      </c>
    </row>
    <row r="467" customFormat="false" ht="15" hidden="false" customHeight="false" outlineLevel="0" collapsed="false">
      <c r="A467" s="25" t="str">
        <f aca="false">IF(C467&lt;&gt;"","F27-"&amp;COUNT($C$4:C467),"")</f>
        <v/>
      </c>
      <c r="B467" s="26" t="str">
        <f aca="false">IF(OR(F467="LOC - INITIAL",F467="CONSOLIDATION - UPFRONT COMM",F467="REVERSE - TOTAL FUNDING"),A467,"")</f>
        <v/>
      </c>
      <c r="C467" s="27"/>
      <c r="D467" s="28"/>
      <c r="E467" s="28"/>
      <c r="F467" s="28"/>
      <c r="G467" s="29"/>
      <c r="H467" s="30"/>
      <c r="I467" s="28"/>
      <c r="J467" s="31" t="str">
        <f aca="false">IF(AND(G467&lt;&gt;"",H467&lt;&gt;""),G467*H467,"")</f>
        <v/>
      </c>
      <c r="K467" s="28"/>
      <c r="L467" s="32"/>
      <c r="M467" s="32"/>
      <c r="N467" s="31" t="n">
        <f aca="false">IF(OR(G467="",M467=""),0,IF(M467&gt;100,M467,G467*IF(M467&gt;1,M467/100,M467)))</f>
        <v>0</v>
      </c>
      <c r="O467" s="31" t="str">
        <f aca="false">IF(G467="","",G467*IF(L467="",0,IF(L467&gt;1,L467/100,L467))+N467)</f>
        <v/>
      </c>
      <c r="P467" s="28"/>
      <c r="Q467" s="33" t="str">
        <f aca="false">IF(P467="","",IFERROR(VLOOKUP(P467,PARTNERS!$A$2:$B$30,2,0),""))</f>
        <v/>
      </c>
      <c r="R467" s="17" t="str">
        <f aca="false">IF(O467="","",IF(OR(P467="",Q467=""),0,(O467-N467)*IF(Q467&gt;1,Q467/100,Q467)))</f>
        <v/>
      </c>
      <c r="S467" s="31" t="str">
        <f aca="false">IF(O467="","",O467-R467)</f>
        <v/>
      </c>
      <c r="T467" s="28"/>
      <c r="U467" s="34" t="str">
        <f aca="false">IF(T467="","",IFERROR(VLOOKUP(T467,REPS!$A$2:$D$40,2,0),""))</f>
        <v/>
      </c>
      <c r="V467" s="31" t="str">
        <f aca="false">IF(O467="","",IF(U467="",0,O467*IF(U467&gt;1,U467/100,U467)))</f>
        <v/>
      </c>
      <c r="W467" s="28"/>
      <c r="X467" s="34" t="str">
        <f aca="false">IF(W467="","",IFERROR(VLOOKUP(W467,REPS!$A$2:$D$40,3,0),""))</f>
        <v/>
      </c>
      <c r="Y467" s="31" t="str">
        <f aca="false">IF(O467="","",IF(X467="",0,O467*IF(X467&gt;1,X467/100,X467)))</f>
        <v/>
      </c>
      <c r="Z467" s="28"/>
      <c r="AA467" s="34" t="str">
        <f aca="false">IF(Z467="","",IFERROR(VLOOKUP(Z467,REPS!$A$2:$D$40,4,0),""))</f>
        <v/>
      </c>
      <c r="AB467" s="31" t="str">
        <f aca="false">IF(O467="","",IF(AA467="",0,O467*IF(AA467&gt;1,AA467/100,AA467)))</f>
        <v/>
      </c>
      <c r="AC467" s="31" t="str">
        <f aca="false">IF(O467="","",V467+Y467+AB467)</f>
        <v/>
      </c>
      <c r="AD467" s="19" t="str">
        <f aca="false">IF(O467="","",O467-R467-AC467)</f>
        <v/>
      </c>
      <c r="AE467" s="20"/>
      <c r="AF467" s="27"/>
      <c r="AG467" s="21" t="n">
        <f aca="false">IF(OR(AE467="",AE467=0),0,AE467*IF(U467="",0,IF(U467&gt;1,U467/100,U467)))</f>
        <v>0</v>
      </c>
      <c r="AH467" s="21" t="n">
        <f aca="false">IF(OR(AE467="",AE467=0),0,AE467*IF(X467="",0,IF(X467&gt;1,X467/100,X467)))</f>
        <v>0</v>
      </c>
      <c r="AI467" s="21" t="n">
        <f aca="false">IF(OR(AE467="",AE467=0),0,AE467*IF(AA467="",0,IF(AA467&gt;1,AA467/100,AA467)))</f>
        <v>0</v>
      </c>
      <c r="AJ467" s="21" t="n">
        <f aca="false">AG467+AH467+AI467</f>
        <v>0</v>
      </c>
      <c r="AK467" s="21" t="n">
        <f aca="false">IF(OR(AE467="",AE467=0),0,AE467-AJ467)</f>
        <v>0</v>
      </c>
      <c r="AL467" s="19" t="str">
        <f aca="false">IF(AD467="","",AD467-AK467)</f>
        <v/>
      </c>
      <c r="AM467" s="26" t="str">
        <f aca="false">IF(C467="","","Waiting for payment")</f>
        <v/>
      </c>
      <c r="AN467" s="27"/>
      <c r="AO467" s="27"/>
      <c r="AP467" s="35" t="str">
        <f aca="false">IF(OR(C467="",I467="",K467=""),"",IF(K467="Monthly",EDATE(C467,ROUND(I467*SETTINGS!$I$8,0)),WORKDAY(C467,ROUND(I467*SETTINGS!$I$8,0))))</f>
        <v/>
      </c>
      <c r="AQ467" s="26" t="str">
        <f aca="true">IF(C467="","",IF(AND(AP467&lt;&gt;"",TODAY()&gt;=AP467),"Refi Ready",IF(TODAY()-C467&gt;=SETTINGS!$I$11,"Prospecting","Performing")))</f>
        <v/>
      </c>
      <c r="AR467" s="35" t="str">
        <f aca="false">IF(OR(C467="",I467="",K467=""),"",IF(K467="Monthly",EDATE(C467,I467),WORKDAY(C467,I467)))</f>
        <v/>
      </c>
      <c r="AS467" s="28"/>
      <c r="AT467" s="36" t="str">
        <f aca="true">IF(C467="","",IF(AM467="Clawed Back","CLAWED",IF(TODAY()&lt;=C467+SETTINGS!$I$2,"⚠ AT RISK","SAFE")))</f>
        <v/>
      </c>
      <c r="AU467" s="28"/>
      <c r="AW467" s="24" t="n">
        <f aca="false">AW466+IF(AND(C467&lt;&gt;"",AO467&lt;&gt;"",OR('REP COMMISSION'!$B$3="",T467='REP COMMISSION'!$B$3,W467='REP COMMISSION'!$B$3,Z467='REP COMMISSION'!$B$3)),1,0)</f>
        <v>0</v>
      </c>
      <c r="AX467" s="24" t="n">
        <f aca="false">AX466+IF(AND(C467&lt;&gt;"",OR(F467="LOC - INITIAL",F467="CONSOLIDATION - UPFRONT COMM",F467="REVERSE - TOTAL FUNDING")),1,0)</f>
        <v>0</v>
      </c>
    </row>
    <row r="468" customFormat="false" ht="15" hidden="false" customHeight="false" outlineLevel="0" collapsed="false">
      <c r="A468" s="8" t="str">
        <f aca="false">IF(C468&lt;&gt;"","F27-"&amp;COUNT($C$4:C468),"")</f>
        <v/>
      </c>
      <c r="B468" s="9" t="str">
        <f aca="false">IF(OR(F468="LOC - INITIAL",F468="CONSOLIDATION - UPFRONT COMM",F468="REVERSE - TOTAL FUNDING"),A468,"")</f>
        <v/>
      </c>
      <c r="C468" s="10"/>
      <c r="D468" s="11"/>
      <c r="E468" s="11"/>
      <c r="F468" s="11"/>
      <c r="G468" s="12"/>
      <c r="H468" s="13"/>
      <c r="I468" s="11"/>
      <c r="J468" s="14" t="str">
        <f aca="false">IF(AND(G468&lt;&gt;"",H468&lt;&gt;""),G468*H468,"")</f>
        <v/>
      </c>
      <c r="K468" s="11"/>
      <c r="L468" s="15"/>
      <c r="M468" s="15"/>
      <c r="N468" s="14" t="n">
        <f aca="false">IF(OR(G468="",M468=""),0,IF(M468&gt;100,M468,G468*IF(M468&gt;1,M468/100,M468)))</f>
        <v>0</v>
      </c>
      <c r="O468" s="14" t="str">
        <f aca="false">IF(G468="","",G468*IF(L468="",0,IF(L468&gt;1,L468/100,L468))+N468)</f>
        <v/>
      </c>
      <c r="P468" s="11"/>
      <c r="Q468" s="16" t="str">
        <f aca="false">IF(P468="","",IFERROR(VLOOKUP(P468,PARTNERS!$A$2:$B$30,2,0),""))</f>
        <v/>
      </c>
      <c r="R468" s="17" t="str">
        <f aca="false">IF(O468="","",IF(OR(P468="",Q468=""),0,(O468-N468)*IF(Q468&gt;1,Q468/100,Q468)))</f>
        <v/>
      </c>
      <c r="S468" s="14" t="str">
        <f aca="false">IF(O468="","",O468-R468)</f>
        <v/>
      </c>
      <c r="T468" s="11"/>
      <c r="U468" s="18" t="str">
        <f aca="false">IF(T468="","",IFERROR(VLOOKUP(T468,REPS!$A$2:$D$40,2,0),""))</f>
        <v/>
      </c>
      <c r="V468" s="14" t="str">
        <f aca="false">IF(O468="","",IF(U468="",0,O468*IF(U468&gt;1,U468/100,U468)))</f>
        <v/>
      </c>
      <c r="W468" s="11"/>
      <c r="X468" s="18" t="str">
        <f aca="false">IF(W468="","",IFERROR(VLOOKUP(W468,REPS!$A$2:$D$40,3,0),""))</f>
        <v/>
      </c>
      <c r="Y468" s="14" t="str">
        <f aca="false">IF(O468="","",IF(X468="",0,O468*IF(X468&gt;1,X468/100,X468)))</f>
        <v/>
      </c>
      <c r="Z468" s="11"/>
      <c r="AA468" s="18" t="str">
        <f aca="false">IF(Z468="","",IFERROR(VLOOKUP(Z468,REPS!$A$2:$D$40,4,0),""))</f>
        <v/>
      </c>
      <c r="AB468" s="14" t="str">
        <f aca="false">IF(O468="","",IF(AA468="",0,O468*IF(AA468&gt;1,AA468/100,AA468)))</f>
        <v/>
      </c>
      <c r="AC468" s="14" t="str">
        <f aca="false">IF(O468="","",V468+Y468+AB468)</f>
        <v/>
      </c>
      <c r="AD468" s="19" t="str">
        <f aca="false">IF(O468="","",O468-R468-AC468)</f>
        <v/>
      </c>
      <c r="AE468" s="20"/>
      <c r="AF468" s="10"/>
      <c r="AG468" s="21" t="n">
        <f aca="false">IF(OR(AE468="",AE468=0),0,AE468*IF(U468="",0,IF(U468&gt;1,U468/100,U468)))</f>
        <v>0</v>
      </c>
      <c r="AH468" s="21" t="n">
        <f aca="false">IF(OR(AE468="",AE468=0),0,AE468*IF(X468="",0,IF(X468&gt;1,X468/100,X468)))</f>
        <v>0</v>
      </c>
      <c r="AI468" s="21" t="n">
        <f aca="false">IF(OR(AE468="",AE468=0),0,AE468*IF(AA468="",0,IF(AA468&gt;1,AA468/100,AA468)))</f>
        <v>0</v>
      </c>
      <c r="AJ468" s="21" t="n">
        <f aca="false">AG468+AH468+AI468</f>
        <v>0</v>
      </c>
      <c r="AK468" s="21" t="n">
        <f aca="false">IF(OR(AE468="",AE468=0),0,AE468-AJ468)</f>
        <v>0</v>
      </c>
      <c r="AL468" s="19" t="str">
        <f aca="false">IF(AD468="","",AD468-AK468)</f>
        <v/>
      </c>
      <c r="AM468" s="9" t="str">
        <f aca="false">IF(C468="","","Waiting for payment")</f>
        <v/>
      </c>
      <c r="AN468" s="10"/>
      <c r="AO468" s="10"/>
      <c r="AP468" s="22" t="str">
        <f aca="false">IF(OR(C468="",I468="",K468=""),"",IF(K468="Monthly",EDATE(C468,ROUND(I468*SETTINGS!$I$8,0)),WORKDAY(C468,ROUND(I468*SETTINGS!$I$8,0))))</f>
        <v/>
      </c>
      <c r="AQ468" s="9" t="str">
        <f aca="true">IF(C468="","",IF(AND(AP468&lt;&gt;"",TODAY()&gt;=AP468),"Refi Ready",IF(TODAY()-C468&gt;=SETTINGS!$I$11,"Prospecting","Performing")))</f>
        <v/>
      </c>
      <c r="AR468" s="22" t="str">
        <f aca="false">IF(OR(C468="",I468="",K468=""),"",IF(K468="Monthly",EDATE(C468,I468),WORKDAY(C468,I468)))</f>
        <v/>
      </c>
      <c r="AS468" s="11"/>
      <c r="AT468" s="23" t="str">
        <f aca="true">IF(C468="","",IF(AM468="Clawed Back","CLAWED",IF(TODAY()&lt;=C468+SETTINGS!$I$2,"⚠ AT RISK","SAFE")))</f>
        <v/>
      </c>
      <c r="AU468" s="11"/>
      <c r="AW468" s="24" t="n">
        <f aca="false">AW467+IF(AND(C468&lt;&gt;"",AO468&lt;&gt;"",OR('REP COMMISSION'!$B$3="",T468='REP COMMISSION'!$B$3,W468='REP COMMISSION'!$B$3,Z468='REP COMMISSION'!$B$3)),1,0)</f>
        <v>0</v>
      </c>
      <c r="AX468" s="24" t="n">
        <f aca="false">AX467+IF(AND(C468&lt;&gt;"",OR(F468="LOC - INITIAL",F468="CONSOLIDATION - UPFRONT COMM",F468="REVERSE - TOTAL FUNDING")),1,0)</f>
        <v>0</v>
      </c>
    </row>
    <row r="469" customFormat="false" ht="15" hidden="false" customHeight="false" outlineLevel="0" collapsed="false">
      <c r="A469" s="25" t="str">
        <f aca="false">IF(C469&lt;&gt;"","F27-"&amp;COUNT($C$4:C469),"")</f>
        <v/>
      </c>
      <c r="B469" s="26" t="str">
        <f aca="false">IF(OR(F469="LOC - INITIAL",F469="CONSOLIDATION - UPFRONT COMM",F469="REVERSE - TOTAL FUNDING"),A469,"")</f>
        <v/>
      </c>
      <c r="C469" s="27"/>
      <c r="D469" s="28"/>
      <c r="E469" s="28"/>
      <c r="F469" s="28"/>
      <c r="G469" s="29"/>
      <c r="H469" s="30"/>
      <c r="I469" s="28"/>
      <c r="J469" s="31" t="str">
        <f aca="false">IF(AND(G469&lt;&gt;"",H469&lt;&gt;""),G469*H469,"")</f>
        <v/>
      </c>
      <c r="K469" s="28"/>
      <c r="L469" s="32"/>
      <c r="M469" s="32"/>
      <c r="N469" s="31" t="n">
        <f aca="false">IF(OR(G469="",M469=""),0,IF(M469&gt;100,M469,G469*IF(M469&gt;1,M469/100,M469)))</f>
        <v>0</v>
      </c>
      <c r="O469" s="31" t="str">
        <f aca="false">IF(G469="","",G469*IF(L469="",0,IF(L469&gt;1,L469/100,L469))+N469)</f>
        <v/>
      </c>
      <c r="P469" s="28"/>
      <c r="Q469" s="33" t="str">
        <f aca="false">IF(P469="","",IFERROR(VLOOKUP(P469,PARTNERS!$A$2:$B$30,2,0),""))</f>
        <v/>
      </c>
      <c r="R469" s="17" t="str">
        <f aca="false">IF(O469="","",IF(OR(P469="",Q469=""),0,(O469-N469)*IF(Q469&gt;1,Q469/100,Q469)))</f>
        <v/>
      </c>
      <c r="S469" s="31" t="str">
        <f aca="false">IF(O469="","",O469-R469)</f>
        <v/>
      </c>
      <c r="T469" s="28"/>
      <c r="U469" s="34" t="str">
        <f aca="false">IF(T469="","",IFERROR(VLOOKUP(T469,REPS!$A$2:$D$40,2,0),""))</f>
        <v/>
      </c>
      <c r="V469" s="31" t="str">
        <f aca="false">IF(O469="","",IF(U469="",0,O469*IF(U469&gt;1,U469/100,U469)))</f>
        <v/>
      </c>
      <c r="W469" s="28"/>
      <c r="X469" s="34" t="str">
        <f aca="false">IF(W469="","",IFERROR(VLOOKUP(W469,REPS!$A$2:$D$40,3,0),""))</f>
        <v/>
      </c>
      <c r="Y469" s="31" t="str">
        <f aca="false">IF(O469="","",IF(X469="",0,O469*IF(X469&gt;1,X469/100,X469)))</f>
        <v/>
      </c>
      <c r="Z469" s="28"/>
      <c r="AA469" s="34" t="str">
        <f aca="false">IF(Z469="","",IFERROR(VLOOKUP(Z469,REPS!$A$2:$D$40,4,0),""))</f>
        <v/>
      </c>
      <c r="AB469" s="31" t="str">
        <f aca="false">IF(O469="","",IF(AA469="",0,O469*IF(AA469&gt;1,AA469/100,AA469)))</f>
        <v/>
      </c>
      <c r="AC469" s="31" t="str">
        <f aca="false">IF(O469="","",V469+Y469+AB469)</f>
        <v/>
      </c>
      <c r="AD469" s="19" t="str">
        <f aca="false">IF(O469="","",O469-R469-AC469)</f>
        <v/>
      </c>
      <c r="AE469" s="20"/>
      <c r="AF469" s="27"/>
      <c r="AG469" s="21" t="n">
        <f aca="false">IF(OR(AE469="",AE469=0),0,AE469*IF(U469="",0,IF(U469&gt;1,U469/100,U469)))</f>
        <v>0</v>
      </c>
      <c r="AH469" s="21" t="n">
        <f aca="false">IF(OR(AE469="",AE469=0),0,AE469*IF(X469="",0,IF(X469&gt;1,X469/100,X469)))</f>
        <v>0</v>
      </c>
      <c r="AI469" s="21" t="n">
        <f aca="false">IF(OR(AE469="",AE469=0),0,AE469*IF(AA469="",0,IF(AA469&gt;1,AA469/100,AA469)))</f>
        <v>0</v>
      </c>
      <c r="AJ469" s="21" t="n">
        <f aca="false">AG469+AH469+AI469</f>
        <v>0</v>
      </c>
      <c r="AK469" s="21" t="n">
        <f aca="false">IF(OR(AE469="",AE469=0),0,AE469-AJ469)</f>
        <v>0</v>
      </c>
      <c r="AL469" s="19" t="str">
        <f aca="false">IF(AD469="","",AD469-AK469)</f>
        <v/>
      </c>
      <c r="AM469" s="26" t="str">
        <f aca="false">IF(C469="","","Waiting for payment")</f>
        <v/>
      </c>
      <c r="AN469" s="27"/>
      <c r="AO469" s="27"/>
      <c r="AP469" s="35" t="str">
        <f aca="false">IF(OR(C469="",I469="",K469=""),"",IF(K469="Monthly",EDATE(C469,ROUND(I469*SETTINGS!$I$8,0)),WORKDAY(C469,ROUND(I469*SETTINGS!$I$8,0))))</f>
        <v/>
      </c>
      <c r="AQ469" s="26" t="str">
        <f aca="true">IF(C469="","",IF(AND(AP469&lt;&gt;"",TODAY()&gt;=AP469),"Refi Ready",IF(TODAY()-C469&gt;=SETTINGS!$I$11,"Prospecting","Performing")))</f>
        <v/>
      </c>
      <c r="AR469" s="35" t="str">
        <f aca="false">IF(OR(C469="",I469="",K469=""),"",IF(K469="Monthly",EDATE(C469,I469),WORKDAY(C469,I469)))</f>
        <v/>
      </c>
      <c r="AS469" s="28"/>
      <c r="AT469" s="36" t="str">
        <f aca="true">IF(C469="","",IF(AM469="Clawed Back","CLAWED",IF(TODAY()&lt;=C469+SETTINGS!$I$2,"⚠ AT RISK","SAFE")))</f>
        <v/>
      </c>
      <c r="AU469" s="28"/>
      <c r="AW469" s="24" t="n">
        <f aca="false">AW468+IF(AND(C469&lt;&gt;"",AO469&lt;&gt;"",OR('REP COMMISSION'!$B$3="",T469='REP COMMISSION'!$B$3,W469='REP COMMISSION'!$B$3,Z469='REP COMMISSION'!$B$3)),1,0)</f>
        <v>0</v>
      </c>
      <c r="AX469" s="24" t="n">
        <f aca="false">AX468+IF(AND(C469&lt;&gt;"",OR(F469="LOC - INITIAL",F469="CONSOLIDATION - UPFRONT COMM",F469="REVERSE - TOTAL FUNDING")),1,0)</f>
        <v>0</v>
      </c>
    </row>
    <row r="470" customFormat="false" ht="15" hidden="false" customHeight="false" outlineLevel="0" collapsed="false">
      <c r="A470" s="8" t="str">
        <f aca="false">IF(C470&lt;&gt;"","F27-"&amp;COUNT($C$4:C470),"")</f>
        <v/>
      </c>
      <c r="B470" s="9" t="str">
        <f aca="false">IF(OR(F470="LOC - INITIAL",F470="CONSOLIDATION - UPFRONT COMM",F470="REVERSE - TOTAL FUNDING"),A470,"")</f>
        <v/>
      </c>
      <c r="C470" s="10"/>
      <c r="D470" s="11"/>
      <c r="E470" s="11"/>
      <c r="F470" s="11"/>
      <c r="G470" s="12"/>
      <c r="H470" s="13"/>
      <c r="I470" s="11"/>
      <c r="J470" s="14" t="str">
        <f aca="false">IF(AND(G470&lt;&gt;"",H470&lt;&gt;""),G470*H470,"")</f>
        <v/>
      </c>
      <c r="K470" s="11"/>
      <c r="L470" s="15"/>
      <c r="M470" s="15"/>
      <c r="N470" s="14" t="n">
        <f aca="false">IF(OR(G470="",M470=""),0,IF(M470&gt;100,M470,G470*IF(M470&gt;1,M470/100,M470)))</f>
        <v>0</v>
      </c>
      <c r="O470" s="14" t="str">
        <f aca="false">IF(G470="","",G470*IF(L470="",0,IF(L470&gt;1,L470/100,L470))+N470)</f>
        <v/>
      </c>
      <c r="P470" s="11"/>
      <c r="Q470" s="16" t="str">
        <f aca="false">IF(P470="","",IFERROR(VLOOKUP(P470,PARTNERS!$A$2:$B$30,2,0),""))</f>
        <v/>
      </c>
      <c r="R470" s="17" t="str">
        <f aca="false">IF(O470="","",IF(OR(P470="",Q470=""),0,(O470-N470)*IF(Q470&gt;1,Q470/100,Q470)))</f>
        <v/>
      </c>
      <c r="S470" s="14" t="str">
        <f aca="false">IF(O470="","",O470-R470)</f>
        <v/>
      </c>
      <c r="T470" s="11"/>
      <c r="U470" s="18" t="str">
        <f aca="false">IF(T470="","",IFERROR(VLOOKUP(T470,REPS!$A$2:$D$40,2,0),""))</f>
        <v/>
      </c>
      <c r="V470" s="14" t="str">
        <f aca="false">IF(O470="","",IF(U470="",0,O470*IF(U470&gt;1,U470/100,U470)))</f>
        <v/>
      </c>
      <c r="W470" s="11"/>
      <c r="X470" s="18" t="str">
        <f aca="false">IF(W470="","",IFERROR(VLOOKUP(W470,REPS!$A$2:$D$40,3,0),""))</f>
        <v/>
      </c>
      <c r="Y470" s="14" t="str">
        <f aca="false">IF(O470="","",IF(X470="",0,O470*IF(X470&gt;1,X470/100,X470)))</f>
        <v/>
      </c>
      <c r="Z470" s="11"/>
      <c r="AA470" s="18" t="str">
        <f aca="false">IF(Z470="","",IFERROR(VLOOKUP(Z470,REPS!$A$2:$D$40,4,0),""))</f>
        <v/>
      </c>
      <c r="AB470" s="14" t="str">
        <f aca="false">IF(O470="","",IF(AA470="",0,O470*IF(AA470&gt;1,AA470/100,AA470)))</f>
        <v/>
      </c>
      <c r="AC470" s="14" t="str">
        <f aca="false">IF(O470="","",V470+Y470+AB470)</f>
        <v/>
      </c>
      <c r="AD470" s="19" t="str">
        <f aca="false">IF(O470="","",O470-R470-AC470)</f>
        <v/>
      </c>
      <c r="AE470" s="20"/>
      <c r="AF470" s="10"/>
      <c r="AG470" s="21" t="n">
        <f aca="false">IF(OR(AE470="",AE470=0),0,AE470*IF(U470="",0,IF(U470&gt;1,U470/100,U470)))</f>
        <v>0</v>
      </c>
      <c r="AH470" s="21" t="n">
        <f aca="false">IF(OR(AE470="",AE470=0),0,AE470*IF(X470="",0,IF(X470&gt;1,X470/100,X470)))</f>
        <v>0</v>
      </c>
      <c r="AI470" s="21" t="n">
        <f aca="false">IF(OR(AE470="",AE470=0),0,AE470*IF(AA470="",0,IF(AA470&gt;1,AA470/100,AA470)))</f>
        <v>0</v>
      </c>
      <c r="AJ470" s="21" t="n">
        <f aca="false">AG470+AH470+AI470</f>
        <v>0</v>
      </c>
      <c r="AK470" s="21" t="n">
        <f aca="false">IF(OR(AE470="",AE470=0),0,AE470-AJ470)</f>
        <v>0</v>
      </c>
      <c r="AL470" s="19" t="str">
        <f aca="false">IF(AD470="","",AD470-AK470)</f>
        <v/>
      </c>
      <c r="AM470" s="9" t="str">
        <f aca="false">IF(C470="","","Waiting for payment")</f>
        <v/>
      </c>
      <c r="AN470" s="10"/>
      <c r="AO470" s="10"/>
      <c r="AP470" s="22" t="str">
        <f aca="false">IF(OR(C470="",I470="",K470=""),"",IF(K470="Monthly",EDATE(C470,ROUND(I470*SETTINGS!$I$8,0)),WORKDAY(C470,ROUND(I470*SETTINGS!$I$8,0))))</f>
        <v/>
      </c>
      <c r="AQ470" s="9" t="str">
        <f aca="true">IF(C470="","",IF(AND(AP470&lt;&gt;"",TODAY()&gt;=AP470),"Refi Ready",IF(TODAY()-C470&gt;=SETTINGS!$I$11,"Prospecting","Performing")))</f>
        <v/>
      </c>
      <c r="AR470" s="22" t="str">
        <f aca="false">IF(OR(C470="",I470="",K470=""),"",IF(K470="Monthly",EDATE(C470,I470),WORKDAY(C470,I470)))</f>
        <v/>
      </c>
      <c r="AS470" s="11"/>
      <c r="AT470" s="23" t="str">
        <f aca="true">IF(C470="","",IF(AM470="Clawed Back","CLAWED",IF(TODAY()&lt;=C470+SETTINGS!$I$2,"⚠ AT RISK","SAFE")))</f>
        <v/>
      </c>
      <c r="AU470" s="11"/>
      <c r="AW470" s="24" t="n">
        <f aca="false">AW469+IF(AND(C470&lt;&gt;"",AO470&lt;&gt;"",OR('REP COMMISSION'!$B$3="",T470='REP COMMISSION'!$B$3,W470='REP COMMISSION'!$B$3,Z470='REP COMMISSION'!$B$3)),1,0)</f>
        <v>0</v>
      </c>
      <c r="AX470" s="24" t="n">
        <f aca="false">AX469+IF(AND(C470&lt;&gt;"",OR(F470="LOC - INITIAL",F470="CONSOLIDATION - UPFRONT COMM",F470="REVERSE - TOTAL FUNDING")),1,0)</f>
        <v>0</v>
      </c>
    </row>
    <row r="471" customFormat="false" ht="15" hidden="false" customHeight="false" outlineLevel="0" collapsed="false">
      <c r="A471" s="25" t="str">
        <f aca="false">IF(C471&lt;&gt;"","F27-"&amp;COUNT($C$4:C471),"")</f>
        <v/>
      </c>
      <c r="B471" s="26" t="str">
        <f aca="false">IF(OR(F471="LOC - INITIAL",F471="CONSOLIDATION - UPFRONT COMM",F471="REVERSE - TOTAL FUNDING"),A471,"")</f>
        <v/>
      </c>
      <c r="C471" s="27"/>
      <c r="D471" s="28"/>
      <c r="E471" s="28"/>
      <c r="F471" s="28"/>
      <c r="G471" s="29"/>
      <c r="H471" s="30"/>
      <c r="I471" s="28"/>
      <c r="J471" s="31" t="str">
        <f aca="false">IF(AND(G471&lt;&gt;"",H471&lt;&gt;""),G471*H471,"")</f>
        <v/>
      </c>
      <c r="K471" s="28"/>
      <c r="L471" s="32"/>
      <c r="M471" s="32"/>
      <c r="N471" s="31" t="n">
        <f aca="false">IF(OR(G471="",M471=""),0,IF(M471&gt;100,M471,G471*IF(M471&gt;1,M471/100,M471)))</f>
        <v>0</v>
      </c>
      <c r="O471" s="31" t="str">
        <f aca="false">IF(G471="","",G471*IF(L471="",0,IF(L471&gt;1,L471/100,L471))+N471)</f>
        <v/>
      </c>
      <c r="P471" s="28"/>
      <c r="Q471" s="33" t="str">
        <f aca="false">IF(P471="","",IFERROR(VLOOKUP(P471,PARTNERS!$A$2:$B$30,2,0),""))</f>
        <v/>
      </c>
      <c r="R471" s="17" t="str">
        <f aca="false">IF(O471="","",IF(OR(P471="",Q471=""),0,(O471-N471)*IF(Q471&gt;1,Q471/100,Q471)))</f>
        <v/>
      </c>
      <c r="S471" s="31" t="str">
        <f aca="false">IF(O471="","",O471-R471)</f>
        <v/>
      </c>
      <c r="T471" s="28"/>
      <c r="U471" s="34" t="str">
        <f aca="false">IF(T471="","",IFERROR(VLOOKUP(T471,REPS!$A$2:$D$40,2,0),""))</f>
        <v/>
      </c>
      <c r="V471" s="31" t="str">
        <f aca="false">IF(O471="","",IF(U471="",0,O471*IF(U471&gt;1,U471/100,U471)))</f>
        <v/>
      </c>
      <c r="W471" s="28"/>
      <c r="X471" s="34" t="str">
        <f aca="false">IF(W471="","",IFERROR(VLOOKUP(W471,REPS!$A$2:$D$40,3,0),""))</f>
        <v/>
      </c>
      <c r="Y471" s="31" t="str">
        <f aca="false">IF(O471="","",IF(X471="",0,O471*IF(X471&gt;1,X471/100,X471)))</f>
        <v/>
      </c>
      <c r="Z471" s="28"/>
      <c r="AA471" s="34" t="str">
        <f aca="false">IF(Z471="","",IFERROR(VLOOKUP(Z471,REPS!$A$2:$D$40,4,0),""))</f>
        <v/>
      </c>
      <c r="AB471" s="31" t="str">
        <f aca="false">IF(O471="","",IF(AA471="",0,O471*IF(AA471&gt;1,AA471/100,AA471)))</f>
        <v/>
      </c>
      <c r="AC471" s="31" t="str">
        <f aca="false">IF(O471="","",V471+Y471+AB471)</f>
        <v/>
      </c>
      <c r="AD471" s="19" t="str">
        <f aca="false">IF(O471="","",O471-R471-AC471)</f>
        <v/>
      </c>
      <c r="AE471" s="20"/>
      <c r="AF471" s="27"/>
      <c r="AG471" s="21" t="n">
        <f aca="false">IF(OR(AE471="",AE471=0),0,AE471*IF(U471="",0,IF(U471&gt;1,U471/100,U471)))</f>
        <v>0</v>
      </c>
      <c r="AH471" s="21" t="n">
        <f aca="false">IF(OR(AE471="",AE471=0),0,AE471*IF(X471="",0,IF(X471&gt;1,X471/100,X471)))</f>
        <v>0</v>
      </c>
      <c r="AI471" s="21" t="n">
        <f aca="false">IF(OR(AE471="",AE471=0),0,AE471*IF(AA471="",0,IF(AA471&gt;1,AA471/100,AA471)))</f>
        <v>0</v>
      </c>
      <c r="AJ471" s="21" t="n">
        <f aca="false">AG471+AH471+AI471</f>
        <v>0</v>
      </c>
      <c r="AK471" s="21" t="n">
        <f aca="false">IF(OR(AE471="",AE471=0),0,AE471-AJ471)</f>
        <v>0</v>
      </c>
      <c r="AL471" s="19" t="str">
        <f aca="false">IF(AD471="","",AD471-AK471)</f>
        <v/>
      </c>
      <c r="AM471" s="26" t="str">
        <f aca="false">IF(C471="","","Waiting for payment")</f>
        <v/>
      </c>
      <c r="AN471" s="27"/>
      <c r="AO471" s="27"/>
      <c r="AP471" s="35" t="str">
        <f aca="false">IF(OR(C471="",I471="",K471=""),"",IF(K471="Monthly",EDATE(C471,ROUND(I471*SETTINGS!$I$8,0)),WORKDAY(C471,ROUND(I471*SETTINGS!$I$8,0))))</f>
        <v/>
      </c>
      <c r="AQ471" s="26" t="str">
        <f aca="true">IF(C471="","",IF(AND(AP471&lt;&gt;"",TODAY()&gt;=AP471),"Refi Ready",IF(TODAY()-C471&gt;=SETTINGS!$I$11,"Prospecting","Performing")))</f>
        <v/>
      </c>
      <c r="AR471" s="35" t="str">
        <f aca="false">IF(OR(C471="",I471="",K471=""),"",IF(K471="Monthly",EDATE(C471,I471),WORKDAY(C471,I471)))</f>
        <v/>
      </c>
      <c r="AS471" s="28"/>
      <c r="AT471" s="36" t="str">
        <f aca="true">IF(C471="","",IF(AM471="Clawed Back","CLAWED",IF(TODAY()&lt;=C471+SETTINGS!$I$2,"⚠ AT RISK","SAFE")))</f>
        <v/>
      </c>
      <c r="AU471" s="28"/>
      <c r="AW471" s="24" t="n">
        <f aca="false">AW470+IF(AND(C471&lt;&gt;"",AO471&lt;&gt;"",OR('REP COMMISSION'!$B$3="",T471='REP COMMISSION'!$B$3,W471='REP COMMISSION'!$B$3,Z471='REP COMMISSION'!$B$3)),1,0)</f>
        <v>0</v>
      </c>
      <c r="AX471" s="24" t="n">
        <f aca="false">AX470+IF(AND(C471&lt;&gt;"",OR(F471="LOC - INITIAL",F471="CONSOLIDATION - UPFRONT COMM",F471="REVERSE - TOTAL FUNDING")),1,0)</f>
        <v>0</v>
      </c>
    </row>
    <row r="472" customFormat="false" ht="15" hidden="false" customHeight="false" outlineLevel="0" collapsed="false">
      <c r="A472" s="8" t="str">
        <f aca="false">IF(C472&lt;&gt;"","F27-"&amp;COUNT($C$4:C472),"")</f>
        <v/>
      </c>
      <c r="B472" s="9" t="str">
        <f aca="false">IF(OR(F472="LOC - INITIAL",F472="CONSOLIDATION - UPFRONT COMM",F472="REVERSE - TOTAL FUNDING"),A472,"")</f>
        <v/>
      </c>
      <c r="C472" s="10"/>
      <c r="D472" s="11"/>
      <c r="E472" s="11"/>
      <c r="F472" s="11"/>
      <c r="G472" s="12"/>
      <c r="H472" s="13"/>
      <c r="I472" s="11"/>
      <c r="J472" s="14" t="str">
        <f aca="false">IF(AND(G472&lt;&gt;"",H472&lt;&gt;""),G472*H472,"")</f>
        <v/>
      </c>
      <c r="K472" s="11"/>
      <c r="L472" s="15"/>
      <c r="M472" s="15"/>
      <c r="N472" s="14" t="n">
        <f aca="false">IF(OR(G472="",M472=""),0,IF(M472&gt;100,M472,G472*IF(M472&gt;1,M472/100,M472)))</f>
        <v>0</v>
      </c>
      <c r="O472" s="14" t="str">
        <f aca="false">IF(G472="","",G472*IF(L472="",0,IF(L472&gt;1,L472/100,L472))+N472)</f>
        <v/>
      </c>
      <c r="P472" s="11"/>
      <c r="Q472" s="16" t="str">
        <f aca="false">IF(P472="","",IFERROR(VLOOKUP(P472,PARTNERS!$A$2:$B$30,2,0),""))</f>
        <v/>
      </c>
      <c r="R472" s="17" t="str">
        <f aca="false">IF(O472="","",IF(OR(P472="",Q472=""),0,(O472-N472)*IF(Q472&gt;1,Q472/100,Q472)))</f>
        <v/>
      </c>
      <c r="S472" s="14" t="str">
        <f aca="false">IF(O472="","",O472-R472)</f>
        <v/>
      </c>
      <c r="T472" s="11"/>
      <c r="U472" s="18" t="str">
        <f aca="false">IF(T472="","",IFERROR(VLOOKUP(T472,REPS!$A$2:$D$40,2,0),""))</f>
        <v/>
      </c>
      <c r="V472" s="14" t="str">
        <f aca="false">IF(O472="","",IF(U472="",0,O472*IF(U472&gt;1,U472/100,U472)))</f>
        <v/>
      </c>
      <c r="W472" s="11"/>
      <c r="X472" s="18" t="str">
        <f aca="false">IF(W472="","",IFERROR(VLOOKUP(W472,REPS!$A$2:$D$40,3,0),""))</f>
        <v/>
      </c>
      <c r="Y472" s="14" t="str">
        <f aca="false">IF(O472="","",IF(X472="",0,O472*IF(X472&gt;1,X472/100,X472)))</f>
        <v/>
      </c>
      <c r="Z472" s="11"/>
      <c r="AA472" s="18" t="str">
        <f aca="false">IF(Z472="","",IFERROR(VLOOKUP(Z472,REPS!$A$2:$D$40,4,0),""))</f>
        <v/>
      </c>
      <c r="AB472" s="14" t="str">
        <f aca="false">IF(O472="","",IF(AA472="",0,O472*IF(AA472&gt;1,AA472/100,AA472)))</f>
        <v/>
      </c>
      <c r="AC472" s="14" t="str">
        <f aca="false">IF(O472="","",V472+Y472+AB472)</f>
        <v/>
      </c>
      <c r="AD472" s="19" t="str">
        <f aca="false">IF(O472="","",O472-R472-AC472)</f>
        <v/>
      </c>
      <c r="AE472" s="20"/>
      <c r="AF472" s="10"/>
      <c r="AG472" s="21" t="n">
        <f aca="false">IF(OR(AE472="",AE472=0),0,AE472*IF(U472="",0,IF(U472&gt;1,U472/100,U472)))</f>
        <v>0</v>
      </c>
      <c r="AH472" s="21" t="n">
        <f aca="false">IF(OR(AE472="",AE472=0),0,AE472*IF(X472="",0,IF(X472&gt;1,X472/100,X472)))</f>
        <v>0</v>
      </c>
      <c r="AI472" s="21" t="n">
        <f aca="false">IF(OR(AE472="",AE472=0),0,AE472*IF(AA472="",0,IF(AA472&gt;1,AA472/100,AA472)))</f>
        <v>0</v>
      </c>
      <c r="AJ472" s="21" t="n">
        <f aca="false">AG472+AH472+AI472</f>
        <v>0</v>
      </c>
      <c r="AK472" s="21" t="n">
        <f aca="false">IF(OR(AE472="",AE472=0),0,AE472-AJ472)</f>
        <v>0</v>
      </c>
      <c r="AL472" s="19" t="str">
        <f aca="false">IF(AD472="","",AD472-AK472)</f>
        <v/>
      </c>
      <c r="AM472" s="9" t="str">
        <f aca="false">IF(C472="","","Waiting for payment")</f>
        <v/>
      </c>
      <c r="AN472" s="10"/>
      <c r="AO472" s="10"/>
      <c r="AP472" s="22" t="str">
        <f aca="false">IF(OR(C472="",I472="",K472=""),"",IF(K472="Monthly",EDATE(C472,ROUND(I472*SETTINGS!$I$8,0)),WORKDAY(C472,ROUND(I472*SETTINGS!$I$8,0))))</f>
        <v/>
      </c>
      <c r="AQ472" s="9" t="str">
        <f aca="true">IF(C472="","",IF(AND(AP472&lt;&gt;"",TODAY()&gt;=AP472),"Refi Ready",IF(TODAY()-C472&gt;=SETTINGS!$I$11,"Prospecting","Performing")))</f>
        <v/>
      </c>
      <c r="AR472" s="22" t="str">
        <f aca="false">IF(OR(C472="",I472="",K472=""),"",IF(K472="Monthly",EDATE(C472,I472),WORKDAY(C472,I472)))</f>
        <v/>
      </c>
      <c r="AS472" s="11"/>
      <c r="AT472" s="23" t="str">
        <f aca="true">IF(C472="","",IF(AM472="Clawed Back","CLAWED",IF(TODAY()&lt;=C472+SETTINGS!$I$2,"⚠ AT RISK","SAFE")))</f>
        <v/>
      </c>
      <c r="AU472" s="11"/>
      <c r="AW472" s="24" t="n">
        <f aca="false">AW471+IF(AND(C472&lt;&gt;"",AO472&lt;&gt;"",OR('REP COMMISSION'!$B$3="",T472='REP COMMISSION'!$B$3,W472='REP COMMISSION'!$B$3,Z472='REP COMMISSION'!$B$3)),1,0)</f>
        <v>0</v>
      </c>
      <c r="AX472" s="24" t="n">
        <f aca="false">AX471+IF(AND(C472&lt;&gt;"",OR(F472="LOC - INITIAL",F472="CONSOLIDATION - UPFRONT COMM",F472="REVERSE - TOTAL FUNDING")),1,0)</f>
        <v>0</v>
      </c>
    </row>
    <row r="473" customFormat="false" ht="15" hidden="false" customHeight="false" outlineLevel="0" collapsed="false">
      <c r="A473" s="25" t="str">
        <f aca="false">IF(C473&lt;&gt;"","F27-"&amp;COUNT($C$4:C473),"")</f>
        <v/>
      </c>
      <c r="B473" s="26" t="str">
        <f aca="false">IF(OR(F473="LOC - INITIAL",F473="CONSOLIDATION - UPFRONT COMM",F473="REVERSE - TOTAL FUNDING"),A473,"")</f>
        <v/>
      </c>
      <c r="C473" s="27"/>
      <c r="D473" s="28"/>
      <c r="E473" s="28"/>
      <c r="F473" s="28"/>
      <c r="G473" s="29"/>
      <c r="H473" s="30"/>
      <c r="I473" s="28"/>
      <c r="J473" s="31" t="str">
        <f aca="false">IF(AND(G473&lt;&gt;"",H473&lt;&gt;""),G473*H473,"")</f>
        <v/>
      </c>
      <c r="K473" s="28"/>
      <c r="L473" s="32"/>
      <c r="M473" s="32"/>
      <c r="N473" s="31" t="n">
        <f aca="false">IF(OR(G473="",M473=""),0,IF(M473&gt;100,M473,G473*IF(M473&gt;1,M473/100,M473)))</f>
        <v>0</v>
      </c>
      <c r="O473" s="31" t="str">
        <f aca="false">IF(G473="","",G473*IF(L473="",0,IF(L473&gt;1,L473/100,L473))+N473)</f>
        <v/>
      </c>
      <c r="P473" s="28"/>
      <c r="Q473" s="33" t="str">
        <f aca="false">IF(P473="","",IFERROR(VLOOKUP(P473,PARTNERS!$A$2:$B$30,2,0),""))</f>
        <v/>
      </c>
      <c r="R473" s="17" t="str">
        <f aca="false">IF(O473="","",IF(OR(P473="",Q473=""),0,(O473-N473)*IF(Q473&gt;1,Q473/100,Q473)))</f>
        <v/>
      </c>
      <c r="S473" s="31" t="str">
        <f aca="false">IF(O473="","",O473-R473)</f>
        <v/>
      </c>
      <c r="T473" s="28"/>
      <c r="U473" s="34" t="str">
        <f aca="false">IF(T473="","",IFERROR(VLOOKUP(T473,REPS!$A$2:$D$40,2,0),""))</f>
        <v/>
      </c>
      <c r="V473" s="31" t="str">
        <f aca="false">IF(O473="","",IF(U473="",0,O473*IF(U473&gt;1,U473/100,U473)))</f>
        <v/>
      </c>
      <c r="W473" s="28"/>
      <c r="X473" s="34" t="str">
        <f aca="false">IF(W473="","",IFERROR(VLOOKUP(W473,REPS!$A$2:$D$40,3,0),""))</f>
        <v/>
      </c>
      <c r="Y473" s="31" t="str">
        <f aca="false">IF(O473="","",IF(X473="",0,O473*IF(X473&gt;1,X473/100,X473)))</f>
        <v/>
      </c>
      <c r="Z473" s="28"/>
      <c r="AA473" s="34" t="str">
        <f aca="false">IF(Z473="","",IFERROR(VLOOKUP(Z473,REPS!$A$2:$D$40,4,0),""))</f>
        <v/>
      </c>
      <c r="AB473" s="31" t="str">
        <f aca="false">IF(O473="","",IF(AA473="",0,O473*IF(AA473&gt;1,AA473/100,AA473)))</f>
        <v/>
      </c>
      <c r="AC473" s="31" t="str">
        <f aca="false">IF(O473="","",V473+Y473+AB473)</f>
        <v/>
      </c>
      <c r="AD473" s="19" t="str">
        <f aca="false">IF(O473="","",O473-R473-AC473)</f>
        <v/>
      </c>
      <c r="AE473" s="20"/>
      <c r="AF473" s="27"/>
      <c r="AG473" s="21" t="n">
        <f aca="false">IF(OR(AE473="",AE473=0),0,AE473*IF(U473="",0,IF(U473&gt;1,U473/100,U473)))</f>
        <v>0</v>
      </c>
      <c r="AH473" s="21" t="n">
        <f aca="false">IF(OR(AE473="",AE473=0),0,AE473*IF(X473="",0,IF(X473&gt;1,X473/100,X473)))</f>
        <v>0</v>
      </c>
      <c r="AI473" s="21" t="n">
        <f aca="false">IF(OR(AE473="",AE473=0),0,AE473*IF(AA473="",0,IF(AA473&gt;1,AA473/100,AA473)))</f>
        <v>0</v>
      </c>
      <c r="AJ473" s="21" t="n">
        <f aca="false">AG473+AH473+AI473</f>
        <v>0</v>
      </c>
      <c r="AK473" s="21" t="n">
        <f aca="false">IF(OR(AE473="",AE473=0),0,AE473-AJ473)</f>
        <v>0</v>
      </c>
      <c r="AL473" s="19" t="str">
        <f aca="false">IF(AD473="","",AD473-AK473)</f>
        <v/>
      </c>
      <c r="AM473" s="26" t="str">
        <f aca="false">IF(C473="","","Waiting for payment")</f>
        <v/>
      </c>
      <c r="AN473" s="27"/>
      <c r="AO473" s="27"/>
      <c r="AP473" s="35" t="str">
        <f aca="false">IF(OR(C473="",I473="",K473=""),"",IF(K473="Monthly",EDATE(C473,ROUND(I473*SETTINGS!$I$8,0)),WORKDAY(C473,ROUND(I473*SETTINGS!$I$8,0))))</f>
        <v/>
      </c>
      <c r="AQ473" s="26" t="str">
        <f aca="true">IF(C473="","",IF(AND(AP473&lt;&gt;"",TODAY()&gt;=AP473),"Refi Ready",IF(TODAY()-C473&gt;=SETTINGS!$I$11,"Prospecting","Performing")))</f>
        <v/>
      </c>
      <c r="AR473" s="35" t="str">
        <f aca="false">IF(OR(C473="",I473="",K473=""),"",IF(K473="Monthly",EDATE(C473,I473),WORKDAY(C473,I473)))</f>
        <v/>
      </c>
      <c r="AS473" s="28"/>
      <c r="AT473" s="36" t="str">
        <f aca="true">IF(C473="","",IF(AM473="Clawed Back","CLAWED",IF(TODAY()&lt;=C473+SETTINGS!$I$2,"⚠ AT RISK","SAFE")))</f>
        <v/>
      </c>
      <c r="AU473" s="28"/>
      <c r="AW473" s="24" t="n">
        <f aca="false">AW472+IF(AND(C473&lt;&gt;"",AO473&lt;&gt;"",OR('REP COMMISSION'!$B$3="",T473='REP COMMISSION'!$B$3,W473='REP COMMISSION'!$B$3,Z473='REP COMMISSION'!$B$3)),1,0)</f>
        <v>0</v>
      </c>
      <c r="AX473" s="24" t="n">
        <f aca="false">AX472+IF(AND(C473&lt;&gt;"",OR(F473="LOC - INITIAL",F473="CONSOLIDATION - UPFRONT COMM",F473="REVERSE - TOTAL FUNDING")),1,0)</f>
        <v>0</v>
      </c>
    </row>
    <row r="474" customFormat="false" ht="15" hidden="false" customHeight="false" outlineLevel="0" collapsed="false">
      <c r="A474" s="8" t="str">
        <f aca="false">IF(C474&lt;&gt;"","F27-"&amp;COUNT($C$4:C474),"")</f>
        <v/>
      </c>
      <c r="B474" s="9" t="str">
        <f aca="false">IF(OR(F474="LOC - INITIAL",F474="CONSOLIDATION - UPFRONT COMM",F474="REVERSE - TOTAL FUNDING"),A474,"")</f>
        <v/>
      </c>
      <c r="C474" s="10"/>
      <c r="D474" s="11"/>
      <c r="E474" s="11"/>
      <c r="F474" s="11"/>
      <c r="G474" s="12"/>
      <c r="H474" s="13"/>
      <c r="I474" s="11"/>
      <c r="J474" s="14" t="str">
        <f aca="false">IF(AND(G474&lt;&gt;"",H474&lt;&gt;""),G474*H474,"")</f>
        <v/>
      </c>
      <c r="K474" s="11"/>
      <c r="L474" s="15"/>
      <c r="M474" s="15"/>
      <c r="N474" s="14" t="n">
        <f aca="false">IF(OR(G474="",M474=""),0,IF(M474&gt;100,M474,G474*IF(M474&gt;1,M474/100,M474)))</f>
        <v>0</v>
      </c>
      <c r="O474" s="14" t="str">
        <f aca="false">IF(G474="","",G474*IF(L474="",0,IF(L474&gt;1,L474/100,L474))+N474)</f>
        <v/>
      </c>
      <c r="P474" s="11"/>
      <c r="Q474" s="16" t="str">
        <f aca="false">IF(P474="","",IFERROR(VLOOKUP(P474,PARTNERS!$A$2:$B$30,2,0),""))</f>
        <v/>
      </c>
      <c r="R474" s="17" t="str">
        <f aca="false">IF(O474="","",IF(OR(P474="",Q474=""),0,(O474-N474)*IF(Q474&gt;1,Q474/100,Q474)))</f>
        <v/>
      </c>
      <c r="S474" s="14" t="str">
        <f aca="false">IF(O474="","",O474-R474)</f>
        <v/>
      </c>
      <c r="T474" s="11"/>
      <c r="U474" s="18" t="str">
        <f aca="false">IF(T474="","",IFERROR(VLOOKUP(T474,REPS!$A$2:$D$40,2,0),""))</f>
        <v/>
      </c>
      <c r="V474" s="14" t="str">
        <f aca="false">IF(O474="","",IF(U474="",0,O474*IF(U474&gt;1,U474/100,U474)))</f>
        <v/>
      </c>
      <c r="W474" s="11"/>
      <c r="X474" s="18" t="str">
        <f aca="false">IF(W474="","",IFERROR(VLOOKUP(W474,REPS!$A$2:$D$40,3,0),""))</f>
        <v/>
      </c>
      <c r="Y474" s="14" t="str">
        <f aca="false">IF(O474="","",IF(X474="",0,O474*IF(X474&gt;1,X474/100,X474)))</f>
        <v/>
      </c>
      <c r="Z474" s="11"/>
      <c r="AA474" s="18" t="str">
        <f aca="false">IF(Z474="","",IFERROR(VLOOKUP(Z474,REPS!$A$2:$D$40,4,0),""))</f>
        <v/>
      </c>
      <c r="AB474" s="14" t="str">
        <f aca="false">IF(O474="","",IF(AA474="",0,O474*IF(AA474&gt;1,AA474/100,AA474)))</f>
        <v/>
      </c>
      <c r="AC474" s="14" t="str">
        <f aca="false">IF(O474="","",V474+Y474+AB474)</f>
        <v/>
      </c>
      <c r="AD474" s="19" t="str">
        <f aca="false">IF(O474="","",O474-R474-AC474)</f>
        <v/>
      </c>
      <c r="AE474" s="20"/>
      <c r="AF474" s="10"/>
      <c r="AG474" s="21" t="n">
        <f aca="false">IF(OR(AE474="",AE474=0),0,AE474*IF(U474="",0,IF(U474&gt;1,U474/100,U474)))</f>
        <v>0</v>
      </c>
      <c r="AH474" s="21" t="n">
        <f aca="false">IF(OR(AE474="",AE474=0),0,AE474*IF(X474="",0,IF(X474&gt;1,X474/100,X474)))</f>
        <v>0</v>
      </c>
      <c r="AI474" s="21" t="n">
        <f aca="false">IF(OR(AE474="",AE474=0),0,AE474*IF(AA474="",0,IF(AA474&gt;1,AA474/100,AA474)))</f>
        <v>0</v>
      </c>
      <c r="AJ474" s="21" t="n">
        <f aca="false">AG474+AH474+AI474</f>
        <v>0</v>
      </c>
      <c r="AK474" s="21" t="n">
        <f aca="false">IF(OR(AE474="",AE474=0),0,AE474-AJ474)</f>
        <v>0</v>
      </c>
      <c r="AL474" s="19" t="str">
        <f aca="false">IF(AD474="","",AD474-AK474)</f>
        <v/>
      </c>
      <c r="AM474" s="9" t="str">
        <f aca="false">IF(C474="","","Waiting for payment")</f>
        <v/>
      </c>
      <c r="AN474" s="10"/>
      <c r="AO474" s="10"/>
      <c r="AP474" s="22" t="str">
        <f aca="false">IF(OR(C474="",I474="",K474=""),"",IF(K474="Monthly",EDATE(C474,ROUND(I474*SETTINGS!$I$8,0)),WORKDAY(C474,ROUND(I474*SETTINGS!$I$8,0))))</f>
        <v/>
      </c>
      <c r="AQ474" s="9" t="str">
        <f aca="true">IF(C474="","",IF(AND(AP474&lt;&gt;"",TODAY()&gt;=AP474),"Refi Ready",IF(TODAY()-C474&gt;=SETTINGS!$I$11,"Prospecting","Performing")))</f>
        <v/>
      </c>
      <c r="AR474" s="22" t="str">
        <f aca="false">IF(OR(C474="",I474="",K474=""),"",IF(K474="Monthly",EDATE(C474,I474),WORKDAY(C474,I474)))</f>
        <v/>
      </c>
      <c r="AS474" s="11"/>
      <c r="AT474" s="23" t="str">
        <f aca="true">IF(C474="","",IF(AM474="Clawed Back","CLAWED",IF(TODAY()&lt;=C474+SETTINGS!$I$2,"⚠ AT RISK","SAFE")))</f>
        <v/>
      </c>
      <c r="AU474" s="11"/>
      <c r="AW474" s="24" t="n">
        <f aca="false">AW473+IF(AND(C474&lt;&gt;"",AO474&lt;&gt;"",OR('REP COMMISSION'!$B$3="",T474='REP COMMISSION'!$B$3,W474='REP COMMISSION'!$B$3,Z474='REP COMMISSION'!$B$3)),1,0)</f>
        <v>0</v>
      </c>
      <c r="AX474" s="24" t="n">
        <f aca="false">AX473+IF(AND(C474&lt;&gt;"",OR(F474="LOC - INITIAL",F474="CONSOLIDATION - UPFRONT COMM",F474="REVERSE - TOTAL FUNDING")),1,0)</f>
        <v>0</v>
      </c>
    </row>
    <row r="475" customFormat="false" ht="15" hidden="false" customHeight="false" outlineLevel="0" collapsed="false">
      <c r="A475" s="25" t="str">
        <f aca="false">IF(C475&lt;&gt;"","F27-"&amp;COUNT($C$4:C475),"")</f>
        <v/>
      </c>
      <c r="B475" s="26" t="str">
        <f aca="false">IF(OR(F475="LOC - INITIAL",F475="CONSOLIDATION - UPFRONT COMM",F475="REVERSE - TOTAL FUNDING"),A475,"")</f>
        <v/>
      </c>
      <c r="C475" s="27"/>
      <c r="D475" s="28"/>
      <c r="E475" s="28"/>
      <c r="F475" s="28"/>
      <c r="G475" s="29"/>
      <c r="H475" s="30"/>
      <c r="I475" s="28"/>
      <c r="J475" s="31" t="str">
        <f aca="false">IF(AND(G475&lt;&gt;"",H475&lt;&gt;""),G475*H475,"")</f>
        <v/>
      </c>
      <c r="K475" s="28"/>
      <c r="L475" s="32"/>
      <c r="M475" s="32"/>
      <c r="N475" s="31" t="n">
        <f aca="false">IF(OR(G475="",M475=""),0,IF(M475&gt;100,M475,G475*IF(M475&gt;1,M475/100,M475)))</f>
        <v>0</v>
      </c>
      <c r="O475" s="31" t="str">
        <f aca="false">IF(G475="","",G475*IF(L475="",0,IF(L475&gt;1,L475/100,L475))+N475)</f>
        <v/>
      </c>
      <c r="P475" s="28"/>
      <c r="Q475" s="33" t="str">
        <f aca="false">IF(P475="","",IFERROR(VLOOKUP(P475,PARTNERS!$A$2:$B$30,2,0),""))</f>
        <v/>
      </c>
      <c r="R475" s="17" t="str">
        <f aca="false">IF(O475="","",IF(OR(P475="",Q475=""),0,(O475-N475)*IF(Q475&gt;1,Q475/100,Q475)))</f>
        <v/>
      </c>
      <c r="S475" s="31" t="str">
        <f aca="false">IF(O475="","",O475-R475)</f>
        <v/>
      </c>
      <c r="T475" s="28"/>
      <c r="U475" s="34" t="str">
        <f aca="false">IF(T475="","",IFERROR(VLOOKUP(T475,REPS!$A$2:$D$40,2,0),""))</f>
        <v/>
      </c>
      <c r="V475" s="31" t="str">
        <f aca="false">IF(O475="","",IF(U475="",0,O475*IF(U475&gt;1,U475/100,U475)))</f>
        <v/>
      </c>
      <c r="W475" s="28"/>
      <c r="X475" s="34" t="str">
        <f aca="false">IF(W475="","",IFERROR(VLOOKUP(W475,REPS!$A$2:$D$40,3,0),""))</f>
        <v/>
      </c>
      <c r="Y475" s="31" t="str">
        <f aca="false">IF(O475="","",IF(X475="",0,O475*IF(X475&gt;1,X475/100,X475)))</f>
        <v/>
      </c>
      <c r="Z475" s="28"/>
      <c r="AA475" s="34" t="str">
        <f aca="false">IF(Z475="","",IFERROR(VLOOKUP(Z475,REPS!$A$2:$D$40,4,0),""))</f>
        <v/>
      </c>
      <c r="AB475" s="31" t="str">
        <f aca="false">IF(O475="","",IF(AA475="",0,O475*IF(AA475&gt;1,AA475/100,AA475)))</f>
        <v/>
      </c>
      <c r="AC475" s="31" t="str">
        <f aca="false">IF(O475="","",V475+Y475+AB475)</f>
        <v/>
      </c>
      <c r="AD475" s="19" t="str">
        <f aca="false">IF(O475="","",O475-R475-AC475)</f>
        <v/>
      </c>
      <c r="AE475" s="20"/>
      <c r="AF475" s="27"/>
      <c r="AG475" s="21" t="n">
        <f aca="false">IF(OR(AE475="",AE475=0),0,AE475*IF(U475="",0,IF(U475&gt;1,U475/100,U475)))</f>
        <v>0</v>
      </c>
      <c r="AH475" s="21" t="n">
        <f aca="false">IF(OR(AE475="",AE475=0),0,AE475*IF(X475="",0,IF(X475&gt;1,X475/100,X475)))</f>
        <v>0</v>
      </c>
      <c r="AI475" s="21" t="n">
        <f aca="false">IF(OR(AE475="",AE475=0),0,AE475*IF(AA475="",0,IF(AA475&gt;1,AA475/100,AA475)))</f>
        <v>0</v>
      </c>
      <c r="AJ475" s="21" t="n">
        <f aca="false">AG475+AH475+AI475</f>
        <v>0</v>
      </c>
      <c r="AK475" s="21" t="n">
        <f aca="false">IF(OR(AE475="",AE475=0),0,AE475-AJ475)</f>
        <v>0</v>
      </c>
      <c r="AL475" s="19" t="str">
        <f aca="false">IF(AD475="","",AD475-AK475)</f>
        <v/>
      </c>
      <c r="AM475" s="26" t="str">
        <f aca="false">IF(C475="","","Waiting for payment")</f>
        <v/>
      </c>
      <c r="AN475" s="27"/>
      <c r="AO475" s="27"/>
      <c r="AP475" s="35" t="str">
        <f aca="false">IF(OR(C475="",I475="",K475=""),"",IF(K475="Monthly",EDATE(C475,ROUND(I475*SETTINGS!$I$8,0)),WORKDAY(C475,ROUND(I475*SETTINGS!$I$8,0))))</f>
        <v/>
      </c>
      <c r="AQ475" s="26" t="str">
        <f aca="true">IF(C475="","",IF(AND(AP475&lt;&gt;"",TODAY()&gt;=AP475),"Refi Ready",IF(TODAY()-C475&gt;=SETTINGS!$I$11,"Prospecting","Performing")))</f>
        <v/>
      </c>
      <c r="AR475" s="35" t="str">
        <f aca="false">IF(OR(C475="",I475="",K475=""),"",IF(K475="Monthly",EDATE(C475,I475),WORKDAY(C475,I475)))</f>
        <v/>
      </c>
      <c r="AS475" s="28"/>
      <c r="AT475" s="36" t="str">
        <f aca="true">IF(C475="","",IF(AM475="Clawed Back","CLAWED",IF(TODAY()&lt;=C475+SETTINGS!$I$2,"⚠ AT RISK","SAFE")))</f>
        <v/>
      </c>
      <c r="AU475" s="28"/>
      <c r="AW475" s="24" t="n">
        <f aca="false">AW474+IF(AND(C475&lt;&gt;"",AO475&lt;&gt;"",OR('REP COMMISSION'!$B$3="",T475='REP COMMISSION'!$B$3,W475='REP COMMISSION'!$B$3,Z475='REP COMMISSION'!$B$3)),1,0)</f>
        <v>0</v>
      </c>
      <c r="AX475" s="24" t="n">
        <f aca="false">AX474+IF(AND(C475&lt;&gt;"",OR(F475="LOC - INITIAL",F475="CONSOLIDATION - UPFRONT COMM",F475="REVERSE - TOTAL FUNDING")),1,0)</f>
        <v>0</v>
      </c>
    </row>
    <row r="476" customFormat="false" ht="15" hidden="false" customHeight="false" outlineLevel="0" collapsed="false">
      <c r="A476" s="8" t="str">
        <f aca="false">IF(C476&lt;&gt;"","F27-"&amp;COUNT($C$4:C476),"")</f>
        <v/>
      </c>
      <c r="B476" s="9" t="str">
        <f aca="false">IF(OR(F476="LOC - INITIAL",F476="CONSOLIDATION - UPFRONT COMM",F476="REVERSE - TOTAL FUNDING"),A476,"")</f>
        <v/>
      </c>
      <c r="C476" s="10"/>
      <c r="D476" s="11"/>
      <c r="E476" s="11"/>
      <c r="F476" s="11"/>
      <c r="G476" s="12"/>
      <c r="H476" s="13"/>
      <c r="I476" s="11"/>
      <c r="J476" s="14" t="str">
        <f aca="false">IF(AND(G476&lt;&gt;"",H476&lt;&gt;""),G476*H476,"")</f>
        <v/>
      </c>
      <c r="K476" s="11"/>
      <c r="L476" s="15"/>
      <c r="M476" s="15"/>
      <c r="N476" s="14" t="n">
        <f aca="false">IF(OR(G476="",M476=""),0,IF(M476&gt;100,M476,G476*IF(M476&gt;1,M476/100,M476)))</f>
        <v>0</v>
      </c>
      <c r="O476" s="14" t="str">
        <f aca="false">IF(G476="","",G476*IF(L476="",0,IF(L476&gt;1,L476/100,L476))+N476)</f>
        <v/>
      </c>
      <c r="P476" s="11"/>
      <c r="Q476" s="16" t="str">
        <f aca="false">IF(P476="","",IFERROR(VLOOKUP(P476,PARTNERS!$A$2:$B$30,2,0),""))</f>
        <v/>
      </c>
      <c r="R476" s="17" t="str">
        <f aca="false">IF(O476="","",IF(OR(P476="",Q476=""),0,(O476-N476)*IF(Q476&gt;1,Q476/100,Q476)))</f>
        <v/>
      </c>
      <c r="S476" s="14" t="str">
        <f aca="false">IF(O476="","",O476-R476)</f>
        <v/>
      </c>
      <c r="T476" s="11"/>
      <c r="U476" s="18" t="str">
        <f aca="false">IF(T476="","",IFERROR(VLOOKUP(T476,REPS!$A$2:$D$40,2,0),""))</f>
        <v/>
      </c>
      <c r="V476" s="14" t="str">
        <f aca="false">IF(O476="","",IF(U476="",0,O476*IF(U476&gt;1,U476/100,U476)))</f>
        <v/>
      </c>
      <c r="W476" s="11"/>
      <c r="X476" s="18" t="str">
        <f aca="false">IF(W476="","",IFERROR(VLOOKUP(W476,REPS!$A$2:$D$40,3,0),""))</f>
        <v/>
      </c>
      <c r="Y476" s="14" t="str">
        <f aca="false">IF(O476="","",IF(X476="",0,O476*IF(X476&gt;1,X476/100,X476)))</f>
        <v/>
      </c>
      <c r="Z476" s="11"/>
      <c r="AA476" s="18" t="str">
        <f aca="false">IF(Z476="","",IFERROR(VLOOKUP(Z476,REPS!$A$2:$D$40,4,0),""))</f>
        <v/>
      </c>
      <c r="AB476" s="14" t="str">
        <f aca="false">IF(O476="","",IF(AA476="",0,O476*IF(AA476&gt;1,AA476/100,AA476)))</f>
        <v/>
      </c>
      <c r="AC476" s="14" t="str">
        <f aca="false">IF(O476="","",V476+Y476+AB476)</f>
        <v/>
      </c>
      <c r="AD476" s="19" t="str">
        <f aca="false">IF(O476="","",O476-R476-AC476)</f>
        <v/>
      </c>
      <c r="AE476" s="20"/>
      <c r="AF476" s="10"/>
      <c r="AG476" s="21" t="n">
        <f aca="false">IF(OR(AE476="",AE476=0),0,AE476*IF(U476="",0,IF(U476&gt;1,U476/100,U476)))</f>
        <v>0</v>
      </c>
      <c r="AH476" s="21" t="n">
        <f aca="false">IF(OR(AE476="",AE476=0),0,AE476*IF(X476="",0,IF(X476&gt;1,X476/100,X476)))</f>
        <v>0</v>
      </c>
      <c r="AI476" s="21" t="n">
        <f aca="false">IF(OR(AE476="",AE476=0),0,AE476*IF(AA476="",0,IF(AA476&gt;1,AA476/100,AA476)))</f>
        <v>0</v>
      </c>
      <c r="AJ476" s="21" t="n">
        <f aca="false">AG476+AH476+AI476</f>
        <v>0</v>
      </c>
      <c r="AK476" s="21" t="n">
        <f aca="false">IF(OR(AE476="",AE476=0),0,AE476-AJ476)</f>
        <v>0</v>
      </c>
      <c r="AL476" s="19" t="str">
        <f aca="false">IF(AD476="","",AD476-AK476)</f>
        <v/>
      </c>
      <c r="AM476" s="9" t="str">
        <f aca="false">IF(C476="","","Waiting for payment")</f>
        <v/>
      </c>
      <c r="AN476" s="10"/>
      <c r="AO476" s="10"/>
      <c r="AP476" s="22" t="str">
        <f aca="false">IF(OR(C476="",I476="",K476=""),"",IF(K476="Monthly",EDATE(C476,ROUND(I476*SETTINGS!$I$8,0)),WORKDAY(C476,ROUND(I476*SETTINGS!$I$8,0))))</f>
        <v/>
      </c>
      <c r="AQ476" s="9" t="str">
        <f aca="true">IF(C476="","",IF(AND(AP476&lt;&gt;"",TODAY()&gt;=AP476),"Refi Ready",IF(TODAY()-C476&gt;=SETTINGS!$I$11,"Prospecting","Performing")))</f>
        <v/>
      </c>
      <c r="AR476" s="22" t="str">
        <f aca="false">IF(OR(C476="",I476="",K476=""),"",IF(K476="Monthly",EDATE(C476,I476),WORKDAY(C476,I476)))</f>
        <v/>
      </c>
      <c r="AS476" s="11"/>
      <c r="AT476" s="23" t="str">
        <f aca="true">IF(C476="","",IF(AM476="Clawed Back","CLAWED",IF(TODAY()&lt;=C476+SETTINGS!$I$2,"⚠ AT RISK","SAFE")))</f>
        <v/>
      </c>
      <c r="AU476" s="11"/>
      <c r="AW476" s="24" t="n">
        <f aca="false">AW475+IF(AND(C476&lt;&gt;"",AO476&lt;&gt;"",OR('REP COMMISSION'!$B$3="",T476='REP COMMISSION'!$B$3,W476='REP COMMISSION'!$B$3,Z476='REP COMMISSION'!$B$3)),1,0)</f>
        <v>0</v>
      </c>
      <c r="AX476" s="24" t="n">
        <f aca="false">AX475+IF(AND(C476&lt;&gt;"",OR(F476="LOC - INITIAL",F476="CONSOLIDATION - UPFRONT COMM",F476="REVERSE - TOTAL FUNDING")),1,0)</f>
        <v>0</v>
      </c>
    </row>
    <row r="477" customFormat="false" ht="15" hidden="false" customHeight="false" outlineLevel="0" collapsed="false">
      <c r="A477" s="25" t="str">
        <f aca="false">IF(C477&lt;&gt;"","F27-"&amp;COUNT($C$4:C477),"")</f>
        <v/>
      </c>
      <c r="B477" s="26" t="str">
        <f aca="false">IF(OR(F477="LOC - INITIAL",F477="CONSOLIDATION - UPFRONT COMM",F477="REVERSE - TOTAL FUNDING"),A477,"")</f>
        <v/>
      </c>
      <c r="C477" s="27"/>
      <c r="D477" s="28"/>
      <c r="E477" s="28"/>
      <c r="F477" s="28"/>
      <c r="G477" s="29"/>
      <c r="H477" s="30"/>
      <c r="I477" s="28"/>
      <c r="J477" s="31" t="str">
        <f aca="false">IF(AND(G477&lt;&gt;"",H477&lt;&gt;""),G477*H477,"")</f>
        <v/>
      </c>
      <c r="K477" s="28"/>
      <c r="L477" s="32"/>
      <c r="M477" s="32"/>
      <c r="N477" s="31" t="n">
        <f aca="false">IF(OR(G477="",M477=""),0,IF(M477&gt;100,M477,G477*IF(M477&gt;1,M477/100,M477)))</f>
        <v>0</v>
      </c>
      <c r="O477" s="31" t="str">
        <f aca="false">IF(G477="","",G477*IF(L477="",0,IF(L477&gt;1,L477/100,L477))+N477)</f>
        <v/>
      </c>
      <c r="P477" s="28"/>
      <c r="Q477" s="33" t="str">
        <f aca="false">IF(P477="","",IFERROR(VLOOKUP(P477,PARTNERS!$A$2:$B$30,2,0),""))</f>
        <v/>
      </c>
      <c r="R477" s="17" t="str">
        <f aca="false">IF(O477="","",IF(OR(P477="",Q477=""),0,(O477-N477)*IF(Q477&gt;1,Q477/100,Q477)))</f>
        <v/>
      </c>
      <c r="S477" s="31" t="str">
        <f aca="false">IF(O477="","",O477-R477)</f>
        <v/>
      </c>
      <c r="T477" s="28"/>
      <c r="U477" s="34" t="str">
        <f aca="false">IF(T477="","",IFERROR(VLOOKUP(T477,REPS!$A$2:$D$40,2,0),""))</f>
        <v/>
      </c>
      <c r="V477" s="31" t="str">
        <f aca="false">IF(O477="","",IF(U477="",0,O477*IF(U477&gt;1,U477/100,U477)))</f>
        <v/>
      </c>
      <c r="W477" s="28"/>
      <c r="X477" s="34" t="str">
        <f aca="false">IF(W477="","",IFERROR(VLOOKUP(W477,REPS!$A$2:$D$40,3,0),""))</f>
        <v/>
      </c>
      <c r="Y477" s="31" t="str">
        <f aca="false">IF(O477="","",IF(X477="",0,O477*IF(X477&gt;1,X477/100,X477)))</f>
        <v/>
      </c>
      <c r="Z477" s="28"/>
      <c r="AA477" s="34" t="str">
        <f aca="false">IF(Z477="","",IFERROR(VLOOKUP(Z477,REPS!$A$2:$D$40,4,0),""))</f>
        <v/>
      </c>
      <c r="AB477" s="31" t="str">
        <f aca="false">IF(O477="","",IF(AA477="",0,O477*IF(AA477&gt;1,AA477/100,AA477)))</f>
        <v/>
      </c>
      <c r="AC477" s="31" t="str">
        <f aca="false">IF(O477="","",V477+Y477+AB477)</f>
        <v/>
      </c>
      <c r="AD477" s="19" t="str">
        <f aca="false">IF(O477="","",O477-R477-AC477)</f>
        <v/>
      </c>
      <c r="AE477" s="20"/>
      <c r="AF477" s="27"/>
      <c r="AG477" s="21" t="n">
        <f aca="false">IF(OR(AE477="",AE477=0),0,AE477*IF(U477="",0,IF(U477&gt;1,U477/100,U477)))</f>
        <v>0</v>
      </c>
      <c r="AH477" s="21" t="n">
        <f aca="false">IF(OR(AE477="",AE477=0),0,AE477*IF(X477="",0,IF(X477&gt;1,X477/100,X477)))</f>
        <v>0</v>
      </c>
      <c r="AI477" s="21" t="n">
        <f aca="false">IF(OR(AE477="",AE477=0),0,AE477*IF(AA477="",0,IF(AA477&gt;1,AA477/100,AA477)))</f>
        <v>0</v>
      </c>
      <c r="AJ477" s="21" t="n">
        <f aca="false">AG477+AH477+AI477</f>
        <v>0</v>
      </c>
      <c r="AK477" s="21" t="n">
        <f aca="false">IF(OR(AE477="",AE477=0),0,AE477-AJ477)</f>
        <v>0</v>
      </c>
      <c r="AL477" s="19" t="str">
        <f aca="false">IF(AD477="","",AD477-AK477)</f>
        <v/>
      </c>
      <c r="AM477" s="26" t="str">
        <f aca="false">IF(C477="","","Waiting for payment")</f>
        <v/>
      </c>
      <c r="AN477" s="27"/>
      <c r="AO477" s="27"/>
      <c r="AP477" s="35" t="str">
        <f aca="false">IF(OR(C477="",I477="",K477=""),"",IF(K477="Monthly",EDATE(C477,ROUND(I477*SETTINGS!$I$8,0)),WORKDAY(C477,ROUND(I477*SETTINGS!$I$8,0))))</f>
        <v/>
      </c>
      <c r="AQ477" s="26" t="str">
        <f aca="true">IF(C477="","",IF(AND(AP477&lt;&gt;"",TODAY()&gt;=AP477),"Refi Ready",IF(TODAY()-C477&gt;=SETTINGS!$I$11,"Prospecting","Performing")))</f>
        <v/>
      </c>
      <c r="AR477" s="35" t="str">
        <f aca="false">IF(OR(C477="",I477="",K477=""),"",IF(K477="Monthly",EDATE(C477,I477),WORKDAY(C477,I477)))</f>
        <v/>
      </c>
      <c r="AS477" s="28"/>
      <c r="AT477" s="36" t="str">
        <f aca="true">IF(C477="","",IF(AM477="Clawed Back","CLAWED",IF(TODAY()&lt;=C477+SETTINGS!$I$2,"⚠ AT RISK","SAFE")))</f>
        <v/>
      </c>
      <c r="AU477" s="28"/>
      <c r="AW477" s="24" t="n">
        <f aca="false">AW476+IF(AND(C477&lt;&gt;"",AO477&lt;&gt;"",OR('REP COMMISSION'!$B$3="",T477='REP COMMISSION'!$B$3,W477='REP COMMISSION'!$B$3,Z477='REP COMMISSION'!$B$3)),1,0)</f>
        <v>0</v>
      </c>
      <c r="AX477" s="24" t="n">
        <f aca="false">AX476+IF(AND(C477&lt;&gt;"",OR(F477="LOC - INITIAL",F477="CONSOLIDATION - UPFRONT COMM",F477="REVERSE - TOTAL FUNDING")),1,0)</f>
        <v>0</v>
      </c>
    </row>
    <row r="478" customFormat="false" ht="15" hidden="false" customHeight="false" outlineLevel="0" collapsed="false">
      <c r="A478" s="8" t="str">
        <f aca="false">IF(C478&lt;&gt;"","F27-"&amp;COUNT($C$4:C478),"")</f>
        <v/>
      </c>
      <c r="B478" s="9" t="str">
        <f aca="false">IF(OR(F478="LOC - INITIAL",F478="CONSOLIDATION - UPFRONT COMM",F478="REVERSE - TOTAL FUNDING"),A478,"")</f>
        <v/>
      </c>
      <c r="C478" s="10"/>
      <c r="D478" s="11"/>
      <c r="E478" s="11"/>
      <c r="F478" s="11"/>
      <c r="G478" s="12"/>
      <c r="H478" s="13"/>
      <c r="I478" s="11"/>
      <c r="J478" s="14" t="str">
        <f aca="false">IF(AND(G478&lt;&gt;"",H478&lt;&gt;""),G478*H478,"")</f>
        <v/>
      </c>
      <c r="K478" s="11"/>
      <c r="L478" s="15"/>
      <c r="M478" s="15"/>
      <c r="N478" s="14" t="n">
        <f aca="false">IF(OR(G478="",M478=""),0,IF(M478&gt;100,M478,G478*IF(M478&gt;1,M478/100,M478)))</f>
        <v>0</v>
      </c>
      <c r="O478" s="14" t="str">
        <f aca="false">IF(G478="","",G478*IF(L478="",0,IF(L478&gt;1,L478/100,L478))+N478)</f>
        <v/>
      </c>
      <c r="P478" s="11"/>
      <c r="Q478" s="16" t="str">
        <f aca="false">IF(P478="","",IFERROR(VLOOKUP(P478,PARTNERS!$A$2:$B$30,2,0),""))</f>
        <v/>
      </c>
      <c r="R478" s="17" t="str">
        <f aca="false">IF(O478="","",IF(OR(P478="",Q478=""),0,(O478-N478)*IF(Q478&gt;1,Q478/100,Q478)))</f>
        <v/>
      </c>
      <c r="S478" s="14" t="str">
        <f aca="false">IF(O478="","",O478-R478)</f>
        <v/>
      </c>
      <c r="T478" s="11"/>
      <c r="U478" s="18" t="str">
        <f aca="false">IF(T478="","",IFERROR(VLOOKUP(T478,REPS!$A$2:$D$40,2,0),""))</f>
        <v/>
      </c>
      <c r="V478" s="14" t="str">
        <f aca="false">IF(O478="","",IF(U478="",0,O478*IF(U478&gt;1,U478/100,U478)))</f>
        <v/>
      </c>
      <c r="W478" s="11"/>
      <c r="X478" s="18" t="str">
        <f aca="false">IF(W478="","",IFERROR(VLOOKUP(W478,REPS!$A$2:$D$40,3,0),""))</f>
        <v/>
      </c>
      <c r="Y478" s="14" t="str">
        <f aca="false">IF(O478="","",IF(X478="",0,O478*IF(X478&gt;1,X478/100,X478)))</f>
        <v/>
      </c>
      <c r="Z478" s="11"/>
      <c r="AA478" s="18" t="str">
        <f aca="false">IF(Z478="","",IFERROR(VLOOKUP(Z478,REPS!$A$2:$D$40,4,0),""))</f>
        <v/>
      </c>
      <c r="AB478" s="14" t="str">
        <f aca="false">IF(O478="","",IF(AA478="",0,O478*IF(AA478&gt;1,AA478/100,AA478)))</f>
        <v/>
      </c>
      <c r="AC478" s="14" t="str">
        <f aca="false">IF(O478="","",V478+Y478+AB478)</f>
        <v/>
      </c>
      <c r="AD478" s="19" t="str">
        <f aca="false">IF(O478="","",O478-R478-AC478)</f>
        <v/>
      </c>
      <c r="AE478" s="20"/>
      <c r="AF478" s="10"/>
      <c r="AG478" s="21" t="n">
        <f aca="false">IF(OR(AE478="",AE478=0),0,AE478*IF(U478="",0,IF(U478&gt;1,U478/100,U478)))</f>
        <v>0</v>
      </c>
      <c r="AH478" s="21" t="n">
        <f aca="false">IF(OR(AE478="",AE478=0),0,AE478*IF(X478="",0,IF(X478&gt;1,X478/100,X478)))</f>
        <v>0</v>
      </c>
      <c r="AI478" s="21" t="n">
        <f aca="false">IF(OR(AE478="",AE478=0),0,AE478*IF(AA478="",0,IF(AA478&gt;1,AA478/100,AA478)))</f>
        <v>0</v>
      </c>
      <c r="AJ478" s="21" t="n">
        <f aca="false">AG478+AH478+AI478</f>
        <v>0</v>
      </c>
      <c r="AK478" s="21" t="n">
        <f aca="false">IF(OR(AE478="",AE478=0),0,AE478-AJ478)</f>
        <v>0</v>
      </c>
      <c r="AL478" s="19" t="str">
        <f aca="false">IF(AD478="","",AD478-AK478)</f>
        <v/>
      </c>
      <c r="AM478" s="9" t="str">
        <f aca="false">IF(C478="","","Waiting for payment")</f>
        <v/>
      </c>
      <c r="AN478" s="10"/>
      <c r="AO478" s="10"/>
      <c r="AP478" s="22" t="str">
        <f aca="false">IF(OR(C478="",I478="",K478=""),"",IF(K478="Monthly",EDATE(C478,ROUND(I478*SETTINGS!$I$8,0)),WORKDAY(C478,ROUND(I478*SETTINGS!$I$8,0))))</f>
        <v/>
      </c>
      <c r="AQ478" s="9" t="str">
        <f aca="true">IF(C478="","",IF(AND(AP478&lt;&gt;"",TODAY()&gt;=AP478),"Refi Ready",IF(TODAY()-C478&gt;=SETTINGS!$I$11,"Prospecting","Performing")))</f>
        <v/>
      </c>
      <c r="AR478" s="22" t="str">
        <f aca="false">IF(OR(C478="",I478="",K478=""),"",IF(K478="Monthly",EDATE(C478,I478),WORKDAY(C478,I478)))</f>
        <v/>
      </c>
      <c r="AS478" s="11"/>
      <c r="AT478" s="23" t="str">
        <f aca="true">IF(C478="","",IF(AM478="Clawed Back","CLAWED",IF(TODAY()&lt;=C478+SETTINGS!$I$2,"⚠ AT RISK","SAFE")))</f>
        <v/>
      </c>
      <c r="AU478" s="11"/>
      <c r="AW478" s="24" t="n">
        <f aca="false">AW477+IF(AND(C478&lt;&gt;"",AO478&lt;&gt;"",OR('REP COMMISSION'!$B$3="",T478='REP COMMISSION'!$B$3,W478='REP COMMISSION'!$B$3,Z478='REP COMMISSION'!$B$3)),1,0)</f>
        <v>0</v>
      </c>
      <c r="AX478" s="24" t="n">
        <f aca="false">AX477+IF(AND(C478&lt;&gt;"",OR(F478="LOC - INITIAL",F478="CONSOLIDATION - UPFRONT COMM",F478="REVERSE - TOTAL FUNDING")),1,0)</f>
        <v>0</v>
      </c>
    </row>
    <row r="479" customFormat="false" ht="15" hidden="false" customHeight="false" outlineLevel="0" collapsed="false">
      <c r="A479" s="25" t="str">
        <f aca="false">IF(C479&lt;&gt;"","F27-"&amp;COUNT($C$4:C479),"")</f>
        <v/>
      </c>
      <c r="B479" s="26" t="str">
        <f aca="false">IF(OR(F479="LOC - INITIAL",F479="CONSOLIDATION - UPFRONT COMM",F479="REVERSE - TOTAL FUNDING"),A479,"")</f>
        <v/>
      </c>
      <c r="C479" s="27"/>
      <c r="D479" s="28"/>
      <c r="E479" s="28"/>
      <c r="F479" s="28"/>
      <c r="G479" s="29"/>
      <c r="H479" s="30"/>
      <c r="I479" s="28"/>
      <c r="J479" s="31" t="str">
        <f aca="false">IF(AND(G479&lt;&gt;"",H479&lt;&gt;""),G479*H479,"")</f>
        <v/>
      </c>
      <c r="K479" s="28"/>
      <c r="L479" s="32"/>
      <c r="M479" s="32"/>
      <c r="N479" s="31" t="n">
        <f aca="false">IF(OR(G479="",M479=""),0,IF(M479&gt;100,M479,G479*IF(M479&gt;1,M479/100,M479)))</f>
        <v>0</v>
      </c>
      <c r="O479" s="31" t="str">
        <f aca="false">IF(G479="","",G479*IF(L479="",0,IF(L479&gt;1,L479/100,L479))+N479)</f>
        <v/>
      </c>
      <c r="P479" s="28"/>
      <c r="Q479" s="33" t="str">
        <f aca="false">IF(P479="","",IFERROR(VLOOKUP(P479,PARTNERS!$A$2:$B$30,2,0),""))</f>
        <v/>
      </c>
      <c r="R479" s="17" t="str">
        <f aca="false">IF(O479="","",IF(OR(P479="",Q479=""),0,(O479-N479)*IF(Q479&gt;1,Q479/100,Q479)))</f>
        <v/>
      </c>
      <c r="S479" s="31" t="str">
        <f aca="false">IF(O479="","",O479-R479)</f>
        <v/>
      </c>
      <c r="T479" s="28"/>
      <c r="U479" s="34" t="str">
        <f aca="false">IF(T479="","",IFERROR(VLOOKUP(T479,REPS!$A$2:$D$40,2,0),""))</f>
        <v/>
      </c>
      <c r="V479" s="31" t="str">
        <f aca="false">IF(O479="","",IF(U479="",0,O479*IF(U479&gt;1,U479/100,U479)))</f>
        <v/>
      </c>
      <c r="W479" s="28"/>
      <c r="X479" s="34" t="str">
        <f aca="false">IF(W479="","",IFERROR(VLOOKUP(W479,REPS!$A$2:$D$40,3,0),""))</f>
        <v/>
      </c>
      <c r="Y479" s="31" t="str">
        <f aca="false">IF(O479="","",IF(X479="",0,O479*IF(X479&gt;1,X479/100,X479)))</f>
        <v/>
      </c>
      <c r="Z479" s="28"/>
      <c r="AA479" s="34" t="str">
        <f aca="false">IF(Z479="","",IFERROR(VLOOKUP(Z479,REPS!$A$2:$D$40,4,0),""))</f>
        <v/>
      </c>
      <c r="AB479" s="31" t="str">
        <f aca="false">IF(O479="","",IF(AA479="",0,O479*IF(AA479&gt;1,AA479/100,AA479)))</f>
        <v/>
      </c>
      <c r="AC479" s="31" t="str">
        <f aca="false">IF(O479="","",V479+Y479+AB479)</f>
        <v/>
      </c>
      <c r="AD479" s="19" t="str">
        <f aca="false">IF(O479="","",O479-R479-AC479)</f>
        <v/>
      </c>
      <c r="AE479" s="20"/>
      <c r="AF479" s="27"/>
      <c r="AG479" s="21" t="n">
        <f aca="false">IF(OR(AE479="",AE479=0),0,AE479*IF(U479="",0,IF(U479&gt;1,U479/100,U479)))</f>
        <v>0</v>
      </c>
      <c r="AH479" s="21" t="n">
        <f aca="false">IF(OR(AE479="",AE479=0),0,AE479*IF(X479="",0,IF(X479&gt;1,X479/100,X479)))</f>
        <v>0</v>
      </c>
      <c r="AI479" s="21" t="n">
        <f aca="false">IF(OR(AE479="",AE479=0),0,AE479*IF(AA479="",0,IF(AA479&gt;1,AA479/100,AA479)))</f>
        <v>0</v>
      </c>
      <c r="AJ479" s="21" t="n">
        <f aca="false">AG479+AH479+AI479</f>
        <v>0</v>
      </c>
      <c r="AK479" s="21" t="n">
        <f aca="false">IF(OR(AE479="",AE479=0),0,AE479-AJ479)</f>
        <v>0</v>
      </c>
      <c r="AL479" s="19" t="str">
        <f aca="false">IF(AD479="","",AD479-AK479)</f>
        <v/>
      </c>
      <c r="AM479" s="26" t="str">
        <f aca="false">IF(C479="","","Waiting for payment")</f>
        <v/>
      </c>
      <c r="AN479" s="27"/>
      <c r="AO479" s="27"/>
      <c r="AP479" s="35" t="str">
        <f aca="false">IF(OR(C479="",I479="",K479=""),"",IF(K479="Monthly",EDATE(C479,ROUND(I479*SETTINGS!$I$8,0)),WORKDAY(C479,ROUND(I479*SETTINGS!$I$8,0))))</f>
        <v/>
      </c>
      <c r="AQ479" s="26" t="str">
        <f aca="true">IF(C479="","",IF(AND(AP479&lt;&gt;"",TODAY()&gt;=AP479),"Refi Ready",IF(TODAY()-C479&gt;=SETTINGS!$I$11,"Prospecting","Performing")))</f>
        <v/>
      </c>
      <c r="AR479" s="35" t="str">
        <f aca="false">IF(OR(C479="",I479="",K479=""),"",IF(K479="Monthly",EDATE(C479,I479),WORKDAY(C479,I479)))</f>
        <v/>
      </c>
      <c r="AS479" s="28"/>
      <c r="AT479" s="36" t="str">
        <f aca="true">IF(C479="","",IF(AM479="Clawed Back","CLAWED",IF(TODAY()&lt;=C479+SETTINGS!$I$2,"⚠ AT RISK","SAFE")))</f>
        <v/>
      </c>
      <c r="AU479" s="28"/>
      <c r="AW479" s="24" t="n">
        <f aca="false">AW478+IF(AND(C479&lt;&gt;"",AO479&lt;&gt;"",OR('REP COMMISSION'!$B$3="",T479='REP COMMISSION'!$B$3,W479='REP COMMISSION'!$B$3,Z479='REP COMMISSION'!$B$3)),1,0)</f>
        <v>0</v>
      </c>
      <c r="AX479" s="24" t="n">
        <f aca="false">AX478+IF(AND(C479&lt;&gt;"",OR(F479="LOC - INITIAL",F479="CONSOLIDATION - UPFRONT COMM",F479="REVERSE - TOTAL FUNDING")),1,0)</f>
        <v>0</v>
      </c>
    </row>
    <row r="480" customFormat="false" ht="15" hidden="false" customHeight="false" outlineLevel="0" collapsed="false">
      <c r="A480" s="8" t="str">
        <f aca="false">IF(C480&lt;&gt;"","F27-"&amp;COUNT($C$4:C480),"")</f>
        <v/>
      </c>
      <c r="B480" s="9" t="str">
        <f aca="false">IF(OR(F480="LOC - INITIAL",F480="CONSOLIDATION - UPFRONT COMM",F480="REVERSE - TOTAL FUNDING"),A480,"")</f>
        <v/>
      </c>
      <c r="C480" s="10"/>
      <c r="D480" s="11"/>
      <c r="E480" s="11"/>
      <c r="F480" s="11"/>
      <c r="G480" s="12"/>
      <c r="H480" s="13"/>
      <c r="I480" s="11"/>
      <c r="J480" s="14" t="str">
        <f aca="false">IF(AND(G480&lt;&gt;"",H480&lt;&gt;""),G480*H480,"")</f>
        <v/>
      </c>
      <c r="K480" s="11"/>
      <c r="L480" s="15"/>
      <c r="M480" s="15"/>
      <c r="N480" s="14" t="n">
        <f aca="false">IF(OR(G480="",M480=""),0,IF(M480&gt;100,M480,G480*IF(M480&gt;1,M480/100,M480)))</f>
        <v>0</v>
      </c>
      <c r="O480" s="14" t="str">
        <f aca="false">IF(G480="","",G480*IF(L480="",0,IF(L480&gt;1,L480/100,L480))+N480)</f>
        <v/>
      </c>
      <c r="P480" s="11"/>
      <c r="Q480" s="16" t="str">
        <f aca="false">IF(P480="","",IFERROR(VLOOKUP(P480,PARTNERS!$A$2:$B$30,2,0),""))</f>
        <v/>
      </c>
      <c r="R480" s="17" t="str">
        <f aca="false">IF(O480="","",IF(OR(P480="",Q480=""),0,(O480-N480)*IF(Q480&gt;1,Q480/100,Q480)))</f>
        <v/>
      </c>
      <c r="S480" s="14" t="str">
        <f aca="false">IF(O480="","",O480-R480)</f>
        <v/>
      </c>
      <c r="T480" s="11"/>
      <c r="U480" s="18" t="str">
        <f aca="false">IF(T480="","",IFERROR(VLOOKUP(T480,REPS!$A$2:$D$40,2,0),""))</f>
        <v/>
      </c>
      <c r="V480" s="14" t="str">
        <f aca="false">IF(O480="","",IF(U480="",0,O480*IF(U480&gt;1,U480/100,U480)))</f>
        <v/>
      </c>
      <c r="W480" s="11"/>
      <c r="X480" s="18" t="str">
        <f aca="false">IF(W480="","",IFERROR(VLOOKUP(W480,REPS!$A$2:$D$40,3,0),""))</f>
        <v/>
      </c>
      <c r="Y480" s="14" t="str">
        <f aca="false">IF(O480="","",IF(X480="",0,O480*IF(X480&gt;1,X480/100,X480)))</f>
        <v/>
      </c>
      <c r="Z480" s="11"/>
      <c r="AA480" s="18" t="str">
        <f aca="false">IF(Z480="","",IFERROR(VLOOKUP(Z480,REPS!$A$2:$D$40,4,0),""))</f>
        <v/>
      </c>
      <c r="AB480" s="14" t="str">
        <f aca="false">IF(O480="","",IF(AA480="",0,O480*IF(AA480&gt;1,AA480/100,AA480)))</f>
        <v/>
      </c>
      <c r="AC480" s="14" t="str">
        <f aca="false">IF(O480="","",V480+Y480+AB480)</f>
        <v/>
      </c>
      <c r="AD480" s="19" t="str">
        <f aca="false">IF(O480="","",O480-R480-AC480)</f>
        <v/>
      </c>
      <c r="AE480" s="20"/>
      <c r="AF480" s="10"/>
      <c r="AG480" s="21" t="n">
        <f aca="false">IF(OR(AE480="",AE480=0),0,AE480*IF(U480="",0,IF(U480&gt;1,U480/100,U480)))</f>
        <v>0</v>
      </c>
      <c r="AH480" s="21" t="n">
        <f aca="false">IF(OR(AE480="",AE480=0),0,AE480*IF(X480="",0,IF(X480&gt;1,X480/100,X480)))</f>
        <v>0</v>
      </c>
      <c r="AI480" s="21" t="n">
        <f aca="false">IF(OR(AE480="",AE480=0),0,AE480*IF(AA480="",0,IF(AA480&gt;1,AA480/100,AA480)))</f>
        <v>0</v>
      </c>
      <c r="AJ480" s="21" t="n">
        <f aca="false">AG480+AH480+AI480</f>
        <v>0</v>
      </c>
      <c r="AK480" s="21" t="n">
        <f aca="false">IF(OR(AE480="",AE480=0),0,AE480-AJ480)</f>
        <v>0</v>
      </c>
      <c r="AL480" s="19" t="str">
        <f aca="false">IF(AD480="","",AD480-AK480)</f>
        <v/>
      </c>
      <c r="AM480" s="9" t="str">
        <f aca="false">IF(C480="","","Waiting for payment")</f>
        <v/>
      </c>
      <c r="AN480" s="10"/>
      <c r="AO480" s="10"/>
      <c r="AP480" s="22" t="str">
        <f aca="false">IF(OR(C480="",I480="",K480=""),"",IF(K480="Monthly",EDATE(C480,ROUND(I480*SETTINGS!$I$8,0)),WORKDAY(C480,ROUND(I480*SETTINGS!$I$8,0))))</f>
        <v/>
      </c>
      <c r="AQ480" s="9" t="str">
        <f aca="true">IF(C480="","",IF(AND(AP480&lt;&gt;"",TODAY()&gt;=AP480),"Refi Ready",IF(TODAY()-C480&gt;=SETTINGS!$I$11,"Prospecting","Performing")))</f>
        <v/>
      </c>
      <c r="AR480" s="22" t="str">
        <f aca="false">IF(OR(C480="",I480="",K480=""),"",IF(K480="Monthly",EDATE(C480,I480),WORKDAY(C480,I480)))</f>
        <v/>
      </c>
      <c r="AS480" s="11"/>
      <c r="AT480" s="23" t="str">
        <f aca="true">IF(C480="","",IF(AM480="Clawed Back","CLAWED",IF(TODAY()&lt;=C480+SETTINGS!$I$2,"⚠ AT RISK","SAFE")))</f>
        <v/>
      </c>
      <c r="AU480" s="11"/>
      <c r="AW480" s="24" t="n">
        <f aca="false">AW479+IF(AND(C480&lt;&gt;"",AO480&lt;&gt;"",OR('REP COMMISSION'!$B$3="",T480='REP COMMISSION'!$B$3,W480='REP COMMISSION'!$B$3,Z480='REP COMMISSION'!$B$3)),1,0)</f>
        <v>0</v>
      </c>
      <c r="AX480" s="24" t="n">
        <f aca="false">AX479+IF(AND(C480&lt;&gt;"",OR(F480="LOC - INITIAL",F480="CONSOLIDATION - UPFRONT COMM",F480="REVERSE - TOTAL FUNDING")),1,0)</f>
        <v>0</v>
      </c>
    </row>
    <row r="481" customFormat="false" ht="15" hidden="false" customHeight="false" outlineLevel="0" collapsed="false">
      <c r="A481" s="25" t="str">
        <f aca="false">IF(C481&lt;&gt;"","F27-"&amp;COUNT($C$4:C481),"")</f>
        <v/>
      </c>
      <c r="B481" s="26" t="str">
        <f aca="false">IF(OR(F481="LOC - INITIAL",F481="CONSOLIDATION - UPFRONT COMM",F481="REVERSE - TOTAL FUNDING"),A481,"")</f>
        <v/>
      </c>
      <c r="C481" s="27"/>
      <c r="D481" s="28"/>
      <c r="E481" s="28"/>
      <c r="F481" s="28"/>
      <c r="G481" s="29"/>
      <c r="H481" s="30"/>
      <c r="I481" s="28"/>
      <c r="J481" s="31" t="str">
        <f aca="false">IF(AND(G481&lt;&gt;"",H481&lt;&gt;""),G481*H481,"")</f>
        <v/>
      </c>
      <c r="K481" s="28"/>
      <c r="L481" s="32"/>
      <c r="M481" s="32"/>
      <c r="N481" s="31" t="n">
        <f aca="false">IF(OR(G481="",M481=""),0,IF(M481&gt;100,M481,G481*IF(M481&gt;1,M481/100,M481)))</f>
        <v>0</v>
      </c>
      <c r="O481" s="31" t="str">
        <f aca="false">IF(G481="","",G481*IF(L481="",0,IF(L481&gt;1,L481/100,L481))+N481)</f>
        <v/>
      </c>
      <c r="P481" s="28"/>
      <c r="Q481" s="33" t="str">
        <f aca="false">IF(P481="","",IFERROR(VLOOKUP(P481,PARTNERS!$A$2:$B$30,2,0),""))</f>
        <v/>
      </c>
      <c r="R481" s="17" t="str">
        <f aca="false">IF(O481="","",IF(OR(P481="",Q481=""),0,(O481-N481)*IF(Q481&gt;1,Q481/100,Q481)))</f>
        <v/>
      </c>
      <c r="S481" s="31" t="str">
        <f aca="false">IF(O481="","",O481-R481)</f>
        <v/>
      </c>
      <c r="T481" s="28"/>
      <c r="U481" s="34" t="str">
        <f aca="false">IF(T481="","",IFERROR(VLOOKUP(T481,REPS!$A$2:$D$40,2,0),""))</f>
        <v/>
      </c>
      <c r="V481" s="31" t="str">
        <f aca="false">IF(O481="","",IF(U481="",0,O481*IF(U481&gt;1,U481/100,U481)))</f>
        <v/>
      </c>
      <c r="W481" s="28"/>
      <c r="X481" s="34" t="str">
        <f aca="false">IF(W481="","",IFERROR(VLOOKUP(W481,REPS!$A$2:$D$40,3,0),""))</f>
        <v/>
      </c>
      <c r="Y481" s="31" t="str">
        <f aca="false">IF(O481="","",IF(X481="",0,O481*IF(X481&gt;1,X481/100,X481)))</f>
        <v/>
      </c>
      <c r="Z481" s="28"/>
      <c r="AA481" s="34" t="str">
        <f aca="false">IF(Z481="","",IFERROR(VLOOKUP(Z481,REPS!$A$2:$D$40,4,0),""))</f>
        <v/>
      </c>
      <c r="AB481" s="31" t="str">
        <f aca="false">IF(O481="","",IF(AA481="",0,O481*IF(AA481&gt;1,AA481/100,AA481)))</f>
        <v/>
      </c>
      <c r="AC481" s="31" t="str">
        <f aca="false">IF(O481="","",V481+Y481+AB481)</f>
        <v/>
      </c>
      <c r="AD481" s="19" t="str">
        <f aca="false">IF(O481="","",O481-R481-AC481)</f>
        <v/>
      </c>
      <c r="AE481" s="20"/>
      <c r="AF481" s="27"/>
      <c r="AG481" s="21" t="n">
        <f aca="false">IF(OR(AE481="",AE481=0),0,AE481*IF(U481="",0,IF(U481&gt;1,U481/100,U481)))</f>
        <v>0</v>
      </c>
      <c r="AH481" s="21" t="n">
        <f aca="false">IF(OR(AE481="",AE481=0),0,AE481*IF(X481="",0,IF(X481&gt;1,X481/100,X481)))</f>
        <v>0</v>
      </c>
      <c r="AI481" s="21" t="n">
        <f aca="false">IF(OR(AE481="",AE481=0),0,AE481*IF(AA481="",0,IF(AA481&gt;1,AA481/100,AA481)))</f>
        <v>0</v>
      </c>
      <c r="AJ481" s="21" t="n">
        <f aca="false">AG481+AH481+AI481</f>
        <v>0</v>
      </c>
      <c r="AK481" s="21" t="n">
        <f aca="false">IF(OR(AE481="",AE481=0),0,AE481-AJ481)</f>
        <v>0</v>
      </c>
      <c r="AL481" s="19" t="str">
        <f aca="false">IF(AD481="","",AD481-AK481)</f>
        <v/>
      </c>
      <c r="AM481" s="26" t="str">
        <f aca="false">IF(C481="","","Waiting for payment")</f>
        <v/>
      </c>
      <c r="AN481" s="27"/>
      <c r="AO481" s="27"/>
      <c r="AP481" s="35" t="str">
        <f aca="false">IF(OR(C481="",I481="",K481=""),"",IF(K481="Monthly",EDATE(C481,ROUND(I481*SETTINGS!$I$8,0)),WORKDAY(C481,ROUND(I481*SETTINGS!$I$8,0))))</f>
        <v/>
      </c>
      <c r="AQ481" s="26" t="str">
        <f aca="true">IF(C481="","",IF(AND(AP481&lt;&gt;"",TODAY()&gt;=AP481),"Refi Ready",IF(TODAY()-C481&gt;=SETTINGS!$I$11,"Prospecting","Performing")))</f>
        <v/>
      </c>
      <c r="AR481" s="35" t="str">
        <f aca="false">IF(OR(C481="",I481="",K481=""),"",IF(K481="Monthly",EDATE(C481,I481),WORKDAY(C481,I481)))</f>
        <v/>
      </c>
      <c r="AS481" s="28"/>
      <c r="AT481" s="36" t="str">
        <f aca="true">IF(C481="","",IF(AM481="Clawed Back","CLAWED",IF(TODAY()&lt;=C481+SETTINGS!$I$2,"⚠ AT RISK","SAFE")))</f>
        <v/>
      </c>
      <c r="AU481" s="28"/>
      <c r="AW481" s="24" t="n">
        <f aca="false">AW480+IF(AND(C481&lt;&gt;"",AO481&lt;&gt;"",OR('REP COMMISSION'!$B$3="",T481='REP COMMISSION'!$B$3,W481='REP COMMISSION'!$B$3,Z481='REP COMMISSION'!$B$3)),1,0)</f>
        <v>0</v>
      </c>
      <c r="AX481" s="24" t="n">
        <f aca="false">AX480+IF(AND(C481&lt;&gt;"",OR(F481="LOC - INITIAL",F481="CONSOLIDATION - UPFRONT COMM",F481="REVERSE - TOTAL FUNDING")),1,0)</f>
        <v>0</v>
      </c>
    </row>
    <row r="482" customFormat="false" ht="15" hidden="false" customHeight="false" outlineLevel="0" collapsed="false">
      <c r="A482" s="8" t="str">
        <f aca="false">IF(C482&lt;&gt;"","F27-"&amp;COUNT($C$4:C482),"")</f>
        <v/>
      </c>
      <c r="B482" s="9" t="str">
        <f aca="false">IF(OR(F482="LOC - INITIAL",F482="CONSOLIDATION - UPFRONT COMM",F482="REVERSE - TOTAL FUNDING"),A482,"")</f>
        <v/>
      </c>
      <c r="C482" s="10"/>
      <c r="D482" s="11"/>
      <c r="E482" s="11"/>
      <c r="F482" s="11"/>
      <c r="G482" s="12"/>
      <c r="H482" s="13"/>
      <c r="I482" s="11"/>
      <c r="J482" s="14" t="str">
        <f aca="false">IF(AND(G482&lt;&gt;"",H482&lt;&gt;""),G482*H482,"")</f>
        <v/>
      </c>
      <c r="K482" s="11"/>
      <c r="L482" s="15"/>
      <c r="M482" s="15"/>
      <c r="N482" s="14" t="n">
        <f aca="false">IF(OR(G482="",M482=""),0,IF(M482&gt;100,M482,G482*IF(M482&gt;1,M482/100,M482)))</f>
        <v>0</v>
      </c>
      <c r="O482" s="14" t="str">
        <f aca="false">IF(G482="","",G482*IF(L482="",0,IF(L482&gt;1,L482/100,L482))+N482)</f>
        <v/>
      </c>
      <c r="P482" s="11"/>
      <c r="Q482" s="16" t="str">
        <f aca="false">IF(P482="","",IFERROR(VLOOKUP(P482,PARTNERS!$A$2:$B$30,2,0),""))</f>
        <v/>
      </c>
      <c r="R482" s="17" t="str">
        <f aca="false">IF(O482="","",IF(OR(P482="",Q482=""),0,(O482-N482)*IF(Q482&gt;1,Q482/100,Q482)))</f>
        <v/>
      </c>
      <c r="S482" s="14" t="str">
        <f aca="false">IF(O482="","",O482-R482)</f>
        <v/>
      </c>
      <c r="T482" s="11"/>
      <c r="U482" s="18" t="str">
        <f aca="false">IF(T482="","",IFERROR(VLOOKUP(T482,REPS!$A$2:$D$40,2,0),""))</f>
        <v/>
      </c>
      <c r="V482" s="14" t="str">
        <f aca="false">IF(O482="","",IF(U482="",0,O482*IF(U482&gt;1,U482/100,U482)))</f>
        <v/>
      </c>
      <c r="W482" s="11"/>
      <c r="X482" s="18" t="str">
        <f aca="false">IF(W482="","",IFERROR(VLOOKUP(W482,REPS!$A$2:$D$40,3,0),""))</f>
        <v/>
      </c>
      <c r="Y482" s="14" t="str">
        <f aca="false">IF(O482="","",IF(X482="",0,O482*IF(X482&gt;1,X482/100,X482)))</f>
        <v/>
      </c>
      <c r="Z482" s="11"/>
      <c r="AA482" s="18" t="str">
        <f aca="false">IF(Z482="","",IFERROR(VLOOKUP(Z482,REPS!$A$2:$D$40,4,0),""))</f>
        <v/>
      </c>
      <c r="AB482" s="14" t="str">
        <f aca="false">IF(O482="","",IF(AA482="",0,O482*IF(AA482&gt;1,AA482/100,AA482)))</f>
        <v/>
      </c>
      <c r="AC482" s="14" t="str">
        <f aca="false">IF(O482="","",V482+Y482+AB482)</f>
        <v/>
      </c>
      <c r="AD482" s="19" t="str">
        <f aca="false">IF(O482="","",O482-R482-AC482)</f>
        <v/>
      </c>
      <c r="AE482" s="20"/>
      <c r="AF482" s="10"/>
      <c r="AG482" s="21" t="n">
        <f aca="false">IF(OR(AE482="",AE482=0),0,AE482*IF(U482="",0,IF(U482&gt;1,U482/100,U482)))</f>
        <v>0</v>
      </c>
      <c r="AH482" s="21" t="n">
        <f aca="false">IF(OR(AE482="",AE482=0),0,AE482*IF(X482="",0,IF(X482&gt;1,X482/100,X482)))</f>
        <v>0</v>
      </c>
      <c r="AI482" s="21" t="n">
        <f aca="false">IF(OR(AE482="",AE482=0),0,AE482*IF(AA482="",0,IF(AA482&gt;1,AA482/100,AA482)))</f>
        <v>0</v>
      </c>
      <c r="AJ482" s="21" t="n">
        <f aca="false">AG482+AH482+AI482</f>
        <v>0</v>
      </c>
      <c r="AK482" s="21" t="n">
        <f aca="false">IF(OR(AE482="",AE482=0),0,AE482-AJ482)</f>
        <v>0</v>
      </c>
      <c r="AL482" s="19" t="str">
        <f aca="false">IF(AD482="","",AD482-AK482)</f>
        <v/>
      </c>
      <c r="AM482" s="9" t="str">
        <f aca="false">IF(C482="","","Waiting for payment")</f>
        <v/>
      </c>
      <c r="AN482" s="10"/>
      <c r="AO482" s="10"/>
      <c r="AP482" s="22" t="str">
        <f aca="false">IF(OR(C482="",I482="",K482=""),"",IF(K482="Monthly",EDATE(C482,ROUND(I482*SETTINGS!$I$8,0)),WORKDAY(C482,ROUND(I482*SETTINGS!$I$8,0))))</f>
        <v/>
      </c>
      <c r="AQ482" s="9" t="str">
        <f aca="true">IF(C482="","",IF(AND(AP482&lt;&gt;"",TODAY()&gt;=AP482),"Refi Ready",IF(TODAY()-C482&gt;=SETTINGS!$I$11,"Prospecting","Performing")))</f>
        <v/>
      </c>
      <c r="AR482" s="22" t="str">
        <f aca="false">IF(OR(C482="",I482="",K482=""),"",IF(K482="Monthly",EDATE(C482,I482),WORKDAY(C482,I482)))</f>
        <v/>
      </c>
      <c r="AS482" s="11"/>
      <c r="AT482" s="23" t="str">
        <f aca="true">IF(C482="","",IF(AM482="Clawed Back","CLAWED",IF(TODAY()&lt;=C482+SETTINGS!$I$2,"⚠ AT RISK","SAFE")))</f>
        <v/>
      </c>
      <c r="AU482" s="11"/>
      <c r="AW482" s="24" t="n">
        <f aca="false">AW481+IF(AND(C482&lt;&gt;"",AO482&lt;&gt;"",OR('REP COMMISSION'!$B$3="",T482='REP COMMISSION'!$B$3,W482='REP COMMISSION'!$B$3,Z482='REP COMMISSION'!$B$3)),1,0)</f>
        <v>0</v>
      </c>
      <c r="AX482" s="24" t="n">
        <f aca="false">AX481+IF(AND(C482&lt;&gt;"",OR(F482="LOC - INITIAL",F482="CONSOLIDATION - UPFRONT COMM",F482="REVERSE - TOTAL FUNDING")),1,0)</f>
        <v>0</v>
      </c>
    </row>
    <row r="483" customFormat="false" ht="15" hidden="false" customHeight="false" outlineLevel="0" collapsed="false">
      <c r="A483" s="25" t="str">
        <f aca="false">IF(C483&lt;&gt;"","F27-"&amp;COUNT($C$4:C483),"")</f>
        <v/>
      </c>
      <c r="B483" s="26" t="str">
        <f aca="false">IF(OR(F483="LOC - INITIAL",F483="CONSOLIDATION - UPFRONT COMM",F483="REVERSE - TOTAL FUNDING"),A483,"")</f>
        <v/>
      </c>
      <c r="C483" s="27"/>
      <c r="D483" s="28"/>
      <c r="E483" s="28"/>
      <c r="F483" s="28"/>
      <c r="G483" s="29"/>
      <c r="H483" s="30"/>
      <c r="I483" s="28"/>
      <c r="J483" s="31" t="str">
        <f aca="false">IF(AND(G483&lt;&gt;"",H483&lt;&gt;""),G483*H483,"")</f>
        <v/>
      </c>
      <c r="K483" s="28"/>
      <c r="L483" s="32"/>
      <c r="M483" s="32"/>
      <c r="N483" s="31" t="n">
        <f aca="false">IF(OR(G483="",M483=""),0,IF(M483&gt;100,M483,G483*IF(M483&gt;1,M483/100,M483)))</f>
        <v>0</v>
      </c>
      <c r="O483" s="31" t="str">
        <f aca="false">IF(G483="","",G483*IF(L483="",0,IF(L483&gt;1,L483/100,L483))+N483)</f>
        <v/>
      </c>
      <c r="P483" s="28"/>
      <c r="Q483" s="33" t="str">
        <f aca="false">IF(P483="","",IFERROR(VLOOKUP(P483,PARTNERS!$A$2:$B$30,2,0),""))</f>
        <v/>
      </c>
      <c r="R483" s="17" t="str">
        <f aca="false">IF(O483="","",IF(OR(P483="",Q483=""),0,(O483-N483)*IF(Q483&gt;1,Q483/100,Q483)))</f>
        <v/>
      </c>
      <c r="S483" s="31" t="str">
        <f aca="false">IF(O483="","",O483-R483)</f>
        <v/>
      </c>
      <c r="T483" s="28"/>
      <c r="U483" s="34" t="str">
        <f aca="false">IF(T483="","",IFERROR(VLOOKUP(T483,REPS!$A$2:$D$40,2,0),""))</f>
        <v/>
      </c>
      <c r="V483" s="31" t="str">
        <f aca="false">IF(O483="","",IF(U483="",0,O483*IF(U483&gt;1,U483/100,U483)))</f>
        <v/>
      </c>
      <c r="W483" s="28"/>
      <c r="X483" s="34" t="str">
        <f aca="false">IF(W483="","",IFERROR(VLOOKUP(W483,REPS!$A$2:$D$40,3,0),""))</f>
        <v/>
      </c>
      <c r="Y483" s="31" t="str">
        <f aca="false">IF(O483="","",IF(X483="",0,O483*IF(X483&gt;1,X483/100,X483)))</f>
        <v/>
      </c>
      <c r="Z483" s="28"/>
      <c r="AA483" s="34" t="str">
        <f aca="false">IF(Z483="","",IFERROR(VLOOKUP(Z483,REPS!$A$2:$D$40,4,0),""))</f>
        <v/>
      </c>
      <c r="AB483" s="31" t="str">
        <f aca="false">IF(O483="","",IF(AA483="",0,O483*IF(AA483&gt;1,AA483/100,AA483)))</f>
        <v/>
      </c>
      <c r="AC483" s="31" t="str">
        <f aca="false">IF(O483="","",V483+Y483+AB483)</f>
        <v/>
      </c>
      <c r="AD483" s="19" t="str">
        <f aca="false">IF(O483="","",O483-R483-AC483)</f>
        <v/>
      </c>
      <c r="AE483" s="20"/>
      <c r="AF483" s="27"/>
      <c r="AG483" s="21" t="n">
        <f aca="false">IF(OR(AE483="",AE483=0),0,AE483*IF(U483="",0,IF(U483&gt;1,U483/100,U483)))</f>
        <v>0</v>
      </c>
      <c r="AH483" s="21" t="n">
        <f aca="false">IF(OR(AE483="",AE483=0),0,AE483*IF(X483="",0,IF(X483&gt;1,X483/100,X483)))</f>
        <v>0</v>
      </c>
      <c r="AI483" s="21" t="n">
        <f aca="false">IF(OR(AE483="",AE483=0),0,AE483*IF(AA483="",0,IF(AA483&gt;1,AA483/100,AA483)))</f>
        <v>0</v>
      </c>
      <c r="AJ483" s="21" t="n">
        <f aca="false">AG483+AH483+AI483</f>
        <v>0</v>
      </c>
      <c r="AK483" s="21" t="n">
        <f aca="false">IF(OR(AE483="",AE483=0),0,AE483-AJ483)</f>
        <v>0</v>
      </c>
      <c r="AL483" s="19" t="str">
        <f aca="false">IF(AD483="","",AD483-AK483)</f>
        <v/>
      </c>
      <c r="AM483" s="26" t="str">
        <f aca="false">IF(C483="","","Waiting for payment")</f>
        <v/>
      </c>
      <c r="AN483" s="27"/>
      <c r="AO483" s="27"/>
      <c r="AP483" s="35" t="str">
        <f aca="false">IF(OR(C483="",I483="",K483=""),"",IF(K483="Monthly",EDATE(C483,ROUND(I483*SETTINGS!$I$8,0)),WORKDAY(C483,ROUND(I483*SETTINGS!$I$8,0))))</f>
        <v/>
      </c>
      <c r="AQ483" s="26" t="str">
        <f aca="true">IF(C483="","",IF(AND(AP483&lt;&gt;"",TODAY()&gt;=AP483),"Refi Ready",IF(TODAY()-C483&gt;=SETTINGS!$I$11,"Prospecting","Performing")))</f>
        <v/>
      </c>
      <c r="AR483" s="35" t="str">
        <f aca="false">IF(OR(C483="",I483="",K483=""),"",IF(K483="Monthly",EDATE(C483,I483),WORKDAY(C483,I483)))</f>
        <v/>
      </c>
      <c r="AS483" s="28"/>
      <c r="AT483" s="36" t="str">
        <f aca="true">IF(C483="","",IF(AM483="Clawed Back","CLAWED",IF(TODAY()&lt;=C483+SETTINGS!$I$2,"⚠ AT RISK","SAFE")))</f>
        <v/>
      </c>
      <c r="AU483" s="28"/>
      <c r="AW483" s="24" t="n">
        <f aca="false">AW482+IF(AND(C483&lt;&gt;"",AO483&lt;&gt;"",OR('REP COMMISSION'!$B$3="",T483='REP COMMISSION'!$B$3,W483='REP COMMISSION'!$B$3,Z483='REP COMMISSION'!$B$3)),1,0)</f>
        <v>0</v>
      </c>
      <c r="AX483" s="24" t="n">
        <f aca="false">AX482+IF(AND(C483&lt;&gt;"",OR(F483="LOC - INITIAL",F483="CONSOLIDATION - UPFRONT COMM",F483="REVERSE - TOTAL FUNDING")),1,0)</f>
        <v>0</v>
      </c>
    </row>
    <row r="484" customFormat="false" ht="15" hidden="false" customHeight="false" outlineLevel="0" collapsed="false">
      <c r="A484" s="8" t="str">
        <f aca="false">IF(C484&lt;&gt;"","F27-"&amp;COUNT($C$4:C484),"")</f>
        <v/>
      </c>
      <c r="B484" s="9" t="str">
        <f aca="false">IF(OR(F484="LOC - INITIAL",F484="CONSOLIDATION - UPFRONT COMM",F484="REVERSE - TOTAL FUNDING"),A484,"")</f>
        <v/>
      </c>
      <c r="C484" s="10"/>
      <c r="D484" s="11"/>
      <c r="E484" s="11"/>
      <c r="F484" s="11"/>
      <c r="G484" s="12"/>
      <c r="H484" s="13"/>
      <c r="I484" s="11"/>
      <c r="J484" s="14" t="str">
        <f aca="false">IF(AND(G484&lt;&gt;"",H484&lt;&gt;""),G484*H484,"")</f>
        <v/>
      </c>
      <c r="K484" s="11"/>
      <c r="L484" s="15"/>
      <c r="M484" s="15"/>
      <c r="N484" s="14" t="n">
        <f aca="false">IF(OR(G484="",M484=""),0,IF(M484&gt;100,M484,G484*IF(M484&gt;1,M484/100,M484)))</f>
        <v>0</v>
      </c>
      <c r="O484" s="14" t="str">
        <f aca="false">IF(G484="","",G484*IF(L484="",0,IF(L484&gt;1,L484/100,L484))+N484)</f>
        <v/>
      </c>
      <c r="P484" s="11"/>
      <c r="Q484" s="16" t="str">
        <f aca="false">IF(P484="","",IFERROR(VLOOKUP(P484,PARTNERS!$A$2:$B$30,2,0),""))</f>
        <v/>
      </c>
      <c r="R484" s="17" t="str">
        <f aca="false">IF(O484="","",IF(OR(P484="",Q484=""),0,(O484-N484)*IF(Q484&gt;1,Q484/100,Q484)))</f>
        <v/>
      </c>
      <c r="S484" s="14" t="str">
        <f aca="false">IF(O484="","",O484-R484)</f>
        <v/>
      </c>
      <c r="T484" s="11"/>
      <c r="U484" s="18" t="str">
        <f aca="false">IF(T484="","",IFERROR(VLOOKUP(T484,REPS!$A$2:$D$40,2,0),""))</f>
        <v/>
      </c>
      <c r="V484" s="14" t="str">
        <f aca="false">IF(O484="","",IF(U484="",0,O484*IF(U484&gt;1,U484/100,U484)))</f>
        <v/>
      </c>
      <c r="W484" s="11"/>
      <c r="X484" s="18" t="str">
        <f aca="false">IF(W484="","",IFERROR(VLOOKUP(W484,REPS!$A$2:$D$40,3,0),""))</f>
        <v/>
      </c>
      <c r="Y484" s="14" t="str">
        <f aca="false">IF(O484="","",IF(X484="",0,O484*IF(X484&gt;1,X484/100,X484)))</f>
        <v/>
      </c>
      <c r="Z484" s="11"/>
      <c r="AA484" s="18" t="str">
        <f aca="false">IF(Z484="","",IFERROR(VLOOKUP(Z484,REPS!$A$2:$D$40,4,0),""))</f>
        <v/>
      </c>
      <c r="AB484" s="14" t="str">
        <f aca="false">IF(O484="","",IF(AA484="",0,O484*IF(AA484&gt;1,AA484/100,AA484)))</f>
        <v/>
      </c>
      <c r="AC484" s="14" t="str">
        <f aca="false">IF(O484="","",V484+Y484+AB484)</f>
        <v/>
      </c>
      <c r="AD484" s="19" t="str">
        <f aca="false">IF(O484="","",O484-R484-AC484)</f>
        <v/>
      </c>
      <c r="AE484" s="20"/>
      <c r="AF484" s="10"/>
      <c r="AG484" s="21" t="n">
        <f aca="false">IF(OR(AE484="",AE484=0),0,AE484*IF(U484="",0,IF(U484&gt;1,U484/100,U484)))</f>
        <v>0</v>
      </c>
      <c r="AH484" s="21" t="n">
        <f aca="false">IF(OR(AE484="",AE484=0),0,AE484*IF(X484="",0,IF(X484&gt;1,X484/100,X484)))</f>
        <v>0</v>
      </c>
      <c r="AI484" s="21" t="n">
        <f aca="false">IF(OR(AE484="",AE484=0),0,AE484*IF(AA484="",0,IF(AA484&gt;1,AA484/100,AA484)))</f>
        <v>0</v>
      </c>
      <c r="AJ484" s="21" t="n">
        <f aca="false">AG484+AH484+AI484</f>
        <v>0</v>
      </c>
      <c r="AK484" s="21" t="n">
        <f aca="false">IF(OR(AE484="",AE484=0),0,AE484-AJ484)</f>
        <v>0</v>
      </c>
      <c r="AL484" s="19" t="str">
        <f aca="false">IF(AD484="","",AD484-AK484)</f>
        <v/>
      </c>
      <c r="AM484" s="9" t="str">
        <f aca="false">IF(C484="","","Waiting for payment")</f>
        <v/>
      </c>
      <c r="AN484" s="10"/>
      <c r="AO484" s="10"/>
      <c r="AP484" s="22" t="str">
        <f aca="false">IF(OR(C484="",I484="",K484=""),"",IF(K484="Monthly",EDATE(C484,ROUND(I484*SETTINGS!$I$8,0)),WORKDAY(C484,ROUND(I484*SETTINGS!$I$8,0))))</f>
        <v/>
      </c>
      <c r="AQ484" s="9" t="str">
        <f aca="true">IF(C484="","",IF(AND(AP484&lt;&gt;"",TODAY()&gt;=AP484),"Refi Ready",IF(TODAY()-C484&gt;=SETTINGS!$I$11,"Prospecting","Performing")))</f>
        <v/>
      </c>
      <c r="AR484" s="22" t="str">
        <f aca="false">IF(OR(C484="",I484="",K484=""),"",IF(K484="Monthly",EDATE(C484,I484),WORKDAY(C484,I484)))</f>
        <v/>
      </c>
      <c r="AS484" s="11"/>
      <c r="AT484" s="23" t="str">
        <f aca="true">IF(C484="","",IF(AM484="Clawed Back","CLAWED",IF(TODAY()&lt;=C484+SETTINGS!$I$2,"⚠ AT RISK","SAFE")))</f>
        <v/>
      </c>
      <c r="AU484" s="11"/>
      <c r="AW484" s="24" t="n">
        <f aca="false">AW483+IF(AND(C484&lt;&gt;"",AO484&lt;&gt;"",OR('REP COMMISSION'!$B$3="",T484='REP COMMISSION'!$B$3,W484='REP COMMISSION'!$B$3,Z484='REP COMMISSION'!$B$3)),1,0)</f>
        <v>0</v>
      </c>
      <c r="AX484" s="24" t="n">
        <f aca="false">AX483+IF(AND(C484&lt;&gt;"",OR(F484="LOC - INITIAL",F484="CONSOLIDATION - UPFRONT COMM",F484="REVERSE - TOTAL FUNDING")),1,0)</f>
        <v>0</v>
      </c>
    </row>
    <row r="485" customFormat="false" ht="15" hidden="false" customHeight="false" outlineLevel="0" collapsed="false">
      <c r="A485" s="25" t="str">
        <f aca="false">IF(C485&lt;&gt;"","F27-"&amp;COUNT($C$4:C485),"")</f>
        <v/>
      </c>
      <c r="B485" s="26" t="str">
        <f aca="false">IF(OR(F485="LOC - INITIAL",F485="CONSOLIDATION - UPFRONT COMM",F485="REVERSE - TOTAL FUNDING"),A485,"")</f>
        <v/>
      </c>
      <c r="C485" s="27"/>
      <c r="D485" s="28"/>
      <c r="E485" s="28"/>
      <c r="F485" s="28"/>
      <c r="G485" s="29"/>
      <c r="H485" s="30"/>
      <c r="I485" s="28"/>
      <c r="J485" s="31" t="str">
        <f aca="false">IF(AND(G485&lt;&gt;"",H485&lt;&gt;""),G485*H485,"")</f>
        <v/>
      </c>
      <c r="K485" s="28"/>
      <c r="L485" s="32"/>
      <c r="M485" s="32"/>
      <c r="N485" s="31" t="n">
        <f aca="false">IF(OR(G485="",M485=""),0,IF(M485&gt;100,M485,G485*IF(M485&gt;1,M485/100,M485)))</f>
        <v>0</v>
      </c>
      <c r="O485" s="31" t="str">
        <f aca="false">IF(G485="","",G485*IF(L485="",0,IF(L485&gt;1,L485/100,L485))+N485)</f>
        <v/>
      </c>
      <c r="P485" s="28"/>
      <c r="Q485" s="33" t="str">
        <f aca="false">IF(P485="","",IFERROR(VLOOKUP(P485,PARTNERS!$A$2:$B$30,2,0),""))</f>
        <v/>
      </c>
      <c r="R485" s="17" t="str">
        <f aca="false">IF(O485="","",IF(OR(P485="",Q485=""),0,(O485-N485)*IF(Q485&gt;1,Q485/100,Q485)))</f>
        <v/>
      </c>
      <c r="S485" s="31" t="str">
        <f aca="false">IF(O485="","",O485-R485)</f>
        <v/>
      </c>
      <c r="T485" s="28"/>
      <c r="U485" s="34" t="str">
        <f aca="false">IF(T485="","",IFERROR(VLOOKUP(T485,REPS!$A$2:$D$40,2,0),""))</f>
        <v/>
      </c>
      <c r="V485" s="31" t="str">
        <f aca="false">IF(O485="","",IF(U485="",0,O485*IF(U485&gt;1,U485/100,U485)))</f>
        <v/>
      </c>
      <c r="W485" s="28"/>
      <c r="X485" s="34" t="str">
        <f aca="false">IF(W485="","",IFERROR(VLOOKUP(W485,REPS!$A$2:$D$40,3,0),""))</f>
        <v/>
      </c>
      <c r="Y485" s="31" t="str">
        <f aca="false">IF(O485="","",IF(X485="",0,O485*IF(X485&gt;1,X485/100,X485)))</f>
        <v/>
      </c>
      <c r="Z485" s="28"/>
      <c r="AA485" s="34" t="str">
        <f aca="false">IF(Z485="","",IFERROR(VLOOKUP(Z485,REPS!$A$2:$D$40,4,0),""))</f>
        <v/>
      </c>
      <c r="AB485" s="31" t="str">
        <f aca="false">IF(O485="","",IF(AA485="",0,O485*IF(AA485&gt;1,AA485/100,AA485)))</f>
        <v/>
      </c>
      <c r="AC485" s="31" t="str">
        <f aca="false">IF(O485="","",V485+Y485+AB485)</f>
        <v/>
      </c>
      <c r="AD485" s="19" t="str">
        <f aca="false">IF(O485="","",O485-R485-AC485)</f>
        <v/>
      </c>
      <c r="AE485" s="20"/>
      <c r="AF485" s="27"/>
      <c r="AG485" s="21" t="n">
        <f aca="false">IF(OR(AE485="",AE485=0),0,AE485*IF(U485="",0,IF(U485&gt;1,U485/100,U485)))</f>
        <v>0</v>
      </c>
      <c r="AH485" s="21" t="n">
        <f aca="false">IF(OR(AE485="",AE485=0),0,AE485*IF(X485="",0,IF(X485&gt;1,X485/100,X485)))</f>
        <v>0</v>
      </c>
      <c r="AI485" s="21" t="n">
        <f aca="false">IF(OR(AE485="",AE485=0),0,AE485*IF(AA485="",0,IF(AA485&gt;1,AA485/100,AA485)))</f>
        <v>0</v>
      </c>
      <c r="AJ485" s="21" t="n">
        <f aca="false">AG485+AH485+AI485</f>
        <v>0</v>
      </c>
      <c r="AK485" s="21" t="n">
        <f aca="false">IF(OR(AE485="",AE485=0),0,AE485-AJ485)</f>
        <v>0</v>
      </c>
      <c r="AL485" s="19" t="str">
        <f aca="false">IF(AD485="","",AD485-AK485)</f>
        <v/>
      </c>
      <c r="AM485" s="26" t="str">
        <f aca="false">IF(C485="","","Waiting for payment")</f>
        <v/>
      </c>
      <c r="AN485" s="27"/>
      <c r="AO485" s="27"/>
      <c r="AP485" s="35" t="str">
        <f aca="false">IF(OR(C485="",I485="",K485=""),"",IF(K485="Monthly",EDATE(C485,ROUND(I485*SETTINGS!$I$8,0)),WORKDAY(C485,ROUND(I485*SETTINGS!$I$8,0))))</f>
        <v/>
      </c>
      <c r="AQ485" s="26" t="str">
        <f aca="true">IF(C485="","",IF(AND(AP485&lt;&gt;"",TODAY()&gt;=AP485),"Refi Ready",IF(TODAY()-C485&gt;=SETTINGS!$I$11,"Prospecting","Performing")))</f>
        <v/>
      </c>
      <c r="AR485" s="35" t="str">
        <f aca="false">IF(OR(C485="",I485="",K485=""),"",IF(K485="Monthly",EDATE(C485,I485),WORKDAY(C485,I485)))</f>
        <v/>
      </c>
      <c r="AS485" s="28"/>
      <c r="AT485" s="36" t="str">
        <f aca="true">IF(C485="","",IF(AM485="Clawed Back","CLAWED",IF(TODAY()&lt;=C485+SETTINGS!$I$2,"⚠ AT RISK","SAFE")))</f>
        <v/>
      </c>
      <c r="AU485" s="28"/>
      <c r="AW485" s="24" t="n">
        <f aca="false">AW484+IF(AND(C485&lt;&gt;"",AO485&lt;&gt;"",OR('REP COMMISSION'!$B$3="",T485='REP COMMISSION'!$B$3,W485='REP COMMISSION'!$B$3,Z485='REP COMMISSION'!$B$3)),1,0)</f>
        <v>0</v>
      </c>
      <c r="AX485" s="24" t="n">
        <f aca="false">AX484+IF(AND(C485&lt;&gt;"",OR(F485="LOC - INITIAL",F485="CONSOLIDATION - UPFRONT COMM",F485="REVERSE - TOTAL FUNDING")),1,0)</f>
        <v>0</v>
      </c>
    </row>
    <row r="486" customFormat="false" ht="15" hidden="false" customHeight="false" outlineLevel="0" collapsed="false">
      <c r="A486" s="8" t="str">
        <f aca="false">IF(C486&lt;&gt;"","F27-"&amp;COUNT($C$4:C486),"")</f>
        <v/>
      </c>
      <c r="B486" s="9" t="str">
        <f aca="false">IF(OR(F486="LOC - INITIAL",F486="CONSOLIDATION - UPFRONT COMM",F486="REVERSE - TOTAL FUNDING"),A486,"")</f>
        <v/>
      </c>
      <c r="C486" s="10"/>
      <c r="D486" s="11"/>
      <c r="E486" s="11"/>
      <c r="F486" s="11"/>
      <c r="G486" s="12"/>
      <c r="H486" s="13"/>
      <c r="I486" s="11"/>
      <c r="J486" s="14" t="str">
        <f aca="false">IF(AND(G486&lt;&gt;"",H486&lt;&gt;""),G486*H486,"")</f>
        <v/>
      </c>
      <c r="K486" s="11"/>
      <c r="L486" s="15"/>
      <c r="M486" s="15"/>
      <c r="N486" s="14" t="n">
        <f aca="false">IF(OR(G486="",M486=""),0,IF(M486&gt;100,M486,G486*IF(M486&gt;1,M486/100,M486)))</f>
        <v>0</v>
      </c>
      <c r="O486" s="14" t="str">
        <f aca="false">IF(G486="","",G486*IF(L486="",0,IF(L486&gt;1,L486/100,L486))+N486)</f>
        <v/>
      </c>
      <c r="P486" s="11"/>
      <c r="Q486" s="16" t="str">
        <f aca="false">IF(P486="","",IFERROR(VLOOKUP(P486,PARTNERS!$A$2:$B$30,2,0),""))</f>
        <v/>
      </c>
      <c r="R486" s="17" t="str">
        <f aca="false">IF(O486="","",IF(OR(P486="",Q486=""),0,(O486-N486)*IF(Q486&gt;1,Q486/100,Q486)))</f>
        <v/>
      </c>
      <c r="S486" s="14" t="str">
        <f aca="false">IF(O486="","",O486-R486)</f>
        <v/>
      </c>
      <c r="T486" s="11"/>
      <c r="U486" s="18" t="str">
        <f aca="false">IF(T486="","",IFERROR(VLOOKUP(T486,REPS!$A$2:$D$40,2,0),""))</f>
        <v/>
      </c>
      <c r="V486" s="14" t="str">
        <f aca="false">IF(O486="","",IF(U486="",0,O486*IF(U486&gt;1,U486/100,U486)))</f>
        <v/>
      </c>
      <c r="W486" s="11"/>
      <c r="X486" s="18" t="str">
        <f aca="false">IF(W486="","",IFERROR(VLOOKUP(W486,REPS!$A$2:$D$40,3,0),""))</f>
        <v/>
      </c>
      <c r="Y486" s="14" t="str">
        <f aca="false">IF(O486="","",IF(X486="",0,O486*IF(X486&gt;1,X486/100,X486)))</f>
        <v/>
      </c>
      <c r="Z486" s="11"/>
      <c r="AA486" s="18" t="str">
        <f aca="false">IF(Z486="","",IFERROR(VLOOKUP(Z486,REPS!$A$2:$D$40,4,0),""))</f>
        <v/>
      </c>
      <c r="AB486" s="14" t="str">
        <f aca="false">IF(O486="","",IF(AA486="",0,O486*IF(AA486&gt;1,AA486/100,AA486)))</f>
        <v/>
      </c>
      <c r="AC486" s="14" t="str">
        <f aca="false">IF(O486="","",V486+Y486+AB486)</f>
        <v/>
      </c>
      <c r="AD486" s="19" t="str">
        <f aca="false">IF(O486="","",O486-R486-AC486)</f>
        <v/>
      </c>
      <c r="AE486" s="20"/>
      <c r="AF486" s="10"/>
      <c r="AG486" s="21" t="n">
        <f aca="false">IF(OR(AE486="",AE486=0),0,AE486*IF(U486="",0,IF(U486&gt;1,U486/100,U486)))</f>
        <v>0</v>
      </c>
      <c r="AH486" s="21" t="n">
        <f aca="false">IF(OR(AE486="",AE486=0),0,AE486*IF(X486="",0,IF(X486&gt;1,X486/100,X486)))</f>
        <v>0</v>
      </c>
      <c r="AI486" s="21" t="n">
        <f aca="false">IF(OR(AE486="",AE486=0),0,AE486*IF(AA486="",0,IF(AA486&gt;1,AA486/100,AA486)))</f>
        <v>0</v>
      </c>
      <c r="AJ486" s="21" t="n">
        <f aca="false">AG486+AH486+AI486</f>
        <v>0</v>
      </c>
      <c r="AK486" s="21" t="n">
        <f aca="false">IF(OR(AE486="",AE486=0),0,AE486-AJ486)</f>
        <v>0</v>
      </c>
      <c r="AL486" s="19" t="str">
        <f aca="false">IF(AD486="","",AD486-AK486)</f>
        <v/>
      </c>
      <c r="AM486" s="9" t="str">
        <f aca="false">IF(C486="","","Waiting for payment")</f>
        <v/>
      </c>
      <c r="AN486" s="10"/>
      <c r="AO486" s="10"/>
      <c r="AP486" s="22" t="str">
        <f aca="false">IF(OR(C486="",I486="",K486=""),"",IF(K486="Monthly",EDATE(C486,ROUND(I486*SETTINGS!$I$8,0)),WORKDAY(C486,ROUND(I486*SETTINGS!$I$8,0))))</f>
        <v/>
      </c>
      <c r="AQ486" s="9" t="str">
        <f aca="true">IF(C486="","",IF(AND(AP486&lt;&gt;"",TODAY()&gt;=AP486),"Refi Ready",IF(TODAY()-C486&gt;=SETTINGS!$I$11,"Prospecting","Performing")))</f>
        <v/>
      </c>
      <c r="AR486" s="22" t="str">
        <f aca="false">IF(OR(C486="",I486="",K486=""),"",IF(K486="Monthly",EDATE(C486,I486),WORKDAY(C486,I486)))</f>
        <v/>
      </c>
      <c r="AS486" s="11"/>
      <c r="AT486" s="23" t="str">
        <f aca="true">IF(C486="","",IF(AM486="Clawed Back","CLAWED",IF(TODAY()&lt;=C486+SETTINGS!$I$2,"⚠ AT RISK","SAFE")))</f>
        <v/>
      </c>
      <c r="AU486" s="11"/>
      <c r="AW486" s="24" t="n">
        <f aca="false">AW485+IF(AND(C486&lt;&gt;"",AO486&lt;&gt;"",OR('REP COMMISSION'!$B$3="",T486='REP COMMISSION'!$B$3,W486='REP COMMISSION'!$B$3,Z486='REP COMMISSION'!$B$3)),1,0)</f>
        <v>0</v>
      </c>
      <c r="AX486" s="24" t="n">
        <f aca="false">AX485+IF(AND(C486&lt;&gt;"",OR(F486="LOC - INITIAL",F486="CONSOLIDATION - UPFRONT COMM",F486="REVERSE - TOTAL FUNDING")),1,0)</f>
        <v>0</v>
      </c>
    </row>
    <row r="487" customFormat="false" ht="15" hidden="false" customHeight="false" outlineLevel="0" collapsed="false">
      <c r="A487" s="25" t="str">
        <f aca="false">IF(C487&lt;&gt;"","F27-"&amp;COUNT($C$4:C487),"")</f>
        <v/>
      </c>
      <c r="B487" s="26" t="str">
        <f aca="false">IF(OR(F487="LOC - INITIAL",F487="CONSOLIDATION - UPFRONT COMM",F487="REVERSE - TOTAL FUNDING"),A487,"")</f>
        <v/>
      </c>
      <c r="C487" s="27"/>
      <c r="D487" s="28"/>
      <c r="E487" s="28"/>
      <c r="F487" s="28"/>
      <c r="G487" s="29"/>
      <c r="H487" s="30"/>
      <c r="I487" s="28"/>
      <c r="J487" s="31" t="str">
        <f aca="false">IF(AND(G487&lt;&gt;"",H487&lt;&gt;""),G487*H487,"")</f>
        <v/>
      </c>
      <c r="K487" s="28"/>
      <c r="L487" s="32"/>
      <c r="M487" s="32"/>
      <c r="N487" s="31" t="n">
        <f aca="false">IF(OR(G487="",M487=""),0,IF(M487&gt;100,M487,G487*IF(M487&gt;1,M487/100,M487)))</f>
        <v>0</v>
      </c>
      <c r="O487" s="31" t="str">
        <f aca="false">IF(G487="","",G487*IF(L487="",0,IF(L487&gt;1,L487/100,L487))+N487)</f>
        <v/>
      </c>
      <c r="P487" s="28"/>
      <c r="Q487" s="33" t="str">
        <f aca="false">IF(P487="","",IFERROR(VLOOKUP(P487,PARTNERS!$A$2:$B$30,2,0),""))</f>
        <v/>
      </c>
      <c r="R487" s="17" t="str">
        <f aca="false">IF(O487="","",IF(OR(P487="",Q487=""),0,(O487-N487)*IF(Q487&gt;1,Q487/100,Q487)))</f>
        <v/>
      </c>
      <c r="S487" s="31" t="str">
        <f aca="false">IF(O487="","",O487-R487)</f>
        <v/>
      </c>
      <c r="T487" s="28"/>
      <c r="U487" s="34" t="str">
        <f aca="false">IF(T487="","",IFERROR(VLOOKUP(T487,REPS!$A$2:$D$40,2,0),""))</f>
        <v/>
      </c>
      <c r="V487" s="31" t="str">
        <f aca="false">IF(O487="","",IF(U487="",0,O487*IF(U487&gt;1,U487/100,U487)))</f>
        <v/>
      </c>
      <c r="W487" s="28"/>
      <c r="X487" s="34" t="str">
        <f aca="false">IF(W487="","",IFERROR(VLOOKUP(W487,REPS!$A$2:$D$40,3,0),""))</f>
        <v/>
      </c>
      <c r="Y487" s="31" t="str">
        <f aca="false">IF(O487="","",IF(X487="",0,O487*IF(X487&gt;1,X487/100,X487)))</f>
        <v/>
      </c>
      <c r="Z487" s="28"/>
      <c r="AA487" s="34" t="str">
        <f aca="false">IF(Z487="","",IFERROR(VLOOKUP(Z487,REPS!$A$2:$D$40,4,0),""))</f>
        <v/>
      </c>
      <c r="AB487" s="31" t="str">
        <f aca="false">IF(O487="","",IF(AA487="",0,O487*IF(AA487&gt;1,AA487/100,AA487)))</f>
        <v/>
      </c>
      <c r="AC487" s="31" t="str">
        <f aca="false">IF(O487="","",V487+Y487+AB487)</f>
        <v/>
      </c>
      <c r="AD487" s="19" t="str">
        <f aca="false">IF(O487="","",O487-R487-AC487)</f>
        <v/>
      </c>
      <c r="AE487" s="20"/>
      <c r="AF487" s="27"/>
      <c r="AG487" s="21" t="n">
        <f aca="false">IF(OR(AE487="",AE487=0),0,AE487*IF(U487="",0,IF(U487&gt;1,U487/100,U487)))</f>
        <v>0</v>
      </c>
      <c r="AH487" s="21" t="n">
        <f aca="false">IF(OR(AE487="",AE487=0),0,AE487*IF(X487="",0,IF(X487&gt;1,X487/100,X487)))</f>
        <v>0</v>
      </c>
      <c r="AI487" s="21" t="n">
        <f aca="false">IF(OR(AE487="",AE487=0),0,AE487*IF(AA487="",0,IF(AA487&gt;1,AA487/100,AA487)))</f>
        <v>0</v>
      </c>
      <c r="AJ487" s="21" t="n">
        <f aca="false">AG487+AH487+AI487</f>
        <v>0</v>
      </c>
      <c r="AK487" s="21" t="n">
        <f aca="false">IF(OR(AE487="",AE487=0),0,AE487-AJ487)</f>
        <v>0</v>
      </c>
      <c r="AL487" s="19" t="str">
        <f aca="false">IF(AD487="","",AD487-AK487)</f>
        <v/>
      </c>
      <c r="AM487" s="26" t="str">
        <f aca="false">IF(C487="","","Waiting for payment")</f>
        <v/>
      </c>
      <c r="AN487" s="27"/>
      <c r="AO487" s="27"/>
      <c r="AP487" s="35" t="str">
        <f aca="false">IF(OR(C487="",I487="",K487=""),"",IF(K487="Monthly",EDATE(C487,ROUND(I487*SETTINGS!$I$8,0)),WORKDAY(C487,ROUND(I487*SETTINGS!$I$8,0))))</f>
        <v/>
      </c>
      <c r="AQ487" s="26" t="str">
        <f aca="true">IF(C487="","",IF(AND(AP487&lt;&gt;"",TODAY()&gt;=AP487),"Refi Ready",IF(TODAY()-C487&gt;=SETTINGS!$I$11,"Prospecting","Performing")))</f>
        <v/>
      </c>
      <c r="AR487" s="35" t="str">
        <f aca="false">IF(OR(C487="",I487="",K487=""),"",IF(K487="Monthly",EDATE(C487,I487),WORKDAY(C487,I487)))</f>
        <v/>
      </c>
      <c r="AS487" s="28"/>
      <c r="AT487" s="36" t="str">
        <f aca="true">IF(C487="","",IF(AM487="Clawed Back","CLAWED",IF(TODAY()&lt;=C487+SETTINGS!$I$2,"⚠ AT RISK","SAFE")))</f>
        <v/>
      </c>
      <c r="AU487" s="28"/>
      <c r="AW487" s="24" t="n">
        <f aca="false">AW486+IF(AND(C487&lt;&gt;"",AO487&lt;&gt;"",OR('REP COMMISSION'!$B$3="",T487='REP COMMISSION'!$B$3,W487='REP COMMISSION'!$B$3,Z487='REP COMMISSION'!$B$3)),1,0)</f>
        <v>0</v>
      </c>
      <c r="AX487" s="24" t="n">
        <f aca="false">AX486+IF(AND(C487&lt;&gt;"",OR(F487="LOC - INITIAL",F487="CONSOLIDATION - UPFRONT COMM",F487="REVERSE - TOTAL FUNDING")),1,0)</f>
        <v>0</v>
      </c>
    </row>
    <row r="488" customFormat="false" ht="15" hidden="false" customHeight="false" outlineLevel="0" collapsed="false">
      <c r="A488" s="8" t="str">
        <f aca="false">IF(C488&lt;&gt;"","F27-"&amp;COUNT($C$4:C488),"")</f>
        <v/>
      </c>
      <c r="B488" s="9" t="str">
        <f aca="false">IF(OR(F488="LOC - INITIAL",F488="CONSOLIDATION - UPFRONT COMM",F488="REVERSE - TOTAL FUNDING"),A488,"")</f>
        <v/>
      </c>
      <c r="C488" s="10"/>
      <c r="D488" s="11"/>
      <c r="E488" s="11"/>
      <c r="F488" s="11"/>
      <c r="G488" s="12"/>
      <c r="H488" s="13"/>
      <c r="I488" s="11"/>
      <c r="J488" s="14" t="str">
        <f aca="false">IF(AND(G488&lt;&gt;"",H488&lt;&gt;""),G488*H488,"")</f>
        <v/>
      </c>
      <c r="K488" s="11"/>
      <c r="L488" s="15"/>
      <c r="M488" s="15"/>
      <c r="N488" s="14" t="n">
        <f aca="false">IF(OR(G488="",M488=""),0,IF(M488&gt;100,M488,G488*IF(M488&gt;1,M488/100,M488)))</f>
        <v>0</v>
      </c>
      <c r="O488" s="14" t="str">
        <f aca="false">IF(G488="","",G488*IF(L488="",0,IF(L488&gt;1,L488/100,L488))+N488)</f>
        <v/>
      </c>
      <c r="P488" s="11"/>
      <c r="Q488" s="16" t="str">
        <f aca="false">IF(P488="","",IFERROR(VLOOKUP(P488,PARTNERS!$A$2:$B$30,2,0),""))</f>
        <v/>
      </c>
      <c r="R488" s="17" t="str">
        <f aca="false">IF(O488="","",IF(OR(P488="",Q488=""),0,(O488-N488)*IF(Q488&gt;1,Q488/100,Q488)))</f>
        <v/>
      </c>
      <c r="S488" s="14" t="str">
        <f aca="false">IF(O488="","",O488-R488)</f>
        <v/>
      </c>
      <c r="T488" s="11"/>
      <c r="U488" s="18" t="str">
        <f aca="false">IF(T488="","",IFERROR(VLOOKUP(T488,REPS!$A$2:$D$40,2,0),""))</f>
        <v/>
      </c>
      <c r="V488" s="14" t="str">
        <f aca="false">IF(O488="","",IF(U488="",0,O488*IF(U488&gt;1,U488/100,U488)))</f>
        <v/>
      </c>
      <c r="W488" s="11"/>
      <c r="X488" s="18" t="str">
        <f aca="false">IF(W488="","",IFERROR(VLOOKUP(W488,REPS!$A$2:$D$40,3,0),""))</f>
        <v/>
      </c>
      <c r="Y488" s="14" t="str">
        <f aca="false">IF(O488="","",IF(X488="",0,O488*IF(X488&gt;1,X488/100,X488)))</f>
        <v/>
      </c>
      <c r="Z488" s="11"/>
      <c r="AA488" s="18" t="str">
        <f aca="false">IF(Z488="","",IFERROR(VLOOKUP(Z488,REPS!$A$2:$D$40,4,0),""))</f>
        <v/>
      </c>
      <c r="AB488" s="14" t="str">
        <f aca="false">IF(O488="","",IF(AA488="",0,O488*IF(AA488&gt;1,AA488/100,AA488)))</f>
        <v/>
      </c>
      <c r="AC488" s="14" t="str">
        <f aca="false">IF(O488="","",V488+Y488+AB488)</f>
        <v/>
      </c>
      <c r="AD488" s="19" t="str">
        <f aca="false">IF(O488="","",O488-R488-AC488)</f>
        <v/>
      </c>
      <c r="AE488" s="20"/>
      <c r="AF488" s="10"/>
      <c r="AG488" s="21" t="n">
        <f aca="false">IF(OR(AE488="",AE488=0),0,AE488*IF(U488="",0,IF(U488&gt;1,U488/100,U488)))</f>
        <v>0</v>
      </c>
      <c r="AH488" s="21" t="n">
        <f aca="false">IF(OR(AE488="",AE488=0),0,AE488*IF(X488="",0,IF(X488&gt;1,X488/100,X488)))</f>
        <v>0</v>
      </c>
      <c r="AI488" s="21" t="n">
        <f aca="false">IF(OR(AE488="",AE488=0),0,AE488*IF(AA488="",0,IF(AA488&gt;1,AA488/100,AA488)))</f>
        <v>0</v>
      </c>
      <c r="AJ488" s="21" t="n">
        <f aca="false">AG488+AH488+AI488</f>
        <v>0</v>
      </c>
      <c r="AK488" s="21" t="n">
        <f aca="false">IF(OR(AE488="",AE488=0),0,AE488-AJ488)</f>
        <v>0</v>
      </c>
      <c r="AL488" s="19" t="str">
        <f aca="false">IF(AD488="","",AD488-AK488)</f>
        <v/>
      </c>
      <c r="AM488" s="9" t="str">
        <f aca="false">IF(C488="","","Waiting for payment")</f>
        <v/>
      </c>
      <c r="AN488" s="10"/>
      <c r="AO488" s="10"/>
      <c r="AP488" s="22" t="str">
        <f aca="false">IF(OR(C488="",I488="",K488=""),"",IF(K488="Monthly",EDATE(C488,ROUND(I488*SETTINGS!$I$8,0)),WORKDAY(C488,ROUND(I488*SETTINGS!$I$8,0))))</f>
        <v/>
      </c>
      <c r="AQ488" s="9" t="str">
        <f aca="true">IF(C488="","",IF(AND(AP488&lt;&gt;"",TODAY()&gt;=AP488),"Refi Ready",IF(TODAY()-C488&gt;=SETTINGS!$I$11,"Prospecting","Performing")))</f>
        <v/>
      </c>
      <c r="AR488" s="22" t="str">
        <f aca="false">IF(OR(C488="",I488="",K488=""),"",IF(K488="Monthly",EDATE(C488,I488),WORKDAY(C488,I488)))</f>
        <v/>
      </c>
      <c r="AS488" s="11"/>
      <c r="AT488" s="23" t="str">
        <f aca="true">IF(C488="","",IF(AM488="Clawed Back","CLAWED",IF(TODAY()&lt;=C488+SETTINGS!$I$2,"⚠ AT RISK","SAFE")))</f>
        <v/>
      </c>
      <c r="AU488" s="11"/>
      <c r="AW488" s="24" t="n">
        <f aca="false">AW487+IF(AND(C488&lt;&gt;"",AO488&lt;&gt;"",OR('REP COMMISSION'!$B$3="",T488='REP COMMISSION'!$B$3,W488='REP COMMISSION'!$B$3,Z488='REP COMMISSION'!$B$3)),1,0)</f>
        <v>0</v>
      </c>
      <c r="AX488" s="24" t="n">
        <f aca="false">AX487+IF(AND(C488&lt;&gt;"",OR(F488="LOC - INITIAL",F488="CONSOLIDATION - UPFRONT COMM",F488="REVERSE - TOTAL FUNDING")),1,0)</f>
        <v>0</v>
      </c>
    </row>
    <row r="489" customFormat="false" ht="15" hidden="false" customHeight="false" outlineLevel="0" collapsed="false">
      <c r="A489" s="25" t="str">
        <f aca="false">IF(C489&lt;&gt;"","F27-"&amp;COUNT($C$4:C489),"")</f>
        <v/>
      </c>
      <c r="B489" s="26" t="str">
        <f aca="false">IF(OR(F489="LOC - INITIAL",F489="CONSOLIDATION - UPFRONT COMM",F489="REVERSE - TOTAL FUNDING"),A489,"")</f>
        <v/>
      </c>
      <c r="C489" s="27"/>
      <c r="D489" s="28"/>
      <c r="E489" s="28"/>
      <c r="F489" s="28"/>
      <c r="G489" s="29"/>
      <c r="H489" s="30"/>
      <c r="I489" s="28"/>
      <c r="J489" s="31" t="str">
        <f aca="false">IF(AND(G489&lt;&gt;"",H489&lt;&gt;""),G489*H489,"")</f>
        <v/>
      </c>
      <c r="K489" s="28"/>
      <c r="L489" s="32"/>
      <c r="M489" s="32"/>
      <c r="N489" s="31" t="n">
        <f aca="false">IF(OR(G489="",M489=""),0,IF(M489&gt;100,M489,G489*IF(M489&gt;1,M489/100,M489)))</f>
        <v>0</v>
      </c>
      <c r="O489" s="31" t="str">
        <f aca="false">IF(G489="","",G489*IF(L489="",0,IF(L489&gt;1,L489/100,L489))+N489)</f>
        <v/>
      </c>
      <c r="P489" s="28"/>
      <c r="Q489" s="33" t="str">
        <f aca="false">IF(P489="","",IFERROR(VLOOKUP(P489,PARTNERS!$A$2:$B$30,2,0),""))</f>
        <v/>
      </c>
      <c r="R489" s="17" t="str">
        <f aca="false">IF(O489="","",IF(OR(P489="",Q489=""),0,(O489-N489)*IF(Q489&gt;1,Q489/100,Q489)))</f>
        <v/>
      </c>
      <c r="S489" s="31" t="str">
        <f aca="false">IF(O489="","",O489-R489)</f>
        <v/>
      </c>
      <c r="T489" s="28"/>
      <c r="U489" s="34" t="str">
        <f aca="false">IF(T489="","",IFERROR(VLOOKUP(T489,REPS!$A$2:$D$40,2,0),""))</f>
        <v/>
      </c>
      <c r="V489" s="31" t="str">
        <f aca="false">IF(O489="","",IF(U489="",0,O489*IF(U489&gt;1,U489/100,U489)))</f>
        <v/>
      </c>
      <c r="W489" s="28"/>
      <c r="X489" s="34" t="str">
        <f aca="false">IF(W489="","",IFERROR(VLOOKUP(W489,REPS!$A$2:$D$40,3,0),""))</f>
        <v/>
      </c>
      <c r="Y489" s="31" t="str">
        <f aca="false">IF(O489="","",IF(X489="",0,O489*IF(X489&gt;1,X489/100,X489)))</f>
        <v/>
      </c>
      <c r="Z489" s="28"/>
      <c r="AA489" s="34" t="str">
        <f aca="false">IF(Z489="","",IFERROR(VLOOKUP(Z489,REPS!$A$2:$D$40,4,0),""))</f>
        <v/>
      </c>
      <c r="AB489" s="31" t="str">
        <f aca="false">IF(O489="","",IF(AA489="",0,O489*IF(AA489&gt;1,AA489/100,AA489)))</f>
        <v/>
      </c>
      <c r="AC489" s="31" t="str">
        <f aca="false">IF(O489="","",V489+Y489+AB489)</f>
        <v/>
      </c>
      <c r="AD489" s="19" t="str">
        <f aca="false">IF(O489="","",O489-R489-AC489)</f>
        <v/>
      </c>
      <c r="AE489" s="20"/>
      <c r="AF489" s="27"/>
      <c r="AG489" s="21" t="n">
        <f aca="false">IF(OR(AE489="",AE489=0),0,AE489*IF(U489="",0,IF(U489&gt;1,U489/100,U489)))</f>
        <v>0</v>
      </c>
      <c r="AH489" s="21" t="n">
        <f aca="false">IF(OR(AE489="",AE489=0),0,AE489*IF(X489="",0,IF(X489&gt;1,X489/100,X489)))</f>
        <v>0</v>
      </c>
      <c r="AI489" s="21" t="n">
        <f aca="false">IF(OR(AE489="",AE489=0),0,AE489*IF(AA489="",0,IF(AA489&gt;1,AA489/100,AA489)))</f>
        <v>0</v>
      </c>
      <c r="AJ489" s="21" t="n">
        <f aca="false">AG489+AH489+AI489</f>
        <v>0</v>
      </c>
      <c r="AK489" s="21" t="n">
        <f aca="false">IF(OR(AE489="",AE489=0),0,AE489-AJ489)</f>
        <v>0</v>
      </c>
      <c r="AL489" s="19" t="str">
        <f aca="false">IF(AD489="","",AD489-AK489)</f>
        <v/>
      </c>
      <c r="AM489" s="26" t="str">
        <f aca="false">IF(C489="","","Waiting for payment")</f>
        <v/>
      </c>
      <c r="AN489" s="27"/>
      <c r="AO489" s="27"/>
      <c r="AP489" s="35" t="str">
        <f aca="false">IF(OR(C489="",I489="",K489=""),"",IF(K489="Monthly",EDATE(C489,ROUND(I489*SETTINGS!$I$8,0)),WORKDAY(C489,ROUND(I489*SETTINGS!$I$8,0))))</f>
        <v/>
      </c>
      <c r="AQ489" s="26" t="str">
        <f aca="true">IF(C489="","",IF(AND(AP489&lt;&gt;"",TODAY()&gt;=AP489),"Refi Ready",IF(TODAY()-C489&gt;=SETTINGS!$I$11,"Prospecting","Performing")))</f>
        <v/>
      </c>
      <c r="AR489" s="35" t="str">
        <f aca="false">IF(OR(C489="",I489="",K489=""),"",IF(K489="Monthly",EDATE(C489,I489),WORKDAY(C489,I489)))</f>
        <v/>
      </c>
      <c r="AS489" s="28"/>
      <c r="AT489" s="36" t="str">
        <f aca="true">IF(C489="","",IF(AM489="Clawed Back","CLAWED",IF(TODAY()&lt;=C489+SETTINGS!$I$2,"⚠ AT RISK","SAFE")))</f>
        <v/>
      </c>
      <c r="AU489" s="28"/>
      <c r="AW489" s="24" t="n">
        <f aca="false">AW488+IF(AND(C489&lt;&gt;"",AO489&lt;&gt;"",OR('REP COMMISSION'!$B$3="",T489='REP COMMISSION'!$B$3,W489='REP COMMISSION'!$B$3,Z489='REP COMMISSION'!$B$3)),1,0)</f>
        <v>0</v>
      </c>
      <c r="AX489" s="24" t="n">
        <f aca="false">AX488+IF(AND(C489&lt;&gt;"",OR(F489="LOC - INITIAL",F489="CONSOLIDATION - UPFRONT COMM",F489="REVERSE - TOTAL FUNDING")),1,0)</f>
        <v>0</v>
      </c>
    </row>
    <row r="490" customFormat="false" ht="15" hidden="false" customHeight="false" outlineLevel="0" collapsed="false">
      <c r="A490" s="8" t="str">
        <f aca="false">IF(C490&lt;&gt;"","F27-"&amp;COUNT($C$4:C490),"")</f>
        <v/>
      </c>
      <c r="B490" s="9" t="str">
        <f aca="false">IF(OR(F490="LOC - INITIAL",F490="CONSOLIDATION - UPFRONT COMM",F490="REVERSE - TOTAL FUNDING"),A490,"")</f>
        <v/>
      </c>
      <c r="C490" s="10"/>
      <c r="D490" s="11"/>
      <c r="E490" s="11"/>
      <c r="F490" s="11"/>
      <c r="G490" s="12"/>
      <c r="H490" s="13"/>
      <c r="I490" s="11"/>
      <c r="J490" s="14" t="str">
        <f aca="false">IF(AND(G490&lt;&gt;"",H490&lt;&gt;""),G490*H490,"")</f>
        <v/>
      </c>
      <c r="K490" s="11"/>
      <c r="L490" s="15"/>
      <c r="M490" s="15"/>
      <c r="N490" s="14" t="n">
        <f aca="false">IF(OR(G490="",M490=""),0,IF(M490&gt;100,M490,G490*IF(M490&gt;1,M490/100,M490)))</f>
        <v>0</v>
      </c>
      <c r="O490" s="14" t="str">
        <f aca="false">IF(G490="","",G490*IF(L490="",0,IF(L490&gt;1,L490/100,L490))+N490)</f>
        <v/>
      </c>
      <c r="P490" s="11"/>
      <c r="Q490" s="16" t="str">
        <f aca="false">IF(P490="","",IFERROR(VLOOKUP(P490,PARTNERS!$A$2:$B$30,2,0),""))</f>
        <v/>
      </c>
      <c r="R490" s="17" t="str">
        <f aca="false">IF(O490="","",IF(OR(P490="",Q490=""),0,(O490-N490)*IF(Q490&gt;1,Q490/100,Q490)))</f>
        <v/>
      </c>
      <c r="S490" s="14" t="str">
        <f aca="false">IF(O490="","",O490-R490)</f>
        <v/>
      </c>
      <c r="T490" s="11"/>
      <c r="U490" s="18" t="str">
        <f aca="false">IF(T490="","",IFERROR(VLOOKUP(T490,REPS!$A$2:$D$40,2,0),""))</f>
        <v/>
      </c>
      <c r="V490" s="14" t="str">
        <f aca="false">IF(O490="","",IF(U490="",0,O490*IF(U490&gt;1,U490/100,U490)))</f>
        <v/>
      </c>
      <c r="W490" s="11"/>
      <c r="X490" s="18" t="str">
        <f aca="false">IF(W490="","",IFERROR(VLOOKUP(W490,REPS!$A$2:$D$40,3,0),""))</f>
        <v/>
      </c>
      <c r="Y490" s="14" t="str">
        <f aca="false">IF(O490="","",IF(X490="",0,O490*IF(X490&gt;1,X490/100,X490)))</f>
        <v/>
      </c>
      <c r="Z490" s="11"/>
      <c r="AA490" s="18" t="str">
        <f aca="false">IF(Z490="","",IFERROR(VLOOKUP(Z490,REPS!$A$2:$D$40,4,0),""))</f>
        <v/>
      </c>
      <c r="AB490" s="14" t="str">
        <f aca="false">IF(O490="","",IF(AA490="",0,O490*IF(AA490&gt;1,AA490/100,AA490)))</f>
        <v/>
      </c>
      <c r="AC490" s="14" t="str">
        <f aca="false">IF(O490="","",V490+Y490+AB490)</f>
        <v/>
      </c>
      <c r="AD490" s="19" t="str">
        <f aca="false">IF(O490="","",O490-R490-AC490)</f>
        <v/>
      </c>
      <c r="AE490" s="20"/>
      <c r="AF490" s="10"/>
      <c r="AG490" s="21" t="n">
        <f aca="false">IF(OR(AE490="",AE490=0),0,AE490*IF(U490="",0,IF(U490&gt;1,U490/100,U490)))</f>
        <v>0</v>
      </c>
      <c r="AH490" s="21" t="n">
        <f aca="false">IF(OR(AE490="",AE490=0),0,AE490*IF(X490="",0,IF(X490&gt;1,X490/100,X490)))</f>
        <v>0</v>
      </c>
      <c r="AI490" s="21" t="n">
        <f aca="false">IF(OR(AE490="",AE490=0),0,AE490*IF(AA490="",0,IF(AA490&gt;1,AA490/100,AA490)))</f>
        <v>0</v>
      </c>
      <c r="AJ490" s="21" t="n">
        <f aca="false">AG490+AH490+AI490</f>
        <v>0</v>
      </c>
      <c r="AK490" s="21" t="n">
        <f aca="false">IF(OR(AE490="",AE490=0),0,AE490-AJ490)</f>
        <v>0</v>
      </c>
      <c r="AL490" s="19" t="str">
        <f aca="false">IF(AD490="","",AD490-AK490)</f>
        <v/>
      </c>
      <c r="AM490" s="9" t="str">
        <f aca="false">IF(C490="","","Waiting for payment")</f>
        <v/>
      </c>
      <c r="AN490" s="10"/>
      <c r="AO490" s="10"/>
      <c r="AP490" s="22" t="str">
        <f aca="false">IF(OR(C490="",I490="",K490=""),"",IF(K490="Monthly",EDATE(C490,ROUND(I490*SETTINGS!$I$8,0)),WORKDAY(C490,ROUND(I490*SETTINGS!$I$8,0))))</f>
        <v/>
      </c>
      <c r="AQ490" s="9" t="str">
        <f aca="true">IF(C490="","",IF(AND(AP490&lt;&gt;"",TODAY()&gt;=AP490),"Refi Ready",IF(TODAY()-C490&gt;=SETTINGS!$I$11,"Prospecting","Performing")))</f>
        <v/>
      </c>
      <c r="AR490" s="22" t="str">
        <f aca="false">IF(OR(C490="",I490="",K490=""),"",IF(K490="Monthly",EDATE(C490,I490),WORKDAY(C490,I490)))</f>
        <v/>
      </c>
      <c r="AS490" s="11"/>
      <c r="AT490" s="23" t="str">
        <f aca="true">IF(C490="","",IF(AM490="Clawed Back","CLAWED",IF(TODAY()&lt;=C490+SETTINGS!$I$2,"⚠ AT RISK","SAFE")))</f>
        <v/>
      </c>
      <c r="AU490" s="11"/>
      <c r="AW490" s="24" t="n">
        <f aca="false">AW489+IF(AND(C490&lt;&gt;"",AO490&lt;&gt;"",OR('REP COMMISSION'!$B$3="",T490='REP COMMISSION'!$B$3,W490='REP COMMISSION'!$B$3,Z490='REP COMMISSION'!$B$3)),1,0)</f>
        <v>0</v>
      </c>
      <c r="AX490" s="24" t="n">
        <f aca="false">AX489+IF(AND(C490&lt;&gt;"",OR(F490="LOC - INITIAL",F490="CONSOLIDATION - UPFRONT COMM",F490="REVERSE - TOTAL FUNDING")),1,0)</f>
        <v>0</v>
      </c>
    </row>
    <row r="491" customFormat="false" ht="15" hidden="false" customHeight="false" outlineLevel="0" collapsed="false">
      <c r="A491" s="25" t="str">
        <f aca="false">IF(C491&lt;&gt;"","F27-"&amp;COUNT($C$4:C491),"")</f>
        <v/>
      </c>
      <c r="B491" s="26" t="str">
        <f aca="false">IF(OR(F491="LOC - INITIAL",F491="CONSOLIDATION - UPFRONT COMM",F491="REVERSE - TOTAL FUNDING"),A491,"")</f>
        <v/>
      </c>
      <c r="C491" s="27"/>
      <c r="D491" s="28"/>
      <c r="E491" s="28"/>
      <c r="F491" s="28"/>
      <c r="G491" s="29"/>
      <c r="H491" s="30"/>
      <c r="I491" s="28"/>
      <c r="J491" s="31" t="str">
        <f aca="false">IF(AND(G491&lt;&gt;"",H491&lt;&gt;""),G491*H491,"")</f>
        <v/>
      </c>
      <c r="K491" s="28"/>
      <c r="L491" s="32"/>
      <c r="M491" s="32"/>
      <c r="N491" s="31" t="n">
        <f aca="false">IF(OR(G491="",M491=""),0,IF(M491&gt;100,M491,G491*IF(M491&gt;1,M491/100,M491)))</f>
        <v>0</v>
      </c>
      <c r="O491" s="31" t="str">
        <f aca="false">IF(G491="","",G491*IF(L491="",0,IF(L491&gt;1,L491/100,L491))+N491)</f>
        <v/>
      </c>
      <c r="P491" s="28"/>
      <c r="Q491" s="33" t="str">
        <f aca="false">IF(P491="","",IFERROR(VLOOKUP(P491,PARTNERS!$A$2:$B$30,2,0),""))</f>
        <v/>
      </c>
      <c r="R491" s="17" t="str">
        <f aca="false">IF(O491="","",IF(OR(P491="",Q491=""),0,(O491-N491)*IF(Q491&gt;1,Q491/100,Q491)))</f>
        <v/>
      </c>
      <c r="S491" s="31" t="str">
        <f aca="false">IF(O491="","",O491-R491)</f>
        <v/>
      </c>
      <c r="T491" s="28"/>
      <c r="U491" s="34" t="str">
        <f aca="false">IF(T491="","",IFERROR(VLOOKUP(T491,REPS!$A$2:$D$40,2,0),""))</f>
        <v/>
      </c>
      <c r="V491" s="31" t="str">
        <f aca="false">IF(O491="","",IF(U491="",0,O491*IF(U491&gt;1,U491/100,U491)))</f>
        <v/>
      </c>
      <c r="W491" s="28"/>
      <c r="X491" s="34" t="str">
        <f aca="false">IF(W491="","",IFERROR(VLOOKUP(W491,REPS!$A$2:$D$40,3,0),""))</f>
        <v/>
      </c>
      <c r="Y491" s="31" t="str">
        <f aca="false">IF(O491="","",IF(X491="",0,O491*IF(X491&gt;1,X491/100,X491)))</f>
        <v/>
      </c>
      <c r="Z491" s="28"/>
      <c r="AA491" s="34" t="str">
        <f aca="false">IF(Z491="","",IFERROR(VLOOKUP(Z491,REPS!$A$2:$D$40,4,0),""))</f>
        <v/>
      </c>
      <c r="AB491" s="31" t="str">
        <f aca="false">IF(O491="","",IF(AA491="",0,O491*IF(AA491&gt;1,AA491/100,AA491)))</f>
        <v/>
      </c>
      <c r="AC491" s="31" t="str">
        <f aca="false">IF(O491="","",V491+Y491+AB491)</f>
        <v/>
      </c>
      <c r="AD491" s="19" t="str">
        <f aca="false">IF(O491="","",O491-R491-AC491)</f>
        <v/>
      </c>
      <c r="AE491" s="20"/>
      <c r="AF491" s="27"/>
      <c r="AG491" s="21" t="n">
        <f aca="false">IF(OR(AE491="",AE491=0),0,AE491*IF(U491="",0,IF(U491&gt;1,U491/100,U491)))</f>
        <v>0</v>
      </c>
      <c r="AH491" s="21" t="n">
        <f aca="false">IF(OR(AE491="",AE491=0),0,AE491*IF(X491="",0,IF(X491&gt;1,X491/100,X491)))</f>
        <v>0</v>
      </c>
      <c r="AI491" s="21" t="n">
        <f aca="false">IF(OR(AE491="",AE491=0),0,AE491*IF(AA491="",0,IF(AA491&gt;1,AA491/100,AA491)))</f>
        <v>0</v>
      </c>
      <c r="AJ491" s="21" t="n">
        <f aca="false">AG491+AH491+AI491</f>
        <v>0</v>
      </c>
      <c r="AK491" s="21" t="n">
        <f aca="false">IF(OR(AE491="",AE491=0),0,AE491-AJ491)</f>
        <v>0</v>
      </c>
      <c r="AL491" s="19" t="str">
        <f aca="false">IF(AD491="","",AD491-AK491)</f>
        <v/>
      </c>
      <c r="AM491" s="26" t="str">
        <f aca="false">IF(C491="","","Waiting for payment")</f>
        <v/>
      </c>
      <c r="AN491" s="27"/>
      <c r="AO491" s="27"/>
      <c r="AP491" s="35" t="str">
        <f aca="false">IF(OR(C491="",I491="",K491=""),"",IF(K491="Monthly",EDATE(C491,ROUND(I491*SETTINGS!$I$8,0)),WORKDAY(C491,ROUND(I491*SETTINGS!$I$8,0))))</f>
        <v/>
      </c>
      <c r="AQ491" s="26" t="str">
        <f aca="true">IF(C491="","",IF(AND(AP491&lt;&gt;"",TODAY()&gt;=AP491),"Refi Ready",IF(TODAY()-C491&gt;=SETTINGS!$I$11,"Prospecting","Performing")))</f>
        <v/>
      </c>
      <c r="AR491" s="35" t="str">
        <f aca="false">IF(OR(C491="",I491="",K491=""),"",IF(K491="Monthly",EDATE(C491,I491),WORKDAY(C491,I491)))</f>
        <v/>
      </c>
      <c r="AS491" s="28"/>
      <c r="AT491" s="36" t="str">
        <f aca="true">IF(C491="","",IF(AM491="Clawed Back","CLAWED",IF(TODAY()&lt;=C491+SETTINGS!$I$2,"⚠ AT RISK","SAFE")))</f>
        <v/>
      </c>
      <c r="AU491" s="28"/>
      <c r="AW491" s="24" t="n">
        <f aca="false">AW490+IF(AND(C491&lt;&gt;"",AO491&lt;&gt;"",OR('REP COMMISSION'!$B$3="",T491='REP COMMISSION'!$B$3,W491='REP COMMISSION'!$B$3,Z491='REP COMMISSION'!$B$3)),1,0)</f>
        <v>0</v>
      </c>
      <c r="AX491" s="24" t="n">
        <f aca="false">AX490+IF(AND(C491&lt;&gt;"",OR(F491="LOC - INITIAL",F491="CONSOLIDATION - UPFRONT COMM",F491="REVERSE - TOTAL FUNDING")),1,0)</f>
        <v>0</v>
      </c>
    </row>
    <row r="492" customFormat="false" ht="15" hidden="false" customHeight="false" outlineLevel="0" collapsed="false">
      <c r="A492" s="8" t="str">
        <f aca="false">IF(C492&lt;&gt;"","F27-"&amp;COUNT($C$4:C492),"")</f>
        <v/>
      </c>
      <c r="B492" s="9" t="str">
        <f aca="false">IF(OR(F492="LOC - INITIAL",F492="CONSOLIDATION - UPFRONT COMM",F492="REVERSE - TOTAL FUNDING"),A492,"")</f>
        <v/>
      </c>
      <c r="C492" s="10"/>
      <c r="D492" s="11"/>
      <c r="E492" s="11"/>
      <c r="F492" s="11"/>
      <c r="G492" s="12"/>
      <c r="H492" s="13"/>
      <c r="I492" s="11"/>
      <c r="J492" s="14" t="str">
        <f aca="false">IF(AND(G492&lt;&gt;"",H492&lt;&gt;""),G492*H492,"")</f>
        <v/>
      </c>
      <c r="K492" s="11"/>
      <c r="L492" s="15"/>
      <c r="M492" s="15"/>
      <c r="N492" s="14" t="n">
        <f aca="false">IF(OR(G492="",M492=""),0,IF(M492&gt;100,M492,G492*IF(M492&gt;1,M492/100,M492)))</f>
        <v>0</v>
      </c>
      <c r="O492" s="14" t="str">
        <f aca="false">IF(G492="","",G492*IF(L492="",0,IF(L492&gt;1,L492/100,L492))+N492)</f>
        <v/>
      </c>
      <c r="P492" s="11"/>
      <c r="Q492" s="16" t="str">
        <f aca="false">IF(P492="","",IFERROR(VLOOKUP(P492,PARTNERS!$A$2:$B$30,2,0),""))</f>
        <v/>
      </c>
      <c r="R492" s="17" t="str">
        <f aca="false">IF(O492="","",IF(OR(P492="",Q492=""),0,(O492-N492)*IF(Q492&gt;1,Q492/100,Q492)))</f>
        <v/>
      </c>
      <c r="S492" s="14" t="str">
        <f aca="false">IF(O492="","",O492-R492)</f>
        <v/>
      </c>
      <c r="T492" s="11"/>
      <c r="U492" s="18" t="str">
        <f aca="false">IF(T492="","",IFERROR(VLOOKUP(T492,REPS!$A$2:$D$40,2,0),""))</f>
        <v/>
      </c>
      <c r="V492" s="14" t="str">
        <f aca="false">IF(O492="","",IF(U492="",0,O492*IF(U492&gt;1,U492/100,U492)))</f>
        <v/>
      </c>
      <c r="W492" s="11"/>
      <c r="X492" s="18" t="str">
        <f aca="false">IF(W492="","",IFERROR(VLOOKUP(W492,REPS!$A$2:$D$40,3,0),""))</f>
        <v/>
      </c>
      <c r="Y492" s="14" t="str">
        <f aca="false">IF(O492="","",IF(X492="",0,O492*IF(X492&gt;1,X492/100,X492)))</f>
        <v/>
      </c>
      <c r="Z492" s="11"/>
      <c r="AA492" s="18" t="str">
        <f aca="false">IF(Z492="","",IFERROR(VLOOKUP(Z492,REPS!$A$2:$D$40,4,0),""))</f>
        <v/>
      </c>
      <c r="AB492" s="14" t="str">
        <f aca="false">IF(O492="","",IF(AA492="",0,O492*IF(AA492&gt;1,AA492/100,AA492)))</f>
        <v/>
      </c>
      <c r="AC492" s="14" t="str">
        <f aca="false">IF(O492="","",V492+Y492+AB492)</f>
        <v/>
      </c>
      <c r="AD492" s="19" t="str">
        <f aca="false">IF(O492="","",O492-R492-AC492)</f>
        <v/>
      </c>
      <c r="AE492" s="20"/>
      <c r="AF492" s="10"/>
      <c r="AG492" s="21" t="n">
        <f aca="false">IF(OR(AE492="",AE492=0),0,AE492*IF(U492="",0,IF(U492&gt;1,U492/100,U492)))</f>
        <v>0</v>
      </c>
      <c r="AH492" s="21" t="n">
        <f aca="false">IF(OR(AE492="",AE492=0),0,AE492*IF(X492="",0,IF(X492&gt;1,X492/100,X492)))</f>
        <v>0</v>
      </c>
      <c r="AI492" s="21" t="n">
        <f aca="false">IF(OR(AE492="",AE492=0),0,AE492*IF(AA492="",0,IF(AA492&gt;1,AA492/100,AA492)))</f>
        <v>0</v>
      </c>
      <c r="AJ492" s="21" t="n">
        <f aca="false">AG492+AH492+AI492</f>
        <v>0</v>
      </c>
      <c r="AK492" s="21" t="n">
        <f aca="false">IF(OR(AE492="",AE492=0),0,AE492-AJ492)</f>
        <v>0</v>
      </c>
      <c r="AL492" s="19" t="str">
        <f aca="false">IF(AD492="","",AD492-AK492)</f>
        <v/>
      </c>
      <c r="AM492" s="9" t="str">
        <f aca="false">IF(C492="","","Waiting for payment")</f>
        <v/>
      </c>
      <c r="AN492" s="10"/>
      <c r="AO492" s="10"/>
      <c r="AP492" s="22" t="str">
        <f aca="false">IF(OR(C492="",I492="",K492=""),"",IF(K492="Monthly",EDATE(C492,ROUND(I492*SETTINGS!$I$8,0)),WORKDAY(C492,ROUND(I492*SETTINGS!$I$8,0))))</f>
        <v/>
      </c>
      <c r="AQ492" s="9" t="str">
        <f aca="true">IF(C492="","",IF(AND(AP492&lt;&gt;"",TODAY()&gt;=AP492),"Refi Ready",IF(TODAY()-C492&gt;=SETTINGS!$I$11,"Prospecting","Performing")))</f>
        <v/>
      </c>
      <c r="AR492" s="22" t="str">
        <f aca="false">IF(OR(C492="",I492="",K492=""),"",IF(K492="Monthly",EDATE(C492,I492),WORKDAY(C492,I492)))</f>
        <v/>
      </c>
      <c r="AS492" s="11"/>
      <c r="AT492" s="23" t="str">
        <f aca="true">IF(C492="","",IF(AM492="Clawed Back","CLAWED",IF(TODAY()&lt;=C492+SETTINGS!$I$2,"⚠ AT RISK","SAFE")))</f>
        <v/>
      </c>
      <c r="AU492" s="11"/>
      <c r="AW492" s="24" t="n">
        <f aca="false">AW491+IF(AND(C492&lt;&gt;"",AO492&lt;&gt;"",OR('REP COMMISSION'!$B$3="",T492='REP COMMISSION'!$B$3,W492='REP COMMISSION'!$B$3,Z492='REP COMMISSION'!$B$3)),1,0)</f>
        <v>0</v>
      </c>
      <c r="AX492" s="24" t="n">
        <f aca="false">AX491+IF(AND(C492&lt;&gt;"",OR(F492="LOC - INITIAL",F492="CONSOLIDATION - UPFRONT COMM",F492="REVERSE - TOTAL FUNDING")),1,0)</f>
        <v>0</v>
      </c>
    </row>
    <row r="493" customFormat="false" ht="15" hidden="false" customHeight="false" outlineLevel="0" collapsed="false">
      <c r="A493" s="25" t="str">
        <f aca="false">IF(C493&lt;&gt;"","F27-"&amp;COUNT($C$4:C493),"")</f>
        <v/>
      </c>
      <c r="B493" s="26" t="str">
        <f aca="false">IF(OR(F493="LOC - INITIAL",F493="CONSOLIDATION - UPFRONT COMM",F493="REVERSE - TOTAL FUNDING"),A493,"")</f>
        <v/>
      </c>
      <c r="C493" s="27"/>
      <c r="D493" s="28"/>
      <c r="E493" s="28"/>
      <c r="F493" s="28"/>
      <c r="G493" s="29"/>
      <c r="H493" s="30"/>
      <c r="I493" s="28"/>
      <c r="J493" s="31" t="str">
        <f aca="false">IF(AND(G493&lt;&gt;"",H493&lt;&gt;""),G493*H493,"")</f>
        <v/>
      </c>
      <c r="K493" s="28"/>
      <c r="L493" s="32"/>
      <c r="M493" s="32"/>
      <c r="N493" s="31" t="n">
        <f aca="false">IF(OR(G493="",M493=""),0,IF(M493&gt;100,M493,G493*IF(M493&gt;1,M493/100,M493)))</f>
        <v>0</v>
      </c>
      <c r="O493" s="31" t="str">
        <f aca="false">IF(G493="","",G493*IF(L493="",0,IF(L493&gt;1,L493/100,L493))+N493)</f>
        <v/>
      </c>
      <c r="P493" s="28"/>
      <c r="Q493" s="33" t="str">
        <f aca="false">IF(P493="","",IFERROR(VLOOKUP(P493,PARTNERS!$A$2:$B$30,2,0),""))</f>
        <v/>
      </c>
      <c r="R493" s="17" t="str">
        <f aca="false">IF(O493="","",IF(OR(P493="",Q493=""),0,(O493-N493)*IF(Q493&gt;1,Q493/100,Q493)))</f>
        <v/>
      </c>
      <c r="S493" s="31" t="str">
        <f aca="false">IF(O493="","",O493-R493)</f>
        <v/>
      </c>
      <c r="T493" s="28"/>
      <c r="U493" s="34" t="str">
        <f aca="false">IF(T493="","",IFERROR(VLOOKUP(T493,REPS!$A$2:$D$40,2,0),""))</f>
        <v/>
      </c>
      <c r="V493" s="31" t="str">
        <f aca="false">IF(O493="","",IF(U493="",0,O493*IF(U493&gt;1,U493/100,U493)))</f>
        <v/>
      </c>
      <c r="W493" s="28"/>
      <c r="X493" s="34" t="str">
        <f aca="false">IF(W493="","",IFERROR(VLOOKUP(W493,REPS!$A$2:$D$40,3,0),""))</f>
        <v/>
      </c>
      <c r="Y493" s="31" t="str">
        <f aca="false">IF(O493="","",IF(X493="",0,O493*IF(X493&gt;1,X493/100,X493)))</f>
        <v/>
      </c>
      <c r="Z493" s="28"/>
      <c r="AA493" s="34" t="str">
        <f aca="false">IF(Z493="","",IFERROR(VLOOKUP(Z493,REPS!$A$2:$D$40,4,0),""))</f>
        <v/>
      </c>
      <c r="AB493" s="31" t="str">
        <f aca="false">IF(O493="","",IF(AA493="",0,O493*IF(AA493&gt;1,AA493/100,AA493)))</f>
        <v/>
      </c>
      <c r="AC493" s="31" t="str">
        <f aca="false">IF(O493="","",V493+Y493+AB493)</f>
        <v/>
      </c>
      <c r="AD493" s="19" t="str">
        <f aca="false">IF(O493="","",O493-R493-AC493)</f>
        <v/>
      </c>
      <c r="AE493" s="20"/>
      <c r="AF493" s="27"/>
      <c r="AG493" s="21" t="n">
        <f aca="false">IF(OR(AE493="",AE493=0),0,AE493*IF(U493="",0,IF(U493&gt;1,U493/100,U493)))</f>
        <v>0</v>
      </c>
      <c r="AH493" s="21" t="n">
        <f aca="false">IF(OR(AE493="",AE493=0),0,AE493*IF(X493="",0,IF(X493&gt;1,X493/100,X493)))</f>
        <v>0</v>
      </c>
      <c r="AI493" s="21" t="n">
        <f aca="false">IF(OR(AE493="",AE493=0),0,AE493*IF(AA493="",0,IF(AA493&gt;1,AA493/100,AA493)))</f>
        <v>0</v>
      </c>
      <c r="AJ493" s="21" t="n">
        <f aca="false">AG493+AH493+AI493</f>
        <v>0</v>
      </c>
      <c r="AK493" s="21" t="n">
        <f aca="false">IF(OR(AE493="",AE493=0),0,AE493-AJ493)</f>
        <v>0</v>
      </c>
      <c r="AL493" s="19" t="str">
        <f aca="false">IF(AD493="","",AD493-AK493)</f>
        <v/>
      </c>
      <c r="AM493" s="26" t="str">
        <f aca="false">IF(C493="","","Waiting for payment")</f>
        <v/>
      </c>
      <c r="AN493" s="27"/>
      <c r="AO493" s="27"/>
      <c r="AP493" s="35" t="str">
        <f aca="false">IF(OR(C493="",I493="",K493=""),"",IF(K493="Monthly",EDATE(C493,ROUND(I493*SETTINGS!$I$8,0)),WORKDAY(C493,ROUND(I493*SETTINGS!$I$8,0))))</f>
        <v/>
      </c>
      <c r="AQ493" s="26" t="str">
        <f aca="true">IF(C493="","",IF(AND(AP493&lt;&gt;"",TODAY()&gt;=AP493),"Refi Ready",IF(TODAY()-C493&gt;=SETTINGS!$I$11,"Prospecting","Performing")))</f>
        <v/>
      </c>
      <c r="AR493" s="35" t="str">
        <f aca="false">IF(OR(C493="",I493="",K493=""),"",IF(K493="Monthly",EDATE(C493,I493),WORKDAY(C493,I493)))</f>
        <v/>
      </c>
      <c r="AS493" s="28"/>
      <c r="AT493" s="36" t="str">
        <f aca="true">IF(C493="","",IF(AM493="Clawed Back","CLAWED",IF(TODAY()&lt;=C493+SETTINGS!$I$2,"⚠ AT RISK","SAFE")))</f>
        <v/>
      </c>
      <c r="AU493" s="28"/>
      <c r="AW493" s="24" t="n">
        <f aca="false">AW492+IF(AND(C493&lt;&gt;"",AO493&lt;&gt;"",OR('REP COMMISSION'!$B$3="",T493='REP COMMISSION'!$B$3,W493='REP COMMISSION'!$B$3,Z493='REP COMMISSION'!$B$3)),1,0)</f>
        <v>0</v>
      </c>
      <c r="AX493" s="24" t="n">
        <f aca="false">AX492+IF(AND(C493&lt;&gt;"",OR(F493="LOC - INITIAL",F493="CONSOLIDATION - UPFRONT COMM",F493="REVERSE - TOTAL FUNDING")),1,0)</f>
        <v>0</v>
      </c>
    </row>
    <row r="494" customFormat="false" ht="15" hidden="false" customHeight="false" outlineLevel="0" collapsed="false">
      <c r="A494" s="8" t="str">
        <f aca="false">IF(C494&lt;&gt;"","F27-"&amp;COUNT($C$4:C494),"")</f>
        <v/>
      </c>
      <c r="B494" s="9" t="str">
        <f aca="false">IF(OR(F494="LOC - INITIAL",F494="CONSOLIDATION - UPFRONT COMM",F494="REVERSE - TOTAL FUNDING"),A494,"")</f>
        <v/>
      </c>
      <c r="C494" s="10"/>
      <c r="D494" s="11"/>
      <c r="E494" s="11"/>
      <c r="F494" s="11"/>
      <c r="G494" s="12"/>
      <c r="H494" s="13"/>
      <c r="I494" s="11"/>
      <c r="J494" s="14" t="str">
        <f aca="false">IF(AND(G494&lt;&gt;"",H494&lt;&gt;""),G494*H494,"")</f>
        <v/>
      </c>
      <c r="K494" s="11"/>
      <c r="L494" s="15"/>
      <c r="M494" s="15"/>
      <c r="N494" s="14" t="n">
        <f aca="false">IF(OR(G494="",M494=""),0,IF(M494&gt;100,M494,G494*IF(M494&gt;1,M494/100,M494)))</f>
        <v>0</v>
      </c>
      <c r="O494" s="14" t="str">
        <f aca="false">IF(G494="","",G494*IF(L494="",0,IF(L494&gt;1,L494/100,L494))+N494)</f>
        <v/>
      </c>
      <c r="P494" s="11"/>
      <c r="Q494" s="16" t="str">
        <f aca="false">IF(P494="","",IFERROR(VLOOKUP(P494,PARTNERS!$A$2:$B$30,2,0),""))</f>
        <v/>
      </c>
      <c r="R494" s="17" t="str">
        <f aca="false">IF(O494="","",IF(OR(P494="",Q494=""),0,(O494-N494)*IF(Q494&gt;1,Q494/100,Q494)))</f>
        <v/>
      </c>
      <c r="S494" s="14" t="str">
        <f aca="false">IF(O494="","",O494-R494)</f>
        <v/>
      </c>
      <c r="T494" s="11"/>
      <c r="U494" s="18" t="str">
        <f aca="false">IF(T494="","",IFERROR(VLOOKUP(T494,REPS!$A$2:$D$40,2,0),""))</f>
        <v/>
      </c>
      <c r="V494" s="14" t="str">
        <f aca="false">IF(O494="","",IF(U494="",0,O494*IF(U494&gt;1,U494/100,U494)))</f>
        <v/>
      </c>
      <c r="W494" s="11"/>
      <c r="X494" s="18" t="str">
        <f aca="false">IF(W494="","",IFERROR(VLOOKUP(W494,REPS!$A$2:$D$40,3,0),""))</f>
        <v/>
      </c>
      <c r="Y494" s="14" t="str">
        <f aca="false">IF(O494="","",IF(X494="",0,O494*IF(X494&gt;1,X494/100,X494)))</f>
        <v/>
      </c>
      <c r="Z494" s="11"/>
      <c r="AA494" s="18" t="str">
        <f aca="false">IF(Z494="","",IFERROR(VLOOKUP(Z494,REPS!$A$2:$D$40,4,0),""))</f>
        <v/>
      </c>
      <c r="AB494" s="14" t="str">
        <f aca="false">IF(O494="","",IF(AA494="",0,O494*IF(AA494&gt;1,AA494/100,AA494)))</f>
        <v/>
      </c>
      <c r="AC494" s="14" t="str">
        <f aca="false">IF(O494="","",V494+Y494+AB494)</f>
        <v/>
      </c>
      <c r="AD494" s="19" t="str">
        <f aca="false">IF(O494="","",O494-R494-AC494)</f>
        <v/>
      </c>
      <c r="AE494" s="20"/>
      <c r="AF494" s="10"/>
      <c r="AG494" s="21" t="n">
        <f aca="false">IF(OR(AE494="",AE494=0),0,AE494*IF(U494="",0,IF(U494&gt;1,U494/100,U494)))</f>
        <v>0</v>
      </c>
      <c r="AH494" s="21" t="n">
        <f aca="false">IF(OR(AE494="",AE494=0),0,AE494*IF(X494="",0,IF(X494&gt;1,X494/100,X494)))</f>
        <v>0</v>
      </c>
      <c r="AI494" s="21" t="n">
        <f aca="false">IF(OR(AE494="",AE494=0),0,AE494*IF(AA494="",0,IF(AA494&gt;1,AA494/100,AA494)))</f>
        <v>0</v>
      </c>
      <c r="AJ494" s="21" t="n">
        <f aca="false">AG494+AH494+AI494</f>
        <v>0</v>
      </c>
      <c r="AK494" s="21" t="n">
        <f aca="false">IF(OR(AE494="",AE494=0),0,AE494-AJ494)</f>
        <v>0</v>
      </c>
      <c r="AL494" s="19" t="str">
        <f aca="false">IF(AD494="","",AD494-AK494)</f>
        <v/>
      </c>
      <c r="AM494" s="9" t="str">
        <f aca="false">IF(C494="","","Waiting for payment")</f>
        <v/>
      </c>
      <c r="AN494" s="10"/>
      <c r="AO494" s="10"/>
      <c r="AP494" s="22" t="str">
        <f aca="false">IF(OR(C494="",I494="",K494=""),"",IF(K494="Monthly",EDATE(C494,ROUND(I494*SETTINGS!$I$8,0)),WORKDAY(C494,ROUND(I494*SETTINGS!$I$8,0))))</f>
        <v/>
      </c>
      <c r="AQ494" s="9" t="str">
        <f aca="true">IF(C494="","",IF(AND(AP494&lt;&gt;"",TODAY()&gt;=AP494),"Refi Ready",IF(TODAY()-C494&gt;=SETTINGS!$I$11,"Prospecting","Performing")))</f>
        <v/>
      </c>
      <c r="AR494" s="22" t="str">
        <f aca="false">IF(OR(C494="",I494="",K494=""),"",IF(K494="Monthly",EDATE(C494,I494),WORKDAY(C494,I494)))</f>
        <v/>
      </c>
      <c r="AS494" s="11"/>
      <c r="AT494" s="23" t="str">
        <f aca="true">IF(C494="","",IF(AM494="Clawed Back","CLAWED",IF(TODAY()&lt;=C494+SETTINGS!$I$2,"⚠ AT RISK","SAFE")))</f>
        <v/>
      </c>
      <c r="AU494" s="11"/>
      <c r="AW494" s="24" t="n">
        <f aca="false">AW493+IF(AND(C494&lt;&gt;"",AO494&lt;&gt;"",OR('REP COMMISSION'!$B$3="",T494='REP COMMISSION'!$B$3,W494='REP COMMISSION'!$B$3,Z494='REP COMMISSION'!$B$3)),1,0)</f>
        <v>0</v>
      </c>
      <c r="AX494" s="24" t="n">
        <f aca="false">AX493+IF(AND(C494&lt;&gt;"",OR(F494="LOC - INITIAL",F494="CONSOLIDATION - UPFRONT COMM",F494="REVERSE - TOTAL FUNDING")),1,0)</f>
        <v>0</v>
      </c>
    </row>
    <row r="495" customFormat="false" ht="15" hidden="false" customHeight="false" outlineLevel="0" collapsed="false">
      <c r="A495" s="25" t="str">
        <f aca="false">IF(C495&lt;&gt;"","F27-"&amp;COUNT($C$4:C495),"")</f>
        <v/>
      </c>
      <c r="B495" s="26" t="str">
        <f aca="false">IF(OR(F495="LOC - INITIAL",F495="CONSOLIDATION - UPFRONT COMM",F495="REVERSE - TOTAL FUNDING"),A495,"")</f>
        <v/>
      </c>
      <c r="C495" s="27"/>
      <c r="D495" s="28"/>
      <c r="E495" s="28"/>
      <c r="F495" s="28"/>
      <c r="G495" s="29"/>
      <c r="H495" s="30"/>
      <c r="I495" s="28"/>
      <c r="J495" s="31" t="str">
        <f aca="false">IF(AND(G495&lt;&gt;"",H495&lt;&gt;""),G495*H495,"")</f>
        <v/>
      </c>
      <c r="K495" s="28"/>
      <c r="L495" s="32"/>
      <c r="M495" s="32"/>
      <c r="N495" s="31" t="n">
        <f aca="false">IF(OR(G495="",M495=""),0,IF(M495&gt;100,M495,G495*IF(M495&gt;1,M495/100,M495)))</f>
        <v>0</v>
      </c>
      <c r="O495" s="31" t="str">
        <f aca="false">IF(G495="","",G495*IF(L495="",0,IF(L495&gt;1,L495/100,L495))+N495)</f>
        <v/>
      </c>
      <c r="P495" s="28"/>
      <c r="Q495" s="33" t="str">
        <f aca="false">IF(P495="","",IFERROR(VLOOKUP(P495,PARTNERS!$A$2:$B$30,2,0),""))</f>
        <v/>
      </c>
      <c r="R495" s="17" t="str">
        <f aca="false">IF(O495="","",IF(OR(P495="",Q495=""),0,(O495-N495)*IF(Q495&gt;1,Q495/100,Q495)))</f>
        <v/>
      </c>
      <c r="S495" s="31" t="str">
        <f aca="false">IF(O495="","",O495-R495)</f>
        <v/>
      </c>
      <c r="T495" s="28"/>
      <c r="U495" s="34" t="str">
        <f aca="false">IF(T495="","",IFERROR(VLOOKUP(T495,REPS!$A$2:$D$40,2,0),""))</f>
        <v/>
      </c>
      <c r="V495" s="31" t="str">
        <f aca="false">IF(O495="","",IF(U495="",0,O495*IF(U495&gt;1,U495/100,U495)))</f>
        <v/>
      </c>
      <c r="W495" s="28"/>
      <c r="X495" s="34" t="str">
        <f aca="false">IF(W495="","",IFERROR(VLOOKUP(W495,REPS!$A$2:$D$40,3,0),""))</f>
        <v/>
      </c>
      <c r="Y495" s="31" t="str">
        <f aca="false">IF(O495="","",IF(X495="",0,O495*IF(X495&gt;1,X495/100,X495)))</f>
        <v/>
      </c>
      <c r="Z495" s="28"/>
      <c r="AA495" s="34" t="str">
        <f aca="false">IF(Z495="","",IFERROR(VLOOKUP(Z495,REPS!$A$2:$D$40,4,0),""))</f>
        <v/>
      </c>
      <c r="AB495" s="31" t="str">
        <f aca="false">IF(O495="","",IF(AA495="",0,O495*IF(AA495&gt;1,AA495/100,AA495)))</f>
        <v/>
      </c>
      <c r="AC495" s="31" t="str">
        <f aca="false">IF(O495="","",V495+Y495+AB495)</f>
        <v/>
      </c>
      <c r="AD495" s="19" t="str">
        <f aca="false">IF(O495="","",O495-R495-AC495)</f>
        <v/>
      </c>
      <c r="AE495" s="20"/>
      <c r="AF495" s="27"/>
      <c r="AG495" s="21" t="n">
        <f aca="false">IF(OR(AE495="",AE495=0),0,AE495*IF(U495="",0,IF(U495&gt;1,U495/100,U495)))</f>
        <v>0</v>
      </c>
      <c r="AH495" s="21" t="n">
        <f aca="false">IF(OR(AE495="",AE495=0),0,AE495*IF(X495="",0,IF(X495&gt;1,X495/100,X495)))</f>
        <v>0</v>
      </c>
      <c r="AI495" s="21" t="n">
        <f aca="false">IF(OR(AE495="",AE495=0),0,AE495*IF(AA495="",0,IF(AA495&gt;1,AA495/100,AA495)))</f>
        <v>0</v>
      </c>
      <c r="AJ495" s="21" t="n">
        <f aca="false">AG495+AH495+AI495</f>
        <v>0</v>
      </c>
      <c r="AK495" s="21" t="n">
        <f aca="false">IF(OR(AE495="",AE495=0),0,AE495-AJ495)</f>
        <v>0</v>
      </c>
      <c r="AL495" s="19" t="str">
        <f aca="false">IF(AD495="","",AD495-AK495)</f>
        <v/>
      </c>
      <c r="AM495" s="26" t="str">
        <f aca="false">IF(C495="","","Waiting for payment")</f>
        <v/>
      </c>
      <c r="AN495" s="27"/>
      <c r="AO495" s="27"/>
      <c r="AP495" s="35" t="str">
        <f aca="false">IF(OR(C495="",I495="",K495=""),"",IF(K495="Monthly",EDATE(C495,ROUND(I495*SETTINGS!$I$8,0)),WORKDAY(C495,ROUND(I495*SETTINGS!$I$8,0))))</f>
        <v/>
      </c>
      <c r="AQ495" s="26" t="str">
        <f aca="true">IF(C495="","",IF(AND(AP495&lt;&gt;"",TODAY()&gt;=AP495),"Refi Ready",IF(TODAY()-C495&gt;=SETTINGS!$I$11,"Prospecting","Performing")))</f>
        <v/>
      </c>
      <c r="AR495" s="35" t="str">
        <f aca="false">IF(OR(C495="",I495="",K495=""),"",IF(K495="Monthly",EDATE(C495,I495),WORKDAY(C495,I495)))</f>
        <v/>
      </c>
      <c r="AS495" s="28"/>
      <c r="AT495" s="36" t="str">
        <f aca="true">IF(C495="","",IF(AM495="Clawed Back","CLAWED",IF(TODAY()&lt;=C495+SETTINGS!$I$2,"⚠ AT RISK","SAFE")))</f>
        <v/>
      </c>
      <c r="AU495" s="28"/>
      <c r="AW495" s="24" t="n">
        <f aca="false">AW494+IF(AND(C495&lt;&gt;"",AO495&lt;&gt;"",OR('REP COMMISSION'!$B$3="",T495='REP COMMISSION'!$B$3,W495='REP COMMISSION'!$B$3,Z495='REP COMMISSION'!$B$3)),1,0)</f>
        <v>0</v>
      </c>
      <c r="AX495" s="24" t="n">
        <f aca="false">AX494+IF(AND(C495&lt;&gt;"",OR(F495="LOC - INITIAL",F495="CONSOLIDATION - UPFRONT COMM",F495="REVERSE - TOTAL FUNDING")),1,0)</f>
        <v>0</v>
      </c>
    </row>
    <row r="496" customFormat="false" ht="15" hidden="false" customHeight="false" outlineLevel="0" collapsed="false">
      <c r="A496" s="8" t="str">
        <f aca="false">IF(C496&lt;&gt;"","F27-"&amp;COUNT($C$4:C496),"")</f>
        <v/>
      </c>
      <c r="B496" s="9" t="str">
        <f aca="false">IF(OR(F496="LOC - INITIAL",F496="CONSOLIDATION - UPFRONT COMM",F496="REVERSE - TOTAL FUNDING"),A496,"")</f>
        <v/>
      </c>
      <c r="C496" s="10"/>
      <c r="D496" s="11"/>
      <c r="E496" s="11"/>
      <c r="F496" s="11"/>
      <c r="G496" s="12"/>
      <c r="H496" s="13"/>
      <c r="I496" s="11"/>
      <c r="J496" s="14" t="str">
        <f aca="false">IF(AND(G496&lt;&gt;"",H496&lt;&gt;""),G496*H496,"")</f>
        <v/>
      </c>
      <c r="K496" s="11"/>
      <c r="L496" s="15"/>
      <c r="M496" s="15"/>
      <c r="N496" s="14" t="n">
        <f aca="false">IF(OR(G496="",M496=""),0,IF(M496&gt;100,M496,G496*IF(M496&gt;1,M496/100,M496)))</f>
        <v>0</v>
      </c>
      <c r="O496" s="14" t="str">
        <f aca="false">IF(G496="","",G496*IF(L496="",0,IF(L496&gt;1,L496/100,L496))+N496)</f>
        <v/>
      </c>
      <c r="P496" s="11"/>
      <c r="Q496" s="16" t="str">
        <f aca="false">IF(P496="","",IFERROR(VLOOKUP(P496,PARTNERS!$A$2:$B$30,2,0),""))</f>
        <v/>
      </c>
      <c r="R496" s="17" t="str">
        <f aca="false">IF(O496="","",IF(OR(P496="",Q496=""),0,(O496-N496)*IF(Q496&gt;1,Q496/100,Q496)))</f>
        <v/>
      </c>
      <c r="S496" s="14" t="str">
        <f aca="false">IF(O496="","",O496-R496)</f>
        <v/>
      </c>
      <c r="T496" s="11"/>
      <c r="U496" s="18" t="str">
        <f aca="false">IF(T496="","",IFERROR(VLOOKUP(T496,REPS!$A$2:$D$40,2,0),""))</f>
        <v/>
      </c>
      <c r="V496" s="14" t="str">
        <f aca="false">IF(O496="","",IF(U496="",0,O496*IF(U496&gt;1,U496/100,U496)))</f>
        <v/>
      </c>
      <c r="W496" s="11"/>
      <c r="X496" s="18" t="str">
        <f aca="false">IF(W496="","",IFERROR(VLOOKUP(W496,REPS!$A$2:$D$40,3,0),""))</f>
        <v/>
      </c>
      <c r="Y496" s="14" t="str">
        <f aca="false">IF(O496="","",IF(X496="",0,O496*IF(X496&gt;1,X496/100,X496)))</f>
        <v/>
      </c>
      <c r="Z496" s="11"/>
      <c r="AA496" s="18" t="str">
        <f aca="false">IF(Z496="","",IFERROR(VLOOKUP(Z496,REPS!$A$2:$D$40,4,0),""))</f>
        <v/>
      </c>
      <c r="AB496" s="14" t="str">
        <f aca="false">IF(O496="","",IF(AA496="",0,O496*IF(AA496&gt;1,AA496/100,AA496)))</f>
        <v/>
      </c>
      <c r="AC496" s="14" t="str">
        <f aca="false">IF(O496="","",V496+Y496+AB496)</f>
        <v/>
      </c>
      <c r="AD496" s="19" t="str">
        <f aca="false">IF(O496="","",O496-R496-AC496)</f>
        <v/>
      </c>
      <c r="AE496" s="20"/>
      <c r="AF496" s="10"/>
      <c r="AG496" s="21" t="n">
        <f aca="false">IF(OR(AE496="",AE496=0),0,AE496*IF(U496="",0,IF(U496&gt;1,U496/100,U496)))</f>
        <v>0</v>
      </c>
      <c r="AH496" s="21" t="n">
        <f aca="false">IF(OR(AE496="",AE496=0),0,AE496*IF(X496="",0,IF(X496&gt;1,X496/100,X496)))</f>
        <v>0</v>
      </c>
      <c r="AI496" s="21" t="n">
        <f aca="false">IF(OR(AE496="",AE496=0),0,AE496*IF(AA496="",0,IF(AA496&gt;1,AA496/100,AA496)))</f>
        <v>0</v>
      </c>
      <c r="AJ496" s="21" t="n">
        <f aca="false">AG496+AH496+AI496</f>
        <v>0</v>
      </c>
      <c r="AK496" s="21" t="n">
        <f aca="false">IF(OR(AE496="",AE496=0),0,AE496-AJ496)</f>
        <v>0</v>
      </c>
      <c r="AL496" s="19" t="str">
        <f aca="false">IF(AD496="","",AD496-AK496)</f>
        <v/>
      </c>
      <c r="AM496" s="9" t="str">
        <f aca="false">IF(C496="","","Waiting for payment")</f>
        <v/>
      </c>
      <c r="AN496" s="10"/>
      <c r="AO496" s="10"/>
      <c r="AP496" s="22" t="str">
        <f aca="false">IF(OR(C496="",I496="",K496=""),"",IF(K496="Monthly",EDATE(C496,ROUND(I496*SETTINGS!$I$8,0)),WORKDAY(C496,ROUND(I496*SETTINGS!$I$8,0))))</f>
        <v/>
      </c>
      <c r="AQ496" s="9" t="str">
        <f aca="true">IF(C496="","",IF(AND(AP496&lt;&gt;"",TODAY()&gt;=AP496),"Refi Ready",IF(TODAY()-C496&gt;=SETTINGS!$I$11,"Prospecting","Performing")))</f>
        <v/>
      </c>
      <c r="AR496" s="22" t="str">
        <f aca="false">IF(OR(C496="",I496="",K496=""),"",IF(K496="Monthly",EDATE(C496,I496),WORKDAY(C496,I496)))</f>
        <v/>
      </c>
      <c r="AS496" s="11"/>
      <c r="AT496" s="23" t="str">
        <f aca="true">IF(C496="","",IF(AM496="Clawed Back","CLAWED",IF(TODAY()&lt;=C496+SETTINGS!$I$2,"⚠ AT RISK","SAFE")))</f>
        <v/>
      </c>
      <c r="AU496" s="11"/>
      <c r="AW496" s="24" t="n">
        <f aca="false">AW495+IF(AND(C496&lt;&gt;"",AO496&lt;&gt;"",OR('REP COMMISSION'!$B$3="",T496='REP COMMISSION'!$B$3,W496='REP COMMISSION'!$B$3,Z496='REP COMMISSION'!$B$3)),1,0)</f>
        <v>0</v>
      </c>
      <c r="AX496" s="24" t="n">
        <f aca="false">AX495+IF(AND(C496&lt;&gt;"",OR(F496="LOC - INITIAL",F496="CONSOLIDATION - UPFRONT COMM",F496="REVERSE - TOTAL FUNDING")),1,0)</f>
        <v>0</v>
      </c>
    </row>
    <row r="497" customFormat="false" ht="15" hidden="false" customHeight="false" outlineLevel="0" collapsed="false">
      <c r="A497" s="25" t="str">
        <f aca="false">IF(C497&lt;&gt;"","F27-"&amp;COUNT($C$4:C497),"")</f>
        <v/>
      </c>
      <c r="B497" s="26" t="str">
        <f aca="false">IF(OR(F497="LOC - INITIAL",F497="CONSOLIDATION - UPFRONT COMM",F497="REVERSE - TOTAL FUNDING"),A497,"")</f>
        <v/>
      </c>
      <c r="C497" s="27"/>
      <c r="D497" s="28"/>
      <c r="E497" s="28"/>
      <c r="F497" s="28"/>
      <c r="G497" s="29"/>
      <c r="H497" s="30"/>
      <c r="I497" s="28"/>
      <c r="J497" s="31" t="str">
        <f aca="false">IF(AND(G497&lt;&gt;"",H497&lt;&gt;""),G497*H497,"")</f>
        <v/>
      </c>
      <c r="K497" s="28"/>
      <c r="L497" s="32"/>
      <c r="M497" s="32"/>
      <c r="N497" s="31" t="n">
        <f aca="false">IF(OR(G497="",M497=""),0,IF(M497&gt;100,M497,G497*IF(M497&gt;1,M497/100,M497)))</f>
        <v>0</v>
      </c>
      <c r="O497" s="31" t="str">
        <f aca="false">IF(G497="","",G497*IF(L497="",0,IF(L497&gt;1,L497/100,L497))+N497)</f>
        <v/>
      </c>
      <c r="P497" s="28"/>
      <c r="Q497" s="33" t="str">
        <f aca="false">IF(P497="","",IFERROR(VLOOKUP(P497,PARTNERS!$A$2:$B$30,2,0),""))</f>
        <v/>
      </c>
      <c r="R497" s="17" t="str">
        <f aca="false">IF(O497="","",IF(OR(P497="",Q497=""),0,(O497-N497)*IF(Q497&gt;1,Q497/100,Q497)))</f>
        <v/>
      </c>
      <c r="S497" s="31" t="str">
        <f aca="false">IF(O497="","",O497-R497)</f>
        <v/>
      </c>
      <c r="T497" s="28"/>
      <c r="U497" s="34" t="str">
        <f aca="false">IF(T497="","",IFERROR(VLOOKUP(T497,REPS!$A$2:$D$40,2,0),""))</f>
        <v/>
      </c>
      <c r="V497" s="31" t="str">
        <f aca="false">IF(O497="","",IF(U497="",0,O497*IF(U497&gt;1,U497/100,U497)))</f>
        <v/>
      </c>
      <c r="W497" s="28"/>
      <c r="X497" s="34" t="str">
        <f aca="false">IF(W497="","",IFERROR(VLOOKUP(W497,REPS!$A$2:$D$40,3,0),""))</f>
        <v/>
      </c>
      <c r="Y497" s="31" t="str">
        <f aca="false">IF(O497="","",IF(X497="",0,O497*IF(X497&gt;1,X497/100,X497)))</f>
        <v/>
      </c>
      <c r="Z497" s="28"/>
      <c r="AA497" s="34" t="str">
        <f aca="false">IF(Z497="","",IFERROR(VLOOKUP(Z497,REPS!$A$2:$D$40,4,0),""))</f>
        <v/>
      </c>
      <c r="AB497" s="31" t="str">
        <f aca="false">IF(O497="","",IF(AA497="",0,O497*IF(AA497&gt;1,AA497/100,AA497)))</f>
        <v/>
      </c>
      <c r="AC497" s="31" t="str">
        <f aca="false">IF(O497="","",V497+Y497+AB497)</f>
        <v/>
      </c>
      <c r="AD497" s="19" t="str">
        <f aca="false">IF(O497="","",O497-R497-AC497)</f>
        <v/>
      </c>
      <c r="AE497" s="20"/>
      <c r="AF497" s="27"/>
      <c r="AG497" s="21" t="n">
        <f aca="false">IF(OR(AE497="",AE497=0),0,AE497*IF(U497="",0,IF(U497&gt;1,U497/100,U497)))</f>
        <v>0</v>
      </c>
      <c r="AH497" s="21" t="n">
        <f aca="false">IF(OR(AE497="",AE497=0),0,AE497*IF(X497="",0,IF(X497&gt;1,X497/100,X497)))</f>
        <v>0</v>
      </c>
      <c r="AI497" s="21" t="n">
        <f aca="false">IF(OR(AE497="",AE497=0),0,AE497*IF(AA497="",0,IF(AA497&gt;1,AA497/100,AA497)))</f>
        <v>0</v>
      </c>
      <c r="AJ497" s="21" t="n">
        <f aca="false">AG497+AH497+AI497</f>
        <v>0</v>
      </c>
      <c r="AK497" s="21" t="n">
        <f aca="false">IF(OR(AE497="",AE497=0),0,AE497-AJ497)</f>
        <v>0</v>
      </c>
      <c r="AL497" s="19" t="str">
        <f aca="false">IF(AD497="","",AD497-AK497)</f>
        <v/>
      </c>
      <c r="AM497" s="26" t="str">
        <f aca="false">IF(C497="","","Waiting for payment")</f>
        <v/>
      </c>
      <c r="AN497" s="27"/>
      <c r="AO497" s="27"/>
      <c r="AP497" s="35" t="str">
        <f aca="false">IF(OR(C497="",I497="",K497=""),"",IF(K497="Monthly",EDATE(C497,ROUND(I497*SETTINGS!$I$8,0)),WORKDAY(C497,ROUND(I497*SETTINGS!$I$8,0))))</f>
        <v/>
      </c>
      <c r="AQ497" s="26" t="str">
        <f aca="true">IF(C497="","",IF(AND(AP497&lt;&gt;"",TODAY()&gt;=AP497),"Refi Ready",IF(TODAY()-C497&gt;=SETTINGS!$I$11,"Prospecting","Performing")))</f>
        <v/>
      </c>
      <c r="AR497" s="35" t="str">
        <f aca="false">IF(OR(C497="",I497="",K497=""),"",IF(K497="Monthly",EDATE(C497,I497),WORKDAY(C497,I497)))</f>
        <v/>
      </c>
      <c r="AS497" s="28"/>
      <c r="AT497" s="36" t="str">
        <f aca="true">IF(C497="","",IF(AM497="Clawed Back","CLAWED",IF(TODAY()&lt;=C497+SETTINGS!$I$2,"⚠ AT RISK","SAFE")))</f>
        <v/>
      </c>
      <c r="AU497" s="28"/>
      <c r="AW497" s="24" t="n">
        <f aca="false">AW496+IF(AND(C497&lt;&gt;"",AO497&lt;&gt;"",OR('REP COMMISSION'!$B$3="",T497='REP COMMISSION'!$B$3,W497='REP COMMISSION'!$B$3,Z497='REP COMMISSION'!$B$3)),1,0)</f>
        <v>0</v>
      </c>
      <c r="AX497" s="24" t="n">
        <f aca="false">AX496+IF(AND(C497&lt;&gt;"",OR(F497="LOC - INITIAL",F497="CONSOLIDATION - UPFRONT COMM",F497="REVERSE - TOTAL FUNDING")),1,0)</f>
        <v>0</v>
      </c>
    </row>
    <row r="498" customFormat="false" ht="15" hidden="false" customHeight="false" outlineLevel="0" collapsed="false">
      <c r="A498" s="8" t="str">
        <f aca="false">IF(C498&lt;&gt;"","F27-"&amp;COUNT($C$4:C498),"")</f>
        <v/>
      </c>
      <c r="B498" s="9" t="str">
        <f aca="false">IF(OR(F498="LOC - INITIAL",F498="CONSOLIDATION - UPFRONT COMM",F498="REVERSE - TOTAL FUNDING"),A498,"")</f>
        <v/>
      </c>
      <c r="C498" s="10"/>
      <c r="D498" s="11"/>
      <c r="E498" s="11"/>
      <c r="F498" s="11"/>
      <c r="G498" s="12"/>
      <c r="H498" s="13"/>
      <c r="I498" s="11"/>
      <c r="J498" s="14" t="str">
        <f aca="false">IF(AND(G498&lt;&gt;"",H498&lt;&gt;""),G498*H498,"")</f>
        <v/>
      </c>
      <c r="K498" s="11"/>
      <c r="L498" s="15"/>
      <c r="M498" s="15"/>
      <c r="N498" s="14" t="n">
        <f aca="false">IF(OR(G498="",M498=""),0,IF(M498&gt;100,M498,G498*IF(M498&gt;1,M498/100,M498)))</f>
        <v>0</v>
      </c>
      <c r="O498" s="14" t="str">
        <f aca="false">IF(G498="","",G498*IF(L498="",0,IF(L498&gt;1,L498/100,L498))+N498)</f>
        <v/>
      </c>
      <c r="P498" s="11"/>
      <c r="Q498" s="16" t="str">
        <f aca="false">IF(P498="","",IFERROR(VLOOKUP(P498,PARTNERS!$A$2:$B$30,2,0),""))</f>
        <v/>
      </c>
      <c r="R498" s="17" t="str">
        <f aca="false">IF(O498="","",IF(OR(P498="",Q498=""),0,(O498-N498)*IF(Q498&gt;1,Q498/100,Q498)))</f>
        <v/>
      </c>
      <c r="S498" s="14" t="str">
        <f aca="false">IF(O498="","",O498-R498)</f>
        <v/>
      </c>
      <c r="T498" s="11"/>
      <c r="U498" s="18" t="str">
        <f aca="false">IF(T498="","",IFERROR(VLOOKUP(T498,REPS!$A$2:$D$40,2,0),""))</f>
        <v/>
      </c>
      <c r="V498" s="14" t="str">
        <f aca="false">IF(O498="","",IF(U498="",0,O498*IF(U498&gt;1,U498/100,U498)))</f>
        <v/>
      </c>
      <c r="W498" s="11"/>
      <c r="X498" s="18" t="str">
        <f aca="false">IF(W498="","",IFERROR(VLOOKUP(W498,REPS!$A$2:$D$40,3,0),""))</f>
        <v/>
      </c>
      <c r="Y498" s="14" t="str">
        <f aca="false">IF(O498="","",IF(X498="",0,O498*IF(X498&gt;1,X498/100,X498)))</f>
        <v/>
      </c>
      <c r="Z498" s="11"/>
      <c r="AA498" s="18" t="str">
        <f aca="false">IF(Z498="","",IFERROR(VLOOKUP(Z498,REPS!$A$2:$D$40,4,0),""))</f>
        <v/>
      </c>
      <c r="AB498" s="14" t="str">
        <f aca="false">IF(O498="","",IF(AA498="",0,O498*IF(AA498&gt;1,AA498/100,AA498)))</f>
        <v/>
      </c>
      <c r="AC498" s="14" t="str">
        <f aca="false">IF(O498="","",V498+Y498+AB498)</f>
        <v/>
      </c>
      <c r="AD498" s="19" t="str">
        <f aca="false">IF(O498="","",O498-R498-AC498)</f>
        <v/>
      </c>
      <c r="AE498" s="20"/>
      <c r="AF498" s="10"/>
      <c r="AG498" s="21" t="n">
        <f aca="false">IF(OR(AE498="",AE498=0),0,AE498*IF(U498="",0,IF(U498&gt;1,U498/100,U498)))</f>
        <v>0</v>
      </c>
      <c r="AH498" s="21" t="n">
        <f aca="false">IF(OR(AE498="",AE498=0),0,AE498*IF(X498="",0,IF(X498&gt;1,X498/100,X498)))</f>
        <v>0</v>
      </c>
      <c r="AI498" s="21" t="n">
        <f aca="false">IF(OR(AE498="",AE498=0),0,AE498*IF(AA498="",0,IF(AA498&gt;1,AA498/100,AA498)))</f>
        <v>0</v>
      </c>
      <c r="AJ498" s="21" t="n">
        <f aca="false">AG498+AH498+AI498</f>
        <v>0</v>
      </c>
      <c r="AK498" s="21" t="n">
        <f aca="false">IF(OR(AE498="",AE498=0),0,AE498-AJ498)</f>
        <v>0</v>
      </c>
      <c r="AL498" s="19" t="str">
        <f aca="false">IF(AD498="","",AD498-AK498)</f>
        <v/>
      </c>
      <c r="AM498" s="9" t="str">
        <f aca="false">IF(C498="","","Waiting for payment")</f>
        <v/>
      </c>
      <c r="AN498" s="10"/>
      <c r="AO498" s="10"/>
      <c r="AP498" s="22" t="str">
        <f aca="false">IF(OR(C498="",I498="",K498=""),"",IF(K498="Monthly",EDATE(C498,ROUND(I498*SETTINGS!$I$8,0)),WORKDAY(C498,ROUND(I498*SETTINGS!$I$8,0))))</f>
        <v/>
      </c>
      <c r="AQ498" s="9" t="str">
        <f aca="true">IF(C498="","",IF(AND(AP498&lt;&gt;"",TODAY()&gt;=AP498),"Refi Ready",IF(TODAY()-C498&gt;=SETTINGS!$I$11,"Prospecting","Performing")))</f>
        <v/>
      </c>
      <c r="AR498" s="22" t="str">
        <f aca="false">IF(OR(C498="",I498="",K498=""),"",IF(K498="Monthly",EDATE(C498,I498),WORKDAY(C498,I498)))</f>
        <v/>
      </c>
      <c r="AS498" s="11"/>
      <c r="AT498" s="23" t="str">
        <f aca="true">IF(C498="","",IF(AM498="Clawed Back","CLAWED",IF(TODAY()&lt;=C498+SETTINGS!$I$2,"⚠ AT RISK","SAFE")))</f>
        <v/>
      </c>
      <c r="AU498" s="11"/>
      <c r="AW498" s="24" t="n">
        <f aca="false">AW497+IF(AND(C498&lt;&gt;"",AO498&lt;&gt;"",OR('REP COMMISSION'!$B$3="",T498='REP COMMISSION'!$B$3,W498='REP COMMISSION'!$B$3,Z498='REP COMMISSION'!$B$3)),1,0)</f>
        <v>0</v>
      </c>
      <c r="AX498" s="24" t="n">
        <f aca="false">AX497+IF(AND(C498&lt;&gt;"",OR(F498="LOC - INITIAL",F498="CONSOLIDATION - UPFRONT COMM",F498="REVERSE - TOTAL FUNDING")),1,0)</f>
        <v>0</v>
      </c>
    </row>
    <row r="499" customFormat="false" ht="15" hidden="false" customHeight="false" outlineLevel="0" collapsed="false">
      <c r="A499" s="25" t="str">
        <f aca="false">IF(C499&lt;&gt;"","F27-"&amp;COUNT($C$4:C499),"")</f>
        <v/>
      </c>
      <c r="B499" s="26" t="str">
        <f aca="false">IF(OR(F499="LOC - INITIAL",F499="CONSOLIDATION - UPFRONT COMM",F499="REVERSE - TOTAL FUNDING"),A499,"")</f>
        <v/>
      </c>
      <c r="C499" s="27"/>
      <c r="D499" s="28"/>
      <c r="E499" s="28"/>
      <c r="F499" s="28"/>
      <c r="G499" s="29"/>
      <c r="H499" s="30"/>
      <c r="I499" s="28"/>
      <c r="J499" s="31" t="str">
        <f aca="false">IF(AND(G499&lt;&gt;"",H499&lt;&gt;""),G499*H499,"")</f>
        <v/>
      </c>
      <c r="K499" s="28"/>
      <c r="L499" s="32"/>
      <c r="M499" s="32"/>
      <c r="N499" s="31" t="n">
        <f aca="false">IF(OR(G499="",M499=""),0,IF(M499&gt;100,M499,G499*IF(M499&gt;1,M499/100,M499)))</f>
        <v>0</v>
      </c>
      <c r="O499" s="31" t="str">
        <f aca="false">IF(G499="","",G499*IF(L499="",0,IF(L499&gt;1,L499/100,L499))+N499)</f>
        <v/>
      </c>
      <c r="P499" s="28"/>
      <c r="Q499" s="33" t="str">
        <f aca="false">IF(P499="","",IFERROR(VLOOKUP(P499,PARTNERS!$A$2:$B$30,2,0),""))</f>
        <v/>
      </c>
      <c r="R499" s="17" t="str">
        <f aca="false">IF(O499="","",IF(OR(P499="",Q499=""),0,(O499-N499)*IF(Q499&gt;1,Q499/100,Q499)))</f>
        <v/>
      </c>
      <c r="S499" s="31" t="str">
        <f aca="false">IF(O499="","",O499-R499)</f>
        <v/>
      </c>
      <c r="T499" s="28"/>
      <c r="U499" s="34" t="str">
        <f aca="false">IF(T499="","",IFERROR(VLOOKUP(T499,REPS!$A$2:$D$40,2,0),""))</f>
        <v/>
      </c>
      <c r="V499" s="31" t="str">
        <f aca="false">IF(O499="","",IF(U499="",0,O499*IF(U499&gt;1,U499/100,U499)))</f>
        <v/>
      </c>
      <c r="W499" s="28"/>
      <c r="X499" s="34" t="str">
        <f aca="false">IF(W499="","",IFERROR(VLOOKUP(W499,REPS!$A$2:$D$40,3,0),""))</f>
        <v/>
      </c>
      <c r="Y499" s="31" t="str">
        <f aca="false">IF(O499="","",IF(X499="",0,O499*IF(X499&gt;1,X499/100,X499)))</f>
        <v/>
      </c>
      <c r="Z499" s="28"/>
      <c r="AA499" s="34" t="str">
        <f aca="false">IF(Z499="","",IFERROR(VLOOKUP(Z499,REPS!$A$2:$D$40,4,0),""))</f>
        <v/>
      </c>
      <c r="AB499" s="31" t="str">
        <f aca="false">IF(O499="","",IF(AA499="",0,O499*IF(AA499&gt;1,AA499/100,AA499)))</f>
        <v/>
      </c>
      <c r="AC499" s="31" t="str">
        <f aca="false">IF(O499="","",V499+Y499+AB499)</f>
        <v/>
      </c>
      <c r="AD499" s="19" t="str">
        <f aca="false">IF(O499="","",O499-R499-AC499)</f>
        <v/>
      </c>
      <c r="AE499" s="20"/>
      <c r="AF499" s="27"/>
      <c r="AG499" s="21" t="n">
        <f aca="false">IF(OR(AE499="",AE499=0),0,AE499*IF(U499="",0,IF(U499&gt;1,U499/100,U499)))</f>
        <v>0</v>
      </c>
      <c r="AH499" s="21" t="n">
        <f aca="false">IF(OR(AE499="",AE499=0),0,AE499*IF(X499="",0,IF(X499&gt;1,X499/100,X499)))</f>
        <v>0</v>
      </c>
      <c r="AI499" s="21" t="n">
        <f aca="false">IF(OR(AE499="",AE499=0),0,AE499*IF(AA499="",0,IF(AA499&gt;1,AA499/100,AA499)))</f>
        <v>0</v>
      </c>
      <c r="AJ499" s="21" t="n">
        <f aca="false">AG499+AH499+AI499</f>
        <v>0</v>
      </c>
      <c r="AK499" s="21" t="n">
        <f aca="false">IF(OR(AE499="",AE499=0),0,AE499-AJ499)</f>
        <v>0</v>
      </c>
      <c r="AL499" s="19" t="str">
        <f aca="false">IF(AD499="","",AD499-AK499)</f>
        <v/>
      </c>
      <c r="AM499" s="26" t="str">
        <f aca="false">IF(C499="","","Waiting for payment")</f>
        <v/>
      </c>
      <c r="AN499" s="27"/>
      <c r="AO499" s="27"/>
      <c r="AP499" s="35" t="str">
        <f aca="false">IF(OR(C499="",I499="",K499=""),"",IF(K499="Monthly",EDATE(C499,ROUND(I499*SETTINGS!$I$8,0)),WORKDAY(C499,ROUND(I499*SETTINGS!$I$8,0))))</f>
        <v/>
      </c>
      <c r="AQ499" s="26" t="str">
        <f aca="true">IF(C499="","",IF(AND(AP499&lt;&gt;"",TODAY()&gt;=AP499),"Refi Ready",IF(TODAY()-C499&gt;=SETTINGS!$I$11,"Prospecting","Performing")))</f>
        <v/>
      </c>
      <c r="AR499" s="35" t="str">
        <f aca="false">IF(OR(C499="",I499="",K499=""),"",IF(K499="Monthly",EDATE(C499,I499),WORKDAY(C499,I499)))</f>
        <v/>
      </c>
      <c r="AS499" s="28"/>
      <c r="AT499" s="36" t="str">
        <f aca="true">IF(C499="","",IF(AM499="Clawed Back","CLAWED",IF(TODAY()&lt;=C499+SETTINGS!$I$2,"⚠ AT RISK","SAFE")))</f>
        <v/>
      </c>
      <c r="AU499" s="28"/>
      <c r="AW499" s="24" t="n">
        <f aca="false">AW498+IF(AND(C499&lt;&gt;"",AO499&lt;&gt;"",OR('REP COMMISSION'!$B$3="",T499='REP COMMISSION'!$B$3,W499='REP COMMISSION'!$B$3,Z499='REP COMMISSION'!$B$3)),1,0)</f>
        <v>0</v>
      </c>
      <c r="AX499" s="24" t="n">
        <f aca="false">AX498+IF(AND(C499&lt;&gt;"",OR(F499="LOC - INITIAL",F499="CONSOLIDATION - UPFRONT COMM",F499="REVERSE - TOTAL FUNDING")),1,0)</f>
        <v>0</v>
      </c>
    </row>
    <row r="500" customFormat="false" ht="15" hidden="false" customHeight="false" outlineLevel="0" collapsed="false">
      <c r="A500" s="8" t="str">
        <f aca="false">IF(C500&lt;&gt;"","F27-"&amp;COUNT($C$4:C500),"")</f>
        <v/>
      </c>
      <c r="B500" s="9" t="str">
        <f aca="false">IF(OR(F500="LOC - INITIAL",F500="CONSOLIDATION - UPFRONT COMM",F500="REVERSE - TOTAL FUNDING"),A500,"")</f>
        <v/>
      </c>
      <c r="C500" s="10"/>
      <c r="D500" s="11"/>
      <c r="E500" s="11"/>
      <c r="F500" s="11"/>
      <c r="G500" s="12"/>
      <c r="H500" s="13"/>
      <c r="I500" s="11"/>
      <c r="J500" s="14" t="str">
        <f aca="false">IF(AND(G500&lt;&gt;"",H500&lt;&gt;""),G500*H500,"")</f>
        <v/>
      </c>
      <c r="K500" s="11"/>
      <c r="L500" s="15"/>
      <c r="M500" s="15"/>
      <c r="N500" s="14" t="n">
        <f aca="false">IF(OR(G500="",M500=""),0,IF(M500&gt;100,M500,G500*IF(M500&gt;1,M500/100,M500)))</f>
        <v>0</v>
      </c>
      <c r="O500" s="14" t="str">
        <f aca="false">IF(G500="","",G500*IF(L500="",0,IF(L500&gt;1,L500/100,L500))+N500)</f>
        <v/>
      </c>
      <c r="P500" s="11"/>
      <c r="Q500" s="16" t="str">
        <f aca="false">IF(P500="","",IFERROR(VLOOKUP(P500,PARTNERS!$A$2:$B$30,2,0),""))</f>
        <v/>
      </c>
      <c r="R500" s="17" t="str">
        <f aca="false">IF(O500="","",IF(OR(P500="",Q500=""),0,(O500-N500)*IF(Q500&gt;1,Q500/100,Q500)))</f>
        <v/>
      </c>
      <c r="S500" s="14" t="str">
        <f aca="false">IF(O500="","",O500-R500)</f>
        <v/>
      </c>
      <c r="T500" s="11"/>
      <c r="U500" s="18" t="str">
        <f aca="false">IF(T500="","",IFERROR(VLOOKUP(T500,REPS!$A$2:$D$40,2,0),""))</f>
        <v/>
      </c>
      <c r="V500" s="14" t="str">
        <f aca="false">IF(O500="","",IF(U500="",0,O500*IF(U500&gt;1,U500/100,U500)))</f>
        <v/>
      </c>
      <c r="W500" s="11"/>
      <c r="X500" s="18" t="str">
        <f aca="false">IF(W500="","",IFERROR(VLOOKUP(W500,REPS!$A$2:$D$40,3,0),""))</f>
        <v/>
      </c>
      <c r="Y500" s="14" t="str">
        <f aca="false">IF(O500="","",IF(X500="",0,O500*IF(X500&gt;1,X500/100,X500)))</f>
        <v/>
      </c>
      <c r="Z500" s="11"/>
      <c r="AA500" s="18" t="str">
        <f aca="false">IF(Z500="","",IFERROR(VLOOKUP(Z500,REPS!$A$2:$D$40,4,0),""))</f>
        <v/>
      </c>
      <c r="AB500" s="14" t="str">
        <f aca="false">IF(O500="","",IF(AA500="",0,O500*IF(AA500&gt;1,AA500/100,AA500)))</f>
        <v/>
      </c>
      <c r="AC500" s="14" t="str">
        <f aca="false">IF(O500="","",V500+Y500+AB500)</f>
        <v/>
      </c>
      <c r="AD500" s="19" t="str">
        <f aca="false">IF(O500="","",O500-R500-AC500)</f>
        <v/>
      </c>
      <c r="AE500" s="20"/>
      <c r="AF500" s="10"/>
      <c r="AG500" s="21" t="n">
        <f aca="false">IF(OR(AE500="",AE500=0),0,AE500*IF(U500="",0,IF(U500&gt;1,U500/100,U500)))</f>
        <v>0</v>
      </c>
      <c r="AH500" s="21" t="n">
        <f aca="false">IF(OR(AE500="",AE500=0),0,AE500*IF(X500="",0,IF(X500&gt;1,X500/100,X500)))</f>
        <v>0</v>
      </c>
      <c r="AI500" s="21" t="n">
        <f aca="false">IF(OR(AE500="",AE500=0),0,AE500*IF(AA500="",0,IF(AA500&gt;1,AA500/100,AA500)))</f>
        <v>0</v>
      </c>
      <c r="AJ500" s="21" t="n">
        <f aca="false">AG500+AH500+AI500</f>
        <v>0</v>
      </c>
      <c r="AK500" s="21" t="n">
        <f aca="false">IF(OR(AE500="",AE500=0),0,AE500-AJ500)</f>
        <v>0</v>
      </c>
      <c r="AL500" s="19" t="str">
        <f aca="false">IF(AD500="","",AD500-AK500)</f>
        <v/>
      </c>
      <c r="AM500" s="9" t="str">
        <f aca="false">IF(C500="","","Waiting for payment")</f>
        <v/>
      </c>
      <c r="AN500" s="10"/>
      <c r="AO500" s="10"/>
      <c r="AP500" s="22" t="str">
        <f aca="false">IF(OR(C500="",I500="",K500=""),"",IF(K500="Monthly",EDATE(C500,ROUND(I500*SETTINGS!$I$8,0)),WORKDAY(C500,ROUND(I500*SETTINGS!$I$8,0))))</f>
        <v/>
      </c>
      <c r="AQ500" s="9" t="str">
        <f aca="true">IF(C500="","",IF(AND(AP500&lt;&gt;"",TODAY()&gt;=AP500),"Refi Ready",IF(TODAY()-C500&gt;=SETTINGS!$I$11,"Prospecting","Performing")))</f>
        <v/>
      </c>
      <c r="AR500" s="22" t="str">
        <f aca="false">IF(OR(C500="",I500="",K500=""),"",IF(K500="Monthly",EDATE(C500,I500),WORKDAY(C500,I500)))</f>
        <v/>
      </c>
      <c r="AS500" s="11"/>
      <c r="AT500" s="23" t="str">
        <f aca="true">IF(C500="","",IF(AM500="Clawed Back","CLAWED",IF(TODAY()&lt;=C500+SETTINGS!$I$2,"⚠ AT RISK","SAFE")))</f>
        <v/>
      </c>
      <c r="AU500" s="11"/>
      <c r="AW500" s="24" t="n">
        <f aca="false">AW499+IF(AND(C500&lt;&gt;"",AO500&lt;&gt;"",OR('REP COMMISSION'!$B$3="",T500='REP COMMISSION'!$B$3,W500='REP COMMISSION'!$B$3,Z500='REP COMMISSION'!$B$3)),1,0)</f>
        <v>0</v>
      </c>
      <c r="AX500" s="24" t="n">
        <f aca="false">AX499+IF(AND(C500&lt;&gt;"",OR(F500="LOC - INITIAL",F500="CONSOLIDATION - UPFRONT COMM",F500="REVERSE - TOTAL FUNDING")),1,0)</f>
        <v>0</v>
      </c>
    </row>
    <row r="501" customFormat="false" ht="15" hidden="false" customHeight="false" outlineLevel="0" collapsed="false">
      <c r="A501" s="25" t="str">
        <f aca="false">IF(C501&lt;&gt;"","F27-"&amp;COUNT($C$4:C501),"")</f>
        <v/>
      </c>
      <c r="B501" s="26" t="str">
        <f aca="false">IF(OR(F501="LOC - INITIAL",F501="CONSOLIDATION - UPFRONT COMM",F501="REVERSE - TOTAL FUNDING"),A501,"")</f>
        <v/>
      </c>
      <c r="C501" s="27"/>
      <c r="D501" s="28"/>
      <c r="E501" s="28"/>
      <c r="F501" s="28"/>
      <c r="G501" s="29"/>
      <c r="H501" s="30"/>
      <c r="I501" s="28"/>
      <c r="J501" s="31" t="str">
        <f aca="false">IF(AND(G501&lt;&gt;"",H501&lt;&gt;""),G501*H501,"")</f>
        <v/>
      </c>
      <c r="K501" s="28"/>
      <c r="L501" s="32"/>
      <c r="M501" s="32"/>
      <c r="N501" s="31" t="n">
        <f aca="false">IF(OR(G501="",M501=""),0,IF(M501&gt;100,M501,G501*IF(M501&gt;1,M501/100,M501)))</f>
        <v>0</v>
      </c>
      <c r="O501" s="31" t="str">
        <f aca="false">IF(G501="","",G501*IF(L501="",0,IF(L501&gt;1,L501/100,L501))+N501)</f>
        <v/>
      </c>
      <c r="P501" s="28"/>
      <c r="Q501" s="33" t="str">
        <f aca="false">IF(P501="","",IFERROR(VLOOKUP(P501,PARTNERS!$A$2:$B$30,2,0),""))</f>
        <v/>
      </c>
      <c r="R501" s="17" t="str">
        <f aca="false">IF(O501="","",IF(OR(P501="",Q501=""),0,(O501-N501)*IF(Q501&gt;1,Q501/100,Q501)))</f>
        <v/>
      </c>
      <c r="S501" s="31" t="str">
        <f aca="false">IF(O501="","",O501-R501)</f>
        <v/>
      </c>
      <c r="T501" s="28"/>
      <c r="U501" s="34" t="str">
        <f aca="false">IF(T501="","",IFERROR(VLOOKUP(T501,REPS!$A$2:$D$40,2,0),""))</f>
        <v/>
      </c>
      <c r="V501" s="31" t="str">
        <f aca="false">IF(O501="","",IF(U501="",0,O501*IF(U501&gt;1,U501/100,U501)))</f>
        <v/>
      </c>
      <c r="W501" s="28"/>
      <c r="X501" s="34" t="str">
        <f aca="false">IF(W501="","",IFERROR(VLOOKUP(W501,REPS!$A$2:$D$40,3,0),""))</f>
        <v/>
      </c>
      <c r="Y501" s="31" t="str">
        <f aca="false">IF(O501="","",IF(X501="",0,O501*IF(X501&gt;1,X501/100,X501)))</f>
        <v/>
      </c>
      <c r="Z501" s="28"/>
      <c r="AA501" s="34" t="str">
        <f aca="false">IF(Z501="","",IFERROR(VLOOKUP(Z501,REPS!$A$2:$D$40,4,0),""))</f>
        <v/>
      </c>
      <c r="AB501" s="31" t="str">
        <f aca="false">IF(O501="","",IF(AA501="",0,O501*IF(AA501&gt;1,AA501/100,AA501)))</f>
        <v/>
      </c>
      <c r="AC501" s="31" t="str">
        <f aca="false">IF(O501="","",V501+Y501+AB501)</f>
        <v/>
      </c>
      <c r="AD501" s="19" t="str">
        <f aca="false">IF(O501="","",O501-R501-AC501)</f>
        <v/>
      </c>
      <c r="AE501" s="20"/>
      <c r="AF501" s="27"/>
      <c r="AG501" s="21" t="n">
        <f aca="false">IF(OR(AE501="",AE501=0),0,AE501*IF(U501="",0,IF(U501&gt;1,U501/100,U501)))</f>
        <v>0</v>
      </c>
      <c r="AH501" s="21" t="n">
        <f aca="false">IF(OR(AE501="",AE501=0),0,AE501*IF(X501="",0,IF(X501&gt;1,X501/100,X501)))</f>
        <v>0</v>
      </c>
      <c r="AI501" s="21" t="n">
        <f aca="false">IF(OR(AE501="",AE501=0),0,AE501*IF(AA501="",0,IF(AA501&gt;1,AA501/100,AA501)))</f>
        <v>0</v>
      </c>
      <c r="AJ501" s="21" t="n">
        <f aca="false">AG501+AH501+AI501</f>
        <v>0</v>
      </c>
      <c r="AK501" s="21" t="n">
        <f aca="false">IF(OR(AE501="",AE501=0),0,AE501-AJ501)</f>
        <v>0</v>
      </c>
      <c r="AL501" s="19" t="str">
        <f aca="false">IF(AD501="","",AD501-AK501)</f>
        <v/>
      </c>
      <c r="AM501" s="26" t="str">
        <f aca="false">IF(C501="","","Waiting for payment")</f>
        <v/>
      </c>
      <c r="AN501" s="27"/>
      <c r="AO501" s="27"/>
      <c r="AP501" s="35" t="str">
        <f aca="false">IF(OR(C501="",I501="",K501=""),"",IF(K501="Monthly",EDATE(C501,ROUND(I501*SETTINGS!$I$8,0)),WORKDAY(C501,ROUND(I501*SETTINGS!$I$8,0))))</f>
        <v/>
      </c>
      <c r="AQ501" s="26" t="str">
        <f aca="true">IF(C501="","",IF(AND(AP501&lt;&gt;"",TODAY()&gt;=AP501),"Refi Ready",IF(TODAY()-C501&gt;=SETTINGS!$I$11,"Prospecting","Performing")))</f>
        <v/>
      </c>
      <c r="AR501" s="35" t="str">
        <f aca="false">IF(OR(C501="",I501="",K501=""),"",IF(K501="Monthly",EDATE(C501,I501),WORKDAY(C501,I501)))</f>
        <v/>
      </c>
      <c r="AS501" s="28"/>
      <c r="AT501" s="36" t="str">
        <f aca="true">IF(C501="","",IF(AM501="Clawed Back","CLAWED",IF(TODAY()&lt;=C501+SETTINGS!$I$2,"⚠ AT RISK","SAFE")))</f>
        <v/>
      </c>
      <c r="AU501" s="28"/>
      <c r="AW501" s="24" t="n">
        <f aca="false">AW500+IF(AND(C501&lt;&gt;"",AO501&lt;&gt;"",OR('REP COMMISSION'!$B$3="",T501='REP COMMISSION'!$B$3,W501='REP COMMISSION'!$B$3,Z501='REP COMMISSION'!$B$3)),1,0)</f>
        <v>0</v>
      </c>
      <c r="AX501" s="24" t="n">
        <f aca="false">AX500+IF(AND(C501&lt;&gt;"",OR(F501="LOC - INITIAL",F501="CONSOLIDATION - UPFRONT COMM",F501="REVERSE - TOTAL FUNDING")),1,0)</f>
        <v>0</v>
      </c>
    </row>
    <row r="502" customFormat="false" ht="15" hidden="false" customHeight="false" outlineLevel="0" collapsed="false">
      <c r="A502" s="8" t="str">
        <f aca="false">IF(C502&lt;&gt;"","F27-"&amp;COUNT($C$4:C502),"")</f>
        <v/>
      </c>
      <c r="B502" s="9" t="str">
        <f aca="false">IF(OR(F502="LOC - INITIAL",F502="CONSOLIDATION - UPFRONT COMM",F502="REVERSE - TOTAL FUNDING"),A502,"")</f>
        <v/>
      </c>
      <c r="C502" s="10"/>
      <c r="D502" s="11"/>
      <c r="E502" s="11"/>
      <c r="F502" s="11"/>
      <c r="G502" s="12"/>
      <c r="H502" s="13"/>
      <c r="I502" s="11"/>
      <c r="J502" s="14" t="str">
        <f aca="false">IF(AND(G502&lt;&gt;"",H502&lt;&gt;""),G502*H502,"")</f>
        <v/>
      </c>
      <c r="K502" s="11"/>
      <c r="L502" s="15"/>
      <c r="M502" s="15"/>
      <c r="N502" s="14" t="n">
        <f aca="false">IF(OR(G502="",M502=""),0,IF(M502&gt;100,M502,G502*IF(M502&gt;1,M502/100,M502)))</f>
        <v>0</v>
      </c>
      <c r="O502" s="14" t="str">
        <f aca="false">IF(G502="","",G502*IF(L502="",0,IF(L502&gt;1,L502/100,L502))+N502)</f>
        <v/>
      </c>
      <c r="P502" s="11"/>
      <c r="Q502" s="16" t="str">
        <f aca="false">IF(P502="","",IFERROR(VLOOKUP(P502,PARTNERS!$A$2:$B$30,2,0),""))</f>
        <v/>
      </c>
      <c r="R502" s="17" t="str">
        <f aca="false">IF(O502="","",IF(OR(P502="",Q502=""),0,(O502-N502)*IF(Q502&gt;1,Q502/100,Q502)))</f>
        <v/>
      </c>
      <c r="S502" s="14" t="str">
        <f aca="false">IF(O502="","",O502-R502)</f>
        <v/>
      </c>
      <c r="T502" s="11"/>
      <c r="U502" s="18" t="str">
        <f aca="false">IF(T502="","",IFERROR(VLOOKUP(T502,REPS!$A$2:$D$40,2,0),""))</f>
        <v/>
      </c>
      <c r="V502" s="14" t="str">
        <f aca="false">IF(O502="","",IF(U502="",0,O502*IF(U502&gt;1,U502/100,U502)))</f>
        <v/>
      </c>
      <c r="W502" s="11"/>
      <c r="X502" s="18" t="str">
        <f aca="false">IF(W502="","",IFERROR(VLOOKUP(W502,REPS!$A$2:$D$40,3,0),""))</f>
        <v/>
      </c>
      <c r="Y502" s="14" t="str">
        <f aca="false">IF(O502="","",IF(X502="",0,O502*IF(X502&gt;1,X502/100,X502)))</f>
        <v/>
      </c>
      <c r="Z502" s="11"/>
      <c r="AA502" s="18" t="str">
        <f aca="false">IF(Z502="","",IFERROR(VLOOKUP(Z502,REPS!$A$2:$D$40,4,0),""))</f>
        <v/>
      </c>
      <c r="AB502" s="14" t="str">
        <f aca="false">IF(O502="","",IF(AA502="",0,O502*IF(AA502&gt;1,AA502/100,AA502)))</f>
        <v/>
      </c>
      <c r="AC502" s="14" t="str">
        <f aca="false">IF(O502="","",V502+Y502+AB502)</f>
        <v/>
      </c>
      <c r="AD502" s="19" t="str">
        <f aca="false">IF(O502="","",O502-R502-AC502)</f>
        <v/>
      </c>
      <c r="AE502" s="20"/>
      <c r="AF502" s="10"/>
      <c r="AG502" s="21" t="n">
        <f aca="false">IF(OR(AE502="",AE502=0),0,AE502*IF(U502="",0,IF(U502&gt;1,U502/100,U502)))</f>
        <v>0</v>
      </c>
      <c r="AH502" s="21" t="n">
        <f aca="false">IF(OR(AE502="",AE502=0),0,AE502*IF(X502="",0,IF(X502&gt;1,X502/100,X502)))</f>
        <v>0</v>
      </c>
      <c r="AI502" s="21" t="n">
        <f aca="false">IF(OR(AE502="",AE502=0),0,AE502*IF(AA502="",0,IF(AA502&gt;1,AA502/100,AA502)))</f>
        <v>0</v>
      </c>
      <c r="AJ502" s="21" t="n">
        <f aca="false">AG502+AH502+AI502</f>
        <v>0</v>
      </c>
      <c r="AK502" s="21" t="n">
        <f aca="false">IF(OR(AE502="",AE502=0),0,AE502-AJ502)</f>
        <v>0</v>
      </c>
      <c r="AL502" s="19" t="str">
        <f aca="false">IF(AD502="","",AD502-AK502)</f>
        <v/>
      </c>
      <c r="AM502" s="9" t="str">
        <f aca="false">IF(C502="","","Waiting for payment")</f>
        <v/>
      </c>
      <c r="AN502" s="10"/>
      <c r="AO502" s="10"/>
      <c r="AP502" s="22" t="str">
        <f aca="false">IF(OR(C502="",I502="",K502=""),"",IF(K502="Monthly",EDATE(C502,ROUND(I502*SETTINGS!$I$8,0)),WORKDAY(C502,ROUND(I502*SETTINGS!$I$8,0))))</f>
        <v/>
      </c>
      <c r="AQ502" s="9" t="str">
        <f aca="true">IF(C502="","",IF(AND(AP502&lt;&gt;"",TODAY()&gt;=AP502),"Refi Ready",IF(TODAY()-C502&gt;=SETTINGS!$I$11,"Prospecting","Performing")))</f>
        <v/>
      </c>
      <c r="AR502" s="22" t="str">
        <f aca="false">IF(OR(C502="",I502="",K502=""),"",IF(K502="Monthly",EDATE(C502,I502),WORKDAY(C502,I502)))</f>
        <v/>
      </c>
      <c r="AS502" s="11"/>
      <c r="AT502" s="23" t="str">
        <f aca="true">IF(C502="","",IF(AM502="Clawed Back","CLAWED",IF(TODAY()&lt;=C502+SETTINGS!$I$2,"⚠ AT RISK","SAFE")))</f>
        <v/>
      </c>
      <c r="AU502" s="11"/>
      <c r="AW502" s="24" t="n">
        <f aca="false">AW501+IF(AND(C502&lt;&gt;"",AO502&lt;&gt;"",OR('REP COMMISSION'!$B$3="",T502='REP COMMISSION'!$B$3,W502='REP COMMISSION'!$B$3,Z502='REP COMMISSION'!$B$3)),1,0)</f>
        <v>0</v>
      </c>
      <c r="AX502" s="24" t="n">
        <f aca="false">AX501+IF(AND(C502&lt;&gt;"",OR(F502="LOC - INITIAL",F502="CONSOLIDATION - UPFRONT COMM",F502="REVERSE - TOTAL FUNDING")),1,0)</f>
        <v>0</v>
      </c>
    </row>
    <row r="503" customFormat="false" ht="15" hidden="false" customHeight="false" outlineLevel="0" collapsed="false">
      <c r="A503" s="25" t="str">
        <f aca="false">IF(C503&lt;&gt;"","F27-"&amp;COUNT($C$4:C503),"")</f>
        <v/>
      </c>
      <c r="B503" s="26" t="str">
        <f aca="false">IF(OR(F503="LOC - INITIAL",F503="CONSOLIDATION - UPFRONT COMM",F503="REVERSE - TOTAL FUNDING"),A503,"")</f>
        <v/>
      </c>
      <c r="C503" s="27"/>
      <c r="D503" s="28"/>
      <c r="E503" s="28"/>
      <c r="F503" s="28"/>
      <c r="G503" s="29"/>
      <c r="H503" s="30"/>
      <c r="I503" s="28"/>
      <c r="J503" s="31" t="str">
        <f aca="false">IF(AND(G503&lt;&gt;"",H503&lt;&gt;""),G503*H503,"")</f>
        <v/>
      </c>
      <c r="K503" s="28"/>
      <c r="L503" s="32"/>
      <c r="M503" s="32"/>
      <c r="N503" s="31" t="n">
        <f aca="false">IF(OR(G503="",M503=""),0,IF(M503&gt;100,M503,G503*IF(M503&gt;1,M503/100,M503)))</f>
        <v>0</v>
      </c>
      <c r="O503" s="31" t="str">
        <f aca="false">IF(G503="","",G503*IF(L503="",0,IF(L503&gt;1,L503/100,L503))+N503)</f>
        <v/>
      </c>
      <c r="P503" s="28"/>
      <c r="Q503" s="33" t="str">
        <f aca="false">IF(P503="","",IFERROR(VLOOKUP(P503,PARTNERS!$A$2:$B$30,2,0),""))</f>
        <v/>
      </c>
      <c r="R503" s="17" t="str">
        <f aca="false">IF(O503="","",IF(OR(P503="",Q503=""),0,(O503-N503)*IF(Q503&gt;1,Q503/100,Q503)))</f>
        <v/>
      </c>
      <c r="S503" s="31" t="str">
        <f aca="false">IF(O503="","",O503-R503)</f>
        <v/>
      </c>
      <c r="T503" s="28"/>
      <c r="U503" s="34" t="str">
        <f aca="false">IF(T503="","",IFERROR(VLOOKUP(T503,REPS!$A$2:$D$40,2,0),""))</f>
        <v/>
      </c>
      <c r="V503" s="31" t="str">
        <f aca="false">IF(O503="","",IF(U503="",0,O503*IF(U503&gt;1,U503/100,U503)))</f>
        <v/>
      </c>
      <c r="W503" s="28"/>
      <c r="X503" s="34" t="str">
        <f aca="false">IF(W503="","",IFERROR(VLOOKUP(W503,REPS!$A$2:$D$40,3,0),""))</f>
        <v/>
      </c>
      <c r="Y503" s="31" t="str">
        <f aca="false">IF(O503="","",IF(X503="",0,O503*IF(X503&gt;1,X503/100,X503)))</f>
        <v/>
      </c>
      <c r="Z503" s="28"/>
      <c r="AA503" s="34" t="str">
        <f aca="false">IF(Z503="","",IFERROR(VLOOKUP(Z503,REPS!$A$2:$D$40,4,0),""))</f>
        <v/>
      </c>
      <c r="AB503" s="31" t="str">
        <f aca="false">IF(O503="","",IF(AA503="",0,O503*IF(AA503&gt;1,AA503/100,AA503)))</f>
        <v/>
      </c>
      <c r="AC503" s="31" t="str">
        <f aca="false">IF(O503="","",V503+Y503+AB503)</f>
        <v/>
      </c>
      <c r="AD503" s="19" t="str">
        <f aca="false">IF(O503="","",O503-R503-AC503)</f>
        <v/>
      </c>
      <c r="AE503" s="20"/>
      <c r="AF503" s="27"/>
      <c r="AG503" s="21" t="n">
        <f aca="false">IF(OR(AE503="",AE503=0),0,AE503*IF(U503="",0,IF(U503&gt;1,U503/100,U503)))</f>
        <v>0</v>
      </c>
      <c r="AH503" s="21" t="n">
        <f aca="false">IF(OR(AE503="",AE503=0),0,AE503*IF(X503="",0,IF(X503&gt;1,X503/100,X503)))</f>
        <v>0</v>
      </c>
      <c r="AI503" s="21" t="n">
        <f aca="false">IF(OR(AE503="",AE503=0),0,AE503*IF(AA503="",0,IF(AA503&gt;1,AA503/100,AA503)))</f>
        <v>0</v>
      </c>
      <c r="AJ503" s="21" t="n">
        <f aca="false">AG503+AH503+AI503</f>
        <v>0</v>
      </c>
      <c r="AK503" s="21" t="n">
        <f aca="false">IF(OR(AE503="",AE503=0),0,AE503-AJ503)</f>
        <v>0</v>
      </c>
      <c r="AL503" s="19" t="str">
        <f aca="false">IF(AD503="","",AD503-AK503)</f>
        <v/>
      </c>
      <c r="AM503" s="26" t="str">
        <f aca="false">IF(C503="","","Waiting for payment")</f>
        <v/>
      </c>
      <c r="AN503" s="27"/>
      <c r="AO503" s="27"/>
      <c r="AP503" s="35" t="str">
        <f aca="false">IF(OR(C503="",I503="",K503=""),"",IF(K503="Monthly",EDATE(C503,ROUND(I503*SETTINGS!$I$8,0)),WORKDAY(C503,ROUND(I503*SETTINGS!$I$8,0))))</f>
        <v/>
      </c>
      <c r="AQ503" s="26" t="str">
        <f aca="true">IF(C503="","",IF(AND(AP503&lt;&gt;"",TODAY()&gt;=AP503),"Refi Ready",IF(TODAY()-C503&gt;=SETTINGS!$I$11,"Prospecting","Performing")))</f>
        <v/>
      </c>
      <c r="AR503" s="35" t="str">
        <f aca="false">IF(OR(C503="",I503="",K503=""),"",IF(K503="Monthly",EDATE(C503,I503),WORKDAY(C503,I503)))</f>
        <v/>
      </c>
      <c r="AS503" s="28"/>
      <c r="AT503" s="36" t="str">
        <f aca="true">IF(C503="","",IF(AM503="Clawed Back","CLAWED",IF(TODAY()&lt;=C503+SETTINGS!$I$2,"⚠ AT RISK","SAFE")))</f>
        <v/>
      </c>
      <c r="AU503" s="28"/>
      <c r="AW503" s="24" t="n">
        <f aca="false">AW502+IF(AND(C503&lt;&gt;"",AO503&lt;&gt;"",OR('REP COMMISSION'!$B$3="",T503='REP COMMISSION'!$B$3,W503='REP COMMISSION'!$B$3,Z503='REP COMMISSION'!$B$3)),1,0)</f>
        <v>0</v>
      </c>
      <c r="AX503" s="24" t="n">
        <f aca="false">AX502+IF(AND(C503&lt;&gt;"",OR(F503="LOC - INITIAL",F503="CONSOLIDATION - UPFRONT COMM",F503="REVERSE - TOTAL FUNDING")),1,0)</f>
        <v>0</v>
      </c>
    </row>
    <row r="504" customFormat="false" ht="15" hidden="false" customHeight="false" outlineLevel="0" collapsed="false">
      <c r="A504" s="8" t="str">
        <f aca="false">IF(C504&lt;&gt;"","F27-"&amp;COUNT($C$4:C504),"")</f>
        <v/>
      </c>
      <c r="B504" s="9" t="str">
        <f aca="false">IF(OR(F504="LOC - INITIAL",F504="CONSOLIDATION - UPFRONT COMM",F504="REVERSE - TOTAL FUNDING"),A504,"")</f>
        <v/>
      </c>
      <c r="C504" s="10"/>
      <c r="D504" s="11"/>
      <c r="E504" s="11"/>
      <c r="F504" s="11"/>
      <c r="G504" s="12"/>
      <c r="H504" s="13"/>
      <c r="I504" s="11"/>
      <c r="J504" s="14" t="str">
        <f aca="false">IF(AND(G504&lt;&gt;"",H504&lt;&gt;""),G504*H504,"")</f>
        <v/>
      </c>
      <c r="K504" s="11"/>
      <c r="L504" s="15"/>
      <c r="M504" s="15"/>
      <c r="N504" s="14" t="n">
        <f aca="false">IF(OR(G504="",M504=""),0,IF(M504&gt;100,M504,G504*IF(M504&gt;1,M504/100,M504)))</f>
        <v>0</v>
      </c>
      <c r="O504" s="14" t="str">
        <f aca="false">IF(G504="","",G504*IF(L504="",0,IF(L504&gt;1,L504/100,L504))+N504)</f>
        <v/>
      </c>
      <c r="P504" s="11"/>
      <c r="Q504" s="16" t="str">
        <f aca="false">IF(P504="","",IFERROR(VLOOKUP(P504,PARTNERS!$A$2:$B$30,2,0),""))</f>
        <v/>
      </c>
      <c r="R504" s="17" t="str">
        <f aca="false">IF(O504="","",IF(OR(P504="",Q504=""),0,(O504-N504)*IF(Q504&gt;1,Q504/100,Q504)))</f>
        <v/>
      </c>
      <c r="S504" s="14" t="str">
        <f aca="false">IF(O504="","",O504-R504)</f>
        <v/>
      </c>
      <c r="T504" s="11"/>
      <c r="U504" s="18" t="str">
        <f aca="false">IF(T504="","",IFERROR(VLOOKUP(T504,REPS!$A$2:$D$40,2,0),""))</f>
        <v/>
      </c>
      <c r="V504" s="14" t="str">
        <f aca="false">IF(O504="","",IF(U504="",0,O504*IF(U504&gt;1,U504/100,U504)))</f>
        <v/>
      </c>
      <c r="W504" s="11"/>
      <c r="X504" s="18" t="str">
        <f aca="false">IF(W504="","",IFERROR(VLOOKUP(W504,REPS!$A$2:$D$40,3,0),""))</f>
        <v/>
      </c>
      <c r="Y504" s="14" t="str">
        <f aca="false">IF(O504="","",IF(X504="",0,O504*IF(X504&gt;1,X504/100,X504)))</f>
        <v/>
      </c>
      <c r="Z504" s="11"/>
      <c r="AA504" s="18" t="str">
        <f aca="false">IF(Z504="","",IFERROR(VLOOKUP(Z504,REPS!$A$2:$D$40,4,0),""))</f>
        <v/>
      </c>
      <c r="AB504" s="14" t="str">
        <f aca="false">IF(O504="","",IF(AA504="",0,O504*IF(AA504&gt;1,AA504/100,AA504)))</f>
        <v/>
      </c>
      <c r="AC504" s="14" t="str">
        <f aca="false">IF(O504="","",V504+Y504+AB504)</f>
        <v/>
      </c>
      <c r="AD504" s="19" t="str">
        <f aca="false">IF(O504="","",O504-R504-AC504)</f>
        <v/>
      </c>
      <c r="AE504" s="20"/>
      <c r="AF504" s="10"/>
      <c r="AG504" s="21" t="n">
        <f aca="false">IF(OR(AE504="",AE504=0),0,AE504*IF(U504="",0,IF(U504&gt;1,U504/100,U504)))</f>
        <v>0</v>
      </c>
      <c r="AH504" s="21" t="n">
        <f aca="false">IF(OR(AE504="",AE504=0),0,AE504*IF(X504="",0,IF(X504&gt;1,X504/100,X504)))</f>
        <v>0</v>
      </c>
      <c r="AI504" s="21" t="n">
        <f aca="false">IF(OR(AE504="",AE504=0),0,AE504*IF(AA504="",0,IF(AA504&gt;1,AA504/100,AA504)))</f>
        <v>0</v>
      </c>
      <c r="AJ504" s="21" t="n">
        <f aca="false">AG504+AH504+AI504</f>
        <v>0</v>
      </c>
      <c r="AK504" s="21" t="n">
        <f aca="false">IF(OR(AE504="",AE504=0),0,AE504-AJ504)</f>
        <v>0</v>
      </c>
      <c r="AL504" s="19" t="str">
        <f aca="false">IF(AD504="","",AD504-AK504)</f>
        <v/>
      </c>
      <c r="AM504" s="9" t="str">
        <f aca="false">IF(C504="","","Waiting for payment")</f>
        <v/>
      </c>
      <c r="AN504" s="10"/>
      <c r="AO504" s="10"/>
      <c r="AP504" s="22" t="str">
        <f aca="false">IF(OR(C504="",I504="",K504=""),"",IF(K504="Monthly",EDATE(C504,ROUND(I504*SETTINGS!$I$8,0)),WORKDAY(C504,ROUND(I504*SETTINGS!$I$8,0))))</f>
        <v/>
      </c>
      <c r="AQ504" s="9" t="str">
        <f aca="true">IF(C504="","",IF(AND(AP504&lt;&gt;"",TODAY()&gt;=AP504),"Refi Ready",IF(TODAY()-C504&gt;=SETTINGS!$I$11,"Prospecting","Performing")))</f>
        <v/>
      </c>
      <c r="AR504" s="22" t="str">
        <f aca="false">IF(OR(C504="",I504="",K504=""),"",IF(K504="Monthly",EDATE(C504,I504),WORKDAY(C504,I504)))</f>
        <v/>
      </c>
      <c r="AS504" s="11"/>
      <c r="AT504" s="23" t="str">
        <f aca="true">IF(C504="","",IF(AM504="Clawed Back","CLAWED",IF(TODAY()&lt;=C504+SETTINGS!$I$2,"⚠ AT RISK","SAFE")))</f>
        <v/>
      </c>
      <c r="AU504" s="11"/>
      <c r="AW504" s="24" t="n">
        <f aca="false">AW503+IF(AND(C504&lt;&gt;"",AO504&lt;&gt;"",OR('REP COMMISSION'!$B$3="",T504='REP COMMISSION'!$B$3,W504='REP COMMISSION'!$B$3,Z504='REP COMMISSION'!$B$3)),1,0)</f>
        <v>0</v>
      </c>
      <c r="AX504" s="24" t="n">
        <f aca="false">AX503+IF(AND(C504&lt;&gt;"",OR(F504="LOC - INITIAL",F504="CONSOLIDATION - UPFRONT COMM",F504="REVERSE - TOTAL FUNDING")),1,0)</f>
        <v>0</v>
      </c>
    </row>
    <row r="505" customFormat="false" ht="15" hidden="false" customHeight="false" outlineLevel="0" collapsed="false">
      <c r="A505" s="25" t="str">
        <f aca="false">IF(C505&lt;&gt;"","F27-"&amp;COUNT($C$4:C505),"")</f>
        <v/>
      </c>
      <c r="B505" s="26" t="str">
        <f aca="false">IF(OR(F505="LOC - INITIAL",F505="CONSOLIDATION - UPFRONT COMM",F505="REVERSE - TOTAL FUNDING"),A505,"")</f>
        <v/>
      </c>
      <c r="C505" s="27"/>
      <c r="D505" s="28"/>
      <c r="E505" s="28"/>
      <c r="F505" s="28"/>
      <c r="G505" s="29"/>
      <c r="H505" s="30"/>
      <c r="I505" s="28"/>
      <c r="J505" s="31" t="str">
        <f aca="false">IF(AND(G505&lt;&gt;"",H505&lt;&gt;""),G505*H505,"")</f>
        <v/>
      </c>
      <c r="K505" s="28"/>
      <c r="L505" s="32"/>
      <c r="M505" s="32"/>
      <c r="N505" s="31" t="n">
        <f aca="false">IF(OR(G505="",M505=""),0,IF(M505&gt;100,M505,G505*IF(M505&gt;1,M505/100,M505)))</f>
        <v>0</v>
      </c>
      <c r="O505" s="31" t="str">
        <f aca="false">IF(G505="","",G505*IF(L505="",0,IF(L505&gt;1,L505/100,L505))+N505)</f>
        <v/>
      </c>
      <c r="P505" s="28"/>
      <c r="Q505" s="33" t="str">
        <f aca="false">IF(P505="","",IFERROR(VLOOKUP(P505,PARTNERS!$A$2:$B$30,2,0),""))</f>
        <v/>
      </c>
      <c r="R505" s="17" t="str">
        <f aca="false">IF(O505="","",IF(OR(P505="",Q505=""),0,(O505-N505)*IF(Q505&gt;1,Q505/100,Q505)))</f>
        <v/>
      </c>
      <c r="S505" s="31" t="str">
        <f aca="false">IF(O505="","",O505-R505)</f>
        <v/>
      </c>
      <c r="T505" s="28"/>
      <c r="U505" s="34" t="str">
        <f aca="false">IF(T505="","",IFERROR(VLOOKUP(T505,REPS!$A$2:$D$40,2,0),""))</f>
        <v/>
      </c>
      <c r="V505" s="31" t="str">
        <f aca="false">IF(O505="","",IF(U505="",0,O505*IF(U505&gt;1,U505/100,U505)))</f>
        <v/>
      </c>
      <c r="W505" s="28"/>
      <c r="X505" s="34" t="str">
        <f aca="false">IF(W505="","",IFERROR(VLOOKUP(W505,REPS!$A$2:$D$40,3,0),""))</f>
        <v/>
      </c>
      <c r="Y505" s="31" t="str">
        <f aca="false">IF(O505="","",IF(X505="",0,O505*IF(X505&gt;1,X505/100,X505)))</f>
        <v/>
      </c>
      <c r="Z505" s="28"/>
      <c r="AA505" s="34" t="str">
        <f aca="false">IF(Z505="","",IFERROR(VLOOKUP(Z505,REPS!$A$2:$D$40,4,0),""))</f>
        <v/>
      </c>
      <c r="AB505" s="31" t="str">
        <f aca="false">IF(O505="","",IF(AA505="",0,O505*IF(AA505&gt;1,AA505/100,AA505)))</f>
        <v/>
      </c>
      <c r="AC505" s="31" t="str">
        <f aca="false">IF(O505="","",V505+Y505+AB505)</f>
        <v/>
      </c>
      <c r="AD505" s="19" t="str">
        <f aca="false">IF(O505="","",O505-R505-AC505)</f>
        <v/>
      </c>
      <c r="AE505" s="20"/>
      <c r="AF505" s="27"/>
      <c r="AG505" s="21" t="n">
        <f aca="false">IF(OR(AE505="",AE505=0),0,AE505*IF(U505="",0,IF(U505&gt;1,U505/100,U505)))</f>
        <v>0</v>
      </c>
      <c r="AH505" s="21" t="n">
        <f aca="false">IF(OR(AE505="",AE505=0),0,AE505*IF(X505="",0,IF(X505&gt;1,X505/100,X505)))</f>
        <v>0</v>
      </c>
      <c r="AI505" s="21" t="n">
        <f aca="false">IF(OR(AE505="",AE505=0),0,AE505*IF(AA505="",0,IF(AA505&gt;1,AA505/100,AA505)))</f>
        <v>0</v>
      </c>
      <c r="AJ505" s="21" t="n">
        <f aca="false">AG505+AH505+AI505</f>
        <v>0</v>
      </c>
      <c r="AK505" s="21" t="n">
        <f aca="false">IF(OR(AE505="",AE505=0),0,AE505-AJ505)</f>
        <v>0</v>
      </c>
      <c r="AL505" s="19" t="str">
        <f aca="false">IF(AD505="","",AD505-AK505)</f>
        <v/>
      </c>
      <c r="AM505" s="26" t="str">
        <f aca="false">IF(C505="","","Waiting for payment")</f>
        <v/>
      </c>
      <c r="AN505" s="27"/>
      <c r="AO505" s="27"/>
      <c r="AP505" s="35" t="str">
        <f aca="false">IF(OR(C505="",I505="",K505=""),"",IF(K505="Monthly",EDATE(C505,ROUND(I505*SETTINGS!$I$8,0)),WORKDAY(C505,ROUND(I505*SETTINGS!$I$8,0))))</f>
        <v/>
      </c>
      <c r="AQ505" s="26" t="str">
        <f aca="true">IF(C505="","",IF(AND(AP505&lt;&gt;"",TODAY()&gt;=AP505),"Refi Ready",IF(TODAY()-C505&gt;=SETTINGS!$I$11,"Prospecting","Performing")))</f>
        <v/>
      </c>
      <c r="AR505" s="35" t="str">
        <f aca="false">IF(OR(C505="",I505="",K505=""),"",IF(K505="Monthly",EDATE(C505,I505),WORKDAY(C505,I505)))</f>
        <v/>
      </c>
      <c r="AS505" s="28"/>
      <c r="AT505" s="36" t="str">
        <f aca="true">IF(C505="","",IF(AM505="Clawed Back","CLAWED",IF(TODAY()&lt;=C505+SETTINGS!$I$2,"⚠ AT RISK","SAFE")))</f>
        <v/>
      </c>
      <c r="AU505" s="28"/>
      <c r="AW505" s="24" t="n">
        <f aca="false">AW504+IF(AND(C505&lt;&gt;"",AO505&lt;&gt;"",OR('REP COMMISSION'!$B$3="",T505='REP COMMISSION'!$B$3,W505='REP COMMISSION'!$B$3,Z505='REP COMMISSION'!$B$3)),1,0)</f>
        <v>0</v>
      </c>
      <c r="AX505" s="24" t="n">
        <f aca="false">AX504+IF(AND(C505&lt;&gt;"",OR(F505="LOC - INITIAL",F505="CONSOLIDATION - UPFRONT COMM",F505="REVERSE - TOTAL FUNDING")),1,0)</f>
        <v>0</v>
      </c>
    </row>
    <row r="506" customFormat="false" ht="15" hidden="false" customHeight="false" outlineLevel="0" collapsed="false">
      <c r="A506" s="8" t="str">
        <f aca="false">IF(C506&lt;&gt;"","F27-"&amp;COUNT($C$4:C506),"")</f>
        <v/>
      </c>
      <c r="B506" s="9" t="str">
        <f aca="false">IF(OR(F506="LOC - INITIAL",F506="CONSOLIDATION - UPFRONT COMM",F506="REVERSE - TOTAL FUNDING"),A506,"")</f>
        <v/>
      </c>
      <c r="C506" s="10"/>
      <c r="D506" s="11"/>
      <c r="E506" s="11"/>
      <c r="F506" s="11"/>
      <c r="G506" s="12"/>
      <c r="H506" s="13"/>
      <c r="I506" s="11"/>
      <c r="J506" s="14" t="str">
        <f aca="false">IF(AND(G506&lt;&gt;"",H506&lt;&gt;""),G506*H506,"")</f>
        <v/>
      </c>
      <c r="K506" s="11"/>
      <c r="L506" s="15"/>
      <c r="M506" s="15"/>
      <c r="N506" s="14" t="n">
        <f aca="false">IF(OR(G506="",M506=""),0,IF(M506&gt;100,M506,G506*IF(M506&gt;1,M506/100,M506)))</f>
        <v>0</v>
      </c>
      <c r="O506" s="14" t="str">
        <f aca="false">IF(G506="","",G506*IF(L506="",0,IF(L506&gt;1,L506/100,L506))+N506)</f>
        <v/>
      </c>
      <c r="P506" s="11"/>
      <c r="Q506" s="16" t="str">
        <f aca="false">IF(P506="","",IFERROR(VLOOKUP(P506,PARTNERS!$A$2:$B$30,2,0),""))</f>
        <v/>
      </c>
      <c r="R506" s="17" t="str">
        <f aca="false">IF(O506="","",IF(OR(P506="",Q506=""),0,(O506-N506)*IF(Q506&gt;1,Q506/100,Q506)))</f>
        <v/>
      </c>
      <c r="S506" s="14" t="str">
        <f aca="false">IF(O506="","",O506-R506)</f>
        <v/>
      </c>
      <c r="T506" s="11"/>
      <c r="U506" s="18" t="str">
        <f aca="false">IF(T506="","",IFERROR(VLOOKUP(T506,REPS!$A$2:$D$40,2,0),""))</f>
        <v/>
      </c>
      <c r="V506" s="14" t="str">
        <f aca="false">IF(O506="","",IF(U506="",0,O506*IF(U506&gt;1,U506/100,U506)))</f>
        <v/>
      </c>
      <c r="W506" s="11"/>
      <c r="X506" s="18" t="str">
        <f aca="false">IF(W506="","",IFERROR(VLOOKUP(W506,REPS!$A$2:$D$40,3,0),""))</f>
        <v/>
      </c>
      <c r="Y506" s="14" t="str">
        <f aca="false">IF(O506="","",IF(X506="",0,O506*IF(X506&gt;1,X506/100,X506)))</f>
        <v/>
      </c>
      <c r="Z506" s="11"/>
      <c r="AA506" s="18" t="str">
        <f aca="false">IF(Z506="","",IFERROR(VLOOKUP(Z506,REPS!$A$2:$D$40,4,0),""))</f>
        <v/>
      </c>
      <c r="AB506" s="14" t="str">
        <f aca="false">IF(O506="","",IF(AA506="",0,O506*IF(AA506&gt;1,AA506/100,AA506)))</f>
        <v/>
      </c>
      <c r="AC506" s="14" t="str">
        <f aca="false">IF(O506="","",V506+Y506+AB506)</f>
        <v/>
      </c>
      <c r="AD506" s="19" t="str">
        <f aca="false">IF(O506="","",O506-R506-AC506)</f>
        <v/>
      </c>
      <c r="AE506" s="20"/>
      <c r="AF506" s="10"/>
      <c r="AG506" s="21" t="n">
        <f aca="false">IF(OR(AE506="",AE506=0),0,AE506*IF(U506="",0,IF(U506&gt;1,U506/100,U506)))</f>
        <v>0</v>
      </c>
      <c r="AH506" s="21" t="n">
        <f aca="false">IF(OR(AE506="",AE506=0),0,AE506*IF(X506="",0,IF(X506&gt;1,X506/100,X506)))</f>
        <v>0</v>
      </c>
      <c r="AI506" s="21" t="n">
        <f aca="false">IF(OR(AE506="",AE506=0),0,AE506*IF(AA506="",0,IF(AA506&gt;1,AA506/100,AA506)))</f>
        <v>0</v>
      </c>
      <c r="AJ506" s="21" t="n">
        <f aca="false">AG506+AH506+AI506</f>
        <v>0</v>
      </c>
      <c r="AK506" s="21" t="n">
        <f aca="false">IF(OR(AE506="",AE506=0),0,AE506-AJ506)</f>
        <v>0</v>
      </c>
      <c r="AL506" s="19" t="str">
        <f aca="false">IF(AD506="","",AD506-AK506)</f>
        <v/>
      </c>
      <c r="AM506" s="9" t="str">
        <f aca="false">IF(C506="","","Waiting for payment")</f>
        <v/>
      </c>
      <c r="AN506" s="10"/>
      <c r="AO506" s="10"/>
      <c r="AP506" s="22" t="str">
        <f aca="false">IF(OR(C506="",I506="",K506=""),"",IF(K506="Monthly",EDATE(C506,ROUND(I506*SETTINGS!$I$8,0)),WORKDAY(C506,ROUND(I506*SETTINGS!$I$8,0))))</f>
        <v/>
      </c>
      <c r="AQ506" s="9" t="str">
        <f aca="true">IF(C506="","",IF(AND(AP506&lt;&gt;"",TODAY()&gt;=AP506),"Refi Ready",IF(TODAY()-C506&gt;=SETTINGS!$I$11,"Prospecting","Performing")))</f>
        <v/>
      </c>
      <c r="AR506" s="22" t="str">
        <f aca="false">IF(OR(C506="",I506="",K506=""),"",IF(K506="Monthly",EDATE(C506,I506),WORKDAY(C506,I506)))</f>
        <v/>
      </c>
      <c r="AS506" s="11"/>
      <c r="AT506" s="23" t="str">
        <f aca="true">IF(C506="","",IF(AM506="Clawed Back","CLAWED",IF(TODAY()&lt;=C506+SETTINGS!$I$2,"⚠ AT RISK","SAFE")))</f>
        <v/>
      </c>
      <c r="AU506" s="11"/>
      <c r="AW506" s="24" t="n">
        <f aca="false">AW505+IF(AND(C506&lt;&gt;"",AO506&lt;&gt;"",OR('REP COMMISSION'!$B$3="",T506='REP COMMISSION'!$B$3,W506='REP COMMISSION'!$B$3,Z506='REP COMMISSION'!$B$3)),1,0)</f>
        <v>0</v>
      </c>
      <c r="AX506" s="24" t="n">
        <f aca="false">AX505+IF(AND(C506&lt;&gt;"",OR(F506="LOC - INITIAL",F506="CONSOLIDATION - UPFRONT COMM",F506="REVERSE - TOTAL FUNDING")),1,0)</f>
        <v>0</v>
      </c>
    </row>
    <row r="507" customFormat="false" ht="15" hidden="false" customHeight="false" outlineLevel="0" collapsed="false">
      <c r="A507" s="25" t="str">
        <f aca="false">IF(C507&lt;&gt;"","F27-"&amp;COUNT($C$4:C507),"")</f>
        <v/>
      </c>
      <c r="B507" s="26" t="str">
        <f aca="false">IF(OR(F507="LOC - INITIAL",F507="CONSOLIDATION - UPFRONT COMM",F507="REVERSE - TOTAL FUNDING"),A507,"")</f>
        <v/>
      </c>
      <c r="C507" s="27"/>
      <c r="D507" s="28"/>
      <c r="E507" s="28"/>
      <c r="F507" s="28"/>
      <c r="G507" s="29"/>
      <c r="H507" s="30"/>
      <c r="I507" s="28"/>
      <c r="J507" s="31" t="str">
        <f aca="false">IF(AND(G507&lt;&gt;"",H507&lt;&gt;""),G507*H507,"")</f>
        <v/>
      </c>
      <c r="K507" s="28"/>
      <c r="L507" s="32"/>
      <c r="M507" s="32"/>
      <c r="N507" s="31" t="n">
        <f aca="false">IF(OR(G507="",M507=""),0,IF(M507&gt;100,M507,G507*IF(M507&gt;1,M507/100,M507)))</f>
        <v>0</v>
      </c>
      <c r="O507" s="31" t="str">
        <f aca="false">IF(G507="","",G507*IF(L507="",0,IF(L507&gt;1,L507/100,L507))+N507)</f>
        <v/>
      </c>
      <c r="P507" s="28"/>
      <c r="Q507" s="33" t="str">
        <f aca="false">IF(P507="","",IFERROR(VLOOKUP(P507,PARTNERS!$A$2:$B$30,2,0),""))</f>
        <v/>
      </c>
      <c r="R507" s="17" t="str">
        <f aca="false">IF(O507="","",IF(OR(P507="",Q507=""),0,(O507-N507)*IF(Q507&gt;1,Q507/100,Q507)))</f>
        <v/>
      </c>
      <c r="S507" s="31" t="str">
        <f aca="false">IF(O507="","",O507-R507)</f>
        <v/>
      </c>
      <c r="T507" s="28"/>
      <c r="U507" s="34" t="str">
        <f aca="false">IF(T507="","",IFERROR(VLOOKUP(T507,REPS!$A$2:$D$40,2,0),""))</f>
        <v/>
      </c>
      <c r="V507" s="31" t="str">
        <f aca="false">IF(O507="","",IF(U507="",0,O507*IF(U507&gt;1,U507/100,U507)))</f>
        <v/>
      </c>
      <c r="W507" s="28"/>
      <c r="X507" s="34" t="str">
        <f aca="false">IF(W507="","",IFERROR(VLOOKUP(W507,REPS!$A$2:$D$40,3,0),""))</f>
        <v/>
      </c>
      <c r="Y507" s="31" t="str">
        <f aca="false">IF(O507="","",IF(X507="",0,O507*IF(X507&gt;1,X507/100,X507)))</f>
        <v/>
      </c>
      <c r="Z507" s="28"/>
      <c r="AA507" s="34" t="str">
        <f aca="false">IF(Z507="","",IFERROR(VLOOKUP(Z507,REPS!$A$2:$D$40,4,0),""))</f>
        <v/>
      </c>
      <c r="AB507" s="31" t="str">
        <f aca="false">IF(O507="","",IF(AA507="",0,O507*IF(AA507&gt;1,AA507/100,AA507)))</f>
        <v/>
      </c>
      <c r="AC507" s="31" t="str">
        <f aca="false">IF(O507="","",V507+Y507+AB507)</f>
        <v/>
      </c>
      <c r="AD507" s="19" t="str">
        <f aca="false">IF(O507="","",O507-R507-AC507)</f>
        <v/>
      </c>
      <c r="AE507" s="20"/>
      <c r="AF507" s="27"/>
      <c r="AG507" s="21" t="n">
        <f aca="false">IF(OR(AE507="",AE507=0),0,AE507*IF(U507="",0,IF(U507&gt;1,U507/100,U507)))</f>
        <v>0</v>
      </c>
      <c r="AH507" s="21" t="n">
        <f aca="false">IF(OR(AE507="",AE507=0),0,AE507*IF(X507="",0,IF(X507&gt;1,X507/100,X507)))</f>
        <v>0</v>
      </c>
      <c r="AI507" s="21" t="n">
        <f aca="false">IF(OR(AE507="",AE507=0),0,AE507*IF(AA507="",0,IF(AA507&gt;1,AA507/100,AA507)))</f>
        <v>0</v>
      </c>
      <c r="AJ507" s="21" t="n">
        <f aca="false">AG507+AH507+AI507</f>
        <v>0</v>
      </c>
      <c r="AK507" s="21" t="n">
        <f aca="false">IF(OR(AE507="",AE507=0),0,AE507-AJ507)</f>
        <v>0</v>
      </c>
      <c r="AL507" s="19" t="str">
        <f aca="false">IF(AD507="","",AD507-AK507)</f>
        <v/>
      </c>
      <c r="AM507" s="26" t="str">
        <f aca="false">IF(C507="","","Waiting for payment")</f>
        <v/>
      </c>
      <c r="AN507" s="27"/>
      <c r="AO507" s="27"/>
      <c r="AP507" s="35" t="str">
        <f aca="false">IF(OR(C507="",I507="",K507=""),"",IF(K507="Monthly",EDATE(C507,ROUND(I507*SETTINGS!$I$8,0)),WORKDAY(C507,ROUND(I507*SETTINGS!$I$8,0))))</f>
        <v/>
      </c>
      <c r="AQ507" s="26" t="str">
        <f aca="true">IF(C507="","",IF(AND(AP507&lt;&gt;"",TODAY()&gt;=AP507),"Refi Ready",IF(TODAY()-C507&gt;=SETTINGS!$I$11,"Prospecting","Performing")))</f>
        <v/>
      </c>
      <c r="AR507" s="35" t="str">
        <f aca="false">IF(OR(C507="",I507="",K507=""),"",IF(K507="Monthly",EDATE(C507,I507),WORKDAY(C507,I507)))</f>
        <v/>
      </c>
      <c r="AS507" s="28"/>
      <c r="AT507" s="36" t="str">
        <f aca="true">IF(C507="","",IF(AM507="Clawed Back","CLAWED",IF(TODAY()&lt;=C507+SETTINGS!$I$2,"⚠ AT RISK","SAFE")))</f>
        <v/>
      </c>
      <c r="AU507" s="28"/>
      <c r="AW507" s="24" t="n">
        <f aca="false">AW506+IF(AND(C507&lt;&gt;"",AO507&lt;&gt;"",OR('REP COMMISSION'!$B$3="",T507='REP COMMISSION'!$B$3,W507='REP COMMISSION'!$B$3,Z507='REP COMMISSION'!$B$3)),1,0)</f>
        <v>0</v>
      </c>
      <c r="AX507" s="24" t="n">
        <f aca="false">AX506+IF(AND(C507&lt;&gt;"",OR(F507="LOC - INITIAL",F507="CONSOLIDATION - UPFRONT COMM",F507="REVERSE - TOTAL FUNDING")),1,0)</f>
        <v>0</v>
      </c>
    </row>
    <row r="508" customFormat="false" ht="15" hidden="false" customHeight="false" outlineLevel="0" collapsed="false">
      <c r="A508" s="8" t="str">
        <f aca="false">IF(C508&lt;&gt;"","F27-"&amp;COUNT($C$4:C508),"")</f>
        <v/>
      </c>
      <c r="B508" s="9" t="str">
        <f aca="false">IF(OR(F508="LOC - INITIAL",F508="CONSOLIDATION - UPFRONT COMM",F508="REVERSE - TOTAL FUNDING"),A508,"")</f>
        <v/>
      </c>
      <c r="C508" s="10"/>
      <c r="D508" s="11"/>
      <c r="E508" s="11"/>
      <c r="F508" s="11"/>
      <c r="G508" s="12"/>
      <c r="H508" s="13"/>
      <c r="I508" s="11"/>
      <c r="J508" s="14" t="str">
        <f aca="false">IF(AND(G508&lt;&gt;"",H508&lt;&gt;""),G508*H508,"")</f>
        <v/>
      </c>
      <c r="K508" s="11"/>
      <c r="L508" s="15"/>
      <c r="M508" s="15"/>
      <c r="N508" s="14" t="n">
        <f aca="false">IF(OR(G508="",M508=""),0,IF(M508&gt;100,M508,G508*IF(M508&gt;1,M508/100,M508)))</f>
        <v>0</v>
      </c>
      <c r="O508" s="14" t="str">
        <f aca="false">IF(G508="","",G508*IF(L508="",0,IF(L508&gt;1,L508/100,L508))+N508)</f>
        <v/>
      </c>
      <c r="P508" s="11"/>
      <c r="Q508" s="16" t="str">
        <f aca="false">IF(P508="","",IFERROR(VLOOKUP(P508,PARTNERS!$A$2:$B$30,2,0),""))</f>
        <v/>
      </c>
      <c r="R508" s="17" t="str">
        <f aca="false">IF(O508="","",IF(OR(P508="",Q508=""),0,(O508-N508)*IF(Q508&gt;1,Q508/100,Q508)))</f>
        <v/>
      </c>
      <c r="S508" s="14" t="str">
        <f aca="false">IF(O508="","",O508-R508)</f>
        <v/>
      </c>
      <c r="T508" s="11"/>
      <c r="U508" s="18" t="str">
        <f aca="false">IF(T508="","",IFERROR(VLOOKUP(T508,REPS!$A$2:$D$40,2,0),""))</f>
        <v/>
      </c>
      <c r="V508" s="14" t="str">
        <f aca="false">IF(O508="","",IF(U508="",0,O508*IF(U508&gt;1,U508/100,U508)))</f>
        <v/>
      </c>
      <c r="W508" s="11"/>
      <c r="X508" s="18" t="str">
        <f aca="false">IF(W508="","",IFERROR(VLOOKUP(W508,REPS!$A$2:$D$40,3,0),""))</f>
        <v/>
      </c>
      <c r="Y508" s="14" t="str">
        <f aca="false">IF(O508="","",IF(X508="",0,O508*IF(X508&gt;1,X508/100,X508)))</f>
        <v/>
      </c>
      <c r="Z508" s="11"/>
      <c r="AA508" s="18" t="str">
        <f aca="false">IF(Z508="","",IFERROR(VLOOKUP(Z508,REPS!$A$2:$D$40,4,0),""))</f>
        <v/>
      </c>
      <c r="AB508" s="14" t="str">
        <f aca="false">IF(O508="","",IF(AA508="",0,O508*IF(AA508&gt;1,AA508/100,AA508)))</f>
        <v/>
      </c>
      <c r="AC508" s="14" t="str">
        <f aca="false">IF(O508="","",V508+Y508+AB508)</f>
        <v/>
      </c>
      <c r="AD508" s="19" t="str">
        <f aca="false">IF(O508="","",O508-R508-AC508)</f>
        <v/>
      </c>
      <c r="AE508" s="20"/>
      <c r="AF508" s="10"/>
      <c r="AG508" s="21" t="n">
        <f aca="false">IF(OR(AE508="",AE508=0),0,AE508*IF(U508="",0,IF(U508&gt;1,U508/100,U508)))</f>
        <v>0</v>
      </c>
      <c r="AH508" s="21" t="n">
        <f aca="false">IF(OR(AE508="",AE508=0),0,AE508*IF(X508="",0,IF(X508&gt;1,X508/100,X508)))</f>
        <v>0</v>
      </c>
      <c r="AI508" s="21" t="n">
        <f aca="false">IF(OR(AE508="",AE508=0),0,AE508*IF(AA508="",0,IF(AA508&gt;1,AA508/100,AA508)))</f>
        <v>0</v>
      </c>
      <c r="AJ508" s="21" t="n">
        <f aca="false">AG508+AH508+AI508</f>
        <v>0</v>
      </c>
      <c r="AK508" s="21" t="n">
        <f aca="false">IF(OR(AE508="",AE508=0),0,AE508-AJ508)</f>
        <v>0</v>
      </c>
      <c r="AL508" s="19" t="str">
        <f aca="false">IF(AD508="","",AD508-AK508)</f>
        <v/>
      </c>
      <c r="AM508" s="9" t="str">
        <f aca="false">IF(C508="","","Waiting for payment")</f>
        <v/>
      </c>
      <c r="AN508" s="10"/>
      <c r="AO508" s="10"/>
      <c r="AP508" s="22" t="str">
        <f aca="false">IF(OR(C508="",I508="",K508=""),"",IF(K508="Monthly",EDATE(C508,ROUND(I508*SETTINGS!$I$8,0)),WORKDAY(C508,ROUND(I508*SETTINGS!$I$8,0))))</f>
        <v/>
      </c>
      <c r="AQ508" s="9" t="str">
        <f aca="true">IF(C508="","",IF(AND(AP508&lt;&gt;"",TODAY()&gt;=AP508),"Refi Ready",IF(TODAY()-C508&gt;=SETTINGS!$I$11,"Prospecting","Performing")))</f>
        <v/>
      </c>
      <c r="AR508" s="22" t="str">
        <f aca="false">IF(OR(C508="",I508="",K508=""),"",IF(K508="Monthly",EDATE(C508,I508),WORKDAY(C508,I508)))</f>
        <v/>
      </c>
      <c r="AS508" s="11"/>
      <c r="AT508" s="23" t="str">
        <f aca="true">IF(C508="","",IF(AM508="Clawed Back","CLAWED",IF(TODAY()&lt;=C508+SETTINGS!$I$2,"⚠ AT RISK","SAFE")))</f>
        <v/>
      </c>
      <c r="AU508" s="11"/>
      <c r="AW508" s="24" t="n">
        <f aca="false">AW507+IF(AND(C508&lt;&gt;"",AO508&lt;&gt;"",OR('REP COMMISSION'!$B$3="",T508='REP COMMISSION'!$B$3,W508='REP COMMISSION'!$B$3,Z508='REP COMMISSION'!$B$3)),1,0)</f>
        <v>0</v>
      </c>
      <c r="AX508" s="24" t="n">
        <f aca="false">AX507+IF(AND(C508&lt;&gt;"",OR(F508="LOC - INITIAL",F508="CONSOLIDATION - UPFRONT COMM",F508="REVERSE - TOTAL FUNDING")),1,0)</f>
        <v>0</v>
      </c>
    </row>
    <row r="509" customFormat="false" ht="15" hidden="false" customHeight="false" outlineLevel="0" collapsed="false">
      <c r="A509" s="25" t="str">
        <f aca="false">IF(C509&lt;&gt;"","F27-"&amp;COUNT($C$4:C509),"")</f>
        <v/>
      </c>
      <c r="B509" s="26" t="str">
        <f aca="false">IF(OR(F509="LOC - INITIAL",F509="CONSOLIDATION - UPFRONT COMM",F509="REVERSE - TOTAL FUNDING"),A509,"")</f>
        <v/>
      </c>
      <c r="C509" s="27"/>
      <c r="D509" s="28"/>
      <c r="E509" s="28"/>
      <c r="F509" s="28"/>
      <c r="G509" s="29"/>
      <c r="H509" s="30"/>
      <c r="I509" s="28"/>
      <c r="J509" s="31" t="str">
        <f aca="false">IF(AND(G509&lt;&gt;"",H509&lt;&gt;""),G509*H509,"")</f>
        <v/>
      </c>
      <c r="K509" s="28"/>
      <c r="L509" s="32"/>
      <c r="M509" s="32"/>
      <c r="N509" s="31" t="n">
        <f aca="false">IF(OR(G509="",M509=""),0,IF(M509&gt;100,M509,G509*IF(M509&gt;1,M509/100,M509)))</f>
        <v>0</v>
      </c>
      <c r="O509" s="31" t="str">
        <f aca="false">IF(G509="","",G509*IF(L509="",0,IF(L509&gt;1,L509/100,L509))+N509)</f>
        <v/>
      </c>
      <c r="P509" s="28"/>
      <c r="Q509" s="33" t="str">
        <f aca="false">IF(P509="","",IFERROR(VLOOKUP(P509,PARTNERS!$A$2:$B$30,2,0),""))</f>
        <v/>
      </c>
      <c r="R509" s="17" t="str">
        <f aca="false">IF(O509="","",IF(OR(P509="",Q509=""),0,(O509-N509)*IF(Q509&gt;1,Q509/100,Q509)))</f>
        <v/>
      </c>
      <c r="S509" s="31" t="str">
        <f aca="false">IF(O509="","",O509-R509)</f>
        <v/>
      </c>
      <c r="T509" s="28"/>
      <c r="U509" s="34" t="str">
        <f aca="false">IF(T509="","",IFERROR(VLOOKUP(T509,REPS!$A$2:$D$40,2,0),""))</f>
        <v/>
      </c>
      <c r="V509" s="31" t="str">
        <f aca="false">IF(O509="","",IF(U509="",0,O509*IF(U509&gt;1,U509/100,U509)))</f>
        <v/>
      </c>
      <c r="W509" s="28"/>
      <c r="X509" s="34" t="str">
        <f aca="false">IF(W509="","",IFERROR(VLOOKUP(W509,REPS!$A$2:$D$40,3,0),""))</f>
        <v/>
      </c>
      <c r="Y509" s="31" t="str">
        <f aca="false">IF(O509="","",IF(X509="",0,O509*IF(X509&gt;1,X509/100,X509)))</f>
        <v/>
      </c>
      <c r="Z509" s="28"/>
      <c r="AA509" s="34" t="str">
        <f aca="false">IF(Z509="","",IFERROR(VLOOKUP(Z509,REPS!$A$2:$D$40,4,0),""))</f>
        <v/>
      </c>
      <c r="AB509" s="31" t="str">
        <f aca="false">IF(O509="","",IF(AA509="",0,O509*IF(AA509&gt;1,AA509/100,AA509)))</f>
        <v/>
      </c>
      <c r="AC509" s="31" t="str">
        <f aca="false">IF(O509="","",V509+Y509+AB509)</f>
        <v/>
      </c>
      <c r="AD509" s="19" t="str">
        <f aca="false">IF(O509="","",O509-R509-AC509)</f>
        <v/>
      </c>
      <c r="AE509" s="20"/>
      <c r="AF509" s="27"/>
      <c r="AG509" s="21" t="n">
        <f aca="false">IF(OR(AE509="",AE509=0),0,AE509*IF(U509="",0,IF(U509&gt;1,U509/100,U509)))</f>
        <v>0</v>
      </c>
      <c r="AH509" s="21" t="n">
        <f aca="false">IF(OR(AE509="",AE509=0),0,AE509*IF(X509="",0,IF(X509&gt;1,X509/100,X509)))</f>
        <v>0</v>
      </c>
      <c r="AI509" s="21" t="n">
        <f aca="false">IF(OR(AE509="",AE509=0),0,AE509*IF(AA509="",0,IF(AA509&gt;1,AA509/100,AA509)))</f>
        <v>0</v>
      </c>
      <c r="AJ509" s="21" t="n">
        <f aca="false">AG509+AH509+AI509</f>
        <v>0</v>
      </c>
      <c r="AK509" s="21" t="n">
        <f aca="false">IF(OR(AE509="",AE509=0),0,AE509-AJ509)</f>
        <v>0</v>
      </c>
      <c r="AL509" s="19" t="str">
        <f aca="false">IF(AD509="","",AD509-AK509)</f>
        <v/>
      </c>
      <c r="AM509" s="26" t="str">
        <f aca="false">IF(C509="","","Waiting for payment")</f>
        <v/>
      </c>
      <c r="AN509" s="27"/>
      <c r="AO509" s="27"/>
      <c r="AP509" s="35" t="str">
        <f aca="false">IF(OR(C509="",I509="",K509=""),"",IF(K509="Monthly",EDATE(C509,ROUND(I509*SETTINGS!$I$8,0)),WORKDAY(C509,ROUND(I509*SETTINGS!$I$8,0))))</f>
        <v/>
      </c>
      <c r="AQ509" s="26" t="str">
        <f aca="true">IF(C509="","",IF(AND(AP509&lt;&gt;"",TODAY()&gt;=AP509),"Refi Ready",IF(TODAY()-C509&gt;=SETTINGS!$I$11,"Prospecting","Performing")))</f>
        <v/>
      </c>
      <c r="AR509" s="35" t="str">
        <f aca="false">IF(OR(C509="",I509="",K509=""),"",IF(K509="Monthly",EDATE(C509,I509),WORKDAY(C509,I509)))</f>
        <v/>
      </c>
      <c r="AS509" s="28"/>
      <c r="AT509" s="36" t="str">
        <f aca="true">IF(C509="","",IF(AM509="Clawed Back","CLAWED",IF(TODAY()&lt;=C509+SETTINGS!$I$2,"⚠ AT RISK","SAFE")))</f>
        <v/>
      </c>
      <c r="AU509" s="28"/>
      <c r="AW509" s="24" t="n">
        <f aca="false">AW508+IF(AND(C509&lt;&gt;"",AO509&lt;&gt;"",OR('REP COMMISSION'!$B$3="",T509='REP COMMISSION'!$B$3,W509='REP COMMISSION'!$B$3,Z509='REP COMMISSION'!$B$3)),1,0)</f>
        <v>0</v>
      </c>
      <c r="AX509" s="24" t="n">
        <f aca="false">AX508+IF(AND(C509&lt;&gt;"",OR(F509="LOC - INITIAL",F509="CONSOLIDATION - UPFRONT COMM",F509="REVERSE - TOTAL FUNDING")),1,0)</f>
        <v>0</v>
      </c>
    </row>
    <row r="510" customFormat="false" ht="15" hidden="false" customHeight="false" outlineLevel="0" collapsed="false">
      <c r="A510" s="8" t="str">
        <f aca="false">IF(C510&lt;&gt;"","F27-"&amp;COUNT($C$4:C510),"")</f>
        <v/>
      </c>
      <c r="B510" s="9" t="str">
        <f aca="false">IF(OR(F510="LOC - INITIAL",F510="CONSOLIDATION - UPFRONT COMM",F510="REVERSE - TOTAL FUNDING"),A510,"")</f>
        <v/>
      </c>
      <c r="C510" s="10"/>
      <c r="D510" s="11"/>
      <c r="E510" s="11"/>
      <c r="F510" s="11"/>
      <c r="G510" s="12"/>
      <c r="H510" s="13"/>
      <c r="I510" s="11"/>
      <c r="J510" s="14" t="str">
        <f aca="false">IF(AND(G510&lt;&gt;"",H510&lt;&gt;""),G510*H510,"")</f>
        <v/>
      </c>
      <c r="K510" s="11"/>
      <c r="L510" s="15"/>
      <c r="M510" s="15"/>
      <c r="N510" s="14" t="n">
        <f aca="false">IF(OR(G510="",M510=""),0,IF(M510&gt;100,M510,G510*IF(M510&gt;1,M510/100,M510)))</f>
        <v>0</v>
      </c>
      <c r="O510" s="14" t="str">
        <f aca="false">IF(G510="","",G510*IF(L510="",0,IF(L510&gt;1,L510/100,L510))+N510)</f>
        <v/>
      </c>
      <c r="P510" s="11"/>
      <c r="Q510" s="16" t="str">
        <f aca="false">IF(P510="","",IFERROR(VLOOKUP(P510,PARTNERS!$A$2:$B$30,2,0),""))</f>
        <v/>
      </c>
      <c r="R510" s="17" t="str">
        <f aca="false">IF(O510="","",IF(OR(P510="",Q510=""),0,(O510-N510)*IF(Q510&gt;1,Q510/100,Q510)))</f>
        <v/>
      </c>
      <c r="S510" s="14" t="str">
        <f aca="false">IF(O510="","",O510-R510)</f>
        <v/>
      </c>
      <c r="T510" s="11"/>
      <c r="U510" s="18" t="str">
        <f aca="false">IF(T510="","",IFERROR(VLOOKUP(T510,REPS!$A$2:$D$40,2,0),""))</f>
        <v/>
      </c>
      <c r="V510" s="14" t="str">
        <f aca="false">IF(O510="","",IF(U510="",0,O510*IF(U510&gt;1,U510/100,U510)))</f>
        <v/>
      </c>
      <c r="W510" s="11"/>
      <c r="X510" s="18" t="str">
        <f aca="false">IF(W510="","",IFERROR(VLOOKUP(W510,REPS!$A$2:$D$40,3,0),""))</f>
        <v/>
      </c>
      <c r="Y510" s="14" t="str">
        <f aca="false">IF(O510="","",IF(X510="",0,O510*IF(X510&gt;1,X510/100,X510)))</f>
        <v/>
      </c>
      <c r="Z510" s="11"/>
      <c r="AA510" s="18" t="str">
        <f aca="false">IF(Z510="","",IFERROR(VLOOKUP(Z510,REPS!$A$2:$D$40,4,0),""))</f>
        <v/>
      </c>
      <c r="AB510" s="14" t="str">
        <f aca="false">IF(O510="","",IF(AA510="",0,O510*IF(AA510&gt;1,AA510/100,AA510)))</f>
        <v/>
      </c>
      <c r="AC510" s="14" t="str">
        <f aca="false">IF(O510="","",V510+Y510+AB510)</f>
        <v/>
      </c>
      <c r="AD510" s="19" t="str">
        <f aca="false">IF(O510="","",O510-R510-AC510)</f>
        <v/>
      </c>
      <c r="AE510" s="20"/>
      <c r="AF510" s="10"/>
      <c r="AG510" s="21" t="n">
        <f aca="false">IF(OR(AE510="",AE510=0),0,AE510*IF(U510="",0,IF(U510&gt;1,U510/100,U510)))</f>
        <v>0</v>
      </c>
      <c r="AH510" s="21" t="n">
        <f aca="false">IF(OR(AE510="",AE510=0),0,AE510*IF(X510="",0,IF(X510&gt;1,X510/100,X510)))</f>
        <v>0</v>
      </c>
      <c r="AI510" s="21" t="n">
        <f aca="false">IF(OR(AE510="",AE510=0),0,AE510*IF(AA510="",0,IF(AA510&gt;1,AA510/100,AA510)))</f>
        <v>0</v>
      </c>
      <c r="AJ510" s="21" t="n">
        <f aca="false">AG510+AH510+AI510</f>
        <v>0</v>
      </c>
      <c r="AK510" s="21" t="n">
        <f aca="false">IF(OR(AE510="",AE510=0),0,AE510-AJ510)</f>
        <v>0</v>
      </c>
      <c r="AL510" s="19" t="str">
        <f aca="false">IF(AD510="","",AD510-AK510)</f>
        <v/>
      </c>
      <c r="AM510" s="9" t="str">
        <f aca="false">IF(C510="","","Waiting for payment")</f>
        <v/>
      </c>
      <c r="AN510" s="10"/>
      <c r="AO510" s="10"/>
      <c r="AP510" s="22" t="str">
        <f aca="false">IF(OR(C510="",I510="",K510=""),"",IF(K510="Monthly",EDATE(C510,ROUND(I510*SETTINGS!$I$8,0)),WORKDAY(C510,ROUND(I510*SETTINGS!$I$8,0))))</f>
        <v/>
      </c>
      <c r="AQ510" s="9" t="str">
        <f aca="true">IF(C510="","",IF(AND(AP510&lt;&gt;"",TODAY()&gt;=AP510),"Refi Ready",IF(TODAY()-C510&gt;=SETTINGS!$I$11,"Prospecting","Performing")))</f>
        <v/>
      </c>
      <c r="AR510" s="22" t="str">
        <f aca="false">IF(OR(C510="",I510="",K510=""),"",IF(K510="Monthly",EDATE(C510,I510),WORKDAY(C510,I510)))</f>
        <v/>
      </c>
      <c r="AS510" s="11"/>
      <c r="AT510" s="23" t="str">
        <f aca="true">IF(C510="","",IF(AM510="Clawed Back","CLAWED",IF(TODAY()&lt;=C510+SETTINGS!$I$2,"⚠ AT RISK","SAFE")))</f>
        <v/>
      </c>
      <c r="AU510" s="11"/>
      <c r="AW510" s="24" t="n">
        <f aca="false">AW509+IF(AND(C510&lt;&gt;"",AO510&lt;&gt;"",OR('REP COMMISSION'!$B$3="",T510='REP COMMISSION'!$B$3,W510='REP COMMISSION'!$B$3,Z510='REP COMMISSION'!$B$3)),1,0)</f>
        <v>0</v>
      </c>
      <c r="AX510" s="24" t="n">
        <f aca="false">AX509+IF(AND(C510&lt;&gt;"",OR(F510="LOC - INITIAL",F510="CONSOLIDATION - UPFRONT COMM",F510="REVERSE - TOTAL FUNDING")),1,0)</f>
        <v>0</v>
      </c>
    </row>
    <row r="511" customFormat="false" ht="15" hidden="false" customHeight="false" outlineLevel="0" collapsed="false">
      <c r="A511" s="25" t="str">
        <f aca="false">IF(C511&lt;&gt;"","F27-"&amp;COUNT($C$4:C511),"")</f>
        <v/>
      </c>
      <c r="B511" s="26" t="str">
        <f aca="false">IF(OR(F511="LOC - INITIAL",F511="CONSOLIDATION - UPFRONT COMM",F511="REVERSE - TOTAL FUNDING"),A511,"")</f>
        <v/>
      </c>
      <c r="C511" s="27"/>
      <c r="D511" s="28"/>
      <c r="E511" s="28"/>
      <c r="F511" s="28"/>
      <c r="G511" s="29"/>
      <c r="H511" s="30"/>
      <c r="I511" s="28"/>
      <c r="J511" s="31" t="str">
        <f aca="false">IF(AND(G511&lt;&gt;"",H511&lt;&gt;""),G511*H511,"")</f>
        <v/>
      </c>
      <c r="K511" s="28"/>
      <c r="L511" s="32"/>
      <c r="M511" s="32"/>
      <c r="N511" s="31" t="n">
        <f aca="false">IF(OR(G511="",M511=""),0,IF(M511&gt;100,M511,G511*IF(M511&gt;1,M511/100,M511)))</f>
        <v>0</v>
      </c>
      <c r="O511" s="31" t="str">
        <f aca="false">IF(G511="","",G511*IF(L511="",0,IF(L511&gt;1,L511/100,L511))+N511)</f>
        <v/>
      </c>
      <c r="P511" s="28"/>
      <c r="Q511" s="33" t="str">
        <f aca="false">IF(P511="","",IFERROR(VLOOKUP(P511,PARTNERS!$A$2:$B$30,2,0),""))</f>
        <v/>
      </c>
      <c r="R511" s="17" t="str">
        <f aca="false">IF(O511="","",IF(OR(P511="",Q511=""),0,(O511-N511)*IF(Q511&gt;1,Q511/100,Q511)))</f>
        <v/>
      </c>
      <c r="S511" s="31" t="str">
        <f aca="false">IF(O511="","",O511-R511)</f>
        <v/>
      </c>
      <c r="T511" s="28"/>
      <c r="U511" s="34" t="str">
        <f aca="false">IF(T511="","",IFERROR(VLOOKUP(T511,REPS!$A$2:$D$40,2,0),""))</f>
        <v/>
      </c>
      <c r="V511" s="31" t="str">
        <f aca="false">IF(O511="","",IF(U511="",0,O511*IF(U511&gt;1,U511/100,U511)))</f>
        <v/>
      </c>
      <c r="W511" s="28"/>
      <c r="X511" s="34" t="str">
        <f aca="false">IF(W511="","",IFERROR(VLOOKUP(W511,REPS!$A$2:$D$40,3,0),""))</f>
        <v/>
      </c>
      <c r="Y511" s="31" t="str">
        <f aca="false">IF(O511="","",IF(X511="",0,O511*IF(X511&gt;1,X511/100,X511)))</f>
        <v/>
      </c>
      <c r="Z511" s="28"/>
      <c r="AA511" s="34" t="str">
        <f aca="false">IF(Z511="","",IFERROR(VLOOKUP(Z511,REPS!$A$2:$D$40,4,0),""))</f>
        <v/>
      </c>
      <c r="AB511" s="31" t="str">
        <f aca="false">IF(O511="","",IF(AA511="",0,O511*IF(AA511&gt;1,AA511/100,AA511)))</f>
        <v/>
      </c>
      <c r="AC511" s="31" t="str">
        <f aca="false">IF(O511="","",V511+Y511+AB511)</f>
        <v/>
      </c>
      <c r="AD511" s="19" t="str">
        <f aca="false">IF(O511="","",O511-R511-AC511)</f>
        <v/>
      </c>
      <c r="AE511" s="20"/>
      <c r="AF511" s="27"/>
      <c r="AG511" s="21" t="n">
        <f aca="false">IF(OR(AE511="",AE511=0),0,AE511*IF(U511="",0,IF(U511&gt;1,U511/100,U511)))</f>
        <v>0</v>
      </c>
      <c r="AH511" s="21" t="n">
        <f aca="false">IF(OR(AE511="",AE511=0),0,AE511*IF(X511="",0,IF(X511&gt;1,X511/100,X511)))</f>
        <v>0</v>
      </c>
      <c r="AI511" s="21" t="n">
        <f aca="false">IF(OR(AE511="",AE511=0),0,AE511*IF(AA511="",0,IF(AA511&gt;1,AA511/100,AA511)))</f>
        <v>0</v>
      </c>
      <c r="AJ511" s="21" t="n">
        <f aca="false">AG511+AH511+AI511</f>
        <v>0</v>
      </c>
      <c r="AK511" s="21" t="n">
        <f aca="false">IF(OR(AE511="",AE511=0),0,AE511-AJ511)</f>
        <v>0</v>
      </c>
      <c r="AL511" s="19" t="str">
        <f aca="false">IF(AD511="","",AD511-AK511)</f>
        <v/>
      </c>
      <c r="AM511" s="26" t="str">
        <f aca="false">IF(C511="","","Waiting for payment")</f>
        <v/>
      </c>
      <c r="AN511" s="27"/>
      <c r="AO511" s="27"/>
      <c r="AP511" s="35" t="str">
        <f aca="false">IF(OR(C511="",I511="",K511=""),"",IF(K511="Monthly",EDATE(C511,ROUND(I511*SETTINGS!$I$8,0)),WORKDAY(C511,ROUND(I511*SETTINGS!$I$8,0))))</f>
        <v/>
      </c>
      <c r="AQ511" s="26" t="str">
        <f aca="true">IF(C511="","",IF(AND(AP511&lt;&gt;"",TODAY()&gt;=AP511),"Refi Ready",IF(TODAY()-C511&gt;=SETTINGS!$I$11,"Prospecting","Performing")))</f>
        <v/>
      </c>
      <c r="AR511" s="35" t="str">
        <f aca="false">IF(OR(C511="",I511="",K511=""),"",IF(K511="Monthly",EDATE(C511,I511),WORKDAY(C511,I511)))</f>
        <v/>
      </c>
      <c r="AS511" s="28"/>
      <c r="AT511" s="36" t="str">
        <f aca="true">IF(C511="","",IF(AM511="Clawed Back","CLAWED",IF(TODAY()&lt;=C511+SETTINGS!$I$2,"⚠ AT RISK","SAFE")))</f>
        <v/>
      </c>
      <c r="AU511" s="28"/>
      <c r="AW511" s="24" t="n">
        <f aca="false">AW510+IF(AND(C511&lt;&gt;"",AO511&lt;&gt;"",OR('REP COMMISSION'!$B$3="",T511='REP COMMISSION'!$B$3,W511='REP COMMISSION'!$B$3,Z511='REP COMMISSION'!$B$3)),1,0)</f>
        <v>0</v>
      </c>
      <c r="AX511" s="24" t="n">
        <f aca="false">AX510+IF(AND(C511&lt;&gt;"",OR(F511="LOC - INITIAL",F511="CONSOLIDATION - UPFRONT COMM",F511="REVERSE - TOTAL FUNDING")),1,0)</f>
        <v>0</v>
      </c>
    </row>
    <row r="512" customFormat="false" ht="18" hidden="false" customHeight="true" outlineLevel="0" collapsed="false">
      <c r="A512" s="37" t="s">
        <v>51</v>
      </c>
      <c r="B512" s="38"/>
      <c r="C512" s="38"/>
      <c r="D512" s="37" t="str">
        <f aca="false">COUNT(C412:C511)&amp;" units"</f>
        <v>0 units</v>
      </c>
      <c r="E512" s="38"/>
      <c r="F512" s="38"/>
      <c r="G512" s="39" t="n">
        <f aca="false">SUM(G412:G511)</f>
        <v>0</v>
      </c>
      <c r="H512" s="38"/>
      <c r="I512" s="38"/>
      <c r="J512" s="38"/>
      <c r="K512" s="38"/>
      <c r="L512" s="38"/>
      <c r="M512" s="38"/>
      <c r="N512" s="39" t="n">
        <f aca="false">SUM(N412:N511)</f>
        <v>0</v>
      </c>
      <c r="O512" s="39" t="n">
        <f aca="false">SUM(O412:O511)</f>
        <v>0</v>
      </c>
      <c r="P512" s="38"/>
      <c r="Q512" s="38"/>
      <c r="R512" s="39" t="n">
        <f aca="false">SUM(R412:R511)</f>
        <v>0</v>
      </c>
      <c r="S512" s="39" t="n">
        <f aca="false">SUM(S412:S511)</f>
        <v>0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9" t="n">
        <f aca="false">SUM(AC412:AC511)</f>
        <v>0</v>
      </c>
      <c r="AD512" s="39" t="n">
        <f aca="false">SUM(AD412:AD511)</f>
        <v>0</v>
      </c>
      <c r="AE512" s="39" t="n">
        <f aca="false">SUM(AE412:AE511)</f>
        <v>0</v>
      </c>
      <c r="AF512" s="38"/>
      <c r="AG512" s="38"/>
      <c r="AH512" s="38"/>
      <c r="AI512" s="38"/>
      <c r="AJ512" s="39" t="n">
        <f aca="false">SUM(AJ412:AJ511)</f>
        <v>0</v>
      </c>
      <c r="AK512" s="39" t="n">
        <f aca="false">SUM(AK412:AK511)</f>
        <v>0</v>
      </c>
      <c r="AL512" s="39" t="n">
        <f aca="false">SUM(AL412:AL511)</f>
        <v>0</v>
      </c>
      <c r="AM512" s="38"/>
      <c r="AN512" s="38"/>
      <c r="AO512" s="38"/>
      <c r="AP512" s="38"/>
      <c r="AQ512" s="38"/>
      <c r="AR512" s="38"/>
      <c r="AS512" s="38"/>
      <c r="AT512" s="38"/>
      <c r="AU512" s="38"/>
      <c r="AW512" s="24" t="n">
        <f aca="false">AW511</f>
        <v>0</v>
      </c>
      <c r="AX512" s="24" t="n">
        <f aca="false">AX511</f>
        <v>0</v>
      </c>
    </row>
    <row r="513" customFormat="false" ht="19.5" hidden="false" customHeight="true" outlineLevel="0" collapsed="false">
      <c r="A513" s="6" t="s">
        <v>75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W513" s="24" t="n">
        <f aca="false">AW512</f>
        <v>0</v>
      </c>
      <c r="AX513" s="24" t="n">
        <f aca="false">AX512</f>
        <v>0</v>
      </c>
    </row>
    <row r="514" customFormat="false" ht="15" hidden="false" customHeight="false" outlineLevel="0" collapsed="false">
      <c r="A514" s="8" t="str">
        <f aca="false">IF(C514&lt;&gt;"","F27-"&amp;COUNT($C$4:C514),"")</f>
        <v/>
      </c>
      <c r="B514" s="9" t="str">
        <f aca="false">IF(OR(F514="LOC - INITIAL",F514="CONSOLIDATION - UPFRONT COMM",F514="REVERSE - TOTAL FUNDING"),A514,"")</f>
        <v/>
      </c>
      <c r="C514" s="10"/>
      <c r="D514" s="11"/>
      <c r="E514" s="11"/>
      <c r="F514" s="11"/>
      <c r="G514" s="12"/>
      <c r="H514" s="13"/>
      <c r="I514" s="11"/>
      <c r="J514" s="14" t="str">
        <f aca="false">IF(AND(G514&lt;&gt;"",H514&lt;&gt;""),G514*H514,"")</f>
        <v/>
      </c>
      <c r="K514" s="11"/>
      <c r="L514" s="15"/>
      <c r="M514" s="15"/>
      <c r="N514" s="14" t="n">
        <f aca="false">IF(OR(G514="",M514=""),0,IF(M514&gt;100,M514,G514*IF(M514&gt;1,M514/100,M514)))</f>
        <v>0</v>
      </c>
      <c r="O514" s="14" t="str">
        <f aca="false">IF(G514="","",G514*IF(L514="",0,IF(L514&gt;1,L514/100,L514))+N514)</f>
        <v/>
      </c>
      <c r="P514" s="11"/>
      <c r="Q514" s="16" t="str">
        <f aca="false">IF(P514="","",IFERROR(VLOOKUP(P514,PARTNERS!$A$2:$B$30,2,0),""))</f>
        <v/>
      </c>
      <c r="R514" s="17" t="str">
        <f aca="false">IF(O514="","",IF(OR(P514="",Q514=""),0,(O514-N514)*IF(Q514&gt;1,Q514/100,Q514)))</f>
        <v/>
      </c>
      <c r="S514" s="14" t="str">
        <f aca="false">IF(O514="","",O514-R514)</f>
        <v/>
      </c>
      <c r="T514" s="11"/>
      <c r="U514" s="18" t="str">
        <f aca="false">IF(T514="","",IFERROR(VLOOKUP(T514,REPS!$A$2:$D$40,2,0),""))</f>
        <v/>
      </c>
      <c r="V514" s="14" t="str">
        <f aca="false">IF(O514="","",IF(U514="",0,O514*IF(U514&gt;1,U514/100,U514)))</f>
        <v/>
      </c>
      <c r="W514" s="11"/>
      <c r="X514" s="18" t="str">
        <f aca="false">IF(W514="","",IFERROR(VLOOKUP(W514,REPS!$A$2:$D$40,3,0),""))</f>
        <v/>
      </c>
      <c r="Y514" s="14" t="str">
        <f aca="false">IF(O514="","",IF(X514="",0,O514*IF(X514&gt;1,X514/100,X514)))</f>
        <v/>
      </c>
      <c r="Z514" s="11"/>
      <c r="AA514" s="18" t="str">
        <f aca="false">IF(Z514="","",IFERROR(VLOOKUP(Z514,REPS!$A$2:$D$40,4,0),""))</f>
        <v/>
      </c>
      <c r="AB514" s="14" t="str">
        <f aca="false">IF(O514="","",IF(AA514="",0,O514*IF(AA514&gt;1,AA514/100,AA514)))</f>
        <v/>
      </c>
      <c r="AC514" s="14" t="str">
        <f aca="false">IF(O514="","",V514+Y514+AB514)</f>
        <v/>
      </c>
      <c r="AD514" s="19" t="str">
        <f aca="false">IF(O514="","",O514-R514-AC514)</f>
        <v/>
      </c>
      <c r="AE514" s="20"/>
      <c r="AF514" s="10"/>
      <c r="AG514" s="21" t="n">
        <f aca="false">IF(OR(AE514="",AE514=0),0,AE514*IF(U514="",0,IF(U514&gt;1,U514/100,U514)))</f>
        <v>0</v>
      </c>
      <c r="AH514" s="21" t="n">
        <f aca="false">IF(OR(AE514="",AE514=0),0,AE514*IF(X514="",0,IF(X514&gt;1,X514/100,X514)))</f>
        <v>0</v>
      </c>
      <c r="AI514" s="21" t="n">
        <f aca="false">IF(OR(AE514="",AE514=0),0,AE514*IF(AA514="",0,IF(AA514&gt;1,AA514/100,AA514)))</f>
        <v>0</v>
      </c>
      <c r="AJ514" s="21" t="n">
        <f aca="false">AG514+AH514+AI514</f>
        <v>0</v>
      </c>
      <c r="AK514" s="21" t="n">
        <f aca="false">IF(OR(AE514="",AE514=0),0,AE514-AJ514)</f>
        <v>0</v>
      </c>
      <c r="AL514" s="19" t="str">
        <f aca="false">IF(AD514="","",AD514-AK514)</f>
        <v/>
      </c>
      <c r="AM514" s="9" t="str">
        <f aca="false">IF(C514="","","Waiting for payment")</f>
        <v/>
      </c>
      <c r="AN514" s="10"/>
      <c r="AO514" s="10"/>
      <c r="AP514" s="22" t="str">
        <f aca="false">IF(OR(C514="",I514="",K514=""),"",IF(K514="Monthly",EDATE(C514,ROUND(I514*SETTINGS!$I$8,0)),WORKDAY(C514,ROUND(I514*SETTINGS!$I$8,0))))</f>
        <v/>
      </c>
      <c r="AQ514" s="9" t="str">
        <f aca="true">IF(C514="","",IF(AND(AP514&lt;&gt;"",TODAY()&gt;=AP514),"Refi Ready",IF(TODAY()-C514&gt;=SETTINGS!$I$11,"Prospecting","Performing")))</f>
        <v/>
      </c>
      <c r="AR514" s="22" t="str">
        <f aca="false">IF(OR(C514="",I514="",K514=""),"",IF(K514="Monthly",EDATE(C514,I514),WORKDAY(C514,I514)))</f>
        <v/>
      </c>
      <c r="AS514" s="11"/>
      <c r="AT514" s="23" t="str">
        <f aca="true">IF(C514="","",IF(AM514="Clawed Back","CLAWED",IF(TODAY()&lt;=C514+SETTINGS!$I$2,"⚠ AT RISK","SAFE")))</f>
        <v/>
      </c>
      <c r="AU514" s="11"/>
      <c r="AW514" s="24" t="n">
        <f aca="false">AW513+IF(AND(C514&lt;&gt;"",AO514&lt;&gt;"",OR('REP COMMISSION'!$B$3="",T514='REP COMMISSION'!$B$3,W514='REP COMMISSION'!$B$3,Z514='REP COMMISSION'!$B$3)),1,0)</f>
        <v>0</v>
      </c>
      <c r="AX514" s="24" t="n">
        <f aca="false">AX513+IF(AND(C514&lt;&gt;"",OR(F514="LOC - INITIAL",F514="CONSOLIDATION - UPFRONT COMM",F514="REVERSE - TOTAL FUNDING")),1,0)</f>
        <v>0</v>
      </c>
    </row>
    <row r="515" customFormat="false" ht="15" hidden="false" customHeight="false" outlineLevel="0" collapsed="false">
      <c r="A515" s="25" t="str">
        <f aca="false">IF(C515&lt;&gt;"","F27-"&amp;COUNT($C$4:C515),"")</f>
        <v/>
      </c>
      <c r="B515" s="26" t="str">
        <f aca="false">IF(OR(F515="LOC - INITIAL",F515="CONSOLIDATION - UPFRONT COMM",F515="REVERSE - TOTAL FUNDING"),A515,"")</f>
        <v/>
      </c>
      <c r="C515" s="27"/>
      <c r="D515" s="28"/>
      <c r="E515" s="28"/>
      <c r="F515" s="28"/>
      <c r="G515" s="29"/>
      <c r="H515" s="30"/>
      <c r="I515" s="28"/>
      <c r="J515" s="31" t="str">
        <f aca="false">IF(AND(G515&lt;&gt;"",H515&lt;&gt;""),G515*H515,"")</f>
        <v/>
      </c>
      <c r="K515" s="28"/>
      <c r="L515" s="32"/>
      <c r="M515" s="32"/>
      <c r="N515" s="31" t="n">
        <f aca="false">IF(OR(G515="",M515=""),0,IF(M515&gt;100,M515,G515*IF(M515&gt;1,M515/100,M515)))</f>
        <v>0</v>
      </c>
      <c r="O515" s="31" t="str">
        <f aca="false">IF(G515="","",G515*IF(L515="",0,IF(L515&gt;1,L515/100,L515))+N515)</f>
        <v/>
      </c>
      <c r="P515" s="28"/>
      <c r="Q515" s="33" t="str">
        <f aca="false">IF(P515="","",IFERROR(VLOOKUP(P515,PARTNERS!$A$2:$B$30,2,0),""))</f>
        <v/>
      </c>
      <c r="R515" s="17" t="str">
        <f aca="false">IF(O515="","",IF(OR(P515="",Q515=""),0,(O515-N515)*IF(Q515&gt;1,Q515/100,Q515)))</f>
        <v/>
      </c>
      <c r="S515" s="31" t="str">
        <f aca="false">IF(O515="","",O515-R515)</f>
        <v/>
      </c>
      <c r="T515" s="28"/>
      <c r="U515" s="34" t="str">
        <f aca="false">IF(T515="","",IFERROR(VLOOKUP(T515,REPS!$A$2:$D$40,2,0),""))</f>
        <v/>
      </c>
      <c r="V515" s="31" t="str">
        <f aca="false">IF(O515="","",IF(U515="",0,O515*IF(U515&gt;1,U515/100,U515)))</f>
        <v/>
      </c>
      <c r="W515" s="28"/>
      <c r="X515" s="34" t="str">
        <f aca="false">IF(W515="","",IFERROR(VLOOKUP(W515,REPS!$A$2:$D$40,3,0),""))</f>
        <v/>
      </c>
      <c r="Y515" s="31" t="str">
        <f aca="false">IF(O515="","",IF(X515="",0,O515*IF(X515&gt;1,X515/100,X515)))</f>
        <v/>
      </c>
      <c r="Z515" s="28"/>
      <c r="AA515" s="34" t="str">
        <f aca="false">IF(Z515="","",IFERROR(VLOOKUP(Z515,REPS!$A$2:$D$40,4,0),""))</f>
        <v/>
      </c>
      <c r="AB515" s="31" t="str">
        <f aca="false">IF(O515="","",IF(AA515="",0,O515*IF(AA515&gt;1,AA515/100,AA515)))</f>
        <v/>
      </c>
      <c r="AC515" s="31" t="str">
        <f aca="false">IF(O515="","",V515+Y515+AB515)</f>
        <v/>
      </c>
      <c r="AD515" s="19" t="str">
        <f aca="false">IF(O515="","",O515-R515-AC515)</f>
        <v/>
      </c>
      <c r="AE515" s="20"/>
      <c r="AF515" s="27"/>
      <c r="AG515" s="21" t="n">
        <f aca="false">IF(OR(AE515="",AE515=0),0,AE515*IF(U515="",0,IF(U515&gt;1,U515/100,U515)))</f>
        <v>0</v>
      </c>
      <c r="AH515" s="21" t="n">
        <f aca="false">IF(OR(AE515="",AE515=0),0,AE515*IF(X515="",0,IF(X515&gt;1,X515/100,X515)))</f>
        <v>0</v>
      </c>
      <c r="AI515" s="21" t="n">
        <f aca="false">IF(OR(AE515="",AE515=0),0,AE515*IF(AA515="",0,IF(AA515&gt;1,AA515/100,AA515)))</f>
        <v>0</v>
      </c>
      <c r="AJ515" s="21" t="n">
        <f aca="false">AG515+AH515+AI515</f>
        <v>0</v>
      </c>
      <c r="AK515" s="21" t="n">
        <f aca="false">IF(OR(AE515="",AE515=0),0,AE515-AJ515)</f>
        <v>0</v>
      </c>
      <c r="AL515" s="19" t="str">
        <f aca="false">IF(AD515="","",AD515-AK515)</f>
        <v/>
      </c>
      <c r="AM515" s="26" t="str">
        <f aca="false">IF(C515="","","Waiting for payment")</f>
        <v/>
      </c>
      <c r="AN515" s="27"/>
      <c r="AO515" s="27"/>
      <c r="AP515" s="35" t="str">
        <f aca="false">IF(OR(C515="",I515="",K515=""),"",IF(K515="Monthly",EDATE(C515,ROUND(I515*SETTINGS!$I$8,0)),WORKDAY(C515,ROUND(I515*SETTINGS!$I$8,0))))</f>
        <v/>
      </c>
      <c r="AQ515" s="26" t="str">
        <f aca="true">IF(C515="","",IF(AND(AP515&lt;&gt;"",TODAY()&gt;=AP515),"Refi Ready",IF(TODAY()-C515&gt;=SETTINGS!$I$11,"Prospecting","Performing")))</f>
        <v/>
      </c>
      <c r="AR515" s="35" t="str">
        <f aca="false">IF(OR(C515="",I515="",K515=""),"",IF(K515="Monthly",EDATE(C515,I515),WORKDAY(C515,I515)))</f>
        <v/>
      </c>
      <c r="AS515" s="28"/>
      <c r="AT515" s="36" t="str">
        <f aca="true">IF(C515="","",IF(AM515="Clawed Back","CLAWED",IF(TODAY()&lt;=C515+SETTINGS!$I$2,"⚠ AT RISK","SAFE")))</f>
        <v/>
      </c>
      <c r="AU515" s="28"/>
      <c r="AW515" s="24" t="n">
        <f aca="false">AW514+IF(AND(C515&lt;&gt;"",AO515&lt;&gt;"",OR('REP COMMISSION'!$B$3="",T515='REP COMMISSION'!$B$3,W515='REP COMMISSION'!$B$3,Z515='REP COMMISSION'!$B$3)),1,0)</f>
        <v>0</v>
      </c>
      <c r="AX515" s="24" t="n">
        <f aca="false">AX514+IF(AND(C515&lt;&gt;"",OR(F515="LOC - INITIAL",F515="CONSOLIDATION - UPFRONT COMM",F515="REVERSE - TOTAL FUNDING")),1,0)</f>
        <v>0</v>
      </c>
    </row>
    <row r="516" customFormat="false" ht="15" hidden="false" customHeight="false" outlineLevel="0" collapsed="false">
      <c r="A516" s="8" t="str">
        <f aca="false">IF(C516&lt;&gt;"","F27-"&amp;COUNT($C$4:C516),"")</f>
        <v/>
      </c>
      <c r="B516" s="9" t="str">
        <f aca="false">IF(OR(F516="LOC - INITIAL",F516="CONSOLIDATION - UPFRONT COMM",F516="REVERSE - TOTAL FUNDING"),A516,"")</f>
        <v/>
      </c>
      <c r="C516" s="10"/>
      <c r="D516" s="11"/>
      <c r="E516" s="11"/>
      <c r="F516" s="11"/>
      <c r="G516" s="12"/>
      <c r="H516" s="13"/>
      <c r="I516" s="11"/>
      <c r="J516" s="14" t="str">
        <f aca="false">IF(AND(G516&lt;&gt;"",H516&lt;&gt;""),G516*H516,"")</f>
        <v/>
      </c>
      <c r="K516" s="11"/>
      <c r="L516" s="15"/>
      <c r="M516" s="15"/>
      <c r="N516" s="14" t="n">
        <f aca="false">IF(OR(G516="",M516=""),0,IF(M516&gt;100,M516,G516*IF(M516&gt;1,M516/100,M516)))</f>
        <v>0</v>
      </c>
      <c r="O516" s="14" t="str">
        <f aca="false">IF(G516="","",G516*IF(L516="",0,IF(L516&gt;1,L516/100,L516))+N516)</f>
        <v/>
      </c>
      <c r="P516" s="11"/>
      <c r="Q516" s="16" t="str">
        <f aca="false">IF(P516="","",IFERROR(VLOOKUP(P516,PARTNERS!$A$2:$B$30,2,0),""))</f>
        <v/>
      </c>
      <c r="R516" s="17" t="str">
        <f aca="false">IF(O516="","",IF(OR(P516="",Q516=""),0,(O516-N516)*IF(Q516&gt;1,Q516/100,Q516)))</f>
        <v/>
      </c>
      <c r="S516" s="14" t="str">
        <f aca="false">IF(O516="","",O516-R516)</f>
        <v/>
      </c>
      <c r="T516" s="11"/>
      <c r="U516" s="18" t="str">
        <f aca="false">IF(T516="","",IFERROR(VLOOKUP(T516,REPS!$A$2:$D$40,2,0),""))</f>
        <v/>
      </c>
      <c r="V516" s="14" t="str">
        <f aca="false">IF(O516="","",IF(U516="",0,O516*IF(U516&gt;1,U516/100,U516)))</f>
        <v/>
      </c>
      <c r="W516" s="11"/>
      <c r="X516" s="18" t="str">
        <f aca="false">IF(W516="","",IFERROR(VLOOKUP(W516,REPS!$A$2:$D$40,3,0),""))</f>
        <v/>
      </c>
      <c r="Y516" s="14" t="str">
        <f aca="false">IF(O516="","",IF(X516="",0,O516*IF(X516&gt;1,X516/100,X516)))</f>
        <v/>
      </c>
      <c r="Z516" s="11"/>
      <c r="AA516" s="18" t="str">
        <f aca="false">IF(Z516="","",IFERROR(VLOOKUP(Z516,REPS!$A$2:$D$40,4,0),""))</f>
        <v/>
      </c>
      <c r="AB516" s="14" t="str">
        <f aca="false">IF(O516="","",IF(AA516="",0,O516*IF(AA516&gt;1,AA516/100,AA516)))</f>
        <v/>
      </c>
      <c r="AC516" s="14" t="str">
        <f aca="false">IF(O516="","",V516+Y516+AB516)</f>
        <v/>
      </c>
      <c r="AD516" s="19" t="str">
        <f aca="false">IF(O516="","",O516-R516-AC516)</f>
        <v/>
      </c>
      <c r="AE516" s="20"/>
      <c r="AF516" s="10"/>
      <c r="AG516" s="21" t="n">
        <f aca="false">IF(OR(AE516="",AE516=0),0,AE516*IF(U516="",0,IF(U516&gt;1,U516/100,U516)))</f>
        <v>0</v>
      </c>
      <c r="AH516" s="21" t="n">
        <f aca="false">IF(OR(AE516="",AE516=0),0,AE516*IF(X516="",0,IF(X516&gt;1,X516/100,X516)))</f>
        <v>0</v>
      </c>
      <c r="AI516" s="21" t="n">
        <f aca="false">IF(OR(AE516="",AE516=0),0,AE516*IF(AA516="",0,IF(AA516&gt;1,AA516/100,AA516)))</f>
        <v>0</v>
      </c>
      <c r="AJ516" s="21" t="n">
        <f aca="false">AG516+AH516+AI516</f>
        <v>0</v>
      </c>
      <c r="AK516" s="21" t="n">
        <f aca="false">IF(OR(AE516="",AE516=0),0,AE516-AJ516)</f>
        <v>0</v>
      </c>
      <c r="AL516" s="19" t="str">
        <f aca="false">IF(AD516="","",AD516-AK516)</f>
        <v/>
      </c>
      <c r="AM516" s="9" t="str">
        <f aca="false">IF(C516="","","Waiting for payment")</f>
        <v/>
      </c>
      <c r="AN516" s="10"/>
      <c r="AO516" s="10"/>
      <c r="AP516" s="22" t="str">
        <f aca="false">IF(OR(C516="",I516="",K516=""),"",IF(K516="Monthly",EDATE(C516,ROUND(I516*SETTINGS!$I$8,0)),WORKDAY(C516,ROUND(I516*SETTINGS!$I$8,0))))</f>
        <v/>
      </c>
      <c r="AQ516" s="9" t="str">
        <f aca="true">IF(C516="","",IF(AND(AP516&lt;&gt;"",TODAY()&gt;=AP516),"Refi Ready",IF(TODAY()-C516&gt;=SETTINGS!$I$11,"Prospecting","Performing")))</f>
        <v/>
      </c>
      <c r="AR516" s="22" t="str">
        <f aca="false">IF(OR(C516="",I516="",K516=""),"",IF(K516="Monthly",EDATE(C516,I516),WORKDAY(C516,I516)))</f>
        <v/>
      </c>
      <c r="AS516" s="11"/>
      <c r="AT516" s="23" t="str">
        <f aca="true">IF(C516="","",IF(AM516="Clawed Back","CLAWED",IF(TODAY()&lt;=C516+SETTINGS!$I$2,"⚠ AT RISK","SAFE")))</f>
        <v/>
      </c>
      <c r="AU516" s="11"/>
      <c r="AW516" s="24" t="n">
        <f aca="false">AW515+IF(AND(C516&lt;&gt;"",AO516&lt;&gt;"",OR('REP COMMISSION'!$B$3="",T516='REP COMMISSION'!$B$3,W516='REP COMMISSION'!$B$3,Z516='REP COMMISSION'!$B$3)),1,0)</f>
        <v>0</v>
      </c>
      <c r="AX516" s="24" t="n">
        <f aca="false">AX515+IF(AND(C516&lt;&gt;"",OR(F516="LOC - INITIAL",F516="CONSOLIDATION - UPFRONT COMM",F516="REVERSE - TOTAL FUNDING")),1,0)</f>
        <v>0</v>
      </c>
    </row>
    <row r="517" customFormat="false" ht="15" hidden="false" customHeight="false" outlineLevel="0" collapsed="false">
      <c r="A517" s="25" t="str">
        <f aca="false">IF(C517&lt;&gt;"","F27-"&amp;COUNT($C$4:C517),"")</f>
        <v/>
      </c>
      <c r="B517" s="26" t="str">
        <f aca="false">IF(OR(F517="LOC - INITIAL",F517="CONSOLIDATION - UPFRONT COMM",F517="REVERSE - TOTAL FUNDING"),A517,"")</f>
        <v/>
      </c>
      <c r="C517" s="27"/>
      <c r="D517" s="28"/>
      <c r="E517" s="28"/>
      <c r="F517" s="28"/>
      <c r="G517" s="29"/>
      <c r="H517" s="30"/>
      <c r="I517" s="28"/>
      <c r="J517" s="31" t="str">
        <f aca="false">IF(AND(G517&lt;&gt;"",H517&lt;&gt;""),G517*H517,"")</f>
        <v/>
      </c>
      <c r="K517" s="28"/>
      <c r="L517" s="32"/>
      <c r="M517" s="32"/>
      <c r="N517" s="31" t="n">
        <f aca="false">IF(OR(G517="",M517=""),0,IF(M517&gt;100,M517,G517*IF(M517&gt;1,M517/100,M517)))</f>
        <v>0</v>
      </c>
      <c r="O517" s="31" t="str">
        <f aca="false">IF(G517="","",G517*IF(L517="",0,IF(L517&gt;1,L517/100,L517))+N517)</f>
        <v/>
      </c>
      <c r="P517" s="28"/>
      <c r="Q517" s="33" t="str">
        <f aca="false">IF(P517="","",IFERROR(VLOOKUP(P517,PARTNERS!$A$2:$B$30,2,0),""))</f>
        <v/>
      </c>
      <c r="R517" s="17" t="str">
        <f aca="false">IF(O517="","",IF(OR(P517="",Q517=""),0,(O517-N517)*IF(Q517&gt;1,Q517/100,Q517)))</f>
        <v/>
      </c>
      <c r="S517" s="31" t="str">
        <f aca="false">IF(O517="","",O517-R517)</f>
        <v/>
      </c>
      <c r="T517" s="28"/>
      <c r="U517" s="34" t="str">
        <f aca="false">IF(T517="","",IFERROR(VLOOKUP(T517,REPS!$A$2:$D$40,2,0),""))</f>
        <v/>
      </c>
      <c r="V517" s="31" t="str">
        <f aca="false">IF(O517="","",IF(U517="",0,O517*IF(U517&gt;1,U517/100,U517)))</f>
        <v/>
      </c>
      <c r="W517" s="28"/>
      <c r="X517" s="34" t="str">
        <f aca="false">IF(W517="","",IFERROR(VLOOKUP(W517,REPS!$A$2:$D$40,3,0),""))</f>
        <v/>
      </c>
      <c r="Y517" s="31" t="str">
        <f aca="false">IF(O517="","",IF(X517="",0,O517*IF(X517&gt;1,X517/100,X517)))</f>
        <v/>
      </c>
      <c r="Z517" s="28"/>
      <c r="AA517" s="34" t="str">
        <f aca="false">IF(Z517="","",IFERROR(VLOOKUP(Z517,REPS!$A$2:$D$40,4,0),""))</f>
        <v/>
      </c>
      <c r="AB517" s="31" t="str">
        <f aca="false">IF(O517="","",IF(AA517="",0,O517*IF(AA517&gt;1,AA517/100,AA517)))</f>
        <v/>
      </c>
      <c r="AC517" s="31" t="str">
        <f aca="false">IF(O517="","",V517+Y517+AB517)</f>
        <v/>
      </c>
      <c r="AD517" s="19" t="str">
        <f aca="false">IF(O517="","",O517-R517-AC517)</f>
        <v/>
      </c>
      <c r="AE517" s="20"/>
      <c r="AF517" s="27"/>
      <c r="AG517" s="21" t="n">
        <f aca="false">IF(OR(AE517="",AE517=0),0,AE517*IF(U517="",0,IF(U517&gt;1,U517/100,U517)))</f>
        <v>0</v>
      </c>
      <c r="AH517" s="21" t="n">
        <f aca="false">IF(OR(AE517="",AE517=0),0,AE517*IF(X517="",0,IF(X517&gt;1,X517/100,X517)))</f>
        <v>0</v>
      </c>
      <c r="AI517" s="21" t="n">
        <f aca="false">IF(OR(AE517="",AE517=0),0,AE517*IF(AA517="",0,IF(AA517&gt;1,AA517/100,AA517)))</f>
        <v>0</v>
      </c>
      <c r="AJ517" s="21" t="n">
        <f aca="false">AG517+AH517+AI517</f>
        <v>0</v>
      </c>
      <c r="AK517" s="21" t="n">
        <f aca="false">IF(OR(AE517="",AE517=0),0,AE517-AJ517)</f>
        <v>0</v>
      </c>
      <c r="AL517" s="19" t="str">
        <f aca="false">IF(AD517="","",AD517-AK517)</f>
        <v/>
      </c>
      <c r="AM517" s="26" t="str">
        <f aca="false">IF(C517="","","Waiting for payment")</f>
        <v/>
      </c>
      <c r="AN517" s="27"/>
      <c r="AO517" s="27"/>
      <c r="AP517" s="35" t="str">
        <f aca="false">IF(OR(C517="",I517="",K517=""),"",IF(K517="Monthly",EDATE(C517,ROUND(I517*SETTINGS!$I$8,0)),WORKDAY(C517,ROUND(I517*SETTINGS!$I$8,0))))</f>
        <v/>
      </c>
      <c r="AQ517" s="26" t="str">
        <f aca="true">IF(C517="","",IF(AND(AP517&lt;&gt;"",TODAY()&gt;=AP517),"Refi Ready",IF(TODAY()-C517&gt;=SETTINGS!$I$11,"Prospecting","Performing")))</f>
        <v/>
      </c>
      <c r="AR517" s="35" t="str">
        <f aca="false">IF(OR(C517="",I517="",K517=""),"",IF(K517="Monthly",EDATE(C517,I517),WORKDAY(C517,I517)))</f>
        <v/>
      </c>
      <c r="AS517" s="28"/>
      <c r="AT517" s="36" t="str">
        <f aca="true">IF(C517="","",IF(AM517="Clawed Back","CLAWED",IF(TODAY()&lt;=C517+SETTINGS!$I$2,"⚠ AT RISK","SAFE")))</f>
        <v/>
      </c>
      <c r="AU517" s="28"/>
      <c r="AW517" s="24" t="n">
        <f aca="false">AW516+IF(AND(C517&lt;&gt;"",AO517&lt;&gt;"",OR('REP COMMISSION'!$B$3="",T517='REP COMMISSION'!$B$3,W517='REP COMMISSION'!$B$3,Z517='REP COMMISSION'!$B$3)),1,0)</f>
        <v>0</v>
      </c>
      <c r="AX517" s="24" t="n">
        <f aca="false">AX516+IF(AND(C517&lt;&gt;"",OR(F517="LOC - INITIAL",F517="CONSOLIDATION - UPFRONT COMM",F517="REVERSE - TOTAL FUNDING")),1,0)</f>
        <v>0</v>
      </c>
    </row>
    <row r="518" customFormat="false" ht="15" hidden="false" customHeight="false" outlineLevel="0" collapsed="false">
      <c r="A518" s="8" t="str">
        <f aca="false">IF(C518&lt;&gt;"","F27-"&amp;COUNT($C$4:C518),"")</f>
        <v/>
      </c>
      <c r="B518" s="9" t="str">
        <f aca="false">IF(OR(F518="LOC - INITIAL",F518="CONSOLIDATION - UPFRONT COMM",F518="REVERSE - TOTAL FUNDING"),A518,"")</f>
        <v/>
      </c>
      <c r="C518" s="10"/>
      <c r="D518" s="11"/>
      <c r="E518" s="11"/>
      <c r="F518" s="11"/>
      <c r="G518" s="12"/>
      <c r="H518" s="13"/>
      <c r="I518" s="11"/>
      <c r="J518" s="14" t="str">
        <f aca="false">IF(AND(G518&lt;&gt;"",H518&lt;&gt;""),G518*H518,"")</f>
        <v/>
      </c>
      <c r="K518" s="11"/>
      <c r="L518" s="15"/>
      <c r="M518" s="15"/>
      <c r="N518" s="14" t="n">
        <f aca="false">IF(OR(G518="",M518=""),0,IF(M518&gt;100,M518,G518*IF(M518&gt;1,M518/100,M518)))</f>
        <v>0</v>
      </c>
      <c r="O518" s="14" t="str">
        <f aca="false">IF(G518="","",G518*IF(L518="",0,IF(L518&gt;1,L518/100,L518))+N518)</f>
        <v/>
      </c>
      <c r="P518" s="11"/>
      <c r="Q518" s="16" t="str">
        <f aca="false">IF(P518="","",IFERROR(VLOOKUP(P518,PARTNERS!$A$2:$B$30,2,0),""))</f>
        <v/>
      </c>
      <c r="R518" s="17" t="str">
        <f aca="false">IF(O518="","",IF(OR(P518="",Q518=""),0,(O518-N518)*IF(Q518&gt;1,Q518/100,Q518)))</f>
        <v/>
      </c>
      <c r="S518" s="14" t="str">
        <f aca="false">IF(O518="","",O518-R518)</f>
        <v/>
      </c>
      <c r="T518" s="11"/>
      <c r="U518" s="18" t="str">
        <f aca="false">IF(T518="","",IFERROR(VLOOKUP(T518,REPS!$A$2:$D$40,2,0),""))</f>
        <v/>
      </c>
      <c r="V518" s="14" t="str">
        <f aca="false">IF(O518="","",IF(U518="",0,O518*IF(U518&gt;1,U518/100,U518)))</f>
        <v/>
      </c>
      <c r="W518" s="11"/>
      <c r="X518" s="18" t="str">
        <f aca="false">IF(W518="","",IFERROR(VLOOKUP(W518,REPS!$A$2:$D$40,3,0),""))</f>
        <v/>
      </c>
      <c r="Y518" s="14" t="str">
        <f aca="false">IF(O518="","",IF(X518="",0,O518*IF(X518&gt;1,X518/100,X518)))</f>
        <v/>
      </c>
      <c r="Z518" s="11"/>
      <c r="AA518" s="18" t="str">
        <f aca="false">IF(Z518="","",IFERROR(VLOOKUP(Z518,REPS!$A$2:$D$40,4,0),""))</f>
        <v/>
      </c>
      <c r="AB518" s="14" t="str">
        <f aca="false">IF(O518="","",IF(AA518="",0,O518*IF(AA518&gt;1,AA518/100,AA518)))</f>
        <v/>
      </c>
      <c r="AC518" s="14" t="str">
        <f aca="false">IF(O518="","",V518+Y518+AB518)</f>
        <v/>
      </c>
      <c r="AD518" s="19" t="str">
        <f aca="false">IF(O518="","",O518-R518-AC518)</f>
        <v/>
      </c>
      <c r="AE518" s="20"/>
      <c r="AF518" s="10"/>
      <c r="AG518" s="21" t="n">
        <f aca="false">IF(OR(AE518="",AE518=0),0,AE518*IF(U518="",0,IF(U518&gt;1,U518/100,U518)))</f>
        <v>0</v>
      </c>
      <c r="AH518" s="21" t="n">
        <f aca="false">IF(OR(AE518="",AE518=0),0,AE518*IF(X518="",0,IF(X518&gt;1,X518/100,X518)))</f>
        <v>0</v>
      </c>
      <c r="AI518" s="21" t="n">
        <f aca="false">IF(OR(AE518="",AE518=0),0,AE518*IF(AA518="",0,IF(AA518&gt;1,AA518/100,AA518)))</f>
        <v>0</v>
      </c>
      <c r="AJ518" s="21" t="n">
        <f aca="false">AG518+AH518+AI518</f>
        <v>0</v>
      </c>
      <c r="AK518" s="21" t="n">
        <f aca="false">IF(OR(AE518="",AE518=0),0,AE518-AJ518)</f>
        <v>0</v>
      </c>
      <c r="AL518" s="19" t="str">
        <f aca="false">IF(AD518="","",AD518-AK518)</f>
        <v/>
      </c>
      <c r="AM518" s="9" t="str">
        <f aca="false">IF(C518="","","Waiting for payment")</f>
        <v/>
      </c>
      <c r="AN518" s="10"/>
      <c r="AO518" s="10"/>
      <c r="AP518" s="22" t="str">
        <f aca="false">IF(OR(C518="",I518="",K518=""),"",IF(K518="Monthly",EDATE(C518,ROUND(I518*SETTINGS!$I$8,0)),WORKDAY(C518,ROUND(I518*SETTINGS!$I$8,0))))</f>
        <v/>
      </c>
      <c r="AQ518" s="9" t="str">
        <f aca="true">IF(C518="","",IF(AND(AP518&lt;&gt;"",TODAY()&gt;=AP518),"Refi Ready",IF(TODAY()-C518&gt;=SETTINGS!$I$11,"Prospecting","Performing")))</f>
        <v/>
      </c>
      <c r="AR518" s="22" t="str">
        <f aca="false">IF(OR(C518="",I518="",K518=""),"",IF(K518="Monthly",EDATE(C518,I518),WORKDAY(C518,I518)))</f>
        <v/>
      </c>
      <c r="AS518" s="11"/>
      <c r="AT518" s="23" t="str">
        <f aca="true">IF(C518="","",IF(AM518="Clawed Back","CLAWED",IF(TODAY()&lt;=C518+SETTINGS!$I$2,"⚠ AT RISK","SAFE")))</f>
        <v/>
      </c>
      <c r="AU518" s="11"/>
      <c r="AW518" s="24" t="n">
        <f aca="false">AW517+IF(AND(C518&lt;&gt;"",AO518&lt;&gt;"",OR('REP COMMISSION'!$B$3="",T518='REP COMMISSION'!$B$3,W518='REP COMMISSION'!$B$3,Z518='REP COMMISSION'!$B$3)),1,0)</f>
        <v>0</v>
      </c>
      <c r="AX518" s="24" t="n">
        <f aca="false">AX517+IF(AND(C518&lt;&gt;"",OR(F518="LOC - INITIAL",F518="CONSOLIDATION - UPFRONT COMM",F518="REVERSE - TOTAL FUNDING")),1,0)</f>
        <v>0</v>
      </c>
    </row>
    <row r="519" customFormat="false" ht="15" hidden="false" customHeight="false" outlineLevel="0" collapsed="false">
      <c r="A519" s="25" t="str">
        <f aca="false">IF(C519&lt;&gt;"","F27-"&amp;COUNT($C$4:C519),"")</f>
        <v/>
      </c>
      <c r="B519" s="26" t="str">
        <f aca="false">IF(OR(F519="LOC - INITIAL",F519="CONSOLIDATION - UPFRONT COMM",F519="REVERSE - TOTAL FUNDING"),A519,"")</f>
        <v/>
      </c>
      <c r="C519" s="27"/>
      <c r="D519" s="28"/>
      <c r="E519" s="28"/>
      <c r="F519" s="28"/>
      <c r="G519" s="29"/>
      <c r="H519" s="30"/>
      <c r="I519" s="28"/>
      <c r="J519" s="31" t="str">
        <f aca="false">IF(AND(G519&lt;&gt;"",H519&lt;&gt;""),G519*H519,"")</f>
        <v/>
      </c>
      <c r="K519" s="28"/>
      <c r="L519" s="32"/>
      <c r="M519" s="32"/>
      <c r="N519" s="31" t="n">
        <f aca="false">IF(OR(G519="",M519=""),0,IF(M519&gt;100,M519,G519*IF(M519&gt;1,M519/100,M519)))</f>
        <v>0</v>
      </c>
      <c r="O519" s="31" t="str">
        <f aca="false">IF(G519="","",G519*IF(L519="",0,IF(L519&gt;1,L519/100,L519))+N519)</f>
        <v/>
      </c>
      <c r="P519" s="28"/>
      <c r="Q519" s="33" t="str">
        <f aca="false">IF(P519="","",IFERROR(VLOOKUP(P519,PARTNERS!$A$2:$B$30,2,0),""))</f>
        <v/>
      </c>
      <c r="R519" s="17" t="str">
        <f aca="false">IF(O519="","",IF(OR(P519="",Q519=""),0,(O519-N519)*IF(Q519&gt;1,Q519/100,Q519)))</f>
        <v/>
      </c>
      <c r="S519" s="31" t="str">
        <f aca="false">IF(O519="","",O519-R519)</f>
        <v/>
      </c>
      <c r="T519" s="28"/>
      <c r="U519" s="34" t="str">
        <f aca="false">IF(T519="","",IFERROR(VLOOKUP(T519,REPS!$A$2:$D$40,2,0),""))</f>
        <v/>
      </c>
      <c r="V519" s="31" t="str">
        <f aca="false">IF(O519="","",IF(U519="",0,O519*IF(U519&gt;1,U519/100,U519)))</f>
        <v/>
      </c>
      <c r="W519" s="28"/>
      <c r="X519" s="34" t="str">
        <f aca="false">IF(W519="","",IFERROR(VLOOKUP(W519,REPS!$A$2:$D$40,3,0),""))</f>
        <v/>
      </c>
      <c r="Y519" s="31" t="str">
        <f aca="false">IF(O519="","",IF(X519="",0,O519*IF(X519&gt;1,X519/100,X519)))</f>
        <v/>
      </c>
      <c r="Z519" s="28"/>
      <c r="AA519" s="34" t="str">
        <f aca="false">IF(Z519="","",IFERROR(VLOOKUP(Z519,REPS!$A$2:$D$40,4,0),""))</f>
        <v/>
      </c>
      <c r="AB519" s="31" t="str">
        <f aca="false">IF(O519="","",IF(AA519="",0,O519*IF(AA519&gt;1,AA519/100,AA519)))</f>
        <v/>
      </c>
      <c r="AC519" s="31" t="str">
        <f aca="false">IF(O519="","",V519+Y519+AB519)</f>
        <v/>
      </c>
      <c r="AD519" s="19" t="str">
        <f aca="false">IF(O519="","",O519-R519-AC519)</f>
        <v/>
      </c>
      <c r="AE519" s="20"/>
      <c r="AF519" s="27"/>
      <c r="AG519" s="21" t="n">
        <f aca="false">IF(OR(AE519="",AE519=0),0,AE519*IF(U519="",0,IF(U519&gt;1,U519/100,U519)))</f>
        <v>0</v>
      </c>
      <c r="AH519" s="21" t="n">
        <f aca="false">IF(OR(AE519="",AE519=0),0,AE519*IF(X519="",0,IF(X519&gt;1,X519/100,X519)))</f>
        <v>0</v>
      </c>
      <c r="AI519" s="21" t="n">
        <f aca="false">IF(OR(AE519="",AE519=0),0,AE519*IF(AA519="",0,IF(AA519&gt;1,AA519/100,AA519)))</f>
        <v>0</v>
      </c>
      <c r="AJ519" s="21" t="n">
        <f aca="false">AG519+AH519+AI519</f>
        <v>0</v>
      </c>
      <c r="AK519" s="21" t="n">
        <f aca="false">IF(OR(AE519="",AE519=0),0,AE519-AJ519)</f>
        <v>0</v>
      </c>
      <c r="AL519" s="19" t="str">
        <f aca="false">IF(AD519="","",AD519-AK519)</f>
        <v/>
      </c>
      <c r="AM519" s="26" t="str">
        <f aca="false">IF(C519="","","Waiting for payment")</f>
        <v/>
      </c>
      <c r="AN519" s="27"/>
      <c r="AO519" s="27"/>
      <c r="AP519" s="35" t="str">
        <f aca="false">IF(OR(C519="",I519="",K519=""),"",IF(K519="Monthly",EDATE(C519,ROUND(I519*SETTINGS!$I$8,0)),WORKDAY(C519,ROUND(I519*SETTINGS!$I$8,0))))</f>
        <v/>
      </c>
      <c r="AQ519" s="26" t="str">
        <f aca="true">IF(C519="","",IF(AND(AP519&lt;&gt;"",TODAY()&gt;=AP519),"Refi Ready",IF(TODAY()-C519&gt;=SETTINGS!$I$11,"Prospecting","Performing")))</f>
        <v/>
      </c>
      <c r="AR519" s="35" t="str">
        <f aca="false">IF(OR(C519="",I519="",K519=""),"",IF(K519="Monthly",EDATE(C519,I519),WORKDAY(C519,I519)))</f>
        <v/>
      </c>
      <c r="AS519" s="28"/>
      <c r="AT519" s="36" t="str">
        <f aca="true">IF(C519="","",IF(AM519="Clawed Back","CLAWED",IF(TODAY()&lt;=C519+SETTINGS!$I$2,"⚠ AT RISK","SAFE")))</f>
        <v/>
      </c>
      <c r="AU519" s="28"/>
      <c r="AW519" s="24" t="n">
        <f aca="false">AW518+IF(AND(C519&lt;&gt;"",AO519&lt;&gt;"",OR('REP COMMISSION'!$B$3="",T519='REP COMMISSION'!$B$3,W519='REP COMMISSION'!$B$3,Z519='REP COMMISSION'!$B$3)),1,0)</f>
        <v>0</v>
      </c>
      <c r="AX519" s="24" t="n">
        <f aca="false">AX518+IF(AND(C519&lt;&gt;"",OR(F519="LOC - INITIAL",F519="CONSOLIDATION - UPFRONT COMM",F519="REVERSE - TOTAL FUNDING")),1,0)</f>
        <v>0</v>
      </c>
    </row>
    <row r="520" customFormat="false" ht="15" hidden="false" customHeight="false" outlineLevel="0" collapsed="false">
      <c r="A520" s="8" t="str">
        <f aca="false">IF(C520&lt;&gt;"","F27-"&amp;COUNT($C$4:C520),"")</f>
        <v/>
      </c>
      <c r="B520" s="9" t="str">
        <f aca="false">IF(OR(F520="LOC - INITIAL",F520="CONSOLIDATION - UPFRONT COMM",F520="REVERSE - TOTAL FUNDING"),A520,"")</f>
        <v/>
      </c>
      <c r="C520" s="10"/>
      <c r="D520" s="11"/>
      <c r="E520" s="11"/>
      <c r="F520" s="11"/>
      <c r="G520" s="12"/>
      <c r="H520" s="13"/>
      <c r="I520" s="11"/>
      <c r="J520" s="14" t="str">
        <f aca="false">IF(AND(G520&lt;&gt;"",H520&lt;&gt;""),G520*H520,"")</f>
        <v/>
      </c>
      <c r="K520" s="11"/>
      <c r="L520" s="15"/>
      <c r="M520" s="15"/>
      <c r="N520" s="14" t="n">
        <f aca="false">IF(OR(G520="",M520=""),0,IF(M520&gt;100,M520,G520*IF(M520&gt;1,M520/100,M520)))</f>
        <v>0</v>
      </c>
      <c r="O520" s="14" t="str">
        <f aca="false">IF(G520="","",G520*IF(L520="",0,IF(L520&gt;1,L520/100,L520))+N520)</f>
        <v/>
      </c>
      <c r="P520" s="11"/>
      <c r="Q520" s="16" t="str">
        <f aca="false">IF(P520="","",IFERROR(VLOOKUP(P520,PARTNERS!$A$2:$B$30,2,0),""))</f>
        <v/>
      </c>
      <c r="R520" s="17" t="str">
        <f aca="false">IF(O520="","",IF(OR(P520="",Q520=""),0,(O520-N520)*IF(Q520&gt;1,Q520/100,Q520)))</f>
        <v/>
      </c>
      <c r="S520" s="14" t="str">
        <f aca="false">IF(O520="","",O520-R520)</f>
        <v/>
      </c>
      <c r="T520" s="11"/>
      <c r="U520" s="18" t="str">
        <f aca="false">IF(T520="","",IFERROR(VLOOKUP(T520,REPS!$A$2:$D$40,2,0),""))</f>
        <v/>
      </c>
      <c r="V520" s="14" t="str">
        <f aca="false">IF(O520="","",IF(U520="",0,O520*IF(U520&gt;1,U520/100,U520)))</f>
        <v/>
      </c>
      <c r="W520" s="11"/>
      <c r="X520" s="18" t="str">
        <f aca="false">IF(W520="","",IFERROR(VLOOKUP(W520,REPS!$A$2:$D$40,3,0),""))</f>
        <v/>
      </c>
      <c r="Y520" s="14" t="str">
        <f aca="false">IF(O520="","",IF(X520="",0,O520*IF(X520&gt;1,X520/100,X520)))</f>
        <v/>
      </c>
      <c r="Z520" s="11"/>
      <c r="AA520" s="18" t="str">
        <f aca="false">IF(Z520="","",IFERROR(VLOOKUP(Z520,REPS!$A$2:$D$40,4,0),""))</f>
        <v/>
      </c>
      <c r="AB520" s="14" t="str">
        <f aca="false">IF(O520="","",IF(AA520="",0,O520*IF(AA520&gt;1,AA520/100,AA520)))</f>
        <v/>
      </c>
      <c r="AC520" s="14" t="str">
        <f aca="false">IF(O520="","",V520+Y520+AB520)</f>
        <v/>
      </c>
      <c r="AD520" s="19" t="str">
        <f aca="false">IF(O520="","",O520-R520-AC520)</f>
        <v/>
      </c>
      <c r="AE520" s="20"/>
      <c r="AF520" s="10"/>
      <c r="AG520" s="21" t="n">
        <f aca="false">IF(OR(AE520="",AE520=0),0,AE520*IF(U520="",0,IF(U520&gt;1,U520/100,U520)))</f>
        <v>0</v>
      </c>
      <c r="AH520" s="21" t="n">
        <f aca="false">IF(OR(AE520="",AE520=0),0,AE520*IF(X520="",0,IF(X520&gt;1,X520/100,X520)))</f>
        <v>0</v>
      </c>
      <c r="AI520" s="21" t="n">
        <f aca="false">IF(OR(AE520="",AE520=0),0,AE520*IF(AA520="",0,IF(AA520&gt;1,AA520/100,AA520)))</f>
        <v>0</v>
      </c>
      <c r="AJ520" s="21" t="n">
        <f aca="false">AG520+AH520+AI520</f>
        <v>0</v>
      </c>
      <c r="AK520" s="21" t="n">
        <f aca="false">IF(OR(AE520="",AE520=0),0,AE520-AJ520)</f>
        <v>0</v>
      </c>
      <c r="AL520" s="19" t="str">
        <f aca="false">IF(AD520="","",AD520-AK520)</f>
        <v/>
      </c>
      <c r="AM520" s="9" t="str">
        <f aca="false">IF(C520="","","Waiting for payment")</f>
        <v/>
      </c>
      <c r="AN520" s="10"/>
      <c r="AO520" s="10"/>
      <c r="AP520" s="22" t="str">
        <f aca="false">IF(OR(C520="",I520="",K520=""),"",IF(K520="Monthly",EDATE(C520,ROUND(I520*SETTINGS!$I$8,0)),WORKDAY(C520,ROUND(I520*SETTINGS!$I$8,0))))</f>
        <v/>
      </c>
      <c r="AQ520" s="9" t="str">
        <f aca="true">IF(C520="","",IF(AND(AP520&lt;&gt;"",TODAY()&gt;=AP520),"Refi Ready",IF(TODAY()-C520&gt;=SETTINGS!$I$11,"Prospecting","Performing")))</f>
        <v/>
      </c>
      <c r="AR520" s="22" t="str">
        <f aca="false">IF(OR(C520="",I520="",K520=""),"",IF(K520="Monthly",EDATE(C520,I520),WORKDAY(C520,I520)))</f>
        <v/>
      </c>
      <c r="AS520" s="11"/>
      <c r="AT520" s="23" t="str">
        <f aca="true">IF(C520="","",IF(AM520="Clawed Back","CLAWED",IF(TODAY()&lt;=C520+SETTINGS!$I$2,"⚠ AT RISK","SAFE")))</f>
        <v/>
      </c>
      <c r="AU520" s="11"/>
      <c r="AW520" s="24" t="n">
        <f aca="false">AW519+IF(AND(C520&lt;&gt;"",AO520&lt;&gt;"",OR('REP COMMISSION'!$B$3="",T520='REP COMMISSION'!$B$3,W520='REP COMMISSION'!$B$3,Z520='REP COMMISSION'!$B$3)),1,0)</f>
        <v>0</v>
      </c>
      <c r="AX520" s="24" t="n">
        <f aca="false">AX519+IF(AND(C520&lt;&gt;"",OR(F520="LOC - INITIAL",F520="CONSOLIDATION - UPFRONT COMM",F520="REVERSE - TOTAL FUNDING")),1,0)</f>
        <v>0</v>
      </c>
    </row>
    <row r="521" customFormat="false" ht="15" hidden="false" customHeight="false" outlineLevel="0" collapsed="false">
      <c r="A521" s="25" t="str">
        <f aca="false">IF(C521&lt;&gt;"","F27-"&amp;COUNT($C$4:C521),"")</f>
        <v/>
      </c>
      <c r="B521" s="26" t="str">
        <f aca="false">IF(OR(F521="LOC - INITIAL",F521="CONSOLIDATION - UPFRONT COMM",F521="REVERSE - TOTAL FUNDING"),A521,"")</f>
        <v/>
      </c>
      <c r="C521" s="27"/>
      <c r="D521" s="28"/>
      <c r="E521" s="28"/>
      <c r="F521" s="28"/>
      <c r="G521" s="29"/>
      <c r="H521" s="30"/>
      <c r="I521" s="28"/>
      <c r="J521" s="31" t="str">
        <f aca="false">IF(AND(G521&lt;&gt;"",H521&lt;&gt;""),G521*H521,"")</f>
        <v/>
      </c>
      <c r="K521" s="28"/>
      <c r="L521" s="32"/>
      <c r="M521" s="32"/>
      <c r="N521" s="31" t="n">
        <f aca="false">IF(OR(G521="",M521=""),0,IF(M521&gt;100,M521,G521*IF(M521&gt;1,M521/100,M521)))</f>
        <v>0</v>
      </c>
      <c r="O521" s="31" t="str">
        <f aca="false">IF(G521="","",G521*IF(L521="",0,IF(L521&gt;1,L521/100,L521))+N521)</f>
        <v/>
      </c>
      <c r="P521" s="28"/>
      <c r="Q521" s="33" t="str">
        <f aca="false">IF(P521="","",IFERROR(VLOOKUP(P521,PARTNERS!$A$2:$B$30,2,0),""))</f>
        <v/>
      </c>
      <c r="R521" s="17" t="str">
        <f aca="false">IF(O521="","",IF(OR(P521="",Q521=""),0,(O521-N521)*IF(Q521&gt;1,Q521/100,Q521)))</f>
        <v/>
      </c>
      <c r="S521" s="31" t="str">
        <f aca="false">IF(O521="","",O521-R521)</f>
        <v/>
      </c>
      <c r="T521" s="28"/>
      <c r="U521" s="34" t="str">
        <f aca="false">IF(T521="","",IFERROR(VLOOKUP(T521,REPS!$A$2:$D$40,2,0),""))</f>
        <v/>
      </c>
      <c r="V521" s="31" t="str">
        <f aca="false">IF(O521="","",IF(U521="",0,O521*IF(U521&gt;1,U521/100,U521)))</f>
        <v/>
      </c>
      <c r="W521" s="28"/>
      <c r="X521" s="34" t="str">
        <f aca="false">IF(W521="","",IFERROR(VLOOKUP(W521,REPS!$A$2:$D$40,3,0),""))</f>
        <v/>
      </c>
      <c r="Y521" s="31" t="str">
        <f aca="false">IF(O521="","",IF(X521="",0,O521*IF(X521&gt;1,X521/100,X521)))</f>
        <v/>
      </c>
      <c r="Z521" s="28"/>
      <c r="AA521" s="34" t="str">
        <f aca="false">IF(Z521="","",IFERROR(VLOOKUP(Z521,REPS!$A$2:$D$40,4,0),""))</f>
        <v/>
      </c>
      <c r="AB521" s="31" t="str">
        <f aca="false">IF(O521="","",IF(AA521="",0,O521*IF(AA521&gt;1,AA521/100,AA521)))</f>
        <v/>
      </c>
      <c r="AC521" s="31" t="str">
        <f aca="false">IF(O521="","",V521+Y521+AB521)</f>
        <v/>
      </c>
      <c r="AD521" s="19" t="str">
        <f aca="false">IF(O521="","",O521-R521-AC521)</f>
        <v/>
      </c>
      <c r="AE521" s="20"/>
      <c r="AF521" s="27"/>
      <c r="AG521" s="21" t="n">
        <f aca="false">IF(OR(AE521="",AE521=0),0,AE521*IF(U521="",0,IF(U521&gt;1,U521/100,U521)))</f>
        <v>0</v>
      </c>
      <c r="AH521" s="21" t="n">
        <f aca="false">IF(OR(AE521="",AE521=0),0,AE521*IF(X521="",0,IF(X521&gt;1,X521/100,X521)))</f>
        <v>0</v>
      </c>
      <c r="AI521" s="21" t="n">
        <f aca="false">IF(OR(AE521="",AE521=0),0,AE521*IF(AA521="",0,IF(AA521&gt;1,AA521/100,AA521)))</f>
        <v>0</v>
      </c>
      <c r="AJ521" s="21" t="n">
        <f aca="false">AG521+AH521+AI521</f>
        <v>0</v>
      </c>
      <c r="AK521" s="21" t="n">
        <f aca="false">IF(OR(AE521="",AE521=0),0,AE521-AJ521)</f>
        <v>0</v>
      </c>
      <c r="AL521" s="19" t="str">
        <f aca="false">IF(AD521="","",AD521-AK521)</f>
        <v/>
      </c>
      <c r="AM521" s="26" t="str">
        <f aca="false">IF(C521="","","Waiting for payment")</f>
        <v/>
      </c>
      <c r="AN521" s="27"/>
      <c r="AO521" s="27"/>
      <c r="AP521" s="35" t="str">
        <f aca="false">IF(OR(C521="",I521="",K521=""),"",IF(K521="Monthly",EDATE(C521,ROUND(I521*SETTINGS!$I$8,0)),WORKDAY(C521,ROUND(I521*SETTINGS!$I$8,0))))</f>
        <v/>
      </c>
      <c r="AQ521" s="26" t="str">
        <f aca="true">IF(C521="","",IF(AND(AP521&lt;&gt;"",TODAY()&gt;=AP521),"Refi Ready",IF(TODAY()-C521&gt;=SETTINGS!$I$11,"Prospecting","Performing")))</f>
        <v/>
      </c>
      <c r="AR521" s="35" t="str">
        <f aca="false">IF(OR(C521="",I521="",K521=""),"",IF(K521="Monthly",EDATE(C521,I521),WORKDAY(C521,I521)))</f>
        <v/>
      </c>
      <c r="AS521" s="28"/>
      <c r="AT521" s="36" t="str">
        <f aca="true">IF(C521="","",IF(AM521="Clawed Back","CLAWED",IF(TODAY()&lt;=C521+SETTINGS!$I$2,"⚠ AT RISK","SAFE")))</f>
        <v/>
      </c>
      <c r="AU521" s="28"/>
      <c r="AW521" s="24" t="n">
        <f aca="false">AW520+IF(AND(C521&lt;&gt;"",AO521&lt;&gt;"",OR('REP COMMISSION'!$B$3="",T521='REP COMMISSION'!$B$3,W521='REP COMMISSION'!$B$3,Z521='REP COMMISSION'!$B$3)),1,0)</f>
        <v>0</v>
      </c>
      <c r="AX521" s="24" t="n">
        <f aca="false">AX520+IF(AND(C521&lt;&gt;"",OR(F521="LOC - INITIAL",F521="CONSOLIDATION - UPFRONT COMM",F521="REVERSE - TOTAL FUNDING")),1,0)</f>
        <v>0</v>
      </c>
    </row>
    <row r="522" customFormat="false" ht="15" hidden="false" customHeight="false" outlineLevel="0" collapsed="false">
      <c r="A522" s="8" t="str">
        <f aca="false">IF(C522&lt;&gt;"","F27-"&amp;COUNT($C$4:C522),"")</f>
        <v/>
      </c>
      <c r="B522" s="9" t="str">
        <f aca="false">IF(OR(F522="LOC - INITIAL",F522="CONSOLIDATION - UPFRONT COMM",F522="REVERSE - TOTAL FUNDING"),A522,"")</f>
        <v/>
      </c>
      <c r="C522" s="10"/>
      <c r="D522" s="11"/>
      <c r="E522" s="11"/>
      <c r="F522" s="11"/>
      <c r="G522" s="12"/>
      <c r="H522" s="13"/>
      <c r="I522" s="11"/>
      <c r="J522" s="14" t="str">
        <f aca="false">IF(AND(G522&lt;&gt;"",H522&lt;&gt;""),G522*H522,"")</f>
        <v/>
      </c>
      <c r="K522" s="11"/>
      <c r="L522" s="15"/>
      <c r="M522" s="15"/>
      <c r="N522" s="14" t="n">
        <f aca="false">IF(OR(G522="",M522=""),0,IF(M522&gt;100,M522,G522*IF(M522&gt;1,M522/100,M522)))</f>
        <v>0</v>
      </c>
      <c r="O522" s="14" t="str">
        <f aca="false">IF(G522="","",G522*IF(L522="",0,IF(L522&gt;1,L522/100,L522))+N522)</f>
        <v/>
      </c>
      <c r="P522" s="11"/>
      <c r="Q522" s="16" t="str">
        <f aca="false">IF(P522="","",IFERROR(VLOOKUP(P522,PARTNERS!$A$2:$B$30,2,0),""))</f>
        <v/>
      </c>
      <c r="R522" s="17" t="str">
        <f aca="false">IF(O522="","",IF(OR(P522="",Q522=""),0,(O522-N522)*IF(Q522&gt;1,Q522/100,Q522)))</f>
        <v/>
      </c>
      <c r="S522" s="14" t="str">
        <f aca="false">IF(O522="","",O522-R522)</f>
        <v/>
      </c>
      <c r="T522" s="11"/>
      <c r="U522" s="18" t="str">
        <f aca="false">IF(T522="","",IFERROR(VLOOKUP(T522,REPS!$A$2:$D$40,2,0),""))</f>
        <v/>
      </c>
      <c r="V522" s="14" t="str">
        <f aca="false">IF(O522="","",IF(U522="",0,O522*IF(U522&gt;1,U522/100,U522)))</f>
        <v/>
      </c>
      <c r="W522" s="11"/>
      <c r="X522" s="18" t="str">
        <f aca="false">IF(W522="","",IFERROR(VLOOKUP(W522,REPS!$A$2:$D$40,3,0),""))</f>
        <v/>
      </c>
      <c r="Y522" s="14" t="str">
        <f aca="false">IF(O522="","",IF(X522="",0,O522*IF(X522&gt;1,X522/100,X522)))</f>
        <v/>
      </c>
      <c r="Z522" s="11"/>
      <c r="AA522" s="18" t="str">
        <f aca="false">IF(Z522="","",IFERROR(VLOOKUP(Z522,REPS!$A$2:$D$40,4,0),""))</f>
        <v/>
      </c>
      <c r="AB522" s="14" t="str">
        <f aca="false">IF(O522="","",IF(AA522="",0,O522*IF(AA522&gt;1,AA522/100,AA522)))</f>
        <v/>
      </c>
      <c r="AC522" s="14" t="str">
        <f aca="false">IF(O522="","",V522+Y522+AB522)</f>
        <v/>
      </c>
      <c r="AD522" s="19" t="str">
        <f aca="false">IF(O522="","",O522-R522-AC522)</f>
        <v/>
      </c>
      <c r="AE522" s="20"/>
      <c r="AF522" s="10"/>
      <c r="AG522" s="21" t="n">
        <f aca="false">IF(OR(AE522="",AE522=0),0,AE522*IF(U522="",0,IF(U522&gt;1,U522/100,U522)))</f>
        <v>0</v>
      </c>
      <c r="AH522" s="21" t="n">
        <f aca="false">IF(OR(AE522="",AE522=0),0,AE522*IF(X522="",0,IF(X522&gt;1,X522/100,X522)))</f>
        <v>0</v>
      </c>
      <c r="AI522" s="21" t="n">
        <f aca="false">IF(OR(AE522="",AE522=0),0,AE522*IF(AA522="",0,IF(AA522&gt;1,AA522/100,AA522)))</f>
        <v>0</v>
      </c>
      <c r="AJ522" s="21" t="n">
        <f aca="false">AG522+AH522+AI522</f>
        <v>0</v>
      </c>
      <c r="AK522" s="21" t="n">
        <f aca="false">IF(OR(AE522="",AE522=0),0,AE522-AJ522)</f>
        <v>0</v>
      </c>
      <c r="AL522" s="19" t="str">
        <f aca="false">IF(AD522="","",AD522-AK522)</f>
        <v/>
      </c>
      <c r="AM522" s="9" t="str">
        <f aca="false">IF(C522="","","Waiting for payment")</f>
        <v/>
      </c>
      <c r="AN522" s="10"/>
      <c r="AO522" s="10"/>
      <c r="AP522" s="22" t="str">
        <f aca="false">IF(OR(C522="",I522="",K522=""),"",IF(K522="Monthly",EDATE(C522,ROUND(I522*SETTINGS!$I$8,0)),WORKDAY(C522,ROUND(I522*SETTINGS!$I$8,0))))</f>
        <v/>
      </c>
      <c r="AQ522" s="9" t="str">
        <f aca="true">IF(C522="","",IF(AND(AP522&lt;&gt;"",TODAY()&gt;=AP522),"Refi Ready",IF(TODAY()-C522&gt;=SETTINGS!$I$11,"Prospecting","Performing")))</f>
        <v/>
      </c>
      <c r="AR522" s="22" t="str">
        <f aca="false">IF(OR(C522="",I522="",K522=""),"",IF(K522="Monthly",EDATE(C522,I522),WORKDAY(C522,I522)))</f>
        <v/>
      </c>
      <c r="AS522" s="11"/>
      <c r="AT522" s="23" t="str">
        <f aca="true">IF(C522="","",IF(AM522="Clawed Back","CLAWED",IF(TODAY()&lt;=C522+SETTINGS!$I$2,"⚠ AT RISK","SAFE")))</f>
        <v/>
      </c>
      <c r="AU522" s="11"/>
      <c r="AW522" s="24" t="n">
        <f aca="false">AW521+IF(AND(C522&lt;&gt;"",AO522&lt;&gt;"",OR('REP COMMISSION'!$B$3="",T522='REP COMMISSION'!$B$3,W522='REP COMMISSION'!$B$3,Z522='REP COMMISSION'!$B$3)),1,0)</f>
        <v>0</v>
      </c>
      <c r="AX522" s="24" t="n">
        <f aca="false">AX521+IF(AND(C522&lt;&gt;"",OR(F522="LOC - INITIAL",F522="CONSOLIDATION - UPFRONT COMM",F522="REVERSE - TOTAL FUNDING")),1,0)</f>
        <v>0</v>
      </c>
    </row>
    <row r="523" customFormat="false" ht="15" hidden="false" customHeight="false" outlineLevel="0" collapsed="false">
      <c r="A523" s="25" t="str">
        <f aca="false">IF(C523&lt;&gt;"","F27-"&amp;COUNT($C$4:C523),"")</f>
        <v/>
      </c>
      <c r="B523" s="26" t="str">
        <f aca="false">IF(OR(F523="LOC - INITIAL",F523="CONSOLIDATION - UPFRONT COMM",F523="REVERSE - TOTAL FUNDING"),A523,"")</f>
        <v/>
      </c>
      <c r="C523" s="27"/>
      <c r="D523" s="28"/>
      <c r="E523" s="28"/>
      <c r="F523" s="28"/>
      <c r="G523" s="29"/>
      <c r="H523" s="30"/>
      <c r="I523" s="28"/>
      <c r="J523" s="31" t="str">
        <f aca="false">IF(AND(G523&lt;&gt;"",H523&lt;&gt;""),G523*H523,"")</f>
        <v/>
      </c>
      <c r="K523" s="28"/>
      <c r="L523" s="32"/>
      <c r="M523" s="32"/>
      <c r="N523" s="31" t="n">
        <f aca="false">IF(OR(G523="",M523=""),0,IF(M523&gt;100,M523,G523*IF(M523&gt;1,M523/100,M523)))</f>
        <v>0</v>
      </c>
      <c r="O523" s="31" t="str">
        <f aca="false">IF(G523="","",G523*IF(L523="",0,IF(L523&gt;1,L523/100,L523))+N523)</f>
        <v/>
      </c>
      <c r="P523" s="28"/>
      <c r="Q523" s="33" t="str">
        <f aca="false">IF(P523="","",IFERROR(VLOOKUP(P523,PARTNERS!$A$2:$B$30,2,0),""))</f>
        <v/>
      </c>
      <c r="R523" s="17" t="str">
        <f aca="false">IF(O523="","",IF(OR(P523="",Q523=""),0,(O523-N523)*IF(Q523&gt;1,Q523/100,Q523)))</f>
        <v/>
      </c>
      <c r="S523" s="31" t="str">
        <f aca="false">IF(O523="","",O523-R523)</f>
        <v/>
      </c>
      <c r="T523" s="28"/>
      <c r="U523" s="34" t="str">
        <f aca="false">IF(T523="","",IFERROR(VLOOKUP(T523,REPS!$A$2:$D$40,2,0),""))</f>
        <v/>
      </c>
      <c r="V523" s="31" t="str">
        <f aca="false">IF(O523="","",IF(U523="",0,O523*IF(U523&gt;1,U523/100,U523)))</f>
        <v/>
      </c>
      <c r="W523" s="28"/>
      <c r="X523" s="34" t="str">
        <f aca="false">IF(W523="","",IFERROR(VLOOKUP(W523,REPS!$A$2:$D$40,3,0),""))</f>
        <v/>
      </c>
      <c r="Y523" s="31" t="str">
        <f aca="false">IF(O523="","",IF(X523="",0,O523*IF(X523&gt;1,X523/100,X523)))</f>
        <v/>
      </c>
      <c r="Z523" s="28"/>
      <c r="AA523" s="34" t="str">
        <f aca="false">IF(Z523="","",IFERROR(VLOOKUP(Z523,REPS!$A$2:$D$40,4,0),""))</f>
        <v/>
      </c>
      <c r="AB523" s="31" t="str">
        <f aca="false">IF(O523="","",IF(AA523="",0,O523*IF(AA523&gt;1,AA523/100,AA523)))</f>
        <v/>
      </c>
      <c r="AC523" s="31" t="str">
        <f aca="false">IF(O523="","",V523+Y523+AB523)</f>
        <v/>
      </c>
      <c r="AD523" s="19" t="str">
        <f aca="false">IF(O523="","",O523-R523-AC523)</f>
        <v/>
      </c>
      <c r="AE523" s="20"/>
      <c r="AF523" s="27"/>
      <c r="AG523" s="21" t="n">
        <f aca="false">IF(OR(AE523="",AE523=0),0,AE523*IF(U523="",0,IF(U523&gt;1,U523/100,U523)))</f>
        <v>0</v>
      </c>
      <c r="AH523" s="21" t="n">
        <f aca="false">IF(OR(AE523="",AE523=0),0,AE523*IF(X523="",0,IF(X523&gt;1,X523/100,X523)))</f>
        <v>0</v>
      </c>
      <c r="AI523" s="21" t="n">
        <f aca="false">IF(OR(AE523="",AE523=0),0,AE523*IF(AA523="",0,IF(AA523&gt;1,AA523/100,AA523)))</f>
        <v>0</v>
      </c>
      <c r="AJ523" s="21" t="n">
        <f aca="false">AG523+AH523+AI523</f>
        <v>0</v>
      </c>
      <c r="AK523" s="21" t="n">
        <f aca="false">IF(OR(AE523="",AE523=0),0,AE523-AJ523)</f>
        <v>0</v>
      </c>
      <c r="AL523" s="19" t="str">
        <f aca="false">IF(AD523="","",AD523-AK523)</f>
        <v/>
      </c>
      <c r="AM523" s="26" t="str">
        <f aca="false">IF(C523="","","Waiting for payment")</f>
        <v/>
      </c>
      <c r="AN523" s="27"/>
      <c r="AO523" s="27"/>
      <c r="AP523" s="35" t="str">
        <f aca="false">IF(OR(C523="",I523="",K523=""),"",IF(K523="Monthly",EDATE(C523,ROUND(I523*SETTINGS!$I$8,0)),WORKDAY(C523,ROUND(I523*SETTINGS!$I$8,0))))</f>
        <v/>
      </c>
      <c r="AQ523" s="26" t="str">
        <f aca="true">IF(C523="","",IF(AND(AP523&lt;&gt;"",TODAY()&gt;=AP523),"Refi Ready",IF(TODAY()-C523&gt;=SETTINGS!$I$11,"Prospecting","Performing")))</f>
        <v/>
      </c>
      <c r="AR523" s="35" t="str">
        <f aca="false">IF(OR(C523="",I523="",K523=""),"",IF(K523="Monthly",EDATE(C523,I523),WORKDAY(C523,I523)))</f>
        <v/>
      </c>
      <c r="AS523" s="28"/>
      <c r="AT523" s="36" t="str">
        <f aca="true">IF(C523="","",IF(AM523="Clawed Back","CLAWED",IF(TODAY()&lt;=C523+SETTINGS!$I$2,"⚠ AT RISK","SAFE")))</f>
        <v/>
      </c>
      <c r="AU523" s="28"/>
      <c r="AW523" s="24" t="n">
        <f aca="false">AW522+IF(AND(C523&lt;&gt;"",AO523&lt;&gt;"",OR('REP COMMISSION'!$B$3="",T523='REP COMMISSION'!$B$3,W523='REP COMMISSION'!$B$3,Z523='REP COMMISSION'!$B$3)),1,0)</f>
        <v>0</v>
      </c>
      <c r="AX523" s="24" t="n">
        <f aca="false">AX522+IF(AND(C523&lt;&gt;"",OR(F523="LOC - INITIAL",F523="CONSOLIDATION - UPFRONT COMM",F523="REVERSE - TOTAL FUNDING")),1,0)</f>
        <v>0</v>
      </c>
    </row>
    <row r="524" customFormat="false" ht="15" hidden="false" customHeight="false" outlineLevel="0" collapsed="false">
      <c r="A524" s="8" t="str">
        <f aca="false">IF(C524&lt;&gt;"","F27-"&amp;COUNT($C$4:C524),"")</f>
        <v/>
      </c>
      <c r="B524" s="9" t="str">
        <f aca="false">IF(OR(F524="LOC - INITIAL",F524="CONSOLIDATION - UPFRONT COMM",F524="REVERSE - TOTAL FUNDING"),A524,"")</f>
        <v/>
      </c>
      <c r="C524" s="10"/>
      <c r="D524" s="11"/>
      <c r="E524" s="11"/>
      <c r="F524" s="11"/>
      <c r="G524" s="12"/>
      <c r="H524" s="13"/>
      <c r="I524" s="11"/>
      <c r="J524" s="14" t="str">
        <f aca="false">IF(AND(G524&lt;&gt;"",H524&lt;&gt;""),G524*H524,"")</f>
        <v/>
      </c>
      <c r="K524" s="11"/>
      <c r="L524" s="15"/>
      <c r="M524" s="15"/>
      <c r="N524" s="14" t="n">
        <f aca="false">IF(OR(G524="",M524=""),0,IF(M524&gt;100,M524,G524*IF(M524&gt;1,M524/100,M524)))</f>
        <v>0</v>
      </c>
      <c r="O524" s="14" t="str">
        <f aca="false">IF(G524="","",G524*IF(L524="",0,IF(L524&gt;1,L524/100,L524))+N524)</f>
        <v/>
      </c>
      <c r="P524" s="11"/>
      <c r="Q524" s="16" t="str">
        <f aca="false">IF(P524="","",IFERROR(VLOOKUP(P524,PARTNERS!$A$2:$B$30,2,0),""))</f>
        <v/>
      </c>
      <c r="R524" s="17" t="str">
        <f aca="false">IF(O524="","",IF(OR(P524="",Q524=""),0,(O524-N524)*IF(Q524&gt;1,Q524/100,Q524)))</f>
        <v/>
      </c>
      <c r="S524" s="14" t="str">
        <f aca="false">IF(O524="","",O524-R524)</f>
        <v/>
      </c>
      <c r="T524" s="11"/>
      <c r="U524" s="18" t="str">
        <f aca="false">IF(T524="","",IFERROR(VLOOKUP(T524,REPS!$A$2:$D$40,2,0),""))</f>
        <v/>
      </c>
      <c r="V524" s="14" t="str">
        <f aca="false">IF(O524="","",IF(U524="",0,O524*IF(U524&gt;1,U524/100,U524)))</f>
        <v/>
      </c>
      <c r="W524" s="11"/>
      <c r="X524" s="18" t="str">
        <f aca="false">IF(W524="","",IFERROR(VLOOKUP(W524,REPS!$A$2:$D$40,3,0),""))</f>
        <v/>
      </c>
      <c r="Y524" s="14" t="str">
        <f aca="false">IF(O524="","",IF(X524="",0,O524*IF(X524&gt;1,X524/100,X524)))</f>
        <v/>
      </c>
      <c r="Z524" s="11"/>
      <c r="AA524" s="18" t="str">
        <f aca="false">IF(Z524="","",IFERROR(VLOOKUP(Z524,REPS!$A$2:$D$40,4,0),""))</f>
        <v/>
      </c>
      <c r="AB524" s="14" t="str">
        <f aca="false">IF(O524="","",IF(AA524="",0,O524*IF(AA524&gt;1,AA524/100,AA524)))</f>
        <v/>
      </c>
      <c r="AC524" s="14" t="str">
        <f aca="false">IF(O524="","",V524+Y524+AB524)</f>
        <v/>
      </c>
      <c r="AD524" s="19" t="str">
        <f aca="false">IF(O524="","",O524-R524-AC524)</f>
        <v/>
      </c>
      <c r="AE524" s="20"/>
      <c r="AF524" s="10"/>
      <c r="AG524" s="21" t="n">
        <f aca="false">IF(OR(AE524="",AE524=0),0,AE524*IF(U524="",0,IF(U524&gt;1,U524/100,U524)))</f>
        <v>0</v>
      </c>
      <c r="AH524" s="21" t="n">
        <f aca="false">IF(OR(AE524="",AE524=0),0,AE524*IF(X524="",0,IF(X524&gt;1,X524/100,X524)))</f>
        <v>0</v>
      </c>
      <c r="AI524" s="21" t="n">
        <f aca="false">IF(OR(AE524="",AE524=0),0,AE524*IF(AA524="",0,IF(AA524&gt;1,AA524/100,AA524)))</f>
        <v>0</v>
      </c>
      <c r="AJ524" s="21" t="n">
        <f aca="false">AG524+AH524+AI524</f>
        <v>0</v>
      </c>
      <c r="AK524" s="21" t="n">
        <f aca="false">IF(OR(AE524="",AE524=0),0,AE524-AJ524)</f>
        <v>0</v>
      </c>
      <c r="AL524" s="19" t="str">
        <f aca="false">IF(AD524="","",AD524-AK524)</f>
        <v/>
      </c>
      <c r="AM524" s="9" t="str">
        <f aca="false">IF(C524="","","Waiting for payment")</f>
        <v/>
      </c>
      <c r="AN524" s="10"/>
      <c r="AO524" s="10"/>
      <c r="AP524" s="22" t="str">
        <f aca="false">IF(OR(C524="",I524="",K524=""),"",IF(K524="Monthly",EDATE(C524,ROUND(I524*SETTINGS!$I$8,0)),WORKDAY(C524,ROUND(I524*SETTINGS!$I$8,0))))</f>
        <v/>
      </c>
      <c r="AQ524" s="9" t="str">
        <f aca="true">IF(C524="","",IF(AND(AP524&lt;&gt;"",TODAY()&gt;=AP524),"Refi Ready",IF(TODAY()-C524&gt;=SETTINGS!$I$11,"Prospecting","Performing")))</f>
        <v/>
      </c>
      <c r="AR524" s="22" t="str">
        <f aca="false">IF(OR(C524="",I524="",K524=""),"",IF(K524="Monthly",EDATE(C524,I524),WORKDAY(C524,I524)))</f>
        <v/>
      </c>
      <c r="AS524" s="11"/>
      <c r="AT524" s="23" t="str">
        <f aca="true">IF(C524="","",IF(AM524="Clawed Back","CLAWED",IF(TODAY()&lt;=C524+SETTINGS!$I$2,"⚠ AT RISK","SAFE")))</f>
        <v/>
      </c>
      <c r="AU524" s="11"/>
      <c r="AW524" s="24" t="n">
        <f aca="false">AW523+IF(AND(C524&lt;&gt;"",AO524&lt;&gt;"",OR('REP COMMISSION'!$B$3="",T524='REP COMMISSION'!$B$3,W524='REP COMMISSION'!$B$3,Z524='REP COMMISSION'!$B$3)),1,0)</f>
        <v>0</v>
      </c>
      <c r="AX524" s="24" t="n">
        <f aca="false">AX523+IF(AND(C524&lt;&gt;"",OR(F524="LOC - INITIAL",F524="CONSOLIDATION - UPFRONT COMM",F524="REVERSE - TOTAL FUNDING")),1,0)</f>
        <v>0</v>
      </c>
    </row>
    <row r="525" customFormat="false" ht="15" hidden="false" customHeight="false" outlineLevel="0" collapsed="false">
      <c r="A525" s="25" t="str">
        <f aca="false">IF(C525&lt;&gt;"","F27-"&amp;COUNT($C$4:C525),"")</f>
        <v/>
      </c>
      <c r="B525" s="26" t="str">
        <f aca="false">IF(OR(F525="LOC - INITIAL",F525="CONSOLIDATION - UPFRONT COMM",F525="REVERSE - TOTAL FUNDING"),A525,"")</f>
        <v/>
      </c>
      <c r="C525" s="27"/>
      <c r="D525" s="28"/>
      <c r="E525" s="28"/>
      <c r="F525" s="28"/>
      <c r="G525" s="29"/>
      <c r="H525" s="30"/>
      <c r="I525" s="28"/>
      <c r="J525" s="31" t="str">
        <f aca="false">IF(AND(G525&lt;&gt;"",H525&lt;&gt;""),G525*H525,"")</f>
        <v/>
      </c>
      <c r="K525" s="28"/>
      <c r="L525" s="32"/>
      <c r="M525" s="32"/>
      <c r="N525" s="31" t="n">
        <f aca="false">IF(OR(G525="",M525=""),0,IF(M525&gt;100,M525,G525*IF(M525&gt;1,M525/100,M525)))</f>
        <v>0</v>
      </c>
      <c r="O525" s="31" t="str">
        <f aca="false">IF(G525="","",G525*IF(L525="",0,IF(L525&gt;1,L525/100,L525))+N525)</f>
        <v/>
      </c>
      <c r="P525" s="28"/>
      <c r="Q525" s="33" t="str">
        <f aca="false">IF(P525="","",IFERROR(VLOOKUP(P525,PARTNERS!$A$2:$B$30,2,0),""))</f>
        <v/>
      </c>
      <c r="R525" s="17" t="str">
        <f aca="false">IF(O525="","",IF(OR(P525="",Q525=""),0,(O525-N525)*IF(Q525&gt;1,Q525/100,Q525)))</f>
        <v/>
      </c>
      <c r="S525" s="31" t="str">
        <f aca="false">IF(O525="","",O525-R525)</f>
        <v/>
      </c>
      <c r="T525" s="28"/>
      <c r="U525" s="34" t="str">
        <f aca="false">IF(T525="","",IFERROR(VLOOKUP(T525,REPS!$A$2:$D$40,2,0),""))</f>
        <v/>
      </c>
      <c r="V525" s="31" t="str">
        <f aca="false">IF(O525="","",IF(U525="",0,O525*IF(U525&gt;1,U525/100,U525)))</f>
        <v/>
      </c>
      <c r="W525" s="28"/>
      <c r="X525" s="34" t="str">
        <f aca="false">IF(W525="","",IFERROR(VLOOKUP(W525,REPS!$A$2:$D$40,3,0),""))</f>
        <v/>
      </c>
      <c r="Y525" s="31" t="str">
        <f aca="false">IF(O525="","",IF(X525="",0,O525*IF(X525&gt;1,X525/100,X525)))</f>
        <v/>
      </c>
      <c r="Z525" s="28"/>
      <c r="AA525" s="34" t="str">
        <f aca="false">IF(Z525="","",IFERROR(VLOOKUP(Z525,REPS!$A$2:$D$40,4,0),""))</f>
        <v/>
      </c>
      <c r="AB525" s="31" t="str">
        <f aca="false">IF(O525="","",IF(AA525="",0,O525*IF(AA525&gt;1,AA525/100,AA525)))</f>
        <v/>
      </c>
      <c r="AC525" s="31" t="str">
        <f aca="false">IF(O525="","",V525+Y525+AB525)</f>
        <v/>
      </c>
      <c r="AD525" s="19" t="str">
        <f aca="false">IF(O525="","",O525-R525-AC525)</f>
        <v/>
      </c>
      <c r="AE525" s="20"/>
      <c r="AF525" s="27"/>
      <c r="AG525" s="21" t="n">
        <f aca="false">IF(OR(AE525="",AE525=0),0,AE525*IF(U525="",0,IF(U525&gt;1,U525/100,U525)))</f>
        <v>0</v>
      </c>
      <c r="AH525" s="21" t="n">
        <f aca="false">IF(OR(AE525="",AE525=0),0,AE525*IF(X525="",0,IF(X525&gt;1,X525/100,X525)))</f>
        <v>0</v>
      </c>
      <c r="AI525" s="21" t="n">
        <f aca="false">IF(OR(AE525="",AE525=0),0,AE525*IF(AA525="",0,IF(AA525&gt;1,AA525/100,AA525)))</f>
        <v>0</v>
      </c>
      <c r="AJ525" s="21" t="n">
        <f aca="false">AG525+AH525+AI525</f>
        <v>0</v>
      </c>
      <c r="AK525" s="21" t="n">
        <f aca="false">IF(OR(AE525="",AE525=0),0,AE525-AJ525)</f>
        <v>0</v>
      </c>
      <c r="AL525" s="19" t="str">
        <f aca="false">IF(AD525="","",AD525-AK525)</f>
        <v/>
      </c>
      <c r="AM525" s="26" t="str">
        <f aca="false">IF(C525="","","Waiting for payment")</f>
        <v/>
      </c>
      <c r="AN525" s="27"/>
      <c r="AO525" s="27"/>
      <c r="AP525" s="35" t="str">
        <f aca="false">IF(OR(C525="",I525="",K525=""),"",IF(K525="Monthly",EDATE(C525,ROUND(I525*SETTINGS!$I$8,0)),WORKDAY(C525,ROUND(I525*SETTINGS!$I$8,0))))</f>
        <v/>
      </c>
      <c r="AQ525" s="26" t="str">
        <f aca="true">IF(C525="","",IF(AND(AP525&lt;&gt;"",TODAY()&gt;=AP525),"Refi Ready",IF(TODAY()-C525&gt;=SETTINGS!$I$11,"Prospecting","Performing")))</f>
        <v/>
      </c>
      <c r="AR525" s="35" t="str">
        <f aca="false">IF(OR(C525="",I525="",K525=""),"",IF(K525="Monthly",EDATE(C525,I525),WORKDAY(C525,I525)))</f>
        <v/>
      </c>
      <c r="AS525" s="28"/>
      <c r="AT525" s="36" t="str">
        <f aca="true">IF(C525="","",IF(AM525="Clawed Back","CLAWED",IF(TODAY()&lt;=C525+SETTINGS!$I$2,"⚠ AT RISK","SAFE")))</f>
        <v/>
      </c>
      <c r="AU525" s="28"/>
      <c r="AW525" s="24" t="n">
        <f aca="false">AW524+IF(AND(C525&lt;&gt;"",AO525&lt;&gt;"",OR('REP COMMISSION'!$B$3="",T525='REP COMMISSION'!$B$3,W525='REP COMMISSION'!$B$3,Z525='REP COMMISSION'!$B$3)),1,0)</f>
        <v>0</v>
      </c>
      <c r="AX525" s="24" t="n">
        <f aca="false">AX524+IF(AND(C525&lt;&gt;"",OR(F525="LOC - INITIAL",F525="CONSOLIDATION - UPFRONT COMM",F525="REVERSE - TOTAL FUNDING")),1,0)</f>
        <v>0</v>
      </c>
    </row>
    <row r="526" customFormat="false" ht="15" hidden="false" customHeight="false" outlineLevel="0" collapsed="false">
      <c r="A526" s="8" t="str">
        <f aca="false">IF(C526&lt;&gt;"","F27-"&amp;COUNT($C$4:C526),"")</f>
        <v/>
      </c>
      <c r="B526" s="9" t="str">
        <f aca="false">IF(OR(F526="LOC - INITIAL",F526="CONSOLIDATION - UPFRONT COMM",F526="REVERSE - TOTAL FUNDING"),A526,"")</f>
        <v/>
      </c>
      <c r="C526" s="10"/>
      <c r="D526" s="11"/>
      <c r="E526" s="11"/>
      <c r="F526" s="11"/>
      <c r="G526" s="12"/>
      <c r="H526" s="13"/>
      <c r="I526" s="11"/>
      <c r="J526" s="14" t="str">
        <f aca="false">IF(AND(G526&lt;&gt;"",H526&lt;&gt;""),G526*H526,"")</f>
        <v/>
      </c>
      <c r="K526" s="11"/>
      <c r="L526" s="15"/>
      <c r="M526" s="15"/>
      <c r="N526" s="14" t="n">
        <f aca="false">IF(OR(G526="",M526=""),0,IF(M526&gt;100,M526,G526*IF(M526&gt;1,M526/100,M526)))</f>
        <v>0</v>
      </c>
      <c r="O526" s="14" t="str">
        <f aca="false">IF(G526="","",G526*IF(L526="",0,IF(L526&gt;1,L526/100,L526))+N526)</f>
        <v/>
      </c>
      <c r="P526" s="11"/>
      <c r="Q526" s="16" t="str">
        <f aca="false">IF(P526="","",IFERROR(VLOOKUP(P526,PARTNERS!$A$2:$B$30,2,0),""))</f>
        <v/>
      </c>
      <c r="R526" s="17" t="str">
        <f aca="false">IF(O526="","",IF(OR(P526="",Q526=""),0,(O526-N526)*IF(Q526&gt;1,Q526/100,Q526)))</f>
        <v/>
      </c>
      <c r="S526" s="14" t="str">
        <f aca="false">IF(O526="","",O526-R526)</f>
        <v/>
      </c>
      <c r="T526" s="11"/>
      <c r="U526" s="18" t="str">
        <f aca="false">IF(T526="","",IFERROR(VLOOKUP(T526,REPS!$A$2:$D$40,2,0),""))</f>
        <v/>
      </c>
      <c r="V526" s="14" t="str">
        <f aca="false">IF(O526="","",IF(U526="",0,O526*IF(U526&gt;1,U526/100,U526)))</f>
        <v/>
      </c>
      <c r="W526" s="11"/>
      <c r="X526" s="18" t="str">
        <f aca="false">IF(W526="","",IFERROR(VLOOKUP(W526,REPS!$A$2:$D$40,3,0),""))</f>
        <v/>
      </c>
      <c r="Y526" s="14" t="str">
        <f aca="false">IF(O526="","",IF(X526="",0,O526*IF(X526&gt;1,X526/100,X526)))</f>
        <v/>
      </c>
      <c r="Z526" s="11"/>
      <c r="AA526" s="18" t="str">
        <f aca="false">IF(Z526="","",IFERROR(VLOOKUP(Z526,REPS!$A$2:$D$40,4,0),""))</f>
        <v/>
      </c>
      <c r="AB526" s="14" t="str">
        <f aca="false">IF(O526="","",IF(AA526="",0,O526*IF(AA526&gt;1,AA526/100,AA526)))</f>
        <v/>
      </c>
      <c r="AC526" s="14" t="str">
        <f aca="false">IF(O526="","",V526+Y526+AB526)</f>
        <v/>
      </c>
      <c r="AD526" s="19" t="str">
        <f aca="false">IF(O526="","",O526-R526-AC526)</f>
        <v/>
      </c>
      <c r="AE526" s="20"/>
      <c r="AF526" s="10"/>
      <c r="AG526" s="21" t="n">
        <f aca="false">IF(OR(AE526="",AE526=0),0,AE526*IF(U526="",0,IF(U526&gt;1,U526/100,U526)))</f>
        <v>0</v>
      </c>
      <c r="AH526" s="21" t="n">
        <f aca="false">IF(OR(AE526="",AE526=0),0,AE526*IF(X526="",0,IF(X526&gt;1,X526/100,X526)))</f>
        <v>0</v>
      </c>
      <c r="AI526" s="21" t="n">
        <f aca="false">IF(OR(AE526="",AE526=0),0,AE526*IF(AA526="",0,IF(AA526&gt;1,AA526/100,AA526)))</f>
        <v>0</v>
      </c>
      <c r="AJ526" s="21" t="n">
        <f aca="false">AG526+AH526+AI526</f>
        <v>0</v>
      </c>
      <c r="AK526" s="21" t="n">
        <f aca="false">IF(OR(AE526="",AE526=0),0,AE526-AJ526)</f>
        <v>0</v>
      </c>
      <c r="AL526" s="19" t="str">
        <f aca="false">IF(AD526="","",AD526-AK526)</f>
        <v/>
      </c>
      <c r="AM526" s="9" t="str">
        <f aca="false">IF(C526="","","Waiting for payment")</f>
        <v/>
      </c>
      <c r="AN526" s="10"/>
      <c r="AO526" s="10"/>
      <c r="AP526" s="22" t="str">
        <f aca="false">IF(OR(C526="",I526="",K526=""),"",IF(K526="Monthly",EDATE(C526,ROUND(I526*SETTINGS!$I$8,0)),WORKDAY(C526,ROUND(I526*SETTINGS!$I$8,0))))</f>
        <v/>
      </c>
      <c r="AQ526" s="9" t="str">
        <f aca="true">IF(C526="","",IF(AND(AP526&lt;&gt;"",TODAY()&gt;=AP526),"Refi Ready",IF(TODAY()-C526&gt;=SETTINGS!$I$11,"Prospecting","Performing")))</f>
        <v/>
      </c>
      <c r="AR526" s="22" t="str">
        <f aca="false">IF(OR(C526="",I526="",K526=""),"",IF(K526="Monthly",EDATE(C526,I526),WORKDAY(C526,I526)))</f>
        <v/>
      </c>
      <c r="AS526" s="11"/>
      <c r="AT526" s="23" t="str">
        <f aca="true">IF(C526="","",IF(AM526="Clawed Back","CLAWED",IF(TODAY()&lt;=C526+SETTINGS!$I$2,"⚠ AT RISK","SAFE")))</f>
        <v/>
      </c>
      <c r="AU526" s="11"/>
      <c r="AW526" s="24" t="n">
        <f aca="false">AW525+IF(AND(C526&lt;&gt;"",AO526&lt;&gt;"",OR('REP COMMISSION'!$B$3="",T526='REP COMMISSION'!$B$3,W526='REP COMMISSION'!$B$3,Z526='REP COMMISSION'!$B$3)),1,0)</f>
        <v>0</v>
      </c>
      <c r="AX526" s="24" t="n">
        <f aca="false">AX525+IF(AND(C526&lt;&gt;"",OR(F526="LOC - INITIAL",F526="CONSOLIDATION - UPFRONT COMM",F526="REVERSE - TOTAL FUNDING")),1,0)</f>
        <v>0</v>
      </c>
    </row>
    <row r="527" customFormat="false" ht="15" hidden="false" customHeight="false" outlineLevel="0" collapsed="false">
      <c r="A527" s="25" t="str">
        <f aca="false">IF(C527&lt;&gt;"","F27-"&amp;COUNT($C$4:C527),"")</f>
        <v/>
      </c>
      <c r="B527" s="26" t="str">
        <f aca="false">IF(OR(F527="LOC - INITIAL",F527="CONSOLIDATION - UPFRONT COMM",F527="REVERSE - TOTAL FUNDING"),A527,"")</f>
        <v/>
      </c>
      <c r="C527" s="27"/>
      <c r="D527" s="28"/>
      <c r="E527" s="28"/>
      <c r="F527" s="28"/>
      <c r="G527" s="29"/>
      <c r="H527" s="30"/>
      <c r="I527" s="28"/>
      <c r="J527" s="31" t="str">
        <f aca="false">IF(AND(G527&lt;&gt;"",H527&lt;&gt;""),G527*H527,"")</f>
        <v/>
      </c>
      <c r="K527" s="28"/>
      <c r="L527" s="32"/>
      <c r="M527" s="32"/>
      <c r="N527" s="31" t="n">
        <f aca="false">IF(OR(G527="",M527=""),0,IF(M527&gt;100,M527,G527*IF(M527&gt;1,M527/100,M527)))</f>
        <v>0</v>
      </c>
      <c r="O527" s="31" t="str">
        <f aca="false">IF(G527="","",G527*IF(L527="",0,IF(L527&gt;1,L527/100,L527))+N527)</f>
        <v/>
      </c>
      <c r="P527" s="28"/>
      <c r="Q527" s="33" t="str">
        <f aca="false">IF(P527="","",IFERROR(VLOOKUP(P527,PARTNERS!$A$2:$B$30,2,0),""))</f>
        <v/>
      </c>
      <c r="R527" s="17" t="str">
        <f aca="false">IF(O527="","",IF(OR(P527="",Q527=""),0,(O527-N527)*IF(Q527&gt;1,Q527/100,Q527)))</f>
        <v/>
      </c>
      <c r="S527" s="31" t="str">
        <f aca="false">IF(O527="","",O527-R527)</f>
        <v/>
      </c>
      <c r="T527" s="28"/>
      <c r="U527" s="34" t="str">
        <f aca="false">IF(T527="","",IFERROR(VLOOKUP(T527,REPS!$A$2:$D$40,2,0),""))</f>
        <v/>
      </c>
      <c r="V527" s="31" t="str">
        <f aca="false">IF(O527="","",IF(U527="",0,O527*IF(U527&gt;1,U527/100,U527)))</f>
        <v/>
      </c>
      <c r="W527" s="28"/>
      <c r="X527" s="34" t="str">
        <f aca="false">IF(W527="","",IFERROR(VLOOKUP(W527,REPS!$A$2:$D$40,3,0),""))</f>
        <v/>
      </c>
      <c r="Y527" s="31" t="str">
        <f aca="false">IF(O527="","",IF(X527="",0,O527*IF(X527&gt;1,X527/100,X527)))</f>
        <v/>
      </c>
      <c r="Z527" s="28"/>
      <c r="AA527" s="34" t="str">
        <f aca="false">IF(Z527="","",IFERROR(VLOOKUP(Z527,REPS!$A$2:$D$40,4,0),""))</f>
        <v/>
      </c>
      <c r="AB527" s="31" t="str">
        <f aca="false">IF(O527="","",IF(AA527="",0,O527*IF(AA527&gt;1,AA527/100,AA527)))</f>
        <v/>
      </c>
      <c r="AC527" s="31" t="str">
        <f aca="false">IF(O527="","",V527+Y527+AB527)</f>
        <v/>
      </c>
      <c r="AD527" s="19" t="str">
        <f aca="false">IF(O527="","",O527-R527-AC527)</f>
        <v/>
      </c>
      <c r="AE527" s="20"/>
      <c r="AF527" s="27"/>
      <c r="AG527" s="21" t="n">
        <f aca="false">IF(OR(AE527="",AE527=0),0,AE527*IF(U527="",0,IF(U527&gt;1,U527/100,U527)))</f>
        <v>0</v>
      </c>
      <c r="AH527" s="21" t="n">
        <f aca="false">IF(OR(AE527="",AE527=0),0,AE527*IF(X527="",0,IF(X527&gt;1,X527/100,X527)))</f>
        <v>0</v>
      </c>
      <c r="AI527" s="21" t="n">
        <f aca="false">IF(OR(AE527="",AE527=0),0,AE527*IF(AA527="",0,IF(AA527&gt;1,AA527/100,AA527)))</f>
        <v>0</v>
      </c>
      <c r="AJ527" s="21" t="n">
        <f aca="false">AG527+AH527+AI527</f>
        <v>0</v>
      </c>
      <c r="AK527" s="21" t="n">
        <f aca="false">IF(OR(AE527="",AE527=0),0,AE527-AJ527)</f>
        <v>0</v>
      </c>
      <c r="AL527" s="19" t="str">
        <f aca="false">IF(AD527="","",AD527-AK527)</f>
        <v/>
      </c>
      <c r="AM527" s="26" t="str">
        <f aca="false">IF(C527="","","Waiting for payment")</f>
        <v/>
      </c>
      <c r="AN527" s="27"/>
      <c r="AO527" s="27"/>
      <c r="AP527" s="35" t="str">
        <f aca="false">IF(OR(C527="",I527="",K527=""),"",IF(K527="Monthly",EDATE(C527,ROUND(I527*SETTINGS!$I$8,0)),WORKDAY(C527,ROUND(I527*SETTINGS!$I$8,0))))</f>
        <v/>
      </c>
      <c r="AQ527" s="26" t="str">
        <f aca="true">IF(C527="","",IF(AND(AP527&lt;&gt;"",TODAY()&gt;=AP527),"Refi Ready",IF(TODAY()-C527&gt;=SETTINGS!$I$11,"Prospecting","Performing")))</f>
        <v/>
      </c>
      <c r="AR527" s="35" t="str">
        <f aca="false">IF(OR(C527="",I527="",K527=""),"",IF(K527="Monthly",EDATE(C527,I527),WORKDAY(C527,I527)))</f>
        <v/>
      </c>
      <c r="AS527" s="28"/>
      <c r="AT527" s="36" t="str">
        <f aca="true">IF(C527="","",IF(AM527="Clawed Back","CLAWED",IF(TODAY()&lt;=C527+SETTINGS!$I$2,"⚠ AT RISK","SAFE")))</f>
        <v/>
      </c>
      <c r="AU527" s="28"/>
      <c r="AW527" s="24" t="n">
        <f aca="false">AW526+IF(AND(C527&lt;&gt;"",AO527&lt;&gt;"",OR('REP COMMISSION'!$B$3="",T527='REP COMMISSION'!$B$3,W527='REP COMMISSION'!$B$3,Z527='REP COMMISSION'!$B$3)),1,0)</f>
        <v>0</v>
      </c>
      <c r="AX527" s="24" t="n">
        <f aca="false">AX526+IF(AND(C527&lt;&gt;"",OR(F527="LOC - INITIAL",F527="CONSOLIDATION - UPFRONT COMM",F527="REVERSE - TOTAL FUNDING")),1,0)</f>
        <v>0</v>
      </c>
    </row>
    <row r="528" customFormat="false" ht="15" hidden="false" customHeight="false" outlineLevel="0" collapsed="false">
      <c r="A528" s="8" t="str">
        <f aca="false">IF(C528&lt;&gt;"","F27-"&amp;COUNT($C$4:C528),"")</f>
        <v/>
      </c>
      <c r="B528" s="9" t="str">
        <f aca="false">IF(OR(F528="LOC - INITIAL",F528="CONSOLIDATION - UPFRONT COMM",F528="REVERSE - TOTAL FUNDING"),A528,"")</f>
        <v/>
      </c>
      <c r="C528" s="10"/>
      <c r="D528" s="11"/>
      <c r="E528" s="11"/>
      <c r="F528" s="11"/>
      <c r="G528" s="12"/>
      <c r="H528" s="13"/>
      <c r="I528" s="11"/>
      <c r="J528" s="14" t="str">
        <f aca="false">IF(AND(G528&lt;&gt;"",H528&lt;&gt;""),G528*H528,"")</f>
        <v/>
      </c>
      <c r="K528" s="11"/>
      <c r="L528" s="15"/>
      <c r="M528" s="15"/>
      <c r="N528" s="14" t="n">
        <f aca="false">IF(OR(G528="",M528=""),0,IF(M528&gt;100,M528,G528*IF(M528&gt;1,M528/100,M528)))</f>
        <v>0</v>
      </c>
      <c r="O528" s="14" t="str">
        <f aca="false">IF(G528="","",G528*IF(L528="",0,IF(L528&gt;1,L528/100,L528))+N528)</f>
        <v/>
      </c>
      <c r="P528" s="11"/>
      <c r="Q528" s="16" t="str">
        <f aca="false">IF(P528="","",IFERROR(VLOOKUP(P528,PARTNERS!$A$2:$B$30,2,0),""))</f>
        <v/>
      </c>
      <c r="R528" s="17" t="str">
        <f aca="false">IF(O528="","",IF(OR(P528="",Q528=""),0,(O528-N528)*IF(Q528&gt;1,Q528/100,Q528)))</f>
        <v/>
      </c>
      <c r="S528" s="14" t="str">
        <f aca="false">IF(O528="","",O528-R528)</f>
        <v/>
      </c>
      <c r="T528" s="11"/>
      <c r="U528" s="18" t="str">
        <f aca="false">IF(T528="","",IFERROR(VLOOKUP(T528,REPS!$A$2:$D$40,2,0),""))</f>
        <v/>
      </c>
      <c r="V528" s="14" t="str">
        <f aca="false">IF(O528="","",IF(U528="",0,O528*IF(U528&gt;1,U528/100,U528)))</f>
        <v/>
      </c>
      <c r="W528" s="11"/>
      <c r="X528" s="18" t="str">
        <f aca="false">IF(W528="","",IFERROR(VLOOKUP(W528,REPS!$A$2:$D$40,3,0),""))</f>
        <v/>
      </c>
      <c r="Y528" s="14" t="str">
        <f aca="false">IF(O528="","",IF(X528="",0,O528*IF(X528&gt;1,X528/100,X528)))</f>
        <v/>
      </c>
      <c r="Z528" s="11"/>
      <c r="AA528" s="18" t="str">
        <f aca="false">IF(Z528="","",IFERROR(VLOOKUP(Z528,REPS!$A$2:$D$40,4,0),""))</f>
        <v/>
      </c>
      <c r="AB528" s="14" t="str">
        <f aca="false">IF(O528="","",IF(AA528="",0,O528*IF(AA528&gt;1,AA528/100,AA528)))</f>
        <v/>
      </c>
      <c r="AC528" s="14" t="str">
        <f aca="false">IF(O528="","",V528+Y528+AB528)</f>
        <v/>
      </c>
      <c r="AD528" s="19" t="str">
        <f aca="false">IF(O528="","",O528-R528-AC528)</f>
        <v/>
      </c>
      <c r="AE528" s="20"/>
      <c r="AF528" s="10"/>
      <c r="AG528" s="21" t="n">
        <f aca="false">IF(OR(AE528="",AE528=0),0,AE528*IF(U528="",0,IF(U528&gt;1,U528/100,U528)))</f>
        <v>0</v>
      </c>
      <c r="AH528" s="21" t="n">
        <f aca="false">IF(OR(AE528="",AE528=0),0,AE528*IF(X528="",0,IF(X528&gt;1,X528/100,X528)))</f>
        <v>0</v>
      </c>
      <c r="AI528" s="21" t="n">
        <f aca="false">IF(OR(AE528="",AE528=0),0,AE528*IF(AA528="",0,IF(AA528&gt;1,AA528/100,AA528)))</f>
        <v>0</v>
      </c>
      <c r="AJ528" s="21" t="n">
        <f aca="false">AG528+AH528+AI528</f>
        <v>0</v>
      </c>
      <c r="AK528" s="21" t="n">
        <f aca="false">IF(OR(AE528="",AE528=0),0,AE528-AJ528)</f>
        <v>0</v>
      </c>
      <c r="AL528" s="19" t="str">
        <f aca="false">IF(AD528="","",AD528-AK528)</f>
        <v/>
      </c>
      <c r="AM528" s="9" t="str">
        <f aca="false">IF(C528="","","Waiting for payment")</f>
        <v/>
      </c>
      <c r="AN528" s="10"/>
      <c r="AO528" s="10"/>
      <c r="AP528" s="22" t="str">
        <f aca="false">IF(OR(C528="",I528="",K528=""),"",IF(K528="Monthly",EDATE(C528,ROUND(I528*SETTINGS!$I$8,0)),WORKDAY(C528,ROUND(I528*SETTINGS!$I$8,0))))</f>
        <v/>
      </c>
      <c r="AQ528" s="9" t="str">
        <f aca="true">IF(C528="","",IF(AND(AP528&lt;&gt;"",TODAY()&gt;=AP528),"Refi Ready",IF(TODAY()-C528&gt;=SETTINGS!$I$11,"Prospecting","Performing")))</f>
        <v/>
      </c>
      <c r="AR528" s="22" t="str">
        <f aca="false">IF(OR(C528="",I528="",K528=""),"",IF(K528="Monthly",EDATE(C528,I528),WORKDAY(C528,I528)))</f>
        <v/>
      </c>
      <c r="AS528" s="11"/>
      <c r="AT528" s="23" t="str">
        <f aca="true">IF(C528="","",IF(AM528="Clawed Back","CLAWED",IF(TODAY()&lt;=C528+SETTINGS!$I$2,"⚠ AT RISK","SAFE")))</f>
        <v/>
      </c>
      <c r="AU528" s="11"/>
      <c r="AW528" s="24" t="n">
        <f aca="false">AW527+IF(AND(C528&lt;&gt;"",AO528&lt;&gt;"",OR('REP COMMISSION'!$B$3="",T528='REP COMMISSION'!$B$3,W528='REP COMMISSION'!$B$3,Z528='REP COMMISSION'!$B$3)),1,0)</f>
        <v>0</v>
      </c>
      <c r="AX528" s="24" t="n">
        <f aca="false">AX527+IF(AND(C528&lt;&gt;"",OR(F528="LOC - INITIAL",F528="CONSOLIDATION - UPFRONT COMM",F528="REVERSE - TOTAL FUNDING")),1,0)</f>
        <v>0</v>
      </c>
    </row>
    <row r="529" customFormat="false" ht="15" hidden="false" customHeight="false" outlineLevel="0" collapsed="false">
      <c r="A529" s="25" t="str">
        <f aca="false">IF(C529&lt;&gt;"","F27-"&amp;COUNT($C$4:C529),"")</f>
        <v/>
      </c>
      <c r="B529" s="26" t="str">
        <f aca="false">IF(OR(F529="LOC - INITIAL",F529="CONSOLIDATION - UPFRONT COMM",F529="REVERSE - TOTAL FUNDING"),A529,"")</f>
        <v/>
      </c>
      <c r="C529" s="27"/>
      <c r="D529" s="28"/>
      <c r="E529" s="28"/>
      <c r="F529" s="28"/>
      <c r="G529" s="29"/>
      <c r="H529" s="30"/>
      <c r="I529" s="28"/>
      <c r="J529" s="31" t="str">
        <f aca="false">IF(AND(G529&lt;&gt;"",H529&lt;&gt;""),G529*H529,"")</f>
        <v/>
      </c>
      <c r="K529" s="28"/>
      <c r="L529" s="32"/>
      <c r="M529" s="32"/>
      <c r="N529" s="31" t="n">
        <f aca="false">IF(OR(G529="",M529=""),0,IF(M529&gt;100,M529,G529*IF(M529&gt;1,M529/100,M529)))</f>
        <v>0</v>
      </c>
      <c r="O529" s="31" t="str">
        <f aca="false">IF(G529="","",G529*IF(L529="",0,IF(L529&gt;1,L529/100,L529))+N529)</f>
        <v/>
      </c>
      <c r="P529" s="28"/>
      <c r="Q529" s="33" t="str">
        <f aca="false">IF(P529="","",IFERROR(VLOOKUP(P529,PARTNERS!$A$2:$B$30,2,0),""))</f>
        <v/>
      </c>
      <c r="R529" s="17" t="str">
        <f aca="false">IF(O529="","",IF(OR(P529="",Q529=""),0,(O529-N529)*IF(Q529&gt;1,Q529/100,Q529)))</f>
        <v/>
      </c>
      <c r="S529" s="31" t="str">
        <f aca="false">IF(O529="","",O529-R529)</f>
        <v/>
      </c>
      <c r="T529" s="28"/>
      <c r="U529" s="34" t="str">
        <f aca="false">IF(T529="","",IFERROR(VLOOKUP(T529,REPS!$A$2:$D$40,2,0),""))</f>
        <v/>
      </c>
      <c r="V529" s="31" t="str">
        <f aca="false">IF(O529="","",IF(U529="",0,O529*IF(U529&gt;1,U529/100,U529)))</f>
        <v/>
      </c>
      <c r="W529" s="28"/>
      <c r="X529" s="34" t="str">
        <f aca="false">IF(W529="","",IFERROR(VLOOKUP(W529,REPS!$A$2:$D$40,3,0),""))</f>
        <v/>
      </c>
      <c r="Y529" s="31" t="str">
        <f aca="false">IF(O529="","",IF(X529="",0,O529*IF(X529&gt;1,X529/100,X529)))</f>
        <v/>
      </c>
      <c r="Z529" s="28"/>
      <c r="AA529" s="34" t="str">
        <f aca="false">IF(Z529="","",IFERROR(VLOOKUP(Z529,REPS!$A$2:$D$40,4,0),""))</f>
        <v/>
      </c>
      <c r="AB529" s="31" t="str">
        <f aca="false">IF(O529="","",IF(AA529="",0,O529*IF(AA529&gt;1,AA529/100,AA529)))</f>
        <v/>
      </c>
      <c r="AC529" s="31" t="str">
        <f aca="false">IF(O529="","",V529+Y529+AB529)</f>
        <v/>
      </c>
      <c r="AD529" s="19" t="str">
        <f aca="false">IF(O529="","",O529-R529-AC529)</f>
        <v/>
      </c>
      <c r="AE529" s="20"/>
      <c r="AF529" s="27"/>
      <c r="AG529" s="21" t="n">
        <f aca="false">IF(OR(AE529="",AE529=0),0,AE529*IF(U529="",0,IF(U529&gt;1,U529/100,U529)))</f>
        <v>0</v>
      </c>
      <c r="AH529" s="21" t="n">
        <f aca="false">IF(OR(AE529="",AE529=0),0,AE529*IF(X529="",0,IF(X529&gt;1,X529/100,X529)))</f>
        <v>0</v>
      </c>
      <c r="AI529" s="21" t="n">
        <f aca="false">IF(OR(AE529="",AE529=0),0,AE529*IF(AA529="",0,IF(AA529&gt;1,AA529/100,AA529)))</f>
        <v>0</v>
      </c>
      <c r="AJ529" s="21" t="n">
        <f aca="false">AG529+AH529+AI529</f>
        <v>0</v>
      </c>
      <c r="AK529" s="21" t="n">
        <f aca="false">IF(OR(AE529="",AE529=0),0,AE529-AJ529)</f>
        <v>0</v>
      </c>
      <c r="AL529" s="19" t="str">
        <f aca="false">IF(AD529="","",AD529-AK529)</f>
        <v/>
      </c>
      <c r="AM529" s="26" t="str">
        <f aca="false">IF(C529="","","Waiting for payment")</f>
        <v/>
      </c>
      <c r="AN529" s="27"/>
      <c r="AO529" s="27"/>
      <c r="AP529" s="35" t="str">
        <f aca="false">IF(OR(C529="",I529="",K529=""),"",IF(K529="Monthly",EDATE(C529,ROUND(I529*SETTINGS!$I$8,0)),WORKDAY(C529,ROUND(I529*SETTINGS!$I$8,0))))</f>
        <v/>
      </c>
      <c r="AQ529" s="26" t="str">
        <f aca="true">IF(C529="","",IF(AND(AP529&lt;&gt;"",TODAY()&gt;=AP529),"Refi Ready",IF(TODAY()-C529&gt;=SETTINGS!$I$11,"Prospecting","Performing")))</f>
        <v/>
      </c>
      <c r="AR529" s="35" t="str">
        <f aca="false">IF(OR(C529="",I529="",K529=""),"",IF(K529="Monthly",EDATE(C529,I529),WORKDAY(C529,I529)))</f>
        <v/>
      </c>
      <c r="AS529" s="28"/>
      <c r="AT529" s="36" t="str">
        <f aca="true">IF(C529="","",IF(AM529="Clawed Back","CLAWED",IF(TODAY()&lt;=C529+SETTINGS!$I$2,"⚠ AT RISK","SAFE")))</f>
        <v/>
      </c>
      <c r="AU529" s="28"/>
      <c r="AW529" s="24" t="n">
        <f aca="false">AW528+IF(AND(C529&lt;&gt;"",AO529&lt;&gt;"",OR('REP COMMISSION'!$B$3="",T529='REP COMMISSION'!$B$3,W529='REP COMMISSION'!$B$3,Z529='REP COMMISSION'!$B$3)),1,0)</f>
        <v>0</v>
      </c>
      <c r="AX529" s="24" t="n">
        <f aca="false">AX528+IF(AND(C529&lt;&gt;"",OR(F529="LOC - INITIAL",F529="CONSOLIDATION - UPFRONT COMM",F529="REVERSE - TOTAL FUNDING")),1,0)</f>
        <v>0</v>
      </c>
    </row>
    <row r="530" customFormat="false" ht="15" hidden="false" customHeight="false" outlineLevel="0" collapsed="false">
      <c r="A530" s="8" t="str">
        <f aca="false">IF(C530&lt;&gt;"","F27-"&amp;COUNT($C$4:C530),"")</f>
        <v/>
      </c>
      <c r="B530" s="9" t="str">
        <f aca="false">IF(OR(F530="LOC - INITIAL",F530="CONSOLIDATION - UPFRONT COMM",F530="REVERSE - TOTAL FUNDING"),A530,"")</f>
        <v/>
      </c>
      <c r="C530" s="10"/>
      <c r="D530" s="11"/>
      <c r="E530" s="11"/>
      <c r="F530" s="11"/>
      <c r="G530" s="12"/>
      <c r="H530" s="13"/>
      <c r="I530" s="11"/>
      <c r="J530" s="14" t="str">
        <f aca="false">IF(AND(G530&lt;&gt;"",H530&lt;&gt;""),G530*H530,"")</f>
        <v/>
      </c>
      <c r="K530" s="11"/>
      <c r="L530" s="15"/>
      <c r="M530" s="15"/>
      <c r="N530" s="14" t="n">
        <f aca="false">IF(OR(G530="",M530=""),0,IF(M530&gt;100,M530,G530*IF(M530&gt;1,M530/100,M530)))</f>
        <v>0</v>
      </c>
      <c r="O530" s="14" t="str">
        <f aca="false">IF(G530="","",G530*IF(L530="",0,IF(L530&gt;1,L530/100,L530))+N530)</f>
        <v/>
      </c>
      <c r="P530" s="11"/>
      <c r="Q530" s="16" t="str">
        <f aca="false">IF(P530="","",IFERROR(VLOOKUP(P530,PARTNERS!$A$2:$B$30,2,0),""))</f>
        <v/>
      </c>
      <c r="R530" s="17" t="str">
        <f aca="false">IF(O530="","",IF(OR(P530="",Q530=""),0,(O530-N530)*IF(Q530&gt;1,Q530/100,Q530)))</f>
        <v/>
      </c>
      <c r="S530" s="14" t="str">
        <f aca="false">IF(O530="","",O530-R530)</f>
        <v/>
      </c>
      <c r="T530" s="11"/>
      <c r="U530" s="18" t="str">
        <f aca="false">IF(T530="","",IFERROR(VLOOKUP(T530,REPS!$A$2:$D$40,2,0),""))</f>
        <v/>
      </c>
      <c r="V530" s="14" t="str">
        <f aca="false">IF(O530="","",IF(U530="",0,O530*IF(U530&gt;1,U530/100,U530)))</f>
        <v/>
      </c>
      <c r="W530" s="11"/>
      <c r="X530" s="18" t="str">
        <f aca="false">IF(W530="","",IFERROR(VLOOKUP(W530,REPS!$A$2:$D$40,3,0),""))</f>
        <v/>
      </c>
      <c r="Y530" s="14" t="str">
        <f aca="false">IF(O530="","",IF(X530="",0,O530*IF(X530&gt;1,X530/100,X530)))</f>
        <v/>
      </c>
      <c r="Z530" s="11"/>
      <c r="AA530" s="18" t="str">
        <f aca="false">IF(Z530="","",IFERROR(VLOOKUP(Z530,REPS!$A$2:$D$40,4,0),""))</f>
        <v/>
      </c>
      <c r="AB530" s="14" t="str">
        <f aca="false">IF(O530="","",IF(AA530="",0,O530*IF(AA530&gt;1,AA530/100,AA530)))</f>
        <v/>
      </c>
      <c r="AC530" s="14" t="str">
        <f aca="false">IF(O530="","",V530+Y530+AB530)</f>
        <v/>
      </c>
      <c r="AD530" s="19" t="str">
        <f aca="false">IF(O530="","",O530-R530-AC530)</f>
        <v/>
      </c>
      <c r="AE530" s="20"/>
      <c r="AF530" s="10"/>
      <c r="AG530" s="21" t="n">
        <f aca="false">IF(OR(AE530="",AE530=0),0,AE530*IF(U530="",0,IF(U530&gt;1,U530/100,U530)))</f>
        <v>0</v>
      </c>
      <c r="AH530" s="21" t="n">
        <f aca="false">IF(OR(AE530="",AE530=0),0,AE530*IF(X530="",0,IF(X530&gt;1,X530/100,X530)))</f>
        <v>0</v>
      </c>
      <c r="AI530" s="21" t="n">
        <f aca="false">IF(OR(AE530="",AE530=0),0,AE530*IF(AA530="",0,IF(AA530&gt;1,AA530/100,AA530)))</f>
        <v>0</v>
      </c>
      <c r="AJ530" s="21" t="n">
        <f aca="false">AG530+AH530+AI530</f>
        <v>0</v>
      </c>
      <c r="AK530" s="21" t="n">
        <f aca="false">IF(OR(AE530="",AE530=0),0,AE530-AJ530)</f>
        <v>0</v>
      </c>
      <c r="AL530" s="19" t="str">
        <f aca="false">IF(AD530="","",AD530-AK530)</f>
        <v/>
      </c>
      <c r="AM530" s="9" t="str">
        <f aca="false">IF(C530="","","Waiting for payment")</f>
        <v/>
      </c>
      <c r="AN530" s="10"/>
      <c r="AO530" s="10"/>
      <c r="AP530" s="22" t="str">
        <f aca="false">IF(OR(C530="",I530="",K530=""),"",IF(K530="Monthly",EDATE(C530,ROUND(I530*SETTINGS!$I$8,0)),WORKDAY(C530,ROUND(I530*SETTINGS!$I$8,0))))</f>
        <v/>
      </c>
      <c r="AQ530" s="9" t="str">
        <f aca="true">IF(C530="","",IF(AND(AP530&lt;&gt;"",TODAY()&gt;=AP530),"Refi Ready",IF(TODAY()-C530&gt;=SETTINGS!$I$11,"Prospecting","Performing")))</f>
        <v/>
      </c>
      <c r="AR530" s="22" t="str">
        <f aca="false">IF(OR(C530="",I530="",K530=""),"",IF(K530="Monthly",EDATE(C530,I530),WORKDAY(C530,I530)))</f>
        <v/>
      </c>
      <c r="AS530" s="11"/>
      <c r="AT530" s="23" t="str">
        <f aca="true">IF(C530="","",IF(AM530="Clawed Back","CLAWED",IF(TODAY()&lt;=C530+SETTINGS!$I$2,"⚠ AT RISK","SAFE")))</f>
        <v/>
      </c>
      <c r="AU530" s="11"/>
      <c r="AW530" s="24" t="n">
        <f aca="false">AW529+IF(AND(C530&lt;&gt;"",AO530&lt;&gt;"",OR('REP COMMISSION'!$B$3="",T530='REP COMMISSION'!$B$3,W530='REP COMMISSION'!$B$3,Z530='REP COMMISSION'!$B$3)),1,0)</f>
        <v>0</v>
      </c>
      <c r="AX530" s="24" t="n">
        <f aca="false">AX529+IF(AND(C530&lt;&gt;"",OR(F530="LOC - INITIAL",F530="CONSOLIDATION - UPFRONT COMM",F530="REVERSE - TOTAL FUNDING")),1,0)</f>
        <v>0</v>
      </c>
    </row>
    <row r="531" customFormat="false" ht="15" hidden="false" customHeight="false" outlineLevel="0" collapsed="false">
      <c r="A531" s="25" t="str">
        <f aca="false">IF(C531&lt;&gt;"","F27-"&amp;COUNT($C$4:C531),"")</f>
        <v/>
      </c>
      <c r="B531" s="26" t="str">
        <f aca="false">IF(OR(F531="LOC - INITIAL",F531="CONSOLIDATION - UPFRONT COMM",F531="REVERSE - TOTAL FUNDING"),A531,"")</f>
        <v/>
      </c>
      <c r="C531" s="27"/>
      <c r="D531" s="28"/>
      <c r="E531" s="28"/>
      <c r="F531" s="28"/>
      <c r="G531" s="29"/>
      <c r="H531" s="30"/>
      <c r="I531" s="28"/>
      <c r="J531" s="31" t="str">
        <f aca="false">IF(AND(G531&lt;&gt;"",H531&lt;&gt;""),G531*H531,"")</f>
        <v/>
      </c>
      <c r="K531" s="28"/>
      <c r="L531" s="32"/>
      <c r="M531" s="32"/>
      <c r="N531" s="31" t="n">
        <f aca="false">IF(OR(G531="",M531=""),0,IF(M531&gt;100,M531,G531*IF(M531&gt;1,M531/100,M531)))</f>
        <v>0</v>
      </c>
      <c r="O531" s="31" t="str">
        <f aca="false">IF(G531="","",G531*IF(L531="",0,IF(L531&gt;1,L531/100,L531))+N531)</f>
        <v/>
      </c>
      <c r="P531" s="28"/>
      <c r="Q531" s="33" t="str">
        <f aca="false">IF(P531="","",IFERROR(VLOOKUP(P531,PARTNERS!$A$2:$B$30,2,0),""))</f>
        <v/>
      </c>
      <c r="R531" s="17" t="str">
        <f aca="false">IF(O531="","",IF(OR(P531="",Q531=""),0,(O531-N531)*IF(Q531&gt;1,Q531/100,Q531)))</f>
        <v/>
      </c>
      <c r="S531" s="31" t="str">
        <f aca="false">IF(O531="","",O531-R531)</f>
        <v/>
      </c>
      <c r="T531" s="28"/>
      <c r="U531" s="34" t="str">
        <f aca="false">IF(T531="","",IFERROR(VLOOKUP(T531,REPS!$A$2:$D$40,2,0),""))</f>
        <v/>
      </c>
      <c r="V531" s="31" t="str">
        <f aca="false">IF(O531="","",IF(U531="",0,O531*IF(U531&gt;1,U531/100,U531)))</f>
        <v/>
      </c>
      <c r="W531" s="28"/>
      <c r="X531" s="34" t="str">
        <f aca="false">IF(W531="","",IFERROR(VLOOKUP(W531,REPS!$A$2:$D$40,3,0),""))</f>
        <v/>
      </c>
      <c r="Y531" s="31" t="str">
        <f aca="false">IF(O531="","",IF(X531="",0,O531*IF(X531&gt;1,X531/100,X531)))</f>
        <v/>
      </c>
      <c r="Z531" s="28"/>
      <c r="AA531" s="34" t="str">
        <f aca="false">IF(Z531="","",IFERROR(VLOOKUP(Z531,REPS!$A$2:$D$40,4,0),""))</f>
        <v/>
      </c>
      <c r="AB531" s="31" t="str">
        <f aca="false">IF(O531="","",IF(AA531="",0,O531*IF(AA531&gt;1,AA531/100,AA531)))</f>
        <v/>
      </c>
      <c r="AC531" s="31" t="str">
        <f aca="false">IF(O531="","",V531+Y531+AB531)</f>
        <v/>
      </c>
      <c r="AD531" s="19" t="str">
        <f aca="false">IF(O531="","",O531-R531-AC531)</f>
        <v/>
      </c>
      <c r="AE531" s="20"/>
      <c r="AF531" s="27"/>
      <c r="AG531" s="21" t="n">
        <f aca="false">IF(OR(AE531="",AE531=0),0,AE531*IF(U531="",0,IF(U531&gt;1,U531/100,U531)))</f>
        <v>0</v>
      </c>
      <c r="AH531" s="21" t="n">
        <f aca="false">IF(OR(AE531="",AE531=0),0,AE531*IF(X531="",0,IF(X531&gt;1,X531/100,X531)))</f>
        <v>0</v>
      </c>
      <c r="AI531" s="21" t="n">
        <f aca="false">IF(OR(AE531="",AE531=0),0,AE531*IF(AA531="",0,IF(AA531&gt;1,AA531/100,AA531)))</f>
        <v>0</v>
      </c>
      <c r="AJ531" s="21" t="n">
        <f aca="false">AG531+AH531+AI531</f>
        <v>0</v>
      </c>
      <c r="AK531" s="21" t="n">
        <f aca="false">IF(OR(AE531="",AE531=0),0,AE531-AJ531)</f>
        <v>0</v>
      </c>
      <c r="AL531" s="19" t="str">
        <f aca="false">IF(AD531="","",AD531-AK531)</f>
        <v/>
      </c>
      <c r="AM531" s="26" t="str">
        <f aca="false">IF(C531="","","Waiting for payment")</f>
        <v/>
      </c>
      <c r="AN531" s="27"/>
      <c r="AO531" s="27"/>
      <c r="AP531" s="35" t="str">
        <f aca="false">IF(OR(C531="",I531="",K531=""),"",IF(K531="Monthly",EDATE(C531,ROUND(I531*SETTINGS!$I$8,0)),WORKDAY(C531,ROUND(I531*SETTINGS!$I$8,0))))</f>
        <v/>
      </c>
      <c r="AQ531" s="26" t="str">
        <f aca="true">IF(C531="","",IF(AND(AP531&lt;&gt;"",TODAY()&gt;=AP531),"Refi Ready",IF(TODAY()-C531&gt;=SETTINGS!$I$11,"Prospecting","Performing")))</f>
        <v/>
      </c>
      <c r="AR531" s="35" t="str">
        <f aca="false">IF(OR(C531="",I531="",K531=""),"",IF(K531="Monthly",EDATE(C531,I531),WORKDAY(C531,I531)))</f>
        <v/>
      </c>
      <c r="AS531" s="28"/>
      <c r="AT531" s="36" t="str">
        <f aca="true">IF(C531="","",IF(AM531="Clawed Back","CLAWED",IF(TODAY()&lt;=C531+SETTINGS!$I$2,"⚠ AT RISK","SAFE")))</f>
        <v/>
      </c>
      <c r="AU531" s="28"/>
      <c r="AW531" s="24" t="n">
        <f aca="false">AW530+IF(AND(C531&lt;&gt;"",AO531&lt;&gt;"",OR('REP COMMISSION'!$B$3="",T531='REP COMMISSION'!$B$3,W531='REP COMMISSION'!$B$3,Z531='REP COMMISSION'!$B$3)),1,0)</f>
        <v>0</v>
      </c>
      <c r="AX531" s="24" t="n">
        <f aca="false">AX530+IF(AND(C531&lt;&gt;"",OR(F531="LOC - INITIAL",F531="CONSOLIDATION - UPFRONT COMM",F531="REVERSE - TOTAL FUNDING")),1,0)</f>
        <v>0</v>
      </c>
    </row>
    <row r="532" customFormat="false" ht="15" hidden="false" customHeight="false" outlineLevel="0" collapsed="false">
      <c r="A532" s="8" t="str">
        <f aca="false">IF(C532&lt;&gt;"","F27-"&amp;COUNT($C$4:C532),"")</f>
        <v/>
      </c>
      <c r="B532" s="9" t="str">
        <f aca="false">IF(OR(F532="LOC - INITIAL",F532="CONSOLIDATION - UPFRONT COMM",F532="REVERSE - TOTAL FUNDING"),A532,"")</f>
        <v/>
      </c>
      <c r="C532" s="10"/>
      <c r="D532" s="11"/>
      <c r="E532" s="11"/>
      <c r="F532" s="11"/>
      <c r="G532" s="12"/>
      <c r="H532" s="13"/>
      <c r="I532" s="11"/>
      <c r="J532" s="14" t="str">
        <f aca="false">IF(AND(G532&lt;&gt;"",H532&lt;&gt;""),G532*H532,"")</f>
        <v/>
      </c>
      <c r="K532" s="11"/>
      <c r="L532" s="15"/>
      <c r="M532" s="15"/>
      <c r="N532" s="14" t="n">
        <f aca="false">IF(OR(G532="",M532=""),0,IF(M532&gt;100,M532,G532*IF(M532&gt;1,M532/100,M532)))</f>
        <v>0</v>
      </c>
      <c r="O532" s="14" t="str">
        <f aca="false">IF(G532="","",G532*IF(L532="",0,IF(L532&gt;1,L532/100,L532))+N532)</f>
        <v/>
      </c>
      <c r="P532" s="11"/>
      <c r="Q532" s="16" t="str">
        <f aca="false">IF(P532="","",IFERROR(VLOOKUP(P532,PARTNERS!$A$2:$B$30,2,0),""))</f>
        <v/>
      </c>
      <c r="R532" s="17" t="str">
        <f aca="false">IF(O532="","",IF(OR(P532="",Q532=""),0,(O532-N532)*IF(Q532&gt;1,Q532/100,Q532)))</f>
        <v/>
      </c>
      <c r="S532" s="14" t="str">
        <f aca="false">IF(O532="","",O532-R532)</f>
        <v/>
      </c>
      <c r="T532" s="11"/>
      <c r="U532" s="18" t="str">
        <f aca="false">IF(T532="","",IFERROR(VLOOKUP(T532,REPS!$A$2:$D$40,2,0),""))</f>
        <v/>
      </c>
      <c r="V532" s="14" t="str">
        <f aca="false">IF(O532="","",IF(U532="",0,O532*IF(U532&gt;1,U532/100,U532)))</f>
        <v/>
      </c>
      <c r="W532" s="11"/>
      <c r="X532" s="18" t="str">
        <f aca="false">IF(W532="","",IFERROR(VLOOKUP(W532,REPS!$A$2:$D$40,3,0),""))</f>
        <v/>
      </c>
      <c r="Y532" s="14" t="str">
        <f aca="false">IF(O532="","",IF(X532="",0,O532*IF(X532&gt;1,X532/100,X532)))</f>
        <v/>
      </c>
      <c r="Z532" s="11"/>
      <c r="AA532" s="18" t="str">
        <f aca="false">IF(Z532="","",IFERROR(VLOOKUP(Z532,REPS!$A$2:$D$40,4,0),""))</f>
        <v/>
      </c>
      <c r="AB532" s="14" t="str">
        <f aca="false">IF(O532="","",IF(AA532="",0,O532*IF(AA532&gt;1,AA532/100,AA532)))</f>
        <v/>
      </c>
      <c r="AC532" s="14" t="str">
        <f aca="false">IF(O532="","",V532+Y532+AB532)</f>
        <v/>
      </c>
      <c r="AD532" s="19" t="str">
        <f aca="false">IF(O532="","",O532-R532-AC532)</f>
        <v/>
      </c>
      <c r="AE532" s="20"/>
      <c r="AF532" s="10"/>
      <c r="AG532" s="21" t="n">
        <f aca="false">IF(OR(AE532="",AE532=0),0,AE532*IF(U532="",0,IF(U532&gt;1,U532/100,U532)))</f>
        <v>0</v>
      </c>
      <c r="AH532" s="21" t="n">
        <f aca="false">IF(OR(AE532="",AE532=0),0,AE532*IF(X532="",0,IF(X532&gt;1,X532/100,X532)))</f>
        <v>0</v>
      </c>
      <c r="AI532" s="21" t="n">
        <f aca="false">IF(OR(AE532="",AE532=0),0,AE532*IF(AA532="",0,IF(AA532&gt;1,AA532/100,AA532)))</f>
        <v>0</v>
      </c>
      <c r="AJ532" s="21" t="n">
        <f aca="false">AG532+AH532+AI532</f>
        <v>0</v>
      </c>
      <c r="AK532" s="21" t="n">
        <f aca="false">IF(OR(AE532="",AE532=0),0,AE532-AJ532)</f>
        <v>0</v>
      </c>
      <c r="AL532" s="19" t="str">
        <f aca="false">IF(AD532="","",AD532-AK532)</f>
        <v/>
      </c>
      <c r="AM532" s="9" t="str">
        <f aca="false">IF(C532="","","Waiting for payment")</f>
        <v/>
      </c>
      <c r="AN532" s="10"/>
      <c r="AO532" s="10"/>
      <c r="AP532" s="22" t="str">
        <f aca="false">IF(OR(C532="",I532="",K532=""),"",IF(K532="Monthly",EDATE(C532,ROUND(I532*SETTINGS!$I$8,0)),WORKDAY(C532,ROUND(I532*SETTINGS!$I$8,0))))</f>
        <v/>
      </c>
      <c r="AQ532" s="9" t="str">
        <f aca="true">IF(C532="","",IF(AND(AP532&lt;&gt;"",TODAY()&gt;=AP532),"Refi Ready",IF(TODAY()-C532&gt;=SETTINGS!$I$11,"Prospecting","Performing")))</f>
        <v/>
      </c>
      <c r="AR532" s="22" t="str">
        <f aca="false">IF(OR(C532="",I532="",K532=""),"",IF(K532="Monthly",EDATE(C532,I532),WORKDAY(C532,I532)))</f>
        <v/>
      </c>
      <c r="AS532" s="11"/>
      <c r="AT532" s="23" t="str">
        <f aca="true">IF(C532="","",IF(AM532="Clawed Back","CLAWED",IF(TODAY()&lt;=C532+SETTINGS!$I$2,"⚠ AT RISK","SAFE")))</f>
        <v/>
      </c>
      <c r="AU532" s="11"/>
      <c r="AW532" s="24" t="n">
        <f aca="false">AW531+IF(AND(C532&lt;&gt;"",AO532&lt;&gt;"",OR('REP COMMISSION'!$B$3="",T532='REP COMMISSION'!$B$3,W532='REP COMMISSION'!$B$3,Z532='REP COMMISSION'!$B$3)),1,0)</f>
        <v>0</v>
      </c>
      <c r="AX532" s="24" t="n">
        <f aca="false">AX531+IF(AND(C532&lt;&gt;"",OR(F532="LOC - INITIAL",F532="CONSOLIDATION - UPFRONT COMM",F532="REVERSE - TOTAL FUNDING")),1,0)</f>
        <v>0</v>
      </c>
    </row>
    <row r="533" customFormat="false" ht="15" hidden="false" customHeight="false" outlineLevel="0" collapsed="false">
      <c r="A533" s="25" t="str">
        <f aca="false">IF(C533&lt;&gt;"","F27-"&amp;COUNT($C$4:C533),"")</f>
        <v/>
      </c>
      <c r="B533" s="26" t="str">
        <f aca="false">IF(OR(F533="LOC - INITIAL",F533="CONSOLIDATION - UPFRONT COMM",F533="REVERSE - TOTAL FUNDING"),A533,"")</f>
        <v/>
      </c>
      <c r="C533" s="27"/>
      <c r="D533" s="28"/>
      <c r="E533" s="28"/>
      <c r="F533" s="28"/>
      <c r="G533" s="29"/>
      <c r="H533" s="30"/>
      <c r="I533" s="28"/>
      <c r="J533" s="31" t="str">
        <f aca="false">IF(AND(G533&lt;&gt;"",H533&lt;&gt;""),G533*H533,"")</f>
        <v/>
      </c>
      <c r="K533" s="28"/>
      <c r="L533" s="32"/>
      <c r="M533" s="32"/>
      <c r="N533" s="31" t="n">
        <f aca="false">IF(OR(G533="",M533=""),0,IF(M533&gt;100,M533,G533*IF(M533&gt;1,M533/100,M533)))</f>
        <v>0</v>
      </c>
      <c r="O533" s="31" t="str">
        <f aca="false">IF(G533="","",G533*IF(L533="",0,IF(L533&gt;1,L533/100,L533))+N533)</f>
        <v/>
      </c>
      <c r="P533" s="28"/>
      <c r="Q533" s="33" t="str">
        <f aca="false">IF(P533="","",IFERROR(VLOOKUP(P533,PARTNERS!$A$2:$B$30,2,0),""))</f>
        <v/>
      </c>
      <c r="R533" s="17" t="str">
        <f aca="false">IF(O533="","",IF(OR(P533="",Q533=""),0,(O533-N533)*IF(Q533&gt;1,Q533/100,Q533)))</f>
        <v/>
      </c>
      <c r="S533" s="31" t="str">
        <f aca="false">IF(O533="","",O533-R533)</f>
        <v/>
      </c>
      <c r="T533" s="28"/>
      <c r="U533" s="34" t="str">
        <f aca="false">IF(T533="","",IFERROR(VLOOKUP(T533,REPS!$A$2:$D$40,2,0),""))</f>
        <v/>
      </c>
      <c r="V533" s="31" t="str">
        <f aca="false">IF(O533="","",IF(U533="",0,O533*IF(U533&gt;1,U533/100,U533)))</f>
        <v/>
      </c>
      <c r="W533" s="28"/>
      <c r="X533" s="34" t="str">
        <f aca="false">IF(W533="","",IFERROR(VLOOKUP(W533,REPS!$A$2:$D$40,3,0),""))</f>
        <v/>
      </c>
      <c r="Y533" s="31" t="str">
        <f aca="false">IF(O533="","",IF(X533="",0,O533*IF(X533&gt;1,X533/100,X533)))</f>
        <v/>
      </c>
      <c r="Z533" s="28"/>
      <c r="AA533" s="34" t="str">
        <f aca="false">IF(Z533="","",IFERROR(VLOOKUP(Z533,REPS!$A$2:$D$40,4,0),""))</f>
        <v/>
      </c>
      <c r="AB533" s="31" t="str">
        <f aca="false">IF(O533="","",IF(AA533="",0,O533*IF(AA533&gt;1,AA533/100,AA533)))</f>
        <v/>
      </c>
      <c r="AC533" s="31" t="str">
        <f aca="false">IF(O533="","",V533+Y533+AB533)</f>
        <v/>
      </c>
      <c r="AD533" s="19" t="str">
        <f aca="false">IF(O533="","",O533-R533-AC533)</f>
        <v/>
      </c>
      <c r="AE533" s="20"/>
      <c r="AF533" s="27"/>
      <c r="AG533" s="21" t="n">
        <f aca="false">IF(OR(AE533="",AE533=0),0,AE533*IF(U533="",0,IF(U533&gt;1,U533/100,U533)))</f>
        <v>0</v>
      </c>
      <c r="AH533" s="21" t="n">
        <f aca="false">IF(OR(AE533="",AE533=0),0,AE533*IF(X533="",0,IF(X533&gt;1,X533/100,X533)))</f>
        <v>0</v>
      </c>
      <c r="AI533" s="21" t="n">
        <f aca="false">IF(OR(AE533="",AE533=0),0,AE533*IF(AA533="",0,IF(AA533&gt;1,AA533/100,AA533)))</f>
        <v>0</v>
      </c>
      <c r="AJ533" s="21" t="n">
        <f aca="false">AG533+AH533+AI533</f>
        <v>0</v>
      </c>
      <c r="AK533" s="21" t="n">
        <f aca="false">IF(OR(AE533="",AE533=0),0,AE533-AJ533)</f>
        <v>0</v>
      </c>
      <c r="AL533" s="19" t="str">
        <f aca="false">IF(AD533="","",AD533-AK533)</f>
        <v/>
      </c>
      <c r="AM533" s="26" t="str">
        <f aca="false">IF(C533="","","Waiting for payment")</f>
        <v/>
      </c>
      <c r="AN533" s="27"/>
      <c r="AO533" s="27"/>
      <c r="AP533" s="35" t="str">
        <f aca="false">IF(OR(C533="",I533="",K533=""),"",IF(K533="Monthly",EDATE(C533,ROUND(I533*SETTINGS!$I$8,0)),WORKDAY(C533,ROUND(I533*SETTINGS!$I$8,0))))</f>
        <v/>
      </c>
      <c r="AQ533" s="26" t="str">
        <f aca="true">IF(C533="","",IF(AND(AP533&lt;&gt;"",TODAY()&gt;=AP533),"Refi Ready",IF(TODAY()-C533&gt;=SETTINGS!$I$11,"Prospecting","Performing")))</f>
        <v/>
      </c>
      <c r="AR533" s="35" t="str">
        <f aca="false">IF(OR(C533="",I533="",K533=""),"",IF(K533="Monthly",EDATE(C533,I533),WORKDAY(C533,I533)))</f>
        <v/>
      </c>
      <c r="AS533" s="28"/>
      <c r="AT533" s="36" t="str">
        <f aca="true">IF(C533="","",IF(AM533="Clawed Back","CLAWED",IF(TODAY()&lt;=C533+SETTINGS!$I$2,"⚠ AT RISK","SAFE")))</f>
        <v/>
      </c>
      <c r="AU533" s="28"/>
      <c r="AW533" s="24" t="n">
        <f aca="false">AW532+IF(AND(C533&lt;&gt;"",AO533&lt;&gt;"",OR('REP COMMISSION'!$B$3="",T533='REP COMMISSION'!$B$3,W533='REP COMMISSION'!$B$3,Z533='REP COMMISSION'!$B$3)),1,0)</f>
        <v>0</v>
      </c>
      <c r="AX533" s="24" t="n">
        <f aca="false">AX532+IF(AND(C533&lt;&gt;"",OR(F533="LOC - INITIAL",F533="CONSOLIDATION - UPFRONT COMM",F533="REVERSE - TOTAL FUNDING")),1,0)</f>
        <v>0</v>
      </c>
    </row>
    <row r="534" customFormat="false" ht="15" hidden="false" customHeight="false" outlineLevel="0" collapsed="false">
      <c r="A534" s="8" t="str">
        <f aca="false">IF(C534&lt;&gt;"","F27-"&amp;COUNT($C$4:C534),"")</f>
        <v/>
      </c>
      <c r="B534" s="9" t="str">
        <f aca="false">IF(OR(F534="LOC - INITIAL",F534="CONSOLIDATION - UPFRONT COMM",F534="REVERSE - TOTAL FUNDING"),A534,"")</f>
        <v/>
      </c>
      <c r="C534" s="10"/>
      <c r="D534" s="11"/>
      <c r="E534" s="11"/>
      <c r="F534" s="11"/>
      <c r="G534" s="12"/>
      <c r="H534" s="13"/>
      <c r="I534" s="11"/>
      <c r="J534" s="14" t="str">
        <f aca="false">IF(AND(G534&lt;&gt;"",H534&lt;&gt;""),G534*H534,"")</f>
        <v/>
      </c>
      <c r="K534" s="11"/>
      <c r="L534" s="15"/>
      <c r="M534" s="15"/>
      <c r="N534" s="14" t="n">
        <f aca="false">IF(OR(G534="",M534=""),0,IF(M534&gt;100,M534,G534*IF(M534&gt;1,M534/100,M534)))</f>
        <v>0</v>
      </c>
      <c r="O534" s="14" t="str">
        <f aca="false">IF(G534="","",G534*IF(L534="",0,IF(L534&gt;1,L534/100,L534))+N534)</f>
        <v/>
      </c>
      <c r="P534" s="11"/>
      <c r="Q534" s="16" t="str">
        <f aca="false">IF(P534="","",IFERROR(VLOOKUP(P534,PARTNERS!$A$2:$B$30,2,0),""))</f>
        <v/>
      </c>
      <c r="R534" s="17" t="str">
        <f aca="false">IF(O534="","",IF(OR(P534="",Q534=""),0,(O534-N534)*IF(Q534&gt;1,Q534/100,Q534)))</f>
        <v/>
      </c>
      <c r="S534" s="14" t="str">
        <f aca="false">IF(O534="","",O534-R534)</f>
        <v/>
      </c>
      <c r="T534" s="11"/>
      <c r="U534" s="18" t="str">
        <f aca="false">IF(T534="","",IFERROR(VLOOKUP(T534,REPS!$A$2:$D$40,2,0),""))</f>
        <v/>
      </c>
      <c r="V534" s="14" t="str">
        <f aca="false">IF(O534="","",IF(U534="",0,O534*IF(U534&gt;1,U534/100,U534)))</f>
        <v/>
      </c>
      <c r="W534" s="11"/>
      <c r="X534" s="18" t="str">
        <f aca="false">IF(W534="","",IFERROR(VLOOKUP(W534,REPS!$A$2:$D$40,3,0),""))</f>
        <v/>
      </c>
      <c r="Y534" s="14" t="str">
        <f aca="false">IF(O534="","",IF(X534="",0,O534*IF(X534&gt;1,X534/100,X534)))</f>
        <v/>
      </c>
      <c r="Z534" s="11"/>
      <c r="AA534" s="18" t="str">
        <f aca="false">IF(Z534="","",IFERROR(VLOOKUP(Z534,REPS!$A$2:$D$40,4,0),""))</f>
        <v/>
      </c>
      <c r="AB534" s="14" t="str">
        <f aca="false">IF(O534="","",IF(AA534="",0,O534*IF(AA534&gt;1,AA534/100,AA534)))</f>
        <v/>
      </c>
      <c r="AC534" s="14" t="str">
        <f aca="false">IF(O534="","",V534+Y534+AB534)</f>
        <v/>
      </c>
      <c r="AD534" s="19" t="str">
        <f aca="false">IF(O534="","",O534-R534-AC534)</f>
        <v/>
      </c>
      <c r="AE534" s="20"/>
      <c r="AF534" s="10"/>
      <c r="AG534" s="21" t="n">
        <f aca="false">IF(OR(AE534="",AE534=0),0,AE534*IF(U534="",0,IF(U534&gt;1,U534/100,U534)))</f>
        <v>0</v>
      </c>
      <c r="AH534" s="21" t="n">
        <f aca="false">IF(OR(AE534="",AE534=0),0,AE534*IF(X534="",0,IF(X534&gt;1,X534/100,X534)))</f>
        <v>0</v>
      </c>
      <c r="AI534" s="21" t="n">
        <f aca="false">IF(OR(AE534="",AE534=0),0,AE534*IF(AA534="",0,IF(AA534&gt;1,AA534/100,AA534)))</f>
        <v>0</v>
      </c>
      <c r="AJ534" s="21" t="n">
        <f aca="false">AG534+AH534+AI534</f>
        <v>0</v>
      </c>
      <c r="AK534" s="21" t="n">
        <f aca="false">IF(OR(AE534="",AE534=0),0,AE534-AJ534)</f>
        <v>0</v>
      </c>
      <c r="AL534" s="19" t="str">
        <f aca="false">IF(AD534="","",AD534-AK534)</f>
        <v/>
      </c>
      <c r="AM534" s="9" t="str">
        <f aca="false">IF(C534="","","Waiting for payment")</f>
        <v/>
      </c>
      <c r="AN534" s="10"/>
      <c r="AO534" s="10"/>
      <c r="AP534" s="22" t="str">
        <f aca="false">IF(OR(C534="",I534="",K534=""),"",IF(K534="Monthly",EDATE(C534,ROUND(I534*SETTINGS!$I$8,0)),WORKDAY(C534,ROUND(I534*SETTINGS!$I$8,0))))</f>
        <v/>
      </c>
      <c r="AQ534" s="9" t="str">
        <f aca="true">IF(C534="","",IF(AND(AP534&lt;&gt;"",TODAY()&gt;=AP534),"Refi Ready",IF(TODAY()-C534&gt;=SETTINGS!$I$11,"Prospecting","Performing")))</f>
        <v/>
      </c>
      <c r="AR534" s="22" t="str">
        <f aca="false">IF(OR(C534="",I534="",K534=""),"",IF(K534="Monthly",EDATE(C534,I534),WORKDAY(C534,I534)))</f>
        <v/>
      </c>
      <c r="AS534" s="11"/>
      <c r="AT534" s="23" t="str">
        <f aca="true">IF(C534="","",IF(AM534="Clawed Back","CLAWED",IF(TODAY()&lt;=C534+SETTINGS!$I$2,"⚠ AT RISK","SAFE")))</f>
        <v/>
      </c>
      <c r="AU534" s="11"/>
      <c r="AW534" s="24" t="n">
        <f aca="false">AW533+IF(AND(C534&lt;&gt;"",AO534&lt;&gt;"",OR('REP COMMISSION'!$B$3="",T534='REP COMMISSION'!$B$3,W534='REP COMMISSION'!$B$3,Z534='REP COMMISSION'!$B$3)),1,0)</f>
        <v>0</v>
      </c>
      <c r="AX534" s="24" t="n">
        <f aca="false">AX533+IF(AND(C534&lt;&gt;"",OR(F534="LOC - INITIAL",F534="CONSOLIDATION - UPFRONT COMM",F534="REVERSE - TOTAL FUNDING")),1,0)</f>
        <v>0</v>
      </c>
    </row>
    <row r="535" customFormat="false" ht="15" hidden="false" customHeight="false" outlineLevel="0" collapsed="false">
      <c r="A535" s="25" t="str">
        <f aca="false">IF(C535&lt;&gt;"","F27-"&amp;COUNT($C$4:C535),"")</f>
        <v/>
      </c>
      <c r="B535" s="26" t="str">
        <f aca="false">IF(OR(F535="LOC - INITIAL",F535="CONSOLIDATION - UPFRONT COMM",F535="REVERSE - TOTAL FUNDING"),A535,"")</f>
        <v/>
      </c>
      <c r="C535" s="27"/>
      <c r="D535" s="28"/>
      <c r="E535" s="28"/>
      <c r="F535" s="28"/>
      <c r="G535" s="29"/>
      <c r="H535" s="30"/>
      <c r="I535" s="28"/>
      <c r="J535" s="31" t="str">
        <f aca="false">IF(AND(G535&lt;&gt;"",H535&lt;&gt;""),G535*H535,"")</f>
        <v/>
      </c>
      <c r="K535" s="28"/>
      <c r="L535" s="32"/>
      <c r="M535" s="32"/>
      <c r="N535" s="31" t="n">
        <f aca="false">IF(OR(G535="",M535=""),0,IF(M535&gt;100,M535,G535*IF(M535&gt;1,M535/100,M535)))</f>
        <v>0</v>
      </c>
      <c r="O535" s="31" t="str">
        <f aca="false">IF(G535="","",G535*IF(L535="",0,IF(L535&gt;1,L535/100,L535))+N535)</f>
        <v/>
      </c>
      <c r="P535" s="28"/>
      <c r="Q535" s="33" t="str">
        <f aca="false">IF(P535="","",IFERROR(VLOOKUP(P535,PARTNERS!$A$2:$B$30,2,0),""))</f>
        <v/>
      </c>
      <c r="R535" s="17" t="str">
        <f aca="false">IF(O535="","",IF(OR(P535="",Q535=""),0,(O535-N535)*IF(Q535&gt;1,Q535/100,Q535)))</f>
        <v/>
      </c>
      <c r="S535" s="31" t="str">
        <f aca="false">IF(O535="","",O535-R535)</f>
        <v/>
      </c>
      <c r="T535" s="28"/>
      <c r="U535" s="34" t="str">
        <f aca="false">IF(T535="","",IFERROR(VLOOKUP(T535,REPS!$A$2:$D$40,2,0),""))</f>
        <v/>
      </c>
      <c r="V535" s="31" t="str">
        <f aca="false">IF(O535="","",IF(U535="",0,O535*IF(U535&gt;1,U535/100,U535)))</f>
        <v/>
      </c>
      <c r="W535" s="28"/>
      <c r="X535" s="34" t="str">
        <f aca="false">IF(W535="","",IFERROR(VLOOKUP(W535,REPS!$A$2:$D$40,3,0),""))</f>
        <v/>
      </c>
      <c r="Y535" s="31" t="str">
        <f aca="false">IF(O535="","",IF(X535="",0,O535*IF(X535&gt;1,X535/100,X535)))</f>
        <v/>
      </c>
      <c r="Z535" s="28"/>
      <c r="AA535" s="34" t="str">
        <f aca="false">IF(Z535="","",IFERROR(VLOOKUP(Z535,REPS!$A$2:$D$40,4,0),""))</f>
        <v/>
      </c>
      <c r="AB535" s="31" t="str">
        <f aca="false">IF(O535="","",IF(AA535="",0,O535*IF(AA535&gt;1,AA535/100,AA535)))</f>
        <v/>
      </c>
      <c r="AC535" s="31" t="str">
        <f aca="false">IF(O535="","",V535+Y535+AB535)</f>
        <v/>
      </c>
      <c r="AD535" s="19" t="str">
        <f aca="false">IF(O535="","",O535-R535-AC535)</f>
        <v/>
      </c>
      <c r="AE535" s="20"/>
      <c r="AF535" s="27"/>
      <c r="AG535" s="21" t="n">
        <f aca="false">IF(OR(AE535="",AE535=0),0,AE535*IF(U535="",0,IF(U535&gt;1,U535/100,U535)))</f>
        <v>0</v>
      </c>
      <c r="AH535" s="21" t="n">
        <f aca="false">IF(OR(AE535="",AE535=0),0,AE535*IF(X535="",0,IF(X535&gt;1,X535/100,X535)))</f>
        <v>0</v>
      </c>
      <c r="AI535" s="21" t="n">
        <f aca="false">IF(OR(AE535="",AE535=0),0,AE535*IF(AA535="",0,IF(AA535&gt;1,AA535/100,AA535)))</f>
        <v>0</v>
      </c>
      <c r="AJ535" s="21" t="n">
        <f aca="false">AG535+AH535+AI535</f>
        <v>0</v>
      </c>
      <c r="AK535" s="21" t="n">
        <f aca="false">IF(OR(AE535="",AE535=0),0,AE535-AJ535)</f>
        <v>0</v>
      </c>
      <c r="AL535" s="19" t="str">
        <f aca="false">IF(AD535="","",AD535-AK535)</f>
        <v/>
      </c>
      <c r="AM535" s="26" t="str">
        <f aca="false">IF(C535="","","Waiting for payment")</f>
        <v/>
      </c>
      <c r="AN535" s="27"/>
      <c r="AO535" s="27"/>
      <c r="AP535" s="35" t="str">
        <f aca="false">IF(OR(C535="",I535="",K535=""),"",IF(K535="Monthly",EDATE(C535,ROUND(I535*SETTINGS!$I$8,0)),WORKDAY(C535,ROUND(I535*SETTINGS!$I$8,0))))</f>
        <v/>
      </c>
      <c r="AQ535" s="26" t="str">
        <f aca="true">IF(C535="","",IF(AND(AP535&lt;&gt;"",TODAY()&gt;=AP535),"Refi Ready",IF(TODAY()-C535&gt;=SETTINGS!$I$11,"Prospecting","Performing")))</f>
        <v/>
      </c>
      <c r="AR535" s="35" t="str">
        <f aca="false">IF(OR(C535="",I535="",K535=""),"",IF(K535="Monthly",EDATE(C535,I535),WORKDAY(C535,I535)))</f>
        <v/>
      </c>
      <c r="AS535" s="28"/>
      <c r="AT535" s="36" t="str">
        <f aca="true">IF(C535="","",IF(AM535="Clawed Back","CLAWED",IF(TODAY()&lt;=C535+SETTINGS!$I$2,"⚠ AT RISK","SAFE")))</f>
        <v/>
      </c>
      <c r="AU535" s="28"/>
      <c r="AW535" s="24" t="n">
        <f aca="false">AW534+IF(AND(C535&lt;&gt;"",AO535&lt;&gt;"",OR('REP COMMISSION'!$B$3="",T535='REP COMMISSION'!$B$3,W535='REP COMMISSION'!$B$3,Z535='REP COMMISSION'!$B$3)),1,0)</f>
        <v>0</v>
      </c>
      <c r="AX535" s="24" t="n">
        <f aca="false">AX534+IF(AND(C535&lt;&gt;"",OR(F535="LOC - INITIAL",F535="CONSOLIDATION - UPFRONT COMM",F535="REVERSE - TOTAL FUNDING")),1,0)</f>
        <v>0</v>
      </c>
    </row>
    <row r="536" customFormat="false" ht="15" hidden="false" customHeight="false" outlineLevel="0" collapsed="false">
      <c r="A536" s="8" t="str">
        <f aca="false">IF(C536&lt;&gt;"","F27-"&amp;COUNT($C$4:C536),"")</f>
        <v/>
      </c>
      <c r="B536" s="9" t="str">
        <f aca="false">IF(OR(F536="LOC - INITIAL",F536="CONSOLIDATION - UPFRONT COMM",F536="REVERSE - TOTAL FUNDING"),A536,"")</f>
        <v/>
      </c>
      <c r="C536" s="10"/>
      <c r="D536" s="11"/>
      <c r="E536" s="11"/>
      <c r="F536" s="11"/>
      <c r="G536" s="12"/>
      <c r="H536" s="13"/>
      <c r="I536" s="11"/>
      <c r="J536" s="14" t="str">
        <f aca="false">IF(AND(G536&lt;&gt;"",H536&lt;&gt;""),G536*H536,"")</f>
        <v/>
      </c>
      <c r="K536" s="11"/>
      <c r="L536" s="15"/>
      <c r="M536" s="15"/>
      <c r="N536" s="14" t="n">
        <f aca="false">IF(OR(G536="",M536=""),0,IF(M536&gt;100,M536,G536*IF(M536&gt;1,M536/100,M536)))</f>
        <v>0</v>
      </c>
      <c r="O536" s="14" t="str">
        <f aca="false">IF(G536="","",G536*IF(L536="",0,IF(L536&gt;1,L536/100,L536))+N536)</f>
        <v/>
      </c>
      <c r="P536" s="11"/>
      <c r="Q536" s="16" t="str">
        <f aca="false">IF(P536="","",IFERROR(VLOOKUP(P536,PARTNERS!$A$2:$B$30,2,0),""))</f>
        <v/>
      </c>
      <c r="R536" s="17" t="str">
        <f aca="false">IF(O536="","",IF(OR(P536="",Q536=""),0,(O536-N536)*IF(Q536&gt;1,Q536/100,Q536)))</f>
        <v/>
      </c>
      <c r="S536" s="14" t="str">
        <f aca="false">IF(O536="","",O536-R536)</f>
        <v/>
      </c>
      <c r="T536" s="11"/>
      <c r="U536" s="18" t="str">
        <f aca="false">IF(T536="","",IFERROR(VLOOKUP(T536,REPS!$A$2:$D$40,2,0),""))</f>
        <v/>
      </c>
      <c r="V536" s="14" t="str">
        <f aca="false">IF(O536="","",IF(U536="",0,O536*IF(U536&gt;1,U536/100,U536)))</f>
        <v/>
      </c>
      <c r="W536" s="11"/>
      <c r="X536" s="18" t="str">
        <f aca="false">IF(W536="","",IFERROR(VLOOKUP(W536,REPS!$A$2:$D$40,3,0),""))</f>
        <v/>
      </c>
      <c r="Y536" s="14" t="str">
        <f aca="false">IF(O536="","",IF(X536="",0,O536*IF(X536&gt;1,X536/100,X536)))</f>
        <v/>
      </c>
      <c r="Z536" s="11"/>
      <c r="AA536" s="18" t="str">
        <f aca="false">IF(Z536="","",IFERROR(VLOOKUP(Z536,REPS!$A$2:$D$40,4,0),""))</f>
        <v/>
      </c>
      <c r="AB536" s="14" t="str">
        <f aca="false">IF(O536="","",IF(AA536="",0,O536*IF(AA536&gt;1,AA536/100,AA536)))</f>
        <v/>
      </c>
      <c r="AC536" s="14" t="str">
        <f aca="false">IF(O536="","",V536+Y536+AB536)</f>
        <v/>
      </c>
      <c r="AD536" s="19" t="str">
        <f aca="false">IF(O536="","",O536-R536-AC536)</f>
        <v/>
      </c>
      <c r="AE536" s="20"/>
      <c r="AF536" s="10"/>
      <c r="AG536" s="21" t="n">
        <f aca="false">IF(OR(AE536="",AE536=0),0,AE536*IF(U536="",0,IF(U536&gt;1,U536/100,U536)))</f>
        <v>0</v>
      </c>
      <c r="AH536" s="21" t="n">
        <f aca="false">IF(OR(AE536="",AE536=0),0,AE536*IF(X536="",0,IF(X536&gt;1,X536/100,X536)))</f>
        <v>0</v>
      </c>
      <c r="AI536" s="21" t="n">
        <f aca="false">IF(OR(AE536="",AE536=0),0,AE536*IF(AA536="",0,IF(AA536&gt;1,AA536/100,AA536)))</f>
        <v>0</v>
      </c>
      <c r="AJ536" s="21" t="n">
        <f aca="false">AG536+AH536+AI536</f>
        <v>0</v>
      </c>
      <c r="AK536" s="21" t="n">
        <f aca="false">IF(OR(AE536="",AE536=0),0,AE536-AJ536)</f>
        <v>0</v>
      </c>
      <c r="AL536" s="19" t="str">
        <f aca="false">IF(AD536="","",AD536-AK536)</f>
        <v/>
      </c>
      <c r="AM536" s="9" t="str">
        <f aca="false">IF(C536="","","Waiting for payment")</f>
        <v/>
      </c>
      <c r="AN536" s="10"/>
      <c r="AO536" s="10"/>
      <c r="AP536" s="22" t="str">
        <f aca="false">IF(OR(C536="",I536="",K536=""),"",IF(K536="Monthly",EDATE(C536,ROUND(I536*SETTINGS!$I$8,0)),WORKDAY(C536,ROUND(I536*SETTINGS!$I$8,0))))</f>
        <v/>
      </c>
      <c r="AQ536" s="9" t="str">
        <f aca="true">IF(C536="","",IF(AND(AP536&lt;&gt;"",TODAY()&gt;=AP536),"Refi Ready",IF(TODAY()-C536&gt;=SETTINGS!$I$11,"Prospecting","Performing")))</f>
        <v/>
      </c>
      <c r="AR536" s="22" t="str">
        <f aca="false">IF(OR(C536="",I536="",K536=""),"",IF(K536="Monthly",EDATE(C536,I536),WORKDAY(C536,I536)))</f>
        <v/>
      </c>
      <c r="AS536" s="11"/>
      <c r="AT536" s="23" t="str">
        <f aca="true">IF(C536="","",IF(AM536="Clawed Back","CLAWED",IF(TODAY()&lt;=C536+SETTINGS!$I$2,"⚠ AT RISK","SAFE")))</f>
        <v/>
      </c>
      <c r="AU536" s="11"/>
      <c r="AW536" s="24" t="n">
        <f aca="false">AW535+IF(AND(C536&lt;&gt;"",AO536&lt;&gt;"",OR('REP COMMISSION'!$B$3="",T536='REP COMMISSION'!$B$3,W536='REP COMMISSION'!$B$3,Z536='REP COMMISSION'!$B$3)),1,0)</f>
        <v>0</v>
      </c>
      <c r="AX536" s="24" t="n">
        <f aca="false">AX535+IF(AND(C536&lt;&gt;"",OR(F536="LOC - INITIAL",F536="CONSOLIDATION - UPFRONT COMM",F536="REVERSE - TOTAL FUNDING")),1,0)</f>
        <v>0</v>
      </c>
    </row>
    <row r="537" customFormat="false" ht="15" hidden="false" customHeight="false" outlineLevel="0" collapsed="false">
      <c r="A537" s="25" t="str">
        <f aca="false">IF(C537&lt;&gt;"","F27-"&amp;COUNT($C$4:C537),"")</f>
        <v/>
      </c>
      <c r="B537" s="26" t="str">
        <f aca="false">IF(OR(F537="LOC - INITIAL",F537="CONSOLIDATION - UPFRONT COMM",F537="REVERSE - TOTAL FUNDING"),A537,"")</f>
        <v/>
      </c>
      <c r="C537" s="27"/>
      <c r="D537" s="28"/>
      <c r="E537" s="28"/>
      <c r="F537" s="28"/>
      <c r="G537" s="29"/>
      <c r="H537" s="30"/>
      <c r="I537" s="28"/>
      <c r="J537" s="31" t="str">
        <f aca="false">IF(AND(G537&lt;&gt;"",H537&lt;&gt;""),G537*H537,"")</f>
        <v/>
      </c>
      <c r="K537" s="28"/>
      <c r="L537" s="32"/>
      <c r="M537" s="32"/>
      <c r="N537" s="31" t="n">
        <f aca="false">IF(OR(G537="",M537=""),0,IF(M537&gt;100,M537,G537*IF(M537&gt;1,M537/100,M537)))</f>
        <v>0</v>
      </c>
      <c r="O537" s="31" t="str">
        <f aca="false">IF(G537="","",G537*IF(L537="",0,IF(L537&gt;1,L537/100,L537))+N537)</f>
        <v/>
      </c>
      <c r="P537" s="28"/>
      <c r="Q537" s="33" t="str">
        <f aca="false">IF(P537="","",IFERROR(VLOOKUP(P537,PARTNERS!$A$2:$B$30,2,0),""))</f>
        <v/>
      </c>
      <c r="R537" s="17" t="str">
        <f aca="false">IF(O537="","",IF(OR(P537="",Q537=""),0,(O537-N537)*IF(Q537&gt;1,Q537/100,Q537)))</f>
        <v/>
      </c>
      <c r="S537" s="31" t="str">
        <f aca="false">IF(O537="","",O537-R537)</f>
        <v/>
      </c>
      <c r="T537" s="28"/>
      <c r="U537" s="34" t="str">
        <f aca="false">IF(T537="","",IFERROR(VLOOKUP(T537,REPS!$A$2:$D$40,2,0),""))</f>
        <v/>
      </c>
      <c r="V537" s="31" t="str">
        <f aca="false">IF(O537="","",IF(U537="",0,O537*IF(U537&gt;1,U537/100,U537)))</f>
        <v/>
      </c>
      <c r="W537" s="28"/>
      <c r="X537" s="34" t="str">
        <f aca="false">IF(W537="","",IFERROR(VLOOKUP(W537,REPS!$A$2:$D$40,3,0),""))</f>
        <v/>
      </c>
      <c r="Y537" s="31" t="str">
        <f aca="false">IF(O537="","",IF(X537="",0,O537*IF(X537&gt;1,X537/100,X537)))</f>
        <v/>
      </c>
      <c r="Z537" s="28"/>
      <c r="AA537" s="34" t="str">
        <f aca="false">IF(Z537="","",IFERROR(VLOOKUP(Z537,REPS!$A$2:$D$40,4,0),""))</f>
        <v/>
      </c>
      <c r="AB537" s="31" t="str">
        <f aca="false">IF(O537="","",IF(AA537="",0,O537*IF(AA537&gt;1,AA537/100,AA537)))</f>
        <v/>
      </c>
      <c r="AC537" s="31" t="str">
        <f aca="false">IF(O537="","",V537+Y537+AB537)</f>
        <v/>
      </c>
      <c r="AD537" s="19" t="str">
        <f aca="false">IF(O537="","",O537-R537-AC537)</f>
        <v/>
      </c>
      <c r="AE537" s="20"/>
      <c r="AF537" s="27"/>
      <c r="AG537" s="21" t="n">
        <f aca="false">IF(OR(AE537="",AE537=0),0,AE537*IF(U537="",0,IF(U537&gt;1,U537/100,U537)))</f>
        <v>0</v>
      </c>
      <c r="AH537" s="21" t="n">
        <f aca="false">IF(OR(AE537="",AE537=0),0,AE537*IF(X537="",0,IF(X537&gt;1,X537/100,X537)))</f>
        <v>0</v>
      </c>
      <c r="AI537" s="21" t="n">
        <f aca="false">IF(OR(AE537="",AE537=0),0,AE537*IF(AA537="",0,IF(AA537&gt;1,AA537/100,AA537)))</f>
        <v>0</v>
      </c>
      <c r="AJ537" s="21" t="n">
        <f aca="false">AG537+AH537+AI537</f>
        <v>0</v>
      </c>
      <c r="AK537" s="21" t="n">
        <f aca="false">IF(OR(AE537="",AE537=0),0,AE537-AJ537)</f>
        <v>0</v>
      </c>
      <c r="AL537" s="19" t="str">
        <f aca="false">IF(AD537="","",AD537-AK537)</f>
        <v/>
      </c>
      <c r="AM537" s="26" t="str">
        <f aca="false">IF(C537="","","Waiting for payment")</f>
        <v/>
      </c>
      <c r="AN537" s="27"/>
      <c r="AO537" s="27"/>
      <c r="AP537" s="35" t="str">
        <f aca="false">IF(OR(C537="",I537="",K537=""),"",IF(K537="Monthly",EDATE(C537,ROUND(I537*SETTINGS!$I$8,0)),WORKDAY(C537,ROUND(I537*SETTINGS!$I$8,0))))</f>
        <v/>
      </c>
      <c r="AQ537" s="26" t="str">
        <f aca="true">IF(C537="","",IF(AND(AP537&lt;&gt;"",TODAY()&gt;=AP537),"Refi Ready",IF(TODAY()-C537&gt;=SETTINGS!$I$11,"Prospecting","Performing")))</f>
        <v/>
      </c>
      <c r="AR537" s="35" t="str">
        <f aca="false">IF(OR(C537="",I537="",K537=""),"",IF(K537="Monthly",EDATE(C537,I537),WORKDAY(C537,I537)))</f>
        <v/>
      </c>
      <c r="AS537" s="28"/>
      <c r="AT537" s="36" t="str">
        <f aca="true">IF(C537="","",IF(AM537="Clawed Back","CLAWED",IF(TODAY()&lt;=C537+SETTINGS!$I$2,"⚠ AT RISK","SAFE")))</f>
        <v/>
      </c>
      <c r="AU537" s="28"/>
      <c r="AW537" s="24" t="n">
        <f aca="false">AW536+IF(AND(C537&lt;&gt;"",AO537&lt;&gt;"",OR('REP COMMISSION'!$B$3="",T537='REP COMMISSION'!$B$3,W537='REP COMMISSION'!$B$3,Z537='REP COMMISSION'!$B$3)),1,0)</f>
        <v>0</v>
      </c>
      <c r="AX537" s="24" t="n">
        <f aca="false">AX536+IF(AND(C537&lt;&gt;"",OR(F537="LOC - INITIAL",F537="CONSOLIDATION - UPFRONT COMM",F537="REVERSE - TOTAL FUNDING")),1,0)</f>
        <v>0</v>
      </c>
    </row>
    <row r="538" customFormat="false" ht="15" hidden="false" customHeight="false" outlineLevel="0" collapsed="false">
      <c r="A538" s="8" t="str">
        <f aca="false">IF(C538&lt;&gt;"","F27-"&amp;COUNT($C$4:C538),"")</f>
        <v/>
      </c>
      <c r="B538" s="9" t="str">
        <f aca="false">IF(OR(F538="LOC - INITIAL",F538="CONSOLIDATION - UPFRONT COMM",F538="REVERSE - TOTAL FUNDING"),A538,"")</f>
        <v/>
      </c>
      <c r="C538" s="10"/>
      <c r="D538" s="11"/>
      <c r="E538" s="11"/>
      <c r="F538" s="11"/>
      <c r="G538" s="12"/>
      <c r="H538" s="13"/>
      <c r="I538" s="11"/>
      <c r="J538" s="14" t="str">
        <f aca="false">IF(AND(G538&lt;&gt;"",H538&lt;&gt;""),G538*H538,"")</f>
        <v/>
      </c>
      <c r="K538" s="11"/>
      <c r="L538" s="15"/>
      <c r="M538" s="15"/>
      <c r="N538" s="14" t="n">
        <f aca="false">IF(OR(G538="",M538=""),0,IF(M538&gt;100,M538,G538*IF(M538&gt;1,M538/100,M538)))</f>
        <v>0</v>
      </c>
      <c r="O538" s="14" t="str">
        <f aca="false">IF(G538="","",G538*IF(L538="",0,IF(L538&gt;1,L538/100,L538))+N538)</f>
        <v/>
      </c>
      <c r="P538" s="11"/>
      <c r="Q538" s="16" t="str">
        <f aca="false">IF(P538="","",IFERROR(VLOOKUP(P538,PARTNERS!$A$2:$B$30,2,0),""))</f>
        <v/>
      </c>
      <c r="R538" s="17" t="str">
        <f aca="false">IF(O538="","",IF(OR(P538="",Q538=""),0,(O538-N538)*IF(Q538&gt;1,Q538/100,Q538)))</f>
        <v/>
      </c>
      <c r="S538" s="14" t="str">
        <f aca="false">IF(O538="","",O538-R538)</f>
        <v/>
      </c>
      <c r="T538" s="11"/>
      <c r="U538" s="18" t="str">
        <f aca="false">IF(T538="","",IFERROR(VLOOKUP(T538,REPS!$A$2:$D$40,2,0),""))</f>
        <v/>
      </c>
      <c r="V538" s="14" t="str">
        <f aca="false">IF(O538="","",IF(U538="",0,O538*IF(U538&gt;1,U538/100,U538)))</f>
        <v/>
      </c>
      <c r="W538" s="11"/>
      <c r="X538" s="18" t="str">
        <f aca="false">IF(W538="","",IFERROR(VLOOKUP(W538,REPS!$A$2:$D$40,3,0),""))</f>
        <v/>
      </c>
      <c r="Y538" s="14" t="str">
        <f aca="false">IF(O538="","",IF(X538="",0,O538*IF(X538&gt;1,X538/100,X538)))</f>
        <v/>
      </c>
      <c r="Z538" s="11"/>
      <c r="AA538" s="18" t="str">
        <f aca="false">IF(Z538="","",IFERROR(VLOOKUP(Z538,REPS!$A$2:$D$40,4,0),""))</f>
        <v/>
      </c>
      <c r="AB538" s="14" t="str">
        <f aca="false">IF(O538="","",IF(AA538="",0,O538*IF(AA538&gt;1,AA538/100,AA538)))</f>
        <v/>
      </c>
      <c r="AC538" s="14" t="str">
        <f aca="false">IF(O538="","",V538+Y538+AB538)</f>
        <v/>
      </c>
      <c r="AD538" s="19" t="str">
        <f aca="false">IF(O538="","",O538-R538-AC538)</f>
        <v/>
      </c>
      <c r="AE538" s="20"/>
      <c r="AF538" s="10"/>
      <c r="AG538" s="21" t="n">
        <f aca="false">IF(OR(AE538="",AE538=0),0,AE538*IF(U538="",0,IF(U538&gt;1,U538/100,U538)))</f>
        <v>0</v>
      </c>
      <c r="AH538" s="21" t="n">
        <f aca="false">IF(OR(AE538="",AE538=0),0,AE538*IF(X538="",0,IF(X538&gt;1,X538/100,X538)))</f>
        <v>0</v>
      </c>
      <c r="AI538" s="21" t="n">
        <f aca="false">IF(OR(AE538="",AE538=0),0,AE538*IF(AA538="",0,IF(AA538&gt;1,AA538/100,AA538)))</f>
        <v>0</v>
      </c>
      <c r="AJ538" s="21" t="n">
        <f aca="false">AG538+AH538+AI538</f>
        <v>0</v>
      </c>
      <c r="AK538" s="21" t="n">
        <f aca="false">IF(OR(AE538="",AE538=0),0,AE538-AJ538)</f>
        <v>0</v>
      </c>
      <c r="AL538" s="19" t="str">
        <f aca="false">IF(AD538="","",AD538-AK538)</f>
        <v/>
      </c>
      <c r="AM538" s="9" t="str">
        <f aca="false">IF(C538="","","Waiting for payment")</f>
        <v/>
      </c>
      <c r="AN538" s="10"/>
      <c r="AO538" s="10"/>
      <c r="AP538" s="22" t="str">
        <f aca="false">IF(OR(C538="",I538="",K538=""),"",IF(K538="Monthly",EDATE(C538,ROUND(I538*SETTINGS!$I$8,0)),WORKDAY(C538,ROUND(I538*SETTINGS!$I$8,0))))</f>
        <v/>
      </c>
      <c r="AQ538" s="9" t="str">
        <f aca="true">IF(C538="","",IF(AND(AP538&lt;&gt;"",TODAY()&gt;=AP538),"Refi Ready",IF(TODAY()-C538&gt;=SETTINGS!$I$11,"Prospecting","Performing")))</f>
        <v/>
      </c>
      <c r="AR538" s="22" t="str">
        <f aca="false">IF(OR(C538="",I538="",K538=""),"",IF(K538="Monthly",EDATE(C538,I538),WORKDAY(C538,I538)))</f>
        <v/>
      </c>
      <c r="AS538" s="11"/>
      <c r="AT538" s="23" t="str">
        <f aca="true">IF(C538="","",IF(AM538="Clawed Back","CLAWED",IF(TODAY()&lt;=C538+SETTINGS!$I$2,"⚠ AT RISK","SAFE")))</f>
        <v/>
      </c>
      <c r="AU538" s="11"/>
      <c r="AW538" s="24" t="n">
        <f aca="false">AW537+IF(AND(C538&lt;&gt;"",AO538&lt;&gt;"",OR('REP COMMISSION'!$B$3="",T538='REP COMMISSION'!$B$3,W538='REP COMMISSION'!$B$3,Z538='REP COMMISSION'!$B$3)),1,0)</f>
        <v>0</v>
      </c>
      <c r="AX538" s="24" t="n">
        <f aca="false">AX537+IF(AND(C538&lt;&gt;"",OR(F538="LOC - INITIAL",F538="CONSOLIDATION - UPFRONT COMM",F538="REVERSE - TOTAL FUNDING")),1,0)</f>
        <v>0</v>
      </c>
    </row>
    <row r="539" customFormat="false" ht="15" hidden="false" customHeight="false" outlineLevel="0" collapsed="false">
      <c r="A539" s="25" t="str">
        <f aca="false">IF(C539&lt;&gt;"","F27-"&amp;COUNT($C$4:C539),"")</f>
        <v/>
      </c>
      <c r="B539" s="26" t="str">
        <f aca="false">IF(OR(F539="LOC - INITIAL",F539="CONSOLIDATION - UPFRONT COMM",F539="REVERSE - TOTAL FUNDING"),A539,"")</f>
        <v/>
      </c>
      <c r="C539" s="27"/>
      <c r="D539" s="28"/>
      <c r="E539" s="28"/>
      <c r="F539" s="28"/>
      <c r="G539" s="29"/>
      <c r="H539" s="30"/>
      <c r="I539" s="28"/>
      <c r="J539" s="31" t="str">
        <f aca="false">IF(AND(G539&lt;&gt;"",H539&lt;&gt;""),G539*H539,"")</f>
        <v/>
      </c>
      <c r="K539" s="28"/>
      <c r="L539" s="32"/>
      <c r="M539" s="32"/>
      <c r="N539" s="31" t="n">
        <f aca="false">IF(OR(G539="",M539=""),0,IF(M539&gt;100,M539,G539*IF(M539&gt;1,M539/100,M539)))</f>
        <v>0</v>
      </c>
      <c r="O539" s="31" t="str">
        <f aca="false">IF(G539="","",G539*IF(L539="",0,IF(L539&gt;1,L539/100,L539))+N539)</f>
        <v/>
      </c>
      <c r="P539" s="28"/>
      <c r="Q539" s="33" t="str">
        <f aca="false">IF(P539="","",IFERROR(VLOOKUP(P539,PARTNERS!$A$2:$B$30,2,0),""))</f>
        <v/>
      </c>
      <c r="R539" s="17" t="str">
        <f aca="false">IF(O539="","",IF(OR(P539="",Q539=""),0,(O539-N539)*IF(Q539&gt;1,Q539/100,Q539)))</f>
        <v/>
      </c>
      <c r="S539" s="31" t="str">
        <f aca="false">IF(O539="","",O539-R539)</f>
        <v/>
      </c>
      <c r="T539" s="28"/>
      <c r="U539" s="34" t="str">
        <f aca="false">IF(T539="","",IFERROR(VLOOKUP(T539,REPS!$A$2:$D$40,2,0),""))</f>
        <v/>
      </c>
      <c r="V539" s="31" t="str">
        <f aca="false">IF(O539="","",IF(U539="",0,O539*IF(U539&gt;1,U539/100,U539)))</f>
        <v/>
      </c>
      <c r="W539" s="28"/>
      <c r="X539" s="34" t="str">
        <f aca="false">IF(W539="","",IFERROR(VLOOKUP(W539,REPS!$A$2:$D$40,3,0),""))</f>
        <v/>
      </c>
      <c r="Y539" s="31" t="str">
        <f aca="false">IF(O539="","",IF(X539="",0,O539*IF(X539&gt;1,X539/100,X539)))</f>
        <v/>
      </c>
      <c r="Z539" s="28"/>
      <c r="AA539" s="34" t="str">
        <f aca="false">IF(Z539="","",IFERROR(VLOOKUP(Z539,REPS!$A$2:$D$40,4,0),""))</f>
        <v/>
      </c>
      <c r="AB539" s="31" t="str">
        <f aca="false">IF(O539="","",IF(AA539="",0,O539*IF(AA539&gt;1,AA539/100,AA539)))</f>
        <v/>
      </c>
      <c r="AC539" s="31" t="str">
        <f aca="false">IF(O539="","",V539+Y539+AB539)</f>
        <v/>
      </c>
      <c r="AD539" s="19" t="str">
        <f aca="false">IF(O539="","",O539-R539-AC539)</f>
        <v/>
      </c>
      <c r="AE539" s="20"/>
      <c r="AF539" s="27"/>
      <c r="AG539" s="21" t="n">
        <f aca="false">IF(OR(AE539="",AE539=0),0,AE539*IF(U539="",0,IF(U539&gt;1,U539/100,U539)))</f>
        <v>0</v>
      </c>
      <c r="AH539" s="21" t="n">
        <f aca="false">IF(OR(AE539="",AE539=0),0,AE539*IF(X539="",0,IF(X539&gt;1,X539/100,X539)))</f>
        <v>0</v>
      </c>
      <c r="AI539" s="21" t="n">
        <f aca="false">IF(OR(AE539="",AE539=0),0,AE539*IF(AA539="",0,IF(AA539&gt;1,AA539/100,AA539)))</f>
        <v>0</v>
      </c>
      <c r="AJ539" s="21" t="n">
        <f aca="false">AG539+AH539+AI539</f>
        <v>0</v>
      </c>
      <c r="AK539" s="21" t="n">
        <f aca="false">IF(OR(AE539="",AE539=0),0,AE539-AJ539)</f>
        <v>0</v>
      </c>
      <c r="AL539" s="19" t="str">
        <f aca="false">IF(AD539="","",AD539-AK539)</f>
        <v/>
      </c>
      <c r="AM539" s="26" t="str">
        <f aca="false">IF(C539="","","Waiting for payment")</f>
        <v/>
      </c>
      <c r="AN539" s="27"/>
      <c r="AO539" s="27"/>
      <c r="AP539" s="35" t="str">
        <f aca="false">IF(OR(C539="",I539="",K539=""),"",IF(K539="Monthly",EDATE(C539,ROUND(I539*SETTINGS!$I$8,0)),WORKDAY(C539,ROUND(I539*SETTINGS!$I$8,0))))</f>
        <v/>
      </c>
      <c r="AQ539" s="26" t="str">
        <f aca="true">IF(C539="","",IF(AND(AP539&lt;&gt;"",TODAY()&gt;=AP539),"Refi Ready",IF(TODAY()-C539&gt;=SETTINGS!$I$11,"Prospecting","Performing")))</f>
        <v/>
      </c>
      <c r="AR539" s="35" t="str">
        <f aca="false">IF(OR(C539="",I539="",K539=""),"",IF(K539="Monthly",EDATE(C539,I539),WORKDAY(C539,I539)))</f>
        <v/>
      </c>
      <c r="AS539" s="28"/>
      <c r="AT539" s="36" t="str">
        <f aca="true">IF(C539="","",IF(AM539="Clawed Back","CLAWED",IF(TODAY()&lt;=C539+SETTINGS!$I$2,"⚠ AT RISK","SAFE")))</f>
        <v/>
      </c>
      <c r="AU539" s="28"/>
      <c r="AW539" s="24" t="n">
        <f aca="false">AW538+IF(AND(C539&lt;&gt;"",AO539&lt;&gt;"",OR('REP COMMISSION'!$B$3="",T539='REP COMMISSION'!$B$3,W539='REP COMMISSION'!$B$3,Z539='REP COMMISSION'!$B$3)),1,0)</f>
        <v>0</v>
      </c>
      <c r="AX539" s="24" t="n">
        <f aca="false">AX538+IF(AND(C539&lt;&gt;"",OR(F539="LOC - INITIAL",F539="CONSOLIDATION - UPFRONT COMM",F539="REVERSE - TOTAL FUNDING")),1,0)</f>
        <v>0</v>
      </c>
    </row>
    <row r="540" customFormat="false" ht="15" hidden="false" customHeight="false" outlineLevel="0" collapsed="false">
      <c r="A540" s="8" t="str">
        <f aca="false">IF(C540&lt;&gt;"","F27-"&amp;COUNT($C$4:C540),"")</f>
        <v/>
      </c>
      <c r="B540" s="9" t="str">
        <f aca="false">IF(OR(F540="LOC - INITIAL",F540="CONSOLIDATION - UPFRONT COMM",F540="REVERSE - TOTAL FUNDING"),A540,"")</f>
        <v/>
      </c>
      <c r="C540" s="10"/>
      <c r="D540" s="11"/>
      <c r="E540" s="11"/>
      <c r="F540" s="11"/>
      <c r="G540" s="12"/>
      <c r="H540" s="13"/>
      <c r="I540" s="11"/>
      <c r="J540" s="14" t="str">
        <f aca="false">IF(AND(G540&lt;&gt;"",H540&lt;&gt;""),G540*H540,"")</f>
        <v/>
      </c>
      <c r="K540" s="11"/>
      <c r="L540" s="15"/>
      <c r="M540" s="15"/>
      <c r="N540" s="14" t="n">
        <f aca="false">IF(OR(G540="",M540=""),0,IF(M540&gt;100,M540,G540*IF(M540&gt;1,M540/100,M540)))</f>
        <v>0</v>
      </c>
      <c r="O540" s="14" t="str">
        <f aca="false">IF(G540="","",G540*IF(L540="",0,IF(L540&gt;1,L540/100,L540))+N540)</f>
        <v/>
      </c>
      <c r="P540" s="11"/>
      <c r="Q540" s="16" t="str">
        <f aca="false">IF(P540="","",IFERROR(VLOOKUP(P540,PARTNERS!$A$2:$B$30,2,0),""))</f>
        <v/>
      </c>
      <c r="R540" s="17" t="str">
        <f aca="false">IF(O540="","",IF(OR(P540="",Q540=""),0,(O540-N540)*IF(Q540&gt;1,Q540/100,Q540)))</f>
        <v/>
      </c>
      <c r="S540" s="14" t="str">
        <f aca="false">IF(O540="","",O540-R540)</f>
        <v/>
      </c>
      <c r="T540" s="11"/>
      <c r="U540" s="18" t="str">
        <f aca="false">IF(T540="","",IFERROR(VLOOKUP(T540,REPS!$A$2:$D$40,2,0),""))</f>
        <v/>
      </c>
      <c r="V540" s="14" t="str">
        <f aca="false">IF(O540="","",IF(U540="",0,O540*IF(U540&gt;1,U540/100,U540)))</f>
        <v/>
      </c>
      <c r="W540" s="11"/>
      <c r="X540" s="18" t="str">
        <f aca="false">IF(W540="","",IFERROR(VLOOKUP(W540,REPS!$A$2:$D$40,3,0),""))</f>
        <v/>
      </c>
      <c r="Y540" s="14" t="str">
        <f aca="false">IF(O540="","",IF(X540="",0,O540*IF(X540&gt;1,X540/100,X540)))</f>
        <v/>
      </c>
      <c r="Z540" s="11"/>
      <c r="AA540" s="18" t="str">
        <f aca="false">IF(Z540="","",IFERROR(VLOOKUP(Z540,REPS!$A$2:$D$40,4,0),""))</f>
        <v/>
      </c>
      <c r="AB540" s="14" t="str">
        <f aca="false">IF(O540="","",IF(AA540="",0,O540*IF(AA540&gt;1,AA540/100,AA540)))</f>
        <v/>
      </c>
      <c r="AC540" s="14" t="str">
        <f aca="false">IF(O540="","",V540+Y540+AB540)</f>
        <v/>
      </c>
      <c r="AD540" s="19" t="str">
        <f aca="false">IF(O540="","",O540-R540-AC540)</f>
        <v/>
      </c>
      <c r="AE540" s="20"/>
      <c r="AF540" s="10"/>
      <c r="AG540" s="21" t="n">
        <f aca="false">IF(OR(AE540="",AE540=0),0,AE540*IF(U540="",0,IF(U540&gt;1,U540/100,U540)))</f>
        <v>0</v>
      </c>
      <c r="AH540" s="21" t="n">
        <f aca="false">IF(OR(AE540="",AE540=0),0,AE540*IF(X540="",0,IF(X540&gt;1,X540/100,X540)))</f>
        <v>0</v>
      </c>
      <c r="AI540" s="21" t="n">
        <f aca="false">IF(OR(AE540="",AE540=0),0,AE540*IF(AA540="",0,IF(AA540&gt;1,AA540/100,AA540)))</f>
        <v>0</v>
      </c>
      <c r="AJ540" s="21" t="n">
        <f aca="false">AG540+AH540+AI540</f>
        <v>0</v>
      </c>
      <c r="AK540" s="21" t="n">
        <f aca="false">IF(OR(AE540="",AE540=0),0,AE540-AJ540)</f>
        <v>0</v>
      </c>
      <c r="AL540" s="19" t="str">
        <f aca="false">IF(AD540="","",AD540-AK540)</f>
        <v/>
      </c>
      <c r="AM540" s="9" t="str">
        <f aca="false">IF(C540="","","Waiting for payment")</f>
        <v/>
      </c>
      <c r="AN540" s="10"/>
      <c r="AO540" s="10"/>
      <c r="AP540" s="22" t="str">
        <f aca="false">IF(OR(C540="",I540="",K540=""),"",IF(K540="Monthly",EDATE(C540,ROUND(I540*SETTINGS!$I$8,0)),WORKDAY(C540,ROUND(I540*SETTINGS!$I$8,0))))</f>
        <v/>
      </c>
      <c r="AQ540" s="9" t="str">
        <f aca="true">IF(C540="","",IF(AND(AP540&lt;&gt;"",TODAY()&gt;=AP540),"Refi Ready",IF(TODAY()-C540&gt;=SETTINGS!$I$11,"Prospecting","Performing")))</f>
        <v/>
      </c>
      <c r="AR540" s="22" t="str">
        <f aca="false">IF(OR(C540="",I540="",K540=""),"",IF(K540="Monthly",EDATE(C540,I540),WORKDAY(C540,I540)))</f>
        <v/>
      </c>
      <c r="AS540" s="11"/>
      <c r="AT540" s="23" t="str">
        <f aca="true">IF(C540="","",IF(AM540="Clawed Back","CLAWED",IF(TODAY()&lt;=C540+SETTINGS!$I$2,"⚠ AT RISK","SAFE")))</f>
        <v/>
      </c>
      <c r="AU540" s="11"/>
      <c r="AW540" s="24" t="n">
        <f aca="false">AW539+IF(AND(C540&lt;&gt;"",AO540&lt;&gt;"",OR('REP COMMISSION'!$B$3="",T540='REP COMMISSION'!$B$3,W540='REP COMMISSION'!$B$3,Z540='REP COMMISSION'!$B$3)),1,0)</f>
        <v>0</v>
      </c>
      <c r="AX540" s="24" t="n">
        <f aca="false">AX539+IF(AND(C540&lt;&gt;"",OR(F540="LOC - INITIAL",F540="CONSOLIDATION - UPFRONT COMM",F540="REVERSE - TOTAL FUNDING")),1,0)</f>
        <v>0</v>
      </c>
    </row>
    <row r="541" customFormat="false" ht="15" hidden="false" customHeight="false" outlineLevel="0" collapsed="false">
      <c r="A541" s="25" t="str">
        <f aca="false">IF(C541&lt;&gt;"","F27-"&amp;COUNT($C$4:C541),"")</f>
        <v/>
      </c>
      <c r="B541" s="26" t="str">
        <f aca="false">IF(OR(F541="LOC - INITIAL",F541="CONSOLIDATION - UPFRONT COMM",F541="REVERSE - TOTAL FUNDING"),A541,"")</f>
        <v/>
      </c>
      <c r="C541" s="27"/>
      <c r="D541" s="28"/>
      <c r="E541" s="28"/>
      <c r="F541" s="28"/>
      <c r="G541" s="29"/>
      <c r="H541" s="30"/>
      <c r="I541" s="28"/>
      <c r="J541" s="31" t="str">
        <f aca="false">IF(AND(G541&lt;&gt;"",H541&lt;&gt;""),G541*H541,"")</f>
        <v/>
      </c>
      <c r="K541" s="28"/>
      <c r="L541" s="32"/>
      <c r="M541" s="32"/>
      <c r="N541" s="31" t="n">
        <f aca="false">IF(OR(G541="",M541=""),0,IF(M541&gt;100,M541,G541*IF(M541&gt;1,M541/100,M541)))</f>
        <v>0</v>
      </c>
      <c r="O541" s="31" t="str">
        <f aca="false">IF(G541="","",G541*IF(L541="",0,IF(L541&gt;1,L541/100,L541))+N541)</f>
        <v/>
      </c>
      <c r="P541" s="28"/>
      <c r="Q541" s="33" t="str">
        <f aca="false">IF(P541="","",IFERROR(VLOOKUP(P541,PARTNERS!$A$2:$B$30,2,0),""))</f>
        <v/>
      </c>
      <c r="R541" s="17" t="str">
        <f aca="false">IF(O541="","",IF(OR(P541="",Q541=""),0,(O541-N541)*IF(Q541&gt;1,Q541/100,Q541)))</f>
        <v/>
      </c>
      <c r="S541" s="31" t="str">
        <f aca="false">IF(O541="","",O541-R541)</f>
        <v/>
      </c>
      <c r="T541" s="28"/>
      <c r="U541" s="34" t="str">
        <f aca="false">IF(T541="","",IFERROR(VLOOKUP(T541,REPS!$A$2:$D$40,2,0),""))</f>
        <v/>
      </c>
      <c r="V541" s="31" t="str">
        <f aca="false">IF(O541="","",IF(U541="",0,O541*IF(U541&gt;1,U541/100,U541)))</f>
        <v/>
      </c>
      <c r="W541" s="28"/>
      <c r="X541" s="34" t="str">
        <f aca="false">IF(W541="","",IFERROR(VLOOKUP(W541,REPS!$A$2:$D$40,3,0),""))</f>
        <v/>
      </c>
      <c r="Y541" s="31" t="str">
        <f aca="false">IF(O541="","",IF(X541="",0,O541*IF(X541&gt;1,X541/100,X541)))</f>
        <v/>
      </c>
      <c r="Z541" s="28"/>
      <c r="AA541" s="34" t="str">
        <f aca="false">IF(Z541="","",IFERROR(VLOOKUP(Z541,REPS!$A$2:$D$40,4,0),""))</f>
        <v/>
      </c>
      <c r="AB541" s="31" t="str">
        <f aca="false">IF(O541="","",IF(AA541="",0,O541*IF(AA541&gt;1,AA541/100,AA541)))</f>
        <v/>
      </c>
      <c r="AC541" s="31" t="str">
        <f aca="false">IF(O541="","",V541+Y541+AB541)</f>
        <v/>
      </c>
      <c r="AD541" s="19" t="str">
        <f aca="false">IF(O541="","",O541-R541-AC541)</f>
        <v/>
      </c>
      <c r="AE541" s="20"/>
      <c r="AF541" s="27"/>
      <c r="AG541" s="21" t="n">
        <f aca="false">IF(OR(AE541="",AE541=0),0,AE541*IF(U541="",0,IF(U541&gt;1,U541/100,U541)))</f>
        <v>0</v>
      </c>
      <c r="AH541" s="21" t="n">
        <f aca="false">IF(OR(AE541="",AE541=0),0,AE541*IF(X541="",0,IF(X541&gt;1,X541/100,X541)))</f>
        <v>0</v>
      </c>
      <c r="AI541" s="21" t="n">
        <f aca="false">IF(OR(AE541="",AE541=0),0,AE541*IF(AA541="",0,IF(AA541&gt;1,AA541/100,AA541)))</f>
        <v>0</v>
      </c>
      <c r="AJ541" s="21" t="n">
        <f aca="false">AG541+AH541+AI541</f>
        <v>0</v>
      </c>
      <c r="AK541" s="21" t="n">
        <f aca="false">IF(OR(AE541="",AE541=0),0,AE541-AJ541)</f>
        <v>0</v>
      </c>
      <c r="AL541" s="19" t="str">
        <f aca="false">IF(AD541="","",AD541-AK541)</f>
        <v/>
      </c>
      <c r="AM541" s="26" t="str">
        <f aca="false">IF(C541="","","Waiting for payment")</f>
        <v/>
      </c>
      <c r="AN541" s="27"/>
      <c r="AO541" s="27"/>
      <c r="AP541" s="35" t="str">
        <f aca="false">IF(OR(C541="",I541="",K541=""),"",IF(K541="Monthly",EDATE(C541,ROUND(I541*SETTINGS!$I$8,0)),WORKDAY(C541,ROUND(I541*SETTINGS!$I$8,0))))</f>
        <v/>
      </c>
      <c r="AQ541" s="26" t="str">
        <f aca="true">IF(C541="","",IF(AND(AP541&lt;&gt;"",TODAY()&gt;=AP541),"Refi Ready",IF(TODAY()-C541&gt;=SETTINGS!$I$11,"Prospecting","Performing")))</f>
        <v/>
      </c>
      <c r="AR541" s="35" t="str">
        <f aca="false">IF(OR(C541="",I541="",K541=""),"",IF(K541="Monthly",EDATE(C541,I541),WORKDAY(C541,I541)))</f>
        <v/>
      </c>
      <c r="AS541" s="28"/>
      <c r="AT541" s="36" t="str">
        <f aca="true">IF(C541="","",IF(AM541="Clawed Back","CLAWED",IF(TODAY()&lt;=C541+SETTINGS!$I$2,"⚠ AT RISK","SAFE")))</f>
        <v/>
      </c>
      <c r="AU541" s="28"/>
      <c r="AW541" s="24" t="n">
        <f aca="false">AW540+IF(AND(C541&lt;&gt;"",AO541&lt;&gt;"",OR('REP COMMISSION'!$B$3="",T541='REP COMMISSION'!$B$3,W541='REP COMMISSION'!$B$3,Z541='REP COMMISSION'!$B$3)),1,0)</f>
        <v>0</v>
      </c>
      <c r="AX541" s="24" t="n">
        <f aca="false">AX540+IF(AND(C541&lt;&gt;"",OR(F541="LOC - INITIAL",F541="CONSOLIDATION - UPFRONT COMM",F541="REVERSE - TOTAL FUNDING")),1,0)</f>
        <v>0</v>
      </c>
    </row>
    <row r="542" customFormat="false" ht="15" hidden="false" customHeight="false" outlineLevel="0" collapsed="false">
      <c r="A542" s="8" t="str">
        <f aca="false">IF(C542&lt;&gt;"","F27-"&amp;COUNT($C$4:C542),"")</f>
        <v/>
      </c>
      <c r="B542" s="9" t="str">
        <f aca="false">IF(OR(F542="LOC - INITIAL",F542="CONSOLIDATION - UPFRONT COMM",F542="REVERSE - TOTAL FUNDING"),A542,"")</f>
        <v/>
      </c>
      <c r="C542" s="10"/>
      <c r="D542" s="11"/>
      <c r="E542" s="11"/>
      <c r="F542" s="11"/>
      <c r="G542" s="12"/>
      <c r="H542" s="13"/>
      <c r="I542" s="11"/>
      <c r="J542" s="14" t="str">
        <f aca="false">IF(AND(G542&lt;&gt;"",H542&lt;&gt;""),G542*H542,"")</f>
        <v/>
      </c>
      <c r="K542" s="11"/>
      <c r="L542" s="15"/>
      <c r="M542" s="15"/>
      <c r="N542" s="14" t="n">
        <f aca="false">IF(OR(G542="",M542=""),0,IF(M542&gt;100,M542,G542*IF(M542&gt;1,M542/100,M542)))</f>
        <v>0</v>
      </c>
      <c r="O542" s="14" t="str">
        <f aca="false">IF(G542="","",G542*IF(L542="",0,IF(L542&gt;1,L542/100,L542))+N542)</f>
        <v/>
      </c>
      <c r="P542" s="11"/>
      <c r="Q542" s="16" t="str">
        <f aca="false">IF(P542="","",IFERROR(VLOOKUP(P542,PARTNERS!$A$2:$B$30,2,0),""))</f>
        <v/>
      </c>
      <c r="R542" s="17" t="str">
        <f aca="false">IF(O542="","",IF(OR(P542="",Q542=""),0,(O542-N542)*IF(Q542&gt;1,Q542/100,Q542)))</f>
        <v/>
      </c>
      <c r="S542" s="14" t="str">
        <f aca="false">IF(O542="","",O542-R542)</f>
        <v/>
      </c>
      <c r="T542" s="11"/>
      <c r="U542" s="18" t="str">
        <f aca="false">IF(T542="","",IFERROR(VLOOKUP(T542,REPS!$A$2:$D$40,2,0),""))</f>
        <v/>
      </c>
      <c r="V542" s="14" t="str">
        <f aca="false">IF(O542="","",IF(U542="",0,O542*IF(U542&gt;1,U542/100,U542)))</f>
        <v/>
      </c>
      <c r="W542" s="11"/>
      <c r="X542" s="18" t="str">
        <f aca="false">IF(W542="","",IFERROR(VLOOKUP(W542,REPS!$A$2:$D$40,3,0),""))</f>
        <v/>
      </c>
      <c r="Y542" s="14" t="str">
        <f aca="false">IF(O542="","",IF(X542="",0,O542*IF(X542&gt;1,X542/100,X542)))</f>
        <v/>
      </c>
      <c r="Z542" s="11"/>
      <c r="AA542" s="18" t="str">
        <f aca="false">IF(Z542="","",IFERROR(VLOOKUP(Z542,REPS!$A$2:$D$40,4,0),""))</f>
        <v/>
      </c>
      <c r="AB542" s="14" t="str">
        <f aca="false">IF(O542="","",IF(AA542="",0,O542*IF(AA542&gt;1,AA542/100,AA542)))</f>
        <v/>
      </c>
      <c r="AC542" s="14" t="str">
        <f aca="false">IF(O542="","",V542+Y542+AB542)</f>
        <v/>
      </c>
      <c r="AD542" s="19" t="str">
        <f aca="false">IF(O542="","",O542-R542-AC542)</f>
        <v/>
      </c>
      <c r="AE542" s="20"/>
      <c r="AF542" s="10"/>
      <c r="AG542" s="21" t="n">
        <f aca="false">IF(OR(AE542="",AE542=0),0,AE542*IF(U542="",0,IF(U542&gt;1,U542/100,U542)))</f>
        <v>0</v>
      </c>
      <c r="AH542" s="21" t="n">
        <f aca="false">IF(OR(AE542="",AE542=0),0,AE542*IF(X542="",0,IF(X542&gt;1,X542/100,X542)))</f>
        <v>0</v>
      </c>
      <c r="AI542" s="21" t="n">
        <f aca="false">IF(OR(AE542="",AE542=0),0,AE542*IF(AA542="",0,IF(AA542&gt;1,AA542/100,AA542)))</f>
        <v>0</v>
      </c>
      <c r="AJ542" s="21" t="n">
        <f aca="false">AG542+AH542+AI542</f>
        <v>0</v>
      </c>
      <c r="AK542" s="21" t="n">
        <f aca="false">IF(OR(AE542="",AE542=0),0,AE542-AJ542)</f>
        <v>0</v>
      </c>
      <c r="AL542" s="19" t="str">
        <f aca="false">IF(AD542="","",AD542-AK542)</f>
        <v/>
      </c>
      <c r="AM542" s="9" t="str">
        <f aca="false">IF(C542="","","Waiting for payment")</f>
        <v/>
      </c>
      <c r="AN542" s="10"/>
      <c r="AO542" s="10"/>
      <c r="AP542" s="22" t="str">
        <f aca="false">IF(OR(C542="",I542="",K542=""),"",IF(K542="Monthly",EDATE(C542,ROUND(I542*SETTINGS!$I$8,0)),WORKDAY(C542,ROUND(I542*SETTINGS!$I$8,0))))</f>
        <v/>
      </c>
      <c r="AQ542" s="9" t="str">
        <f aca="true">IF(C542="","",IF(AND(AP542&lt;&gt;"",TODAY()&gt;=AP542),"Refi Ready",IF(TODAY()-C542&gt;=SETTINGS!$I$11,"Prospecting","Performing")))</f>
        <v/>
      </c>
      <c r="AR542" s="22" t="str">
        <f aca="false">IF(OR(C542="",I542="",K542=""),"",IF(K542="Monthly",EDATE(C542,I542),WORKDAY(C542,I542)))</f>
        <v/>
      </c>
      <c r="AS542" s="11"/>
      <c r="AT542" s="23" t="str">
        <f aca="true">IF(C542="","",IF(AM542="Clawed Back","CLAWED",IF(TODAY()&lt;=C542+SETTINGS!$I$2,"⚠ AT RISK","SAFE")))</f>
        <v/>
      </c>
      <c r="AU542" s="11"/>
      <c r="AW542" s="24" t="n">
        <f aca="false">AW541+IF(AND(C542&lt;&gt;"",AO542&lt;&gt;"",OR('REP COMMISSION'!$B$3="",T542='REP COMMISSION'!$B$3,W542='REP COMMISSION'!$B$3,Z542='REP COMMISSION'!$B$3)),1,0)</f>
        <v>0</v>
      </c>
      <c r="AX542" s="24" t="n">
        <f aca="false">AX541+IF(AND(C542&lt;&gt;"",OR(F542="LOC - INITIAL",F542="CONSOLIDATION - UPFRONT COMM",F542="REVERSE - TOTAL FUNDING")),1,0)</f>
        <v>0</v>
      </c>
    </row>
    <row r="543" customFormat="false" ht="15" hidden="false" customHeight="false" outlineLevel="0" collapsed="false">
      <c r="A543" s="25" t="str">
        <f aca="false">IF(C543&lt;&gt;"","F27-"&amp;COUNT($C$4:C543),"")</f>
        <v/>
      </c>
      <c r="B543" s="26" t="str">
        <f aca="false">IF(OR(F543="LOC - INITIAL",F543="CONSOLIDATION - UPFRONT COMM",F543="REVERSE - TOTAL FUNDING"),A543,"")</f>
        <v/>
      </c>
      <c r="C543" s="27"/>
      <c r="D543" s="28"/>
      <c r="E543" s="28"/>
      <c r="F543" s="28"/>
      <c r="G543" s="29"/>
      <c r="H543" s="30"/>
      <c r="I543" s="28"/>
      <c r="J543" s="31" t="str">
        <f aca="false">IF(AND(G543&lt;&gt;"",H543&lt;&gt;""),G543*H543,"")</f>
        <v/>
      </c>
      <c r="K543" s="28"/>
      <c r="L543" s="32"/>
      <c r="M543" s="32"/>
      <c r="N543" s="31" t="n">
        <f aca="false">IF(OR(G543="",M543=""),0,IF(M543&gt;100,M543,G543*IF(M543&gt;1,M543/100,M543)))</f>
        <v>0</v>
      </c>
      <c r="O543" s="31" t="str">
        <f aca="false">IF(G543="","",G543*IF(L543="",0,IF(L543&gt;1,L543/100,L543))+N543)</f>
        <v/>
      </c>
      <c r="P543" s="28"/>
      <c r="Q543" s="33" t="str">
        <f aca="false">IF(P543="","",IFERROR(VLOOKUP(P543,PARTNERS!$A$2:$B$30,2,0),""))</f>
        <v/>
      </c>
      <c r="R543" s="17" t="str">
        <f aca="false">IF(O543="","",IF(OR(P543="",Q543=""),0,(O543-N543)*IF(Q543&gt;1,Q543/100,Q543)))</f>
        <v/>
      </c>
      <c r="S543" s="31" t="str">
        <f aca="false">IF(O543="","",O543-R543)</f>
        <v/>
      </c>
      <c r="T543" s="28"/>
      <c r="U543" s="34" t="str">
        <f aca="false">IF(T543="","",IFERROR(VLOOKUP(T543,REPS!$A$2:$D$40,2,0),""))</f>
        <v/>
      </c>
      <c r="V543" s="31" t="str">
        <f aca="false">IF(O543="","",IF(U543="",0,O543*IF(U543&gt;1,U543/100,U543)))</f>
        <v/>
      </c>
      <c r="W543" s="28"/>
      <c r="X543" s="34" t="str">
        <f aca="false">IF(W543="","",IFERROR(VLOOKUP(W543,REPS!$A$2:$D$40,3,0),""))</f>
        <v/>
      </c>
      <c r="Y543" s="31" t="str">
        <f aca="false">IF(O543="","",IF(X543="",0,O543*IF(X543&gt;1,X543/100,X543)))</f>
        <v/>
      </c>
      <c r="Z543" s="28"/>
      <c r="AA543" s="34" t="str">
        <f aca="false">IF(Z543="","",IFERROR(VLOOKUP(Z543,REPS!$A$2:$D$40,4,0),""))</f>
        <v/>
      </c>
      <c r="AB543" s="31" t="str">
        <f aca="false">IF(O543="","",IF(AA543="",0,O543*IF(AA543&gt;1,AA543/100,AA543)))</f>
        <v/>
      </c>
      <c r="AC543" s="31" t="str">
        <f aca="false">IF(O543="","",V543+Y543+AB543)</f>
        <v/>
      </c>
      <c r="AD543" s="19" t="str">
        <f aca="false">IF(O543="","",O543-R543-AC543)</f>
        <v/>
      </c>
      <c r="AE543" s="20"/>
      <c r="AF543" s="27"/>
      <c r="AG543" s="21" t="n">
        <f aca="false">IF(OR(AE543="",AE543=0),0,AE543*IF(U543="",0,IF(U543&gt;1,U543/100,U543)))</f>
        <v>0</v>
      </c>
      <c r="AH543" s="21" t="n">
        <f aca="false">IF(OR(AE543="",AE543=0),0,AE543*IF(X543="",0,IF(X543&gt;1,X543/100,X543)))</f>
        <v>0</v>
      </c>
      <c r="AI543" s="21" t="n">
        <f aca="false">IF(OR(AE543="",AE543=0),0,AE543*IF(AA543="",0,IF(AA543&gt;1,AA543/100,AA543)))</f>
        <v>0</v>
      </c>
      <c r="AJ543" s="21" t="n">
        <f aca="false">AG543+AH543+AI543</f>
        <v>0</v>
      </c>
      <c r="AK543" s="21" t="n">
        <f aca="false">IF(OR(AE543="",AE543=0),0,AE543-AJ543)</f>
        <v>0</v>
      </c>
      <c r="AL543" s="19" t="str">
        <f aca="false">IF(AD543="","",AD543-AK543)</f>
        <v/>
      </c>
      <c r="AM543" s="26" t="str">
        <f aca="false">IF(C543="","","Waiting for payment")</f>
        <v/>
      </c>
      <c r="AN543" s="27"/>
      <c r="AO543" s="27"/>
      <c r="AP543" s="35" t="str">
        <f aca="false">IF(OR(C543="",I543="",K543=""),"",IF(K543="Monthly",EDATE(C543,ROUND(I543*SETTINGS!$I$8,0)),WORKDAY(C543,ROUND(I543*SETTINGS!$I$8,0))))</f>
        <v/>
      </c>
      <c r="AQ543" s="26" t="str">
        <f aca="true">IF(C543="","",IF(AND(AP543&lt;&gt;"",TODAY()&gt;=AP543),"Refi Ready",IF(TODAY()-C543&gt;=SETTINGS!$I$11,"Prospecting","Performing")))</f>
        <v/>
      </c>
      <c r="AR543" s="35" t="str">
        <f aca="false">IF(OR(C543="",I543="",K543=""),"",IF(K543="Monthly",EDATE(C543,I543),WORKDAY(C543,I543)))</f>
        <v/>
      </c>
      <c r="AS543" s="28"/>
      <c r="AT543" s="36" t="str">
        <f aca="true">IF(C543="","",IF(AM543="Clawed Back","CLAWED",IF(TODAY()&lt;=C543+SETTINGS!$I$2,"⚠ AT RISK","SAFE")))</f>
        <v/>
      </c>
      <c r="AU543" s="28"/>
      <c r="AW543" s="24" t="n">
        <f aca="false">AW542+IF(AND(C543&lt;&gt;"",AO543&lt;&gt;"",OR('REP COMMISSION'!$B$3="",T543='REP COMMISSION'!$B$3,W543='REP COMMISSION'!$B$3,Z543='REP COMMISSION'!$B$3)),1,0)</f>
        <v>0</v>
      </c>
      <c r="AX543" s="24" t="n">
        <f aca="false">AX542+IF(AND(C543&lt;&gt;"",OR(F543="LOC - INITIAL",F543="CONSOLIDATION - UPFRONT COMM",F543="REVERSE - TOTAL FUNDING")),1,0)</f>
        <v>0</v>
      </c>
    </row>
    <row r="544" customFormat="false" ht="15" hidden="false" customHeight="false" outlineLevel="0" collapsed="false">
      <c r="A544" s="8" t="str">
        <f aca="false">IF(C544&lt;&gt;"","F27-"&amp;COUNT($C$4:C544),"")</f>
        <v/>
      </c>
      <c r="B544" s="9" t="str">
        <f aca="false">IF(OR(F544="LOC - INITIAL",F544="CONSOLIDATION - UPFRONT COMM",F544="REVERSE - TOTAL FUNDING"),A544,"")</f>
        <v/>
      </c>
      <c r="C544" s="10"/>
      <c r="D544" s="11"/>
      <c r="E544" s="11"/>
      <c r="F544" s="11"/>
      <c r="G544" s="12"/>
      <c r="H544" s="13"/>
      <c r="I544" s="11"/>
      <c r="J544" s="14" t="str">
        <f aca="false">IF(AND(G544&lt;&gt;"",H544&lt;&gt;""),G544*H544,"")</f>
        <v/>
      </c>
      <c r="K544" s="11"/>
      <c r="L544" s="15"/>
      <c r="M544" s="15"/>
      <c r="N544" s="14" t="n">
        <f aca="false">IF(OR(G544="",M544=""),0,IF(M544&gt;100,M544,G544*IF(M544&gt;1,M544/100,M544)))</f>
        <v>0</v>
      </c>
      <c r="O544" s="14" t="str">
        <f aca="false">IF(G544="","",G544*IF(L544="",0,IF(L544&gt;1,L544/100,L544))+N544)</f>
        <v/>
      </c>
      <c r="P544" s="11"/>
      <c r="Q544" s="16" t="str">
        <f aca="false">IF(P544="","",IFERROR(VLOOKUP(P544,PARTNERS!$A$2:$B$30,2,0),""))</f>
        <v/>
      </c>
      <c r="R544" s="17" t="str">
        <f aca="false">IF(O544="","",IF(OR(P544="",Q544=""),0,(O544-N544)*IF(Q544&gt;1,Q544/100,Q544)))</f>
        <v/>
      </c>
      <c r="S544" s="14" t="str">
        <f aca="false">IF(O544="","",O544-R544)</f>
        <v/>
      </c>
      <c r="T544" s="11"/>
      <c r="U544" s="18" t="str">
        <f aca="false">IF(T544="","",IFERROR(VLOOKUP(T544,REPS!$A$2:$D$40,2,0),""))</f>
        <v/>
      </c>
      <c r="V544" s="14" t="str">
        <f aca="false">IF(O544="","",IF(U544="",0,O544*IF(U544&gt;1,U544/100,U544)))</f>
        <v/>
      </c>
      <c r="W544" s="11"/>
      <c r="X544" s="18" t="str">
        <f aca="false">IF(W544="","",IFERROR(VLOOKUP(W544,REPS!$A$2:$D$40,3,0),""))</f>
        <v/>
      </c>
      <c r="Y544" s="14" t="str">
        <f aca="false">IF(O544="","",IF(X544="",0,O544*IF(X544&gt;1,X544/100,X544)))</f>
        <v/>
      </c>
      <c r="Z544" s="11"/>
      <c r="AA544" s="18" t="str">
        <f aca="false">IF(Z544="","",IFERROR(VLOOKUP(Z544,REPS!$A$2:$D$40,4,0),""))</f>
        <v/>
      </c>
      <c r="AB544" s="14" t="str">
        <f aca="false">IF(O544="","",IF(AA544="",0,O544*IF(AA544&gt;1,AA544/100,AA544)))</f>
        <v/>
      </c>
      <c r="AC544" s="14" t="str">
        <f aca="false">IF(O544="","",V544+Y544+AB544)</f>
        <v/>
      </c>
      <c r="AD544" s="19" t="str">
        <f aca="false">IF(O544="","",O544-R544-AC544)</f>
        <v/>
      </c>
      <c r="AE544" s="20"/>
      <c r="AF544" s="10"/>
      <c r="AG544" s="21" t="n">
        <f aca="false">IF(OR(AE544="",AE544=0),0,AE544*IF(U544="",0,IF(U544&gt;1,U544/100,U544)))</f>
        <v>0</v>
      </c>
      <c r="AH544" s="21" t="n">
        <f aca="false">IF(OR(AE544="",AE544=0),0,AE544*IF(X544="",0,IF(X544&gt;1,X544/100,X544)))</f>
        <v>0</v>
      </c>
      <c r="AI544" s="21" t="n">
        <f aca="false">IF(OR(AE544="",AE544=0),0,AE544*IF(AA544="",0,IF(AA544&gt;1,AA544/100,AA544)))</f>
        <v>0</v>
      </c>
      <c r="AJ544" s="21" t="n">
        <f aca="false">AG544+AH544+AI544</f>
        <v>0</v>
      </c>
      <c r="AK544" s="21" t="n">
        <f aca="false">IF(OR(AE544="",AE544=0),0,AE544-AJ544)</f>
        <v>0</v>
      </c>
      <c r="AL544" s="19" t="str">
        <f aca="false">IF(AD544="","",AD544-AK544)</f>
        <v/>
      </c>
      <c r="AM544" s="9" t="str">
        <f aca="false">IF(C544="","","Waiting for payment")</f>
        <v/>
      </c>
      <c r="AN544" s="10"/>
      <c r="AO544" s="10"/>
      <c r="AP544" s="22" t="str">
        <f aca="false">IF(OR(C544="",I544="",K544=""),"",IF(K544="Monthly",EDATE(C544,ROUND(I544*SETTINGS!$I$8,0)),WORKDAY(C544,ROUND(I544*SETTINGS!$I$8,0))))</f>
        <v/>
      </c>
      <c r="AQ544" s="9" t="str">
        <f aca="true">IF(C544="","",IF(AND(AP544&lt;&gt;"",TODAY()&gt;=AP544),"Refi Ready",IF(TODAY()-C544&gt;=SETTINGS!$I$11,"Prospecting","Performing")))</f>
        <v/>
      </c>
      <c r="AR544" s="22" t="str">
        <f aca="false">IF(OR(C544="",I544="",K544=""),"",IF(K544="Monthly",EDATE(C544,I544),WORKDAY(C544,I544)))</f>
        <v/>
      </c>
      <c r="AS544" s="11"/>
      <c r="AT544" s="23" t="str">
        <f aca="true">IF(C544="","",IF(AM544="Clawed Back","CLAWED",IF(TODAY()&lt;=C544+SETTINGS!$I$2,"⚠ AT RISK","SAFE")))</f>
        <v/>
      </c>
      <c r="AU544" s="11"/>
      <c r="AW544" s="24" t="n">
        <f aca="false">AW543+IF(AND(C544&lt;&gt;"",AO544&lt;&gt;"",OR('REP COMMISSION'!$B$3="",T544='REP COMMISSION'!$B$3,W544='REP COMMISSION'!$B$3,Z544='REP COMMISSION'!$B$3)),1,0)</f>
        <v>0</v>
      </c>
      <c r="AX544" s="24" t="n">
        <f aca="false">AX543+IF(AND(C544&lt;&gt;"",OR(F544="LOC - INITIAL",F544="CONSOLIDATION - UPFRONT COMM",F544="REVERSE - TOTAL FUNDING")),1,0)</f>
        <v>0</v>
      </c>
    </row>
    <row r="545" customFormat="false" ht="15" hidden="false" customHeight="false" outlineLevel="0" collapsed="false">
      <c r="A545" s="25" t="str">
        <f aca="false">IF(C545&lt;&gt;"","F27-"&amp;COUNT($C$4:C545),"")</f>
        <v/>
      </c>
      <c r="B545" s="26" t="str">
        <f aca="false">IF(OR(F545="LOC - INITIAL",F545="CONSOLIDATION - UPFRONT COMM",F545="REVERSE - TOTAL FUNDING"),A545,"")</f>
        <v/>
      </c>
      <c r="C545" s="27"/>
      <c r="D545" s="28"/>
      <c r="E545" s="28"/>
      <c r="F545" s="28"/>
      <c r="G545" s="29"/>
      <c r="H545" s="30"/>
      <c r="I545" s="28"/>
      <c r="J545" s="31" t="str">
        <f aca="false">IF(AND(G545&lt;&gt;"",H545&lt;&gt;""),G545*H545,"")</f>
        <v/>
      </c>
      <c r="K545" s="28"/>
      <c r="L545" s="32"/>
      <c r="M545" s="32"/>
      <c r="N545" s="31" t="n">
        <f aca="false">IF(OR(G545="",M545=""),0,IF(M545&gt;100,M545,G545*IF(M545&gt;1,M545/100,M545)))</f>
        <v>0</v>
      </c>
      <c r="O545" s="31" t="str">
        <f aca="false">IF(G545="","",G545*IF(L545="",0,IF(L545&gt;1,L545/100,L545))+N545)</f>
        <v/>
      </c>
      <c r="P545" s="28"/>
      <c r="Q545" s="33" t="str">
        <f aca="false">IF(P545="","",IFERROR(VLOOKUP(P545,PARTNERS!$A$2:$B$30,2,0),""))</f>
        <v/>
      </c>
      <c r="R545" s="17" t="str">
        <f aca="false">IF(O545="","",IF(OR(P545="",Q545=""),0,(O545-N545)*IF(Q545&gt;1,Q545/100,Q545)))</f>
        <v/>
      </c>
      <c r="S545" s="31" t="str">
        <f aca="false">IF(O545="","",O545-R545)</f>
        <v/>
      </c>
      <c r="T545" s="28"/>
      <c r="U545" s="34" t="str">
        <f aca="false">IF(T545="","",IFERROR(VLOOKUP(T545,REPS!$A$2:$D$40,2,0),""))</f>
        <v/>
      </c>
      <c r="V545" s="31" t="str">
        <f aca="false">IF(O545="","",IF(U545="",0,O545*IF(U545&gt;1,U545/100,U545)))</f>
        <v/>
      </c>
      <c r="W545" s="28"/>
      <c r="X545" s="34" t="str">
        <f aca="false">IF(W545="","",IFERROR(VLOOKUP(W545,REPS!$A$2:$D$40,3,0),""))</f>
        <v/>
      </c>
      <c r="Y545" s="31" t="str">
        <f aca="false">IF(O545="","",IF(X545="",0,O545*IF(X545&gt;1,X545/100,X545)))</f>
        <v/>
      </c>
      <c r="Z545" s="28"/>
      <c r="AA545" s="34" t="str">
        <f aca="false">IF(Z545="","",IFERROR(VLOOKUP(Z545,REPS!$A$2:$D$40,4,0),""))</f>
        <v/>
      </c>
      <c r="AB545" s="31" t="str">
        <f aca="false">IF(O545="","",IF(AA545="",0,O545*IF(AA545&gt;1,AA545/100,AA545)))</f>
        <v/>
      </c>
      <c r="AC545" s="31" t="str">
        <f aca="false">IF(O545="","",V545+Y545+AB545)</f>
        <v/>
      </c>
      <c r="AD545" s="19" t="str">
        <f aca="false">IF(O545="","",O545-R545-AC545)</f>
        <v/>
      </c>
      <c r="AE545" s="20"/>
      <c r="AF545" s="27"/>
      <c r="AG545" s="21" t="n">
        <f aca="false">IF(OR(AE545="",AE545=0),0,AE545*IF(U545="",0,IF(U545&gt;1,U545/100,U545)))</f>
        <v>0</v>
      </c>
      <c r="AH545" s="21" t="n">
        <f aca="false">IF(OR(AE545="",AE545=0),0,AE545*IF(X545="",0,IF(X545&gt;1,X545/100,X545)))</f>
        <v>0</v>
      </c>
      <c r="AI545" s="21" t="n">
        <f aca="false">IF(OR(AE545="",AE545=0),0,AE545*IF(AA545="",0,IF(AA545&gt;1,AA545/100,AA545)))</f>
        <v>0</v>
      </c>
      <c r="AJ545" s="21" t="n">
        <f aca="false">AG545+AH545+AI545</f>
        <v>0</v>
      </c>
      <c r="AK545" s="21" t="n">
        <f aca="false">IF(OR(AE545="",AE545=0),0,AE545-AJ545)</f>
        <v>0</v>
      </c>
      <c r="AL545" s="19" t="str">
        <f aca="false">IF(AD545="","",AD545-AK545)</f>
        <v/>
      </c>
      <c r="AM545" s="26" t="str">
        <f aca="false">IF(C545="","","Waiting for payment")</f>
        <v/>
      </c>
      <c r="AN545" s="27"/>
      <c r="AO545" s="27"/>
      <c r="AP545" s="35" t="str">
        <f aca="false">IF(OR(C545="",I545="",K545=""),"",IF(K545="Monthly",EDATE(C545,ROUND(I545*SETTINGS!$I$8,0)),WORKDAY(C545,ROUND(I545*SETTINGS!$I$8,0))))</f>
        <v/>
      </c>
      <c r="AQ545" s="26" t="str">
        <f aca="true">IF(C545="","",IF(AND(AP545&lt;&gt;"",TODAY()&gt;=AP545),"Refi Ready",IF(TODAY()-C545&gt;=SETTINGS!$I$11,"Prospecting","Performing")))</f>
        <v/>
      </c>
      <c r="AR545" s="35" t="str">
        <f aca="false">IF(OR(C545="",I545="",K545=""),"",IF(K545="Monthly",EDATE(C545,I545),WORKDAY(C545,I545)))</f>
        <v/>
      </c>
      <c r="AS545" s="28"/>
      <c r="AT545" s="36" t="str">
        <f aca="true">IF(C545="","",IF(AM545="Clawed Back","CLAWED",IF(TODAY()&lt;=C545+SETTINGS!$I$2,"⚠ AT RISK","SAFE")))</f>
        <v/>
      </c>
      <c r="AU545" s="28"/>
      <c r="AW545" s="24" t="n">
        <f aca="false">AW544+IF(AND(C545&lt;&gt;"",AO545&lt;&gt;"",OR('REP COMMISSION'!$B$3="",T545='REP COMMISSION'!$B$3,W545='REP COMMISSION'!$B$3,Z545='REP COMMISSION'!$B$3)),1,0)</f>
        <v>0</v>
      </c>
      <c r="AX545" s="24" t="n">
        <f aca="false">AX544+IF(AND(C545&lt;&gt;"",OR(F545="LOC - INITIAL",F545="CONSOLIDATION - UPFRONT COMM",F545="REVERSE - TOTAL FUNDING")),1,0)</f>
        <v>0</v>
      </c>
    </row>
    <row r="546" customFormat="false" ht="15" hidden="false" customHeight="false" outlineLevel="0" collapsed="false">
      <c r="A546" s="8" t="str">
        <f aca="false">IF(C546&lt;&gt;"","F27-"&amp;COUNT($C$4:C546),"")</f>
        <v/>
      </c>
      <c r="B546" s="9" t="str">
        <f aca="false">IF(OR(F546="LOC - INITIAL",F546="CONSOLIDATION - UPFRONT COMM",F546="REVERSE - TOTAL FUNDING"),A546,"")</f>
        <v/>
      </c>
      <c r="C546" s="10"/>
      <c r="D546" s="11"/>
      <c r="E546" s="11"/>
      <c r="F546" s="11"/>
      <c r="G546" s="12"/>
      <c r="H546" s="13"/>
      <c r="I546" s="11"/>
      <c r="J546" s="14" t="str">
        <f aca="false">IF(AND(G546&lt;&gt;"",H546&lt;&gt;""),G546*H546,"")</f>
        <v/>
      </c>
      <c r="K546" s="11"/>
      <c r="L546" s="15"/>
      <c r="M546" s="15"/>
      <c r="N546" s="14" t="n">
        <f aca="false">IF(OR(G546="",M546=""),0,IF(M546&gt;100,M546,G546*IF(M546&gt;1,M546/100,M546)))</f>
        <v>0</v>
      </c>
      <c r="O546" s="14" t="str">
        <f aca="false">IF(G546="","",G546*IF(L546="",0,IF(L546&gt;1,L546/100,L546))+N546)</f>
        <v/>
      </c>
      <c r="P546" s="11"/>
      <c r="Q546" s="16" t="str">
        <f aca="false">IF(P546="","",IFERROR(VLOOKUP(P546,PARTNERS!$A$2:$B$30,2,0),""))</f>
        <v/>
      </c>
      <c r="R546" s="17" t="str">
        <f aca="false">IF(O546="","",IF(OR(P546="",Q546=""),0,(O546-N546)*IF(Q546&gt;1,Q546/100,Q546)))</f>
        <v/>
      </c>
      <c r="S546" s="14" t="str">
        <f aca="false">IF(O546="","",O546-R546)</f>
        <v/>
      </c>
      <c r="T546" s="11"/>
      <c r="U546" s="18" t="str">
        <f aca="false">IF(T546="","",IFERROR(VLOOKUP(T546,REPS!$A$2:$D$40,2,0),""))</f>
        <v/>
      </c>
      <c r="V546" s="14" t="str">
        <f aca="false">IF(O546="","",IF(U546="",0,O546*IF(U546&gt;1,U546/100,U546)))</f>
        <v/>
      </c>
      <c r="W546" s="11"/>
      <c r="X546" s="18" t="str">
        <f aca="false">IF(W546="","",IFERROR(VLOOKUP(W546,REPS!$A$2:$D$40,3,0),""))</f>
        <v/>
      </c>
      <c r="Y546" s="14" t="str">
        <f aca="false">IF(O546="","",IF(X546="",0,O546*IF(X546&gt;1,X546/100,X546)))</f>
        <v/>
      </c>
      <c r="Z546" s="11"/>
      <c r="AA546" s="18" t="str">
        <f aca="false">IF(Z546="","",IFERROR(VLOOKUP(Z546,REPS!$A$2:$D$40,4,0),""))</f>
        <v/>
      </c>
      <c r="AB546" s="14" t="str">
        <f aca="false">IF(O546="","",IF(AA546="",0,O546*IF(AA546&gt;1,AA546/100,AA546)))</f>
        <v/>
      </c>
      <c r="AC546" s="14" t="str">
        <f aca="false">IF(O546="","",V546+Y546+AB546)</f>
        <v/>
      </c>
      <c r="AD546" s="19" t="str">
        <f aca="false">IF(O546="","",O546-R546-AC546)</f>
        <v/>
      </c>
      <c r="AE546" s="20"/>
      <c r="AF546" s="10"/>
      <c r="AG546" s="21" t="n">
        <f aca="false">IF(OR(AE546="",AE546=0),0,AE546*IF(U546="",0,IF(U546&gt;1,U546/100,U546)))</f>
        <v>0</v>
      </c>
      <c r="AH546" s="21" t="n">
        <f aca="false">IF(OR(AE546="",AE546=0),0,AE546*IF(X546="",0,IF(X546&gt;1,X546/100,X546)))</f>
        <v>0</v>
      </c>
      <c r="AI546" s="21" t="n">
        <f aca="false">IF(OR(AE546="",AE546=0),0,AE546*IF(AA546="",0,IF(AA546&gt;1,AA546/100,AA546)))</f>
        <v>0</v>
      </c>
      <c r="AJ546" s="21" t="n">
        <f aca="false">AG546+AH546+AI546</f>
        <v>0</v>
      </c>
      <c r="AK546" s="21" t="n">
        <f aca="false">IF(OR(AE546="",AE546=0),0,AE546-AJ546)</f>
        <v>0</v>
      </c>
      <c r="AL546" s="19" t="str">
        <f aca="false">IF(AD546="","",AD546-AK546)</f>
        <v/>
      </c>
      <c r="AM546" s="9" t="str">
        <f aca="false">IF(C546="","","Waiting for payment")</f>
        <v/>
      </c>
      <c r="AN546" s="10"/>
      <c r="AO546" s="10"/>
      <c r="AP546" s="22" t="str">
        <f aca="false">IF(OR(C546="",I546="",K546=""),"",IF(K546="Monthly",EDATE(C546,ROUND(I546*SETTINGS!$I$8,0)),WORKDAY(C546,ROUND(I546*SETTINGS!$I$8,0))))</f>
        <v/>
      </c>
      <c r="AQ546" s="9" t="str">
        <f aca="true">IF(C546="","",IF(AND(AP546&lt;&gt;"",TODAY()&gt;=AP546),"Refi Ready",IF(TODAY()-C546&gt;=SETTINGS!$I$11,"Prospecting","Performing")))</f>
        <v/>
      </c>
      <c r="AR546" s="22" t="str">
        <f aca="false">IF(OR(C546="",I546="",K546=""),"",IF(K546="Monthly",EDATE(C546,I546),WORKDAY(C546,I546)))</f>
        <v/>
      </c>
      <c r="AS546" s="11"/>
      <c r="AT546" s="23" t="str">
        <f aca="true">IF(C546="","",IF(AM546="Clawed Back","CLAWED",IF(TODAY()&lt;=C546+SETTINGS!$I$2,"⚠ AT RISK","SAFE")))</f>
        <v/>
      </c>
      <c r="AU546" s="11"/>
      <c r="AW546" s="24" t="n">
        <f aca="false">AW545+IF(AND(C546&lt;&gt;"",AO546&lt;&gt;"",OR('REP COMMISSION'!$B$3="",T546='REP COMMISSION'!$B$3,W546='REP COMMISSION'!$B$3,Z546='REP COMMISSION'!$B$3)),1,0)</f>
        <v>0</v>
      </c>
      <c r="AX546" s="24" t="n">
        <f aca="false">AX545+IF(AND(C546&lt;&gt;"",OR(F546="LOC - INITIAL",F546="CONSOLIDATION - UPFRONT COMM",F546="REVERSE - TOTAL FUNDING")),1,0)</f>
        <v>0</v>
      </c>
    </row>
    <row r="547" customFormat="false" ht="15" hidden="false" customHeight="false" outlineLevel="0" collapsed="false">
      <c r="A547" s="25" t="str">
        <f aca="false">IF(C547&lt;&gt;"","F27-"&amp;COUNT($C$4:C547),"")</f>
        <v/>
      </c>
      <c r="B547" s="26" t="str">
        <f aca="false">IF(OR(F547="LOC - INITIAL",F547="CONSOLIDATION - UPFRONT COMM",F547="REVERSE - TOTAL FUNDING"),A547,"")</f>
        <v/>
      </c>
      <c r="C547" s="27"/>
      <c r="D547" s="28"/>
      <c r="E547" s="28"/>
      <c r="F547" s="28"/>
      <c r="G547" s="29"/>
      <c r="H547" s="30"/>
      <c r="I547" s="28"/>
      <c r="J547" s="31" t="str">
        <f aca="false">IF(AND(G547&lt;&gt;"",H547&lt;&gt;""),G547*H547,"")</f>
        <v/>
      </c>
      <c r="K547" s="28"/>
      <c r="L547" s="32"/>
      <c r="M547" s="32"/>
      <c r="N547" s="31" t="n">
        <f aca="false">IF(OR(G547="",M547=""),0,IF(M547&gt;100,M547,G547*IF(M547&gt;1,M547/100,M547)))</f>
        <v>0</v>
      </c>
      <c r="O547" s="31" t="str">
        <f aca="false">IF(G547="","",G547*IF(L547="",0,IF(L547&gt;1,L547/100,L547))+N547)</f>
        <v/>
      </c>
      <c r="P547" s="28"/>
      <c r="Q547" s="33" t="str">
        <f aca="false">IF(P547="","",IFERROR(VLOOKUP(P547,PARTNERS!$A$2:$B$30,2,0),""))</f>
        <v/>
      </c>
      <c r="R547" s="17" t="str">
        <f aca="false">IF(O547="","",IF(OR(P547="",Q547=""),0,(O547-N547)*IF(Q547&gt;1,Q547/100,Q547)))</f>
        <v/>
      </c>
      <c r="S547" s="31" t="str">
        <f aca="false">IF(O547="","",O547-R547)</f>
        <v/>
      </c>
      <c r="T547" s="28"/>
      <c r="U547" s="34" t="str">
        <f aca="false">IF(T547="","",IFERROR(VLOOKUP(T547,REPS!$A$2:$D$40,2,0),""))</f>
        <v/>
      </c>
      <c r="V547" s="31" t="str">
        <f aca="false">IF(O547="","",IF(U547="",0,O547*IF(U547&gt;1,U547/100,U547)))</f>
        <v/>
      </c>
      <c r="W547" s="28"/>
      <c r="X547" s="34" t="str">
        <f aca="false">IF(W547="","",IFERROR(VLOOKUP(W547,REPS!$A$2:$D$40,3,0),""))</f>
        <v/>
      </c>
      <c r="Y547" s="31" t="str">
        <f aca="false">IF(O547="","",IF(X547="",0,O547*IF(X547&gt;1,X547/100,X547)))</f>
        <v/>
      </c>
      <c r="Z547" s="28"/>
      <c r="AA547" s="34" t="str">
        <f aca="false">IF(Z547="","",IFERROR(VLOOKUP(Z547,REPS!$A$2:$D$40,4,0),""))</f>
        <v/>
      </c>
      <c r="AB547" s="31" t="str">
        <f aca="false">IF(O547="","",IF(AA547="",0,O547*IF(AA547&gt;1,AA547/100,AA547)))</f>
        <v/>
      </c>
      <c r="AC547" s="31" t="str">
        <f aca="false">IF(O547="","",V547+Y547+AB547)</f>
        <v/>
      </c>
      <c r="AD547" s="19" t="str">
        <f aca="false">IF(O547="","",O547-R547-AC547)</f>
        <v/>
      </c>
      <c r="AE547" s="20"/>
      <c r="AF547" s="27"/>
      <c r="AG547" s="21" t="n">
        <f aca="false">IF(OR(AE547="",AE547=0),0,AE547*IF(U547="",0,IF(U547&gt;1,U547/100,U547)))</f>
        <v>0</v>
      </c>
      <c r="AH547" s="21" t="n">
        <f aca="false">IF(OR(AE547="",AE547=0),0,AE547*IF(X547="",0,IF(X547&gt;1,X547/100,X547)))</f>
        <v>0</v>
      </c>
      <c r="AI547" s="21" t="n">
        <f aca="false">IF(OR(AE547="",AE547=0),0,AE547*IF(AA547="",0,IF(AA547&gt;1,AA547/100,AA547)))</f>
        <v>0</v>
      </c>
      <c r="AJ547" s="21" t="n">
        <f aca="false">AG547+AH547+AI547</f>
        <v>0</v>
      </c>
      <c r="AK547" s="21" t="n">
        <f aca="false">IF(OR(AE547="",AE547=0),0,AE547-AJ547)</f>
        <v>0</v>
      </c>
      <c r="AL547" s="19" t="str">
        <f aca="false">IF(AD547="","",AD547-AK547)</f>
        <v/>
      </c>
      <c r="AM547" s="26" t="str">
        <f aca="false">IF(C547="","","Waiting for payment")</f>
        <v/>
      </c>
      <c r="AN547" s="27"/>
      <c r="AO547" s="27"/>
      <c r="AP547" s="35" t="str">
        <f aca="false">IF(OR(C547="",I547="",K547=""),"",IF(K547="Monthly",EDATE(C547,ROUND(I547*SETTINGS!$I$8,0)),WORKDAY(C547,ROUND(I547*SETTINGS!$I$8,0))))</f>
        <v/>
      </c>
      <c r="AQ547" s="26" t="str">
        <f aca="true">IF(C547="","",IF(AND(AP547&lt;&gt;"",TODAY()&gt;=AP547),"Refi Ready",IF(TODAY()-C547&gt;=SETTINGS!$I$11,"Prospecting","Performing")))</f>
        <v/>
      </c>
      <c r="AR547" s="35" t="str">
        <f aca="false">IF(OR(C547="",I547="",K547=""),"",IF(K547="Monthly",EDATE(C547,I547),WORKDAY(C547,I547)))</f>
        <v/>
      </c>
      <c r="AS547" s="28"/>
      <c r="AT547" s="36" t="str">
        <f aca="true">IF(C547="","",IF(AM547="Clawed Back","CLAWED",IF(TODAY()&lt;=C547+SETTINGS!$I$2,"⚠ AT RISK","SAFE")))</f>
        <v/>
      </c>
      <c r="AU547" s="28"/>
      <c r="AW547" s="24" t="n">
        <f aca="false">AW546+IF(AND(C547&lt;&gt;"",AO547&lt;&gt;"",OR('REP COMMISSION'!$B$3="",T547='REP COMMISSION'!$B$3,W547='REP COMMISSION'!$B$3,Z547='REP COMMISSION'!$B$3)),1,0)</f>
        <v>0</v>
      </c>
      <c r="AX547" s="24" t="n">
        <f aca="false">AX546+IF(AND(C547&lt;&gt;"",OR(F547="LOC - INITIAL",F547="CONSOLIDATION - UPFRONT COMM",F547="REVERSE - TOTAL FUNDING")),1,0)</f>
        <v>0</v>
      </c>
    </row>
    <row r="548" customFormat="false" ht="15" hidden="false" customHeight="false" outlineLevel="0" collapsed="false">
      <c r="A548" s="8" t="str">
        <f aca="false">IF(C548&lt;&gt;"","F27-"&amp;COUNT($C$4:C548),"")</f>
        <v/>
      </c>
      <c r="B548" s="9" t="str">
        <f aca="false">IF(OR(F548="LOC - INITIAL",F548="CONSOLIDATION - UPFRONT COMM",F548="REVERSE - TOTAL FUNDING"),A548,"")</f>
        <v/>
      </c>
      <c r="C548" s="10"/>
      <c r="D548" s="11"/>
      <c r="E548" s="11"/>
      <c r="F548" s="11"/>
      <c r="G548" s="12"/>
      <c r="H548" s="13"/>
      <c r="I548" s="11"/>
      <c r="J548" s="14" t="str">
        <f aca="false">IF(AND(G548&lt;&gt;"",H548&lt;&gt;""),G548*H548,"")</f>
        <v/>
      </c>
      <c r="K548" s="11"/>
      <c r="L548" s="15"/>
      <c r="M548" s="15"/>
      <c r="N548" s="14" t="n">
        <f aca="false">IF(OR(G548="",M548=""),0,IF(M548&gt;100,M548,G548*IF(M548&gt;1,M548/100,M548)))</f>
        <v>0</v>
      </c>
      <c r="O548" s="14" t="str">
        <f aca="false">IF(G548="","",G548*IF(L548="",0,IF(L548&gt;1,L548/100,L548))+N548)</f>
        <v/>
      </c>
      <c r="P548" s="11"/>
      <c r="Q548" s="16" t="str">
        <f aca="false">IF(P548="","",IFERROR(VLOOKUP(P548,PARTNERS!$A$2:$B$30,2,0),""))</f>
        <v/>
      </c>
      <c r="R548" s="17" t="str">
        <f aca="false">IF(O548="","",IF(OR(P548="",Q548=""),0,(O548-N548)*IF(Q548&gt;1,Q548/100,Q548)))</f>
        <v/>
      </c>
      <c r="S548" s="14" t="str">
        <f aca="false">IF(O548="","",O548-R548)</f>
        <v/>
      </c>
      <c r="T548" s="11"/>
      <c r="U548" s="18" t="str">
        <f aca="false">IF(T548="","",IFERROR(VLOOKUP(T548,REPS!$A$2:$D$40,2,0),""))</f>
        <v/>
      </c>
      <c r="V548" s="14" t="str">
        <f aca="false">IF(O548="","",IF(U548="",0,O548*IF(U548&gt;1,U548/100,U548)))</f>
        <v/>
      </c>
      <c r="W548" s="11"/>
      <c r="X548" s="18" t="str">
        <f aca="false">IF(W548="","",IFERROR(VLOOKUP(W548,REPS!$A$2:$D$40,3,0),""))</f>
        <v/>
      </c>
      <c r="Y548" s="14" t="str">
        <f aca="false">IF(O548="","",IF(X548="",0,O548*IF(X548&gt;1,X548/100,X548)))</f>
        <v/>
      </c>
      <c r="Z548" s="11"/>
      <c r="AA548" s="18" t="str">
        <f aca="false">IF(Z548="","",IFERROR(VLOOKUP(Z548,REPS!$A$2:$D$40,4,0),""))</f>
        <v/>
      </c>
      <c r="AB548" s="14" t="str">
        <f aca="false">IF(O548="","",IF(AA548="",0,O548*IF(AA548&gt;1,AA548/100,AA548)))</f>
        <v/>
      </c>
      <c r="AC548" s="14" t="str">
        <f aca="false">IF(O548="","",V548+Y548+AB548)</f>
        <v/>
      </c>
      <c r="AD548" s="19" t="str">
        <f aca="false">IF(O548="","",O548-R548-AC548)</f>
        <v/>
      </c>
      <c r="AE548" s="20"/>
      <c r="AF548" s="10"/>
      <c r="AG548" s="21" t="n">
        <f aca="false">IF(OR(AE548="",AE548=0),0,AE548*IF(U548="",0,IF(U548&gt;1,U548/100,U548)))</f>
        <v>0</v>
      </c>
      <c r="AH548" s="21" t="n">
        <f aca="false">IF(OR(AE548="",AE548=0),0,AE548*IF(X548="",0,IF(X548&gt;1,X548/100,X548)))</f>
        <v>0</v>
      </c>
      <c r="AI548" s="21" t="n">
        <f aca="false">IF(OR(AE548="",AE548=0),0,AE548*IF(AA548="",0,IF(AA548&gt;1,AA548/100,AA548)))</f>
        <v>0</v>
      </c>
      <c r="AJ548" s="21" t="n">
        <f aca="false">AG548+AH548+AI548</f>
        <v>0</v>
      </c>
      <c r="AK548" s="21" t="n">
        <f aca="false">IF(OR(AE548="",AE548=0),0,AE548-AJ548)</f>
        <v>0</v>
      </c>
      <c r="AL548" s="19" t="str">
        <f aca="false">IF(AD548="","",AD548-AK548)</f>
        <v/>
      </c>
      <c r="AM548" s="9" t="str">
        <f aca="false">IF(C548="","","Waiting for payment")</f>
        <v/>
      </c>
      <c r="AN548" s="10"/>
      <c r="AO548" s="10"/>
      <c r="AP548" s="22" t="str">
        <f aca="false">IF(OR(C548="",I548="",K548=""),"",IF(K548="Monthly",EDATE(C548,ROUND(I548*SETTINGS!$I$8,0)),WORKDAY(C548,ROUND(I548*SETTINGS!$I$8,0))))</f>
        <v/>
      </c>
      <c r="AQ548" s="9" t="str">
        <f aca="true">IF(C548="","",IF(AND(AP548&lt;&gt;"",TODAY()&gt;=AP548),"Refi Ready",IF(TODAY()-C548&gt;=SETTINGS!$I$11,"Prospecting","Performing")))</f>
        <v/>
      </c>
      <c r="AR548" s="22" t="str">
        <f aca="false">IF(OR(C548="",I548="",K548=""),"",IF(K548="Monthly",EDATE(C548,I548),WORKDAY(C548,I548)))</f>
        <v/>
      </c>
      <c r="AS548" s="11"/>
      <c r="AT548" s="23" t="str">
        <f aca="true">IF(C548="","",IF(AM548="Clawed Back","CLAWED",IF(TODAY()&lt;=C548+SETTINGS!$I$2,"⚠ AT RISK","SAFE")))</f>
        <v/>
      </c>
      <c r="AU548" s="11"/>
      <c r="AW548" s="24" t="n">
        <f aca="false">AW547+IF(AND(C548&lt;&gt;"",AO548&lt;&gt;"",OR('REP COMMISSION'!$B$3="",T548='REP COMMISSION'!$B$3,W548='REP COMMISSION'!$B$3,Z548='REP COMMISSION'!$B$3)),1,0)</f>
        <v>0</v>
      </c>
      <c r="AX548" s="24" t="n">
        <f aca="false">AX547+IF(AND(C548&lt;&gt;"",OR(F548="LOC - INITIAL",F548="CONSOLIDATION - UPFRONT COMM",F548="REVERSE - TOTAL FUNDING")),1,0)</f>
        <v>0</v>
      </c>
    </row>
    <row r="549" customFormat="false" ht="15" hidden="false" customHeight="false" outlineLevel="0" collapsed="false">
      <c r="A549" s="25" t="str">
        <f aca="false">IF(C549&lt;&gt;"","F27-"&amp;COUNT($C$4:C549),"")</f>
        <v/>
      </c>
      <c r="B549" s="26" t="str">
        <f aca="false">IF(OR(F549="LOC - INITIAL",F549="CONSOLIDATION - UPFRONT COMM",F549="REVERSE - TOTAL FUNDING"),A549,"")</f>
        <v/>
      </c>
      <c r="C549" s="27"/>
      <c r="D549" s="28"/>
      <c r="E549" s="28"/>
      <c r="F549" s="28"/>
      <c r="G549" s="29"/>
      <c r="H549" s="30"/>
      <c r="I549" s="28"/>
      <c r="J549" s="31" t="str">
        <f aca="false">IF(AND(G549&lt;&gt;"",H549&lt;&gt;""),G549*H549,"")</f>
        <v/>
      </c>
      <c r="K549" s="28"/>
      <c r="L549" s="32"/>
      <c r="M549" s="32"/>
      <c r="N549" s="31" t="n">
        <f aca="false">IF(OR(G549="",M549=""),0,IF(M549&gt;100,M549,G549*IF(M549&gt;1,M549/100,M549)))</f>
        <v>0</v>
      </c>
      <c r="O549" s="31" t="str">
        <f aca="false">IF(G549="","",G549*IF(L549="",0,IF(L549&gt;1,L549/100,L549))+N549)</f>
        <v/>
      </c>
      <c r="P549" s="28"/>
      <c r="Q549" s="33" t="str">
        <f aca="false">IF(P549="","",IFERROR(VLOOKUP(P549,PARTNERS!$A$2:$B$30,2,0),""))</f>
        <v/>
      </c>
      <c r="R549" s="17" t="str">
        <f aca="false">IF(O549="","",IF(OR(P549="",Q549=""),0,(O549-N549)*IF(Q549&gt;1,Q549/100,Q549)))</f>
        <v/>
      </c>
      <c r="S549" s="31" t="str">
        <f aca="false">IF(O549="","",O549-R549)</f>
        <v/>
      </c>
      <c r="T549" s="28"/>
      <c r="U549" s="34" t="str">
        <f aca="false">IF(T549="","",IFERROR(VLOOKUP(T549,REPS!$A$2:$D$40,2,0),""))</f>
        <v/>
      </c>
      <c r="V549" s="31" t="str">
        <f aca="false">IF(O549="","",IF(U549="",0,O549*IF(U549&gt;1,U549/100,U549)))</f>
        <v/>
      </c>
      <c r="W549" s="28"/>
      <c r="X549" s="34" t="str">
        <f aca="false">IF(W549="","",IFERROR(VLOOKUP(W549,REPS!$A$2:$D$40,3,0),""))</f>
        <v/>
      </c>
      <c r="Y549" s="31" t="str">
        <f aca="false">IF(O549="","",IF(X549="",0,O549*IF(X549&gt;1,X549/100,X549)))</f>
        <v/>
      </c>
      <c r="Z549" s="28"/>
      <c r="AA549" s="34" t="str">
        <f aca="false">IF(Z549="","",IFERROR(VLOOKUP(Z549,REPS!$A$2:$D$40,4,0),""))</f>
        <v/>
      </c>
      <c r="AB549" s="31" t="str">
        <f aca="false">IF(O549="","",IF(AA549="",0,O549*IF(AA549&gt;1,AA549/100,AA549)))</f>
        <v/>
      </c>
      <c r="AC549" s="31" t="str">
        <f aca="false">IF(O549="","",V549+Y549+AB549)</f>
        <v/>
      </c>
      <c r="AD549" s="19" t="str">
        <f aca="false">IF(O549="","",O549-R549-AC549)</f>
        <v/>
      </c>
      <c r="AE549" s="20"/>
      <c r="AF549" s="27"/>
      <c r="AG549" s="21" t="n">
        <f aca="false">IF(OR(AE549="",AE549=0),0,AE549*IF(U549="",0,IF(U549&gt;1,U549/100,U549)))</f>
        <v>0</v>
      </c>
      <c r="AH549" s="21" t="n">
        <f aca="false">IF(OR(AE549="",AE549=0),0,AE549*IF(X549="",0,IF(X549&gt;1,X549/100,X549)))</f>
        <v>0</v>
      </c>
      <c r="AI549" s="21" t="n">
        <f aca="false">IF(OR(AE549="",AE549=0),0,AE549*IF(AA549="",0,IF(AA549&gt;1,AA549/100,AA549)))</f>
        <v>0</v>
      </c>
      <c r="AJ549" s="21" t="n">
        <f aca="false">AG549+AH549+AI549</f>
        <v>0</v>
      </c>
      <c r="AK549" s="21" t="n">
        <f aca="false">IF(OR(AE549="",AE549=0),0,AE549-AJ549)</f>
        <v>0</v>
      </c>
      <c r="AL549" s="19" t="str">
        <f aca="false">IF(AD549="","",AD549-AK549)</f>
        <v/>
      </c>
      <c r="AM549" s="26" t="str">
        <f aca="false">IF(C549="","","Waiting for payment")</f>
        <v/>
      </c>
      <c r="AN549" s="27"/>
      <c r="AO549" s="27"/>
      <c r="AP549" s="35" t="str">
        <f aca="false">IF(OR(C549="",I549="",K549=""),"",IF(K549="Monthly",EDATE(C549,ROUND(I549*SETTINGS!$I$8,0)),WORKDAY(C549,ROUND(I549*SETTINGS!$I$8,0))))</f>
        <v/>
      </c>
      <c r="AQ549" s="26" t="str">
        <f aca="true">IF(C549="","",IF(AND(AP549&lt;&gt;"",TODAY()&gt;=AP549),"Refi Ready",IF(TODAY()-C549&gt;=SETTINGS!$I$11,"Prospecting","Performing")))</f>
        <v/>
      </c>
      <c r="AR549" s="35" t="str">
        <f aca="false">IF(OR(C549="",I549="",K549=""),"",IF(K549="Monthly",EDATE(C549,I549),WORKDAY(C549,I549)))</f>
        <v/>
      </c>
      <c r="AS549" s="28"/>
      <c r="AT549" s="36" t="str">
        <f aca="true">IF(C549="","",IF(AM549="Clawed Back","CLAWED",IF(TODAY()&lt;=C549+SETTINGS!$I$2,"⚠ AT RISK","SAFE")))</f>
        <v/>
      </c>
      <c r="AU549" s="28"/>
      <c r="AW549" s="24" t="n">
        <f aca="false">AW548+IF(AND(C549&lt;&gt;"",AO549&lt;&gt;"",OR('REP COMMISSION'!$B$3="",T549='REP COMMISSION'!$B$3,W549='REP COMMISSION'!$B$3,Z549='REP COMMISSION'!$B$3)),1,0)</f>
        <v>0</v>
      </c>
      <c r="AX549" s="24" t="n">
        <f aca="false">AX548+IF(AND(C549&lt;&gt;"",OR(F549="LOC - INITIAL",F549="CONSOLIDATION - UPFRONT COMM",F549="REVERSE - TOTAL FUNDING")),1,0)</f>
        <v>0</v>
      </c>
    </row>
    <row r="550" customFormat="false" ht="15" hidden="false" customHeight="false" outlineLevel="0" collapsed="false">
      <c r="A550" s="8" t="str">
        <f aca="false">IF(C550&lt;&gt;"","F27-"&amp;COUNT($C$4:C550),"")</f>
        <v/>
      </c>
      <c r="B550" s="9" t="str">
        <f aca="false">IF(OR(F550="LOC - INITIAL",F550="CONSOLIDATION - UPFRONT COMM",F550="REVERSE - TOTAL FUNDING"),A550,"")</f>
        <v/>
      </c>
      <c r="C550" s="10"/>
      <c r="D550" s="11"/>
      <c r="E550" s="11"/>
      <c r="F550" s="11"/>
      <c r="G550" s="12"/>
      <c r="H550" s="13"/>
      <c r="I550" s="11"/>
      <c r="J550" s="14" t="str">
        <f aca="false">IF(AND(G550&lt;&gt;"",H550&lt;&gt;""),G550*H550,"")</f>
        <v/>
      </c>
      <c r="K550" s="11"/>
      <c r="L550" s="15"/>
      <c r="M550" s="15"/>
      <c r="N550" s="14" t="n">
        <f aca="false">IF(OR(G550="",M550=""),0,IF(M550&gt;100,M550,G550*IF(M550&gt;1,M550/100,M550)))</f>
        <v>0</v>
      </c>
      <c r="O550" s="14" t="str">
        <f aca="false">IF(G550="","",G550*IF(L550="",0,IF(L550&gt;1,L550/100,L550))+N550)</f>
        <v/>
      </c>
      <c r="P550" s="11"/>
      <c r="Q550" s="16" t="str">
        <f aca="false">IF(P550="","",IFERROR(VLOOKUP(P550,PARTNERS!$A$2:$B$30,2,0),""))</f>
        <v/>
      </c>
      <c r="R550" s="17" t="str">
        <f aca="false">IF(O550="","",IF(OR(P550="",Q550=""),0,(O550-N550)*IF(Q550&gt;1,Q550/100,Q550)))</f>
        <v/>
      </c>
      <c r="S550" s="14" t="str">
        <f aca="false">IF(O550="","",O550-R550)</f>
        <v/>
      </c>
      <c r="T550" s="11"/>
      <c r="U550" s="18" t="str">
        <f aca="false">IF(T550="","",IFERROR(VLOOKUP(T550,REPS!$A$2:$D$40,2,0),""))</f>
        <v/>
      </c>
      <c r="V550" s="14" t="str">
        <f aca="false">IF(O550="","",IF(U550="",0,O550*IF(U550&gt;1,U550/100,U550)))</f>
        <v/>
      </c>
      <c r="W550" s="11"/>
      <c r="X550" s="18" t="str">
        <f aca="false">IF(W550="","",IFERROR(VLOOKUP(W550,REPS!$A$2:$D$40,3,0),""))</f>
        <v/>
      </c>
      <c r="Y550" s="14" t="str">
        <f aca="false">IF(O550="","",IF(X550="",0,O550*IF(X550&gt;1,X550/100,X550)))</f>
        <v/>
      </c>
      <c r="Z550" s="11"/>
      <c r="AA550" s="18" t="str">
        <f aca="false">IF(Z550="","",IFERROR(VLOOKUP(Z550,REPS!$A$2:$D$40,4,0),""))</f>
        <v/>
      </c>
      <c r="AB550" s="14" t="str">
        <f aca="false">IF(O550="","",IF(AA550="",0,O550*IF(AA550&gt;1,AA550/100,AA550)))</f>
        <v/>
      </c>
      <c r="AC550" s="14" t="str">
        <f aca="false">IF(O550="","",V550+Y550+AB550)</f>
        <v/>
      </c>
      <c r="AD550" s="19" t="str">
        <f aca="false">IF(O550="","",O550-R550-AC550)</f>
        <v/>
      </c>
      <c r="AE550" s="20"/>
      <c r="AF550" s="10"/>
      <c r="AG550" s="21" t="n">
        <f aca="false">IF(OR(AE550="",AE550=0),0,AE550*IF(U550="",0,IF(U550&gt;1,U550/100,U550)))</f>
        <v>0</v>
      </c>
      <c r="AH550" s="21" t="n">
        <f aca="false">IF(OR(AE550="",AE550=0),0,AE550*IF(X550="",0,IF(X550&gt;1,X550/100,X550)))</f>
        <v>0</v>
      </c>
      <c r="AI550" s="21" t="n">
        <f aca="false">IF(OR(AE550="",AE550=0),0,AE550*IF(AA550="",0,IF(AA550&gt;1,AA550/100,AA550)))</f>
        <v>0</v>
      </c>
      <c r="AJ550" s="21" t="n">
        <f aca="false">AG550+AH550+AI550</f>
        <v>0</v>
      </c>
      <c r="AK550" s="21" t="n">
        <f aca="false">IF(OR(AE550="",AE550=0),0,AE550-AJ550)</f>
        <v>0</v>
      </c>
      <c r="AL550" s="19" t="str">
        <f aca="false">IF(AD550="","",AD550-AK550)</f>
        <v/>
      </c>
      <c r="AM550" s="9" t="str">
        <f aca="false">IF(C550="","","Waiting for payment")</f>
        <v/>
      </c>
      <c r="AN550" s="10"/>
      <c r="AO550" s="10"/>
      <c r="AP550" s="22" t="str">
        <f aca="false">IF(OR(C550="",I550="",K550=""),"",IF(K550="Monthly",EDATE(C550,ROUND(I550*SETTINGS!$I$8,0)),WORKDAY(C550,ROUND(I550*SETTINGS!$I$8,0))))</f>
        <v/>
      </c>
      <c r="AQ550" s="9" t="str">
        <f aca="true">IF(C550="","",IF(AND(AP550&lt;&gt;"",TODAY()&gt;=AP550),"Refi Ready",IF(TODAY()-C550&gt;=SETTINGS!$I$11,"Prospecting","Performing")))</f>
        <v/>
      </c>
      <c r="AR550" s="22" t="str">
        <f aca="false">IF(OR(C550="",I550="",K550=""),"",IF(K550="Monthly",EDATE(C550,I550),WORKDAY(C550,I550)))</f>
        <v/>
      </c>
      <c r="AS550" s="11"/>
      <c r="AT550" s="23" t="str">
        <f aca="true">IF(C550="","",IF(AM550="Clawed Back","CLAWED",IF(TODAY()&lt;=C550+SETTINGS!$I$2,"⚠ AT RISK","SAFE")))</f>
        <v/>
      </c>
      <c r="AU550" s="11"/>
      <c r="AW550" s="24" t="n">
        <f aca="false">AW549+IF(AND(C550&lt;&gt;"",AO550&lt;&gt;"",OR('REP COMMISSION'!$B$3="",T550='REP COMMISSION'!$B$3,W550='REP COMMISSION'!$B$3,Z550='REP COMMISSION'!$B$3)),1,0)</f>
        <v>0</v>
      </c>
      <c r="AX550" s="24" t="n">
        <f aca="false">AX549+IF(AND(C550&lt;&gt;"",OR(F550="LOC - INITIAL",F550="CONSOLIDATION - UPFRONT COMM",F550="REVERSE - TOTAL FUNDING")),1,0)</f>
        <v>0</v>
      </c>
    </row>
    <row r="551" customFormat="false" ht="15" hidden="false" customHeight="false" outlineLevel="0" collapsed="false">
      <c r="A551" s="25" t="str">
        <f aca="false">IF(C551&lt;&gt;"","F27-"&amp;COUNT($C$4:C551),"")</f>
        <v/>
      </c>
      <c r="B551" s="26" t="str">
        <f aca="false">IF(OR(F551="LOC - INITIAL",F551="CONSOLIDATION - UPFRONT COMM",F551="REVERSE - TOTAL FUNDING"),A551,"")</f>
        <v/>
      </c>
      <c r="C551" s="27"/>
      <c r="D551" s="28"/>
      <c r="E551" s="28"/>
      <c r="F551" s="28"/>
      <c r="G551" s="29"/>
      <c r="H551" s="30"/>
      <c r="I551" s="28"/>
      <c r="J551" s="31" t="str">
        <f aca="false">IF(AND(G551&lt;&gt;"",H551&lt;&gt;""),G551*H551,"")</f>
        <v/>
      </c>
      <c r="K551" s="28"/>
      <c r="L551" s="32"/>
      <c r="M551" s="32"/>
      <c r="N551" s="31" t="n">
        <f aca="false">IF(OR(G551="",M551=""),0,IF(M551&gt;100,M551,G551*IF(M551&gt;1,M551/100,M551)))</f>
        <v>0</v>
      </c>
      <c r="O551" s="31" t="str">
        <f aca="false">IF(G551="","",G551*IF(L551="",0,IF(L551&gt;1,L551/100,L551))+N551)</f>
        <v/>
      </c>
      <c r="P551" s="28"/>
      <c r="Q551" s="33" t="str">
        <f aca="false">IF(P551="","",IFERROR(VLOOKUP(P551,PARTNERS!$A$2:$B$30,2,0),""))</f>
        <v/>
      </c>
      <c r="R551" s="17" t="str">
        <f aca="false">IF(O551="","",IF(OR(P551="",Q551=""),0,(O551-N551)*IF(Q551&gt;1,Q551/100,Q551)))</f>
        <v/>
      </c>
      <c r="S551" s="31" t="str">
        <f aca="false">IF(O551="","",O551-R551)</f>
        <v/>
      </c>
      <c r="T551" s="28"/>
      <c r="U551" s="34" t="str">
        <f aca="false">IF(T551="","",IFERROR(VLOOKUP(T551,REPS!$A$2:$D$40,2,0),""))</f>
        <v/>
      </c>
      <c r="V551" s="31" t="str">
        <f aca="false">IF(O551="","",IF(U551="",0,O551*IF(U551&gt;1,U551/100,U551)))</f>
        <v/>
      </c>
      <c r="W551" s="28"/>
      <c r="X551" s="34" t="str">
        <f aca="false">IF(W551="","",IFERROR(VLOOKUP(W551,REPS!$A$2:$D$40,3,0),""))</f>
        <v/>
      </c>
      <c r="Y551" s="31" t="str">
        <f aca="false">IF(O551="","",IF(X551="",0,O551*IF(X551&gt;1,X551/100,X551)))</f>
        <v/>
      </c>
      <c r="Z551" s="28"/>
      <c r="AA551" s="34" t="str">
        <f aca="false">IF(Z551="","",IFERROR(VLOOKUP(Z551,REPS!$A$2:$D$40,4,0),""))</f>
        <v/>
      </c>
      <c r="AB551" s="31" t="str">
        <f aca="false">IF(O551="","",IF(AA551="",0,O551*IF(AA551&gt;1,AA551/100,AA551)))</f>
        <v/>
      </c>
      <c r="AC551" s="31" t="str">
        <f aca="false">IF(O551="","",V551+Y551+AB551)</f>
        <v/>
      </c>
      <c r="AD551" s="19" t="str">
        <f aca="false">IF(O551="","",O551-R551-AC551)</f>
        <v/>
      </c>
      <c r="AE551" s="20"/>
      <c r="AF551" s="27"/>
      <c r="AG551" s="21" t="n">
        <f aca="false">IF(OR(AE551="",AE551=0),0,AE551*IF(U551="",0,IF(U551&gt;1,U551/100,U551)))</f>
        <v>0</v>
      </c>
      <c r="AH551" s="21" t="n">
        <f aca="false">IF(OR(AE551="",AE551=0),0,AE551*IF(X551="",0,IF(X551&gt;1,X551/100,X551)))</f>
        <v>0</v>
      </c>
      <c r="AI551" s="21" t="n">
        <f aca="false">IF(OR(AE551="",AE551=0),0,AE551*IF(AA551="",0,IF(AA551&gt;1,AA551/100,AA551)))</f>
        <v>0</v>
      </c>
      <c r="AJ551" s="21" t="n">
        <f aca="false">AG551+AH551+AI551</f>
        <v>0</v>
      </c>
      <c r="AK551" s="21" t="n">
        <f aca="false">IF(OR(AE551="",AE551=0),0,AE551-AJ551)</f>
        <v>0</v>
      </c>
      <c r="AL551" s="19" t="str">
        <f aca="false">IF(AD551="","",AD551-AK551)</f>
        <v/>
      </c>
      <c r="AM551" s="26" t="str">
        <f aca="false">IF(C551="","","Waiting for payment")</f>
        <v/>
      </c>
      <c r="AN551" s="27"/>
      <c r="AO551" s="27"/>
      <c r="AP551" s="35" t="str">
        <f aca="false">IF(OR(C551="",I551="",K551=""),"",IF(K551="Monthly",EDATE(C551,ROUND(I551*SETTINGS!$I$8,0)),WORKDAY(C551,ROUND(I551*SETTINGS!$I$8,0))))</f>
        <v/>
      </c>
      <c r="AQ551" s="26" t="str">
        <f aca="true">IF(C551="","",IF(AND(AP551&lt;&gt;"",TODAY()&gt;=AP551),"Refi Ready",IF(TODAY()-C551&gt;=SETTINGS!$I$11,"Prospecting","Performing")))</f>
        <v/>
      </c>
      <c r="AR551" s="35" t="str">
        <f aca="false">IF(OR(C551="",I551="",K551=""),"",IF(K551="Monthly",EDATE(C551,I551),WORKDAY(C551,I551)))</f>
        <v/>
      </c>
      <c r="AS551" s="28"/>
      <c r="AT551" s="36" t="str">
        <f aca="true">IF(C551="","",IF(AM551="Clawed Back","CLAWED",IF(TODAY()&lt;=C551+SETTINGS!$I$2,"⚠ AT RISK","SAFE")))</f>
        <v/>
      </c>
      <c r="AU551" s="28"/>
      <c r="AW551" s="24" t="n">
        <f aca="false">AW550+IF(AND(C551&lt;&gt;"",AO551&lt;&gt;"",OR('REP COMMISSION'!$B$3="",T551='REP COMMISSION'!$B$3,W551='REP COMMISSION'!$B$3,Z551='REP COMMISSION'!$B$3)),1,0)</f>
        <v>0</v>
      </c>
      <c r="AX551" s="24" t="n">
        <f aca="false">AX550+IF(AND(C551&lt;&gt;"",OR(F551="LOC - INITIAL",F551="CONSOLIDATION - UPFRONT COMM",F551="REVERSE - TOTAL FUNDING")),1,0)</f>
        <v>0</v>
      </c>
    </row>
    <row r="552" customFormat="false" ht="15" hidden="false" customHeight="false" outlineLevel="0" collapsed="false">
      <c r="A552" s="8" t="str">
        <f aca="false">IF(C552&lt;&gt;"","F27-"&amp;COUNT($C$4:C552),"")</f>
        <v/>
      </c>
      <c r="B552" s="9" t="str">
        <f aca="false">IF(OR(F552="LOC - INITIAL",F552="CONSOLIDATION - UPFRONT COMM",F552="REVERSE - TOTAL FUNDING"),A552,"")</f>
        <v/>
      </c>
      <c r="C552" s="10"/>
      <c r="D552" s="11"/>
      <c r="E552" s="11"/>
      <c r="F552" s="11"/>
      <c r="G552" s="12"/>
      <c r="H552" s="13"/>
      <c r="I552" s="11"/>
      <c r="J552" s="14" t="str">
        <f aca="false">IF(AND(G552&lt;&gt;"",H552&lt;&gt;""),G552*H552,"")</f>
        <v/>
      </c>
      <c r="K552" s="11"/>
      <c r="L552" s="15"/>
      <c r="M552" s="15"/>
      <c r="N552" s="14" t="n">
        <f aca="false">IF(OR(G552="",M552=""),0,IF(M552&gt;100,M552,G552*IF(M552&gt;1,M552/100,M552)))</f>
        <v>0</v>
      </c>
      <c r="O552" s="14" t="str">
        <f aca="false">IF(G552="","",G552*IF(L552="",0,IF(L552&gt;1,L552/100,L552))+N552)</f>
        <v/>
      </c>
      <c r="P552" s="11"/>
      <c r="Q552" s="16" t="str">
        <f aca="false">IF(P552="","",IFERROR(VLOOKUP(P552,PARTNERS!$A$2:$B$30,2,0),""))</f>
        <v/>
      </c>
      <c r="R552" s="17" t="str">
        <f aca="false">IF(O552="","",IF(OR(P552="",Q552=""),0,(O552-N552)*IF(Q552&gt;1,Q552/100,Q552)))</f>
        <v/>
      </c>
      <c r="S552" s="14" t="str">
        <f aca="false">IF(O552="","",O552-R552)</f>
        <v/>
      </c>
      <c r="T552" s="11"/>
      <c r="U552" s="18" t="str">
        <f aca="false">IF(T552="","",IFERROR(VLOOKUP(T552,REPS!$A$2:$D$40,2,0),""))</f>
        <v/>
      </c>
      <c r="V552" s="14" t="str">
        <f aca="false">IF(O552="","",IF(U552="",0,O552*IF(U552&gt;1,U552/100,U552)))</f>
        <v/>
      </c>
      <c r="W552" s="11"/>
      <c r="X552" s="18" t="str">
        <f aca="false">IF(W552="","",IFERROR(VLOOKUP(W552,REPS!$A$2:$D$40,3,0),""))</f>
        <v/>
      </c>
      <c r="Y552" s="14" t="str">
        <f aca="false">IF(O552="","",IF(X552="",0,O552*IF(X552&gt;1,X552/100,X552)))</f>
        <v/>
      </c>
      <c r="Z552" s="11"/>
      <c r="AA552" s="18" t="str">
        <f aca="false">IF(Z552="","",IFERROR(VLOOKUP(Z552,REPS!$A$2:$D$40,4,0),""))</f>
        <v/>
      </c>
      <c r="AB552" s="14" t="str">
        <f aca="false">IF(O552="","",IF(AA552="",0,O552*IF(AA552&gt;1,AA552/100,AA552)))</f>
        <v/>
      </c>
      <c r="AC552" s="14" t="str">
        <f aca="false">IF(O552="","",V552+Y552+AB552)</f>
        <v/>
      </c>
      <c r="AD552" s="19" t="str">
        <f aca="false">IF(O552="","",O552-R552-AC552)</f>
        <v/>
      </c>
      <c r="AE552" s="20"/>
      <c r="AF552" s="10"/>
      <c r="AG552" s="21" t="n">
        <f aca="false">IF(OR(AE552="",AE552=0),0,AE552*IF(U552="",0,IF(U552&gt;1,U552/100,U552)))</f>
        <v>0</v>
      </c>
      <c r="AH552" s="21" t="n">
        <f aca="false">IF(OR(AE552="",AE552=0),0,AE552*IF(X552="",0,IF(X552&gt;1,X552/100,X552)))</f>
        <v>0</v>
      </c>
      <c r="AI552" s="21" t="n">
        <f aca="false">IF(OR(AE552="",AE552=0),0,AE552*IF(AA552="",0,IF(AA552&gt;1,AA552/100,AA552)))</f>
        <v>0</v>
      </c>
      <c r="AJ552" s="21" t="n">
        <f aca="false">AG552+AH552+AI552</f>
        <v>0</v>
      </c>
      <c r="AK552" s="21" t="n">
        <f aca="false">IF(OR(AE552="",AE552=0),0,AE552-AJ552)</f>
        <v>0</v>
      </c>
      <c r="AL552" s="19" t="str">
        <f aca="false">IF(AD552="","",AD552-AK552)</f>
        <v/>
      </c>
      <c r="AM552" s="9" t="str">
        <f aca="false">IF(C552="","","Waiting for payment")</f>
        <v/>
      </c>
      <c r="AN552" s="10"/>
      <c r="AO552" s="10"/>
      <c r="AP552" s="22" t="str">
        <f aca="false">IF(OR(C552="",I552="",K552=""),"",IF(K552="Monthly",EDATE(C552,ROUND(I552*SETTINGS!$I$8,0)),WORKDAY(C552,ROUND(I552*SETTINGS!$I$8,0))))</f>
        <v/>
      </c>
      <c r="AQ552" s="9" t="str">
        <f aca="true">IF(C552="","",IF(AND(AP552&lt;&gt;"",TODAY()&gt;=AP552),"Refi Ready",IF(TODAY()-C552&gt;=SETTINGS!$I$11,"Prospecting","Performing")))</f>
        <v/>
      </c>
      <c r="AR552" s="22" t="str">
        <f aca="false">IF(OR(C552="",I552="",K552=""),"",IF(K552="Monthly",EDATE(C552,I552),WORKDAY(C552,I552)))</f>
        <v/>
      </c>
      <c r="AS552" s="11"/>
      <c r="AT552" s="23" t="str">
        <f aca="true">IF(C552="","",IF(AM552="Clawed Back","CLAWED",IF(TODAY()&lt;=C552+SETTINGS!$I$2,"⚠ AT RISK","SAFE")))</f>
        <v/>
      </c>
      <c r="AU552" s="11"/>
      <c r="AW552" s="24" t="n">
        <f aca="false">AW551+IF(AND(C552&lt;&gt;"",AO552&lt;&gt;"",OR('REP COMMISSION'!$B$3="",T552='REP COMMISSION'!$B$3,W552='REP COMMISSION'!$B$3,Z552='REP COMMISSION'!$B$3)),1,0)</f>
        <v>0</v>
      </c>
      <c r="AX552" s="24" t="n">
        <f aca="false">AX551+IF(AND(C552&lt;&gt;"",OR(F552="LOC - INITIAL",F552="CONSOLIDATION - UPFRONT COMM",F552="REVERSE - TOTAL FUNDING")),1,0)</f>
        <v>0</v>
      </c>
    </row>
    <row r="553" customFormat="false" ht="15" hidden="false" customHeight="false" outlineLevel="0" collapsed="false">
      <c r="A553" s="25" t="str">
        <f aca="false">IF(C553&lt;&gt;"","F27-"&amp;COUNT($C$4:C553),"")</f>
        <v/>
      </c>
      <c r="B553" s="26" t="str">
        <f aca="false">IF(OR(F553="LOC - INITIAL",F553="CONSOLIDATION - UPFRONT COMM",F553="REVERSE - TOTAL FUNDING"),A553,"")</f>
        <v/>
      </c>
      <c r="C553" s="27"/>
      <c r="D553" s="28"/>
      <c r="E553" s="28"/>
      <c r="F553" s="28"/>
      <c r="G553" s="29"/>
      <c r="H553" s="30"/>
      <c r="I553" s="28"/>
      <c r="J553" s="31" t="str">
        <f aca="false">IF(AND(G553&lt;&gt;"",H553&lt;&gt;""),G553*H553,"")</f>
        <v/>
      </c>
      <c r="K553" s="28"/>
      <c r="L553" s="32"/>
      <c r="M553" s="32"/>
      <c r="N553" s="31" t="n">
        <f aca="false">IF(OR(G553="",M553=""),0,IF(M553&gt;100,M553,G553*IF(M553&gt;1,M553/100,M553)))</f>
        <v>0</v>
      </c>
      <c r="O553" s="31" t="str">
        <f aca="false">IF(G553="","",G553*IF(L553="",0,IF(L553&gt;1,L553/100,L553))+N553)</f>
        <v/>
      </c>
      <c r="P553" s="28"/>
      <c r="Q553" s="33" t="str">
        <f aca="false">IF(P553="","",IFERROR(VLOOKUP(P553,PARTNERS!$A$2:$B$30,2,0),""))</f>
        <v/>
      </c>
      <c r="R553" s="17" t="str">
        <f aca="false">IF(O553="","",IF(OR(P553="",Q553=""),0,(O553-N553)*IF(Q553&gt;1,Q553/100,Q553)))</f>
        <v/>
      </c>
      <c r="S553" s="31" t="str">
        <f aca="false">IF(O553="","",O553-R553)</f>
        <v/>
      </c>
      <c r="T553" s="28"/>
      <c r="U553" s="34" t="str">
        <f aca="false">IF(T553="","",IFERROR(VLOOKUP(T553,REPS!$A$2:$D$40,2,0),""))</f>
        <v/>
      </c>
      <c r="V553" s="31" t="str">
        <f aca="false">IF(O553="","",IF(U553="",0,O553*IF(U553&gt;1,U553/100,U553)))</f>
        <v/>
      </c>
      <c r="W553" s="28"/>
      <c r="X553" s="34" t="str">
        <f aca="false">IF(W553="","",IFERROR(VLOOKUP(W553,REPS!$A$2:$D$40,3,0),""))</f>
        <v/>
      </c>
      <c r="Y553" s="31" t="str">
        <f aca="false">IF(O553="","",IF(X553="",0,O553*IF(X553&gt;1,X553/100,X553)))</f>
        <v/>
      </c>
      <c r="Z553" s="28"/>
      <c r="AA553" s="34" t="str">
        <f aca="false">IF(Z553="","",IFERROR(VLOOKUP(Z553,REPS!$A$2:$D$40,4,0),""))</f>
        <v/>
      </c>
      <c r="AB553" s="31" t="str">
        <f aca="false">IF(O553="","",IF(AA553="",0,O553*IF(AA553&gt;1,AA553/100,AA553)))</f>
        <v/>
      </c>
      <c r="AC553" s="31" t="str">
        <f aca="false">IF(O553="","",V553+Y553+AB553)</f>
        <v/>
      </c>
      <c r="AD553" s="19" t="str">
        <f aca="false">IF(O553="","",O553-R553-AC553)</f>
        <v/>
      </c>
      <c r="AE553" s="20"/>
      <c r="AF553" s="27"/>
      <c r="AG553" s="21" t="n">
        <f aca="false">IF(OR(AE553="",AE553=0),0,AE553*IF(U553="",0,IF(U553&gt;1,U553/100,U553)))</f>
        <v>0</v>
      </c>
      <c r="AH553" s="21" t="n">
        <f aca="false">IF(OR(AE553="",AE553=0),0,AE553*IF(X553="",0,IF(X553&gt;1,X553/100,X553)))</f>
        <v>0</v>
      </c>
      <c r="AI553" s="21" t="n">
        <f aca="false">IF(OR(AE553="",AE553=0),0,AE553*IF(AA553="",0,IF(AA553&gt;1,AA553/100,AA553)))</f>
        <v>0</v>
      </c>
      <c r="AJ553" s="21" t="n">
        <f aca="false">AG553+AH553+AI553</f>
        <v>0</v>
      </c>
      <c r="AK553" s="21" t="n">
        <f aca="false">IF(OR(AE553="",AE553=0),0,AE553-AJ553)</f>
        <v>0</v>
      </c>
      <c r="AL553" s="19" t="str">
        <f aca="false">IF(AD553="","",AD553-AK553)</f>
        <v/>
      </c>
      <c r="AM553" s="26" t="str">
        <f aca="false">IF(C553="","","Waiting for payment")</f>
        <v/>
      </c>
      <c r="AN553" s="27"/>
      <c r="AO553" s="27"/>
      <c r="AP553" s="35" t="str">
        <f aca="false">IF(OR(C553="",I553="",K553=""),"",IF(K553="Monthly",EDATE(C553,ROUND(I553*SETTINGS!$I$8,0)),WORKDAY(C553,ROUND(I553*SETTINGS!$I$8,0))))</f>
        <v/>
      </c>
      <c r="AQ553" s="26" t="str">
        <f aca="true">IF(C553="","",IF(AND(AP553&lt;&gt;"",TODAY()&gt;=AP553),"Refi Ready",IF(TODAY()-C553&gt;=SETTINGS!$I$11,"Prospecting","Performing")))</f>
        <v/>
      </c>
      <c r="AR553" s="35" t="str">
        <f aca="false">IF(OR(C553="",I553="",K553=""),"",IF(K553="Monthly",EDATE(C553,I553),WORKDAY(C553,I553)))</f>
        <v/>
      </c>
      <c r="AS553" s="28"/>
      <c r="AT553" s="36" t="str">
        <f aca="true">IF(C553="","",IF(AM553="Clawed Back","CLAWED",IF(TODAY()&lt;=C553+SETTINGS!$I$2,"⚠ AT RISK","SAFE")))</f>
        <v/>
      </c>
      <c r="AU553" s="28"/>
      <c r="AW553" s="24" t="n">
        <f aca="false">AW552+IF(AND(C553&lt;&gt;"",AO553&lt;&gt;"",OR('REP COMMISSION'!$B$3="",T553='REP COMMISSION'!$B$3,W553='REP COMMISSION'!$B$3,Z553='REP COMMISSION'!$B$3)),1,0)</f>
        <v>0</v>
      </c>
      <c r="AX553" s="24" t="n">
        <f aca="false">AX552+IF(AND(C553&lt;&gt;"",OR(F553="LOC - INITIAL",F553="CONSOLIDATION - UPFRONT COMM",F553="REVERSE - TOTAL FUNDING")),1,0)</f>
        <v>0</v>
      </c>
    </row>
    <row r="554" customFormat="false" ht="15" hidden="false" customHeight="false" outlineLevel="0" collapsed="false">
      <c r="A554" s="8" t="str">
        <f aca="false">IF(C554&lt;&gt;"","F27-"&amp;COUNT($C$4:C554),"")</f>
        <v/>
      </c>
      <c r="B554" s="9" t="str">
        <f aca="false">IF(OR(F554="LOC - INITIAL",F554="CONSOLIDATION - UPFRONT COMM",F554="REVERSE - TOTAL FUNDING"),A554,"")</f>
        <v/>
      </c>
      <c r="C554" s="10"/>
      <c r="D554" s="11"/>
      <c r="E554" s="11"/>
      <c r="F554" s="11"/>
      <c r="G554" s="12"/>
      <c r="H554" s="13"/>
      <c r="I554" s="11"/>
      <c r="J554" s="14" t="str">
        <f aca="false">IF(AND(G554&lt;&gt;"",H554&lt;&gt;""),G554*H554,"")</f>
        <v/>
      </c>
      <c r="K554" s="11"/>
      <c r="L554" s="15"/>
      <c r="M554" s="15"/>
      <c r="N554" s="14" t="n">
        <f aca="false">IF(OR(G554="",M554=""),0,IF(M554&gt;100,M554,G554*IF(M554&gt;1,M554/100,M554)))</f>
        <v>0</v>
      </c>
      <c r="O554" s="14" t="str">
        <f aca="false">IF(G554="","",G554*IF(L554="",0,IF(L554&gt;1,L554/100,L554))+N554)</f>
        <v/>
      </c>
      <c r="P554" s="11"/>
      <c r="Q554" s="16" t="str">
        <f aca="false">IF(P554="","",IFERROR(VLOOKUP(P554,PARTNERS!$A$2:$B$30,2,0),""))</f>
        <v/>
      </c>
      <c r="R554" s="17" t="str">
        <f aca="false">IF(O554="","",IF(OR(P554="",Q554=""),0,(O554-N554)*IF(Q554&gt;1,Q554/100,Q554)))</f>
        <v/>
      </c>
      <c r="S554" s="14" t="str">
        <f aca="false">IF(O554="","",O554-R554)</f>
        <v/>
      </c>
      <c r="T554" s="11"/>
      <c r="U554" s="18" t="str">
        <f aca="false">IF(T554="","",IFERROR(VLOOKUP(T554,REPS!$A$2:$D$40,2,0),""))</f>
        <v/>
      </c>
      <c r="V554" s="14" t="str">
        <f aca="false">IF(O554="","",IF(U554="",0,O554*IF(U554&gt;1,U554/100,U554)))</f>
        <v/>
      </c>
      <c r="W554" s="11"/>
      <c r="X554" s="18" t="str">
        <f aca="false">IF(W554="","",IFERROR(VLOOKUP(W554,REPS!$A$2:$D$40,3,0),""))</f>
        <v/>
      </c>
      <c r="Y554" s="14" t="str">
        <f aca="false">IF(O554="","",IF(X554="",0,O554*IF(X554&gt;1,X554/100,X554)))</f>
        <v/>
      </c>
      <c r="Z554" s="11"/>
      <c r="AA554" s="18" t="str">
        <f aca="false">IF(Z554="","",IFERROR(VLOOKUP(Z554,REPS!$A$2:$D$40,4,0),""))</f>
        <v/>
      </c>
      <c r="AB554" s="14" t="str">
        <f aca="false">IF(O554="","",IF(AA554="",0,O554*IF(AA554&gt;1,AA554/100,AA554)))</f>
        <v/>
      </c>
      <c r="AC554" s="14" t="str">
        <f aca="false">IF(O554="","",V554+Y554+AB554)</f>
        <v/>
      </c>
      <c r="AD554" s="19" t="str">
        <f aca="false">IF(O554="","",O554-R554-AC554)</f>
        <v/>
      </c>
      <c r="AE554" s="20"/>
      <c r="AF554" s="10"/>
      <c r="AG554" s="21" t="n">
        <f aca="false">IF(OR(AE554="",AE554=0),0,AE554*IF(U554="",0,IF(U554&gt;1,U554/100,U554)))</f>
        <v>0</v>
      </c>
      <c r="AH554" s="21" t="n">
        <f aca="false">IF(OR(AE554="",AE554=0),0,AE554*IF(X554="",0,IF(X554&gt;1,X554/100,X554)))</f>
        <v>0</v>
      </c>
      <c r="AI554" s="21" t="n">
        <f aca="false">IF(OR(AE554="",AE554=0),0,AE554*IF(AA554="",0,IF(AA554&gt;1,AA554/100,AA554)))</f>
        <v>0</v>
      </c>
      <c r="AJ554" s="21" t="n">
        <f aca="false">AG554+AH554+AI554</f>
        <v>0</v>
      </c>
      <c r="AK554" s="21" t="n">
        <f aca="false">IF(OR(AE554="",AE554=0),0,AE554-AJ554)</f>
        <v>0</v>
      </c>
      <c r="AL554" s="19" t="str">
        <f aca="false">IF(AD554="","",AD554-AK554)</f>
        <v/>
      </c>
      <c r="AM554" s="9" t="str">
        <f aca="false">IF(C554="","","Waiting for payment")</f>
        <v/>
      </c>
      <c r="AN554" s="10"/>
      <c r="AO554" s="10"/>
      <c r="AP554" s="22" t="str">
        <f aca="false">IF(OR(C554="",I554="",K554=""),"",IF(K554="Monthly",EDATE(C554,ROUND(I554*SETTINGS!$I$8,0)),WORKDAY(C554,ROUND(I554*SETTINGS!$I$8,0))))</f>
        <v/>
      </c>
      <c r="AQ554" s="9" t="str">
        <f aca="true">IF(C554="","",IF(AND(AP554&lt;&gt;"",TODAY()&gt;=AP554),"Refi Ready",IF(TODAY()-C554&gt;=SETTINGS!$I$11,"Prospecting","Performing")))</f>
        <v/>
      </c>
      <c r="AR554" s="22" t="str">
        <f aca="false">IF(OR(C554="",I554="",K554=""),"",IF(K554="Monthly",EDATE(C554,I554),WORKDAY(C554,I554)))</f>
        <v/>
      </c>
      <c r="AS554" s="11"/>
      <c r="AT554" s="23" t="str">
        <f aca="true">IF(C554="","",IF(AM554="Clawed Back","CLAWED",IF(TODAY()&lt;=C554+SETTINGS!$I$2,"⚠ AT RISK","SAFE")))</f>
        <v/>
      </c>
      <c r="AU554" s="11"/>
      <c r="AW554" s="24" t="n">
        <f aca="false">AW553+IF(AND(C554&lt;&gt;"",AO554&lt;&gt;"",OR('REP COMMISSION'!$B$3="",T554='REP COMMISSION'!$B$3,W554='REP COMMISSION'!$B$3,Z554='REP COMMISSION'!$B$3)),1,0)</f>
        <v>0</v>
      </c>
      <c r="AX554" s="24" t="n">
        <f aca="false">AX553+IF(AND(C554&lt;&gt;"",OR(F554="LOC - INITIAL",F554="CONSOLIDATION - UPFRONT COMM",F554="REVERSE - TOTAL FUNDING")),1,0)</f>
        <v>0</v>
      </c>
    </row>
    <row r="555" customFormat="false" ht="15" hidden="false" customHeight="false" outlineLevel="0" collapsed="false">
      <c r="A555" s="25" t="str">
        <f aca="false">IF(C555&lt;&gt;"","F27-"&amp;COUNT($C$4:C555),"")</f>
        <v/>
      </c>
      <c r="B555" s="26" t="str">
        <f aca="false">IF(OR(F555="LOC - INITIAL",F555="CONSOLIDATION - UPFRONT COMM",F555="REVERSE - TOTAL FUNDING"),A555,"")</f>
        <v/>
      </c>
      <c r="C555" s="27"/>
      <c r="D555" s="28"/>
      <c r="E555" s="28"/>
      <c r="F555" s="28"/>
      <c r="G555" s="29"/>
      <c r="H555" s="30"/>
      <c r="I555" s="28"/>
      <c r="J555" s="31" t="str">
        <f aca="false">IF(AND(G555&lt;&gt;"",H555&lt;&gt;""),G555*H555,"")</f>
        <v/>
      </c>
      <c r="K555" s="28"/>
      <c r="L555" s="32"/>
      <c r="M555" s="32"/>
      <c r="N555" s="31" t="n">
        <f aca="false">IF(OR(G555="",M555=""),0,IF(M555&gt;100,M555,G555*IF(M555&gt;1,M555/100,M555)))</f>
        <v>0</v>
      </c>
      <c r="O555" s="31" t="str">
        <f aca="false">IF(G555="","",G555*IF(L555="",0,IF(L555&gt;1,L555/100,L555))+N555)</f>
        <v/>
      </c>
      <c r="P555" s="28"/>
      <c r="Q555" s="33" t="str">
        <f aca="false">IF(P555="","",IFERROR(VLOOKUP(P555,PARTNERS!$A$2:$B$30,2,0),""))</f>
        <v/>
      </c>
      <c r="R555" s="17" t="str">
        <f aca="false">IF(O555="","",IF(OR(P555="",Q555=""),0,(O555-N555)*IF(Q555&gt;1,Q555/100,Q555)))</f>
        <v/>
      </c>
      <c r="S555" s="31" t="str">
        <f aca="false">IF(O555="","",O555-R555)</f>
        <v/>
      </c>
      <c r="T555" s="28"/>
      <c r="U555" s="34" t="str">
        <f aca="false">IF(T555="","",IFERROR(VLOOKUP(T555,REPS!$A$2:$D$40,2,0),""))</f>
        <v/>
      </c>
      <c r="V555" s="31" t="str">
        <f aca="false">IF(O555="","",IF(U555="",0,O555*IF(U555&gt;1,U555/100,U555)))</f>
        <v/>
      </c>
      <c r="W555" s="28"/>
      <c r="X555" s="34" t="str">
        <f aca="false">IF(W555="","",IFERROR(VLOOKUP(W555,REPS!$A$2:$D$40,3,0),""))</f>
        <v/>
      </c>
      <c r="Y555" s="31" t="str">
        <f aca="false">IF(O555="","",IF(X555="",0,O555*IF(X555&gt;1,X555/100,X555)))</f>
        <v/>
      </c>
      <c r="Z555" s="28"/>
      <c r="AA555" s="34" t="str">
        <f aca="false">IF(Z555="","",IFERROR(VLOOKUP(Z555,REPS!$A$2:$D$40,4,0),""))</f>
        <v/>
      </c>
      <c r="AB555" s="31" t="str">
        <f aca="false">IF(O555="","",IF(AA555="",0,O555*IF(AA555&gt;1,AA555/100,AA555)))</f>
        <v/>
      </c>
      <c r="AC555" s="31" t="str">
        <f aca="false">IF(O555="","",V555+Y555+AB555)</f>
        <v/>
      </c>
      <c r="AD555" s="19" t="str">
        <f aca="false">IF(O555="","",O555-R555-AC555)</f>
        <v/>
      </c>
      <c r="AE555" s="20"/>
      <c r="AF555" s="27"/>
      <c r="AG555" s="21" t="n">
        <f aca="false">IF(OR(AE555="",AE555=0),0,AE555*IF(U555="",0,IF(U555&gt;1,U555/100,U555)))</f>
        <v>0</v>
      </c>
      <c r="AH555" s="21" t="n">
        <f aca="false">IF(OR(AE555="",AE555=0),0,AE555*IF(X555="",0,IF(X555&gt;1,X555/100,X555)))</f>
        <v>0</v>
      </c>
      <c r="AI555" s="21" t="n">
        <f aca="false">IF(OR(AE555="",AE555=0),0,AE555*IF(AA555="",0,IF(AA555&gt;1,AA555/100,AA555)))</f>
        <v>0</v>
      </c>
      <c r="AJ555" s="21" t="n">
        <f aca="false">AG555+AH555+AI555</f>
        <v>0</v>
      </c>
      <c r="AK555" s="21" t="n">
        <f aca="false">IF(OR(AE555="",AE555=0),0,AE555-AJ555)</f>
        <v>0</v>
      </c>
      <c r="AL555" s="19" t="str">
        <f aca="false">IF(AD555="","",AD555-AK555)</f>
        <v/>
      </c>
      <c r="AM555" s="26" t="str">
        <f aca="false">IF(C555="","","Waiting for payment")</f>
        <v/>
      </c>
      <c r="AN555" s="27"/>
      <c r="AO555" s="27"/>
      <c r="AP555" s="35" t="str">
        <f aca="false">IF(OR(C555="",I555="",K555=""),"",IF(K555="Monthly",EDATE(C555,ROUND(I555*SETTINGS!$I$8,0)),WORKDAY(C555,ROUND(I555*SETTINGS!$I$8,0))))</f>
        <v/>
      </c>
      <c r="AQ555" s="26" t="str">
        <f aca="true">IF(C555="","",IF(AND(AP555&lt;&gt;"",TODAY()&gt;=AP555),"Refi Ready",IF(TODAY()-C555&gt;=SETTINGS!$I$11,"Prospecting","Performing")))</f>
        <v/>
      </c>
      <c r="AR555" s="35" t="str">
        <f aca="false">IF(OR(C555="",I555="",K555=""),"",IF(K555="Monthly",EDATE(C555,I555),WORKDAY(C555,I555)))</f>
        <v/>
      </c>
      <c r="AS555" s="28"/>
      <c r="AT555" s="36" t="str">
        <f aca="true">IF(C555="","",IF(AM555="Clawed Back","CLAWED",IF(TODAY()&lt;=C555+SETTINGS!$I$2,"⚠ AT RISK","SAFE")))</f>
        <v/>
      </c>
      <c r="AU555" s="28"/>
      <c r="AW555" s="24" t="n">
        <f aca="false">AW554+IF(AND(C555&lt;&gt;"",AO555&lt;&gt;"",OR('REP COMMISSION'!$B$3="",T555='REP COMMISSION'!$B$3,W555='REP COMMISSION'!$B$3,Z555='REP COMMISSION'!$B$3)),1,0)</f>
        <v>0</v>
      </c>
      <c r="AX555" s="24" t="n">
        <f aca="false">AX554+IF(AND(C555&lt;&gt;"",OR(F555="LOC - INITIAL",F555="CONSOLIDATION - UPFRONT COMM",F555="REVERSE - TOTAL FUNDING")),1,0)</f>
        <v>0</v>
      </c>
    </row>
    <row r="556" customFormat="false" ht="15" hidden="false" customHeight="false" outlineLevel="0" collapsed="false">
      <c r="A556" s="8" t="str">
        <f aca="false">IF(C556&lt;&gt;"","F27-"&amp;COUNT($C$4:C556),"")</f>
        <v/>
      </c>
      <c r="B556" s="9" t="str">
        <f aca="false">IF(OR(F556="LOC - INITIAL",F556="CONSOLIDATION - UPFRONT COMM",F556="REVERSE - TOTAL FUNDING"),A556,"")</f>
        <v/>
      </c>
      <c r="C556" s="10"/>
      <c r="D556" s="11"/>
      <c r="E556" s="11"/>
      <c r="F556" s="11"/>
      <c r="G556" s="12"/>
      <c r="H556" s="13"/>
      <c r="I556" s="11"/>
      <c r="J556" s="14" t="str">
        <f aca="false">IF(AND(G556&lt;&gt;"",H556&lt;&gt;""),G556*H556,"")</f>
        <v/>
      </c>
      <c r="K556" s="11"/>
      <c r="L556" s="15"/>
      <c r="M556" s="15"/>
      <c r="N556" s="14" t="n">
        <f aca="false">IF(OR(G556="",M556=""),0,IF(M556&gt;100,M556,G556*IF(M556&gt;1,M556/100,M556)))</f>
        <v>0</v>
      </c>
      <c r="O556" s="14" t="str">
        <f aca="false">IF(G556="","",G556*IF(L556="",0,IF(L556&gt;1,L556/100,L556))+N556)</f>
        <v/>
      </c>
      <c r="P556" s="11"/>
      <c r="Q556" s="16" t="str">
        <f aca="false">IF(P556="","",IFERROR(VLOOKUP(P556,PARTNERS!$A$2:$B$30,2,0),""))</f>
        <v/>
      </c>
      <c r="R556" s="17" t="str">
        <f aca="false">IF(O556="","",IF(OR(P556="",Q556=""),0,(O556-N556)*IF(Q556&gt;1,Q556/100,Q556)))</f>
        <v/>
      </c>
      <c r="S556" s="14" t="str">
        <f aca="false">IF(O556="","",O556-R556)</f>
        <v/>
      </c>
      <c r="T556" s="11"/>
      <c r="U556" s="18" t="str">
        <f aca="false">IF(T556="","",IFERROR(VLOOKUP(T556,REPS!$A$2:$D$40,2,0),""))</f>
        <v/>
      </c>
      <c r="V556" s="14" t="str">
        <f aca="false">IF(O556="","",IF(U556="",0,O556*IF(U556&gt;1,U556/100,U556)))</f>
        <v/>
      </c>
      <c r="W556" s="11"/>
      <c r="X556" s="18" t="str">
        <f aca="false">IF(W556="","",IFERROR(VLOOKUP(W556,REPS!$A$2:$D$40,3,0),""))</f>
        <v/>
      </c>
      <c r="Y556" s="14" t="str">
        <f aca="false">IF(O556="","",IF(X556="",0,O556*IF(X556&gt;1,X556/100,X556)))</f>
        <v/>
      </c>
      <c r="Z556" s="11"/>
      <c r="AA556" s="18" t="str">
        <f aca="false">IF(Z556="","",IFERROR(VLOOKUP(Z556,REPS!$A$2:$D$40,4,0),""))</f>
        <v/>
      </c>
      <c r="AB556" s="14" t="str">
        <f aca="false">IF(O556="","",IF(AA556="",0,O556*IF(AA556&gt;1,AA556/100,AA556)))</f>
        <v/>
      </c>
      <c r="AC556" s="14" t="str">
        <f aca="false">IF(O556="","",V556+Y556+AB556)</f>
        <v/>
      </c>
      <c r="AD556" s="19" t="str">
        <f aca="false">IF(O556="","",O556-R556-AC556)</f>
        <v/>
      </c>
      <c r="AE556" s="20"/>
      <c r="AF556" s="10"/>
      <c r="AG556" s="21" t="n">
        <f aca="false">IF(OR(AE556="",AE556=0),0,AE556*IF(U556="",0,IF(U556&gt;1,U556/100,U556)))</f>
        <v>0</v>
      </c>
      <c r="AH556" s="21" t="n">
        <f aca="false">IF(OR(AE556="",AE556=0),0,AE556*IF(X556="",0,IF(X556&gt;1,X556/100,X556)))</f>
        <v>0</v>
      </c>
      <c r="AI556" s="21" t="n">
        <f aca="false">IF(OR(AE556="",AE556=0),0,AE556*IF(AA556="",0,IF(AA556&gt;1,AA556/100,AA556)))</f>
        <v>0</v>
      </c>
      <c r="AJ556" s="21" t="n">
        <f aca="false">AG556+AH556+AI556</f>
        <v>0</v>
      </c>
      <c r="AK556" s="21" t="n">
        <f aca="false">IF(OR(AE556="",AE556=0),0,AE556-AJ556)</f>
        <v>0</v>
      </c>
      <c r="AL556" s="19" t="str">
        <f aca="false">IF(AD556="","",AD556-AK556)</f>
        <v/>
      </c>
      <c r="AM556" s="9" t="str">
        <f aca="false">IF(C556="","","Waiting for payment")</f>
        <v/>
      </c>
      <c r="AN556" s="10"/>
      <c r="AO556" s="10"/>
      <c r="AP556" s="22" t="str">
        <f aca="false">IF(OR(C556="",I556="",K556=""),"",IF(K556="Monthly",EDATE(C556,ROUND(I556*SETTINGS!$I$8,0)),WORKDAY(C556,ROUND(I556*SETTINGS!$I$8,0))))</f>
        <v/>
      </c>
      <c r="AQ556" s="9" t="str">
        <f aca="true">IF(C556="","",IF(AND(AP556&lt;&gt;"",TODAY()&gt;=AP556),"Refi Ready",IF(TODAY()-C556&gt;=SETTINGS!$I$11,"Prospecting","Performing")))</f>
        <v/>
      </c>
      <c r="AR556" s="22" t="str">
        <f aca="false">IF(OR(C556="",I556="",K556=""),"",IF(K556="Monthly",EDATE(C556,I556),WORKDAY(C556,I556)))</f>
        <v/>
      </c>
      <c r="AS556" s="11"/>
      <c r="AT556" s="23" t="str">
        <f aca="true">IF(C556="","",IF(AM556="Clawed Back","CLAWED",IF(TODAY()&lt;=C556+SETTINGS!$I$2,"⚠ AT RISK","SAFE")))</f>
        <v/>
      </c>
      <c r="AU556" s="11"/>
      <c r="AW556" s="24" t="n">
        <f aca="false">AW555+IF(AND(C556&lt;&gt;"",AO556&lt;&gt;"",OR('REP COMMISSION'!$B$3="",T556='REP COMMISSION'!$B$3,W556='REP COMMISSION'!$B$3,Z556='REP COMMISSION'!$B$3)),1,0)</f>
        <v>0</v>
      </c>
      <c r="AX556" s="24" t="n">
        <f aca="false">AX555+IF(AND(C556&lt;&gt;"",OR(F556="LOC - INITIAL",F556="CONSOLIDATION - UPFRONT COMM",F556="REVERSE - TOTAL FUNDING")),1,0)</f>
        <v>0</v>
      </c>
    </row>
    <row r="557" customFormat="false" ht="15" hidden="false" customHeight="false" outlineLevel="0" collapsed="false">
      <c r="A557" s="25" t="str">
        <f aca="false">IF(C557&lt;&gt;"","F27-"&amp;COUNT($C$4:C557),"")</f>
        <v/>
      </c>
      <c r="B557" s="26" t="str">
        <f aca="false">IF(OR(F557="LOC - INITIAL",F557="CONSOLIDATION - UPFRONT COMM",F557="REVERSE - TOTAL FUNDING"),A557,"")</f>
        <v/>
      </c>
      <c r="C557" s="27"/>
      <c r="D557" s="28"/>
      <c r="E557" s="28"/>
      <c r="F557" s="28"/>
      <c r="G557" s="29"/>
      <c r="H557" s="30"/>
      <c r="I557" s="28"/>
      <c r="J557" s="31" t="str">
        <f aca="false">IF(AND(G557&lt;&gt;"",H557&lt;&gt;""),G557*H557,"")</f>
        <v/>
      </c>
      <c r="K557" s="28"/>
      <c r="L557" s="32"/>
      <c r="M557" s="32"/>
      <c r="N557" s="31" t="n">
        <f aca="false">IF(OR(G557="",M557=""),0,IF(M557&gt;100,M557,G557*IF(M557&gt;1,M557/100,M557)))</f>
        <v>0</v>
      </c>
      <c r="O557" s="31" t="str">
        <f aca="false">IF(G557="","",G557*IF(L557="",0,IF(L557&gt;1,L557/100,L557))+N557)</f>
        <v/>
      </c>
      <c r="P557" s="28"/>
      <c r="Q557" s="33" t="str">
        <f aca="false">IF(P557="","",IFERROR(VLOOKUP(P557,PARTNERS!$A$2:$B$30,2,0),""))</f>
        <v/>
      </c>
      <c r="R557" s="17" t="str">
        <f aca="false">IF(O557="","",IF(OR(P557="",Q557=""),0,(O557-N557)*IF(Q557&gt;1,Q557/100,Q557)))</f>
        <v/>
      </c>
      <c r="S557" s="31" t="str">
        <f aca="false">IF(O557="","",O557-R557)</f>
        <v/>
      </c>
      <c r="T557" s="28"/>
      <c r="U557" s="34" t="str">
        <f aca="false">IF(T557="","",IFERROR(VLOOKUP(T557,REPS!$A$2:$D$40,2,0),""))</f>
        <v/>
      </c>
      <c r="V557" s="31" t="str">
        <f aca="false">IF(O557="","",IF(U557="",0,O557*IF(U557&gt;1,U557/100,U557)))</f>
        <v/>
      </c>
      <c r="W557" s="28"/>
      <c r="X557" s="34" t="str">
        <f aca="false">IF(W557="","",IFERROR(VLOOKUP(W557,REPS!$A$2:$D$40,3,0),""))</f>
        <v/>
      </c>
      <c r="Y557" s="31" t="str">
        <f aca="false">IF(O557="","",IF(X557="",0,O557*IF(X557&gt;1,X557/100,X557)))</f>
        <v/>
      </c>
      <c r="Z557" s="28"/>
      <c r="AA557" s="34" t="str">
        <f aca="false">IF(Z557="","",IFERROR(VLOOKUP(Z557,REPS!$A$2:$D$40,4,0),""))</f>
        <v/>
      </c>
      <c r="AB557" s="31" t="str">
        <f aca="false">IF(O557="","",IF(AA557="",0,O557*IF(AA557&gt;1,AA557/100,AA557)))</f>
        <v/>
      </c>
      <c r="AC557" s="31" t="str">
        <f aca="false">IF(O557="","",V557+Y557+AB557)</f>
        <v/>
      </c>
      <c r="AD557" s="19" t="str">
        <f aca="false">IF(O557="","",O557-R557-AC557)</f>
        <v/>
      </c>
      <c r="AE557" s="20"/>
      <c r="AF557" s="27"/>
      <c r="AG557" s="21" t="n">
        <f aca="false">IF(OR(AE557="",AE557=0),0,AE557*IF(U557="",0,IF(U557&gt;1,U557/100,U557)))</f>
        <v>0</v>
      </c>
      <c r="AH557" s="21" t="n">
        <f aca="false">IF(OR(AE557="",AE557=0),0,AE557*IF(X557="",0,IF(X557&gt;1,X557/100,X557)))</f>
        <v>0</v>
      </c>
      <c r="AI557" s="21" t="n">
        <f aca="false">IF(OR(AE557="",AE557=0),0,AE557*IF(AA557="",0,IF(AA557&gt;1,AA557/100,AA557)))</f>
        <v>0</v>
      </c>
      <c r="AJ557" s="21" t="n">
        <f aca="false">AG557+AH557+AI557</f>
        <v>0</v>
      </c>
      <c r="AK557" s="21" t="n">
        <f aca="false">IF(OR(AE557="",AE557=0),0,AE557-AJ557)</f>
        <v>0</v>
      </c>
      <c r="AL557" s="19" t="str">
        <f aca="false">IF(AD557="","",AD557-AK557)</f>
        <v/>
      </c>
      <c r="AM557" s="26" t="str">
        <f aca="false">IF(C557="","","Waiting for payment")</f>
        <v/>
      </c>
      <c r="AN557" s="27"/>
      <c r="AO557" s="27"/>
      <c r="AP557" s="35" t="str">
        <f aca="false">IF(OR(C557="",I557="",K557=""),"",IF(K557="Monthly",EDATE(C557,ROUND(I557*SETTINGS!$I$8,0)),WORKDAY(C557,ROUND(I557*SETTINGS!$I$8,0))))</f>
        <v/>
      </c>
      <c r="AQ557" s="26" t="str">
        <f aca="true">IF(C557="","",IF(AND(AP557&lt;&gt;"",TODAY()&gt;=AP557),"Refi Ready",IF(TODAY()-C557&gt;=SETTINGS!$I$11,"Prospecting","Performing")))</f>
        <v/>
      </c>
      <c r="AR557" s="35" t="str">
        <f aca="false">IF(OR(C557="",I557="",K557=""),"",IF(K557="Monthly",EDATE(C557,I557),WORKDAY(C557,I557)))</f>
        <v/>
      </c>
      <c r="AS557" s="28"/>
      <c r="AT557" s="36" t="str">
        <f aca="true">IF(C557="","",IF(AM557="Clawed Back","CLAWED",IF(TODAY()&lt;=C557+SETTINGS!$I$2,"⚠ AT RISK","SAFE")))</f>
        <v/>
      </c>
      <c r="AU557" s="28"/>
      <c r="AW557" s="24" t="n">
        <f aca="false">AW556+IF(AND(C557&lt;&gt;"",AO557&lt;&gt;"",OR('REP COMMISSION'!$B$3="",T557='REP COMMISSION'!$B$3,W557='REP COMMISSION'!$B$3,Z557='REP COMMISSION'!$B$3)),1,0)</f>
        <v>0</v>
      </c>
      <c r="AX557" s="24" t="n">
        <f aca="false">AX556+IF(AND(C557&lt;&gt;"",OR(F557="LOC - INITIAL",F557="CONSOLIDATION - UPFRONT COMM",F557="REVERSE - TOTAL FUNDING")),1,0)</f>
        <v>0</v>
      </c>
    </row>
    <row r="558" customFormat="false" ht="15" hidden="false" customHeight="false" outlineLevel="0" collapsed="false">
      <c r="A558" s="8" t="str">
        <f aca="false">IF(C558&lt;&gt;"","F27-"&amp;COUNT($C$4:C558),"")</f>
        <v/>
      </c>
      <c r="B558" s="9" t="str">
        <f aca="false">IF(OR(F558="LOC - INITIAL",F558="CONSOLIDATION - UPFRONT COMM",F558="REVERSE - TOTAL FUNDING"),A558,"")</f>
        <v/>
      </c>
      <c r="C558" s="10"/>
      <c r="D558" s="11"/>
      <c r="E558" s="11"/>
      <c r="F558" s="11"/>
      <c r="G558" s="12"/>
      <c r="H558" s="13"/>
      <c r="I558" s="11"/>
      <c r="J558" s="14" t="str">
        <f aca="false">IF(AND(G558&lt;&gt;"",H558&lt;&gt;""),G558*H558,"")</f>
        <v/>
      </c>
      <c r="K558" s="11"/>
      <c r="L558" s="15"/>
      <c r="M558" s="15"/>
      <c r="N558" s="14" t="n">
        <f aca="false">IF(OR(G558="",M558=""),0,IF(M558&gt;100,M558,G558*IF(M558&gt;1,M558/100,M558)))</f>
        <v>0</v>
      </c>
      <c r="O558" s="14" t="str">
        <f aca="false">IF(G558="","",G558*IF(L558="",0,IF(L558&gt;1,L558/100,L558))+N558)</f>
        <v/>
      </c>
      <c r="P558" s="11"/>
      <c r="Q558" s="16" t="str">
        <f aca="false">IF(P558="","",IFERROR(VLOOKUP(P558,PARTNERS!$A$2:$B$30,2,0),""))</f>
        <v/>
      </c>
      <c r="R558" s="17" t="str">
        <f aca="false">IF(O558="","",IF(OR(P558="",Q558=""),0,(O558-N558)*IF(Q558&gt;1,Q558/100,Q558)))</f>
        <v/>
      </c>
      <c r="S558" s="14" t="str">
        <f aca="false">IF(O558="","",O558-R558)</f>
        <v/>
      </c>
      <c r="T558" s="11"/>
      <c r="U558" s="18" t="str">
        <f aca="false">IF(T558="","",IFERROR(VLOOKUP(T558,REPS!$A$2:$D$40,2,0),""))</f>
        <v/>
      </c>
      <c r="V558" s="14" t="str">
        <f aca="false">IF(O558="","",IF(U558="",0,O558*IF(U558&gt;1,U558/100,U558)))</f>
        <v/>
      </c>
      <c r="W558" s="11"/>
      <c r="X558" s="18" t="str">
        <f aca="false">IF(W558="","",IFERROR(VLOOKUP(W558,REPS!$A$2:$D$40,3,0),""))</f>
        <v/>
      </c>
      <c r="Y558" s="14" t="str">
        <f aca="false">IF(O558="","",IF(X558="",0,O558*IF(X558&gt;1,X558/100,X558)))</f>
        <v/>
      </c>
      <c r="Z558" s="11"/>
      <c r="AA558" s="18" t="str">
        <f aca="false">IF(Z558="","",IFERROR(VLOOKUP(Z558,REPS!$A$2:$D$40,4,0),""))</f>
        <v/>
      </c>
      <c r="AB558" s="14" t="str">
        <f aca="false">IF(O558="","",IF(AA558="",0,O558*IF(AA558&gt;1,AA558/100,AA558)))</f>
        <v/>
      </c>
      <c r="AC558" s="14" t="str">
        <f aca="false">IF(O558="","",V558+Y558+AB558)</f>
        <v/>
      </c>
      <c r="AD558" s="19" t="str">
        <f aca="false">IF(O558="","",O558-R558-AC558)</f>
        <v/>
      </c>
      <c r="AE558" s="20"/>
      <c r="AF558" s="10"/>
      <c r="AG558" s="21" t="n">
        <f aca="false">IF(OR(AE558="",AE558=0),0,AE558*IF(U558="",0,IF(U558&gt;1,U558/100,U558)))</f>
        <v>0</v>
      </c>
      <c r="AH558" s="21" t="n">
        <f aca="false">IF(OR(AE558="",AE558=0),0,AE558*IF(X558="",0,IF(X558&gt;1,X558/100,X558)))</f>
        <v>0</v>
      </c>
      <c r="AI558" s="21" t="n">
        <f aca="false">IF(OR(AE558="",AE558=0),0,AE558*IF(AA558="",0,IF(AA558&gt;1,AA558/100,AA558)))</f>
        <v>0</v>
      </c>
      <c r="AJ558" s="21" t="n">
        <f aca="false">AG558+AH558+AI558</f>
        <v>0</v>
      </c>
      <c r="AK558" s="21" t="n">
        <f aca="false">IF(OR(AE558="",AE558=0),0,AE558-AJ558)</f>
        <v>0</v>
      </c>
      <c r="AL558" s="19" t="str">
        <f aca="false">IF(AD558="","",AD558-AK558)</f>
        <v/>
      </c>
      <c r="AM558" s="9" t="str">
        <f aca="false">IF(C558="","","Waiting for payment")</f>
        <v/>
      </c>
      <c r="AN558" s="10"/>
      <c r="AO558" s="10"/>
      <c r="AP558" s="22" t="str">
        <f aca="false">IF(OR(C558="",I558="",K558=""),"",IF(K558="Monthly",EDATE(C558,ROUND(I558*SETTINGS!$I$8,0)),WORKDAY(C558,ROUND(I558*SETTINGS!$I$8,0))))</f>
        <v/>
      </c>
      <c r="AQ558" s="9" t="str">
        <f aca="true">IF(C558="","",IF(AND(AP558&lt;&gt;"",TODAY()&gt;=AP558),"Refi Ready",IF(TODAY()-C558&gt;=SETTINGS!$I$11,"Prospecting","Performing")))</f>
        <v/>
      </c>
      <c r="AR558" s="22" t="str">
        <f aca="false">IF(OR(C558="",I558="",K558=""),"",IF(K558="Monthly",EDATE(C558,I558),WORKDAY(C558,I558)))</f>
        <v/>
      </c>
      <c r="AS558" s="11"/>
      <c r="AT558" s="23" t="str">
        <f aca="true">IF(C558="","",IF(AM558="Clawed Back","CLAWED",IF(TODAY()&lt;=C558+SETTINGS!$I$2,"⚠ AT RISK","SAFE")))</f>
        <v/>
      </c>
      <c r="AU558" s="11"/>
      <c r="AW558" s="24" t="n">
        <f aca="false">AW557+IF(AND(C558&lt;&gt;"",AO558&lt;&gt;"",OR('REP COMMISSION'!$B$3="",T558='REP COMMISSION'!$B$3,W558='REP COMMISSION'!$B$3,Z558='REP COMMISSION'!$B$3)),1,0)</f>
        <v>0</v>
      </c>
      <c r="AX558" s="24" t="n">
        <f aca="false">AX557+IF(AND(C558&lt;&gt;"",OR(F558="LOC - INITIAL",F558="CONSOLIDATION - UPFRONT COMM",F558="REVERSE - TOTAL FUNDING")),1,0)</f>
        <v>0</v>
      </c>
    </row>
    <row r="559" customFormat="false" ht="15" hidden="false" customHeight="false" outlineLevel="0" collapsed="false">
      <c r="A559" s="25" t="str">
        <f aca="false">IF(C559&lt;&gt;"","F27-"&amp;COUNT($C$4:C559),"")</f>
        <v/>
      </c>
      <c r="B559" s="26" t="str">
        <f aca="false">IF(OR(F559="LOC - INITIAL",F559="CONSOLIDATION - UPFRONT COMM",F559="REVERSE - TOTAL FUNDING"),A559,"")</f>
        <v/>
      </c>
      <c r="C559" s="27"/>
      <c r="D559" s="28"/>
      <c r="E559" s="28"/>
      <c r="F559" s="28"/>
      <c r="G559" s="29"/>
      <c r="H559" s="30"/>
      <c r="I559" s="28"/>
      <c r="J559" s="31" t="str">
        <f aca="false">IF(AND(G559&lt;&gt;"",H559&lt;&gt;""),G559*H559,"")</f>
        <v/>
      </c>
      <c r="K559" s="28"/>
      <c r="L559" s="32"/>
      <c r="M559" s="32"/>
      <c r="N559" s="31" t="n">
        <f aca="false">IF(OR(G559="",M559=""),0,IF(M559&gt;100,M559,G559*IF(M559&gt;1,M559/100,M559)))</f>
        <v>0</v>
      </c>
      <c r="O559" s="31" t="str">
        <f aca="false">IF(G559="","",G559*IF(L559="",0,IF(L559&gt;1,L559/100,L559))+N559)</f>
        <v/>
      </c>
      <c r="P559" s="28"/>
      <c r="Q559" s="33" t="str">
        <f aca="false">IF(P559="","",IFERROR(VLOOKUP(P559,PARTNERS!$A$2:$B$30,2,0),""))</f>
        <v/>
      </c>
      <c r="R559" s="17" t="str">
        <f aca="false">IF(O559="","",IF(OR(P559="",Q559=""),0,(O559-N559)*IF(Q559&gt;1,Q559/100,Q559)))</f>
        <v/>
      </c>
      <c r="S559" s="31" t="str">
        <f aca="false">IF(O559="","",O559-R559)</f>
        <v/>
      </c>
      <c r="T559" s="28"/>
      <c r="U559" s="34" t="str">
        <f aca="false">IF(T559="","",IFERROR(VLOOKUP(T559,REPS!$A$2:$D$40,2,0),""))</f>
        <v/>
      </c>
      <c r="V559" s="31" t="str">
        <f aca="false">IF(O559="","",IF(U559="",0,O559*IF(U559&gt;1,U559/100,U559)))</f>
        <v/>
      </c>
      <c r="W559" s="28"/>
      <c r="X559" s="34" t="str">
        <f aca="false">IF(W559="","",IFERROR(VLOOKUP(W559,REPS!$A$2:$D$40,3,0),""))</f>
        <v/>
      </c>
      <c r="Y559" s="31" t="str">
        <f aca="false">IF(O559="","",IF(X559="",0,O559*IF(X559&gt;1,X559/100,X559)))</f>
        <v/>
      </c>
      <c r="Z559" s="28"/>
      <c r="AA559" s="34" t="str">
        <f aca="false">IF(Z559="","",IFERROR(VLOOKUP(Z559,REPS!$A$2:$D$40,4,0),""))</f>
        <v/>
      </c>
      <c r="AB559" s="31" t="str">
        <f aca="false">IF(O559="","",IF(AA559="",0,O559*IF(AA559&gt;1,AA559/100,AA559)))</f>
        <v/>
      </c>
      <c r="AC559" s="31" t="str">
        <f aca="false">IF(O559="","",V559+Y559+AB559)</f>
        <v/>
      </c>
      <c r="AD559" s="19" t="str">
        <f aca="false">IF(O559="","",O559-R559-AC559)</f>
        <v/>
      </c>
      <c r="AE559" s="20"/>
      <c r="AF559" s="27"/>
      <c r="AG559" s="21" t="n">
        <f aca="false">IF(OR(AE559="",AE559=0),0,AE559*IF(U559="",0,IF(U559&gt;1,U559/100,U559)))</f>
        <v>0</v>
      </c>
      <c r="AH559" s="21" t="n">
        <f aca="false">IF(OR(AE559="",AE559=0),0,AE559*IF(X559="",0,IF(X559&gt;1,X559/100,X559)))</f>
        <v>0</v>
      </c>
      <c r="AI559" s="21" t="n">
        <f aca="false">IF(OR(AE559="",AE559=0),0,AE559*IF(AA559="",0,IF(AA559&gt;1,AA559/100,AA559)))</f>
        <v>0</v>
      </c>
      <c r="AJ559" s="21" t="n">
        <f aca="false">AG559+AH559+AI559</f>
        <v>0</v>
      </c>
      <c r="AK559" s="21" t="n">
        <f aca="false">IF(OR(AE559="",AE559=0),0,AE559-AJ559)</f>
        <v>0</v>
      </c>
      <c r="AL559" s="19" t="str">
        <f aca="false">IF(AD559="","",AD559-AK559)</f>
        <v/>
      </c>
      <c r="AM559" s="26" t="str">
        <f aca="false">IF(C559="","","Waiting for payment")</f>
        <v/>
      </c>
      <c r="AN559" s="27"/>
      <c r="AO559" s="27"/>
      <c r="AP559" s="35" t="str">
        <f aca="false">IF(OR(C559="",I559="",K559=""),"",IF(K559="Monthly",EDATE(C559,ROUND(I559*SETTINGS!$I$8,0)),WORKDAY(C559,ROUND(I559*SETTINGS!$I$8,0))))</f>
        <v/>
      </c>
      <c r="AQ559" s="26" t="str">
        <f aca="true">IF(C559="","",IF(AND(AP559&lt;&gt;"",TODAY()&gt;=AP559),"Refi Ready",IF(TODAY()-C559&gt;=SETTINGS!$I$11,"Prospecting","Performing")))</f>
        <v/>
      </c>
      <c r="AR559" s="35" t="str">
        <f aca="false">IF(OR(C559="",I559="",K559=""),"",IF(K559="Monthly",EDATE(C559,I559),WORKDAY(C559,I559)))</f>
        <v/>
      </c>
      <c r="AS559" s="28"/>
      <c r="AT559" s="36" t="str">
        <f aca="true">IF(C559="","",IF(AM559="Clawed Back","CLAWED",IF(TODAY()&lt;=C559+SETTINGS!$I$2,"⚠ AT RISK","SAFE")))</f>
        <v/>
      </c>
      <c r="AU559" s="28"/>
      <c r="AW559" s="24" t="n">
        <f aca="false">AW558+IF(AND(C559&lt;&gt;"",AO559&lt;&gt;"",OR('REP COMMISSION'!$B$3="",T559='REP COMMISSION'!$B$3,W559='REP COMMISSION'!$B$3,Z559='REP COMMISSION'!$B$3)),1,0)</f>
        <v>0</v>
      </c>
      <c r="AX559" s="24" t="n">
        <f aca="false">AX558+IF(AND(C559&lt;&gt;"",OR(F559="LOC - INITIAL",F559="CONSOLIDATION - UPFRONT COMM",F559="REVERSE - TOTAL FUNDING")),1,0)</f>
        <v>0</v>
      </c>
    </row>
    <row r="560" customFormat="false" ht="15" hidden="false" customHeight="false" outlineLevel="0" collapsed="false">
      <c r="A560" s="8" t="str">
        <f aca="false">IF(C560&lt;&gt;"","F27-"&amp;COUNT($C$4:C560),"")</f>
        <v/>
      </c>
      <c r="B560" s="9" t="str">
        <f aca="false">IF(OR(F560="LOC - INITIAL",F560="CONSOLIDATION - UPFRONT COMM",F560="REVERSE - TOTAL FUNDING"),A560,"")</f>
        <v/>
      </c>
      <c r="C560" s="10"/>
      <c r="D560" s="11"/>
      <c r="E560" s="11"/>
      <c r="F560" s="11"/>
      <c r="G560" s="12"/>
      <c r="H560" s="13"/>
      <c r="I560" s="11"/>
      <c r="J560" s="14" t="str">
        <f aca="false">IF(AND(G560&lt;&gt;"",H560&lt;&gt;""),G560*H560,"")</f>
        <v/>
      </c>
      <c r="K560" s="11"/>
      <c r="L560" s="15"/>
      <c r="M560" s="15"/>
      <c r="N560" s="14" t="n">
        <f aca="false">IF(OR(G560="",M560=""),0,IF(M560&gt;100,M560,G560*IF(M560&gt;1,M560/100,M560)))</f>
        <v>0</v>
      </c>
      <c r="O560" s="14" t="str">
        <f aca="false">IF(G560="","",G560*IF(L560="",0,IF(L560&gt;1,L560/100,L560))+N560)</f>
        <v/>
      </c>
      <c r="P560" s="11"/>
      <c r="Q560" s="16" t="str">
        <f aca="false">IF(P560="","",IFERROR(VLOOKUP(P560,PARTNERS!$A$2:$B$30,2,0),""))</f>
        <v/>
      </c>
      <c r="R560" s="17" t="str">
        <f aca="false">IF(O560="","",IF(OR(P560="",Q560=""),0,(O560-N560)*IF(Q560&gt;1,Q560/100,Q560)))</f>
        <v/>
      </c>
      <c r="S560" s="14" t="str">
        <f aca="false">IF(O560="","",O560-R560)</f>
        <v/>
      </c>
      <c r="T560" s="11"/>
      <c r="U560" s="18" t="str">
        <f aca="false">IF(T560="","",IFERROR(VLOOKUP(T560,REPS!$A$2:$D$40,2,0),""))</f>
        <v/>
      </c>
      <c r="V560" s="14" t="str">
        <f aca="false">IF(O560="","",IF(U560="",0,O560*IF(U560&gt;1,U560/100,U560)))</f>
        <v/>
      </c>
      <c r="W560" s="11"/>
      <c r="X560" s="18" t="str">
        <f aca="false">IF(W560="","",IFERROR(VLOOKUP(W560,REPS!$A$2:$D$40,3,0),""))</f>
        <v/>
      </c>
      <c r="Y560" s="14" t="str">
        <f aca="false">IF(O560="","",IF(X560="",0,O560*IF(X560&gt;1,X560/100,X560)))</f>
        <v/>
      </c>
      <c r="Z560" s="11"/>
      <c r="AA560" s="18" t="str">
        <f aca="false">IF(Z560="","",IFERROR(VLOOKUP(Z560,REPS!$A$2:$D$40,4,0),""))</f>
        <v/>
      </c>
      <c r="AB560" s="14" t="str">
        <f aca="false">IF(O560="","",IF(AA560="",0,O560*IF(AA560&gt;1,AA560/100,AA560)))</f>
        <v/>
      </c>
      <c r="AC560" s="14" t="str">
        <f aca="false">IF(O560="","",V560+Y560+AB560)</f>
        <v/>
      </c>
      <c r="AD560" s="19" t="str">
        <f aca="false">IF(O560="","",O560-R560-AC560)</f>
        <v/>
      </c>
      <c r="AE560" s="20"/>
      <c r="AF560" s="10"/>
      <c r="AG560" s="21" t="n">
        <f aca="false">IF(OR(AE560="",AE560=0),0,AE560*IF(U560="",0,IF(U560&gt;1,U560/100,U560)))</f>
        <v>0</v>
      </c>
      <c r="AH560" s="21" t="n">
        <f aca="false">IF(OR(AE560="",AE560=0),0,AE560*IF(X560="",0,IF(X560&gt;1,X560/100,X560)))</f>
        <v>0</v>
      </c>
      <c r="AI560" s="21" t="n">
        <f aca="false">IF(OR(AE560="",AE560=0),0,AE560*IF(AA560="",0,IF(AA560&gt;1,AA560/100,AA560)))</f>
        <v>0</v>
      </c>
      <c r="AJ560" s="21" t="n">
        <f aca="false">AG560+AH560+AI560</f>
        <v>0</v>
      </c>
      <c r="AK560" s="21" t="n">
        <f aca="false">IF(OR(AE560="",AE560=0),0,AE560-AJ560)</f>
        <v>0</v>
      </c>
      <c r="AL560" s="19" t="str">
        <f aca="false">IF(AD560="","",AD560-AK560)</f>
        <v/>
      </c>
      <c r="AM560" s="9" t="str">
        <f aca="false">IF(C560="","","Waiting for payment")</f>
        <v/>
      </c>
      <c r="AN560" s="10"/>
      <c r="AO560" s="10"/>
      <c r="AP560" s="22" t="str">
        <f aca="false">IF(OR(C560="",I560="",K560=""),"",IF(K560="Monthly",EDATE(C560,ROUND(I560*SETTINGS!$I$8,0)),WORKDAY(C560,ROUND(I560*SETTINGS!$I$8,0))))</f>
        <v/>
      </c>
      <c r="AQ560" s="9" t="str">
        <f aca="true">IF(C560="","",IF(AND(AP560&lt;&gt;"",TODAY()&gt;=AP560),"Refi Ready",IF(TODAY()-C560&gt;=SETTINGS!$I$11,"Prospecting","Performing")))</f>
        <v/>
      </c>
      <c r="AR560" s="22" t="str">
        <f aca="false">IF(OR(C560="",I560="",K560=""),"",IF(K560="Monthly",EDATE(C560,I560),WORKDAY(C560,I560)))</f>
        <v/>
      </c>
      <c r="AS560" s="11"/>
      <c r="AT560" s="23" t="str">
        <f aca="true">IF(C560="","",IF(AM560="Clawed Back","CLAWED",IF(TODAY()&lt;=C560+SETTINGS!$I$2,"⚠ AT RISK","SAFE")))</f>
        <v/>
      </c>
      <c r="AU560" s="11"/>
      <c r="AW560" s="24" t="n">
        <f aca="false">AW559+IF(AND(C560&lt;&gt;"",AO560&lt;&gt;"",OR('REP COMMISSION'!$B$3="",T560='REP COMMISSION'!$B$3,W560='REP COMMISSION'!$B$3,Z560='REP COMMISSION'!$B$3)),1,0)</f>
        <v>0</v>
      </c>
      <c r="AX560" s="24" t="n">
        <f aca="false">AX559+IF(AND(C560&lt;&gt;"",OR(F560="LOC - INITIAL",F560="CONSOLIDATION - UPFRONT COMM",F560="REVERSE - TOTAL FUNDING")),1,0)</f>
        <v>0</v>
      </c>
    </row>
    <row r="561" customFormat="false" ht="15" hidden="false" customHeight="false" outlineLevel="0" collapsed="false">
      <c r="A561" s="25" t="str">
        <f aca="false">IF(C561&lt;&gt;"","F27-"&amp;COUNT($C$4:C561),"")</f>
        <v/>
      </c>
      <c r="B561" s="26" t="str">
        <f aca="false">IF(OR(F561="LOC - INITIAL",F561="CONSOLIDATION - UPFRONT COMM",F561="REVERSE - TOTAL FUNDING"),A561,"")</f>
        <v/>
      </c>
      <c r="C561" s="27"/>
      <c r="D561" s="28"/>
      <c r="E561" s="28"/>
      <c r="F561" s="28"/>
      <c r="G561" s="29"/>
      <c r="H561" s="30"/>
      <c r="I561" s="28"/>
      <c r="J561" s="31" t="str">
        <f aca="false">IF(AND(G561&lt;&gt;"",H561&lt;&gt;""),G561*H561,"")</f>
        <v/>
      </c>
      <c r="K561" s="28"/>
      <c r="L561" s="32"/>
      <c r="M561" s="32"/>
      <c r="N561" s="31" t="n">
        <f aca="false">IF(OR(G561="",M561=""),0,IF(M561&gt;100,M561,G561*IF(M561&gt;1,M561/100,M561)))</f>
        <v>0</v>
      </c>
      <c r="O561" s="31" t="str">
        <f aca="false">IF(G561="","",G561*IF(L561="",0,IF(L561&gt;1,L561/100,L561))+N561)</f>
        <v/>
      </c>
      <c r="P561" s="28"/>
      <c r="Q561" s="33" t="str">
        <f aca="false">IF(P561="","",IFERROR(VLOOKUP(P561,PARTNERS!$A$2:$B$30,2,0),""))</f>
        <v/>
      </c>
      <c r="R561" s="17" t="str">
        <f aca="false">IF(O561="","",IF(OR(P561="",Q561=""),0,(O561-N561)*IF(Q561&gt;1,Q561/100,Q561)))</f>
        <v/>
      </c>
      <c r="S561" s="31" t="str">
        <f aca="false">IF(O561="","",O561-R561)</f>
        <v/>
      </c>
      <c r="T561" s="28"/>
      <c r="U561" s="34" t="str">
        <f aca="false">IF(T561="","",IFERROR(VLOOKUP(T561,REPS!$A$2:$D$40,2,0),""))</f>
        <v/>
      </c>
      <c r="V561" s="31" t="str">
        <f aca="false">IF(O561="","",IF(U561="",0,O561*IF(U561&gt;1,U561/100,U561)))</f>
        <v/>
      </c>
      <c r="W561" s="28"/>
      <c r="X561" s="34" t="str">
        <f aca="false">IF(W561="","",IFERROR(VLOOKUP(W561,REPS!$A$2:$D$40,3,0),""))</f>
        <v/>
      </c>
      <c r="Y561" s="31" t="str">
        <f aca="false">IF(O561="","",IF(X561="",0,O561*IF(X561&gt;1,X561/100,X561)))</f>
        <v/>
      </c>
      <c r="Z561" s="28"/>
      <c r="AA561" s="34" t="str">
        <f aca="false">IF(Z561="","",IFERROR(VLOOKUP(Z561,REPS!$A$2:$D$40,4,0),""))</f>
        <v/>
      </c>
      <c r="AB561" s="31" t="str">
        <f aca="false">IF(O561="","",IF(AA561="",0,O561*IF(AA561&gt;1,AA561/100,AA561)))</f>
        <v/>
      </c>
      <c r="AC561" s="31" t="str">
        <f aca="false">IF(O561="","",V561+Y561+AB561)</f>
        <v/>
      </c>
      <c r="AD561" s="19" t="str">
        <f aca="false">IF(O561="","",O561-R561-AC561)</f>
        <v/>
      </c>
      <c r="AE561" s="20"/>
      <c r="AF561" s="27"/>
      <c r="AG561" s="21" t="n">
        <f aca="false">IF(OR(AE561="",AE561=0),0,AE561*IF(U561="",0,IF(U561&gt;1,U561/100,U561)))</f>
        <v>0</v>
      </c>
      <c r="AH561" s="21" t="n">
        <f aca="false">IF(OR(AE561="",AE561=0),0,AE561*IF(X561="",0,IF(X561&gt;1,X561/100,X561)))</f>
        <v>0</v>
      </c>
      <c r="AI561" s="21" t="n">
        <f aca="false">IF(OR(AE561="",AE561=0),0,AE561*IF(AA561="",0,IF(AA561&gt;1,AA561/100,AA561)))</f>
        <v>0</v>
      </c>
      <c r="AJ561" s="21" t="n">
        <f aca="false">AG561+AH561+AI561</f>
        <v>0</v>
      </c>
      <c r="AK561" s="21" t="n">
        <f aca="false">IF(OR(AE561="",AE561=0),0,AE561-AJ561)</f>
        <v>0</v>
      </c>
      <c r="AL561" s="19" t="str">
        <f aca="false">IF(AD561="","",AD561-AK561)</f>
        <v/>
      </c>
      <c r="AM561" s="26" t="str">
        <f aca="false">IF(C561="","","Waiting for payment")</f>
        <v/>
      </c>
      <c r="AN561" s="27"/>
      <c r="AO561" s="27"/>
      <c r="AP561" s="35" t="str">
        <f aca="false">IF(OR(C561="",I561="",K561=""),"",IF(K561="Monthly",EDATE(C561,ROUND(I561*SETTINGS!$I$8,0)),WORKDAY(C561,ROUND(I561*SETTINGS!$I$8,0))))</f>
        <v/>
      </c>
      <c r="AQ561" s="26" t="str">
        <f aca="true">IF(C561="","",IF(AND(AP561&lt;&gt;"",TODAY()&gt;=AP561),"Refi Ready",IF(TODAY()-C561&gt;=SETTINGS!$I$11,"Prospecting","Performing")))</f>
        <v/>
      </c>
      <c r="AR561" s="35" t="str">
        <f aca="false">IF(OR(C561="",I561="",K561=""),"",IF(K561="Monthly",EDATE(C561,I561),WORKDAY(C561,I561)))</f>
        <v/>
      </c>
      <c r="AS561" s="28"/>
      <c r="AT561" s="36" t="str">
        <f aca="true">IF(C561="","",IF(AM561="Clawed Back","CLAWED",IF(TODAY()&lt;=C561+SETTINGS!$I$2,"⚠ AT RISK","SAFE")))</f>
        <v/>
      </c>
      <c r="AU561" s="28"/>
      <c r="AW561" s="24" t="n">
        <f aca="false">AW560+IF(AND(C561&lt;&gt;"",AO561&lt;&gt;"",OR('REP COMMISSION'!$B$3="",T561='REP COMMISSION'!$B$3,W561='REP COMMISSION'!$B$3,Z561='REP COMMISSION'!$B$3)),1,0)</f>
        <v>0</v>
      </c>
      <c r="AX561" s="24" t="n">
        <f aca="false">AX560+IF(AND(C561&lt;&gt;"",OR(F561="LOC - INITIAL",F561="CONSOLIDATION - UPFRONT COMM",F561="REVERSE - TOTAL FUNDING")),1,0)</f>
        <v>0</v>
      </c>
    </row>
    <row r="562" customFormat="false" ht="15" hidden="false" customHeight="false" outlineLevel="0" collapsed="false">
      <c r="A562" s="8" t="str">
        <f aca="false">IF(C562&lt;&gt;"","F27-"&amp;COUNT($C$4:C562),"")</f>
        <v/>
      </c>
      <c r="B562" s="9" t="str">
        <f aca="false">IF(OR(F562="LOC - INITIAL",F562="CONSOLIDATION - UPFRONT COMM",F562="REVERSE - TOTAL FUNDING"),A562,"")</f>
        <v/>
      </c>
      <c r="C562" s="10"/>
      <c r="D562" s="11"/>
      <c r="E562" s="11"/>
      <c r="F562" s="11"/>
      <c r="G562" s="12"/>
      <c r="H562" s="13"/>
      <c r="I562" s="11"/>
      <c r="J562" s="14" t="str">
        <f aca="false">IF(AND(G562&lt;&gt;"",H562&lt;&gt;""),G562*H562,"")</f>
        <v/>
      </c>
      <c r="K562" s="11"/>
      <c r="L562" s="15"/>
      <c r="M562" s="15"/>
      <c r="N562" s="14" t="n">
        <f aca="false">IF(OR(G562="",M562=""),0,IF(M562&gt;100,M562,G562*IF(M562&gt;1,M562/100,M562)))</f>
        <v>0</v>
      </c>
      <c r="O562" s="14" t="str">
        <f aca="false">IF(G562="","",G562*IF(L562="",0,IF(L562&gt;1,L562/100,L562))+N562)</f>
        <v/>
      </c>
      <c r="P562" s="11"/>
      <c r="Q562" s="16" t="str">
        <f aca="false">IF(P562="","",IFERROR(VLOOKUP(P562,PARTNERS!$A$2:$B$30,2,0),""))</f>
        <v/>
      </c>
      <c r="R562" s="17" t="str">
        <f aca="false">IF(O562="","",IF(OR(P562="",Q562=""),0,(O562-N562)*IF(Q562&gt;1,Q562/100,Q562)))</f>
        <v/>
      </c>
      <c r="S562" s="14" t="str">
        <f aca="false">IF(O562="","",O562-R562)</f>
        <v/>
      </c>
      <c r="T562" s="11"/>
      <c r="U562" s="18" t="str">
        <f aca="false">IF(T562="","",IFERROR(VLOOKUP(T562,REPS!$A$2:$D$40,2,0),""))</f>
        <v/>
      </c>
      <c r="V562" s="14" t="str">
        <f aca="false">IF(O562="","",IF(U562="",0,O562*IF(U562&gt;1,U562/100,U562)))</f>
        <v/>
      </c>
      <c r="W562" s="11"/>
      <c r="X562" s="18" t="str">
        <f aca="false">IF(W562="","",IFERROR(VLOOKUP(W562,REPS!$A$2:$D$40,3,0),""))</f>
        <v/>
      </c>
      <c r="Y562" s="14" t="str">
        <f aca="false">IF(O562="","",IF(X562="",0,O562*IF(X562&gt;1,X562/100,X562)))</f>
        <v/>
      </c>
      <c r="Z562" s="11"/>
      <c r="AA562" s="18" t="str">
        <f aca="false">IF(Z562="","",IFERROR(VLOOKUP(Z562,REPS!$A$2:$D$40,4,0),""))</f>
        <v/>
      </c>
      <c r="AB562" s="14" t="str">
        <f aca="false">IF(O562="","",IF(AA562="",0,O562*IF(AA562&gt;1,AA562/100,AA562)))</f>
        <v/>
      </c>
      <c r="AC562" s="14" t="str">
        <f aca="false">IF(O562="","",V562+Y562+AB562)</f>
        <v/>
      </c>
      <c r="AD562" s="19" t="str">
        <f aca="false">IF(O562="","",O562-R562-AC562)</f>
        <v/>
      </c>
      <c r="AE562" s="20"/>
      <c r="AF562" s="10"/>
      <c r="AG562" s="21" t="n">
        <f aca="false">IF(OR(AE562="",AE562=0),0,AE562*IF(U562="",0,IF(U562&gt;1,U562/100,U562)))</f>
        <v>0</v>
      </c>
      <c r="AH562" s="21" t="n">
        <f aca="false">IF(OR(AE562="",AE562=0),0,AE562*IF(X562="",0,IF(X562&gt;1,X562/100,X562)))</f>
        <v>0</v>
      </c>
      <c r="AI562" s="21" t="n">
        <f aca="false">IF(OR(AE562="",AE562=0),0,AE562*IF(AA562="",0,IF(AA562&gt;1,AA562/100,AA562)))</f>
        <v>0</v>
      </c>
      <c r="AJ562" s="21" t="n">
        <f aca="false">AG562+AH562+AI562</f>
        <v>0</v>
      </c>
      <c r="AK562" s="21" t="n">
        <f aca="false">IF(OR(AE562="",AE562=0),0,AE562-AJ562)</f>
        <v>0</v>
      </c>
      <c r="AL562" s="19" t="str">
        <f aca="false">IF(AD562="","",AD562-AK562)</f>
        <v/>
      </c>
      <c r="AM562" s="9" t="str">
        <f aca="false">IF(C562="","","Waiting for payment")</f>
        <v/>
      </c>
      <c r="AN562" s="10"/>
      <c r="AO562" s="10"/>
      <c r="AP562" s="22" t="str">
        <f aca="false">IF(OR(C562="",I562="",K562=""),"",IF(K562="Monthly",EDATE(C562,ROUND(I562*SETTINGS!$I$8,0)),WORKDAY(C562,ROUND(I562*SETTINGS!$I$8,0))))</f>
        <v/>
      </c>
      <c r="AQ562" s="9" t="str">
        <f aca="true">IF(C562="","",IF(AND(AP562&lt;&gt;"",TODAY()&gt;=AP562),"Refi Ready",IF(TODAY()-C562&gt;=SETTINGS!$I$11,"Prospecting","Performing")))</f>
        <v/>
      </c>
      <c r="AR562" s="22" t="str">
        <f aca="false">IF(OR(C562="",I562="",K562=""),"",IF(K562="Monthly",EDATE(C562,I562),WORKDAY(C562,I562)))</f>
        <v/>
      </c>
      <c r="AS562" s="11"/>
      <c r="AT562" s="23" t="str">
        <f aca="true">IF(C562="","",IF(AM562="Clawed Back","CLAWED",IF(TODAY()&lt;=C562+SETTINGS!$I$2,"⚠ AT RISK","SAFE")))</f>
        <v/>
      </c>
      <c r="AU562" s="11"/>
      <c r="AW562" s="24" t="n">
        <f aca="false">AW561+IF(AND(C562&lt;&gt;"",AO562&lt;&gt;"",OR('REP COMMISSION'!$B$3="",T562='REP COMMISSION'!$B$3,W562='REP COMMISSION'!$B$3,Z562='REP COMMISSION'!$B$3)),1,0)</f>
        <v>0</v>
      </c>
      <c r="AX562" s="24" t="n">
        <f aca="false">AX561+IF(AND(C562&lt;&gt;"",OR(F562="LOC - INITIAL",F562="CONSOLIDATION - UPFRONT COMM",F562="REVERSE - TOTAL FUNDING")),1,0)</f>
        <v>0</v>
      </c>
    </row>
    <row r="563" customFormat="false" ht="15" hidden="false" customHeight="false" outlineLevel="0" collapsed="false">
      <c r="A563" s="25" t="str">
        <f aca="false">IF(C563&lt;&gt;"","F27-"&amp;COUNT($C$4:C563),"")</f>
        <v/>
      </c>
      <c r="B563" s="26" t="str">
        <f aca="false">IF(OR(F563="LOC - INITIAL",F563="CONSOLIDATION - UPFRONT COMM",F563="REVERSE - TOTAL FUNDING"),A563,"")</f>
        <v/>
      </c>
      <c r="C563" s="27"/>
      <c r="D563" s="28"/>
      <c r="E563" s="28"/>
      <c r="F563" s="28"/>
      <c r="G563" s="29"/>
      <c r="H563" s="30"/>
      <c r="I563" s="28"/>
      <c r="J563" s="31" t="str">
        <f aca="false">IF(AND(G563&lt;&gt;"",H563&lt;&gt;""),G563*H563,"")</f>
        <v/>
      </c>
      <c r="K563" s="28"/>
      <c r="L563" s="32"/>
      <c r="M563" s="32"/>
      <c r="N563" s="31" t="n">
        <f aca="false">IF(OR(G563="",M563=""),0,IF(M563&gt;100,M563,G563*IF(M563&gt;1,M563/100,M563)))</f>
        <v>0</v>
      </c>
      <c r="O563" s="31" t="str">
        <f aca="false">IF(G563="","",G563*IF(L563="",0,IF(L563&gt;1,L563/100,L563))+N563)</f>
        <v/>
      </c>
      <c r="P563" s="28"/>
      <c r="Q563" s="33" t="str">
        <f aca="false">IF(P563="","",IFERROR(VLOOKUP(P563,PARTNERS!$A$2:$B$30,2,0),""))</f>
        <v/>
      </c>
      <c r="R563" s="17" t="str">
        <f aca="false">IF(O563="","",IF(OR(P563="",Q563=""),0,(O563-N563)*IF(Q563&gt;1,Q563/100,Q563)))</f>
        <v/>
      </c>
      <c r="S563" s="31" t="str">
        <f aca="false">IF(O563="","",O563-R563)</f>
        <v/>
      </c>
      <c r="T563" s="28"/>
      <c r="U563" s="34" t="str">
        <f aca="false">IF(T563="","",IFERROR(VLOOKUP(T563,REPS!$A$2:$D$40,2,0),""))</f>
        <v/>
      </c>
      <c r="V563" s="31" t="str">
        <f aca="false">IF(O563="","",IF(U563="",0,O563*IF(U563&gt;1,U563/100,U563)))</f>
        <v/>
      </c>
      <c r="W563" s="28"/>
      <c r="X563" s="34" t="str">
        <f aca="false">IF(W563="","",IFERROR(VLOOKUP(W563,REPS!$A$2:$D$40,3,0),""))</f>
        <v/>
      </c>
      <c r="Y563" s="31" t="str">
        <f aca="false">IF(O563="","",IF(X563="",0,O563*IF(X563&gt;1,X563/100,X563)))</f>
        <v/>
      </c>
      <c r="Z563" s="28"/>
      <c r="AA563" s="34" t="str">
        <f aca="false">IF(Z563="","",IFERROR(VLOOKUP(Z563,REPS!$A$2:$D$40,4,0),""))</f>
        <v/>
      </c>
      <c r="AB563" s="31" t="str">
        <f aca="false">IF(O563="","",IF(AA563="",0,O563*IF(AA563&gt;1,AA563/100,AA563)))</f>
        <v/>
      </c>
      <c r="AC563" s="31" t="str">
        <f aca="false">IF(O563="","",V563+Y563+AB563)</f>
        <v/>
      </c>
      <c r="AD563" s="19" t="str">
        <f aca="false">IF(O563="","",O563-R563-AC563)</f>
        <v/>
      </c>
      <c r="AE563" s="20"/>
      <c r="AF563" s="27"/>
      <c r="AG563" s="21" t="n">
        <f aca="false">IF(OR(AE563="",AE563=0),0,AE563*IF(U563="",0,IF(U563&gt;1,U563/100,U563)))</f>
        <v>0</v>
      </c>
      <c r="AH563" s="21" t="n">
        <f aca="false">IF(OR(AE563="",AE563=0),0,AE563*IF(X563="",0,IF(X563&gt;1,X563/100,X563)))</f>
        <v>0</v>
      </c>
      <c r="AI563" s="21" t="n">
        <f aca="false">IF(OR(AE563="",AE563=0),0,AE563*IF(AA563="",0,IF(AA563&gt;1,AA563/100,AA563)))</f>
        <v>0</v>
      </c>
      <c r="AJ563" s="21" t="n">
        <f aca="false">AG563+AH563+AI563</f>
        <v>0</v>
      </c>
      <c r="AK563" s="21" t="n">
        <f aca="false">IF(OR(AE563="",AE563=0),0,AE563-AJ563)</f>
        <v>0</v>
      </c>
      <c r="AL563" s="19" t="str">
        <f aca="false">IF(AD563="","",AD563-AK563)</f>
        <v/>
      </c>
      <c r="AM563" s="26" t="str">
        <f aca="false">IF(C563="","","Waiting for payment")</f>
        <v/>
      </c>
      <c r="AN563" s="27"/>
      <c r="AO563" s="27"/>
      <c r="AP563" s="35" t="str">
        <f aca="false">IF(OR(C563="",I563="",K563=""),"",IF(K563="Monthly",EDATE(C563,ROUND(I563*SETTINGS!$I$8,0)),WORKDAY(C563,ROUND(I563*SETTINGS!$I$8,0))))</f>
        <v/>
      </c>
      <c r="AQ563" s="26" t="str">
        <f aca="true">IF(C563="","",IF(AND(AP563&lt;&gt;"",TODAY()&gt;=AP563),"Refi Ready",IF(TODAY()-C563&gt;=SETTINGS!$I$11,"Prospecting","Performing")))</f>
        <v/>
      </c>
      <c r="AR563" s="35" t="str">
        <f aca="false">IF(OR(C563="",I563="",K563=""),"",IF(K563="Monthly",EDATE(C563,I563),WORKDAY(C563,I563)))</f>
        <v/>
      </c>
      <c r="AS563" s="28"/>
      <c r="AT563" s="36" t="str">
        <f aca="true">IF(C563="","",IF(AM563="Clawed Back","CLAWED",IF(TODAY()&lt;=C563+SETTINGS!$I$2,"⚠ AT RISK","SAFE")))</f>
        <v/>
      </c>
      <c r="AU563" s="28"/>
      <c r="AW563" s="24" t="n">
        <f aca="false">AW562+IF(AND(C563&lt;&gt;"",AO563&lt;&gt;"",OR('REP COMMISSION'!$B$3="",T563='REP COMMISSION'!$B$3,W563='REP COMMISSION'!$B$3,Z563='REP COMMISSION'!$B$3)),1,0)</f>
        <v>0</v>
      </c>
      <c r="AX563" s="24" t="n">
        <f aca="false">AX562+IF(AND(C563&lt;&gt;"",OR(F563="LOC - INITIAL",F563="CONSOLIDATION - UPFRONT COMM",F563="REVERSE - TOTAL FUNDING")),1,0)</f>
        <v>0</v>
      </c>
    </row>
    <row r="564" customFormat="false" ht="15" hidden="false" customHeight="false" outlineLevel="0" collapsed="false">
      <c r="A564" s="8" t="str">
        <f aca="false">IF(C564&lt;&gt;"","F27-"&amp;COUNT($C$4:C564),"")</f>
        <v/>
      </c>
      <c r="B564" s="9" t="str">
        <f aca="false">IF(OR(F564="LOC - INITIAL",F564="CONSOLIDATION - UPFRONT COMM",F564="REVERSE - TOTAL FUNDING"),A564,"")</f>
        <v/>
      </c>
      <c r="C564" s="10"/>
      <c r="D564" s="11"/>
      <c r="E564" s="11"/>
      <c r="F564" s="11"/>
      <c r="G564" s="12"/>
      <c r="H564" s="13"/>
      <c r="I564" s="11"/>
      <c r="J564" s="14" t="str">
        <f aca="false">IF(AND(G564&lt;&gt;"",H564&lt;&gt;""),G564*H564,"")</f>
        <v/>
      </c>
      <c r="K564" s="11"/>
      <c r="L564" s="15"/>
      <c r="M564" s="15"/>
      <c r="N564" s="14" t="n">
        <f aca="false">IF(OR(G564="",M564=""),0,IF(M564&gt;100,M564,G564*IF(M564&gt;1,M564/100,M564)))</f>
        <v>0</v>
      </c>
      <c r="O564" s="14" t="str">
        <f aca="false">IF(G564="","",G564*IF(L564="",0,IF(L564&gt;1,L564/100,L564))+N564)</f>
        <v/>
      </c>
      <c r="P564" s="11"/>
      <c r="Q564" s="16" t="str">
        <f aca="false">IF(P564="","",IFERROR(VLOOKUP(P564,PARTNERS!$A$2:$B$30,2,0),""))</f>
        <v/>
      </c>
      <c r="R564" s="17" t="str">
        <f aca="false">IF(O564="","",IF(OR(P564="",Q564=""),0,(O564-N564)*IF(Q564&gt;1,Q564/100,Q564)))</f>
        <v/>
      </c>
      <c r="S564" s="14" t="str">
        <f aca="false">IF(O564="","",O564-R564)</f>
        <v/>
      </c>
      <c r="T564" s="11"/>
      <c r="U564" s="18" t="str">
        <f aca="false">IF(T564="","",IFERROR(VLOOKUP(T564,REPS!$A$2:$D$40,2,0),""))</f>
        <v/>
      </c>
      <c r="V564" s="14" t="str">
        <f aca="false">IF(O564="","",IF(U564="",0,O564*IF(U564&gt;1,U564/100,U564)))</f>
        <v/>
      </c>
      <c r="W564" s="11"/>
      <c r="X564" s="18" t="str">
        <f aca="false">IF(W564="","",IFERROR(VLOOKUP(W564,REPS!$A$2:$D$40,3,0),""))</f>
        <v/>
      </c>
      <c r="Y564" s="14" t="str">
        <f aca="false">IF(O564="","",IF(X564="",0,O564*IF(X564&gt;1,X564/100,X564)))</f>
        <v/>
      </c>
      <c r="Z564" s="11"/>
      <c r="AA564" s="18" t="str">
        <f aca="false">IF(Z564="","",IFERROR(VLOOKUP(Z564,REPS!$A$2:$D$40,4,0),""))</f>
        <v/>
      </c>
      <c r="AB564" s="14" t="str">
        <f aca="false">IF(O564="","",IF(AA564="",0,O564*IF(AA564&gt;1,AA564/100,AA564)))</f>
        <v/>
      </c>
      <c r="AC564" s="14" t="str">
        <f aca="false">IF(O564="","",V564+Y564+AB564)</f>
        <v/>
      </c>
      <c r="AD564" s="19" t="str">
        <f aca="false">IF(O564="","",O564-R564-AC564)</f>
        <v/>
      </c>
      <c r="AE564" s="20"/>
      <c r="AF564" s="10"/>
      <c r="AG564" s="21" t="n">
        <f aca="false">IF(OR(AE564="",AE564=0),0,AE564*IF(U564="",0,IF(U564&gt;1,U564/100,U564)))</f>
        <v>0</v>
      </c>
      <c r="AH564" s="21" t="n">
        <f aca="false">IF(OR(AE564="",AE564=0),0,AE564*IF(X564="",0,IF(X564&gt;1,X564/100,X564)))</f>
        <v>0</v>
      </c>
      <c r="AI564" s="21" t="n">
        <f aca="false">IF(OR(AE564="",AE564=0),0,AE564*IF(AA564="",0,IF(AA564&gt;1,AA564/100,AA564)))</f>
        <v>0</v>
      </c>
      <c r="AJ564" s="21" t="n">
        <f aca="false">AG564+AH564+AI564</f>
        <v>0</v>
      </c>
      <c r="AK564" s="21" t="n">
        <f aca="false">IF(OR(AE564="",AE564=0),0,AE564-AJ564)</f>
        <v>0</v>
      </c>
      <c r="AL564" s="19" t="str">
        <f aca="false">IF(AD564="","",AD564-AK564)</f>
        <v/>
      </c>
      <c r="AM564" s="9" t="str">
        <f aca="false">IF(C564="","","Waiting for payment")</f>
        <v/>
      </c>
      <c r="AN564" s="10"/>
      <c r="AO564" s="10"/>
      <c r="AP564" s="22" t="str">
        <f aca="false">IF(OR(C564="",I564="",K564=""),"",IF(K564="Monthly",EDATE(C564,ROUND(I564*SETTINGS!$I$8,0)),WORKDAY(C564,ROUND(I564*SETTINGS!$I$8,0))))</f>
        <v/>
      </c>
      <c r="AQ564" s="9" t="str">
        <f aca="true">IF(C564="","",IF(AND(AP564&lt;&gt;"",TODAY()&gt;=AP564),"Refi Ready",IF(TODAY()-C564&gt;=SETTINGS!$I$11,"Prospecting","Performing")))</f>
        <v/>
      </c>
      <c r="AR564" s="22" t="str">
        <f aca="false">IF(OR(C564="",I564="",K564=""),"",IF(K564="Monthly",EDATE(C564,I564),WORKDAY(C564,I564)))</f>
        <v/>
      </c>
      <c r="AS564" s="11"/>
      <c r="AT564" s="23" t="str">
        <f aca="true">IF(C564="","",IF(AM564="Clawed Back","CLAWED",IF(TODAY()&lt;=C564+SETTINGS!$I$2,"⚠ AT RISK","SAFE")))</f>
        <v/>
      </c>
      <c r="AU564" s="11"/>
      <c r="AW564" s="24" t="n">
        <f aca="false">AW563+IF(AND(C564&lt;&gt;"",AO564&lt;&gt;"",OR('REP COMMISSION'!$B$3="",T564='REP COMMISSION'!$B$3,W564='REP COMMISSION'!$B$3,Z564='REP COMMISSION'!$B$3)),1,0)</f>
        <v>0</v>
      </c>
      <c r="AX564" s="24" t="n">
        <f aca="false">AX563+IF(AND(C564&lt;&gt;"",OR(F564="LOC - INITIAL",F564="CONSOLIDATION - UPFRONT COMM",F564="REVERSE - TOTAL FUNDING")),1,0)</f>
        <v>0</v>
      </c>
    </row>
    <row r="565" customFormat="false" ht="15" hidden="false" customHeight="false" outlineLevel="0" collapsed="false">
      <c r="A565" s="25" t="str">
        <f aca="false">IF(C565&lt;&gt;"","F27-"&amp;COUNT($C$4:C565),"")</f>
        <v/>
      </c>
      <c r="B565" s="26" t="str">
        <f aca="false">IF(OR(F565="LOC - INITIAL",F565="CONSOLIDATION - UPFRONT COMM",F565="REVERSE - TOTAL FUNDING"),A565,"")</f>
        <v/>
      </c>
      <c r="C565" s="27"/>
      <c r="D565" s="28"/>
      <c r="E565" s="28"/>
      <c r="F565" s="28"/>
      <c r="G565" s="29"/>
      <c r="H565" s="30"/>
      <c r="I565" s="28"/>
      <c r="J565" s="31" t="str">
        <f aca="false">IF(AND(G565&lt;&gt;"",H565&lt;&gt;""),G565*H565,"")</f>
        <v/>
      </c>
      <c r="K565" s="28"/>
      <c r="L565" s="32"/>
      <c r="M565" s="32"/>
      <c r="N565" s="31" t="n">
        <f aca="false">IF(OR(G565="",M565=""),0,IF(M565&gt;100,M565,G565*IF(M565&gt;1,M565/100,M565)))</f>
        <v>0</v>
      </c>
      <c r="O565" s="31" t="str">
        <f aca="false">IF(G565="","",G565*IF(L565="",0,IF(L565&gt;1,L565/100,L565))+N565)</f>
        <v/>
      </c>
      <c r="P565" s="28"/>
      <c r="Q565" s="33" t="str">
        <f aca="false">IF(P565="","",IFERROR(VLOOKUP(P565,PARTNERS!$A$2:$B$30,2,0),""))</f>
        <v/>
      </c>
      <c r="R565" s="17" t="str">
        <f aca="false">IF(O565="","",IF(OR(P565="",Q565=""),0,(O565-N565)*IF(Q565&gt;1,Q565/100,Q565)))</f>
        <v/>
      </c>
      <c r="S565" s="31" t="str">
        <f aca="false">IF(O565="","",O565-R565)</f>
        <v/>
      </c>
      <c r="T565" s="28"/>
      <c r="U565" s="34" t="str">
        <f aca="false">IF(T565="","",IFERROR(VLOOKUP(T565,REPS!$A$2:$D$40,2,0),""))</f>
        <v/>
      </c>
      <c r="V565" s="31" t="str">
        <f aca="false">IF(O565="","",IF(U565="",0,O565*IF(U565&gt;1,U565/100,U565)))</f>
        <v/>
      </c>
      <c r="W565" s="28"/>
      <c r="X565" s="34" t="str">
        <f aca="false">IF(W565="","",IFERROR(VLOOKUP(W565,REPS!$A$2:$D$40,3,0),""))</f>
        <v/>
      </c>
      <c r="Y565" s="31" t="str">
        <f aca="false">IF(O565="","",IF(X565="",0,O565*IF(X565&gt;1,X565/100,X565)))</f>
        <v/>
      </c>
      <c r="Z565" s="28"/>
      <c r="AA565" s="34" t="str">
        <f aca="false">IF(Z565="","",IFERROR(VLOOKUP(Z565,REPS!$A$2:$D$40,4,0),""))</f>
        <v/>
      </c>
      <c r="AB565" s="31" t="str">
        <f aca="false">IF(O565="","",IF(AA565="",0,O565*IF(AA565&gt;1,AA565/100,AA565)))</f>
        <v/>
      </c>
      <c r="AC565" s="31" t="str">
        <f aca="false">IF(O565="","",V565+Y565+AB565)</f>
        <v/>
      </c>
      <c r="AD565" s="19" t="str">
        <f aca="false">IF(O565="","",O565-R565-AC565)</f>
        <v/>
      </c>
      <c r="AE565" s="20"/>
      <c r="AF565" s="27"/>
      <c r="AG565" s="21" t="n">
        <f aca="false">IF(OR(AE565="",AE565=0),0,AE565*IF(U565="",0,IF(U565&gt;1,U565/100,U565)))</f>
        <v>0</v>
      </c>
      <c r="AH565" s="21" t="n">
        <f aca="false">IF(OR(AE565="",AE565=0),0,AE565*IF(X565="",0,IF(X565&gt;1,X565/100,X565)))</f>
        <v>0</v>
      </c>
      <c r="AI565" s="21" t="n">
        <f aca="false">IF(OR(AE565="",AE565=0),0,AE565*IF(AA565="",0,IF(AA565&gt;1,AA565/100,AA565)))</f>
        <v>0</v>
      </c>
      <c r="AJ565" s="21" t="n">
        <f aca="false">AG565+AH565+AI565</f>
        <v>0</v>
      </c>
      <c r="AK565" s="21" t="n">
        <f aca="false">IF(OR(AE565="",AE565=0),0,AE565-AJ565)</f>
        <v>0</v>
      </c>
      <c r="AL565" s="19" t="str">
        <f aca="false">IF(AD565="","",AD565-AK565)</f>
        <v/>
      </c>
      <c r="AM565" s="26" t="str">
        <f aca="false">IF(C565="","","Waiting for payment")</f>
        <v/>
      </c>
      <c r="AN565" s="27"/>
      <c r="AO565" s="27"/>
      <c r="AP565" s="35" t="str">
        <f aca="false">IF(OR(C565="",I565="",K565=""),"",IF(K565="Monthly",EDATE(C565,ROUND(I565*SETTINGS!$I$8,0)),WORKDAY(C565,ROUND(I565*SETTINGS!$I$8,0))))</f>
        <v/>
      </c>
      <c r="AQ565" s="26" t="str">
        <f aca="true">IF(C565="","",IF(AND(AP565&lt;&gt;"",TODAY()&gt;=AP565),"Refi Ready",IF(TODAY()-C565&gt;=SETTINGS!$I$11,"Prospecting","Performing")))</f>
        <v/>
      </c>
      <c r="AR565" s="35" t="str">
        <f aca="false">IF(OR(C565="",I565="",K565=""),"",IF(K565="Monthly",EDATE(C565,I565),WORKDAY(C565,I565)))</f>
        <v/>
      </c>
      <c r="AS565" s="28"/>
      <c r="AT565" s="36" t="str">
        <f aca="true">IF(C565="","",IF(AM565="Clawed Back","CLAWED",IF(TODAY()&lt;=C565+SETTINGS!$I$2,"⚠ AT RISK","SAFE")))</f>
        <v/>
      </c>
      <c r="AU565" s="28"/>
      <c r="AW565" s="24" t="n">
        <f aca="false">AW564+IF(AND(C565&lt;&gt;"",AO565&lt;&gt;"",OR('REP COMMISSION'!$B$3="",T565='REP COMMISSION'!$B$3,W565='REP COMMISSION'!$B$3,Z565='REP COMMISSION'!$B$3)),1,0)</f>
        <v>0</v>
      </c>
      <c r="AX565" s="24" t="n">
        <f aca="false">AX564+IF(AND(C565&lt;&gt;"",OR(F565="LOC - INITIAL",F565="CONSOLIDATION - UPFRONT COMM",F565="REVERSE - TOTAL FUNDING")),1,0)</f>
        <v>0</v>
      </c>
    </row>
    <row r="566" customFormat="false" ht="15" hidden="false" customHeight="false" outlineLevel="0" collapsed="false">
      <c r="A566" s="8" t="str">
        <f aca="false">IF(C566&lt;&gt;"","F27-"&amp;COUNT($C$4:C566),"")</f>
        <v/>
      </c>
      <c r="B566" s="9" t="str">
        <f aca="false">IF(OR(F566="LOC - INITIAL",F566="CONSOLIDATION - UPFRONT COMM",F566="REVERSE - TOTAL FUNDING"),A566,"")</f>
        <v/>
      </c>
      <c r="C566" s="10"/>
      <c r="D566" s="11"/>
      <c r="E566" s="11"/>
      <c r="F566" s="11"/>
      <c r="G566" s="12"/>
      <c r="H566" s="13"/>
      <c r="I566" s="11"/>
      <c r="J566" s="14" t="str">
        <f aca="false">IF(AND(G566&lt;&gt;"",H566&lt;&gt;""),G566*H566,"")</f>
        <v/>
      </c>
      <c r="K566" s="11"/>
      <c r="L566" s="15"/>
      <c r="M566" s="15"/>
      <c r="N566" s="14" t="n">
        <f aca="false">IF(OR(G566="",M566=""),0,IF(M566&gt;100,M566,G566*IF(M566&gt;1,M566/100,M566)))</f>
        <v>0</v>
      </c>
      <c r="O566" s="14" t="str">
        <f aca="false">IF(G566="","",G566*IF(L566="",0,IF(L566&gt;1,L566/100,L566))+N566)</f>
        <v/>
      </c>
      <c r="P566" s="11"/>
      <c r="Q566" s="16" t="str">
        <f aca="false">IF(P566="","",IFERROR(VLOOKUP(P566,PARTNERS!$A$2:$B$30,2,0),""))</f>
        <v/>
      </c>
      <c r="R566" s="17" t="str">
        <f aca="false">IF(O566="","",IF(OR(P566="",Q566=""),0,(O566-N566)*IF(Q566&gt;1,Q566/100,Q566)))</f>
        <v/>
      </c>
      <c r="S566" s="14" t="str">
        <f aca="false">IF(O566="","",O566-R566)</f>
        <v/>
      </c>
      <c r="T566" s="11"/>
      <c r="U566" s="18" t="str">
        <f aca="false">IF(T566="","",IFERROR(VLOOKUP(T566,REPS!$A$2:$D$40,2,0),""))</f>
        <v/>
      </c>
      <c r="V566" s="14" t="str">
        <f aca="false">IF(O566="","",IF(U566="",0,O566*IF(U566&gt;1,U566/100,U566)))</f>
        <v/>
      </c>
      <c r="W566" s="11"/>
      <c r="X566" s="18" t="str">
        <f aca="false">IF(W566="","",IFERROR(VLOOKUP(W566,REPS!$A$2:$D$40,3,0),""))</f>
        <v/>
      </c>
      <c r="Y566" s="14" t="str">
        <f aca="false">IF(O566="","",IF(X566="",0,O566*IF(X566&gt;1,X566/100,X566)))</f>
        <v/>
      </c>
      <c r="Z566" s="11"/>
      <c r="AA566" s="18" t="str">
        <f aca="false">IF(Z566="","",IFERROR(VLOOKUP(Z566,REPS!$A$2:$D$40,4,0),""))</f>
        <v/>
      </c>
      <c r="AB566" s="14" t="str">
        <f aca="false">IF(O566="","",IF(AA566="",0,O566*IF(AA566&gt;1,AA566/100,AA566)))</f>
        <v/>
      </c>
      <c r="AC566" s="14" t="str">
        <f aca="false">IF(O566="","",V566+Y566+AB566)</f>
        <v/>
      </c>
      <c r="AD566" s="19" t="str">
        <f aca="false">IF(O566="","",O566-R566-AC566)</f>
        <v/>
      </c>
      <c r="AE566" s="20"/>
      <c r="AF566" s="10"/>
      <c r="AG566" s="21" t="n">
        <f aca="false">IF(OR(AE566="",AE566=0),0,AE566*IF(U566="",0,IF(U566&gt;1,U566/100,U566)))</f>
        <v>0</v>
      </c>
      <c r="AH566" s="21" t="n">
        <f aca="false">IF(OR(AE566="",AE566=0),0,AE566*IF(X566="",0,IF(X566&gt;1,X566/100,X566)))</f>
        <v>0</v>
      </c>
      <c r="AI566" s="21" t="n">
        <f aca="false">IF(OR(AE566="",AE566=0),0,AE566*IF(AA566="",0,IF(AA566&gt;1,AA566/100,AA566)))</f>
        <v>0</v>
      </c>
      <c r="AJ566" s="21" t="n">
        <f aca="false">AG566+AH566+AI566</f>
        <v>0</v>
      </c>
      <c r="AK566" s="21" t="n">
        <f aca="false">IF(OR(AE566="",AE566=0),0,AE566-AJ566)</f>
        <v>0</v>
      </c>
      <c r="AL566" s="19" t="str">
        <f aca="false">IF(AD566="","",AD566-AK566)</f>
        <v/>
      </c>
      <c r="AM566" s="9" t="str">
        <f aca="false">IF(C566="","","Waiting for payment")</f>
        <v/>
      </c>
      <c r="AN566" s="10"/>
      <c r="AO566" s="10"/>
      <c r="AP566" s="22" t="str">
        <f aca="false">IF(OR(C566="",I566="",K566=""),"",IF(K566="Monthly",EDATE(C566,ROUND(I566*SETTINGS!$I$8,0)),WORKDAY(C566,ROUND(I566*SETTINGS!$I$8,0))))</f>
        <v/>
      </c>
      <c r="AQ566" s="9" t="str">
        <f aca="true">IF(C566="","",IF(AND(AP566&lt;&gt;"",TODAY()&gt;=AP566),"Refi Ready",IF(TODAY()-C566&gt;=SETTINGS!$I$11,"Prospecting","Performing")))</f>
        <v/>
      </c>
      <c r="AR566" s="22" t="str">
        <f aca="false">IF(OR(C566="",I566="",K566=""),"",IF(K566="Monthly",EDATE(C566,I566),WORKDAY(C566,I566)))</f>
        <v/>
      </c>
      <c r="AS566" s="11"/>
      <c r="AT566" s="23" t="str">
        <f aca="true">IF(C566="","",IF(AM566="Clawed Back","CLAWED",IF(TODAY()&lt;=C566+SETTINGS!$I$2,"⚠ AT RISK","SAFE")))</f>
        <v/>
      </c>
      <c r="AU566" s="11"/>
      <c r="AW566" s="24" t="n">
        <f aca="false">AW565+IF(AND(C566&lt;&gt;"",AO566&lt;&gt;"",OR('REP COMMISSION'!$B$3="",T566='REP COMMISSION'!$B$3,W566='REP COMMISSION'!$B$3,Z566='REP COMMISSION'!$B$3)),1,0)</f>
        <v>0</v>
      </c>
      <c r="AX566" s="24" t="n">
        <f aca="false">AX565+IF(AND(C566&lt;&gt;"",OR(F566="LOC - INITIAL",F566="CONSOLIDATION - UPFRONT COMM",F566="REVERSE - TOTAL FUNDING")),1,0)</f>
        <v>0</v>
      </c>
    </row>
    <row r="567" customFormat="false" ht="15" hidden="false" customHeight="false" outlineLevel="0" collapsed="false">
      <c r="A567" s="25" t="str">
        <f aca="false">IF(C567&lt;&gt;"","F27-"&amp;COUNT($C$4:C567),"")</f>
        <v/>
      </c>
      <c r="B567" s="26" t="str">
        <f aca="false">IF(OR(F567="LOC - INITIAL",F567="CONSOLIDATION - UPFRONT COMM",F567="REVERSE - TOTAL FUNDING"),A567,"")</f>
        <v/>
      </c>
      <c r="C567" s="27"/>
      <c r="D567" s="28"/>
      <c r="E567" s="28"/>
      <c r="F567" s="28"/>
      <c r="G567" s="29"/>
      <c r="H567" s="30"/>
      <c r="I567" s="28"/>
      <c r="J567" s="31" t="str">
        <f aca="false">IF(AND(G567&lt;&gt;"",H567&lt;&gt;""),G567*H567,"")</f>
        <v/>
      </c>
      <c r="K567" s="28"/>
      <c r="L567" s="32"/>
      <c r="M567" s="32"/>
      <c r="N567" s="31" t="n">
        <f aca="false">IF(OR(G567="",M567=""),0,IF(M567&gt;100,M567,G567*IF(M567&gt;1,M567/100,M567)))</f>
        <v>0</v>
      </c>
      <c r="O567" s="31" t="str">
        <f aca="false">IF(G567="","",G567*IF(L567="",0,IF(L567&gt;1,L567/100,L567))+N567)</f>
        <v/>
      </c>
      <c r="P567" s="28"/>
      <c r="Q567" s="33" t="str">
        <f aca="false">IF(P567="","",IFERROR(VLOOKUP(P567,PARTNERS!$A$2:$B$30,2,0),""))</f>
        <v/>
      </c>
      <c r="R567" s="17" t="str">
        <f aca="false">IF(O567="","",IF(OR(P567="",Q567=""),0,(O567-N567)*IF(Q567&gt;1,Q567/100,Q567)))</f>
        <v/>
      </c>
      <c r="S567" s="31" t="str">
        <f aca="false">IF(O567="","",O567-R567)</f>
        <v/>
      </c>
      <c r="T567" s="28"/>
      <c r="U567" s="34" t="str">
        <f aca="false">IF(T567="","",IFERROR(VLOOKUP(T567,REPS!$A$2:$D$40,2,0),""))</f>
        <v/>
      </c>
      <c r="V567" s="31" t="str">
        <f aca="false">IF(O567="","",IF(U567="",0,O567*IF(U567&gt;1,U567/100,U567)))</f>
        <v/>
      </c>
      <c r="W567" s="28"/>
      <c r="X567" s="34" t="str">
        <f aca="false">IF(W567="","",IFERROR(VLOOKUP(W567,REPS!$A$2:$D$40,3,0),""))</f>
        <v/>
      </c>
      <c r="Y567" s="31" t="str">
        <f aca="false">IF(O567="","",IF(X567="",0,O567*IF(X567&gt;1,X567/100,X567)))</f>
        <v/>
      </c>
      <c r="Z567" s="28"/>
      <c r="AA567" s="34" t="str">
        <f aca="false">IF(Z567="","",IFERROR(VLOOKUP(Z567,REPS!$A$2:$D$40,4,0),""))</f>
        <v/>
      </c>
      <c r="AB567" s="31" t="str">
        <f aca="false">IF(O567="","",IF(AA567="",0,O567*IF(AA567&gt;1,AA567/100,AA567)))</f>
        <v/>
      </c>
      <c r="AC567" s="31" t="str">
        <f aca="false">IF(O567="","",V567+Y567+AB567)</f>
        <v/>
      </c>
      <c r="AD567" s="19" t="str">
        <f aca="false">IF(O567="","",O567-R567-AC567)</f>
        <v/>
      </c>
      <c r="AE567" s="20"/>
      <c r="AF567" s="27"/>
      <c r="AG567" s="21" t="n">
        <f aca="false">IF(OR(AE567="",AE567=0),0,AE567*IF(U567="",0,IF(U567&gt;1,U567/100,U567)))</f>
        <v>0</v>
      </c>
      <c r="AH567" s="21" t="n">
        <f aca="false">IF(OR(AE567="",AE567=0),0,AE567*IF(X567="",0,IF(X567&gt;1,X567/100,X567)))</f>
        <v>0</v>
      </c>
      <c r="AI567" s="21" t="n">
        <f aca="false">IF(OR(AE567="",AE567=0),0,AE567*IF(AA567="",0,IF(AA567&gt;1,AA567/100,AA567)))</f>
        <v>0</v>
      </c>
      <c r="AJ567" s="21" t="n">
        <f aca="false">AG567+AH567+AI567</f>
        <v>0</v>
      </c>
      <c r="AK567" s="21" t="n">
        <f aca="false">IF(OR(AE567="",AE567=0),0,AE567-AJ567)</f>
        <v>0</v>
      </c>
      <c r="AL567" s="19" t="str">
        <f aca="false">IF(AD567="","",AD567-AK567)</f>
        <v/>
      </c>
      <c r="AM567" s="26" t="str">
        <f aca="false">IF(C567="","","Waiting for payment")</f>
        <v/>
      </c>
      <c r="AN567" s="27"/>
      <c r="AO567" s="27"/>
      <c r="AP567" s="35" t="str">
        <f aca="false">IF(OR(C567="",I567="",K567=""),"",IF(K567="Monthly",EDATE(C567,ROUND(I567*SETTINGS!$I$8,0)),WORKDAY(C567,ROUND(I567*SETTINGS!$I$8,0))))</f>
        <v/>
      </c>
      <c r="AQ567" s="26" t="str">
        <f aca="true">IF(C567="","",IF(AND(AP567&lt;&gt;"",TODAY()&gt;=AP567),"Refi Ready",IF(TODAY()-C567&gt;=SETTINGS!$I$11,"Prospecting","Performing")))</f>
        <v/>
      </c>
      <c r="AR567" s="35" t="str">
        <f aca="false">IF(OR(C567="",I567="",K567=""),"",IF(K567="Monthly",EDATE(C567,I567),WORKDAY(C567,I567)))</f>
        <v/>
      </c>
      <c r="AS567" s="28"/>
      <c r="AT567" s="36" t="str">
        <f aca="true">IF(C567="","",IF(AM567="Clawed Back","CLAWED",IF(TODAY()&lt;=C567+SETTINGS!$I$2,"⚠ AT RISK","SAFE")))</f>
        <v/>
      </c>
      <c r="AU567" s="28"/>
      <c r="AW567" s="24" t="n">
        <f aca="false">AW566+IF(AND(C567&lt;&gt;"",AO567&lt;&gt;"",OR('REP COMMISSION'!$B$3="",T567='REP COMMISSION'!$B$3,W567='REP COMMISSION'!$B$3,Z567='REP COMMISSION'!$B$3)),1,0)</f>
        <v>0</v>
      </c>
      <c r="AX567" s="24" t="n">
        <f aca="false">AX566+IF(AND(C567&lt;&gt;"",OR(F567="LOC - INITIAL",F567="CONSOLIDATION - UPFRONT COMM",F567="REVERSE - TOTAL FUNDING")),1,0)</f>
        <v>0</v>
      </c>
    </row>
    <row r="568" customFormat="false" ht="15" hidden="false" customHeight="false" outlineLevel="0" collapsed="false">
      <c r="A568" s="8" t="str">
        <f aca="false">IF(C568&lt;&gt;"","F27-"&amp;COUNT($C$4:C568),"")</f>
        <v/>
      </c>
      <c r="B568" s="9" t="str">
        <f aca="false">IF(OR(F568="LOC - INITIAL",F568="CONSOLIDATION - UPFRONT COMM",F568="REVERSE - TOTAL FUNDING"),A568,"")</f>
        <v/>
      </c>
      <c r="C568" s="10"/>
      <c r="D568" s="11"/>
      <c r="E568" s="11"/>
      <c r="F568" s="11"/>
      <c r="G568" s="12"/>
      <c r="H568" s="13"/>
      <c r="I568" s="11"/>
      <c r="J568" s="14" t="str">
        <f aca="false">IF(AND(G568&lt;&gt;"",H568&lt;&gt;""),G568*H568,"")</f>
        <v/>
      </c>
      <c r="K568" s="11"/>
      <c r="L568" s="15"/>
      <c r="M568" s="15"/>
      <c r="N568" s="14" t="n">
        <f aca="false">IF(OR(G568="",M568=""),0,IF(M568&gt;100,M568,G568*IF(M568&gt;1,M568/100,M568)))</f>
        <v>0</v>
      </c>
      <c r="O568" s="14" t="str">
        <f aca="false">IF(G568="","",G568*IF(L568="",0,IF(L568&gt;1,L568/100,L568))+N568)</f>
        <v/>
      </c>
      <c r="P568" s="11"/>
      <c r="Q568" s="16" t="str">
        <f aca="false">IF(P568="","",IFERROR(VLOOKUP(P568,PARTNERS!$A$2:$B$30,2,0),""))</f>
        <v/>
      </c>
      <c r="R568" s="17" t="str">
        <f aca="false">IF(O568="","",IF(OR(P568="",Q568=""),0,(O568-N568)*IF(Q568&gt;1,Q568/100,Q568)))</f>
        <v/>
      </c>
      <c r="S568" s="14" t="str">
        <f aca="false">IF(O568="","",O568-R568)</f>
        <v/>
      </c>
      <c r="T568" s="11"/>
      <c r="U568" s="18" t="str">
        <f aca="false">IF(T568="","",IFERROR(VLOOKUP(T568,REPS!$A$2:$D$40,2,0),""))</f>
        <v/>
      </c>
      <c r="V568" s="14" t="str">
        <f aca="false">IF(O568="","",IF(U568="",0,O568*IF(U568&gt;1,U568/100,U568)))</f>
        <v/>
      </c>
      <c r="W568" s="11"/>
      <c r="X568" s="18" t="str">
        <f aca="false">IF(W568="","",IFERROR(VLOOKUP(W568,REPS!$A$2:$D$40,3,0),""))</f>
        <v/>
      </c>
      <c r="Y568" s="14" t="str">
        <f aca="false">IF(O568="","",IF(X568="",0,O568*IF(X568&gt;1,X568/100,X568)))</f>
        <v/>
      </c>
      <c r="Z568" s="11"/>
      <c r="AA568" s="18" t="str">
        <f aca="false">IF(Z568="","",IFERROR(VLOOKUP(Z568,REPS!$A$2:$D$40,4,0),""))</f>
        <v/>
      </c>
      <c r="AB568" s="14" t="str">
        <f aca="false">IF(O568="","",IF(AA568="",0,O568*IF(AA568&gt;1,AA568/100,AA568)))</f>
        <v/>
      </c>
      <c r="AC568" s="14" t="str">
        <f aca="false">IF(O568="","",V568+Y568+AB568)</f>
        <v/>
      </c>
      <c r="AD568" s="19" t="str">
        <f aca="false">IF(O568="","",O568-R568-AC568)</f>
        <v/>
      </c>
      <c r="AE568" s="20"/>
      <c r="AF568" s="10"/>
      <c r="AG568" s="21" t="n">
        <f aca="false">IF(OR(AE568="",AE568=0),0,AE568*IF(U568="",0,IF(U568&gt;1,U568/100,U568)))</f>
        <v>0</v>
      </c>
      <c r="AH568" s="21" t="n">
        <f aca="false">IF(OR(AE568="",AE568=0),0,AE568*IF(X568="",0,IF(X568&gt;1,X568/100,X568)))</f>
        <v>0</v>
      </c>
      <c r="AI568" s="21" t="n">
        <f aca="false">IF(OR(AE568="",AE568=0),0,AE568*IF(AA568="",0,IF(AA568&gt;1,AA568/100,AA568)))</f>
        <v>0</v>
      </c>
      <c r="AJ568" s="21" t="n">
        <f aca="false">AG568+AH568+AI568</f>
        <v>0</v>
      </c>
      <c r="AK568" s="21" t="n">
        <f aca="false">IF(OR(AE568="",AE568=0),0,AE568-AJ568)</f>
        <v>0</v>
      </c>
      <c r="AL568" s="19" t="str">
        <f aca="false">IF(AD568="","",AD568-AK568)</f>
        <v/>
      </c>
      <c r="AM568" s="9" t="str">
        <f aca="false">IF(C568="","","Waiting for payment")</f>
        <v/>
      </c>
      <c r="AN568" s="10"/>
      <c r="AO568" s="10"/>
      <c r="AP568" s="22" t="str">
        <f aca="false">IF(OR(C568="",I568="",K568=""),"",IF(K568="Monthly",EDATE(C568,ROUND(I568*SETTINGS!$I$8,0)),WORKDAY(C568,ROUND(I568*SETTINGS!$I$8,0))))</f>
        <v/>
      </c>
      <c r="AQ568" s="9" t="str">
        <f aca="true">IF(C568="","",IF(AND(AP568&lt;&gt;"",TODAY()&gt;=AP568),"Refi Ready",IF(TODAY()-C568&gt;=SETTINGS!$I$11,"Prospecting","Performing")))</f>
        <v/>
      </c>
      <c r="AR568" s="22" t="str">
        <f aca="false">IF(OR(C568="",I568="",K568=""),"",IF(K568="Monthly",EDATE(C568,I568),WORKDAY(C568,I568)))</f>
        <v/>
      </c>
      <c r="AS568" s="11"/>
      <c r="AT568" s="23" t="str">
        <f aca="true">IF(C568="","",IF(AM568="Clawed Back","CLAWED",IF(TODAY()&lt;=C568+SETTINGS!$I$2,"⚠ AT RISK","SAFE")))</f>
        <v/>
      </c>
      <c r="AU568" s="11"/>
      <c r="AW568" s="24" t="n">
        <f aca="false">AW567+IF(AND(C568&lt;&gt;"",AO568&lt;&gt;"",OR('REP COMMISSION'!$B$3="",T568='REP COMMISSION'!$B$3,W568='REP COMMISSION'!$B$3,Z568='REP COMMISSION'!$B$3)),1,0)</f>
        <v>0</v>
      </c>
      <c r="AX568" s="24" t="n">
        <f aca="false">AX567+IF(AND(C568&lt;&gt;"",OR(F568="LOC - INITIAL",F568="CONSOLIDATION - UPFRONT COMM",F568="REVERSE - TOTAL FUNDING")),1,0)</f>
        <v>0</v>
      </c>
    </row>
    <row r="569" customFormat="false" ht="15" hidden="false" customHeight="false" outlineLevel="0" collapsed="false">
      <c r="A569" s="25" t="str">
        <f aca="false">IF(C569&lt;&gt;"","F27-"&amp;COUNT($C$4:C569),"")</f>
        <v/>
      </c>
      <c r="B569" s="26" t="str">
        <f aca="false">IF(OR(F569="LOC - INITIAL",F569="CONSOLIDATION - UPFRONT COMM",F569="REVERSE - TOTAL FUNDING"),A569,"")</f>
        <v/>
      </c>
      <c r="C569" s="27"/>
      <c r="D569" s="28"/>
      <c r="E569" s="28"/>
      <c r="F569" s="28"/>
      <c r="G569" s="29"/>
      <c r="H569" s="30"/>
      <c r="I569" s="28"/>
      <c r="J569" s="31" t="str">
        <f aca="false">IF(AND(G569&lt;&gt;"",H569&lt;&gt;""),G569*H569,"")</f>
        <v/>
      </c>
      <c r="K569" s="28"/>
      <c r="L569" s="32"/>
      <c r="M569" s="32"/>
      <c r="N569" s="31" t="n">
        <f aca="false">IF(OR(G569="",M569=""),0,IF(M569&gt;100,M569,G569*IF(M569&gt;1,M569/100,M569)))</f>
        <v>0</v>
      </c>
      <c r="O569" s="31" t="str">
        <f aca="false">IF(G569="","",G569*IF(L569="",0,IF(L569&gt;1,L569/100,L569))+N569)</f>
        <v/>
      </c>
      <c r="P569" s="28"/>
      <c r="Q569" s="33" t="str">
        <f aca="false">IF(P569="","",IFERROR(VLOOKUP(P569,PARTNERS!$A$2:$B$30,2,0),""))</f>
        <v/>
      </c>
      <c r="R569" s="17" t="str">
        <f aca="false">IF(O569="","",IF(OR(P569="",Q569=""),0,(O569-N569)*IF(Q569&gt;1,Q569/100,Q569)))</f>
        <v/>
      </c>
      <c r="S569" s="31" t="str">
        <f aca="false">IF(O569="","",O569-R569)</f>
        <v/>
      </c>
      <c r="T569" s="28"/>
      <c r="U569" s="34" t="str">
        <f aca="false">IF(T569="","",IFERROR(VLOOKUP(T569,REPS!$A$2:$D$40,2,0),""))</f>
        <v/>
      </c>
      <c r="V569" s="31" t="str">
        <f aca="false">IF(O569="","",IF(U569="",0,O569*IF(U569&gt;1,U569/100,U569)))</f>
        <v/>
      </c>
      <c r="W569" s="28"/>
      <c r="X569" s="34" t="str">
        <f aca="false">IF(W569="","",IFERROR(VLOOKUP(W569,REPS!$A$2:$D$40,3,0),""))</f>
        <v/>
      </c>
      <c r="Y569" s="31" t="str">
        <f aca="false">IF(O569="","",IF(X569="",0,O569*IF(X569&gt;1,X569/100,X569)))</f>
        <v/>
      </c>
      <c r="Z569" s="28"/>
      <c r="AA569" s="34" t="str">
        <f aca="false">IF(Z569="","",IFERROR(VLOOKUP(Z569,REPS!$A$2:$D$40,4,0),""))</f>
        <v/>
      </c>
      <c r="AB569" s="31" t="str">
        <f aca="false">IF(O569="","",IF(AA569="",0,O569*IF(AA569&gt;1,AA569/100,AA569)))</f>
        <v/>
      </c>
      <c r="AC569" s="31" t="str">
        <f aca="false">IF(O569="","",V569+Y569+AB569)</f>
        <v/>
      </c>
      <c r="AD569" s="19" t="str">
        <f aca="false">IF(O569="","",O569-R569-AC569)</f>
        <v/>
      </c>
      <c r="AE569" s="20"/>
      <c r="AF569" s="27"/>
      <c r="AG569" s="21" t="n">
        <f aca="false">IF(OR(AE569="",AE569=0),0,AE569*IF(U569="",0,IF(U569&gt;1,U569/100,U569)))</f>
        <v>0</v>
      </c>
      <c r="AH569" s="21" t="n">
        <f aca="false">IF(OR(AE569="",AE569=0),0,AE569*IF(X569="",0,IF(X569&gt;1,X569/100,X569)))</f>
        <v>0</v>
      </c>
      <c r="AI569" s="21" t="n">
        <f aca="false">IF(OR(AE569="",AE569=0),0,AE569*IF(AA569="",0,IF(AA569&gt;1,AA569/100,AA569)))</f>
        <v>0</v>
      </c>
      <c r="AJ569" s="21" t="n">
        <f aca="false">AG569+AH569+AI569</f>
        <v>0</v>
      </c>
      <c r="AK569" s="21" t="n">
        <f aca="false">IF(OR(AE569="",AE569=0),0,AE569-AJ569)</f>
        <v>0</v>
      </c>
      <c r="AL569" s="19" t="str">
        <f aca="false">IF(AD569="","",AD569-AK569)</f>
        <v/>
      </c>
      <c r="AM569" s="26" t="str">
        <f aca="false">IF(C569="","","Waiting for payment")</f>
        <v/>
      </c>
      <c r="AN569" s="27"/>
      <c r="AO569" s="27"/>
      <c r="AP569" s="35" t="str">
        <f aca="false">IF(OR(C569="",I569="",K569=""),"",IF(K569="Monthly",EDATE(C569,ROUND(I569*SETTINGS!$I$8,0)),WORKDAY(C569,ROUND(I569*SETTINGS!$I$8,0))))</f>
        <v/>
      </c>
      <c r="AQ569" s="26" t="str">
        <f aca="true">IF(C569="","",IF(AND(AP569&lt;&gt;"",TODAY()&gt;=AP569),"Refi Ready",IF(TODAY()-C569&gt;=SETTINGS!$I$11,"Prospecting","Performing")))</f>
        <v/>
      </c>
      <c r="AR569" s="35" t="str">
        <f aca="false">IF(OR(C569="",I569="",K569=""),"",IF(K569="Monthly",EDATE(C569,I569),WORKDAY(C569,I569)))</f>
        <v/>
      </c>
      <c r="AS569" s="28"/>
      <c r="AT569" s="36" t="str">
        <f aca="true">IF(C569="","",IF(AM569="Clawed Back","CLAWED",IF(TODAY()&lt;=C569+SETTINGS!$I$2,"⚠ AT RISK","SAFE")))</f>
        <v/>
      </c>
      <c r="AU569" s="28"/>
      <c r="AW569" s="24" t="n">
        <f aca="false">AW568+IF(AND(C569&lt;&gt;"",AO569&lt;&gt;"",OR('REP COMMISSION'!$B$3="",T569='REP COMMISSION'!$B$3,W569='REP COMMISSION'!$B$3,Z569='REP COMMISSION'!$B$3)),1,0)</f>
        <v>0</v>
      </c>
      <c r="AX569" s="24" t="n">
        <f aca="false">AX568+IF(AND(C569&lt;&gt;"",OR(F569="LOC - INITIAL",F569="CONSOLIDATION - UPFRONT COMM",F569="REVERSE - TOTAL FUNDING")),1,0)</f>
        <v>0</v>
      </c>
    </row>
    <row r="570" customFormat="false" ht="15" hidden="false" customHeight="false" outlineLevel="0" collapsed="false">
      <c r="A570" s="8" t="str">
        <f aca="false">IF(C570&lt;&gt;"","F27-"&amp;COUNT($C$4:C570),"")</f>
        <v/>
      </c>
      <c r="B570" s="9" t="str">
        <f aca="false">IF(OR(F570="LOC - INITIAL",F570="CONSOLIDATION - UPFRONT COMM",F570="REVERSE - TOTAL FUNDING"),A570,"")</f>
        <v/>
      </c>
      <c r="C570" s="10"/>
      <c r="D570" s="11"/>
      <c r="E570" s="11"/>
      <c r="F570" s="11"/>
      <c r="G570" s="12"/>
      <c r="H570" s="13"/>
      <c r="I570" s="11"/>
      <c r="J570" s="14" t="str">
        <f aca="false">IF(AND(G570&lt;&gt;"",H570&lt;&gt;""),G570*H570,"")</f>
        <v/>
      </c>
      <c r="K570" s="11"/>
      <c r="L570" s="15"/>
      <c r="M570" s="15"/>
      <c r="N570" s="14" t="n">
        <f aca="false">IF(OR(G570="",M570=""),0,IF(M570&gt;100,M570,G570*IF(M570&gt;1,M570/100,M570)))</f>
        <v>0</v>
      </c>
      <c r="O570" s="14" t="str">
        <f aca="false">IF(G570="","",G570*IF(L570="",0,IF(L570&gt;1,L570/100,L570))+N570)</f>
        <v/>
      </c>
      <c r="P570" s="11"/>
      <c r="Q570" s="16" t="str">
        <f aca="false">IF(P570="","",IFERROR(VLOOKUP(P570,PARTNERS!$A$2:$B$30,2,0),""))</f>
        <v/>
      </c>
      <c r="R570" s="17" t="str">
        <f aca="false">IF(O570="","",IF(OR(P570="",Q570=""),0,(O570-N570)*IF(Q570&gt;1,Q570/100,Q570)))</f>
        <v/>
      </c>
      <c r="S570" s="14" t="str">
        <f aca="false">IF(O570="","",O570-R570)</f>
        <v/>
      </c>
      <c r="T570" s="11"/>
      <c r="U570" s="18" t="str">
        <f aca="false">IF(T570="","",IFERROR(VLOOKUP(T570,REPS!$A$2:$D$40,2,0),""))</f>
        <v/>
      </c>
      <c r="V570" s="14" t="str">
        <f aca="false">IF(O570="","",IF(U570="",0,O570*IF(U570&gt;1,U570/100,U570)))</f>
        <v/>
      </c>
      <c r="W570" s="11"/>
      <c r="X570" s="18" t="str">
        <f aca="false">IF(W570="","",IFERROR(VLOOKUP(W570,REPS!$A$2:$D$40,3,0),""))</f>
        <v/>
      </c>
      <c r="Y570" s="14" t="str">
        <f aca="false">IF(O570="","",IF(X570="",0,O570*IF(X570&gt;1,X570/100,X570)))</f>
        <v/>
      </c>
      <c r="Z570" s="11"/>
      <c r="AA570" s="18" t="str">
        <f aca="false">IF(Z570="","",IFERROR(VLOOKUP(Z570,REPS!$A$2:$D$40,4,0),""))</f>
        <v/>
      </c>
      <c r="AB570" s="14" t="str">
        <f aca="false">IF(O570="","",IF(AA570="",0,O570*IF(AA570&gt;1,AA570/100,AA570)))</f>
        <v/>
      </c>
      <c r="AC570" s="14" t="str">
        <f aca="false">IF(O570="","",V570+Y570+AB570)</f>
        <v/>
      </c>
      <c r="AD570" s="19" t="str">
        <f aca="false">IF(O570="","",O570-R570-AC570)</f>
        <v/>
      </c>
      <c r="AE570" s="20"/>
      <c r="AF570" s="10"/>
      <c r="AG570" s="21" t="n">
        <f aca="false">IF(OR(AE570="",AE570=0),0,AE570*IF(U570="",0,IF(U570&gt;1,U570/100,U570)))</f>
        <v>0</v>
      </c>
      <c r="AH570" s="21" t="n">
        <f aca="false">IF(OR(AE570="",AE570=0),0,AE570*IF(X570="",0,IF(X570&gt;1,X570/100,X570)))</f>
        <v>0</v>
      </c>
      <c r="AI570" s="21" t="n">
        <f aca="false">IF(OR(AE570="",AE570=0),0,AE570*IF(AA570="",0,IF(AA570&gt;1,AA570/100,AA570)))</f>
        <v>0</v>
      </c>
      <c r="AJ570" s="21" t="n">
        <f aca="false">AG570+AH570+AI570</f>
        <v>0</v>
      </c>
      <c r="AK570" s="21" t="n">
        <f aca="false">IF(OR(AE570="",AE570=0),0,AE570-AJ570)</f>
        <v>0</v>
      </c>
      <c r="AL570" s="19" t="str">
        <f aca="false">IF(AD570="","",AD570-AK570)</f>
        <v/>
      </c>
      <c r="AM570" s="9" t="str">
        <f aca="false">IF(C570="","","Waiting for payment")</f>
        <v/>
      </c>
      <c r="AN570" s="10"/>
      <c r="AO570" s="10"/>
      <c r="AP570" s="22" t="str">
        <f aca="false">IF(OR(C570="",I570="",K570=""),"",IF(K570="Monthly",EDATE(C570,ROUND(I570*SETTINGS!$I$8,0)),WORKDAY(C570,ROUND(I570*SETTINGS!$I$8,0))))</f>
        <v/>
      </c>
      <c r="AQ570" s="9" t="str">
        <f aca="true">IF(C570="","",IF(AND(AP570&lt;&gt;"",TODAY()&gt;=AP570),"Refi Ready",IF(TODAY()-C570&gt;=SETTINGS!$I$11,"Prospecting","Performing")))</f>
        <v/>
      </c>
      <c r="AR570" s="22" t="str">
        <f aca="false">IF(OR(C570="",I570="",K570=""),"",IF(K570="Monthly",EDATE(C570,I570),WORKDAY(C570,I570)))</f>
        <v/>
      </c>
      <c r="AS570" s="11"/>
      <c r="AT570" s="23" t="str">
        <f aca="true">IF(C570="","",IF(AM570="Clawed Back","CLAWED",IF(TODAY()&lt;=C570+SETTINGS!$I$2,"⚠ AT RISK","SAFE")))</f>
        <v/>
      </c>
      <c r="AU570" s="11"/>
      <c r="AW570" s="24" t="n">
        <f aca="false">AW569+IF(AND(C570&lt;&gt;"",AO570&lt;&gt;"",OR('REP COMMISSION'!$B$3="",T570='REP COMMISSION'!$B$3,W570='REP COMMISSION'!$B$3,Z570='REP COMMISSION'!$B$3)),1,0)</f>
        <v>0</v>
      </c>
      <c r="AX570" s="24" t="n">
        <f aca="false">AX569+IF(AND(C570&lt;&gt;"",OR(F570="LOC - INITIAL",F570="CONSOLIDATION - UPFRONT COMM",F570="REVERSE - TOTAL FUNDING")),1,0)</f>
        <v>0</v>
      </c>
    </row>
    <row r="571" customFormat="false" ht="15" hidden="false" customHeight="false" outlineLevel="0" collapsed="false">
      <c r="A571" s="25" t="str">
        <f aca="false">IF(C571&lt;&gt;"","F27-"&amp;COUNT($C$4:C571),"")</f>
        <v/>
      </c>
      <c r="B571" s="26" t="str">
        <f aca="false">IF(OR(F571="LOC - INITIAL",F571="CONSOLIDATION - UPFRONT COMM",F571="REVERSE - TOTAL FUNDING"),A571,"")</f>
        <v/>
      </c>
      <c r="C571" s="27"/>
      <c r="D571" s="28"/>
      <c r="E571" s="28"/>
      <c r="F571" s="28"/>
      <c r="G571" s="29"/>
      <c r="H571" s="30"/>
      <c r="I571" s="28"/>
      <c r="J571" s="31" t="str">
        <f aca="false">IF(AND(G571&lt;&gt;"",H571&lt;&gt;""),G571*H571,"")</f>
        <v/>
      </c>
      <c r="K571" s="28"/>
      <c r="L571" s="32"/>
      <c r="M571" s="32"/>
      <c r="N571" s="31" t="n">
        <f aca="false">IF(OR(G571="",M571=""),0,IF(M571&gt;100,M571,G571*IF(M571&gt;1,M571/100,M571)))</f>
        <v>0</v>
      </c>
      <c r="O571" s="31" t="str">
        <f aca="false">IF(G571="","",G571*IF(L571="",0,IF(L571&gt;1,L571/100,L571))+N571)</f>
        <v/>
      </c>
      <c r="P571" s="28"/>
      <c r="Q571" s="33" t="str">
        <f aca="false">IF(P571="","",IFERROR(VLOOKUP(P571,PARTNERS!$A$2:$B$30,2,0),""))</f>
        <v/>
      </c>
      <c r="R571" s="17" t="str">
        <f aca="false">IF(O571="","",IF(OR(P571="",Q571=""),0,(O571-N571)*IF(Q571&gt;1,Q571/100,Q571)))</f>
        <v/>
      </c>
      <c r="S571" s="31" t="str">
        <f aca="false">IF(O571="","",O571-R571)</f>
        <v/>
      </c>
      <c r="T571" s="28"/>
      <c r="U571" s="34" t="str">
        <f aca="false">IF(T571="","",IFERROR(VLOOKUP(T571,REPS!$A$2:$D$40,2,0),""))</f>
        <v/>
      </c>
      <c r="V571" s="31" t="str">
        <f aca="false">IF(O571="","",IF(U571="",0,O571*IF(U571&gt;1,U571/100,U571)))</f>
        <v/>
      </c>
      <c r="W571" s="28"/>
      <c r="X571" s="34" t="str">
        <f aca="false">IF(W571="","",IFERROR(VLOOKUP(W571,REPS!$A$2:$D$40,3,0),""))</f>
        <v/>
      </c>
      <c r="Y571" s="31" t="str">
        <f aca="false">IF(O571="","",IF(X571="",0,O571*IF(X571&gt;1,X571/100,X571)))</f>
        <v/>
      </c>
      <c r="Z571" s="28"/>
      <c r="AA571" s="34" t="str">
        <f aca="false">IF(Z571="","",IFERROR(VLOOKUP(Z571,REPS!$A$2:$D$40,4,0),""))</f>
        <v/>
      </c>
      <c r="AB571" s="31" t="str">
        <f aca="false">IF(O571="","",IF(AA571="",0,O571*IF(AA571&gt;1,AA571/100,AA571)))</f>
        <v/>
      </c>
      <c r="AC571" s="31" t="str">
        <f aca="false">IF(O571="","",V571+Y571+AB571)</f>
        <v/>
      </c>
      <c r="AD571" s="19" t="str">
        <f aca="false">IF(O571="","",O571-R571-AC571)</f>
        <v/>
      </c>
      <c r="AE571" s="20"/>
      <c r="AF571" s="27"/>
      <c r="AG571" s="21" t="n">
        <f aca="false">IF(OR(AE571="",AE571=0),0,AE571*IF(U571="",0,IF(U571&gt;1,U571/100,U571)))</f>
        <v>0</v>
      </c>
      <c r="AH571" s="21" t="n">
        <f aca="false">IF(OR(AE571="",AE571=0),0,AE571*IF(X571="",0,IF(X571&gt;1,X571/100,X571)))</f>
        <v>0</v>
      </c>
      <c r="AI571" s="21" t="n">
        <f aca="false">IF(OR(AE571="",AE571=0),0,AE571*IF(AA571="",0,IF(AA571&gt;1,AA571/100,AA571)))</f>
        <v>0</v>
      </c>
      <c r="AJ571" s="21" t="n">
        <f aca="false">AG571+AH571+AI571</f>
        <v>0</v>
      </c>
      <c r="AK571" s="21" t="n">
        <f aca="false">IF(OR(AE571="",AE571=0),0,AE571-AJ571)</f>
        <v>0</v>
      </c>
      <c r="AL571" s="19" t="str">
        <f aca="false">IF(AD571="","",AD571-AK571)</f>
        <v/>
      </c>
      <c r="AM571" s="26" t="str">
        <f aca="false">IF(C571="","","Waiting for payment")</f>
        <v/>
      </c>
      <c r="AN571" s="27"/>
      <c r="AO571" s="27"/>
      <c r="AP571" s="35" t="str">
        <f aca="false">IF(OR(C571="",I571="",K571=""),"",IF(K571="Monthly",EDATE(C571,ROUND(I571*SETTINGS!$I$8,0)),WORKDAY(C571,ROUND(I571*SETTINGS!$I$8,0))))</f>
        <v/>
      </c>
      <c r="AQ571" s="26" t="str">
        <f aca="true">IF(C571="","",IF(AND(AP571&lt;&gt;"",TODAY()&gt;=AP571),"Refi Ready",IF(TODAY()-C571&gt;=SETTINGS!$I$11,"Prospecting","Performing")))</f>
        <v/>
      </c>
      <c r="AR571" s="35" t="str">
        <f aca="false">IF(OR(C571="",I571="",K571=""),"",IF(K571="Monthly",EDATE(C571,I571),WORKDAY(C571,I571)))</f>
        <v/>
      </c>
      <c r="AS571" s="28"/>
      <c r="AT571" s="36" t="str">
        <f aca="true">IF(C571="","",IF(AM571="Clawed Back","CLAWED",IF(TODAY()&lt;=C571+SETTINGS!$I$2,"⚠ AT RISK","SAFE")))</f>
        <v/>
      </c>
      <c r="AU571" s="28"/>
      <c r="AW571" s="24" t="n">
        <f aca="false">AW570+IF(AND(C571&lt;&gt;"",AO571&lt;&gt;"",OR('REP COMMISSION'!$B$3="",T571='REP COMMISSION'!$B$3,W571='REP COMMISSION'!$B$3,Z571='REP COMMISSION'!$B$3)),1,0)</f>
        <v>0</v>
      </c>
      <c r="AX571" s="24" t="n">
        <f aca="false">AX570+IF(AND(C571&lt;&gt;"",OR(F571="LOC - INITIAL",F571="CONSOLIDATION - UPFRONT COMM",F571="REVERSE - TOTAL FUNDING")),1,0)</f>
        <v>0</v>
      </c>
    </row>
    <row r="572" customFormat="false" ht="15" hidden="false" customHeight="false" outlineLevel="0" collapsed="false">
      <c r="A572" s="8" t="str">
        <f aca="false">IF(C572&lt;&gt;"","F27-"&amp;COUNT($C$4:C572),"")</f>
        <v/>
      </c>
      <c r="B572" s="9" t="str">
        <f aca="false">IF(OR(F572="LOC - INITIAL",F572="CONSOLIDATION - UPFRONT COMM",F572="REVERSE - TOTAL FUNDING"),A572,"")</f>
        <v/>
      </c>
      <c r="C572" s="10"/>
      <c r="D572" s="11"/>
      <c r="E572" s="11"/>
      <c r="F572" s="11"/>
      <c r="G572" s="12"/>
      <c r="H572" s="13"/>
      <c r="I572" s="11"/>
      <c r="J572" s="14" t="str">
        <f aca="false">IF(AND(G572&lt;&gt;"",H572&lt;&gt;""),G572*H572,"")</f>
        <v/>
      </c>
      <c r="K572" s="11"/>
      <c r="L572" s="15"/>
      <c r="M572" s="15"/>
      <c r="N572" s="14" t="n">
        <f aca="false">IF(OR(G572="",M572=""),0,IF(M572&gt;100,M572,G572*IF(M572&gt;1,M572/100,M572)))</f>
        <v>0</v>
      </c>
      <c r="O572" s="14" t="str">
        <f aca="false">IF(G572="","",G572*IF(L572="",0,IF(L572&gt;1,L572/100,L572))+N572)</f>
        <v/>
      </c>
      <c r="P572" s="11"/>
      <c r="Q572" s="16" t="str">
        <f aca="false">IF(P572="","",IFERROR(VLOOKUP(P572,PARTNERS!$A$2:$B$30,2,0),""))</f>
        <v/>
      </c>
      <c r="R572" s="17" t="str">
        <f aca="false">IF(O572="","",IF(OR(P572="",Q572=""),0,(O572-N572)*IF(Q572&gt;1,Q572/100,Q572)))</f>
        <v/>
      </c>
      <c r="S572" s="14" t="str">
        <f aca="false">IF(O572="","",O572-R572)</f>
        <v/>
      </c>
      <c r="T572" s="11"/>
      <c r="U572" s="18" t="str">
        <f aca="false">IF(T572="","",IFERROR(VLOOKUP(T572,REPS!$A$2:$D$40,2,0),""))</f>
        <v/>
      </c>
      <c r="V572" s="14" t="str">
        <f aca="false">IF(O572="","",IF(U572="",0,O572*IF(U572&gt;1,U572/100,U572)))</f>
        <v/>
      </c>
      <c r="W572" s="11"/>
      <c r="X572" s="18" t="str">
        <f aca="false">IF(W572="","",IFERROR(VLOOKUP(W572,REPS!$A$2:$D$40,3,0),""))</f>
        <v/>
      </c>
      <c r="Y572" s="14" t="str">
        <f aca="false">IF(O572="","",IF(X572="",0,O572*IF(X572&gt;1,X572/100,X572)))</f>
        <v/>
      </c>
      <c r="Z572" s="11"/>
      <c r="AA572" s="18" t="str">
        <f aca="false">IF(Z572="","",IFERROR(VLOOKUP(Z572,REPS!$A$2:$D$40,4,0),""))</f>
        <v/>
      </c>
      <c r="AB572" s="14" t="str">
        <f aca="false">IF(O572="","",IF(AA572="",0,O572*IF(AA572&gt;1,AA572/100,AA572)))</f>
        <v/>
      </c>
      <c r="AC572" s="14" t="str">
        <f aca="false">IF(O572="","",V572+Y572+AB572)</f>
        <v/>
      </c>
      <c r="AD572" s="19" t="str">
        <f aca="false">IF(O572="","",O572-R572-AC572)</f>
        <v/>
      </c>
      <c r="AE572" s="20"/>
      <c r="AF572" s="10"/>
      <c r="AG572" s="21" t="n">
        <f aca="false">IF(OR(AE572="",AE572=0),0,AE572*IF(U572="",0,IF(U572&gt;1,U572/100,U572)))</f>
        <v>0</v>
      </c>
      <c r="AH572" s="21" t="n">
        <f aca="false">IF(OR(AE572="",AE572=0),0,AE572*IF(X572="",0,IF(X572&gt;1,X572/100,X572)))</f>
        <v>0</v>
      </c>
      <c r="AI572" s="21" t="n">
        <f aca="false">IF(OR(AE572="",AE572=0),0,AE572*IF(AA572="",0,IF(AA572&gt;1,AA572/100,AA572)))</f>
        <v>0</v>
      </c>
      <c r="AJ572" s="21" t="n">
        <f aca="false">AG572+AH572+AI572</f>
        <v>0</v>
      </c>
      <c r="AK572" s="21" t="n">
        <f aca="false">IF(OR(AE572="",AE572=0),0,AE572-AJ572)</f>
        <v>0</v>
      </c>
      <c r="AL572" s="19" t="str">
        <f aca="false">IF(AD572="","",AD572-AK572)</f>
        <v/>
      </c>
      <c r="AM572" s="9" t="str">
        <f aca="false">IF(C572="","","Waiting for payment")</f>
        <v/>
      </c>
      <c r="AN572" s="10"/>
      <c r="AO572" s="10"/>
      <c r="AP572" s="22" t="str">
        <f aca="false">IF(OR(C572="",I572="",K572=""),"",IF(K572="Monthly",EDATE(C572,ROUND(I572*SETTINGS!$I$8,0)),WORKDAY(C572,ROUND(I572*SETTINGS!$I$8,0))))</f>
        <v/>
      </c>
      <c r="AQ572" s="9" t="str">
        <f aca="true">IF(C572="","",IF(AND(AP572&lt;&gt;"",TODAY()&gt;=AP572),"Refi Ready",IF(TODAY()-C572&gt;=SETTINGS!$I$11,"Prospecting","Performing")))</f>
        <v/>
      </c>
      <c r="AR572" s="22" t="str">
        <f aca="false">IF(OR(C572="",I572="",K572=""),"",IF(K572="Monthly",EDATE(C572,I572),WORKDAY(C572,I572)))</f>
        <v/>
      </c>
      <c r="AS572" s="11"/>
      <c r="AT572" s="23" t="str">
        <f aca="true">IF(C572="","",IF(AM572="Clawed Back","CLAWED",IF(TODAY()&lt;=C572+SETTINGS!$I$2,"⚠ AT RISK","SAFE")))</f>
        <v/>
      </c>
      <c r="AU572" s="11"/>
      <c r="AW572" s="24" t="n">
        <f aca="false">AW571+IF(AND(C572&lt;&gt;"",AO572&lt;&gt;"",OR('REP COMMISSION'!$B$3="",T572='REP COMMISSION'!$B$3,W572='REP COMMISSION'!$B$3,Z572='REP COMMISSION'!$B$3)),1,0)</f>
        <v>0</v>
      </c>
      <c r="AX572" s="24" t="n">
        <f aca="false">AX571+IF(AND(C572&lt;&gt;"",OR(F572="LOC - INITIAL",F572="CONSOLIDATION - UPFRONT COMM",F572="REVERSE - TOTAL FUNDING")),1,0)</f>
        <v>0</v>
      </c>
    </row>
    <row r="573" customFormat="false" ht="15" hidden="false" customHeight="false" outlineLevel="0" collapsed="false">
      <c r="A573" s="25" t="str">
        <f aca="false">IF(C573&lt;&gt;"","F27-"&amp;COUNT($C$4:C573),"")</f>
        <v/>
      </c>
      <c r="B573" s="26" t="str">
        <f aca="false">IF(OR(F573="LOC - INITIAL",F573="CONSOLIDATION - UPFRONT COMM",F573="REVERSE - TOTAL FUNDING"),A573,"")</f>
        <v/>
      </c>
      <c r="C573" s="27"/>
      <c r="D573" s="28"/>
      <c r="E573" s="28"/>
      <c r="F573" s="28"/>
      <c r="G573" s="29"/>
      <c r="H573" s="30"/>
      <c r="I573" s="28"/>
      <c r="J573" s="31" t="str">
        <f aca="false">IF(AND(G573&lt;&gt;"",H573&lt;&gt;""),G573*H573,"")</f>
        <v/>
      </c>
      <c r="K573" s="28"/>
      <c r="L573" s="32"/>
      <c r="M573" s="32"/>
      <c r="N573" s="31" t="n">
        <f aca="false">IF(OR(G573="",M573=""),0,IF(M573&gt;100,M573,G573*IF(M573&gt;1,M573/100,M573)))</f>
        <v>0</v>
      </c>
      <c r="O573" s="31" t="str">
        <f aca="false">IF(G573="","",G573*IF(L573="",0,IF(L573&gt;1,L573/100,L573))+N573)</f>
        <v/>
      </c>
      <c r="P573" s="28"/>
      <c r="Q573" s="33" t="str">
        <f aca="false">IF(P573="","",IFERROR(VLOOKUP(P573,PARTNERS!$A$2:$B$30,2,0),""))</f>
        <v/>
      </c>
      <c r="R573" s="17" t="str">
        <f aca="false">IF(O573="","",IF(OR(P573="",Q573=""),0,(O573-N573)*IF(Q573&gt;1,Q573/100,Q573)))</f>
        <v/>
      </c>
      <c r="S573" s="31" t="str">
        <f aca="false">IF(O573="","",O573-R573)</f>
        <v/>
      </c>
      <c r="T573" s="28"/>
      <c r="U573" s="34" t="str">
        <f aca="false">IF(T573="","",IFERROR(VLOOKUP(T573,REPS!$A$2:$D$40,2,0),""))</f>
        <v/>
      </c>
      <c r="V573" s="31" t="str">
        <f aca="false">IF(O573="","",IF(U573="",0,O573*IF(U573&gt;1,U573/100,U573)))</f>
        <v/>
      </c>
      <c r="W573" s="28"/>
      <c r="X573" s="34" t="str">
        <f aca="false">IF(W573="","",IFERROR(VLOOKUP(W573,REPS!$A$2:$D$40,3,0),""))</f>
        <v/>
      </c>
      <c r="Y573" s="31" t="str">
        <f aca="false">IF(O573="","",IF(X573="",0,O573*IF(X573&gt;1,X573/100,X573)))</f>
        <v/>
      </c>
      <c r="Z573" s="28"/>
      <c r="AA573" s="34" t="str">
        <f aca="false">IF(Z573="","",IFERROR(VLOOKUP(Z573,REPS!$A$2:$D$40,4,0),""))</f>
        <v/>
      </c>
      <c r="AB573" s="31" t="str">
        <f aca="false">IF(O573="","",IF(AA573="",0,O573*IF(AA573&gt;1,AA573/100,AA573)))</f>
        <v/>
      </c>
      <c r="AC573" s="31" t="str">
        <f aca="false">IF(O573="","",V573+Y573+AB573)</f>
        <v/>
      </c>
      <c r="AD573" s="19" t="str">
        <f aca="false">IF(O573="","",O573-R573-AC573)</f>
        <v/>
      </c>
      <c r="AE573" s="20"/>
      <c r="AF573" s="27"/>
      <c r="AG573" s="21" t="n">
        <f aca="false">IF(OR(AE573="",AE573=0),0,AE573*IF(U573="",0,IF(U573&gt;1,U573/100,U573)))</f>
        <v>0</v>
      </c>
      <c r="AH573" s="21" t="n">
        <f aca="false">IF(OR(AE573="",AE573=0),0,AE573*IF(X573="",0,IF(X573&gt;1,X573/100,X573)))</f>
        <v>0</v>
      </c>
      <c r="AI573" s="21" t="n">
        <f aca="false">IF(OR(AE573="",AE573=0),0,AE573*IF(AA573="",0,IF(AA573&gt;1,AA573/100,AA573)))</f>
        <v>0</v>
      </c>
      <c r="AJ573" s="21" t="n">
        <f aca="false">AG573+AH573+AI573</f>
        <v>0</v>
      </c>
      <c r="AK573" s="21" t="n">
        <f aca="false">IF(OR(AE573="",AE573=0),0,AE573-AJ573)</f>
        <v>0</v>
      </c>
      <c r="AL573" s="19" t="str">
        <f aca="false">IF(AD573="","",AD573-AK573)</f>
        <v/>
      </c>
      <c r="AM573" s="26" t="str">
        <f aca="false">IF(C573="","","Waiting for payment")</f>
        <v/>
      </c>
      <c r="AN573" s="27"/>
      <c r="AO573" s="27"/>
      <c r="AP573" s="35" t="str">
        <f aca="false">IF(OR(C573="",I573="",K573=""),"",IF(K573="Monthly",EDATE(C573,ROUND(I573*SETTINGS!$I$8,0)),WORKDAY(C573,ROUND(I573*SETTINGS!$I$8,0))))</f>
        <v/>
      </c>
      <c r="AQ573" s="26" t="str">
        <f aca="true">IF(C573="","",IF(AND(AP573&lt;&gt;"",TODAY()&gt;=AP573),"Refi Ready",IF(TODAY()-C573&gt;=SETTINGS!$I$11,"Prospecting","Performing")))</f>
        <v/>
      </c>
      <c r="AR573" s="35" t="str">
        <f aca="false">IF(OR(C573="",I573="",K573=""),"",IF(K573="Monthly",EDATE(C573,I573),WORKDAY(C573,I573)))</f>
        <v/>
      </c>
      <c r="AS573" s="28"/>
      <c r="AT573" s="36" t="str">
        <f aca="true">IF(C573="","",IF(AM573="Clawed Back","CLAWED",IF(TODAY()&lt;=C573+SETTINGS!$I$2,"⚠ AT RISK","SAFE")))</f>
        <v/>
      </c>
      <c r="AU573" s="28"/>
      <c r="AW573" s="24" t="n">
        <f aca="false">AW572+IF(AND(C573&lt;&gt;"",AO573&lt;&gt;"",OR('REP COMMISSION'!$B$3="",T573='REP COMMISSION'!$B$3,W573='REP COMMISSION'!$B$3,Z573='REP COMMISSION'!$B$3)),1,0)</f>
        <v>0</v>
      </c>
      <c r="AX573" s="24" t="n">
        <f aca="false">AX572+IF(AND(C573&lt;&gt;"",OR(F573="LOC - INITIAL",F573="CONSOLIDATION - UPFRONT COMM",F573="REVERSE - TOTAL FUNDING")),1,0)</f>
        <v>0</v>
      </c>
    </row>
    <row r="574" customFormat="false" ht="15" hidden="false" customHeight="false" outlineLevel="0" collapsed="false">
      <c r="A574" s="8" t="str">
        <f aca="false">IF(C574&lt;&gt;"","F27-"&amp;COUNT($C$4:C574),"")</f>
        <v/>
      </c>
      <c r="B574" s="9" t="str">
        <f aca="false">IF(OR(F574="LOC - INITIAL",F574="CONSOLIDATION - UPFRONT COMM",F574="REVERSE - TOTAL FUNDING"),A574,"")</f>
        <v/>
      </c>
      <c r="C574" s="10"/>
      <c r="D574" s="11"/>
      <c r="E574" s="11"/>
      <c r="F574" s="11"/>
      <c r="G574" s="12"/>
      <c r="H574" s="13"/>
      <c r="I574" s="11"/>
      <c r="J574" s="14" t="str">
        <f aca="false">IF(AND(G574&lt;&gt;"",H574&lt;&gt;""),G574*H574,"")</f>
        <v/>
      </c>
      <c r="K574" s="11"/>
      <c r="L574" s="15"/>
      <c r="M574" s="15"/>
      <c r="N574" s="14" t="n">
        <f aca="false">IF(OR(G574="",M574=""),0,IF(M574&gt;100,M574,G574*IF(M574&gt;1,M574/100,M574)))</f>
        <v>0</v>
      </c>
      <c r="O574" s="14" t="str">
        <f aca="false">IF(G574="","",G574*IF(L574="",0,IF(L574&gt;1,L574/100,L574))+N574)</f>
        <v/>
      </c>
      <c r="P574" s="11"/>
      <c r="Q574" s="16" t="str">
        <f aca="false">IF(P574="","",IFERROR(VLOOKUP(P574,PARTNERS!$A$2:$B$30,2,0),""))</f>
        <v/>
      </c>
      <c r="R574" s="17" t="str">
        <f aca="false">IF(O574="","",IF(OR(P574="",Q574=""),0,(O574-N574)*IF(Q574&gt;1,Q574/100,Q574)))</f>
        <v/>
      </c>
      <c r="S574" s="14" t="str">
        <f aca="false">IF(O574="","",O574-R574)</f>
        <v/>
      </c>
      <c r="T574" s="11"/>
      <c r="U574" s="18" t="str">
        <f aca="false">IF(T574="","",IFERROR(VLOOKUP(T574,REPS!$A$2:$D$40,2,0),""))</f>
        <v/>
      </c>
      <c r="V574" s="14" t="str">
        <f aca="false">IF(O574="","",IF(U574="",0,O574*IF(U574&gt;1,U574/100,U574)))</f>
        <v/>
      </c>
      <c r="W574" s="11"/>
      <c r="X574" s="18" t="str">
        <f aca="false">IF(W574="","",IFERROR(VLOOKUP(W574,REPS!$A$2:$D$40,3,0),""))</f>
        <v/>
      </c>
      <c r="Y574" s="14" t="str">
        <f aca="false">IF(O574="","",IF(X574="",0,O574*IF(X574&gt;1,X574/100,X574)))</f>
        <v/>
      </c>
      <c r="Z574" s="11"/>
      <c r="AA574" s="18" t="str">
        <f aca="false">IF(Z574="","",IFERROR(VLOOKUP(Z574,REPS!$A$2:$D$40,4,0),""))</f>
        <v/>
      </c>
      <c r="AB574" s="14" t="str">
        <f aca="false">IF(O574="","",IF(AA574="",0,O574*IF(AA574&gt;1,AA574/100,AA574)))</f>
        <v/>
      </c>
      <c r="AC574" s="14" t="str">
        <f aca="false">IF(O574="","",V574+Y574+AB574)</f>
        <v/>
      </c>
      <c r="AD574" s="19" t="str">
        <f aca="false">IF(O574="","",O574-R574-AC574)</f>
        <v/>
      </c>
      <c r="AE574" s="20"/>
      <c r="AF574" s="10"/>
      <c r="AG574" s="21" t="n">
        <f aca="false">IF(OR(AE574="",AE574=0),0,AE574*IF(U574="",0,IF(U574&gt;1,U574/100,U574)))</f>
        <v>0</v>
      </c>
      <c r="AH574" s="21" t="n">
        <f aca="false">IF(OR(AE574="",AE574=0),0,AE574*IF(X574="",0,IF(X574&gt;1,X574/100,X574)))</f>
        <v>0</v>
      </c>
      <c r="AI574" s="21" t="n">
        <f aca="false">IF(OR(AE574="",AE574=0),0,AE574*IF(AA574="",0,IF(AA574&gt;1,AA574/100,AA574)))</f>
        <v>0</v>
      </c>
      <c r="AJ574" s="21" t="n">
        <f aca="false">AG574+AH574+AI574</f>
        <v>0</v>
      </c>
      <c r="AK574" s="21" t="n">
        <f aca="false">IF(OR(AE574="",AE574=0),0,AE574-AJ574)</f>
        <v>0</v>
      </c>
      <c r="AL574" s="19" t="str">
        <f aca="false">IF(AD574="","",AD574-AK574)</f>
        <v/>
      </c>
      <c r="AM574" s="9" t="str">
        <f aca="false">IF(C574="","","Waiting for payment")</f>
        <v/>
      </c>
      <c r="AN574" s="10"/>
      <c r="AO574" s="10"/>
      <c r="AP574" s="22" t="str">
        <f aca="false">IF(OR(C574="",I574="",K574=""),"",IF(K574="Monthly",EDATE(C574,ROUND(I574*SETTINGS!$I$8,0)),WORKDAY(C574,ROUND(I574*SETTINGS!$I$8,0))))</f>
        <v/>
      </c>
      <c r="AQ574" s="9" t="str">
        <f aca="true">IF(C574="","",IF(AND(AP574&lt;&gt;"",TODAY()&gt;=AP574),"Refi Ready",IF(TODAY()-C574&gt;=SETTINGS!$I$11,"Prospecting","Performing")))</f>
        <v/>
      </c>
      <c r="AR574" s="22" t="str">
        <f aca="false">IF(OR(C574="",I574="",K574=""),"",IF(K574="Monthly",EDATE(C574,I574),WORKDAY(C574,I574)))</f>
        <v/>
      </c>
      <c r="AS574" s="11"/>
      <c r="AT574" s="23" t="str">
        <f aca="true">IF(C574="","",IF(AM574="Clawed Back","CLAWED",IF(TODAY()&lt;=C574+SETTINGS!$I$2,"⚠ AT RISK","SAFE")))</f>
        <v/>
      </c>
      <c r="AU574" s="11"/>
      <c r="AW574" s="24" t="n">
        <f aca="false">AW573+IF(AND(C574&lt;&gt;"",AO574&lt;&gt;"",OR('REP COMMISSION'!$B$3="",T574='REP COMMISSION'!$B$3,W574='REP COMMISSION'!$B$3,Z574='REP COMMISSION'!$B$3)),1,0)</f>
        <v>0</v>
      </c>
      <c r="AX574" s="24" t="n">
        <f aca="false">AX573+IF(AND(C574&lt;&gt;"",OR(F574="LOC - INITIAL",F574="CONSOLIDATION - UPFRONT COMM",F574="REVERSE - TOTAL FUNDING")),1,0)</f>
        <v>0</v>
      </c>
    </row>
    <row r="575" customFormat="false" ht="15" hidden="false" customHeight="false" outlineLevel="0" collapsed="false">
      <c r="A575" s="25" t="str">
        <f aca="false">IF(C575&lt;&gt;"","F27-"&amp;COUNT($C$4:C575),"")</f>
        <v/>
      </c>
      <c r="B575" s="26" t="str">
        <f aca="false">IF(OR(F575="LOC - INITIAL",F575="CONSOLIDATION - UPFRONT COMM",F575="REVERSE - TOTAL FUNDING"),A575,"")</f>
        <v/>
      </c>
      <c r="C575" s="27"/>
      <c r="D575" s="28"/>
      <c r="E575" s="28"/>
      <c r="F575" s="28"/>
      <c r="G575" s="29"/>
      <c r="H575" s="30"/>
      <c r="I575" s="28"/>
      <c r="J575" s="31" t="str">
        <f aca="false">IF(AND(G575&lt;&gt;"",H575&lt;&gt;""),G575*H575,"")</f>
        <v/>
      </c>
      <c r="K575" s="28"/>
      <c r="L575" s="32"/>
      <c r="M575" s="32"/>
      <c r="N575" s="31" t="n">
        <f aca="false">IF(OR(G575="",M575=""),0,IF(M575&gt;100,M575,G575*IF(M575&gt;1,M575/100,M575)))</f>
        <v>0</v>
      </c>
      <c r="O575" s="31" t="str">
        <f aca="false">IF(G575="","",G575*IF(L575="",0,IF(L575&gt;1,L575/100,L575))+N575)</f>
        <v/>
      </c>
      <c r="P575" s="28"/>
      <c r="Q575" s="33" t="str">
        <f aca="false">IF(P575="","",IFERROR(VLOOKUP(P575,PARTNERS!$A$2:$B$30,2,0),""))</f>
        <v/>
      </c>
      <c r="R575" s="17" t="str">
        <f aca="false">IF(O575="","",IF(OR(P575="",Q575=""),0,(O575-N575)*IF(Q575&gt;1,Q575/100,Q575)))</f>
        <v/>
      </c>
      <c r="S575" s="31" t="str">
        <f aca="false">IF(O575="","",O575-R575)</f>
        <v/>
      </c>
      <c r="T575" s="28"/>
      <c r="U575" s="34" t="str">
        <f aca="false">IF(T575="","",IFERROR(VLOOKUP(T575,REPS!$A$2:$D$40,2,0),""))</f>
        <v/>
      </c>
      <c r="V575" s="31" t="str">
        <f aca="false">IF(O575="","",IF(U575="",0,O575*IF(U575&gt;1,U575/100,U575)))</f>
        <v/>
      </c>
      <c r="W575" s="28"/>
      <c r="X575" s="34" t="str">
        <f aca="false">IF(W575="","",IFERROR(VLOOKUP(W575,REPS!$A$2:$D$40,3,0),""))</f>
        <v/>
      </c>
      <c r="Y575" s="31" t="str">
        <f aca="false">IF(O575="","",IF(X575="",0,O575*IF(X575&gt;1,X575/100,X575)))</f>
        <v/>
      </c>
      <c r="Z575" s="28"/>
      <c r="AA575" s="34" t="str">
        <f aca="false">IF(Z575="","",IFERROR(VLOOKUP(Z575,REPS!$A$2:$D$40,4,0),""))</f>
        <v/>
      </c>
      <c r="AB575" s="31" t="str">
        <f aca="false">IF(O575="","",IF(AA575="",0,O575*IF(AA575&gt;1,AA575/100,AA575)))</f>
        <v/>
      </c>
      <c r="AC575" s="31" t="str">
        <f aca="false">IF(O575="","",V575+Y575+AB575)</f>
        <v/>
      </c>
      <c r="AD575" s="19" t="str">
        <f aca="false">IF(O575="","",O575-R575-AC575)</f>
        <v/>
      </c>
      <c r="AE575" s="20"/>
      <c r="AF575" s="27"/>
      <c r="AG575" s="21" t="n">
        <f aca="false">IF(OR(AE575="",AE575=0),0,AE575*IF(U575="",0,IF(U575&gt;1,U575/100,U575)))</f>
        <v>0</v>
      </c>
      <c r="AH575" s="21" t="n">
        <f aca="false">IF(OR(AE575="",AE575=0),0,AE575*IF(X575="",0,IF(X575&gt;1,X575/100,X575)))</f>
        <v>0</v>
      </c>
      <c r="AI575" s="21" t="n">
        <f aca="false">IF(OR(AE575="",AE575=0),0,AE575*IF(AA575="",0,IF(AA575&gt;1,AA575/100,AA575)))</f>
        <v>0</v>
      </c>
      <c r="AJ575" s="21" t="n">
        <f aca="false">AG575+AH575+AI575</f>
        <v>0</v>
      </c>
      <c r="AK575" s="21" t="n">
        <f aca="false">IF(OR(AE575="",AE575=0),0,AE575-AJ575)</f>
        <v>0</v>
      </c>
      <c r="AL575" s="19" t="str">
        <f aca="false">IF(AD575="","",AD575-AK575)</f>
        <v/>
      </c>
      <c r="AM575" s="26" t="str">
        <f aca="false">IF(C575="","","Waiting for payment")</f>
        <v/>
      </c>
      <c r="AN575" s="27"/>
      <c r="AO575" s="27"/>
      <c r="AP575" s="35" t="str">
        <f aca="false">IF(OR(C575="",I575="",K575=""),"",IF(K575="Monthly",EDATE(C575,ROUND(I575*SETTINGS!$I$8,0)),WORKDAY(C575,ROUND(I575*SETTINGS!$I$8,0))))</f>
        <v/>
      </c>
      <c r="AQ575" s="26" t="str">
        <f aca="true">IF(C575="","",IF(AND(AP575&lt;&gt;"",TODAY()&gt;=AP575),"Refi Ready",IF(TODAY()-C575&gt;=SETTINGS!$I$11,"Prospecting","Performing")))</f>
        <v/>
      </c>
      <c r="AR575" s="35" t="str">
        <f aca="false">IF(OR(C575="",I575="",K575=""),"",IF(K575="Monthly",EDATE(C575,I575),WORKDAY(C575,I575)))</f>
        <v/>
      </c>
      <c r="AS575" s="28"/>
      <c r="AT575" s="36" t="str">
        <f aca="true">IF(C575="","",IF(AM575="Clawed Back","CLAWED",IF(TODAY()&lt;=C575+SETTINGS!$I$2,"⚠ AT RISK","SAFE")))</f>
        <v/>
      </c>
      <c r="AU575" s="28"/>
      <c r="AW575" s="24" t="n">
        <f aca="false">AW574+IF(AND(C575&lt;&gt;"",AO575&lt;&gt;"",OR('REP COMMISSION'!$B$3="",T575='REP COMMISSION'!$B$3,W575='REP COMMISSION'!$B$3,Z575='REP COMMISSION'!$B$3)),1,0)</f>
        <v>0</v>
      </c>
      <c r="AX575" s="24" t="n">
        <f aca="false">AX574+IF(AND(C575&lt;&gt;"",OR(F575="LOC - INITIAL",F575="CONSOLIDATION - UPFRONT COMM",F575="REVERSE - TOTAL FUNDING")),1,0)</f>
        <v>0</v>
      </c>
    </row>
    <row r="576" customFormat="false" ht="15" hidden="false" customHeight="false" outlineLevel="0" collapsed="false">
      <c r="A576" s="8" t="str">
        <f aca="false">IF(C576&lt;&gt;"","F27-"&amp;COUNT($C$4:C576),"")</f>
        <v/>
      </c>
      <c r="B576" s="9" t="str">
        <f aca="false">IF(OR(F576="LOC - INITIAL",F576="CONSOLIDATION - UPFRONT COMM",F576="REVERSE - TOTAL FUNDING"),A576,"")</f>
        <v/>
      </c>
      <c r="C576" s="10"/>
      <c r="D576" s="11"/>
      <c r="E576" s="11"/>
      <c r="F576" s="11"/>
      <c r="G576" s="12"/>
      <c r="H576" s="13"/>
      <c r="I576" s="11"/>
      <c r="J576" s="14" t="str">
        <f aca="false">IF(AND(G576&lt;&gt;"",H576&lt;&gt;""),G576*H576,"")</f>
        <v/>
      </c>
      <c r="K576" s="11"/>
      <c r="L576" s="15"/>
      <c r="M576" s="15"/>
      <c r="N576" s="14" t="n">
        <f aca="false">IF(OR(G576="",M576=""),0,IF(M576&gt;100,M576,G576*IF(M576&gt;1,M576/100,M576)))</f>
        <v>0</v>
      </c>
      <c r="O576" s="14" t="str">
        <f aca="false">IF(G576="","",G576*IF(L576="",0,IF(L576&gt;1,L576/100,L576))+N576)</f>
        <v/>
      </c>
      <c r="P576" s="11"/>
      <c r="Q576" s="16" t="str">
        <f aca="false">IF(P576="","",IFERROR(VLOOKUP(P576,PARTNERS!$A$2:$B$30,2,0),""))</f>
        <v/>
      </c>
      <c r="R576" s="17" t="str">
        <f aca="false">IF(O576="","",IF(OR(P576="",Q576=""),0,(O576-N576)*IF(Q576&gt;1,Q576/100,Q576)))</f>
        <v/>
      </c>
      <c r="S576" s="14" t="str">
        <f aca="false">IF(O576="","",O576-R576)</f>
        <v/>
      </c>
      <c r="T576" s="11"/>
      <c r="U576" s="18" t="str">
        <f aca="false">IF(T576="","",IFERROR(VLOOKUP(T576,REPS!$A$2:$D$40,2,0),""))</f>
        <v/>
      </c>
      <c r="V576" s="14" t="str">
        <f aca="false">IF(O576="","",IF(U576="",0,O576*IF(U576&gt;1,U576/100,U576)))</f>
        <v/>
      </c>
      <c r="W576" s="11"/>
      <c r="X576" s="18" t="str">
        <f aca="false">IF(W576="","",IFERROR(VLOOKUP(W576,REPS!$A$2:$D$40,3,0),""))</f>
        <v/>
      </c>
      <c r="Y576" s="14" t="str">
        <f aca="false">IF(O576="","",IF(X576="",0,O576*IF(X576&gt;1,X576/100,X576)))</f>
        <v/>
      </c>
      <c r="Z576" s="11"/>
      <c r="AA576" s="18" t="str">
        <f aca="false">IF(Z576="","",IFERROR(VLOOKUP(Z576,REPS!$A$2:$D$40,4,0),""))</f>
        <v/>
      </c>
      <c r="AB576" s="14" t="str">
        <f aca="false">IF(O576="","",IF(AA576="",0,O576*IF(AA576&gt;1,AA576/100,AA576)))</f>
        <v/>
      </c>
      <c r="AC576" s="14" t="str">
        <f aca="false">IF(O576="","",V576+Y576+AB576)</f>
        <v/>
      </c>
      <c r="AD576" s="19" t="str">
        <f aca="false">IF(O576="","",O576-R576-AC576)</f>
        <v/>
      </c>
      <c r="AE576" s="20"/>
      <c r="AF576" s="10"/>
      <c r="AG576" s="21" t="n">
        <f aca="false">IF(OR(AE576="",AE576=0),0,AE576*IF(U576="",0,IF(U576&gt;1,U576/100,U576)))</f>
        <v>0</v>
      </c>
      <c r="AH576" s="21" t="n">
        <f aca="false">IF(OR(AE576="",AE576=0),0,AE576*IF(X576="",0,IF(X576&gt;1,X576/100,X576)))</f>
        <v>0</v>
      </c>
      <c r="AI576" s="21" t="n">
        <f aca="false">IF(OR(AE576="",AE576=0),0,AE576*IF(AA576="",0,IF(AA576&gt;1,AA576/100,AA576)))</f>
        <v>0</v>
      </c>
      <c r="AJ576" s="21" t="n">
        <f aca="false">AG576+AH576+AI576</f>
        <v>0</v>
      </c>
      <c r="AK576" s="21" t="n">
        <f aca="false">IF(OR(AE576="",AE576=0),0,AE576-AJ576)</f>
        <v>0</v>
      </c>
      <c r="AL576" s="19" t="str">
        <f aca="false">IF(AD576="","",AD576-AK576)</f>
        <v/>
      </c>
      <c r="AM576" s="9" t="str">
        <f aca="false">IF(C576="","","Waiting for payment")</f>
        <v/>
      </c>
      <c r="AN576" s="10"/>
      <c r="AO576" s="10"/>
      <c r="AP576" s="22" t="str">
        <f aca="false">IF(OR(C576="",I576="",K576=""),"",IF(K576="Monthly",EDATE(C576,ROUND(I576*SETTINGS!$I$8,0)),WORKDAY(C576,ROUND(I576*SETTINGS!$I$8,0))))</f>
        <v/>
      </c>
      <c r="AQ576" s="9" t="str">
        <f aca="true">IF(C576="","",IF(AND(AP576&lt;&gt;"",TODAY()&gt;=AP576),"Refi Ready",IF(TODAY()-C576&gt;=SETTINGS!$I$11,"Prospecting","Performing")))</f>
        <v/>
      </c>
      <c r="AR576" s="22" t="str">
        <f aca="false">IF(OR(C576="",I576="",K576=""),"",IF(K576="Monthly",EDATE(C576,I576),WORKDAY(C576,I576)))</f>
        <v/>
      </c>
      <c r="AS576" s="11"/>
      <c r="AT576" s="23" t="str">
        <f aca="true">IF(C576="","",IF(AM576="Clawed Back","CLAWED",IF(TODAY()&lt;=C576+SETTINGS!$I$2,"⚠ AT RISK","SAFE")))</f>
        <v/>
      </c>
      <c r="AU576" s="11"/>
      <c r="AW576" s="24" t="n">
        <f aca="false">AW575+IF(AND(C576&lt;&gt;"",AO576&lt;&gt;"",OR('REP COMMISSION'!$B$3="",T576='REP COMMISSION'!$B$3,W576='REP COMMISSION'!$B$3,Z576='REP COMMISSION'!$B$3)),1,0)</f>
        <v>0</v>
      </c>
      <c r="AX576" s="24" t="n">
        <f aca="false">AX575+IF(AND(C576&lt;&gt;"",OR(F576="LOC - INITIAL",F576="CONSOLIDATION - UPFRONT COMM",F576="REVERSE - TOTAL FUNDING")),1,0)</f>
        <v>0</v>
      </c>
    </row>
    <row r="577" customFormat="false" ht="15" hidden="false" customHeight="false" outlineLevel="0" collapsed="false">
      <c r="A577" s="25" t="str">
        <f aca="false">IF(C577&lt;&gt;"","F27-"&amp;COUNT($C$4:C577),"")</f>
        <v/>
      </c>
      <c r="B577" s="26" t="str">
        <f aca="false">IF(OR(F577="LOC - INITIAL",F577="CONSOLIDATION - UPFRONT COMM",F577="REVERSE - TOTAL FUNDING"),A577,"")</f>
        <v/>
      </c>
      <c r="C577" s="27"/>
      <c r="D577" s="28"/>
      <c r="E577" s="28"/>
      <c r="F577" s="28"/>
      <c r="G577" s="29"/>
      <c r="H577" s="30"/>
      <c r="I577" s="28"/>
      <c r="J577" s="31" t="str">
        <f aca="false">IF(AND(G577&lt;&gt;"",H577&lt;&gt;""),G577*H577,"")</f>
        <v/>
      </c>
      <c r="K577" s="28"/>
      <c r="L577" s="32"/>
      <c r="M577" s="32"/>
      <c r="N577" s="31" t="n">
        <f aca="false">IF(OR(G577="",M577=""),0,IF(M577&gt;100,M577,G577*IF(M577&gt;1,M577/100,M577)))</f>
        <v>0</v>
      </c>
      <c r="O577" s="31" t="str">
        <f aca="false">IF(G577="","",G577*IF(L577="",0,IF(L577&gt;1,L577/100,L577))+N577)</f>
        <v/>
      </c>
      <c r="P577" s="28"/>
      <c r="Q577" s="33" t="str">
        <f aca="false">IF(P577="","",IFERROR(VLOOKUP(P577,PARTNERS!$A$2:$B$30,2,0),""))</f>
        <v/>
      </c>
      <c r="R577" s="17" t="str">
        <f aca="false">IF(O577="","",IF(OR(P577="",Q577=""),0,(O577-N577)*IF(Q577&gt;1,Q577/100,Q577)))</f>
        <v/>
      </c>
      <c r="S577" s="31" t="str">
        <f aca="false">IF(O577="","",O577-R577)</f>
        <v/>
      </c>
      <c r="T577" s="28"/>
      <c r="U577" s="34" t="str">
        <f aca="false">IF(T577="","",IFERROR(VLOOKUP(T577,REPS!$A$2:$D$40,2,0),""))</f>
        <v/>
      </c>
      <c r="V577" s="31" t="str">
        <f aca="false">IF(O577="","",IF(U577="",0,O577*IF(U577&gt;1,U577/100,U577)))</f>
        <v/>
      </c>
      <c r="W577" s="28"/>
      <c r="X577" s="34" t="str">
        <f aca="false">IF(W577="","",IFERROR(VLOOKUP(W577,REPS!$A$2:$D$40,3,0),""))</f>
        <v/>
      </c>
      <c r="Y577" s="31" t="str">
        <f aca="false">IF(O577="","",IF(X577="",0,O577*IF(X577&gt;1,X577/100,X577)))</f>
        <v/>
      </c>
      <c r="Z577" s="28"/>
      <c r="AA577" s="34" t="str">
        <f aca="false">IF(Z577="","",IFERROR(VLOOKUP(Z577,REPS!$A$2:$D$40,4,0),""))</f>
        <v/>
      </c>
      <c r="AB577" s="31" t="str">
        <f aca="false">IF(O577="","",IF(AA577="",0,O577*IF(AA577&gt;1,AA577/100,AA577)))</f>
        <v/>
      </c>
      <c r="AC577" s="31" t="str">
        <f aca="false">IF(O577="","",V577+Y577+AB577)</f>
        <v/>
      </c>
      <c r="AD577" s="19" t="str">
        <f aca="false">IF(O577="","",O577-R577-AC577)</f>
        <v/>
      </c>
      <c r="AE577" s="20"/>
      <c r="AF577" s="27"/>
      <c r="AG577" s="21" t="n">
        <f aca="false">IF(OR(AE577="",AE577=0),0,AE577*IF(U577="",0,IF(U577&gt;1,U577/100,U577)))</f>
        <v>0</v>
      </c>
      <c r="AH577" s="21" t="n">
        <f aca="false">IF(OR(AE577="",AE577=0),0,AE577*IF(X577="",0,IF(X577&gt;1,X577/100,X577)))</f>
        <v>0</v>
      </c>
      <c r="AI577" s="21" t="n">
        <f aca="false">IF(OR(AE577="",AE577=0),0,AE577*IF(AA577="",0,IF(AA577&gt;1,AA577/100,AA577)))</f>
        <v>0</v>
      </c>
      <c r="AJ577" s="21" t="n">
        <f aca="false">AG577+AH577+AI577</f>
        <v>0</v>
      </c>
      <c r="AK577" s="21" t="n">
        <f aca="false">IF(OR(AE577="",AE577=0),0,AE577-AJ577)</f>
        <v>0</v>
      </c>
      <c r="AL577" s="19" t="str">
        <f aca="false">IF(AD577="","",AD577-AK577)</f>
        <v/>
      </c>
      <c r="AM577" s="26" t="str">
        <f aca="false">IF(C577="","","Waiting for payment")</f>
        <v/>
      </c>
      <c r="AN577" s="27"/>
      <c r="AO577" s="27"/>
      <c r="AP577" s="35" t="str">
        <f aca="false">IF(OR(C577="",I577="",K577=""),"",IF(K577="Monthly",EDATE(C577,ROUND(I577*SETTINGS!$I$8,0)),WORKDAY(C577,ROUND(I577*SETTINGS!$I$8,0))))</f>
        <v/>
      </c>
      <c r="AQ577" s="26" t="str">
        <f aca="true">IF(C577="","",IF(AND(AP577&lt;&gt;"",TODAY()&gt;=AP577),"Refi Ready",IF(TODAY()-C577&gt;=SETTINGS!$I$11,"Prospecting","Performing")))</f>
        <v/>
      </c>
      <c r="AR577" s="35" t="str">
        <f aca="false">IF(OR(C577="",I577="",K577=""),"",IF(K577="Monthly",EDATE(C577,I577),WORKDAY(C577,I577)))</f>
        <v/>
      </c>
      <c r="AS577" s="28"/>
      <c r="AT577" s="36" t="str">
        <f aca="true">IF(C577="","",IF(AM577="Clawed Back","CLAWED",IF(TODAY()&lt;=C577+SETTINGS!$I$2,"⚠ AT RISK","SAFE")))</f>
        <v/>
      </c>
      <c r="AU577" s="28"/>
      <c r="AW577" s="24" t="n">
        <f aca="false">AW576+IF(AND(C577&lt;&gt;"",AO577&lt;&gt;"",OR('REP COMMISSION'!$B$3="",T577='REP COMMISSION'!$B$3,W577='REP COMMISSION'!$B$3,Z577='REP COMMISSION'!$B$3)),1,0)</f>
        <v>0</v>
      </c>
      <c r="AX577" s="24" t="n">
        <f aca="false">AX576+IF(AND(C577&lt;&gt;"",OR(F577="LOC - INITIAL",F577="CONSOLIDATION - UPFRONT COMM",F577="REVERSE - TOTAL FUNDING")),1,0)</f>
        <v>0</v>
      </c>
    </row>
    <row r="578" customFormat="false" ht="15" hidden="false" customHeight="false" outlineLevel="0" collapsed="false">
      <c r="A578" s="8" t="str">
        <f aca="false">IF(C578&lt;&gt;"","F27-"&amp;COUNT($C$4:C578),"")</f>
        <v/>
      </c>
      <c r="B578" s="9" t="str">
        <f aca="false">IF(OR(F578="LOC - INITIAL",F578="CONSOLIDATION - UPFRONT COMM",F578="REVERSE - TOTAL FUNDING"),A578,"")</f>
        <v/>
      </c>
      <c r="C578" s="10"/>
      <c r="D578" s="11"/>
      <c r="E578" s="11"/>
      <c r="F578" s="11"/>
      <c r="G578" s="12"/>
      <c r="H578" s="13"/>
      <c r="I578" s="11"/>
      <c r="J578" s="14" t="str">
        <f aca="false">IF(AND(G578&lt;&gt;"",H578&lt;&gt;""),G578*H578,"")</f>
        <v/>
      </c>
      <c r="K578" s="11"/>
      <c r="L578" s="15"/>
      <c r="M578" s="15"/>
      <c r="N578" s="14" t="n">
        <f aca="false">IF(OR(G578="",M578=""),0,IF(M578&gt;100,M578,G578*IF(M578&gt;1,M578/100,M578)))</f>
        <v>0</v>
      </c>
      <c r="O578" s="14" t="str">
        <f aca="false">IF(G578="","",G578*IF(L578="",0,IF(L578&gt;1,L578/100,L578))+N578)</f>
        <v/>
      </c>
      <c r="P578" s="11"/>
      <c r="Q578" s="16" t="str">
        <f aca="false">IF(P578="","",IFERROR(VLOOKUP(P578,PARTNERS!$A$2:$B$30,2,0),""))</f>
        <v/>
      </c>
      <c r="R578" s="17" t="str">
        <f aca="false">IF(O578="","",IF(OR(P578="",Q578=""),0,(O578-N578)*IF(Q578&gt;1,Q578/100,Q578)))</f>
        <v/>
      </c>
      <c r="S578" s="14" t="str">
        <f aca="false">IF(O578="","",O578-R578)</f>
        <v/>
      </c>
      <c r="T578" s="11"/>
      <c r="U578" s="18" t="str">
        <f aca="false">IF(T578="","",IFERROR(VLOOKUP(T578,REPS!$A$2:$D$40,2,0),""))</f>
        <v/>
      </c>
      <c r="V578" s="14" t="str">
        <f aca="false">IF(O578="","",IF(U578="",0,O578*IF(U578&gt;1,U578/100,U578)))</f>
        <v/>
      </c>
      <c r="W578" s="11"/>
      <c r="X578" s="18" t="str">
        <f aca="false">IF(W578="","",IFERROR(VLOOKUP(W578,REPS!$A$2:$D$40,3,0),""))</f>
        <v/>
      </c>
      <c r="Y578" s="14" t="str">
        <f aca="false">IF(O578="","",IF(X578="",0,O578*IF(X578&gt;1,X578/100,X578)))</f>
        <v/>
      </c>
      <c r="Z578" s="11"/>
      <c r="AA578" s="18" t="str">
        <f aca="false">IF(Z578="","",IFERROR(VLOOKUP(Z578,REPS!$A$2:$D$40,4,0),""))</f>
        <v/>
      </c>
      <c r="AB578" s="14" t="str">
        <f aca="false">IF(O578="","",IF(AA578="",0,O578*IF(AA578&gt;1,AA578/100,AA578)))</f>
        <v/>
      </c>
      <c r="AC578" s="14" t="str">
        <f aca="false">IF(O578="","",V578+Y578+AB578)</f>
        <v/>
      </c>
      <c r="AD578" s="19" t="str">
        <f aca="false">IF(O578="","",O578-R578-AC578)</f>
        <v/>
      </c>
      <c r="AE578" s="20"/>
      <c r="AF578" s="10"/>
      <c r="AG578" s="21" t="n">
        <f aca="false">IF(OR(AE578="",AE578=0),0,AE578*IF(U578="",0,IF(U578&gt;1,U578/100,U578)))</f>
        <v>0</v>
      </c>
      <c r="AH578" s="21" t="n">
        <f aca="false">IF(OR(AE578="",AE578=0),0,AE578*IF(X578="",0,IF(X578&gt;1,X578/100,X578)))</f>
        <v>0</v>
      </c>
      <c r="AI578" s="21" t="n">
        <f aca="false">IF(OR(AE578="",AE578=0),0,AE578*IF(AA578="",0,IF(AA578&gt;1,AA578/100,AA578)))</f>
        <v>0</v>
      </c>
      <c r="AJ578" s="21" t="n">
        <f aca="false">AG578+AH578+AI578</f>
        <v>0</v>
      </c>
      <c r="AK578" s="21" t="n">
        <f aca="false">IF(OR(AE578="",AE578=0),0,AE578-AJ578)</f>
        <v>0</v>
      </c>
      <c r="AL578" s="19" t="str">
        <f aca="false">IF(AD578="","",AD578-AK578)</f>
        <v/>
      </c>
      <c r="AM578" s="9" t="str">
        <f aca="false">IF(C578="","","Waiting for payment")</f>
        <v/>
      </c>
      <c r="AN578" s="10"/>
      <c r="AO578" s="10"/>
      <c r="AP578" s="22" t="str">
        <f aca="false">IF(OR(C578="",I578="",K578=""),"",IF(K578="Monthly",EDATE(C578,ROUND(I578*SETTINGS!$I$8,0)),WORKDAY(C578,ROUND(I578*SETTINGS!$I$8,0))))</f>
        <v/>
      </c>
      <c r="AQ578" s="9" t="str">
        <f aca="true">IF(C578="","",IF(AND(AP578&lt;&gt;"",TODAY()&gt;=AP578),"Refi Ready",IF(TODAY()-C578&gt;=SETTINGS!$I$11,"Prospecting","Performing")))</f>
        <v/>
      </c>
      <c r="AR578" s="22" t="str">
        <f aca="false">IF(OR(C578="",I578="",K578=""),"",IF(K578="Monthly",EDATE(C578,I578),WORKDAY(C578,I578)))</f>
        <v/>
      </c>
      <c r="AS578" s="11"/>
      <c r="AT578" s="23" t="str">
        <f aca="true">IF(C578="","",IF(AM578="Clawed Back","CLAWED",IF(TODAY()&lt;=C578+SETTINGS!$I$2,"⚠ AT RISK","SAFE")))</f>
        <v/>
      </c>
      <c r="AU578" s="11"/>
      <c r="AW578" s="24" t="n">
        <f aca="false">AW577+IF(AND(C578&lt;&gt;"",AO578&lt;&gt;"",OR('REP COMMISSION'!$B$3="",T578='REP COMMISSION'!$B$3,W578='REP COMMISSION'!$B$3,Z578='REP COMMISSION'!$B$3)),1,0)</f>
        <v>0</v>
      </c>
      <c r="AX578" s="24" t="n">
        <f aca="false">AX577+IF(AND(C578&lt;&gt;"",OR(F578="LOC - INITIAL",F578="CONSOLIDATION - UPFRONT COMM",F578="REVERSE - TOTAL FUNDING")),1,0)</f>
        <v>0</v>
      </c>
    </row>
    <row r="579" customFormat="false" ht="15" hidden="false" customHeight="false" outlineLevel="0" collapsed="false">
      <c r="A579" s="25" t="str">
        <f aca="false">IF(C579&lt;&gt;"","F27-"&amp;COUNT($C$4:C579),"")</f>
        <v/>
      </c>
      <c r="B579" s="26" t="str">
        <f aca="false">IF(OR(F579="LOC - INITIAL",F579="CONSOLIDATION - UPFRONT COMM",F579="REVERSE - TOTAL FUNDING"),A579,"")</f>
        <v/>
      </c>
      <c r="C579" s="27"/>
      <c r="D579" s="28"/>
      <c r="E579" s="28"/>
      <c r="F579" s="28"/>
      <c r="G579" s="29"/>
      <c r="H579" s="30"/>
      <c r="I579" s="28"/>
      <c r="J579" s="31" t="str">
        <f aca="false">IF(AND(G579&lt;&gt;"",H579&lt;&gt;""),G579*H579,"")</f>
        <v/>
      </c>
      <c r="K579" s="28"/>
      <c r="L579" s="32"/>
      <c r="M579" s="32"/>
      <c r="N579" s="31" t="n">
        <f aca="false">IF(OR(G579="",M579=""),0,IF(M579&gt;100,M579,G579*IF(M579&gt;1,M579/100,M579)))</f>
        <v>0</v>
      </c>
      <c r="O579" s="31" t="str">
        <f aca="false">IF(G579="","",G579*IF(L579="",0,IF(L579&gt;1,L579/100,L579))+N579)</f>
        <v/>
      </c>
      <c r="P579" s="28"/>
      <c r="Q579" s="33" t="str">
        <f aca="false">IF(P579="","",IFERROR(VLOOKUP(P579,PARTNERS!$A$2:$B$30,2,0),""))</f>
        <v/>
      </c>
      <c r="R579" s="17" t="str">
        <f aca="false">IF(O579="","",IF(OR(P579="",Q579=""),0,(O579-N579)*IF(Q579&gt;1,Q579/100,Q579)))</f>
        <v/>
      </c>
      <c r="S579" s="31" t="str">
        <f aca="false">IF(O579="","",O579-R579)</f>
        <v/>
      </c>
      <c r="T579" s="28"/>
      <c r="U579" s="34" t="str">
        <f aca="false">IF(T579="","",IFERROR(VLOOKUP(T579,REPS!$A$2:$D$40,2,0),""))</f>
        <v/>
      </c>
      <c r="V579" s="31" t="str">
        <f aca="false">IF(O579="","",IF(U579="",0,O579*IF(U579&gt;1,U579/100,U579)))</f>
        <v/>
      </c>
      <c r="W579" s="28"/>
      <c r="X579" s="34" t="str">
        <f aca="false">IF(W579="","",IFERROR(VLOOKUP(W579,REPS!$A$2:$D$40,3,0),""))</f>
        <v/>
      </c>
      <c r="Y579" s="31" t="str">
        <f aca="false">IF(O579="","",IF(X579="",0,O579*IF(X579&gt;1,X579/100,X579)))</f>
        <v/>
      </c>
      <c r="Z579" s="28"/>
      <c r="AA579" s="34" t="str">
        <f aca="false">IF(Z579="","",IFERROR(VLOOKUP(Z579,REPS!$A$2:$D$40,4,0),""))</f>
        <v/>
      </c>
      <c r="AB579" s="31" t="str">
        <f aca="false">IF(O579="","",IF(AA579="",0,O579*IF(AA579&gt;1,AA579/100,AA579)))</f>
        <v/>
      </c>
      <c r="AC579" s="31" t="str">
        <f aca="false">IF(O579="","",V579+Y579+AB579)</f>
        <v/>
      </c>
      <c r="AD579" s="19" t="str">
        <f aca="false">IF(O579="","",O579-R579-AC579)</f>
        <v/>
      </c>
      <c r="AE579" s="20"/>
      <c r="AF579" s="27"/>
      <c r="AG579" s="21" t="n">
        <f aca="false">IF(OR(AE579="",AE579=0),0,AE579*IF(U579="",0,IF(U579&gt;1,U579/100,U579)))</f>
        <v>0</v>
      </c>
      <c r="AH579" s="21" t="n">
        <f aca="false">IF(OR(AE579="",AE579=0),0,AE579*IF(X579="",0,IF(X579&gt;1,X579/100,X579)))</f>
        <v>0</v>
      </c>
      <c r="AI579" s="21" t="n">
        <f aca="false">IF(OR(AE579="",AE579=0),0,AE579*IF(AA579="",0,IF(AA579&gt;1,AA579/100,AA579)))</f>
        <v>0</v>
      </c>
      <c r="AJ579" s="21" t="n">
        <f aca="false">AG579+AH579+AI579</f>
        <v>0</v>
      </c>
      <c r="AK579" s="21" t="n">
        <f aca="false">IF(OR(AE579="",AE579=0),0,AE579-AJ579)</f>
        <v>0</v>
      </c>
      <c r="AL579" s="19" t="str">
        <f aca="false">IF(AD579="","",AD579-AK579)</f>
        <v/>
      </c>
      <c r="AM579" s="26" t="str">
        <f aca="false">IF(C579="","","Waiting for payment")</f>
        <v/>
      </c>
      <c r="AN579" s="27"/>
      <c r="AO579" s="27"/>
      <c r="AP579" s="35" t="str">
        <f aca="false">IF(OR(C579="",I579="",K579=""),"",IF(K579="Monthly",EDATE(C579,ROUND(I579*SETTINGS!$I$8,0)),WORKDAY(C579,ROUND(I579*SETTINGS!$I$8,0))))</f>
        <v/>
      </c>
      <c r="AQ579" s="26" t="str">
        <f aca="true">IF(C579="","",IF(AND(AP579&lt;&gt;"",TODAY()&gt;=AP579),"Refi Ready",IF(TODAY()-C579&gt;=SETTINGS!$I$11,"Prospecting","Performing")))</f>
        <v/>
      </c>
      <c r="AR579" s="35" t="str">
        <f aca="false">IF(OR(C579="",I579="",K579=""),"",IF(K579="Monthly",EDATE(C579,I579),WORKDAY(C579,I579)))</f>
        <v/>
      </c>
      <c r="AS579" s="28"/>
      <c r="AT579" s="36" t="str">
        <f aca="true">IF(C579="","",IF(AM579="Clawed Back","CLAWED",IF(TODAY()&lt;=C579+SETTINGS!$I$2,"⚠ AT RISK","SAFE")))</f>
        <v/>
      </c>
      <c r="AU579" s="28"/>
      <c r="AW579" s="24" t="n">
        <f aca="false">AW578+IF(AND(C579&lt;&gt;"",AO579&lt;&gt;"",OR('REP COMMISSION'!$B$3="",T579='REP COMMISSION'!$B$3,W579='REP COMMISSION'!$B$3,Z579='REP COMMISSION'!$B$3)),1,0)</f>
        <v>0</v>
      </c>
      <c r="AX579" s="24" t="n">
        <f aca="false">AX578+IF(AND(C579&lt;&gt;"",OR(F579="LOC - INITIAL",F579="CONSOLIDATION - UPFRONT COMM",F579="REVERSE - TOTAL FUNDING")),1,0)</f>
        <v>0</v>
      </c>
    </row>
    <row r="580" customFormat="false" ht="15" hidden="false" customHeight="false" outlineLevel="0" collapsed="false">
      <c r="A580" s="8" t="str">
        <f aca="false">IF(C580&lt;&gt;"","F27-"&amp;COUNT($C$4:C580),"")</f>
        <v/>
      </c>
      <c r="B580" s="9" t="str">
        <f aca="false">IF(OR(F580="LOC - INITIAL",F580="CONSOLIDATION - UPFRONT COMM",F580="REVERSE - TOTAL FUNDING"),A580,"")</f>
        <v/>
      </c>
      <c r="C580" s="10"/>
      <c r="D580" s="11"/>
      <c r="E580" s="11"/>
      <c r="F580" s="11"/>
      <c r="G580" s="12"/>
      <c r="H580" s="13"/>
      <c r="I580" s="11"/>
      <c r="J580" s="14" t="str">
        <f aca="false">IF(AND(G580&lt;&gt;"",H580&lt;&gt;""),G580*H580,"")</f>
        <v/>
      </c>
      <c r="K580" s="11"/>
      <c r="L580" s="15"/>
      <c r="M580" s="15"/>
      <c r="N580" s="14" t="n">
        <f aca="false">IF(OR(G580="",M580=""),0,IF(M580&gt;100,M580,G580*IF(M580&gt;1,M580/100,M580)))</f>
        <v>0</v>
      </c>
      <c r="O580" s="14" t="str">
        <f aca="false">IF(G580="","",G580*IF(L580="",0,IF(L580&gt;1,L580/100,L580))+N580)</f>
        <v/>
      </c>
      <c r="P580" s="11"/>
      <c r="Q580" s="16" t="str">
        <f aca="false">IF(P580="","",IFERROR(VLOOKUP(P580,PARTNERS!$A$2:$B$30,2,0),""))</f>
        <v/>
      </c>
      <c r="R580" s="17" t="str">
        <f aca="false">IF(O580="","",IF(OR(P580="",Q580=""),0,(O580-N580)*IF(Q580&gt;1,Q580/100,Q580)))</f>
        <v/>
      </c>
      <c r="S580" s="14" t="str">
        <f aca="false">IF(O580="","",O580-R580)</f>
        <v/>
      </c>
      <c r="T580" s="11"/>
      <c r="U580" s="18" t="str">
        <f aca="false">IF(T580="","",IFERROR(VLOOKUP(T580,REPS!$A$2:$D$40,2,0),""))</f>
        <v/>
      </c>
      <c r="V580" s="14" t="str">
        <f aca="false">IF(O580="","",IF(U580="",0,O580*IF(U580&gt;1,U580/100,U580)))</f>
        <v/>
      </c>
      <c r="W580" s="11"/>
      <c r="X580" s="18" t="str">
        <f aca="false">IF(W580="","",IFERROR(VLOOKUP(W580,REPS!$A$2:$D$40,3,0),""))</f>
        <v/>
      </c>
      <c r="Y580" s="14" t="str">
        <f aca="false">IF(O580="","",IF(X580="",0,O580*IF(X580&gt;1,X580/100,X580)))</f>
        <v/>
      </c>
      <c r="Z580" s="11"/>
      <c r="AA580" s="18" t="str">
        <f aca="false">IF(Z580="","",IFERROR(VLOOKUP(Z580,REPS!$A$2:$D$40,4,0),""))</f>
        <v/>
      </c>
      <c r="AB580" s="14" t="str">
        <f aca="false">IF(O580="","",IF(AA580="",0,O580*IF(AA580&gt;1,AA580/100,AA580)))</f>
        <v/>
      </c>
      <c r="AC580" s="14" t="str">
        <f aca="false">IF(O580="","",V580+Y580+AB580)</f>
        <v/>
      </c>
      <c r="AD580" s="19" t="str">
        <f aca="false">IF(O580="","",O580-R580-AC580)</f>
        <v/>
      </c>
      <c r="AE580" s="20"/>
      <c r="AF580" s="10"/>
      <c r="AG580" s="21" t="n">
        <f aca="false">IF(OR(AE580="",AE580=0),0,AE580*IF(U580="",0,IF(U580&gt;1,U580/100,U580)))</f>
        <v>0</v>
      </c>
      <c r="AH580" s="21" t="n">
        <f aca="false">IF(OR(AE580="",AE580=0),0,AE580*IF(X580="",0,IF(X580&gt;1,X580/100,X580)))</f>
        <v>0</v>
      </c>
      <c r="AI580" s="21" t="n">
        <f aca="false">IF(OR(AE580="",AE580=0),0,AE580*IF(AA580="",0,IF(AA580&gt;1,AA580/100,AA580)))</f>
        <v>0</v>
      </c>
      <c r="AJ580" s="21" t="n">
        <f aca="false">AG580+AH580+AI580</f>
        <v>0</v>
      </c>
      <c r="AK580" s="21" t="n">
        <f aca="false">IF(OR(AE580="",AE580=0),0,AE580-AJ580)</f>
        <v>0</v>
      </c>
      <c r="AL580" s="19" t="str">
        <f aca="false">IF(AD580="","",AD580-AK580)</f>
        <v/>
      </c>
      <c r="AM580" s="9" t="str">
        <f aca="false">IF(C580="","","Waiting for payment")</f>
        <v/>
      </c>
      <c r="AN580" s="10"/>
      <c r="AO580" s="10"/>
      <c r="AP580" s="22" t="str">
        <f aca="false">IF(OR(C580="",I580="",K580=""),"",IF(K580="Monthly",EDATE(C580,ROUND(I580*SETTINGS!$I$8,0)),WORKDAY(C580,ROUND(I580*SETTINGS!$I$8,0))))</f>
        <v/>
      </c>
      <c r="AQ580" s="9" t="str">
        <f aca="true">IF(C580="","",IF(AND(AP580&lt;&gt;"",TODAY()&gt;=AP580),"Refi Ready",IF(TODAY()-C580&gt;=SETTINGS!$I$11,"Prospecting","Performing")))</f>
        <v/>
      </c>
      <c r="AR580" s="22" t="str">
        <f aca="false">IF(OR(C580="",I580="",K580=""),"",IF(K580="Monthly",EDATE(C580,I580),WORKDAY(C580,I580)))</f>
        <v/>
      </c>
      <c r="AS580" s="11"/>
      <c r="AT580" s="23" t="str">
        <f aca="true">IF(C580="","",IF(AM580="Clawed Back","CLAWED",IF(TODAY()&lt;=C580+SETTINGS!$I$2,"⚠ AT RISK","SAFE")))</f>
        <v/>
      </c>
      <c r="AU580" s="11"/>
      <c r="AW580" s="24" t="n">
        <f aca="false">AW579+IF(AND(C580&lt;&gt;"",AO580&lt;&gt;"",OR('REP COMMISSION'!$B$3="",T580='REP COMMISSION'!$B$3,W580='REP COMMISSION'!$B$3,Z580='REP COMMISSION'!$B$3)),1,0)</f>
        <v>0</v>
      </c>
      <c r="AX580" s="24" t="n">
        <f aca="false">AX579+IF(AND(C580&lt;&gt;"",OR(F580="LOC - INITIAL",F580="CONSOLIDATION - UPFRONT COMM",F580="REVERSE - TOTAL FUNDING")),1,0)</f>
        <v>0</v>
      </c>
    </row>
    <row r="581" customFormat="false" ht="15" hidden="false" customHeight="false" outlineLevel="0" collapsed="false">
      <c r="A581" s="25" t="str">
        <f aca="false">IF(C581&lt;&gt;"","F27-"&amp;COUNT($C$4:C581),"")</f>
        <v/>
      </c>
      <c r="B581" s="26" t="str">
        <f aca="false">IF(OR(F581="LOC - INITIAL",F581="CONSOLIDATION - UPFRONT COMM",F581="REVERSE - TOTAL FUNDING"),A581,"")</f>
        <v/>
      </c>
      <c r="C581" s="27"/>
      <c r="D581" s="28"/>
      <c r="E581" s="28"/>
      <c r="F581" s="28"/>
      <c r="G581" s="29"/>
      <c r="H581" s="30"/>
      <c r="I581" s="28"/>
      <c r="J581" s="31" t="str">
        <f aca="false">IF(AND(G581&lt;&gt;"",H581&lt;&gt;""),G581*H581,"")</f>
        <v/>
      </c>
      <c r="K581" s="28"/>
      <c r="L581" s="32"/>
      <c r="M581" s="32"/>
      <c r="N581" s="31" t="n">
        <f aca="false">IF(OR(G581="",M581=""),0,IF(M581&gt;100,M581,G581*IF(M581&gt;1,M581/100,M581)))</f>
        <v>0</v>
      </c>
      <c r="O581" s="31" t="str">
        <f aca="false">IF(G581="","",G581*IF(L581="",0,IF(L581&gt;1,L581/100,L581))+N581)</f>
        <v/>
      </c>
      <c r="P581" s="28"/>
      <c r="Q581" s="33" t="str">
        <f aca="false">IF(P581="","",IFERROR(VLOOKUP(P581,PARTNERS!$A$2:$B$30,2,0),""))</f>
        <v/>
      </c>
      <c r="R581" s="17" t="str">
        <f aca="false">IF(O581="","",IF(OR(P581="",Q581=""),0,(O581-N581)*IF(Q581&gt;1,Q581/100,Q581)))</f>
        <v/>
      </c>
      <c r="S581" s="31" t="str">
        <f aca="false">IF(O581="","",O581-R581)</f>
        <v/>
      </c>
      <c r="T581" s="28"/>
      <c r="U581" s="34" t="str">
        <f aca="false">IF(T581="","",IFERROR(VLOOKUP(T581,REPS!$A$2:$D$40,2,0),""))</f>
        <v/>
      </c>
      <c r="V581" s="31" t="str">
        <f aca="false">IF(O581="","",IF(U581="",0,O581*IF(U581&gt;1,U581/100,U581)))</f>
        <v/>
      </c>
      <c r="W581" s="28"/>
      <c r="X581" s="34" t="str">
        <f aca="false">IF(W581="","",IFERROR(VLOOKUP(W581,REPS!$A$2:$D$40,3,0),""))</f>
        <v/>
      </c>
      <c r="Y581" s="31" t="str">
        <f aca="false">IF(O581="","",IF(X581="",0,O581*IF(X581&gt;1,X581/100,X581)))</f>
        <v/>
      </c>
      <c r="Z581" s="28"/>
      <c r="AA581" s="34" t="str">
        <f aca="false">IF(Z581="","",IFERROR(VLOOKUP(Z581,REPS!$A$2:$D$40,4,0),""))</f>
        <v/>
      </c>
      <c r="AB581" s="31" t="str">
        <f aca="false">IF(O581="","",IF(AA581="",0,O581*IF(AA581&gt;1,AA581/100,AA581)))</f>
        <v/>
      </c>
      <c r="AC581" s="31" t="str">
        <f aca="false">IF(O581="","",V581+Y581+AB581)</f>
        <v/>
      </c>
      <c r="AD581" s="19" t="str">
        <f aca="false">IF(O581="","",O581-R581-AC581)</f>
        <v/>
      </c>
      <c r="AE581" s="20"/>
      <c r="AF581" s="27"/>
      <c r="AG581" s="21" t="n">
        <f aca="false">IF(OR(AE581="",AE581=0),0,AE581*IF(U581="",0,IF(U581&gt;1,U581/100,U581)))</f>
        <v>0</v>
      </c>
      <c r="AH581" s="21" t="n">
        <f aca="false">IF(OR(AE581="",AE581=0),0,AE581*IF(X581="",0,IF(X581&gt;1,X581/100,X581)))</f>
        <v>0</v>
      </c>
      <c r="AI581" s="21" t="n">
        <f aca="false">IF(OR(AE581="",AE581=0),0,AE581*IF(AA581="",0,IF(AA581&gt;1,AA581/100,AA581)))</f>
        <v>0</v>
      </c>
      <c r="AJ581" s="21" t="n">
        <f aca="false">AG581+AH581+AI581</f>
        <v>0</v>
      </c>
      <c r="AK581" s="21" t="n">
        <f aca="false">IF(OR(AE581="",AE581=0),0,AE581-AJ581)</f>
        <v>0</v>
      </c>
      <c r="AL581" s="19" t="str">
        <f aca="false">IF(AD581="","",AD581-AK581)</f>
        <v/>
      </c>
      <c r="AM581" s="26" t="str">
        <f aca="false">IF(C581="","","Waiting for payment")</f>
        <v/>
      </c>
      <c r="AN581" s="27"/>
      <c r="AO581" s="27"/>
      <c r="AP581" s="35" t="str">
        <f aca="false">IF(OR(C581="",I581="",K581=""),"",IF(K581="Monthly",EDATE(C581,ROUND(I581*SETTINGS!$I$8,0)),WORKDAY(C581,ROUND(I581*SETTINGS!$I$8,0))))</f>
        <v/>
      </c>
      <c r="AQ581" s="26" t="str">
        <f aca="true">IF(C581="","",IF(AND(AP581&lt;&gt;"",TODAY()&gt;=AP581),"Refi Ready",IF(TODAY()-C581&gt;=SETTINGS!$I$11,"Prospecting","Performing")))</f>
        <v/>
      </c>
      <c r="AR581" s="35" t="str">
        <f aca="false">IF(OR(C581="",I581="",K581=""),"",IF(K581="Monthly",EDATE(C581,I581),WORKDAY(C581,I581)))</f>
        <v/>
      </c>
      <c r="AS581" s="28"/>
      <c r="AT581" s="36" t="str">
        <f aca="true">IF(C581="","",IF(AM581="Clawed Back","CLAWED",IF(TODAY()&lt;=C581+SETTINGS!$I$2,"⚠ AT RISK","SAFE")))</f>
        <v/>
      </c>
      <c r="AU581" s="28"/>
      <c r="AW581" s="24" t="n">
        <f aca="false">AW580+IF(AND(C581&lt;&gt;"",AO581&lt;&gt;"",OR('REP COMMISSION'!$B$3="",T581='REP COMMISSION'!$B$3,W581='REP COMMISSION'!$B$3,Z581='REP COMMISSION'!$B$3)),1,0)</f>
        <v>0</v>
      </c>
      <c r="AX581" s="24" t="n">
        <f aca="false">AX580+IF(AND(C581&lt;&gt;"",OR(F581="LOC - INITIAL",F581="CONSOLIDATION - UPFRONT COMM",F581="REVERSE - TOTAL FUNDING")),1,0)</f>
        <v>0</v>
      </c>
    </row>
    <row r="582" customFormat="false" ht="15" hidden="false" customHeight="false" outlineLevel="0" collapsed="false">
      <c r="A582" s="8" t="str">
        <f aca="false">IF(C582&lt;&gt;"","F27-"&amp;COUNT($C$4:C582),"")</f>
        <v/>
      </c>
      <c r="B582" s="9" t="str">
        <f aca="false">IF(OR(F582="LOC - INITIAL",F582="CONSOLIDATION - UPFRONT COMM",F582="REVERSE - TOTAL FUNDING"),A582,"")</f>
        <v/>
      </c>
      <c r="C582" s="10"/>
      <c r="D582" s="11"/>
      <c r="E582" s="11"/>
      <c r="F582" s="11"/>
      <c r="G582" s="12"/>
      <c r="H582" s="13"/>
      <c r="I582" s="11"/>
      <c r="J582" s="14" t="str">
        <f aca="false">IF(AND(G582&lt;&gt;"",H582&lt;&gt;""),G582*H582,"")</f>
        <v/>
      </c>
      <c r="K582" s="11"/>
      <c r="L582" s="15"/>
      <c r="M582" s="15"/>
      <c r="N582" s="14" t="n">
        <f aca="false">IF(OR(G582="",M582=""),0,IF(M582&gt;100,M582,G582*IF(M582&gt;1,M582/100,M582)))</f>
        <v>0</v>
      </c>
      <c r="O582" s="14" t="str">
        <f aca="false">IF(G582="","",G582*IF(L582="",0,IF(L582&gt;1,L582/100,L582))+N582)</f>
        <v/>
      </c>
      <c r="P582" s="11"/>
      <c r="Q582" s="16" t="str">
        <f aca="false">IF(P582="","",IFERROR(VLOOKUP(P582,PARTNERS!$A$2:$B$30,2,0),""))</f>
        <v/>
      </c>
      <c r="R582" s="17" t="str">
        <f aca="false">IF(O582="","",IF(OR(P582="",Q582=""),0,(O582-N582)*IF(Q582&gt;1,Q582/100,Q582)))</f>
        <v/>
      </c>
      <c r="S582" s="14" t="str">
        <f aca="false">IF(O582="","",O582-R582)</f>
        <v/>
      </c>
      <c r="T582" s="11"/>
      <c r="U582" s="18" t="str">
        <f aca="false">IF(T582="","",IFERROR(VLOOKUP(T582,REPS!$A$2:$D$40,2,0),""))</f>
        <v/>
      </c>
      <c r="V582" s="14" t="str">
        <f aca="false">IF(O582="","",IF(U582="",0,O582*IF(U582&gt;1,U582/100,U582)))</f>
        <v/>
      </c>
      <c r="W582" s="11"/>
      <c r="X582" s="18" t="str">
        <f aca="false">IF(W582="","",IFERROR(VLOOKUP(W582,REPS!$A$2:$D$40,3,0),""))</f>
        <v/>
      </c>
      <c r="Y582" s="14" t="str">
        <f aca="false">IF(O582="","",IF(X582="",0,O582*IF(X582&gt;1,X582/100,X582)))</f>
        <v/>
      </c>
      <c r="Z582" s="11"/>
      <c r="AA582" s="18" t="str">
        <f aca="false">IF(Z582="","",IFERROR(VLOOKUP(Z582,REPS!$A$2:$D$40,4,0),""))</f>
        <v/>
      </c>
      <c r="AB582" s="14" t="str">
        <f aca="false">IF(O582="","",IF(AA582="",0,O582*IF(AA582&gt;1,AA582/100,AA582)))</f>
        <v/>
      </c>
      <c r="AC582" s="14" t="str">
        <f aca="false">IF(O582="","",V582+Y582+AB582)</f>
        <v/>
      </c>
      <c r="AD582" s="19" t="str">
        <f aca="false">IF(O582="","",O582-R582-AC582)</f>
        <v/>
      </c>
      <c r="AE582" s="20"/>
      <c r="AF582" s="10"/>
      <c r="AG582" s="21" t="n">
        <f aca="false">IF(OR(AE582="",AE582=0),0,AE582*IF(U582="",0,IF(U582&gt;1,U582/100,U582)))</f>
        <v>0</v>
      </c>
      <c r="AH582" s="21" t="n">
        <f aca="false">IF(OR(AE582="",AE582=0),0,AE582*IF(X582="",0,IF(X582&gt;1,X582/100,X582)))</f>
        <v>0</v>
      </c>
      <c r="AI582" s="21" t="n">
        <f aca="false">IF(OR(AE582="",AE582=0),0,AE582*IF(AA582="",0,IF(AA582&gt;1,AA582/100,AA582)))</f>
        <v>0</v>
      </c>
      <c r="AJ582" s="21" t="n">
        <f aca="false">AG582+AH582+AI582</f>
        <v>0</v>
      </c>
      <c r="AK582" s="21" t="n">
        <f aca="false">IF(OR(AE582="",AE582=0),0,AE582-AJ582)</f>
        <v>0</v>
      </c>
      <c r="AL582" s="19" t="str">
        <f aca="false">IF(AD582="","",AD582-AK582)</f>
        <v/>
      </c>
      <c r="AM582" s="9" t="str">
        <f aca="false">IF(C582="","","Waiting for payment")</f>
        <v/>
      </c>
      <c r="AN582" s="10"/>
      <c r="AO582" s="10"/>
      <c r="AP582" s="22" t="str">
        <f aca="false">IF(OR(C582="",I582="",K582=""),"",IF(K582="Monthly",EDATE(C582,ROUND(I582*SETTINGS!$I$8,0)),WORKDAY(C582,ROUND(I582*SETTINGS!$I$8,0))))</f>
        <v/>
      </c>
      <c r="AQ582" s="9" t="str">
        <f aca="true">IF(C582="","",IF(AND(AP582&lt;&gt;"",TODAY()&gt;=AP582),"Refi Ready",IF(TODAY()-C582&gt;=SETTINGS!$I$11,"Prospecting","Performing")))</f>
        <v/>
      </c>
      <c r="AR582" s="22" t="str">
        <f aca="false">IF(OR(C582="",I582="",K582=""),"",IF(K582="Monthly",EDATE(C582,I582),WORKDAY(C582,I582)))</f>
        <v/>
      </c>
      <c r="AS582" s="11"/>
      <c r="AT582" s="23" t="str">
        <f aca="true">IF(C582="","",IF(AM582="Clawed Back","CLAWED",IF(TODAY()&lt;=C582+SETTINGS!$I$2,"⚠ AT RISK","SAFE")))</f>
        <v/>
      </c>
      <c r="AU582" s="11"/>
      <c r="AW582" s="24" t="n">
        <f aca="false">AW581+IF(AND(C582&lt;&gt;"",AO582&lt;&gt;"",OR('REP COMMISSION'!$B$3="",T582='REP COMMISSION'!$B$3,W582='REP COMMISSION'!$B$3,Z582='REP COMMISSION'!$B$3)),1,0)</f>
        <v>0</v>
      </c>
      <c r="AX582" s="24" t="n">
        <f aca="false">AX581+IF(AND(C582&lt;&gt;"",OR(F582="LOC - INITIAL",F582="CONSOLIDATION - UPFRONT COMM",F582="REVERSE - TOTAL FUNDING")),1,0)</f>
        <v>0</v>
      </c>
    </row>
    <row r="583" customFormat="false" ht="15" hidden="false" customHeight="false" outlineLevel="0" collapsed="false">
      <c r="A583" s="25" t="str">
        <f aca="false">IF(C583&lt;&gt;"","F27-"&amp;COUNT($C$4:C583),"")</f>
        <v/>
      </c>
      <c r="B583" s="26" t="str">
        <f aca="false">IF(OR(F583="LOC - INITIAL",F583="CONSOLIDATION - UPFRONT COMM",F583="REVERSE - TOTAL FUNDING"),A583,"")</f>
        <v/>
      </c>
      <c r="C583" s="27"/>
      <c r="D583" s="28"/>
      <c r="E583" s="28"/>
      <c r="F583" s="28"/>
      <c r="G583" s="29"/>
      <c r="H583" s="30"/>
      <c r="I583" s="28"/>
      <c r="J583" s="31" t="str">
        <f aca="false">IF(AND(G583&lt;&gt;"",H583&lt;&gt;""),G583*H583,"")</f>
        <v/>
      </c>
      <c r="K583" s="28"/>
      <c r="L583" s="32"/>
      <c r="M583" s="32"/>
      <c r="N583" s="31" t="n">
        <f aca="false">IF(OR(G583="",M583=""),0,IF(M583&gt;100,M583,G583*IF(M583&gt;1,M583/100,M583)))</f>
        <v>0</v>
      </c>
      <c r="O583" s="31" t="str">
        <f aca="false">IF(G583="","",G583*IF(L583="",0,IF(L583&gt;1,L583/100,L583))+N583)</f>
        <v/>
      </c>
      <c r="P583" s="28"/>
      <c r="Q583" s="33" t="str">
        <f aca="false">IF(P583="","",IFERROR(VLOOKUP(P583,PARTNERS!$A$2:$B$30,2,0),""))</f>
        <v/>
      </c>
      <c r="R583" s="17" t="str">
        <f aca="false">IF(O583="","",IF(OR(P583="",Q583=""),0,(O583-N583)*IF(Q583&gt;1,Q583/100,Q583)))</f>
        <v/>
      </c>
      <c r="S583" s="31" t="str">
        <f aca="false">IF(O583="","",O583-R583)</f>
        <v/>
      </c>
      <c r="T583" s="28"/>
      <c r="U583" s="34" t="str">
        <f aca="false">IF(T583="","",IFERROR(VLOOKUP(T583,REPS!$A$2:$D$40,2,0),""))</f>
        <v/>
      </c>
      <c r="V583" s="31" t="str">
        <f aca="false">IF(O583="","",IF(U583="",0,O583*IF(U583&gt;1,U583/100,U583)))</f>
        <v/>
      </c>
      <c r="W583" s="28"/>
      <c r="X583" s="34" t="str">
        <f aca="false">IF(W583="","",IFERROR(VLOOKUP(W583,REPS!$A$2:$D$40,3,0),""))</f>
        <v/>
      </c>
      <c r="Y583" s="31" t="str">
        <f aca="false">IF(O583="","",IF(X583="",0,O583*IF(X583&gt;1,X583/100,X583)))</f>
        <v/>
      </c>
      <c r="Z583" s="28"/>
      <c r="AA583" s="34" t="str">
        <f aca="false">IF(Z583="","",IFERROR(VLOOKUP(Z583,REPS!$A$2:$D$40,4,0),""))</f>
        <v/>
      </c>
      <c r="AB583" s="31" t="str">
        <f aca="false">IF(O583="","",IF(AA583="",0,O583*IF(AA583&gt;1,AA583/100,AA583)))</f>
        <v/>
      </c>
      <c r="AC583" s="31" t="str">
        <f aca="false">IF(O583="","",V583+Y583+AB583)</f>
        <v/>
      </c>
      <c r="AD583" s="19" t="str">
        <f aca="false">IF(O583="","",O583-R583-AC583)</f>
        <v/>
      </c>
      <c r="AE583" s="20"/>
      <c r="AF583" s="27"/>
      <c r="AG583" s="21" t="n">
        <f aca="false">IF(OR(AE583="",AE583=0),0,AE583*IF(U583="",0,IF(U583&gt;1,U583/100,U583)))</f>
        <v>0</v>
      </c>
      <c r="AH583" s="21" t="n">
        <f aca="false">IF(OR(AE583="",AE583=0),0,AE583*IF(X583="",0,IF(X583&gt;1,X583/100,X583)))</f>
        <v>0</v>
      </c>
      <c r="AI583" s="21" t="n">
        <f aca="false">IF(OR(AE583="",AE583=0),0,AE583*IF(AA583="",0,IF(AA583&gt;1,AA583/100,AA583)))</f>
        <v>0</v>
      </c>
      <c r="AJ583" s="21" t="n">
        <f aca="false">AG583+AH583+AI583</f>
        <v>0</v>
      </c>
      <c r="AK583" s="21" t="n">
        <f aca="false">IF(OR(AE583="",AE583=0),0,AE583-AJ583)</f>
        <v>0</v>
      </c>
      <c r="AL583" s="19" t="str">
        <f aca="false">IF(AD583="","",AD583-AK583)</f>
        <v/>
      </c>
      <c r="AM583" s="26" t="str">
        <f aca="false">IF(C583="","","Waiting for payment")</f>
        <v/>
      </c>
      <c r="AN583" s="27"/>
      <c r="AO583" s="27"/>
      <c r="AP583" s="35" t="str">
        <f aca="false">IF(OR(C583="",I583="",K583=""),"",IF(K583="Monthly",EDATE(C583,ROUND(I583*SETTINGS!$I$8,0)),WORKDAY(C583,ROUND(I583*SETTINGS!$I$8,0))))</f>
        <v/>
      </c>
      <c r="AQ583" s="26" t="str">
        <f aca="true">IF(C583="","",IF(AND(AP583&lt;&gt;"",TODAY()&gt;=AP583),"Refi Ready",IF(TODAY()-C583&gt;=SETTINGS!$I$11,"Prospecting","Performing")))</f>
        <v/>
      </c>
      <c r="AR583" s="35" t="str">
        <f aca="false">IF(OR(C583="",I583="",K583=""),"",IF(K583="Monthly",EDATE(C583,I583),WORKDAY(C583,I583)))</f>
        <v/>
      </c>
      <c r="AS583" s="28"/>
      <c r="AT583" s="36" t="str">
        <f aca="true">IF(C583="","",IF(AM583="Clawed Back","CLAWED",IF(TODAY()&lt;=C583+SETTINGS!$I$2,"⚠ AT RISK","SAFE")))</f>
        <v/>
      </c>
      <c r="AU583" s="28"/>
      <c r="AW583" s="24" t="n">
        <f aca="false">AW582+IF(AND(C583&lt;&gt;"",AO583&lt;&gt;"",OR('REP COMMISSION'!$B$3="",T583='REP COMMISSION'!$B$3,W583='REP COMMISSION'!$B$3,Z583='REP COMMISSION'!$B$3)),1,0)</f>
        <v>0</v>
      </c>
      <c r="AX583" s="24" t="n">
        <f aca="false">AX582+IF(AND(C583&lt;&gt;"",OR(F583="LOC - INITIAL",F583="CONSOLIDATION - UPFRONT COMM",F583="REVERSE - TOTAL FUNDING")),1,0)</f>
        <v>0</v>
      </c>
    </row>
    <row r="584" customFormat="false" ht="15" hidden="false" customHeight="false" outlineLevel="0" collapsed="false">
      <c r="A584" s="8" t="str">
        <f aca="false">IF(C584&lt;&gt;"","F27-"&amp;COUNT($C$4:C584),"")</f>
        <v/>
      </c>
      <c r="B584" s="9" t="str">
        <f aca="false">IF(OR(F584="LOC - INITIAL",F584="CONSOLIDATION - UPFRONT COMM",F584="REVERSE - TOTAL FUNDING"),A584,"")</f>
        <v/>
      </c>
      <c r="C584" s="10"/>
      <c r="D584" s="11"/>
      <c r="E584" s="11"/>
      <c r="F584" s="11"/>
      <c r="G584" s="12"/>
      <c r="H584" s="13"/>
      <c r="I584" s="11"/>
      <c r="J584" s="14" t="str">
        <f aca="false">IF(AND(G584&lt;&gt;"",H584&lt;&gt;""),G584*H584,"")</f>
        <v/>
      </c>
      <c r="K584" s="11"/>
      <c r="L584" s="15"/>
      <c r="M584" s="15"/>
      <c r="N584" s="14" t="n">
        <f aca="false">IF(OR(G584="",M584=""),0,IF(M584&gt;100,M584,G584*IF(M584&gt;1,M584/100,M584)))</f>
        <v>0</v>
      </c>
      <c r="O584" s="14" t="str">
        <f aca="false">IF(G584="","",G584*IF(L584="",0,IF(L584&gt;1,L584/100,L584))+N584)</f>
        <v/>
      </c>
      <c r="P584" s="11"/>
      <c r="Q584" s="16" t="str">
        <f aca="false">IF(P584="","",IFERROR(VLOOKUP(P584,PARTNERS!$A$2:$B$30,2,0),""))</f>
        <v/>
      </c>
      <c r="R584" s="17" t="str">
        <f aca="false">IF(O584="","",IF(OR(P584="",Q584=""),0,(O584-N584)*IF(Q584&gt;1,Q584/100,Q584)))</f>
        <v/>
      </c>
      <c r="S584" s="14" t="str">
        <f aca="false">IF(O584="","",O584-R584)</f>
        <v/>
      </c>
      <c r="T584" s="11"/>
      <c r="U584" s="18" t="str">
        <f aca="false">IF(T584="","",IFERROR(VLOOKUP(T584,REPS!$A$2:$D$40,2,0),""))</f>
        <v/>
      </c>
      <c r="V584" s="14" t="str">
        <f aca="false">IF(O584="","",IF(U584="",0,O584*IF(U584&gt;1,U584/100,U584)))</f>
        <v/>
      </c>
      <c r="W584" s="11"/>
      <c r="X584" s="18" t="str">
        <f aca="false">IF(W584="","",IFERROR(VLOOKUP(W584,REPS!$A$2:$D$40,3,0),""))</f>
        <v/>
      </c>
      <c r="Y584" s="14" t="str">
        <f aca="false">IF(O584="","",IF(X584="",0,O584*IF(X584&gt;1,X584/100,X584)))</f>
        <v/>
      </c>
      <c r="Z584" s="11"/>
      <c r="AA584" s="18" t="str">
        <f aca="false">IF(Z584="","",IFERROR(VLOOKUP(Z584,REPS!$A$2:$D$40,4,0),""))</f>
        <v/>
      </c>
      <c r="AB584" s="14" t="str">
        <f aca="false">IF(O584="","",IF(AA584="",0,O584*IF(AA584&gt;1,AA584/100,AA584)))</f>
        <v/>
      </c>
      <c r="AC584" s="14" t="str">
        <f aca="false">IF(O584="","",V584+Y584+AB584)</f>
        <v/>
      </c>
      <c r="AD584" s="19" t="str">
        <f aca="false">IF(O584="","",O584-R584-AC584)</f>
        <v/>
      </c>
      <c r="AE584" s="20"/>
      <c r="AF584" s="10"/>
      <c r="AG584" s="21" t="n">
        <f aca="false">IF(OR(AE584="",AE584=0),0,AE584*IF(U584="",0,IF(U584&gt;1,U584/100,U584)))</f>
        <v>0</v>
      </c>
      <c r="AH584" s="21" t="n">
        <f aca="false">IF(OR(AE584="",AE584=0),0,AE584*IF(X584="",0,IF(X584&gt;1,X584/100,X584)))</f>
        <v>0</v>
      </c>
      <c r="AI584" s="21" t="n">
        <f aca="false">IF(OR(AE584="",AE584=0),0,AE584*IF(AA584="",0,IF(AA584&gt;1,AA584/100,AA584)))</f>
        <v>0</v>
      </c>
      <c r="AJ584" s="21" t="n">
        <f aca="false">AG584+AH584+AI584</f>
        <v>0</v>
      </c>
      <c r="AK584" s="21" t="n">
        <f aca="false">IF(OR(AE584="",AE584=0),0,AE584-AJ584)</f>
        <v>0</v>
      </c>
      <c r="AL584" s="19" t="str">
        <f aca="false">IF(AD584="","",AD584-AK584)</f>
        <v/>
      </c>
      <c r="AM584" s="9" t="str">
        <f aca="false">IF(C584="","","Waiting for payment")</f>
        <v/>
      </c>
      <c r="AN584" s="10"/>
      <c r="AO584" s="10"/>
      <c r="AP584" s="22" t="str">
        <f aca="false">IF(OR(C584="",I584="",K584=""),"",IF(K584="Monthly",EDATE(C584,ROUND(I584*SETTINGS!$I$8,0)),WORKDAY(C584,ROUND(I584*SETTINGS!$I$8,0))))</f>
        <v/>
      </c>
      <c r="AQ584" s="9" t="str">
        <f aca="true">IF(C584="","",IF(AND(AP584&lt;&gt;"",TODAY()&gt;=AP584),"Refi Ready",IF(TODAY()-C584&gt;=SETTINGS!$I$11,"Prospecting","Performing")))</f>
        <v/>
      </c>
      <c r="AR584" s="22" t="str">
        <f aca="false">IF(OR(C584="",I584="",K584=""),"",IF(K584="Monthly",EDATE(C584,I584),WORKDAY(C584,I584)))</f>
        <v/>
      </c>
      <c r="AS584" s="11"/>
      <c r="AT584" s="23" t="str">
        <f aca="true">IF(C584="","",IF(AM584="Clawed Back","CLAWED",IF(TODAY()&lt;=C584+SETTINGS!$I$2,"⚠ AT RISK","SAFE")))</f>
        <v/>
      </c>
      <c r="AU584" s="11"/>
      <c r="AW584" s="24" t="n">
        <f aca="false">AW583+IF(AND(C584&lt;&gt;"",AO584&lt;&gt;"",OR('REP COMMISSION'!$B$3="",T584='REP COMMISSION'!$B$3,W584='REP COMMISSION'!$B$3,Z584='REP COMMISSION'!$B$3)),1,0)</f>
        <v>0</v>
      </c>
      <c r="AX584" s="24" t="n">
        <f aca="false">AX583+IF(AND(C584&lt;&gt;"",OR(F584="LOC - INITIAL",F584="CONSOLIDATION - UPFRONT COMM",F584="REVERSE - TOTAL FUNDING")),1,0)</f>
        <v>0</v>
      </c>
    </row>
    <row r="585" customFormat="false" ht="15" hidden="false" customHeight="false" outlineLevel="0" collapsed="false">
      <c r="A585" s="25" t="str">
        <f aca="false">IF(C585&lt;&gt;"","F27-"&amp;COUNT($C$4:C585),"")</f>
        <v/>
      </c>
      <c r="B585" s="26" t="str">
        <f aca="false">IF(OR(F585="LOC - INITIAL",F585="CONSOLIDATION - UPFRONT COMM",F585="REVERSE - TOTAL FUNDING"),A585,"")</f>
        <v/>
      </c>
      <c r="C585" s="27"/>
      <c r="D585" s="28"/>
      <c r="E585" s="28"/>
      <c r="F585" s="28"/>
      <c r="G585" s="29"/>
      <c r="H585" s="30"/>
      <c r="I585" s="28"/>
      <c r="J585" s="31" t="str">
        <f aca="false">IF(AND(G585&lt;&gt;"",H585&lt;&gt;""),G585*H585,"")</f>
        <v/>
      </c>
      <c r="K585" s="28"/>
      <c r="L585" s="32"/>
      <c r="M585" s="32"/>
      <c r="N585" s="31" t="n">
        <f aca="false">IF(OR(G585="",M585=""),0,IF(M585&gt;100,M585,G585*IF(M585&gt;1,M585/100,M585)))</f>
        <v>0</v>
      </c>
      <c r="O585" s="31" t="str">
        <f aca="false">IF(G585="","",G585*IF(L585="",0,IF(L585&gt;1,L585/100,L585))+N585)</f>
        <v/>
      </c>
      <c r="P585" s="28"/>
      <c r="Q585" s="33" t="str">
        <f aca="false">IF(P585="","",IFERROR(VLOOKUP(P585,PARTNERS!$A$2:$B$30,2,0),""))</f>
        <v/>
      </c>
      <c r="R585" s="17" t="str">
        <f aca="false">IF(O585="","",IF(OR(P585="",Q585=""),0,(O585-N585)*IF(Q585&gt;1,Q585/100,Q585)))</f>
        <v/>
      </c>
      <c r="S585" s="31" t="str">
        <f aca="false">IF(O585="","",O585-R585)</f>
        <v/>
      </c>
      <c r="T585" s="28"/>
      <c r="U585" s="34" t="str">
        <f aca="false">IF(T585="","",IFERROR(VLOOKUP(T585,REPS!$A$2:$D$40,2,0),""))</f>
        <v/>
      </c>
      <c r="V585" s="31" t="str">
        <f aca="false">IF(O585="","",IF(U585="",0,O585*IF(U585&gt;1,U585/100,U585)))</f>
        <v/>
      </c>
      <c r="W585" s="28"/>
      <c r="X585" s="34" t="str">
        <f aca="false">IF(W585="","",IFERROR(VLOOKUP(W585,REPS!$A$2:$D$40,3,0),""))</f>
        <v/>
      </c>
      <c r="Y585" s="31" t="str">
        <f aca="false">IF(O585="","",IF(X585="",0,O585*IF(X585&gt;1,X585/100,X585)))</f>
        <v/>
      </c>
      <c r="Z585" s="28"/>
      <c r="AA585" s="34" t="str">
        <f aca="false">IF(Z585="","",IFERROR(VLOOKUP(Z585,REPS!$A$2:$D$40,4,0),""))</f>
        <v/>
      </c>
      <c r="AB585" s="31" t="str">
        <f aca="false">IF(O585="","",IF(AA585="",0,O585*IF(AA585&gt;1,AA585/100,AA585)))</f>
        <v/>
      </c>
      <c r="AC585" s="31" t="str">
        <f aca="false">IF(O585="","",V585+Y585+AB585)</f>
        <v/>
      </c>
      <c r="AD585" s="19" t="str">
        <f aca="false">IF(O585="","",O585-R585-AC585)</f>
        <v/>
      </c>
      <c r="AE585" s="20"/>
      <c r="AF585" s="27"/>
      <c r="AG585" s="21" t="n">
        <f aca="false">IF(OR(AE585="",AE585=0),0,AE585*IF(U585="",0,IF(U585&gt;1,U585/100,U585)))</f>
        <v>0</v>
      </c>
      <c r="AH585" s="21" t="n">
        <f aca="false">IF(OR(AE585="",AE585=0),0,AE585*IF(X585="",0,IF(X585&gt;1,X585/100,X585)))</f>
        <v>0</v>
      </c>
      <c r="AI585" s="21" t="n">
        <f aca="false">IF(OR(AE585="",AE585=0),0,AE585*IF(AA585="",0,IF(AA585&gt;1,AA585/100,AA585)))</f>
        <v>0</v>
      </c>
      <c r="AJ585" s="21" t="n">
        <f aca="false">AG585+AH585+AI585</f>
        <v>0</v>
      </c>
      <c r="AK585" s="21" t="n">
        <f aca="false">IF(OR(AE585="",AE585=0),0,AE585-AJ585)</f>
        <v>0</v>
      </c>
      <c r="AL585" s="19" t="str">
        <f aca="false">IF(AD585="","",AD585-AK585)</f>
        <v/>
      </c>
      <c r="AM585" s="26" t="str">
        <f aca="false">IF(C585="","","Waiting for payment")</f>
        <v/>
      </c>
      <c r="AN585" s="27"/>
      <c r="AO585" s="27"/>
      <c r="AP585" s="35" t="str">
        <f aca="false">IF(OR(C585="",I585="",K585=""),"",IF(K585="Monthly",EDATE(C585,ROUND(I585*SETTINGS!$I$8,0)),WORKDAY(C585,ROUND(I585*SETTINGS!$I$8,0))))</f>
        <v/>
      </c>
      <c r="AQ585" s="26" t="str">
        <f aca="true">IF(C585="","",IF(AND(AP585&lt;&gt;"",TODAY()&gt;=AP585),"Refi Ready",IF(TODAY()-C585&gt;=SETTINGS!$I$11,"Prospecting","Performing")))</f>
        <v/>
      </c>
      <c r="AR585" s="35" t="str">
        <f aca="false">IF(OR(C585="",I585="",K585=""),"",IF(K585="Monthly",EDATE(C585,I585),WORKDAY(C585,I585)))</f>
        <v/>
      </c>
      <c r="AS585" s="28"/>
      <c r="AT585" s="36" t="str">
        <f aca="true">IF(C585="","",IF(AM585="Clawed Back","CLAWED",IF(TODAY()&lt;=C585+SETTINGS!$I$2,"⚠ AT RISK","SAFE")))</f>
        <v/>
      </c>
      <c r="AU585" s="28"/>
      <c r="AW585" s="24" t="n">
        <f aca="false">AW584+IF(AND(C585&lt;&gt;"",AO585&lt;&gt;"",OR('REP COMMISSION'!$B$3="",T585='REP COMMISSION'!$B$3,W585='REP COMMISSION'!$B$3,Z585='REP COMMISSION'!$B$3)),1,0)</f>
        <v>0</v>
      </c>
      <c r="AX585" s="24" t="n">
        <f aca="false">AX584+IF(AND(C585&lt;&gt;"",OR(F585="LOC - INITIAL",F585="CONSOLIDATION - UPFRONT COMM",F585="REVERSE - TOTAL FUNDING")),1,0)</f>
        <v>0</v>
      </c>
    </row>
    <row r="586" customFormat="false" ht="15" hidden="false" customHeight="false" outlineLevel="0" collapsed="false">
      <c r="A586" s="8" t="str">
        <f aca="false">IF(C586&lt;&gt;"","F27-"&amp;COUNT($C$4:C586),"")</f>
        <v/>
      </c>
      <c r="B586" s="9" t="str">
        <f aca="false">IF(OR(F586="LOC - INITIAL",F586="CONSOLIDATION - UPFRONT COMM",F586="REVERSE - TOTAL FUNDING"),A586,"")</f>
        <v/>
      </c>
      <c r="C586" s="10"/>
      <c r="D586" s="11"/>
      <c r="E586" s="11"/>
      <c r="F586" s="11"/>
      <c r="G586" s="12"/>
      <c r="H586" s="13"/>
      <c r="I586" s="11"/>
      <c r="J586" s="14" t="str">
        <f aca="false">IF(AND(G586&lt;&gt;"",H586&lt;&gt;""),G586*H586,"")</f>
        <v/>
      </c>
      <c r="K586" s="11"/>
      <c r="L586" s="15"/>
      <c r="M586" s="15"/>
      <c r="N586" s="14" t="n">
        <f aca="false">IF(OR(G586="",M586=""),0,IF(M586&gt;100,M586,G586*IF(M586&gt;1,M586/100,M586)))</f>
        <v>0</v>
      </c>
      <c r="O586" s="14" t="str">
        <f aca="false">IF(G586="","",G586*IF(L586="",0,IF(L586&gt;1,L586/100,L586))+N586)</f>
        <v/>
      </c>
      <c r="P586" s="11"/>
      <c r="Q586" s="16" t="str">
        <f aca="false">IF(P586="","",IFERROR(VLOOKUP(P586,PARTNERS!$A$2:$B$30,2,0),""))</f>
        <v/>
      </c>
      <c r="R586" s="17" t="str">
        <f aca="false">IF(O586="","",IF(OR(P586="",Q586=""),0,(O586-N586)*IF(Q586&gt;1,Q586/100,Q586)))</f>
        <v/>
      </c>
      <c r="S586" s="14" t="str">
        <f aca="false">IF(O586="","",O586-R586)</f>
        <v/>
      </c>
      <c r="T586" s="11"/>
      <c r="U586" s="18" t="str">
        <f aca="false">IF(T586="","",IFERROR(VLOOKUP(T586,REPS!$A$2:$D$40,2,0),""))</f>
        <v/>
      </c>
      <c r="V586" s="14" t="str">
        <f aca="false">IF(O586="","",IF(U586="",0,O586*IF(U586&gt;1,U586/100,U586)))</f>
        <v/>
      </c>
      <c r="W586" s="11"/>
      <c r="X586" s="18" t="str">
        <f aca="false">IF(W586="","",IFERROR(VLOOKUP(W586,REPS!$A$2:$D$40,3,0),""))</f>
        <v/>
      </c>
      <c r="Y586" s="14" t="str">
        <f aca="false">IF(O586="","",IF(X586="",0,O586*IF(X586&gt;1,X586/100,X586)))</f>
        <v/>
      </c>
      <c r="Z586" s="11"/>
      <c r="AA586" s="18" t="str">
        <f aca="false">IF(Z586="","",IFERROR(VLOOKUP(Z586,REPS!$A$2:$D$40,4,0),""))</f>
        <v/>
      </c>
      <c r="AB586" s="14" t="str">
        <f aca="false">IF(O586="","",IF(AA586="",0,O586*IF(AA586&gt;1,AA586/100,AA586)))</f>
        <v/>
      </c>
      <c r="AC586" s="14" t="str">
        <f aca="false">IF(O586="","",V586+Y586+AB586)</f>
        <v/>
      </c>
      <c r="AD586" s="19" t="str">
        <f aca="false">IF(O586="","",O586-R586-AC586)</f>
        <v/>
      </c>
      <c r="AE586" s="20"/>
      <c r="AF586" s="10"/>
      <c r="AG586" s="21" t="n">
        <f aca="false">IF(OR(AE586="",AE586=0),0,AE586*IF(U586="",0,IF(U586&gt;1,U586/100,U586)))</f>
        <v>0</v>
      </c>
      <c r="AH586" s="21" t="n">
        <f aca="false">IF(OR(AE586="",AE586=0),0,AE586*IF(X586="",0,IF(X586&gt;1,X586/100,X586)))</f>
        <v>0</v>
      </c>
      <c r="AI586" s="21" t="n">
        <f aca="false">IF(OR(AE586="",AE586=0),0,AE586*IF(AA586="",0,IF(AA586&gt;1,AA586/100,AA586)))</f>
        <v>0</v>
      </c>
      <c r="AJ586" s="21" t="n">
        <f aca="false">AG586+AH586+AI586</f>
        <v>0</v>
      </c>
      <c r="AK586" s="21" t="n">
        <f aca="false">IF(OR(AE586="",AE586=0),0,AE586-AJ586)</f>
        <v>0</v>
      </c>
      <c r="AL586" s="19" t="str">
        <f aca="false">IF(AD586="","",AD586-AK586)</f>
        <v/>
      </c>
      <c r="AM586" s="9" t="str">
        <f aca="false">IF(C586="","","Waiting for payment")</f>
        <v/>
      </c>
      <c r="AN586" s="10"/>
      <c r="AO586" s="10"/>
      <c r="AP586" s="22" t="str">
        <f aca="false">IF(OR(C586="",I586="",K586=""),"",IF(K586="Monthly",EDATE(C586,ROUND(I586*SETTINGS!$I$8,0)),WORKDAY(C586,ROUND(I586*SETTINGS!$I$8,0))))</f>
        <v/>
      </c>
      <c r="AQ586" s="9" t="str">
        <f aca="true">IF(C586="","",IF(AND(AP586&lt;&gt;"",TODAY()&gt;=AP586),"Refi Ready",IF(TODAY()-C586&gt;=SETTINGS!$I$11,"Prospecting","Performing")))</f>
        <v/>
      </c>
      <c r="AR586" s="22" t="str">
        <f aca="false">IF(OR(C586="",I586="",K586=""),"",IF(K586="Monthly",EDATE(C586,I586),WORKDAY(C586,I586)))</f>
        <v/>
      </c>
      <c r="AS586" s="11"/>
      <c r="AT586" s="23" t="str">
        <f aca="true">IF(C586="","",IF(AM586="Clawed Back","CLAWED",IF(TODAY()&lt;=C586+SETTINGS!$I$2,"⚠ AT RISK","SAFE")))</f>
        <v/>
      </c>
      <c r="AU586" s="11"/>
      <c r="AW586" s="24" t="n">
        <f aca="false">AW585+IF(AND(C586&lt;&gt;"",AO586&lt;&gt;"",OR('REP COMMISSION'!$B$3="",T586='REP COMMISSION'!$B$3,W586='REP COMMISSION'!$B$3,Z586='REP COMMISSION'!$B$3)),1,0)</f>
        <v>0</v>
      </c>
      <c r="AX586" s="24" t="n">
        <f aca="false">AX585+IF(AND(C586&lt;&gt;"",OR(F586="LOC - INITIAL",F586="CONSOLIDATION - UPFRONT COMM",F586="REVERSE - TOTAL FUNDING")),1,0)</f>
        <v>0</v>
      </c>
    </row>
    <row r="587" customFormat="false" ht="15" hidden="false" customHeight="false" outlineLevel="0" collapsed="false">
      <c r="A587" s="25" t="str">
        <f aca="false">IF(C587&lt;&gt;"","F27-"&amp;COUNT($C$4:C587),"")</f>
        <v/>
      </c>
      <c r="B587" s="26" t="str">
        <f aca="false">IF(OR(F587="LOC - INITIAL",F587="CONSOLIDATION - UPFRONT COMM",F587="REVERSE - TOTAL FUNDING"),A587,"")</f>
        <v/>
      </c>
      <c r="C587" s="27"/>
      <c r="D587" s="28"/>
      <c r="E587" s="28"/>
      <c r="F587" s="28"/>
      <c r="G587" s="29"/>
      <c r="H587" s="30"/>
      <c r="I587" s="28"/>
      <c r="J587" s="31" t="str">
        <f aca="false">IF(AND(G587&lt;&gt;"",H587&lt;&gt;""),G587*H587,"")</f>
        <v/>
      </c>
      <c r="K587" s="28"/>
      <c r="L587" s="32"/>
      <c r="M587" s="32"/>
      <c r="N587" s="31" t="n">
        <f aca="false">IF(OR(G587="",M587=""),0,IF(M587&gt;100,M587,G587*IF(M587&gt;1,M587/100,M587)))</f>
        <v>0</v>
      </c>
      <c r="O587" s="31" t="str">
        <f aca="false">IF(G587="","",G587*IF(L587="",0,IF(L587&gt;1,L587/100,L587))+N587)</f>
        <v/>
      </c>
      <c r="P587" s="28"/>
      <c r="Q587" s="33" t="str">
        <f aca="false">IF(P587="","",IFERROR(VLOOKUP(P587,PARTNERS!$A$2:$B$30,2,0),""))</f>
        <v/>
      </c>
      <c r="R587" s="17" t="str">
        <f aca="false">IF(O587="","",IF(OR(P587="",Q587=""),0,(O587-N587)*IF(Q587&gt;1,Q587/100,Q587)))</f>
        <v/>
      </c>
      <c r="S587" s="31" t="str">
        <f aca="false">IF(O587="","",O587-R587)</f>
        <v/>
      </c>
      <c r="T587" s="28"/>
      <c r="U587" s="34" t="str">
        <f aca="false">IF(T587="","",IFERROR(VLOOKUP(T587,REPS!$A$2:$D$40,2,0),""))</f>
        <v/>
      </c>
      <c r="V587" s="31" t="str">
        <f aca="false">IF(O587="","",IF(U587="",0,O587*IF(U587&gt;1,U587/100,U587)))</f>
        <v/>
      </c>
      <c r="W587" s="28"/>
      <c r="X587" s="34" t="str">
        <f aca="false">IF(W587="","",IFERROR(VLOOKUP(W587,REPS!$A$2:$D$40,3,0),""))</f>
        <v/>
      </c>
      <c r="Y587" s="31" t="str">
        <f aca="false">IF(O587="","",IF(X587="",0,O587*IF(X587&gt;1,X587/100,X587)))</f>
        <v/>
      </c>
      <c r="Z587" s="28"/>
      <c r="AA587" s="34" t="str">
        <f aca="false">IF(Z587="","",IFERROR(VLOOKUP(Z587,REPS!$A$2:$D$40,4,0),""))</f>
        <v/>
      </c>
      <c r="AB587" s="31" t="str">
        <f aca="false">IF(O587="","",IF(AA587="",0,O587*IF(AA587&gt;1,AA587/100,AA587)))</f>
        <v/>
      </c>
      <c r="AC587" s="31" t="str">
        <f aca="false">IF(O587="","",V587+Y587+AB587)</f>
        <v/>
      </c>
      <c r="AD587" s="19" t="str">
        <f aca="false">IF(O587="","",O587-R587-AC587)</f>
        <v/>
      </c>
      <c r="AE587" s="20"/>
      <c r="AF587" s="27"/>
      <c r="AG587" s="21" t="n">
        <f aca="false">IF(OR(AE587="",AE587=0),0,AE587*IF(U587="",0,IF(U587&gt;1,U587/100,U587)))</f>
        <v>0</v>
      </c>
      <c r="AH587" s="21" t="n">
        <f aca="false">IF(OR(AE587="",AE587=0),0,AE587*IF(X587="",0,IF(X587&gt;1,X587/100,X587)))</f>
        <v>0</v>
      </c>
      <c r="AI587" s="21" t="n">
        <f aca="false">IF(OR(AE587="",AE587=0),0,AE587*IF(AA587="",0,IF(AA587&gt;1,AA587/100,AA587)))</f>
        <v>0</v>
      </c>
      <c r="AJ587" s="21" t="n">
        <f aca="false">AG587+AH587+AI587</f>
        <v>0</v>
      </c>
      <c r="AK587" s="21" t="n">
        <f aca="false">IF(OR(AE587="",AE587=0),0,AE587-AJ587)</f>
        <v>0</v>
      </c>
      <c r="AL587" s="19" t="str">
        <f aca="false">IF(AD587="","",AD587-AK587)</f>
        <v/>
      </c>
      <c r="AM587" s="26" t="str">
        <f aca="false">IF(C587="","","Waiting for payment")</f>
        <v/>
      </c>
      <c r="AN587" s="27"/>
      <c r="AO587" s="27"/>
      <c r="AP587" s="35" t="str">
        <f aca="false">IF(OR(C587="",I587="",K587=""),"",IF(K587="Monthly",EDATE(C587,ROUND(I587*SETTINGS!$I$8,0)),WORKDAY(C587,ROUND(I587*SETTINGS!$I$8,0))))</f>
        <v/>
      </c>
      <c r="AQ587" s="26" t="str">
        <f aca="true">IF(C587="","",IF(AND(AP587&lt;&gt;"",TODAY()&gt;=AP587),"Refi Ready",IF(TODAY()-C587&gt;=SETTINGS!$I$11,"Prospecting","Performing")))</f>
        <v/>
      </c>
      <c r="AR587" s="35" t="str">
        <f aca="false">IF(OR(C587="",I587="",K587=""),"",IF(K587="Monthly",EDATE(C587,I587),WORKDAY(C587,I587)))</f>
        <v/>
      </c>
      <c r="AS587" s="28"/>
      <c r="AT587" s="36" t="str">
        <f aca="true">IF(C587="","",IF(AM587="Clawed Back","CLAWED",IF(TODAY()&lt;=C587+SETTINGS!$I$2,"⚠ AT RISK","SAFE")))</f>
        <v/>
      </c>
      <c r="AU587" s="28"/>
      <c r="AW587" s="24" t="n">
        <f aca="false">AW586+IF(AND(C587&lt;&gt;"",AO587&lt;&gt;"",OR('REP COMMISSION'!$B$3="",T587='REP COMMISSION'!$B$3,W587='REP COMMISSION'!$B$3,Z587='REP COMMISSION'!$B$3)),1,0)</f>
        <v>0</v>
      </c>
      <c r="AX587" s="24" t="n">
        <f aca="false">AX586+IF(AND(C587&lt;&gt;"",OR(F587="LOC - INITIAL",F587="CONSOLIDATION - UPFRONT COMM",F587="REVERSE - TOTAL FUNDING")),1,0)</f>
        <v>0</v>
      </c>
    </row>
    <row r="588" customFormat="false" ht="15" hidden="false" customHeight="false" outlineLevel="0" collapsed="false">
      <c r="A588" s="8" t="str">
        <f aca="false">IF(C588&lt;&gt;"","F27-"&amp;COUNT($C$4:C588),"")</f>
        <v/>
      </c>
      <c r="B588" s="9" t="str">
        <f aca="false">IF(OR(F588="LOC - INITIAL",F588="CONSOLIDATION - UPFRONT COMM",F588="REVERSE - TOTAL FUNDING"),A588,"")</f>
        <v/>
      </c>
      <c r="C588" s="10"/>
      <c r="D588" s="11"/>
      <c r="E588" s="11"/>
      <c r="F588" s="11"/>
      <c r="G588" s="12"/>
      <c r="H588" s="13"/>
      <c r="I588" s="11"/>
      <c r="J588" s="14" t="str">
        <f aca="false">IF(AND(G588&lt;&gt;"",H588&lt;&gt;""),G588*H588,"")</f>
        <v/>
      </c>
      <c r="K588" s="11"/>
      <c r="L588" s="15"/>
      <c r="M588" s="15"/>
      <c r="N588" s="14" t="n">
        <f aca="false">IF(OR(G588="",M588=""),0,IF(M588&gt;100,M588,G588*IF(M588&gt;1,M588/100,M588)))</f>
        <v>0</v>
      </c>
      <c r="O588" s="14" t="str">
        <f aca="false">IF(G588="","",G588*IF(L588="",0,IF(L588&gt;1,L588/100,L588))+N588)</f>
        <v/>
      </c>
      <c r="P588" s="11"/>
      <c r="Q588" s="16" t="str">
        <f aca="false">IF(P588="","",IFERROR(VLOOKUP(P588,PARTNERS!$A$2:$B$30,2,0),""))</f>
        <v/>
      </c>
      <c r="R588" s="17" t="str">
        <f aca="false">IF(O588="","",IF(OR(P588="",Q588=""),0,(O588-N588)*IF(Q588&gt;1,Q588/100,Q588)))</f>
        <v/>
      </c>
      <c r="S588" s="14" t="str">
        <f aca="false">IF(O588="","",O588-R588)</f>
        <v/>
      </c>
      <c r="T588" s="11"/>
      <c r="U588" s="18" t="str">
        <f aca="false">IF(T588="","",IFERROR(VLOOKUP(T588,REPS!$A$2:$D$40,2,0),""))</f>
        <v/>
      </c>
      <c r="V588" s="14" t="str">
        <f aca="false">IF(O588="","",IF(U588="",0,O588*IF(U588&gt;1,U588/100,U588)))</f>
        <v/>
      </c>
      <c r="W588" s="11"/>
      <c r="X588" s="18" t="str">
        <f aca="false">IF(W588="","",IFERROR(VLOOKUP(W588,REPS!$A$2:$D$40,3,0),""))</f>
        <v/>
      </c>
      <c r="Y588" s="14" t="str">
        <f aca="false">IF(O588="","",IF(X588="",0,O588*IF(X588&gt;1,X588/100,X588)))</f>
        <v/>
      </c>
      <c r="Z588" s="11"/>
      <c r="AA588" s="18" t="str">
        <f aca="false">IF(Z588="","",IFERROR(VLOOKUP(Z588,REPS!$A$2:$D$40,4,0),""))</f>
        <v/>
      </c>
      <c r="AB588" s="14" t="str">
        <f aca="false">IF(O588="","",IF(AA588="",0,O588*IF(AA588&gt;1,AA588/100,AA588)))</f>
        <v/>
      </c>
      <c r="AC588" s="14" t="str">
        <f aca="false">IF(O588="","",V588+Y588+AB588)</f>
        <v/>
      </c>
      <c r="AD588" s="19" t="str">
        <f aca="false">IF(O588="","",O588-R588-AC588)</f>
        <v/>
      </c>
      <c r="AE588" s="20"/>
      <c r="AF588" s="10"/>
      <c r="AG588" s="21" t="n">
        <f aca="false">IF(OR(AE588="",AE588=0),0,AE588*IF(U588="",0,IF(U588&gt;1,U588/100,U588)))</f>
        <v>0</v>
      </c>
      <c r="AH588" s="21" t="n">
        <f aca="false">IF(OR(AE588="",AE588=0),0,AE588*IF(X588="",0,IF(X588&gt;1,X588/100,X588)))</f>
        <v>0</v>
      </c>
      <c r="AI588" s="21" t="n">
        <f aca="false">IF(OR(AE588="",AE588=0),0,AE588*IF(AA588="",0,IF(AA588&gt;1,AA588/100,AA588)))</f>
        <v>0</v>
      </c>
      <c r="AJ588" s="21" t="n">
        <f aca="false">AG588+AH588+AI588</f>
        <v>0</v>
      </c>
      <c r="AK588" s="21" t="n">
        <f aca="false">IF(OR(AE588="",AE588=0),0,AE588-AJ588)</f>
        <v>0</v>
      </c>
      <c r="AL588" s="19" t="str">
        <f aca="false">IF(AD588="","",AD588-AK588)</f>
        <v/>
      </c>
      <c r="AM588" s="9" t="str">
        <f aca="false">IF(C588="","","Waiting for payment")</f>
        <v/>
      </c>
      <c r="AN588" s="10"/>
      <c r="AO588" s="10"/>
      <c r="AP588" s="22" t="str">
        <f aca="false">IF(OR(C588="",I588="",K588=""),"",IF(K588="Monthly",EDATE(C588,ROUND(I588*SETTINGS!$I$8,0)),WORKDAY(C588,ROUND(I588*SETTINGS!$I$8,0))))</f>
        <v/>
      </c>
      <c r="AQ588" s="9" t="str">
        <f aca="true">IF(C588="","",IF(AND(AP588&lt;&gt;"",TODAY()&gt;=AP588),"Refi Ready",IF(TODAY()-C588&gt;=SETTINGS!$I$11,"Prospecting","Performing")))</f>
        <v/>
      </c>
      <c r="AR588" s="22" t="str">
        <f aca="false">IF(OR(C588="",I588="",K588=""),"",IF(K588="Monthly",EDATE(C588,I588),WORKDAY(C588,I588)))</f>
        <v/>
      </c>
      <c r="AS588" s="11"/>
      <c r="AT588" s="23" t="str">
        <f aca="true">IF(C588="","",IF(AM588="Clawed Back","CLAWED",IF(TODAY()&lt;=C588+SETTINGS!$I$2,"⚠ AT RISK","SAFE")))</f>
        <v/>
      </c>
      <c r="AU588" s="11"/>
      <c r="AW588" s="24" t="n">
        <f aca="false">AW587+IF(AND(C588&lt;&gt;"",AO588&lt;&gt;"",OR('REP COMMISSION'!$B$3="",T588='REP COMMISSION'!$B$3,W588='REP COMMISSION'!$B$3,Z588='REP COMMISSION'!$B$3)),1,0)</f>
        <v>0</v>
      </c>
      <c r="AX588" s="24" t="n">
        <f aca="false">AX587+IF(AND(C588&lt;&gt;"",OR(F588="LOC - INITIAL",F588="CONSOLIDATION - UPFRONT COMM",F588="REVERSE - TOTAL FUNDING")),1,0)</f>
        <v>0</v>
      </c>
    </row>
    <row r="589" customFormat="false" ht="15" hidden="false" customHeight="false" outlineLevel="0" collapsed="false">
      <c r="A589" s="25" t="str">
        <f aca="false">IF(C589&lt;&gt;"","F27-"&amp;COUNT($C$4:C589),"")</f>
        <v/>
      </c>
      <c r="B589" s="26" t="str">
        <f aca="false">IF(OR(F589="LOC - INITIAL",F589="CONSOLIDATION - UPFRONT COMM",F589="REVERSE - TOTAL FUNDING"),A589,"")</f>
        <v/>
      </c>
      <c r="C589" s="27"/>
      <c r="D589" s="28"/>
      <c r="E589" s="28"/>
      <c r="F589" s="28"/>
      <c r="G589" s="29"/>
      <c r="H589" s="30"/>
      <c r="I589" s="28"/>
      <c r="J589" s="31" t="str">
        <f aca="false">IF(AND(G589&lt;&gt;"",H589&lt;&gt;""),G589*H589,"")</f>
        <v/>
      </c>
      <c r="K589" s="28"/>
      <c r="L589" s="32"/>
      <c r="M589" s="32"/>
      <c r="N589" s="31" t="n">
        <f aca="false">IF(OR(G589="",M589=""),0,IF(M589&gt;100,M589,G589*IF(M589&gt;1,M589/100,M589)))</f>
        <v>0</v>
      </c>
      <c r="O589" s="31" t="str">
        <f aca="false">IF(G589="","",G589*IF(L589="",0,IF(L589&gt;1,L589/100,L589))+N589)</f>
        <v/>
      </c>
      <c r="P589" s="28"/>
      <c r="Q589" s="33" t="str">
        <f aca="false">IF(P589="","",IFERROR(VLOOKUP(P589,PARTNERS!$A$2:$B$30,2,0),""))</f>
        <v/>
      </c>
      <c r="R589" s="17" t="str">
        <f aca="false">IF(O589="","",IF(OR(P589="",Q589=""),0,(O589-N589)*IF(Q589&gt;1,Q589/100,Q589)))</f>
        <v/>
      </c>
      <c r="S589" s="31" t="str">
        <f aca="false">IF(O589="","",O589-R589)</f>
        <v/>
      </c>
      <c r="T589" s="28"/>
      <c r="U589" s="34" t="str">
        <f aca="false">IF(T589="","",IFERROR(VLOOKUP(T589,REPS!$A$2:$D$40,2,0),""))</f>
        <v/>
      </c>
      <c r="V589" s="31" t="str">
        <f aca="false">IF(O589="","",IF(U589="",0,O589*IF(U589&gt;1,U589/100,U589)))</f>
        <v/>
      </c>
      <c r="W589" s="28"/>
      <c r="X589" s="34" t="str">
        <f aca="false">IF(W589="","",IFERROR(VLOOKUP(W589,REPS!$A$2:$D$40,3,0),""))</f>
        <v/>
      </c>
      <c r="Y589" s="31" t="str">
        <f aca="false">IF(O589="","",IF(X589="",0,O589*IF(X589&gt;1,X589/100,X589)))</f>
        <v/>
      </c>
      <c r="Z589" s="28"/>
      <c r="AA589" s="34" t="str">
        <f aca="false">IF(Z589="","",IFERROR(VLOOKUP(Z589,REPS!$A$2:$D$40,4,0),""))</f>
        <v/>
      </c>
      <c r="AB589" s="31" t="str">
        <f aca="false">IF(O589="","",IF(AA589="",0,O589*IF(AA589&gt;1,AA589/100,AA589)))</f>
        <v/>
      </c>
      <c r="AC589" s="31" t="str">
        <f aca="false">IF(O589="","",V589+Y589+AB589)</f>
        <v/>
      </c>
      <c r="AD589" s="19" t="str">
        <f aca="false">IF(O589="","",O589-R589-AC589)</f>
        <v/>
      </c>
      <c r="AE589" s="20"/>
      <c r="AF589" s="27"/>
      <c r="AG589" s="21" t="n">
        <f aca="false">IF(OR(AE589="",AE589=0),0,AE589*IF(U589="",0,IF(U589&gt;1,U589/100,U589)))</f>
        <v>0</v>
      </c>
      <c r="AH589" s="21" t="n">
        <f aca="false">IF(OR(AE589="",AE589=0),0,AE589*IF(X589="",0,IF(X589&gt;1,X589/100,X589)))</f>
        <v>0</v>
      </c>
      <c r="AI589" s="21" t="n">
        <f aca="false">IF(OR(AE589="",AE589=0),0,AE589*IF(AA589="",0,IF(AA589&gt;1,AA589/100,AA589)))</f>
        <v>0</v>
      </c>
      <c r="AJ589" s="21" t="n">
        <f aca="false">AG589+AH589+AI589</f>
        <v>0</v>
      </c>
      <c r="AK589" s="21" t="n">
        <f aca="false">IF(OR(AE589="",AE589=0),0,AE589-AJ589)</f>
        <v>0</v>
      </c>
      <c r="AL589" s="19" t="str">
        <f aca="false">IF(AD589="","",AD589-AK589)</f>
        <v/>
      </c>
      <c r="AM589" s="26" t="str">
        <f aca="false">IF(C589="","","Waiting for payment")</f>
        <v/>
      </c>
      <c r="AN589" s="27"/>
      <c r="AO589" s="27"/>
      <c r="AP589" s="35" t="str">
        <f aca="false">IF(OR(C589="",I589="",K589=""),"",IF(K589="Monthly",EDATE(C589,ROUND(I589*SETTINGS!$I$8,0)),WORKDAY(C589,ROUND(I589*SETTINGS!$I$8,0))))</f>
        <v/>
      </c>
      <c r="AQ589" s="26" t="str">
        <f aca="true">IF(C589="","",IF(AND(AP589&lt;&gt;"",TODAY()&gt;=AP589),"Refi Ready",IF(TODAY()-C589&gt;=SETTINGS!$I$11,"Prospecting","Performing")))</f>
        <v/>
      </c>
      <c r="AR589" s="35" t="str">
        <f aca="false">IF(OR(C589="",I589="",K589=""),"",IF(K589="Monthly",EDATE(C589,I589),WORKDAY(C589,I589)))</f>
        <v/>
      </c>
      <c r="AS589" s="28"/>
      <c r="AT589" s="36" t="str">
        <f aca="true">IF(C589="","",IF(AM589="Clawed Back","CLAWED",IF(TODAY()&lt;=C589+SETTINGS!$I$2,"⚠ AT RISK","SAFE")))</f>
        <v/>
      </c>
      <c r="AU589" s="28"/>
      <c r="AW589" s="24" t="n">
        <f aca="false">AW588+IF(AND(C589&lt;&gt;"",AO589&lt;&gt;"",OR('REP COMMISSION'!$B$3="",T589='REP COMMISSION'!$B$3,W589='REP COMMISSION'!$B$3,Z589='REP COMMISSION'!$B$3)),1,0)</f>
        <v>0</v>
      </c>
      <c r="AX589" s="24" t="n">
        <f aca="false">AX588+IF(AND(C589&lt;&gt;"",OR(F589="LOC - INITIAL",F589="CONSOLIDATION - UPFRONT COMM",F589="REVERSE - TOTAL FUNDING")),1,0)</f>
        <v>0</v>
      </c>
    </row>
    <row r="590" customFormat="false" ht="15" hidden="false" customHeight="false" outlineLevel="0" collapsed="false">
      <c r="A590" s="8" t="str">
        <f aca="false">IF(C590&lt;&gt;"","F27-"&amp;COUNT($C$4:C590),"")</f>
        <v/>
      </c>
      <c r="B590" s="9" t="str">
        <f aca="false">IF(OR(F590="LOC - INITIAL",F590="CONSOLIDATION - UPFRONT COMM",F590="REVERSE - TOTAL FUNDING"),A590,"")</f>
        <v/>
      </c>
      <c r="C590" s="10"/>
      <c r="D590" s="11"/>
      <c r="E590" s="11"/>
      <c r="F590" s="11"/>
      <c r="G590" s="12"/>
      <c r="H590" s="13"/>
      <c r="I590" s="11"/>
      <c r="J590" s="14" t="str">
        <f aca="false">IF(AND(G590&lt;&gt;"",H590&lt;&gt;""),G590*H590,"")</f>
        <v/>
      </c>
      <c r="K590" s="11"/>
      <c r="L590" s="15"/>
      <c r="M590" s="15"/>
      <c r="N590" s="14" t="n">
        <f aca="false">IF(OR(G590="",M590=""),0,IF(M590&gt;100,M590,G590*IF(M590&gt;1,M590/100,M590)))</f>
        <v>0</v>
      </c>
      <c r="O590" s="14" t="str">
        <f aca="false">IF(G590="","",G590*IF(L590="",0,IF(L590&gt;1,L590/100,L590))+N590)</f>
        <v/>
      </c>
      <c r="P590" s="11"/>
      <c r="Q590" s="16" t="str">
        <f aca="false">IF(P590="","",IFERROR(VLOOKUP(P590,PARTNERS!$A$2:$B$30,2,0),""))</f>
        <v/>
      </c>
      <c r="R590" s="17" t="str">
        <f aca="false">IF(O590="","",IF(OR(P590="",Q590=""),0,(O590-N590)*IF(Q590&gt;1,Q590/100,Q590)))</f>
        <v/>
      </c>
      <c r="S590" s="14" t="str">
        <f aca="false">IF(O590="","",O590-R590)</f>
        <v/>
      </c>
      <c r="T590" s="11"/>
      <c r="U590" s="18" t="str">
        <f aca="false">IF(T590="","",IFERROR(VLOOKUP(T590,REPS!$A$2:$D$40,2,0),""))</f>
        <v/>
      </c>
      <c r="V590" s="14" t="str">
        <f aca="false">IF(O590="","",IF(U590="",0,O590*IF(U590&gt;1,U590/100,U590)))</f>
        <v/>
      </c>
      <c r="W590" s="11"/>
      <c r="X590" s="18" t="str">
        <f aca="false">IF(W590="","",IFERROR(VLOOKUP(W590,REPS!$A$2:$D$40,3,0),""))</f>
        <v/>
      </c>
      <c r="Y590" s="14" t="str">
        <f aca="false">IF(O590="","",IF(X590="",0,O590*IF(X590&gt;1,X590/100,X590)))</f>
        <v/>
      </c>
      <c r="Z590" s="11"/>
      <c r="AA590" s="18" t="str">
        <f aca="false">IF(Z590="","",IFERROR(VLOOKUP(Z590,REPS!$A$2:$D$40,4,0),""))</f>
        <v/>
      </c>
      <c r="AB590" s="14" t="str">
        <f aca="false">IF(O590="","",IF(AA590="",0,O590*IF(AA590&gt;1,AA590/100,AA590)))</f>
        <v/>
      </c>
      <c r="AC590" s="14" t="str">
        <f aca="false">IF(O590="","",V590+Y590+AB590)</f>
        <v/>
      </c>
      <c r="AD590" s="19" t="str">
        <f aca="false">IF(O590="","",O590-R590-AC590)</f>
        <v/>
      </c>
      <c r="AE590" s="20"/>
      <c r="AF590" s="10"/>
      <c r="AG590" s="21" t="n">
        <f aca="false">IF(OR(AE590="",AE590=0),0,AE590*IF(U590="",0,IF(U590&gt;1,U590/100,U590)))</f>
        <v>0</v>
      </c>
      <c r="AH590" s="21" t="n">
        <f aca="false">IF(OR(AE590="",AE590=0),0,AE590*IF(X590="",0,IF(X590&gt;1,X590/100,X590)))</f>
        <v>0</v>
      </c>
      <c r="AI590" s="21" t="n">
        <f aca="false">IF(OR(AE590="",AE590=0),0,AE590*IF(AA590="",0,IF(AA590&gt;1,AA590/100,AA590)))</f>
        <v>0</v>
      </c>
      <c r="AJ590" s="21" t="n">
        <f aca="false">AG590+AH590+AI590</f>
        <v>0</v>
      </c>
      <c r="AK590" s="21" t="n">
        <f aca="false">IF(OR(AE590="",AE590=0),0,AE590-AJ590)</f>
        <v>0</v>
      </c>
      <c r="AL590" s="19" t="str">
        <f aca="false">IF(AD590="","",AD590-AK590)</f>
        <v/>
      </c>
      <c r="AM590" s="9" t="str">
        <f aca="false">IF(C590="","","Waiting for payment")</f>
        <v/>
      </c>
      <c r="AN590" s="10"/>
      <c r="AO590" s="10"/>
      <c r="AP590" s="22" t="str">
        <f aca="false">IF(OR(C590="",I590="",K590=""),"",IF(K590="Monthly",EDATE(C590,ROUND(I590*SETTINGS!$I$8,0)),WORKDAY(C590,ROUND(I590*SETTINGS!$I$8,0))))</f>
        <v/>
      </c>
      <c r="AQ590" s="9" t="str">
        <f aca="true">IF(C590="","",IF(AND(AP590&lt;&gt;"",TODAY()&gt;=AP590),"Refi Ready",IF(TODAY()-C590&gt;=SETTINGS!$I$11,"Prospecting","Performing")))</f>
        <v/>
      </c>
      <c r="AR590" s="22" t="str">
        <f aca="false">IF(OR(C590="",I590="",K590=""),"",IF(K590="Monthly",EDATE(C590,I590),WORKDAY(C590,I590)))</f>
        <v/>
      </c>
      <c r="AS590" s="11"/>
      <c r="AT590" s="23" t="str">
        <f aca="true">IF(C590="","",IF(AM590="Clawed Back","CLAWED",IF(TODAY()&lt;=C590+SETTINGS!$I$2,"⚠ AT RISK","SAFE")))</f>
        <v/>
      </c>
      <c r="AU590" s="11"/>
      <c r="AW590" s="24" t="n">
        <f aca="false">AW589+IF(AND(C590&lt;&gt;"",AO590&lt;&gt;"",OR('REP COMMISSION'!$B$3="",T590='REP COMMISSION'!$B$3,W590='REP COMMISSION'!$B$3,Z590='REP COMMISSION'!$B$3)),1,0)</f>
        <v>0</v>
      </c>
      <c r="AX590" s="24" t="n">
        <f aca="false">AX589+IF(AND(C590&lt;&gt;"",OR(F590="LOC - INITIAL",F590="CONSOLIDATION - UPFRONT COMM",F590="REVERSE - TOTAL FUNDING")),1,0)</f>
        <v>0</v>
      </c>
    </row>
    <row r="591" customFormat="false" ht="15" hidden="false" customHeight="false" outlineLevel="0" collapsed="false">
      <c r="A591" s="25" t="str">
        <f aca="false">IF(C591&lt;&gt;"","F27-"&amp;COUNT($C$4:C591),"")</f>
        <v/>
      </c>
      <c r="B591" s="26" t="str">
        <f aca="false">IF(OR(F591="LOC - INITIAL",F591="CONSOLIDATION - UPFRONT COMM",F591="REVERSE - TOTAL FUNDING"),A591,"")</f>
        <v/>
      </c>
      <c r="C591" s="27"/>
      <c r="D591" s="28"/>
      <c r="E591" s="28"/>
      <c r="F591" s="28"/>
      <c r="G591" s="29"/>
      <c r="H591" s="30"/>
      <c r="I591" s="28"/>
      <c r="J591" s="31" t="str">
        <f aca="false">IF(AND(G591&lt;&gt;"",H591&lt;&gt;""),G591*H591,"")</f>
        <v/>
      </c>
      <c r="K591" s="28"/>
      <c r="L591" s="32"/>
      <c r="M591" s="32"/>
      <c r="N591" s="31" t="n">
        <f aca="false">IF(OR(G591="",M591=""),0,IF(M591&gt;100,M591,G591*IF(M591&gt;1,M591/100,M591)))</f>
        <v>0</v>
      </c>
      <c r="O591" s="31" t="str">
        <f aca="false">IF(G591="","",G591*IF(L591="",0,IF(L591&gt;1,L591/100,L591))+N591)</f>
        <v/>
      </c>
      <c r="P591" s="28"/>
      <c r="Q591" s="33" t="str">
        <f aca="false">IF(P591="","",IFERROR(VLOOKUP(P591,PARTNERS!$A$2:$B$30,2,0),""))</f>
        <v/>
      </c>
      <c r="R591" s="17" t="str">
        <f aca="false">IF(O591="","",IF(OR(P591="",Q591=""),0,(O591-N591)*IF(Q591&gt;1,Q591/100,Q591)))</f>
        <v/>
      </c>
      <c r="S591" s="31" t="str">
        <f aca="false">IF(O591="","",O591-R591)</f>
        <v/>
      </c>
      <c r="T591" s="28"/>
      <c r="U591" s="34" t="str">
        <f aca="false">IF(T591="","",IFERROR(VLOOKUP(T591,REPS!$A$2:$D$40,2,0),""))</f>
        <v/>
      </c>
      <c r="V591" s="31" t="str">
        <f aca="false">IF(O591="","",IF(U591="",0,O591*IF(U591&gt;1,U591/100,U591)))</f>
        <v/>
      </c>
      <c r="W591" s="28"/>
      <c r="X591" s="34" t="str">
        <f aca="false">IF(W591="","",IFERROR(VLOOKUP(W591,REPS!$A$2:$D$40,3,0),""))</f>
        <v/>
      </c>
      <c r="Y591" s="31" t="str">
        <f aca="false">IF(O591="","",IF(X591="",0,O591*IF(X591&gt;1,X591/100,X591)))</f>
        <v/>
      </c>
      <c r="Z591" s="28"/>
      <c r="AA591" s="34" t="str">
        <f aca="false">IF(Z591="","",IFERROR(VLOOKUP(Z591,REPS!$A$2:$D$40,4,0),""))</f>
        <v/>
      </c>
      <c r="AB591" s="31" t="str">
        <f aca="false">IF(O591="","",IF(AA591="",0,O591*IF(AA591&gt;1,AA591/100,AA591)))</f>
        <v/>
      </c>
      <c r="AC591" s="31" t="str">
        <f aca="false">IF(O591="","",V591+Y591+AB591)</f>
        <v/>
      </c>
      <c r="AD591" s="19" t="str">
        <f aca="false">IF(O591="","",O591-R591-AC591)</f>
        <v/>
      </c>
      <c r="AE591" s="20"/>
      <c r="AF591" s="27"/>
      <c r="AG591" s="21" t="n">
        <f aca="false">IF(OR(AE591="",AE591=0),0,AE591*IF(U591="",0,IF(U591&gt;1,U591/100,U591)))</f>
        <v>0</v>
      </c>
      <c r="AH591" s="21" t="n">
        <f aca="false">IF(OR(AE591="",AE591=0),0,AE591*IF(X591="",0,IF(X591&gt;1,X591/100,X591)))</f>
        <v>0</v>
      </c>
      <c r="AI591" s="21" t="n">
        <f aca="false">IF(OR(AE591="",AE591=0),0,AE591*IF(AA591="",0,IF(AA591&gt;1,AA591/100,AA591)))</f>
        <v>0</v>
      </c>
      <c r="AJ591" s="21" t="n">
        <f aca="false">AG591+AH591+AI591</f>
        <v>0</v>
      </c>
      <c r="AK591" s="21" t="n">
        <f aca="false">IF(OR(AE591="",AE591=0),0,AE591-AJ591)</f>
        <v>0</v>
      </c>
      <c r="AL591" s="19" t="str">
        <f aca="false">IF(AD591="","",AD591-AK591)</f>
        <v/>
      </c>
      <c r="AM591" s="26" t="str">
        <f aca="false">IF(C591="","","Waiting for payment")</f>
        <v/>
      </c>
      <c r="AN591" s="27"/>
      <c r="AO591" s="27"/>
      <c r="AP591" s="35" t="str">
        <f aca="false">IF(OR(C591="",I591="",K591=""),"",IF(K591="Monthly",EDATE(C591,ROUND(I591*SETTINGS!$I$8,0)),WORKDAY(C591,ROUND(I591*SETTINGS!$I$8,0))))</f>
        <v/>
      </c>
      <c r="AQ591" s="26" t="str">
        <f aca="true">IF(C591="","",IF(AND(AP591&lt;&gt;"",TODAY()&gt;=AP591),"Refi Ready",IF(TODAY()-C591&gt;=SETTINGS!$I$11,"Prospecting","Performing")))</f>
        <v/>
      </c>
      <c r="AR591" s="35" t="str">
        <f aca="false">IF(OR(C591="",I591="",K591=""),"",IF(K591="Monthly",EDATE(C591,I591),WORKDAY(C591,I591)))</f>
        <v/>
      </c>
      <c r="AS591" s="28"/>
      <c r="AT591" s="36" t="str">
        <f aca="true">IF(C591="","",IF(AM591="Clawed Back","CLAWED",IF(TODAY()&lt;=C591+SETTINGS!$I$2,"⚠ AT RISK","SAFE")))</f>
        <v/>
      </c>
      <c r="AU591" s="28"/>
      <c r="AW591" s="24" t="n">
        <f aca="false">AW590+IF(AND(C591&lt;&gt;"",AO591&lt;&gt;"",OR('REP COMMISSION'!$B$3="",T591='REP COMMISSION'!$B$3,W591='REP COMMISSION'!$B$3,Z591='REP COMMISSION'!$B$3)),1,0)</f>
        <v>0</v>
      </c>
      <c r="AX591" s="24" t="n">
        <f aca="false">AX590+IF(AND(C591&lt;&gt;"",OR(F591="LOC - INITIAL",F591="CONSOLIDATION - UPFRONT COMM",F591="REVERSE - TOTAL FUNDING")),1,0)</f>
        <v>0</v>
      </c>
    </row>
    <row r="592" customFormat="false" ht="15" hidden="false" customHeight="false" outlineLevel="0" collapsed="false">
      <c r="A592" s="8" t="str">
        <f aca="false">IF(C592&lt;&gt;"","F27-"&amp;COUNT($C$4:C592),"")</f>
        <v/>
      </c>
      <c r="B592" s="9" t="str">
        <f aca="false">IF(OR(F592="LOC - INITIAL",F592="CONSOLIDATION - UPFRONT COMM",F592="REVERSE - TOTAL FUNDING"),A592,"")</f>
        <v/>
      </c>
      <c r="C592" s="10"/>
      <c r="D592" s="11"/>
      <c r="E592" s="11"/>
      <c r="F592" s="11"/>
      <c r="G592" s="12"/>
      <c r="H592" s="13"/>
      <c r="I592" s="11"/>
      <c r="J592" s="14" t="str">
        <f aca="false">IF(AND(G592&lt;&gt;"",H592&lt;&gt;""),G592*H592,"")</f>
        <v/>
      </c>
      <c r="K592" s="11"/>
      <c r="L592" s="15"/>
      <c r="M592" s="15"/>
      <c r="N592" s="14" t="n">
        <f aca="false">IF(OR(G592="",M592=""),0,IF(M592&gt;100,M592,G592*IF(M592&gt;1,M592/100,M592)))</f>
        <v>0</v>
      </c>
      <c r="O592" s="14" t="str">
        <f aca="false">IF(G592="","",G592*IF(L592="",0,IF(L592&gt;1,L592/100,L592))+N592)</f>
        <v/>
      </c>
      <c r="P592" s="11"/>
      <c r="Q592" s="16" t="str">
        <f aca="false">IF(P592="","",IFERROR(VLOOKUP(P592,PARTNERS!$A$2:$B$30,2,0),""))</f>
        <v/>
      </c>
      <c r="R592" s="17" t="str">
        <f aca="false">IF(O592="","",IF(OR(P592="",Q592=""),0,(O592-N592)*IF(Q592&gt;1,Q592/100,Q592)))</f>
        <v/>
      </c>
      <c r="S592" s="14" t="str">
        <f aca="false">IF(O592="","",O592-R592)</f>
        <v/>
      </c>
      <c r="T592" s="11"/>
      <c r="U592" s="18" t="str">
        <f aca="false">IF(T592="","",IFERROR(VLOOKUP(T592,REPS!$A$2:$D$40,2,0),""))</f>
        <v/>
      </c>
      <c r="V592" s="14" t="str">
        <f aca="false">IF(O592="","",IF(U592="",0,O592*IF(U592&gt;1,U592/100,U592)))</f>
        <v/>
      </c>
      <c r="W592" s="11"/>
      <c r="X592" s="18" t="str">
        <f aca="false">IF(W592="","",IFERROR(VLOOKUP(W592,REPS!$A$2:$D$40,3,0),""))</f>
        <v/>
      </c>
      <c r="Y592" s="14" t="str">
        <f aca="false">IF(O592="","",IF(X592="",0,O592*IF(X592&gt;1,X592/100,X592)))</f>
        <v/>
      </c>
      <c r="Z592" s="11"/>
      <c r="AA592" s="18" t="str">
        <f aca="false">IF(Z592="","",IFERROR(VLOOKUP(Z592,REPS!$A$2:$D$40,4,0),""))</f>
        <v/>
      </c>
      <c r="AB592" s="14" t="str">
        <f aca="false">IF(O592="","",IF(AA592="",0,O592*IF(AA592&gt;1,AA592/100,AA592)))</f>
        <v/>
      </c>
      <c r="AC592" s="14" t="str">
        <f aca="false">IF(O592="","",V592+Y592+AB592)</f>
        <v/>
      </c>
      <c r="AD592" s="19" t="str">
        <f aca="false">IF(O592="","",O592-R592-AC592)</f>
        <v/>
      </c>
      <c r="AE592" s="20"/>
      <c r="AF592" s="10"/>
      <c r="AG592" s="21" t="n">
        <f aca="false">IF(OR(AE592="",AE592=0),0,AE592*IF(U592="",0,IF(U592&gt;1,U592/100,U592)))</f>
        <v>0</v>
      </c>
      <c r="AH592" s="21" t="n">
        <f aca="false">IF(OR(AE592="",AE592=0),0,AE592*IF(X592="",0,IF(X592&gt;1,X592/100,X592)))</f>
        <v>0</v>
      </c>
      <c r="AI592" s="21" t="n">
        <f aca="false">IF(OR(AE592="",AE592=0),0,AE592*IF(AA592="",0,IF(AA592&gt;1,AA592/100,AA592)))</f>
        <v>0</v>
      </c>
      <c r="AJ592" s="21" t="n">
        <f aca="false">AG592+AH592+AI592</f>
        <v>0</v>
      </c>
      <c r="AK592" s="21" t="n">
        <f aca="false">IF(OR(AE592="",AE592=0),0,AE592-AJ592)</f>
        <v>0</v>
      </c>
      <c r="AL592" s="19" t="str">
        <f aca="false">IF(AD592="","",AD592-AK592)</f>
        <v/>
      </c>
      <c r="AM592" s="9" t="str">
        <f aca="false">IF(C592="","","Waiting for payment")</f>
        <v/>
      </c>
      <c r="AN592" s="10"/>
      <c r="AO592" s="10"/>
      <c r="AP592" s="22" t="str">
        <f aca="false">IF(OR(C592="",I592="",K592=""),"",IF(K592="Monthly",EDATE(C592,ROUND(I592*SETTINGS!$I$8,0)),WORKDAY(C592,ROUND(I592*SETTINGS!$I$8,0))))</f>
        <v/>
      </c>
      <c r="AQ592" s="9" t="str">
        <f aca="true">IF(C592="","",IF(AND(AP592&lt;&gt;"",TODAY()&gt;=AP592),"Refi Ready",IF(TODAY()-C592&gt;=SETTINGS!$I$11,"Prospecting","Performing")))</f>
        <v/>
      </c>
      <c r="AR592" s="22" t="str">
        <f aca="false">IF(OR(C592="",I592="",K592=""),"",IF(K592="Monthly",EDATE(C592,I592),WORKDAY(C592,I592)))</f>
        <v/>
      </c>
      <c r="AS592" s="11"/>
      <c r="AT592" s="23" t="str">
        <f aca="true">IF(C592="","",IF(AM592="Clawed Back","CLAWED",IF(TODAY()&lt;=C592+SETTINGS!$I$2,"⚠ AT RISK","SAFE")))</f>
        <v/>
      </c>
      <c r="AU592" s="11"/>
      <c r="AW592" s="24" t="n">
        <f aca="false">AW591+IF(AND(C592&lt;&gt;"",AO592&lt;&gt;"",OR('REP COMMISSION'!$B$3="",T592='REP COMMISSION'!$B$3,W592='REP COMMISSION'!$B$3,Z592='REP COMMISSION'!$B$3)),1,0)</f>
        <v>0</v>
      </c>
      <c r="AX592" s="24" t="n">
        <f aca="false">AX591+IF(AND(C592&lt;&gt;"",OR(F592="LOC - INITIAL",F592="CONSOLIDATION - UPFRONT COMM",F592="REVERSE - TOTAL FUNDING")),1,0)</f>
        <v>0</v>
      </c>
    </row>
    <row r="593" customFormat="false" ht="15" hidden="false" customHeight="false" outlineLevel="0" collapsed="false">
      <c r="A593" s="25" t="str">
        <f aca="false">IF(C593&lt;&gt;"","F27-"&amp;COUNT($C$4:C593),"")</f>
        <v/>
      </c>
      <c r="B593" s="26" t="str">
        <f aca="false">IF(OR(F593="LOC - INITIAL",F593="CONSOLIDATION - UPFRONT COMM",F593="REVERSE - TOTAL FUNDING"),A593,"")</f>
        <v/>
      </c>
      <c r="C593" s="27"/>
      <c r="D593" s="28"/>
      <c r="E593" s="28"/>
      <c r="F593" s="28"/>
      <c r="G593" s="29"/>
      <c r="H593" s="30"/>
      <c r="I593" s="28"/>
      <c r="J593" s="31" t="str">
        <f aca="false">IF(AND(G593&lt;&gt;"",H593&lt;&gt;""),G593*H593,"")</f>
        <v/>
      </c>
      <c r="K593" s="28"/>
      <c r="L593" s="32"/>
      <c r="M593" s="32"/>
      <c r="N593" s="31" t="n">
        <f aca="false">IF(OR(G593="",M593=""),0,IF(M593&gt;100,M593,G593*IF(M593&gt;1,M593/100,M593)))</f>
        <v>0</v>
      </c>
      <c r="O593" s="31" t="str">
        <f aca="false">IF(G593="","",G593*IF(L593="",0,IF(L593&gt;1,L593/100,L593))+N593)</f>
        <v/>
      </c>
      <c r="P593" s="28"/>
      <c r="Q593" s="33" t="str">
        <f aca="false">IF(P593="","",IFERROR(VLOOKUP(P593,PARTNERS!$A$2:$B$30,2,0),""))</f>
        <v/>
      </c>
      <c r="R593" s="17" t="str">
        <f aca="false">IF(O593="","",IF(OR(P593="",Q593=""),0,(O593-N593)*IF(Q593&gt;1,Q593/100,Q593)))</f>
        <v/>
      </c>
      <c r="S593" s="31" t="str">
        <f aca="false">IF(O593="","",O593-R593)</f>
        <v/>
      </c>
      <c r="T593" s="28"/>
      <c r="U593" s="34" t="str">
        <f aca="false">IF(T593="","",IFERROR(VLOOKUP(T593,REPS!$A$2:$D$40,2,0),""))</f>
        <v/>
      </c>
      <c r="V593" s="31" t="str">
        <f aca="false">IF(O593="","",IF(U593="",0,O593*IF(U593&gt;1,U593/100,U593)))</f>
        <v/>
      </c>
      <c r="W593" s="28"/>
      <c r="X593" s="34" t="str">
        <f aca="false">IF(W593="","",IFERROR(VLOOKUP(W593,REPS!$A$2:$D$40,3,0),""))</f>
        <v/>
      </c>
      <c r="Y593" s="31" t="str">
        <f aca="false">IF(O593="","",IF(X593="",0,O593*IF(X593&gt;1,X593/100,X593)))</f>
        <v/>
      </c>
      <c r="Z593" s="28"/>
      <c r="AA593" s="34" t="str">
        <f aca="false">IF(Z593="","",IFERROR(VLOOKUP(Z593,REPS!$A$2:$D$40,4,0),""))</f>
        <v/>
      </c>
      <c r="AB593" s="31" t="str">
        <f aca="false">IF(O593="","",IF(AA593="",0,O593*IF(AA593&gt;1,AA593/100,AA593)))</f>
        <v/>
      </c>
      <c r="AC593" s="31" t="str">
        <f aca="false">IF(O593="","",V593+Y593+AB593)</f>
        <v/>
      </c>
      <c r="AD593" s="19" t="str">
        <f aca="false">IF(O593="","",O593-R593-AC593)</f>
        <v/>
      </c>
      <c r="AE593" s="20"/>
      <c r="AF593" s="27"/>
      <c r="AG593" s="21" t="n">
        <f aca="false">IF(OR(AE593="",AE593=0),0,AE593*IF(U593="",0,IF(U593&gt;1,U593/100,U593)))</f>
        <v>0</v>
      </c>
      <c r="AH593" s="21" t="n">
        <f aca="false">IF(OR(AE593="",AE593=0),0,AE593*IF(X593="",0,IF(X593&gt;1,X593/100,X593)))</f>
        <v>0</v>
      </c>
      <c r="AI593" s="21" t="n">
        <f aca="false">IF(OR(AE593="",AE593=0),0,AE593*IF(AA593="",0,IF(AA593&gt;1,AA593/100,AA593)))</f>
        <v>0</v>
      </c>
      <c r="AJ593" s="21" t="n">
        <f aca="false">AG593+AH593+AI593</f>
        <v>0</v>
      </c>
      <c r="AK593" s="21" t="n">
        <f aca="false">IF(OR(AE593="",AE593=0),0,AE593-AJ593)</f>
        <v>0</v>
      </c>
      <c r="AL593" s="19" t="str">
        <f aca="false">IF(AD593="","",AD593-AK593)</f>
        <v/>
      </c>
      <c r="AM593" s="26" t="str">
        <f aca="false">IF(C593="","","Waiting for payment")</f>
        <v/>
      </c>
      <c r="AN593" s="27"/>
      <c r="AO593" s="27"/>
      <c r="AP593" s="35" t="str">
        <f aca="false">IF(OR(C593="",I593="",K593=""),"",IF(K593="Monthly",EDATE(C593,ROUND(I593*SETTINGS!$I$8,0)),WORKDAY(C593,ROUND(I593*SETTINGS!$I$8,0))))</f>
        <v/>
      </c>
      <c r="AQ593" s="26" t="str">
        <f aca="true">IF(C593="","",IF(AND(AP593&lt;&gt;"",TODAY()&gt;=AP593),"Refi Ready",IF(TODAY()-C593&gt;=SETTINGS!$I$11,"Prospecting","Performing")))</f>
        <v/>
      </c>
      <c r="AR593" s="35" t="str">
        <f aca="false">IF(OR(C593="",I593="",K593=""),"",IF(K593="Monthly",EDATE(C593,I593),WORKDAY(C593,I593)))</f>
        <v/>
      </c>
      <c r="AS593" s="28"/>
      <c r="AT593" s="36" t="str">
        <f aca="true">IF(C593="","",IF(AM593="Clawed Back","CLAWED",IF(TODAY()&lt;=C593+SETTINGS!$I$2,"⚠ AT RISK","SAFE")))</f>
        <v/>
      </c>
      <c r="AU593" s="28"/>
      <c r="AW593" s="24" t="n">
        <f aca="false">AW592+IF(AND(C593&lt;&gt;"",AO593&lt;&gt;"",OR('REP COMMISSION'!$B$3="",T593='REP COMMISSION'!$B$3,W593='REP COMMISSION'!$B$3,Z593='REP COMMISSION'!$B$3)),1,0)</f>
        <v>0</v>
      </c>
      <c r="AX593" s="24" t="n">
        <f aca="false">AX592+IF(AND(C593&lt;&gt;"",OR(F593="LOC - INITIAL",F593="CONSOLIDATION - UPFRONT COMM",F593="REVERSE - TOTAL FUNDING")),1,0)</f>
        <v>0</v>
      </c>
    </row>
    <row r="594" customFormat="false" ht="15" hidden="false" customHeight="false" outlineLevel="0" collapsed="false">
      <c r="A594" s="8" t="str">
        <f aca="false">IF(C594&lt;&gt;"","F27-"&amp;COUNT($C$4:C594),"")</f>
        <v/>
      </c>
      <c r="B594" s="9" t="str">
        <f aca="false">IF(OR(F594="LOC - INITIAL",F594="CONSOLIDATION - UPFRONT COMM",F594="REVERSE - TOTAL FUNDING"),A594,"")</f>
        <v/>
      </c>
      <c r="C594" s="10"/>
      <c r="D594" s="11"/>
      <c r="E594" s="11"/>
      <c r="F594" s="11"/>
      <c r="G594" s="12"/>
      <c r="H594" s="13"/>
      <c r="I594" s="11"/>
      <c r="J594" s="14" t="str">
        <f aca="false">IF(AND(G594&lt;&gt;"",H594&lt;&gt;""),G594*H594,"")</f>
        <v/>
      </c>
      <c r="K594" s="11"/>
      <c r="L594" s="15"/>
      <c r="M594" s="15"/>
      <c r="N594" s="14" t="n">
        <f aca="false">IF(OR(G594="",M594=""),0,IF(M594&gt;100,M594,G594*IF(M594&gt;1,M594/100,M594)))</f>
        <v>0</v>
      </c>
      <c r="O594" s="14" t="str">
        <f aca="false">IF(G594="","",G594*IF(L594="",0,IF(L594&gt;1,L594/100,L594))+N594)</f>
        <v/>
      </c>
      <c r="P594" s="11"/>
      <c r="Q594" s="16" t="str">
        <f aca="false">IF(P594="","",IFERROR(VLOOKUP(P594,PARTNERS!$A$2:$B$30,2,0),""))</f>
        <v/>
      </c>
      <c r="R594" s="17" t="str">
        <f aca="false">IF(O594="","",IF(OR(P594="",Q594=""),0,(O594-N594)*IF(Q594&gt;1,Q594/100,Q594)))</f>
        <v/>
      </c>
      <c r="S594" s="14" t="str">
        <f aca="false">IF(O594="","",O594-R594)</f>
        <v/>
      </c>
      <c r="T594" s="11"/>
      <c r="U594" s="18" t="str">
        <f aca="false">IF(T594="","",IFERROR(VLOOKUP(T594,REPS!$A$2:$D$40,2,0),""))</f>
        <v/>
      </c>
      <c r="V594" s="14" t="str">
        <f aca="false">IF(O594="","",IF(U594="",0,O594*IF(U594&gt;1,U594/100,U594)))</f>
        <v/>
      </c>
      <c r="W594" s="11"/>
      <c r="X594" s="18" t="str">
        <f aca="false">IF(W594="","",IFERROR(VLOOKUP(W594,REPS!$A$2:$D$40,3,0),""))</f>
        <v/>
      </c>
      <c r="Y594" s="14" t="str">
        <f aca="false">IF(O594="","",IF(X594="",0,O594*IF(X594&gt;1,X594/100,X594)))</f>
        <v/>
      </c>
      <c r="Z594" s="11"/>
      <c r="AA594" s="18" t="str">
        <f aca="false">IF(Z594="","",IFERROR(VLOOKUP(Z594,REPS!$A$2:$D$40,4,0),""))</f>
        <v/>
      </c>
      <c r="AB594" s="14" t="str">
        <f aca="false">IF(O594="","",IF(AA594="",0,O594*IF(AA594&gt;1,AA594/100,AA594)))</f>
        <v/>
      </c>
      <c r="AC594" s="14" t="str">
        <f aca="false">IF(O594="","",V594+Y594+AB594)</f>
        <v/>
      </c>
      <c r="AD594" s="19" t="str">
        <f aca="false">IF(O594="","",O594-R594-AC594)</f>
        <v/>
      </c>
      <c r="AE594" s="20"/>
      <c r="AF594" s="10"/>
      <c r="AG594" s="21" t="n">
        <f aca="false">IF(OR(AE594="",AE594=0),0,AE594*IF(U594="",0,IF(U594&gt;1,U594/100,U594)))</f>
        <v>0</v>
      </c>
      <c r="AH594" s="21" t="n">
        <f aca="false">IF(OR(AE594="",AE594=0),0,AE594*IF(X594="",0,IF(X594&gt;1,X594/100,X594)))</f>
        <v>0</v>
      </c>
      <c r="AI594" s="21" t="n">
        <f aca="false">IF(OR(AE594="",AE594=0),0,AE594*IF(AA594="",0,IF(AA594&gt;1,AA594/100,AA594)))</f>
        <v>0</v>
      </c>
      <c r="AJ594" s="21" t="n">
        <f aca="false">AG594+AH594+AI594</f>
        <v>0</v>
      </c>
      <c r="AK594" s="21" t="n">
        <f aca="false">IF(OR(AE594="",AE594=0),0,AE594-AJ594)</f>
        <v>0</v>
      </c>
      <c r="AL594" s="19" t="str">
        <f aca="false">IF(AD594="","",AD594-AK594)</f>
        <v/>
      </c>
      <c r="AM594" s="9" t="str">
        <f aca="false">IF(C594="","","Waiting for payment")</f>
        <v/>
      </c>
      <c r="AN594" s="10"/>
      <c r="AO594" s="10"/>
      <c r="AP594" s="22" t="str">
        <f aca="false">IF(OR(C594="",I594="",K594=""),"",IF(K594="Monthly",EDATE(C594,ROUND(I594*SETTINGS!$I$8,0)),WORKDAY(C594,ROUND(I594*SETTINGS!$I$8,0))))</f>
        <v/>
      </c>
      <c r="AQ594" s="9" t="str">
        <f aca="true">IF(C594="","",IF(AND(AP594&lt;&gt;"",TODAY()&gt;=AP594),"Refi Ready",IF(TODAY()-C594&gt;=SETTINGS!$I$11,"Prospecting","Performing")))</f>
        <v/>
      </c>
      <c r="AR594" s="22" t="str">
        <f aca="false">IF(OR(C594="",I594="",K594=""),"",IF(K594="Monthly",EDATE(C594,I594),WORKDAY(C594,I594)))</f>
        <v/>
      </c>
      <c r="AS594" s="11"/>
      <c r="AT594" s="23" t="str">
        <f aca="true">IF(C594="","",IF(AM594="Clawed Back","CLAWED",IF(TODAY()&lt;=C594+SETTINGS!$I$2,"⚠ AT RISK","SAFE")))</f>
        <v/>
      </c>
      <c r="AU594" s="11"/>
      <c r="AW594" s="24" t="n">
        <f aca="false">AW593+IF(AND(C594&lt;&gt;"",AO594&lt;&gt;"",OR('REP COMMISSION'!$B$3="",T594='REP COMMISSION'!$B$3,W594='REP COMMISSION'!$B$3,Z594='REP COMMISSION'!$B$3)),1,0)</f>
        <v>0</v>
      </c>
      <c r="AX594" s="24" t="n">
        <f aca="false">AX593+IF(AND(C594&lt;&gt;"",OR(F594="LOC - INITIAL",F594="CONSOLIDATION - UPFRONT COMM",F594="REVERSE - TOTAL FUNDING")),1,0)</f>
        <v>0</v>
      </c>
    </row>
    <row r="595" customFormat="false" ht="15" hidden="false" customHeight="false" outlineLevel="0" collapsed="false">
      <c r="A595" s="25" t="str">
        <f aca="false">IF(C595&lt;&gt;"","F27-"&amp;COUNT($C$4:C595),"")</f>
        <v/>
      </c>
      <c r="B595" s="26" t="str">
        <f aca="false">IF(OR(F595="LOC - INITIAL",F595="CONSOLIDATION - UPFRONT COMM",F595="REVERSE - TOTAL FUNDING"),A595,"")</f>
        <v/>
      </c>
      <c r="C595" s="27"/>
      <c r="D595" s="28"/>
      <c r="E595" s="28"/>
      <c r="F595" s="28"/>
      <c r="G595" s="29"/>
      <c r="H595" s="30"/>
      <c r="I595" s="28"/>
      <c r="J595" s="31" t="str">
        <f aca="false">IF(AND(G595&lt;&gt;"",H595&lt;&gt;""),G595*H595,"")</f>
        <v/>
      </c>
      <c r="K595" s="28"/>
      <c r="L595" s="32"/>
      <c r="M595" s="32"/>
      <c r="N595" s="31" t="n">
        <f aca="false">IF(OR(G595="",M595=""),0,IF(M595&gt;100,M595,G595*IF(M595&gt;1,M595/100,M595)))</f>
        <v>0</v>
      </c>
      <c r="O595" s="31" t="str">
        <f aca="false">IF(G595="","",G595*IF(L595="",0,IF(L595&gt;1,L595/100,L595))+N595)</f>
        <v/>
      </c>
      <c r="P595" s="28"/>
      <c r="Q595" s="33" t="str">
        <f aca="false">IF(P595="","",IFERROR(VLOOKUP(P595,PARTNERS!$A$2:$B$30,2,0),""))</f>
        <v/>
      </c>
      <c r="R595" s="17" t="str">
        <f aca="false">IF(O595="","",IF(OR(P595="",Q595=""),0,(O595-N595)*IF(Q595&gt;1,Q595/100,Q595)))</f>
        <v/>
      </c>
      <c r="S595" s="31" t="str">
        <f aca="false">IF(O595="","",O595-R595)</f>
        <v/>
      </c>
      <c r="T595" s="28"/>
      <c r="U595" s="34" t="str">
        <f aca="false">IF(T595="","",IFERROR(VLOOKUP(T595,REPS!$A$2:$D$40,2,0),""))</f>
        <v/>
      </c>
      <c r="V595" s="31" t="str">
        <f aca="false">IF(O595="","",IF(U595="",0,O595*IF(U595&gt;1,U595/100,U595)))</f>
        <v/>
      </c>
      <c r="W595" s="28"/>
      <c r="X595" s="34" t="str">
        <f aca="false">IF(W595="","",IFERROR(VLOOKUP(W595,REPS!$A$2:$D$40,3,0),""))</f>
        <v/>
      </c>
      <c r="Y595" s="31" t="str">
        <f aca="false">IF(O595="","",IF(X595="",0,O595*IF(X595&gt;1,X595/100,X595)))</f>
        <v/>
      </c>
      <c r="Z595" s="28"/>
      <c r="AA595" s="34" t="str">
        <f aca="false">IF(Z595="","",IFERROR(VLOOKUP(Z595,REPS!$A$2:$D$40,4,0),""))</f>
        <v/>
      </c>
      <c r="AB595" s="31" t="str">
        <f aca="false">IF(O595="","",IF(AA595="",0,O595*IF(AA595&gt;1,AA595/100,AA595)))</f>
        <v/>
      </c>
      <c r="AC595" s="31" t="str">
        <f aca="false">IF(O595="","",V595+Y595+AB595)</f>
        <v/>
      </c>
      <c r="AD595" s="19" t="str">
        <f aca="false">IF(O595="","",O595-R595-AC595)</f>
        <v/>
      </c>
      <c r="AE595" s="20"/>
      <c r="AF595" s="27"/>
      <c r="AG595" s="21" t="n">
        <f aca="false">IF(OR(AE595="",AE595=0),0,AE595*IF(U595="",0,IF(U595&gt;1,U595/100,U595)))</f>
        <v>0</v>
      </c>
      <c r="AH595" s="21" t="n">
        <f aca="false">IF(OR(AE595="",AE595=0),0,AE595*IF(X595="",0,IF(X595&gt;1,X595/100,X595)))</f>
        <v>0</v>
      </c>
      <c r="AI595" s="21" t="n">
        <f aca="false">IF(OR(AE595="",AE595=0),0,AE595*IF(AA595="",0,IF(AA595&gt;1,AA595/100,AA595)))</f>
        <v>0</v>
      </c>
      <c r="AJ595" s="21" t="n">
        <f aca="false">AG595+AH595+AI595</f>
        <v>0</v>
      </c>
      <c r="AK595" s="21" t="n">
        <f aca="false">IF(OR(AE595="",AE595=0),0,AE595-AJ595)</f>
        <v>0</v>
      </c>
      <c r="AL595" s="19" t="str">
        <f aca="false">IF(AD595="","",AD595-AK595)</f>
        <v/>
      </c>
      <c r="AM595" s="26" t="str">
        <f aca="false">IF(C595="","","Waiting for payment")</f>
        <v/>
      </c>
      <c r="AN595" s="27"/>
      <c r="AO595" s="27"/>
      <c r="AP595" s="35" t="str">
        <f aca="false">IF(OR(C595="",I595="",K595=""),"",IF(K595="Monthly",EDATE(C595,ROUND(I595*SETTINGS!$I$8,0)),WORKDAY(C595,ROUND(I595*SETTINGS!$I$8,0))))</f>
        <v/>
      </c>
      <c r="AQ595" s="26" t="str">
        <f aca="true">IF(C595="","",IF(AND(AP595&lt;&gt;"",TODAY()&gt;=AP595),"Refi Ready",IF(TODAY()-C595&gt;=SETTINGS!$I$11,"Prospecting","Performing")))</f>
        <v/>
      </c>
      <c r="AR595" s="35" t="str">
        <f aca="false">IF(OR(C595="",I595="",K595=""),"",IF(K595="Monthly",EDATE(C595,I595),WORKDAY(C595,I595)))</f>
        <v/>
      </c>
      <c r="AS595" s="28"/>
      <c r="AT595" s="36" t="str">
        <f aca="true">IF(C595="","",IF(AM595="Clawed Back","CLAWED",IF(TODAY()&lt;=C595+SETTINGS!$I$2,"⚠ AT RISK","SAFE")))</f>
        <v/>
      </c>
      <c r="AU595" s="28"/>
      <c r="AW595" s="24" t="n">
        <f aca="false">AW594+IF(AND(C595&lt;&gt;"",AO595&lt;&gt;"",OR('REP COMMISSION'!$B$3="",T595='REP COMMISSION'!$B$3,W595='REP COMMISSION'!$B$3,Z595='REP COMMISSION'!$B$3)),1,0)</f>
        <v>0</v>
      </c>
      <c r="AX595" s="24" t="n">
        <f aca="false">AX594+IF(AND(C595&lt;&gt;"",OR(F595="LOC - INITIAL",F595="CONSOLIDATION - UPFRONT COMM",F595="REVERSE - TOTAL FUNDING")),1,0)</f>
        <v>0</v>
      </c>
    </row>
    <row r="596" customFormat="false" ht="15" hidden="false" customHeight="false" outlineLevel="0" collapsed="false">
      <c r="A596" s="8" t="str">
        <f aca="false">IF(C596&lt;&gt;"","F27-"&amp;COUNT($C$4:C596),"")</f>
        <v/>
      </c>
      <c r="B596" s="9" t="str">
        <f aca="false">IF(OR(F596="LOC - INITIAL",F596="CONSOLIDATION - UPFRONT COMM",F596="REVERSE - TOTAL FUNDING"),A596,"")</f>
        <v/>
      </c>
      <c r="C596" s="10"/>
      <c r="D596" s="11"/>
      <c r="E596" s="11"/>
      <c r="F596" s="11"/>
      <c r="G596" s="12"/>
      <c r="H596" s="13"/>
      <c r="I596" s="11"/>
      <c r="J596" s="14" t="str">
        <f aca="false">IF(AND(G596&lt;&gt;"",H596&lt;&gt;""),G596*H596,"")</f>
        <v/>
      </c>
      <c r="K596" s="11"/>
      <c r="L596" s="15"/>
      <c r="M596" s="15"/>
      <c r="N596" s="14" t="n">
        <f aca="false">IF(OR(G596="",M596=""),0,IF(M596&gt;100,M596,G596*IF(M596&gt;1,M596/100,M596)))</f>
        <v>0</v>
      </c>
      <c r="O596" s="14" t="str">
        <f aca="false">IF(G596="","",G596*IF(L596="",0,IF(L596&gt;1,L596/100,L596))+N596)</f>
        <v/>
      </c>
      <c r="P596" s="11"/>
      <c r="Q596" s="16" t="str">
        <f aca="false">IF(P596="","",IFERROR(VLOOKUP(P596,PARTNERS!$A$2:$B$30,2,0),""))</f>
        <v/>
      </c>
      <c r="R596" s="17" t="str">
        <f aca="false">IF(O596="","",IF(OR(P596="",Q596=""),0,(O596-N596)*IF(Q596&gt;1,Q596/100,Q596)))</f>
        <v/>
      </c>
      <c r="S596" s="14" t="str">
        <f aca="false">IF(O596="","",O596-R596)</f>
        <v/>
      </c>
      <c r="T596" s="11"/>
      <c r="U596" s="18" t="str">
        <f aca="false">IF(T596="","",IFERROR(VLOOKUP(T596,REPS!$A$2:$D$40,2,0),""))</f>
        <v/>
      </c>
      <c r="V596" s="14" t="str">
        <f aca="false">IF(O596="","",IF(U596="",0,O596*IF(U596&gt;1,U596/100,U596)))</f>
        <v/>
      </c>
      <c r="W596" s="11"/>
      <c r="X596" s="18" t="str">
        <f aca="false">IF(W596="","",IFERROR(VLOOKUP(W596,REPS!$A$2:$D$40,3,0),""))</f>
        <v/>
      </c>
      <c r="Y596" s="14" t="str">
        <f aca="false">IF(O596="","",IF(X596="",0,O596*IF(X596&gt;1,X596/100,X596)))</f>
        <v/>
      </c>
      <c r="Z596" s="11"/>
      <c r="AA596" s="18" t="str">
        <f aca="false">IF(Z596="","",IFERROR(VLOOKUP(Z596,REPS!$A$2:$D$40,4,0),""))</f>
        <v/>
      </c>
      <c r="AB596" s="14" t="str">
        <f aca="false">IF(O596="","",IF(AA596="",0,O596*IF(AA596&gt;1,AA596/100,AA596)))</f>
        <v/>
      </c>
      <c r="AC596" s="14" t="str">
        <f aca="false">IF(O596="","",V596+Y596+AB596)</f>
        <v/>
      </c>
      <c r="AD596" s="19" t="str">
        <f aca="false">IF(O596="","",O596-R596-AC596)</f>
        <v/>
      </c>
      <c r="AE596" s="20"/>
      <c r="AF596" s="10"/>
      <c r="AG596" s="21" t="n">
        <f aca="false">IF(OR(AE596="",AE596=0),0,AE596*IF(U596="",0,IF(U596&gt;1,U596/100,U596)))</f>
        <v>0</v>
      </c>
      <c r="AH596" s="21" t="n">
        <f aca="false">IF(OR(AE596="",AE596=0),0,AE596*IF(X596="",0,IF(X596&gt;1,X596/100,X596)))</f>
        <v>0</v>
      </c>
      <c r="AI596" s="21" t="n">
        <f aca="false">IF(OR(AE596="",AE596=0),0,AE596*IF(AA596="",0,IF(AA596&gt;1,AA596/100,AA596)))</f>
        <v>0</v>
      </c>
      <c r="AJ596" s="21" t="n">
        <f aca="false">AG596+AH596+AI596</f>
        <v>0</v>
      </c>
      <c r="AK596" s="21" t="n">
        <f aca="false">IF(OR(AE596="",AE596=0),0,AE596-AJ596)</f>
        <v>0</v>
      </c>
      <c r="AL596" s="19" t="str">
        <f aca="false">IF(AD596="","",AD596-AK596)</f>
        <v/>
      </c>
      <c r="AM596" s="9" t="str">
        <f aca="false">IF(C596="","","Waiting for payment")</f>
        <v/>
      </c>
      <c r="AN596" s="10"/>
      <c r="AO596" s="10"/>
      <c r="AP596" s="22" t="str">
        <f aca="false">IF(OR(C596="",I596="",K596=""),"",IF(K596="Monthly",EDATE(C596,ROUND(I596*SETTINGS!$I$8,0)),WORKDAY(C596,ROUND(I596*SETTINGS!$I$8,0))))</f>
        <v/>
      </c>
      <c r="AQ596" s="9" t="str">
        <f aca="true">IF(C596="","",IF(AND(AP596&lt;&gt;"",TODAY()&gt;=AP596),"Refi Ready",IF(TODAY()-C596&gt;=SETTINGS!$I$11,"Prospecting","Performing")))</f>
        <v/>
      </c>
      <c r="AR596" s="22" t="str">
        <f aca="false">IF(OR(C596="",I596="",K596=""),"",IF(K596="Monthly",EDATE(C596,I596),WORKDAY(C596,I596)))</f>
        <v/>
      </c>
      <c r="AS596" s="11"/>
      <c r="AT596" s="23" t="str">
        <f aca="true">IF(C596="","",IF(AM596="Clawed Back","CLAWED",IF(TODAY()&lt;=C596+SETTINGS!$I$2,"⚠ AT RISK","SAFE")))</f>
        <v/>
      </c>
      <c r="AU596" s="11"/>
      <c r="AW596" s="24" t="n">
        <f aca="false">AW595+IF(AND(C596&lt;&gt;"",AO596&lt;&gt;"",OR('REP COMMISSION'!$B$3="",T596='REP COMMISSION'!$B$3,W596='REP COMMISSION'!$B$3,Z596='REP COMMISSION'!$B$3)),1,0)</f>
        <v>0</v>
      </c>
      <c r="AX596" s="24" t="n">
        <f aca="false">AX595+IF(AND(C596&lt;&gt;"",OR(F596="LOC - INITIAL",F596="CONSOLIDATION - UPFRONT COMM",F596="REVERSE - TOTAL FUNDING")),1,0)</f>
        <v>0</v>
      </c>
    </row>
    <row r="597" customFormat="false" ht="15" hidden="false" customHeight="false" outlineLevel="0" collapsed="false">
      <c r="A597" s="25" t="str">
        <f aca="false">IF(C597&lt;&gt;"","F27-"&amp;COUNT($C$4:C597),"")</f>
        <v/>
      </c>
      <c r="B597" s="26" t="str">
        <f aca="false">IF(OR(F597="LOC - INITIAL",F597="CONSOLIDATION - UPFRONT COMM",F597="REVERSE - TOTAL FUNDING"),A597,"")</f>
        <v/>
      </c>
      <c r="C597" s="27"/>
      <c r="D597" s="28"/>
      <c r="E597" s="28"/>
      <c r="F597" s="28"/>
      <c r="G597" s="29"/>
      <c r="H597" s="30"/>
      <c r="I597" s="28"/>
      <c r="J597" s="31" t="str">
        <f aca="false">IF(AND(G597&lt;&gt;"",H597&lt;&gt;""),G597*H597,"")</f>
        <v/>
      </c>
      <c r="K597" s="28"/>
      <c r="L597" s="32"/>
      <c r="M597" s="32"/>
      <c r="N597" s="31" t="n">
        <f aca="false">IF(OR(G597="",M597=""),0,IF(M597&gt;100,M597,G597*IF(M597&gt;1,M597/100,M597)))</f>
        <v>0</v>
      </c>
      <c r="O597" s="31" t="str">
        <f aca="false">IF(G597="","",G597*IF(L597="",0,IF(L597&gt;1,L597/100,L597))+N597)</f>
        <v/>
      </c>
      <c r="P597" s="28"/>
      <c r="Q597" s="33" t="str">
        <f aca="false">IF(P597="","",IFERROR(VLOOKUP(P597,PARTNERS!$A$2:$B$30,2,0),""))</f>
        <v/>
      </c>
      <c r="R597" s="17" t="str">
        <f aca="false">IF(O597="","",IF(OR(P597="",Q597=""),0,(O597-N597)*IF(Q597&gt;1,Q597/100,Q597)))</f>
        <v/>
      </c>
      <c r="S597" s="31" t="str">
        <f aca="false">IF(O597="","",O597-R597)</f>
        <v/>
      </c>
      <c r="T597" s="28"/>
      <c r="U597" s="34" t="str">
        <f aca="false">IF(T597="","",IFERROR(VLOOKUP(T597,REPS!$A$2:$D$40,2,0),""))</f>
        <v/>
      </c>
      <c r="V597" s="31" t="str">
        <f aca="false">IF(O597="","",IF(U597="",0,O597*IF(U597&gt;1,U597/100,U597)))</f>
        <v/>
      </c>
      <c r="W597" s="28"/>
      <c r="X597" s="34" t="str">
        <f aca="false">IF(W597="","",IFERROR(VLOOKUP(W597,REPS!$A$2:$D$40,3,0),""))</f>
        <v/>
      </c>
      <c r="Y597" s="31" t="str">
        <f aca="false">IF(O597="","",IF(X597="",0,O597*IF(X597&gt;1,X597/100,X597)))</f>
        <v/>
      </c>
      <c r="Z597" s="28"/>
      <c r="AA597" s="34" t="str">
        <f aca="false">IF(Z597="","",IFERROR(VLOOKUP(Z597,REPS!$A$2:$D$40,4,0),""))</f>
        <v/>
      </c>
      <c r="AB597" s="31" t="str">
        <f aca="false">IF(O597="","",IF(AA597="",0,O597*IF(AA597&gt;1,AA597/100,AA597)))</f>
        <v/>
      </c>
      <c r="AC597" s="31" t="str">
        <f aca="false">IF(O597="","",V597+Y597+AB597)</f>
        <v/>
      </c>
      <c r="AD597" s="19" t="str">
        <f aca="false">IF(O597="","",O597-R597-AC597)</f>
        <v/>
      </c>
      <c r="AE597" s="20"/>
      <c r="AF597" s="27"/>
      <c r="AG597" s="21" t="n">
        <f aca="false">IF(OR(AE597="",AE597=0),0,AE597*IF(U597="",0,IF(U597&gt;1,U597/100,U597)))</f>
        <v>0</v>
      </c>
      <c r="AH597" s="21" t="n">
        <f aca="false">IF(OR(AE597="",AE597=0),0,AE597*IF(X597="",0,IF(X597&gt;1,X597/100,X597)))</f>
        <v>0</v>
      </c>
      <c r="AI597" s="21" t="n">
        <f aca="false">IF(OR(AE597="",AE597=0),0,AE597*IF(AA597="",0,IF(AA597&gt;1,AA597/100,AA597)))</f>
        <v>0</v>
      </c>
      <c r="AJ597" s="21" t="n">
        <f aca="false">AG597+AH597+AI597</f>
        <v>0</v>
      </c>
      <c r="AK597" s="21" t="n">
        <f aca="false">IF(OR(AE597="",AE597=0),0,AE597-AJ597)</f>
        <v>0</v>
      </c>
      <c r="AL597" s="19" t="str">
        <f aca="false">IF(AD597="","",AD597-AK597)</f>
        <v/>
      </c>
      <c r="AM597" s="26" t="str">
        <f aca="false">IF(C597="","","Waiting for payment")</f>
        <v/>
      </c>
      <c r="AN597" s="27"/>
      <c r="AO597" s="27"/>
      <c r="AP597" s="35" t="str">
        <f aca="false">IF(OR(C597="",I597="",K597=""),"",IF(K597="Monthly",EDATE(C597,ROUND(I597*SETTINGS!$I$8,0)),WORKDAY(C597,ROUND(I597*SETTINGS!$I$8,0))))</f>
        <v/>
      </c>
      <c r="AQ597" s="26" t="str">
        <f aca="true">IF(C597="","",IF(AND(AP597&lt;&gt;"",TODAY()&gt;=AP597),"Refi Ready",IF(TODAY()-C597&gt;=SETTINGS!$I$11,"Prospecting","Performing")))</f>
        <v/>
      </c>
      <c r="AR597" s="35" t="str">
        <f aca="false">IF(OR(C597="",I597="",K597=""),"",IF(K597="Monthly",EDATE(C597,I597),WORKDAY(C597,I597)))</f>
        <v/>
      </c>
      <c r="AS597" s="28"/>
      <c r="AT597" s="36" t="str">
        <f aca="true">IF(C597="","",IF(AM597="Clawed Back","CLAWED",IF(TODAY()&lt;=C597+SETTINGS!$I$2,"⚠ AT RISK","SAFE")))</f>
        <v/>
      </c>
      <c r="AU597" s="28"/>
      <c r="AW597" s="24" t="n">
        <f aca="false">AW596+IF(AND(C597&lt;&gt;"",AO597&lt;&gt;"",OR('REP COMMISSION'!$B$3="",T597='REP COMMISSION'!$B$3,W597='REP COMMISSION'!$B$3,Z597='REP COMMISSION'!$B$3)),1,0)</f>
        <v>0</v>
      </c>
      <c r="AX597" s="24" t="n">
        <f aca="false">AX596+IF(AND(C597&lt;&gt;"",OR(F597="LOC - INITIAL",F597="CONSOLIDATION - UPFRONT COMM",F597="REVERSE - TOTAL FUNDING")),1,0)</f>
        <v>0</v>
      </c>
    </row>
    <row r="598" customFormat="false" ht="15" hidden="false" customHeight="false" outlineLevel="0" collapsed="false">
      <c r="A598" s="8" t="str">
        <f aca="false">IF(C598&lt;&gt;"","F27-"&amp;COUNT($C$4:C598),"")</f>
        <v/>
      </c>
      <c r="B598" s="9" t="str">
        <f aca="false">IF(OR(F598="LOC - INITIAL",F598="CONSOLIDATION - UPFRONT COMM",F598="REVERSE - TOTAL FUNDING"),A598,"")</f>
        <v/>
      </c>
      <c r="C598" s="10"/>
      <c r="D598" s="11"/>
      <c r="E598" s="11"/>
      <c r="F598" s="11"/>
      <c r="G598" s="12"/>
      <c r="H598" s="13"/>
      <c r="I598" s="11"/>
      <c r="J598" s="14" t="str">
        <f aca="false">IF(AND(G598&lt;&gt;"",H598&lt;&gt;""),G598*H598,"")</f>
        <v/>
      </c>
      <c r="K598" s="11"/>
      <c r="L598" s="15"/>
      <c r="M598" s="15"/>
      <c r="N598" s="14" t="n">
        <f aca="false">IF(OR(G598="",M598=""),0,IF(M598&gt;100,M598,G598*IF(M598&gt;1,M598/100,M598)))</f>
        <v>0</v>
      </c>
      <c r="O598" s="14" t="str">
        <f aca="false">IF(G598="","",G598*IF(L598="",0,IF(L598&gt;1,L598/100,L598))+N598)</f>
        <v/>
      </c>
      <c r="P598" s="11"/>
      <c r="Q598" s="16" t="str">
        <f aca="false">IF(P598="","",IFERROR(VLOOKUP(P598,PARTNERS!$A$2:$B$30,2,0),""))</f>
        <v/>
      </c>
      <c r="R598" s="17" t="str">
        <f aca="false">IF(O598="","",IF(OR(P598="",Q598=""),0,(O598-N598)*IF(Q598&gt;1,Q598/100,Q598)))</f>
        <v/>
      </c>
      <c r="S598" s="14" t="str">
        <f aca="false">IF(O598="","",O598-R598)</f>
        <v/>
      </c>
      <c r="T598" s="11"/>
      <c r="U598" s="18" t="str">
        <f aca="false">IF(T598="","",IFERROR(VLOOKUP(T598,REPS!$A$2:$D$40,2,0),""))</f>
        <v/>
      </c>
      <c r="V598" s="14" t="str">
        <f aca="false">IF(O598="","",IF(U598="",0,O598*IF(U598&gt;1,U598/100,U598)))</f>
        <v/>
      </c>
      <c r="W598" s="11"/>
      <c r="X598" s="18" t="str">
        <f aca="false">IF(W598="","",IFERROR(VLOOKUP(W598,REPS!$A$2:$D$40,3,0),""))</f>
        <v/>
      </c>
      <c r="Y598" s="14" t="str">
        <f aca="false">IF(O598="","",IF(X598="",0,O598*IF(X598&gt;1,X598/100,X598)))</f>
        <v/>
      </c>
      <c r="Z598" s="11"/>
      <c r="AA598" s="18" t="str">
        <f aca="false">IF(Z598="","",IFERROR(VLOOKUP(Z598,REPS!$A$2:$D$40,4,0),""))</f>
        <v/>
      </c>
      <c r="AB598" s="14" t="str">
        <f aca="false">IF(O598="","",IF(AA598="",0,O598*IF(AA598&gt;1,AA598/100,AA598)))</f>
        <v/>
      </c>
      <c r="AC598" s="14" t="str">
        <f aca="false">IF(O598="","",V598+Y598+AB598)</f>
        <v/>
      </c>
      <c r="AD598" s="19" t="str">
        <f aca="false">IF(O598="","",O598-R598-AC598)</f>
        <v/>
      </c>
      <c r="AE598" s="20"/>
      <c r="AF598" s="10"/>
      <c r="AG598" s="21" t="n">
        <f aca="false">IF(OR(AE598="",AE598=0),0,AE598*IF(U598="",0,IF(U598&gt;1,U598/100,U598)))</f>
        <v>0</v>
      </c>
      <c r="AH598" s="21" t="n">
        <f aca="false">IF(OR(AE598="",AE598=0),0,AE598*IF(X598="",0,IF(X598&gt;1,X598/100,X598)))</f>
        <v>0</v>
      </c>
      <c r="AI598" s="21" t="n">
        <f aca="false">IF(OR(AE598="",AE598=0),0,AE598*IF(AA598="",0,IF(AA598&gt;1,AA598/100,AA598)))</f>
        <v>0</v>
      </c>
      <c r="AJ598" s="21" t="n">
        <f aca="false">AG598+AH598+AI598</f>
        <v>0</v>
      </c>
      <c r="AK598" s="21" t="n">
        <f aca="false">IF(OR(AE598="",AE598=0),0,AE598-AJ598)</f>
        <v>0</v>
      </c>
      <c r="AL598" s="19" t="str">
        <f aca="false">IF(AD598="","",AD598-AK598)</f>
        <v/>
      </c>
      <c r="AM598" s="9" t="str">
        <f aca="false">IF(C598="","","Waiting for payment")</f>
        <v/>
      </c>
      <c r="AN598" s="10"/>
      <c r="AO598" s="10"/>
      <c r="AP598" s="22" t="str">
        <f aca="false">IF(OR(C598="",I598="",K598=""),"",IF(K598="Monthly",EDATE(C598,ROUND(I598*SETTINGS!$I$8,0)),WORKDAY(C598,ROUND(I598*SETTINGS!$I$8,0))))</f>
        <v/>
      </c>
      <c r="AQ598" s="9" t="str">
        <f aca="true">IF(C598="","",IF(AND(AP598&lt;&gt;"",TODAY()&gt;=AP598),"Refi Ready",IF(TODAY()-C598&gt;=SETTINGS!$I$11,"Prospecting","Performing")))</f>
        <v/>
      </c>
      <c r="AR598" s="22" t="str">
        <f aca="false">IF(OR(C598="",I598="",K598=""),"",IF(K598="Monthly",EDATE(C598,I598),WORKDAY(C598,I598)))</f>
        <v/>
      </c>
      <c r="AS598" s="11"/>
      <c r="AT598" s="23" t="str">
        <f aca="true">IF(C598="","",IF(AM598="Clawed Back","CLAWED",IF(TODAY()&lt;=C598+SETTINGS!$I$2,"⚠ AT RISK","SAFE")))</f>
        <v/>
      </c>
      <c r="AU598" s="11"/>
      <c r="AW598" s="24" t="n">
        <f aca="false">AW597+IF(AND(C598&lt;&gt;"",AO598&lt;&gt;"",OR('REP COMMISSION'!$B$3="",T598='REP COMMISSION'!$B$3,W598='REP COMMISSION'!$B$3,Z598='REP COMMISSION'!$B$3)),1,0)</f>
        <v>0</v>
      </c>
      <c r="AX598" s="24" t="n">
        <f aca="false">AX597+IF(AND(C598&lt;&gt;"",OR(F598="LOC - INITIAL",F598="CONSOLIDATION - UPFRONT COMM",F598="REVERSE - TOTAL FUNDING")),1,0)</f>
        <v>0</v>
      </c>
    </row>
    <row r="599" customFormat="false" ht="15" hidden="false" customHeight="false" outlineLevel="0" collapsed="false">
      <c r="A599" s="25" t="str">
        <f aca="false">IF(C599&lt;&gt;"","F27-"&amp;COUNT($C$4:C599),"")</f>
        <v/>
      </c>
      <c r="B599" s="26" t="str">
        <f aca="false">IF(OR(F599="LOC - INITIAL",F599="CONSOLIDATION - UPFRONT COMM",F599="REVERSE - TOTAL FUNDING"),A599,"")</f>
        <v/>
      </c>
      <c r="C599" s="27"/>
      <c r="D599" s="28"/>
      <c r="E599" s="28"/>
      <c r="F599" s="28"/>
      <c r="G599" s="29"/>
      <c r="H599" s="30"/>
      <c r="I599" s="28"/>
      <c r="J599" s="31" t="str">
        <f aca="false">IF(AND(G599&lt;&gt;"",H599&lt;&gt;""),G599*H599,"")</f>
        <v/>
      </c>
      <c r="K599" s="28"/>
      <c r="L599" s="32"/>
      <c r="M599" s="32"/>
      <c r="N599" s="31" t="n">
        <f aca="false">IF(OR(G599="",M599=""),0,IF(M599&gt;100,M599,G599*IF(M599&gt;1,M599/100,M599)))</f>
        <v>0</v>
      </c>
      <c r="O599" s="31" t="str">
        <f aca="false">IF(G599="","",G599*IF(L599="",0,IF(L599&gt;1,L599/100,L599))+N599)</f>
        <v/>
      </c>
      <c r="P599" s="28"/>
      <c r="Q599" s="33" t="str">
        <f aca="false">IF(P599="","",IFERROR(VLOOKUP(P599,PARTNERS!$A$2:$B$30,2,0),""))</f>
        <v/>
      </c>
      <c r="R599" s="17" t="str">
        <f aca="false">IF(O599="","",IF(OR(P599="",Q599=""),0,(O599-N599)*IF(Q599&gt;1,Q599/100,Q599)))</f>
        <v/>
      </c>
      <c r="S599" s="31" t="str">
        <f aca="false">IF(O599="","",O599-R599)</f>
        <v/>
      </c>
      <c r="T599" s="28"/>
      <c r="U599" s="34" t="str">
        <f aca="false">IF(T599="","",IFERROR(VLOOKUP(T599,REPS!$A$2:$D$40,2,0),""))</f>
        <v/>
      </c>
      <c r="V599" s="31" t="str">
        <f aca="false">IF(O599="","",IF(U599="",0,O599*IF(U599&gt;1,U599/100,U599)))</f>
        <v/>
      </c>
      <c r="W599" s="28"/>
      <c r="X599" s="34" t="str">
        <f aca="false">IF(W599="","",IFERROR(VLOOKUP(W599,REPS!$A$2:$D$40,3,0),""))</f>
        <v/>
      </c>
      <c r="Y599" s="31" t="str">
        <f aca="false">IF(O599="","",IF(X599="",0,O599*IF(X599&gt;1,X599/100,X599)))</f>
        <v/>
      </c>
      <c r="Z599" s="28"/>
      <c r="AA599" s="34" t="str">
        <f aca="false">IF(Z599="","",IFERROR(VLOOKUP(Z599,REPS!$A$2:$D$40,4,0),""))</f>
        <v/>
      </c>
      <c r="AB599" s="31" t="str">
        <f aca="false">IF(O599="","",IF(AA599="",0,O599*IF(AA599&gt;1,AA599/100,AA599)))</f>
        <v/>
      </c>
      <c r="AC599" s="31" t="str">
        <f aca="false">IF(O599="","",V599+Y599+AB599)</f>
        <v/>
      </c>
      <c r="AD599" s="19" t="str">
        <f aca="false">IF(O599="","",O599-R599-AC599)</f>
        <v/>
      </c>
      <c r="AE599" s="20"/>
      <c r="AF599" s="27"/>
      <c r="AG599" s="21" t="n">
        <f aca="false">IF(OR(AE599="",AE599=0),0,AE599*IF(U599="",0,IF(U599&gt;1,U599/100,U599)))</f>
        <v>0</v>
      </c>
      <c r="AH599" s="21" t="n">
        <f aca="false">IF(OR(AE599="",AE599=0),0,AE599*IF(X599="",0,IF(X599&gt;1,X599/100,X599)))</f>
        <v>0</v>
      </c>
      <c r="AI599" s="21" t="n">
        <f aca="false">IF(OR(AE599="",AE599=0),0,AE599*IF(AA599="",0,IF(AA599&gt;1,AA599/100,AA599)))</f>
        <v>0</v>
      </c>
      <c r="AJ599" s="21" t="n">
        <f aca="false">AG599+AH599+AI599</f>
        <v>0</v>
      </c>
      <c r="AK599" s="21" t="n">
        <f aca="false">IF(OR(AE599="",AE599=0),0,AE599-AJ599)</f>
        <v>0</v>
      </c>
      <c r="AL599" s="19" t="str">
        <f aca="false">IF(AD599="","",AD599-AK599)</f>
        <v/>
      </c>
      <c r="AM599" s="26" t="str">
        <f aca="false">IF(C599="","","Waiting for payment")</f>
        <v/>
      </c>
      <c r="AN599" s="27"/>
      <c r="AO599" s="27"/>
      <c r="AP599" s="35" t="str">
        <f aca="false">IF(OR(C599="",I599="",K599=""),"",IF(K599="Monthly",EDATE(C599,ROUND(I599*SETTINGS!$I$8,0)),WORKDAY(C599,ROUND(I599*SETTINGS!$I$8,0))))</f>
        <v/>
      </c>
      <c r="AQ599" s="26" t="str">
        <f aca="true">IF(C599="","",IF(AND(AP599&lt;&gt;"",TODAY()&gt;=AP599),"Refi Ready",IF(TODAY()-C599&gt;=SETTINGS!$I$11,"Prospecting","Performing")))</f>
        <v/>
      </c>
      <c r="AR599" s="35" t="str">
        <f aca="false">IF(OR(C599="",I599="",K599=""),"",IF(K599="Monthly",EDATE(C599,I599),WORKDAY(C599,I599)))</f>
        <v/>
      </c>
      <c r="AS599" s="28"/>
      <c r="AT599" s="36" t="str">
        <f aca="true">IF(C599="","",IF(AM599="Clawed Back","CLAWED",IF(TODAY()&lt;=C599+SETTINGS!$I$2,"⚠ AT RISK","SAFE")))</f>
        <v/>
      </c>
      <c r="AU599" s="28"/>
      <c r="AW599" s="24" t="n">
        <f aca="false">AW598+IF(AND(C599&lt;&gt;"",AO599&lt;&gt;"",OR('REP COMMISSION'!$B$3="",T599='REP COMMISSION'!$B$3,W599='REP COMMISSION'!$B$3,Z599='REP COMMISSION'!$B$3)),1,0)</f>
        <v>0</v>
      </c>
      <c r="AX599" s="24" t="n">
        <f aca="false">AX598+IF(AND(C599&lt;&gt;"",OR(F599="LOC - INITIAL",F599="CONSOLIDATION - UPFRONT COMM",F599="REVERSE - TOTAL FUNDING")),1,0)</f>
        <v>0</v>
      </c>
    </row>
    <row r="600" customFormat="false" ht="15" hidden="false" customHeight="false" outlineLevel="0" collapsed="false">
      <c r="A600" s="8" t="str">
        <f aca="false">IF(C600&lt;&gt;"","F27-"&amp;COUNT($C$4:C600),"")</f>
        <v/>
      </c>
      <c r="B600" s="9" t="str">
        <f aca="false">IF(OR(F600="LOC - INITIAL",F600="CONSOLIDATION - UPFRONT COMM",F600="REVERSE - TOTAL FUNDING"),A600,"")</f>
        <v/>
      </c>
      <c r="C600" s="10"/>
      <c r="D600" s="11"/>
      <c r="E600" s="11"/>
      <c r="F600" s="11"/>
      <c r="G600" s="12"/>
      <c r="H600" s="13"/>
      <c r="I600" s="11"/>
      <c r="J600" s="14" t="str">
        <f aca="false">IF(AND(G600&lt;&gt;"",H600&lt;&gt;""),G600*H600,"")</f>
        <v/>
      </c>
      <c r="K600" s="11"/>
      <c r="L600" s="15"/>
      <c r="M600" s="15"/>
      <c r="N600" s="14" t="n">
        <f aca="false">IF(OR(G600="",M600=""),0,IF(M600&gt;100,M600,G600*IF(M600&gt;1,M600/100,M600)))</f>
        <v>0</v>
      </c>
      <c r="O600" s="14" t="str">
        <f aca="false">IF(G600="","",G600*IF(L600="",0,IF(L600&gt;1,L600/100,L600))+N600)</f>
        <v/>
      </c>
      <c r="P600" s="11"/>
      <c r="Q600" s="16" t="str">
        <f aca="false">IF(P600="","",IFERROR(VLOOKUP(P600,PARTNERS!$A$2:$B$30,2,0),""))</f>
        <v/>
      </c>
      <c r="R600" s="17" t="str">
        <f aca="false">IF(O600="","",IF(OR(P600="",Q600=""),0,(O600-N600)*IF(Q600&gt;1,Q600/100,Q600)))</f>
        <v/>
      </c>
      <c r="S600" s="14" t="str">
        <f aca="false">IF(O600="","",O600-R600)</f>
        <v/>
      </c>
      <c r="T600" s="11"/>
      <c r="U600" s="18" t="str">
        <f aca="false">IF(T600="","",IFERROR(VLOOKUP(T600,REPS!$A$2:$D$40,2,0),""))</f>
        <v/>
      </c>
      <c r="V600" s="14" t="str">
        <f aca="false">IF(O600="","",IF(U600="",0,O600*IF(U600&gt;1,U600/100,U600)))</f>
        <v/>
      </c>
      <c r="W600" s="11"/>
      <c r="X600" s="18" t="str">
        <f aca="false">IF(W600="","",IFERROR(VLOOKUP(W600,REPS!$A$2:$D$40,3,0),""))</f>
        <v/>
      </c>
      <c r="Y600" s="14" t="str">
        <f aca="false">IF(O600="","",IF(X600="",0,O600*IF(X600&gt;1,X600/100,X600)))</f>
        <v/>
      </c>
      <c r="Z600" s="11"/>
      <c r="AA600" s="18" t="str">
        <f aca="false">IF(Z600="","",IFERROR(VLOOKUP(Z600,REPS!$A$2:$D$40,4,0),""))</f>
        <v/>
      </c>
      <c r="AB600" s="14" t="str">
        <f aca="false">IF(O600="","",IF(AA600="",0,O600*IF(AA600&gt;1,AA600/100,AA600)))</f>
        <v/>
      </c>
      <c r="AC600" s="14" t="str">
        <f aca="false">IF(O600="","",V600+Y600+AB600)</f>
        <v/>
      </c>
      <c r="AD600" s="19" t="str">
        <f aca="false">IF(O600="","",O600-R600-AC600)</f>
        <v/>
      </c>
      <c r="AE600" s="20"/>
      <c r="AF600" s="10"/>
      <c r="AG600" s="21" t="n">
        <f aca="false">IF(OR(AE600="",AE600=0),0,AE600*IF(U600="",0,IF(U600&gt;1,U600/100,U600)))</f>
        <v>0</v>
      </c>
      <c r="AH600" s="21" t="n">
        <f aca="false">IF(OR(AE600="",AE600=0),0,AE600*IF(X600="",0,IF(X600&gt;1,X600/100,X600)))</f>
        <v>0</v>
      </c>
      <c r="AI600" s="21" t="n">
        <f aca="false">IF(OR(AE600="",AE600=0),0,AE600*IF(AA600="",0,IF(AA600&gt;1,AA600/100,AA600)))</f>
        <v>0</v>
      </c>
      <c r="AJ600" s="21" t="n">
        <f aca="false">AG600+AH600+AI600</f>
        <v>0</v>
      </c>
      <c r="AK600" s="21" t="n">
        <f aca="false">IF(OR(AE600="",AE600=0),0,AE600-AJ600)</f>
        <v>0</v>
      </c>
      <c r="AL600" s="19" t="str">
        <f aca="false">IF(AD600="","",AD600-AK600)</f>
        <v/>
      </c>
      <c r="AM600" s="9" t="str">
        <f aca="false">IF(C600="","","Waiting for payment")</f>
        <v/>
      </c>
      <c r="AN600" s="10"/>
      <c r="AO600" s="10"/>
      <c r="AP600" s="22" t="str">
        <f aca="false">IF(OR(C600="",I600="",K600=""),"",IF(K600="Monthly",EDATE(C600,ROUND(I600*SETTINGS!$I$8,0)),WORKDAY(C600,ROUND(I600*SETTINGS!$I$8,0))))</f>
        <v/>
      </c>
      <c r="AQ600" s="9" t="str">
        <f aca="true">IF(C600="","",IF(AND(AP600&lt;&gt;"",TODAY()&gt;=AP600),"Refi Ready",IF(TODAY()-C600&gt;=SETTINGS!$I$11,"Prospecting","Performing")))</f>
        <v/>
      </c>
      <c r="AR600" s="22" t="str">
        <f aca="false">IF(OR(C600="",I600="",K600=""),"",IF(K600="Monthly",EDATE(C600,I600),WORKDAY(C600,I600)))</f>
        <v/>
      </c>
      <c r="AS600" s="11"/>
      <c r="AT600" s="23" t="str">
        <f aca="true">IF(C600="","",IF(AM600="Clawed Back","CLAWED",IF(TODAY()&lt;=C600+SETTINGS!$I$2,"⚠ AT RISK","SAFE")))</f>
        <v/>
      </c>
      <c r="AU600" s="11"/>
      <c r="AW600" s="24" t="n">
        <f aca="false">AW599+IF(AND(C600&lt;&gt;"",AO600&lt;&gt;"",OR('REP COMMISSION'!$B$3="",T600='REP COMMISSION'!$B$3,W600='REP COMMISSION'!$B$3,Z600='REP COMMISSION'!$B$3)),1,0)</f>
        <v>0</v>
      </c>
      <c r="AX600" s="24" t="n">
        <f aca="false">AX599+IF(AND(C600&lt;&gt;"",OR(F600="LOC - INITIAL",F600="CONSOLIDATION - UPFRONT COMM",F600="REVERSE - TOTAL FUNDING")),1,0)</f>
        <v>0</v>
      </c>
    </row>
    <row r="601" customFormat="false" ht="15" hidden="false" customHeight="false" outlineLevel="0" collapsed="false">
      <c r="A601" s="25" t="str">
        <f aca="false">IF(C601&lt;&gt;"","F27-"&amp;COUNT($C$4:C601),"")</f>
        <v/>
      </c>
      <c r="B601" s="26" t="str">
        <f aca="false">IF(OR(F601="LOC - INITIAL",F601="CONSOLIDATION - UPFRONT COMM",F601="REVERSE - TOTAL FUNDING"),A601,"")</f>
        <v/>
      </c>
      <c r="C601" s="27"/>
      <c r="D601" s="28"/>
      <c r="E601" s="28"/>
      <c r="F601" s="28"/>
      <c r="G601" s="29"/>
      <c r="H601" s="30"/>
      <c r="I601" s="28"/>
      <c r="J601" s="31" t="str">
        <f aca="false">IF(AND(G601&lt;&gt;"",H601&lt;&gt;""),G601*H601,"")</f>
        <v/>
      </c>
      <c r="K601" s="28"/>
      <c r="L601" s="32"/>
      <c r="M601" s="32"/>
      <c r="N601" s="31" t="n">
        <f aca="false">IF(OR(G601="",M601=""),0,IF(M601&gt;100,M601,G601*IF(M601&gt;1,M601/100,M601)))</f>
        <v>0</v>
      </c>
      <c r="O601" s="31" t="str">
        <f aca="false">IF(G601="","",G601*IF(L601="",0,IF(L601&gt;1,L601/100,L601))+N601)</f>
        <v/>
      </c>
      <c r="P601" s="28"/>
      <c r="Q601" s="33" t="str">
        <f aca="false">IF(P601="","",IFERROR(VLOOKUP(P601,PARTNERS!$A$2:$B$30,2,0),""))</f>
        <v/>
      </c>
      <c r="R601" s="17" t="str">
        <f aca="false">IF(O601="","",IF(OR(P601="",Q601=""),0,(O601-N601)*IF(Q601&gt;1,Q601/100,Q601)))</f>
        <v/>
      </c>
      <c r="S601" s="31" t="str">
        <f aca="false">IF(O601="","",O601-R601)</f>
        <v/>
      </c>
      <c r="T601" s="28"/>
      <c r="U601" s="34" t="str">
        <f aca="false">IF(T601="","",IFERROR(VLOOKUP(T601,REPS!$A$2:$D$40,2,0),""))</f>
        <v/>
      </c>
      <c r="V601" s="31" t="str">
        <f aca="false">IF(O601="","",IF(U601="",0,O601*IF(U601&gt;1,U601/100,U601)))</f>
        <v/>
      </c>
      <c r="W601" s="28"/>
      <c r="X601" s="34" t="str">
        <f aca="false">IF(W601="","",IFERROR(VLOOKUP(W601,REPS!$A$2:$D$40,3,0),""))</f>
        <v/>
      </c>
      <c r="Y601" s="31" t="str">
        <f aca="false">IF(O601="","",IF(X601="",0,O601*IF(X601&gt;1,X601/100,X601)))</f>
        <v/>
      </c>
      <c r="Z601" s="28"/>
      <c r="AA601" s="34" t="str">
        <f aca="false">IF(Z601="","",IFERROR(VLOOKUP(Z601,REPS!$A$2:$D$40,4,0),""))</f>
        <v/>
      </c>
      <c r="AB601" s="31" t="str">
        <f aca="false">IF(O601="","",IF(AA601="",0,O601*IF(AA601&gt;1,AA601/100,AA601)))</f>
        <v/>
      </c>
      <c r="AC601" s="31" t="str">
        <f aca="false">IF(O601="","",V601+Y601+AB601)</f>
        <v/>
      </c>
      <c r="AD601" s="19" t="str">
        <f aca="false">IF(O601="","",O601-R601-AC601)</f>
        <v/>
      </c>
      <c r="AE601" s="20"/>
      <c r="AF601" s="27"/>
      <c r="AG601" s="21" t="n">
        <f aca="false">IF(OR(AE601="",AE601=0),0,AE601*IF(U601="",0,IF(U601&gt;1,U601/100,U601)))</f>
        <v>0</v>
      </c>
      <c r="AH601" s="21" t="n">
        <f aca="false">IF(OR(AE601="",AE601=0),0,AE601*IF(X601="",0,IF(X601&gt;1,X601/100,X601)))</f>
        <v>0</v>
      </c>
      <c r="AI601" s="21" t="n">
        <f aca="false">IF(OR(AE601="",AE601=0),0,AE601*IF(AA601="",0,IF(AA601&gt;1,AA601/100,AA601)))</f>
        <v>0</v>
      </c>
      <c r="AJ601" s="21" t="n">
        <f aca="false">AG601+AH601+AI601</f>
        <v>0</v>
      </c>
      <c r="AK601" s="21" t="n">
        <f aca="false">IF(OR(AE601="",AE601=0),0,AE601-AJ601)</f>
        <v>0</v>
      </c>
      <c r="AL601" s="19" t="str">
        <f aca="false">IF(AD601="","",AD601-AK601)</f>
        <v/>
      </c>
      <c r="AM601" s="26" t="str">
        <f aca="false">IF(C601="","","Waiting for payment")</f>
        <v/>
      </c>
      <c r="AN601" s="27"/>
      <c r="AO601" s="27"/>
      <c r="AP601" s="35" t="str">
        <f aca="false">IF(OR(C601="",I601="",K601=""),"",IF(K601="Monthly",EDATE(C601,ROUND(I601*SETTINGS!$I$8,0)),WORKDAY(C601,ROUND(I601*SETTINGS!$I$8,0))))</f>
        <v/>
      </c>
      <c r="AQ601" s="26" t="str">
        <f aca="true">IF(C601="","",IF(AND(AP601&lt;&gt;"",TODAY()&gt;=AP601),"Refi Ready",IF(TODAY()-C601&gt;=SETTINGS!$I$11,"Prospecting","Performing")))</f>
        <v/>
      </c>
      <c r="AR601" s="35" t="str">
        <f aca="false">IF(OR(C601="",I601="",K601=""),"",IF(K601="Monthly",EDATE(C601,I601),WORKDAY(C601,I601)))</f>
        <v/>
      </c>
      <c r="AS601" s="28"/>
      <c r="AT601" s="36" t="str">
        <f aca="true">IF(C601="","",IF(AM601="Clawed Back","CLAWED",IF(TODAY()&lt;=C601+SETTINGS!$I$2,"⚠ AT RISK","SAFE")))</f>
        <v/>
      </c>
      <c r="AU601" s="28"/>
      <c r="AW601" s="24" t="n">
        <f aca="false">AW600+IF(AND(C601&lt;&gt;"",AO601&lt;&gt;"",OR('REP COMMISSION'!$B$3="",T601='REP COMMISSION'!$B$3,W601='REP COMMISSION'!$B$3,Z601='REP COMMISSION'!$B$3)),1,0)</f>
        <v>0</v>
      </c>
      <c r="AX601" s="24" t="n">
        <f aca="false">AX600+IF(AND(C601&lt;&gt;"",OR(F601="LOC - INITIAL",F601="CONSOLIDATION - UPFRONT COMM",F601="REVERSE - TOTAL FUNDING")),1,0)</f>
        <v>0</v>
      </c>
    </row>
    <row r="602" customFormat="false" ht="15" hidden="false" customHeight="false" outlineLevel="0" collapsed="false">
      <c r="A602" s="8" t="str">
        <f aca="false">IF(C602&lt;&gt;"","F27-"&amp;COUNT($C$4:C602),"")</f>
        <v/>
      </c>
      <c r="B602" s="9" t="str">
        <f aca="false">IF(OR(F602="LOC - INITIAL",F602="CONSOLIDATION - UPFRONT COMM",F602="REVERSE - TOTAL FUNDING"),A602,"")</f>
        <v/>
      </c>
      <c r="C602" s="10"/>
      <c r="D602" s="11"/>
      <c r="E602" s="11"/>
      <c r="F602" s="11"/>
      <c r="G602" s="12"/>
      <c r="H602" s="13"/>
      <c r="I602" s="11"/>
      <c r="J602" s="14" t="str">
        <f aca="false">IF(AND(G602&lt;&gt;"",H602&lt;&gt;""),G602*H602,"")</f>
        <v/>
      </c>
      <c r="K602" s="11"/>
      <c r="L602" s="15"/>
      <c r="M602" s="15"/>
      <c r="N602" s="14" t="n">
        <f aca="false">IF(OR(G602="",M602=""),0,IF(M602&gt;100,M602,G602*IF(M602&gt;1,M602/100,M602)))</f>
        <v>0</v>
      </c>
      <c r="O602" s="14" t="str">
        <f aca="false">IF(G602="","",G602*IF(L602="",0,IF(L602&gt;1,L602/100,L602))+N602)</f>
        <v/>
      </c>
      <c r="P602" s="11"/>
      <c r="Q602" s="16" t="str">
        <f aca="false">IF(P602="","",IFERROR(VLOOKUP(P602,PARTNERS!$A$2:$B$30,2,0),""))</f>
        <v/>
      </c>
      <c r="R602" s="17" t="str">
        <f aca="false">IF(O602="","",IF(OR(P602="",Q602=""),0,(O602-N602)*IF(Q602&gt;1,Q602/100,Q602)))</f>
        <v/>
      </c>
      <c r="S602" s="14" t="str">
        <f aca="false">IF(O602="","",O602-R602)</f>
        <v/>
      </c>
      <c r="T602" s="11"/>
      <c r="U602" s="18" t="str">
        <f aca="false">IF(T602="","",IFERROR(VLOOKUP(T602,REPS!$A$2:$D$40,2,0),""))</f>
        <v/>
      </c>
      <c r="V602" s="14" t="str">
        <f aca="false">IF(O602="","",IF(U602="",0,O602*IF(U602&gt;1,U602/100,U602)))</f>
        <v/>
      </c>
      <c r="W602" s="11"/>
      <c r="X602" s="18" t="str">
        <f aca="false">IF(W602="","",IFERROR(VLOOKUP(W602,REPS!$A$2:$D$40,3,0),""))</f>
        <v/>
      </c>
      <c r="Y602" s="14" t="str">
        <f aca="false">IF(O602="","",IF(X602="",0,O602*IF(X602&gt;1,X602/100,X602)))</f>
        <v/>
      </c>
      <c r="Z602" s="11"/>
      <c r="AA602" s="18" t="str">
        <f aca="false">IF(Z602="","",IFERROR(VLOOKUP(Z602,REPS!$A$2:$D$40,4,0),""))</f>
        <v/>
      </c>
      <c r="AB602" s="14" t="str">
        <f aca="false">IF(O602="","",IF(AA602="",0,O602*IF(AA602&gt;1,AA602/100,AA602)))</f>
        <v/>
      </c>
      <c r="AC602" s="14" t="str">
        <f aca="false">IF(O602="","",V602+Y602+AB602)</f>
        <v/>
      </c>
      <c r="AD602" s="19" t="str">
        <f aca="false">IF(O602="","",O602-R602-AC602)</f>
        <v/>
      </c>
      <c r="AE602" s="20"/>
      <c r="AF602" s="10"/>
      <c r="AG602" s="21" t="n">
        <f aca="false">IF(OR(AE602="",AE602=0),0,AE602*IF(U602="",0,IF(U602&gt;1,U602/100,U602)))</f>
        <v>0</v>
      </c>
      <c r="AH602" s="21" t="n">
        <f aca="false">IF(OR(AE602="",AE602=0),0,AE602*IF(X602="",0,IF(X602&gt;1,X602/100,X602)))</f>
        <v>0</v>
      </c>
      <c r="AI602" s="21" t="n">
        <f aca="false">IF(OR(AE602="",AE602=0),0,AE602*IF(AA602="",0,IF(AA602&gt;1,AA602/100,AA602)))</f>
        <v>0</v>
      </c>
      <c r="AJ602" s="21" t="n">
        <f aca="false">AG602+AH602+AI602</f>
        <v>0</v>
      </c>
      <c r="AK602" s="21" t="n">
        <f aca="false">IF(OR(AE602="",AE602=0),0,AE602-AJ602)</f>
        <v>0</v>
      </c>
      <c r="AL602" s="19" t="str">
        <f aca="false">IF(AD602="","",AD602-AK602)</f>
        <v/>
      </c>
      <c r="AM602" s="9" t="str">
        <f aca="false">IF(C602="","","Waiting for payment")</f>
        <v/>
      </c>
      <c r="AN602" s="10"/>
      <c r="AO602" s="10"/>
      <c r="AP602" s="22" t="str">
        <f aca="false">IF(OR(C602="",I602="",K602=""),"",IF(K602="Monthly",EDATE(C602,ROUND(I602*SETTINGS!$I$8,0)),WORKDAY(C602,ROUND(I602*SETTINGS!$I$8,0))))</f>
        <v/>
      </c>
      <c r="AQ602" s="9" t="str">
        <f aca="true">IF(C602="","",IF(AND(AP602&lt;&gt;"",TODAY()&gt;=AP602),"Refi Ready",IF(TODAY()-C602&gt;=SETTINGS!$I$11,"Prospecting","Performing")))</f>
        <v/>
      </c>
      <c r="AR602" s="22" t="str">
        <f aca="false">IF(OR(C602="",I602="",K602=""),"",IF(K602="Monthly",EDATE(C602,I602),WORKDAY(C602,I602)))</f>
        <v/>
      </c>
      <c r="AS602" s="11"/>
      <c r="AT602" s="23" t="str">
        <f aca="true">IF(C602="","",IF(AM602="Clawed Back","CLAWED",IF(TODAY()&lt;=C602+SETTINGS!$I$2,"⚠ AT RISK","SAFE")))</f>
        <v/>
      </c>
      <c r="AU602" s="11"/>
      <c r="AW602" s="24" t="n">
        <f aca="false">AW601+IF(AND(C602&lt;&gt;"",AO602&lt;&gt;"",OR('REP COMMISSION'!$B$3="",T602='REP COMMISSION'!$B$3,W602='REP COMMISSION'!$B$3,Z602='REP COMMISSION'!$B$3)),1,0)</f>
        <v>0</v>
      </c>
      <c r="AX602" s="24" t="n">
        <f aca="false">AX601+IF(AND(C602&lt;&gt;"",OR(F602="LOC - INITIAL",F602="CONSOLIDATION - UPFRONT COMM",F602="REVERSE - TOTAL FUNDING")),1,0)</f>
        <v>0</v>
      </c>
    </row>
    <row r="603" customFormat="false" ht="15" hidden="false" customHeight="false" outlineLevel="0" collapsed="false">
      <c r="A603" s="25" t="str">
        <f aca="false">IF(C603&lt;&gt;"","F27-"&amp;COUNT($C$4:C603),"")</f>
        <v/>
      </c>
      <c r="B603" s="26" t="str">
        <f aca="false">IF(OR(F603="LOC - INITIAL",F603="CONSOLIDATION - UPFRONT COMM",F603="REVERSE - TOTAL FUNDING"),A603,"")</f>
        <v/>
      </c>
      <c r="C603" s="27"/>
      <c r="D603" s="28"/>
      <c r="E603" s="28"/>
      <c r="F603" s="28"/>
      <c r="G603" s="29"/>
      <c r="H603" s="30"/>
      <c r="I603" s="28"/>
      <c r="J603" s="31" t="str">
        <f aca="false">IF(AND(G603&lt;&gt;"",H603&lt;&gt;""),G603*H603,"")</f>
        <v/>
      </c>
      <c r="K603" s="28"/>
      <c r="L603" s="32"/>
      <c r="M603" s="32"/>
      <c r="N603" s="31" t="n">
        <f aca="false">IF(OR(G603="",M603=""),0,IF(M603&gt;100,M603,G603*IF(M603&gt;1,M603/100,M603)))</f>
        <v>0</v>
      </c>
      <c r="O603" s="31" t="str">
        <f aca="false">IF(G603="","",G603*IF(L603="",0,IF(L603&gt;1,L603/100,L603))+N603)</f>
        <v/>
      </c>
      <c r="P603" s="28"/>
      <c r="Q603" s="33" t="str">
        <f aca="false">IF(P603="","",IFERROR(VLOOKUP(P603,PARTNERS!$A$2:$B$30,2,0),""))</f>
        <v/>
      </c>
      <c r="R603" s="17" t="str">
        <f aca="false">IF(O603="","",IF(OR(P603="",Q603=""),0,(O603-N603)*IF(Q603&gt;1,Q603/100,Q603)))</f>
        <v/>
      </c>
      <c r="S603" s="31" t="str">
        <f aca="false">IF(O603="","",O603-R603)</f>
        <v/>
      </c>
      <c r="T603" s="28"/>
      <c r="U603" s="34" t="str">
        <f aca="false">IF(T603="","",IFERROR(VLOOKUP(T603,REPS!$A$2:$D$40,2,0),""))</f>
        <v/>
      </c>
      <c r="V603" s="31" t="str">
        <f aca="false">IF(O603="","",IF(U603="",0,O603*IF(U603&gt;1,U603/100,U603)))</f>
        <v/>
      </c>
      <c r="W603" s="28"/>
      <c r="X603" s="34" t="str">
        <f aca="false">IF(W603="","",IFERROR(VLOOKUP(W603,REPS!$A$2:$D$40,3,0),""))</f>
        <v/>
      </c>
      <c r="Y603" s="31" t="str">
        <f aca="false">IF(O603="","",IF(X603="",0,O603*IF(X603&gt;1,X603/100,X603)))</f>
        <v/>
      </c>
      <c r="Z603" s="28"/>
      <c r="AA603" s="34" t="str">
        <f aca="false">IF(Z603="","",IFERROR(VLOOKUP(Z603,REPS!$A$2:$D$40,4,0),""))</f>
        <v/>
      </c>
      <c r="AB603" s="31" t="str">
        <f aca="false">IF(O603="","",IF(AA603="",0,O603*IF(AA603&gt;1,AA603/100,AA603)))</f>
        <v/>
      </c>
      <c r="AC603" s="31" t="str">
        <f aca="false">IF(O603="","",V603+Y603+AB603)</f>
        <v/>
      </c>
      <c r="AD603" s="19" t="str">
        <f aca="false">IF(O603="","",O603-R603-AC603)</f>
        <v/>
      </c>
      <c r="AE603" s="20"/>
      <c r="AF603" s="27"/>
      <c r="AG603" s="21" t="n">
        <f aca="false">IF(OR(AE603="",AE603=0),0,AE603*IF(U603="",0,IF(U603&gt;1,U603/100,U603)))</f>
        <v>0</v>
      </c>
      <c r="AH603" s="21" t="n">
        <f aca="false">IF(OR(AE603="",AE603=0),0,AE603*IF(X603="",0,IF(X603&gt;1,X603/100,X603)))</f>
        <v>0</v>
      </c>
      <c r="AI603" s="21" t="n">
        <f aca="false">IF(OR(AE603="",AE603=0),0,AE603*IF(AA603="",0,IF(AA603&gt;1,AA603/100,AA603)))</f>
        <v>0</v>
      </c>
      <c r="AJ603" s="21" t="n">
        <f aca="false">AG603+AH603+AI603</f>
        <v>0</v>
      </c>
      <c r="AK603" s="21" t="n">
        <f aca="false">IF(OR(AE603="",AE603=0),0,AE603-AJ603)</f>
        <v>0</v>
      </c>
      <c r="AL603" s="19" t="str">
        <f aca="false">IF(AD603="","",AD603-AK603)</f>
        <v/>
      </c>
      <c r="AM603" s="26" t="str">
        <f aca="false">IF(C603="","","Waiting for payment")</f>
        <v/>
      </c>
      <c r="AN603" s="27"/>
      <c r="AO603" s="27"/>
      <c r="AP603" s="35" t="str">
        <f aca="false">IF(OR(C603="",I603="",K603=""),"",IF(K603="Monthly",EDATE(C603,ROUND(I603*SETTINGS!$I$8,0)),WORKDAY(C603,ROUND(I603*SETTINGS!$I$8,0))))</f>
        <v/>
      </c>
      <c r="AQ603" s="26" t="str">
        <f aca="true">IF(C603="","",IF(AND(AP603&lt;&gt;"",TODAY()&gt;=AP603),"Refi Ready",IF(TODAY()-C603&gt;=SETTINGS!$I$11,"Prospecting","Performing")))</f>
        <v/>
      </c>
      <c r="AR603" s="35" t="str">
        <f aca="false">IF(OR(C603="",I603="",K603=""),"",IF(K603="Monthly",EDATE(C603,I603),WORKDAY(C603,I603)))</f>
        <v/>
      </c>
      <c r="AS603" s="28"/>
      <c r="AT603" s="36" t="str">
        <f aca="true">IF(C603="","",IF(AM603="Clawed Back","CLAWED",IF(TODAY()&lt;=C603+SETTINGS!$I$2,"⚠ AT RISK","SAFE")))</f>
        <v/>
      </c>
      <c r="AU603" s="28"/>
      <c r="AW603" s="24" t="n">
        <f aca="false">AW602+IF(AND(C603&lt;&gt;"",AO603&lt;&gt;"",OR('REP COMMISSION'!$B$3="",T603='REP COMMISSION'!$B$3,W603='REP COMMISSION'!$B$3,Z603='REP COMMISSION'!$B$3)),1,0)</f>
        <v>0</v>
      </c>
      <c r="AX603" s="24" t="n">
        <f aca="false">AX602+IF(AND(C603&lt;&gt;"",OR(F603="LOC - INITIAL",F603="CONSOLIDATION - UPFRONT COMM",F603="REVERSE - TOTAL FUNDING")),1,0)</f>
        <v>0</v>
      </c>
    </row>
    <row r="604" customFormat="false" ht="15" hidden="false" customHeight="false" outlineLevel="0" collapsed="false">
      <c r="A604" s="8" t="str">
        <f aca="false">IF(C604&lt;&gt;"","F27-"&amp;COUNT($C$4:C604),"")</f>
        <v/>
      </c>
      <c r="B604" s="9" t="str">
        <f aca="false">IF(OR(F604="LOC - INITIAL",F604="CONSOLIDATION - UPFRONT COMM",F604="REVERSE - TOTAL FUNDING"),A604,"")</f>
        <v/>
      </c>
      <c r="C604" s="10"/>
      <c r="D604" s="11"/>
      <c r="E604" s="11"/>
      <c r="F604" s="11"/>
      <c r="G604" s="12"/>
      <c r="H604" s="13"/>
      <c r="I604" s="11"/>
      <c r="J604" s="14" t="str">
        <f aca="false">IF(AND(G604&lt;&gt;"",H604&lt;&gt;""),G604*H604,"")</f>
        <v/>
      </c>
      <c r="K604" s="11"/>
      <c r="L604" s="15"/>
      <c r="M604" s="15"/>
      <c r="N604" s="14" t="n">
        <f aca="false">IF(OR(G604="",M604=""),0,IF(M604&gt;100,M604,G604*IF(M604&gt;1,M604/100,M604)))</f>
        <v>0</v>
      </c>
      <c r="O604" s="14" t="str">
        <f aca="false">IF(G604="","",G604*IF(L604="",0,IF(L604&gt;1,L604/100,L604))+N604)</f>
        <v/>
      </c>
      <c r="P604" s="11"/>
      <c r="Q604" s="16" t="str">
        <f aca="false">IF(P604="","",IFERROR(VLOOKUP(P604,PARTNERS!$A$2:$B$30,2,0),""))</f>
        <v/>
      </c>
      <c r="R604" s="17" t="str">
        <f aca="false">IF(O604="","",IF(OR(P604="",Q604=""),0,(O604-N604)*IF(Q604&gt;1,Q604/100,Q604)))</f>
        <v/>
      </c>
      <c r="S604" s="14" t="str">
        <f aca="false">IF(O604="","",O604-R604)</f>
        <v/>
      </c>
      <c r="T604" s="11"/>
      <c r="U604" s="18" t="str">
        <f aca="false">IF(T604="","",IFERROR(VLOOKUP(T604,REPS!$A$2:$D$40,2,0),""))</f>
        <v/>
      </c>
      <c r="V604" s="14" t="str">
        <f aca="false">IF(O604="","",IF(U604="",0,O604*IF(U604&gt;1,U604/100,U604)))</f>
        <v/>
      </c>
      <c r="W604" s="11"/>
      <c r="X604" s="18" t="str">
        <f aca="false">IF(W604="","",IFERROR(VLOOKUP(W604,REPS!$A$2:$D$40,3,0),""))</f>
        <v/>
      </c>
      <c r="Y604" s="14" t="str">
        <f aca="false">IF(O604="","",IF(X604="",0,O604*IF(X604&gt;1,X604/100,X604)))</f>
        <v/>
      </c>
      <c r="Z604" s="11"/>
      <c r="AA604" s="18" t="str">
        <f aca="false">IF(Z604="","",IFERROR(VLOOKUP(Z604,REPS!$A$2:$D$40,4,0),""))</f>
        <v/>
      </c>
      <c r="AB604" s="14" t="str">
        <f aca="false">IF(O604="","",IF(AA604="",0,O604*IF(AA604&gt;1,AA604/100,AA604)))</f>
        <v/>
      </c>
      <c r="AC604" s="14" t="str">
        <f aca="false">IF(O604="","",V604+Y604+AB604)</f>
        <v/>
      </c>
      <c r="AD604" s="19" t="str">
        <f aca="false">IF(O604="","",O604-R604-AC604)</f>
        <v/>
      </c>
      <c r="AE604" s="20"/>
      <c r="AF604" s="10"/>
      <c r="AG604" s="21" t="n">
        <f aca="false">IF(OR(AE604="",AE604=0),0,AE604*IF(U604="",0,IF(U604&gt;1,U604/100,U604)))</f>
        <v>0</v>
      </c>
      <c r="AH604" s="21" t="n">
        <f aca="false">IF(OR(AE604="",AE604=0),0,AE604*IF(X604="",0,IF(X604&gt;1,X604/100,X604)))</f>
        <v>0</v>
      </c>
      <c r="AI604" s="21" t="n">
        <f aca="false">IF(OR(AE604="",AE604=0),0,AE604*IF(AA604="",0,IF(AA604&gt;1,AA604/100,AA604)))</f>
        <v>0</v>
      </c>
      <c r="AJ604" s="21" t="n">
        <f aca="false">AG604+AH604+AI604</f>
        <v>0</v>
      </c>
      <c r="AK604" s="21" t="n">
        <f aca="false">IF(OR(AE604="",AE604=0),0,AE604-AJ604)</f>
        <v>0</v>
      </c>
      <c r="AL604" s="19" t="str">
        <f aca="false">IF(AD604="","",AD604-AK604)</f>
        <v/>
      </c>
      <c r="AM604" s="9" t="str">
        <f aca="false">IF(C604="","","Waiting for payment")</f>
        <v/>
      </c>
      <c r="AN604" s="10"/>
      <c r="AO604" s="10"/>
      <c r="AP604" s="22" t="str">
        <f aca="false">IF(OR(C604="",I604="",K604=""),"",IF(K604="Monthly",EDATE(C604,ROUND(I604*SETTINGS!$I$8,0)),WORKDAY(C604,ROUND(I604*SETTINGS!$I$8,0))))</f>
        <v/>
      </c>
      <c r="AQ604" s="9" t="str">
        <f aca="true">IF(C604="","",IF(AND(AP604&lt;&gt;"",TODAY()&gt;=AP604),"Refi Ready",IF(TODAY()-C604&gt;=SETTINGS!$I$11,"Prospecting","Performing")))</f>
        <v/>
      </c>
      <c r="AR604" s="22" t="str">
        <f aca="false">IF(OR(C604="",I604="",K604=""),"",IF(K604="Monthly",EDATE(C604,I604),WORKDAY(C604,I604)))</f>
        <v/>
      </c>
      <c r="AS604" s="11"/>
      <c r="AT604" s="23" t="str">
        <f aca="true">IF(C604="","",IF(AM604="Clawed Back","CLAWED",IF(TODAY()&lt;=C604+SETTINGS!$I$2,"⚠ AT RISK","SAFE")))</f>
        <v/>
      </c>
      <c r="AU604" s="11"/>
      <c r="AW604" s="24" t="n">
        <f aca="false">AW603+IF(AND(C604&lt;&gt;"",AO604&lt;&gt;"",OR('REP COMMISSION'!$B$3="",T604='REP COMMISSION'!$B$3,W604='REP COMMISSION'!$B$3,Z604='REP COMMISSION'!$B$3)),1,0)</f>
        <v>0</v>
      </c>
      <c r="AX604" s="24" t="n">
        <f aca="false">AX603+IF(AND(C604&lt;&gt;"",OR(F604="LOC - INITIAL",F604="CONSOLIDATION - UPFRONT COMM",F604="REVERSE - TOTAL FUNDING")),1,0)</f>
        <v>0</v>
      </c>
    </row>
    <row r="605" customFormat="false" ht="15" hidden="false" customHeight="false" outlineLevel="0" collapsed="false">
      <c r="A605" s="25" t="str">
        <f aca="false">IF(C605&lt;&gt;"","F27-"&amp;COUNT($C$4:C605),"")</f>
        <v/>
      </c>
      <c r="B605" s="26" t="str">
        <f aca="false">IF(OR(F605="LOC - INITIAL",F605="CONSOLIDATION - UPFRONT COMM",F605="REVERSE - TOTAL FUNDING"),A605,"")</f>
        <v/>
      </c>
      <c r="C605" s="27"/>
      <c r="D605" s="28"/>
      <c r="E605" s="28"/>
      <c r="F605" s="28"/>
      <c r="G605" s="29"/>
      <c r="H605" s="30"/>
      <c r="I605" s="28"/>
      <c r="J605" s="31" t="str">
        <f aca="false">IF(AND(G605&lt;&gt;"",H605&lt;&gt;""),G605*H605,"")</f>
        <v/>
      </c>
      <c r="K605" s="28"/>
      <c r="L605" s="32"/>
      <c r="M605" s="32"/>
      <c r="N605" s="31" t="n">
        <f aca="false">IF(OR(G605="",M605=""),0,IF(M605&gt;100,M605,G605*IF(M605&gt;1,M605/100,M605)))</f>
        <v>0</v>
      </c>
      <c r="O605" s="31" t="str">
        <f aca="false">IF(G605="","",G605*IF(L605="",0,IF(L605&gt;1,L605/100,L605))+N605)</f>
        <v/>
      </c>
      <c r="P605" s="28"/>
      <c r="Q605" s="33" t="str">
        <f aca="false">IF(P605="","",IFERROR(VLOOKUP(P605,PARTNERS!$A$2:$B$30,2,0),""))</f>
        <v/>
      </c>
      <c r="R605" s="17" t="str">
        <f aca="false">IF(O605="","",IF(OR(P605="",Q605=""),0,(O605-N605)*IF(Q605&gt;1,Q605/100,Q605)))</f>
        <v/>
      </c>
      <c r="S605" s="31" t="str">
        <f aca="false">IF(O605="","",O605-R605)</f>
        <v/>
      </c>
      <c r="T605" s="28"/>
      <c r="U605" s="34" t="str">
        <f aca="false">IF(T605="","",IFERROR(VLOOKUP(T605,REPS!$A$2:$D$40,2,0),""))</f>
        <v/>
      </c>
      <c r="V605" s="31" t="str">
        <f aca="false">IF(O605="","",IF(U605="",0,O605*IF(U605&gt;1,U605/100,U605)))</f>
        <v/>
      </c>
      <c r="W605" s="28"/>
      <c r="X605" s="34" t="str">
        <f aca="false">IF(W605="","",IFERROR(VLOOKUP(W605,REPS!$A$2:$D$40,3,0),""))</f>
        <v/>
      </c>
      <c r="Y605" s="31" t="str">
        <f aca="false">IF(O605="","",IF(X605="",0,O605*IF(X605&gt;1,X605/100,X605)))</f>
        <v/>
      </c>
      <c r="Z605" s="28"/>
      <c r="AA605" s="34" t="str">
        <f aca="false">IF(Z605="","",IFERROR(VLOOKUP(Z605,REPS!$A$2:$D$40,4,0),""))</f>
        <v/>
      </c>
      <c r="AB605" s="31" t="str">
        <f aca="false">IF(O605="","",IF(AA605="",0,O605*IF(AA605&gt;1,AA605/100,AA605)))</f>
        <v/>
      </c>
      <c r="AC605" s="31" t="str">
        <f aca="false">IF(O605="","",V605+Y605+AB605)</f>
        <v/>
      </c>
      <c r="AD605" s="19" t="str">
        <f aca="false">IF(O605="","",O605-R605-AC605)</f>
        <v/>
      </c>
      <c r="AE605" s="20"/>
      <c r="AF605" s="27"/>
      <c r="AG605" s="21" t="n">
        <f aca="false">IF(OR(AE605="",AE605=0),0,AE605*IF(U605="",0,IF(U605&gt;1,U605/100,U605)))</f>
        <v>0</v>
      </c>
      <c r="AH605" s="21" t="n">
        <f aca="false">IF(OR(AE605="",AE605=0),0,AE605*IF(X605="",0,IF(X605&gt;1,X605/100,X605)))</f>
        <v>0</v>
      </c>
      <c r="AI605" s="21" t="n">
        <f aca="false">IF(OR(AE605="",AE605=0),0,AE605*IF(AA605="",0,IF(AA605&gt;1,AA605/100,AA605)))</f>
        <v>0</v>
      </c>
      <c r="AJ605" s="21" t="n">
        <f aca="false">AG605+AH605+AI605</f>
        <v>0</v>
      </c>
      <c r="AK605" s="21" t="n">
        <f aca="false">IF(OR(AE605="",AE605=0),0,AE605-AJ605)</f>
        <v>0</v>
      </c>
      <c r="AL605" s="19" t="str">
        <f aca="false">IF(AD605="","",AD605-AK605)</f>
        <v/>
      </c>
      <c r="AM605" s="26" t="str">
        <f aca="false">IF(C605="","","Waiting for payment")</f>
        <v/>
      </c>
      <c r="AN605" s="27"/>
      <c r="AO605" s="27"/>
      <c r="AP605" s="35" t="str">
        <f aca="false">IF(OR(C605="",I605="",K605=""),"",IF(K605="Monthly",EDATE(C605,ROUND(I605*SETTINGS!$I$8,0)),WORKDAY(C605,ROUND(I605*SETTINGS!$I$8,0))))</f>
        <v/>
      </c>
      <c r="AQ605" s="26" t="str">
        <f aca="true">IF(C605="","",IF(AND(AP605&lt;&gt;"",TODAY()&gt;=AP605),"Refi Ready",IF(TODAY()-C605&gt;=SETTINGS!$I$11,"Prospecting","Performing")))</f>
        <v/>
      </c>
      <c r="AR605" s="35" t="str">
        <f aca="false">IF(OR(C605="",I605="",K605=""),"",IF(K605="Monthly",EDATE(C605,I605),WORKDAY(C605,I605)))</f>
        <v/>
      </c>
      <c r="AS605" s="28"/>
      <c r="AT605" s="36" t="str">
        <f aca="true">IF(C605="","",IF(AM605="Clawed Back","CLAWED",IF(TODAY()&lt;=C605+SETTINGS!$I$2,"⚠ AT RISK","SAFE")))</f>
        <v/>
      </c>
      <c r="AU605" s="28"/>
      <c r="AW605" s="24" t="n">
        <f aca="false">AW604+IF(AND(C605&lt;&gt;"",AO605&lt;&gt;"",OR('REP COMMISSION'!$B$3="",T605='REP COMMISSION'!$B$3,W605='REP COMMISSION'!$B$3,Z605='REP COMMISSION'!$B$3)),1,0)</f>
        <v>0</v>
      </c>
      <c r="AX605" s="24" t="n">
        <f aca="false">AX604+IF(AND(C605&lt;&gt;"",OR(F605="LOC - INITIAL",F605="CONSOLIDATION - UPFRONT COMM",F605="REVERSE - TOTAL FUNDING")),1,0)</f>
        <v>0</v>
      </c>
    </row>
    <row r="606" customFormat="false" ht="15" hidden="false" customHeight="false" outlineLevel="0" collapsed="false">
      <c r="A606" s="8" t="str">
        <f aca="false">IF(C606&lt;&gt;"","F27-"&amp;COUNT($C$4:C606),"")</f>
        <v/>
      </c>
      <c r="B606" s="9" t="str">
        <f aca="false">IF(OR(F606="LOC - INITIAL",F606="CONSOLIDATION - UPFRONT COMM",F606="REVERSE - TOTAL FUNDING"),A606,"")</f>
        <v/>
      </c>
      <c r="C606" s="10"/>
      <c r="D606" s="11"/>
      <c r="E606" s="11"/>
      <c r="F606" s="11"/>
      <c r="G606" s="12"/>
      <c r="H606" s="13"/>
      <c r="I606" s="11"/>
      <c r="J606" s="14" t="str">
        <f aca="false">IF(AND(G606&lt;&gt;"",H606&lt;&gt;""),G606*H606,"")</f>
        <v/>
      </c>
      <c r="K606" s="11"/>
      <c r="L606" s="15"/>
      <c r="M606" s="15"/>
      <c r="N606" s="14" t="n">
        <f aca="false">IF(OR(G606="",M606=""),0,IF(M606&gt;100,M606,G606*IF(M606&gt;1,M606/100,M606)))</f>
        <v>0</v>
      </c>
      <c r="O606" s="14" t="str">
        <f aca="false">IF(G606="","",G606*IF(L606="",0,IF(L606&gt;1,L606/100,L606))+N606)</f>
        <v/>
      </c>
      <c r="P606" s="11"/>
      <c r="Q606" s="16" t="str">
        <f aca="false">IF(P606="","",IFERROR(VLOOKUP(P606,PARTNERS!$A$2:$B$30,2,0),""))</f>
        <v/>
      </c>
      <c r="R606" s="17" t="str">
        <f aca="false">IF(O606="","",IF(OR(P606="",Q606=""),0,(O606-N606)*IF(Q606&gt;1,Q606/100,Q606)))</f>
        <v/>
      </c>
      <c r="S606" s="14" t="str">
        <f aca="false">IF(O606="","",O606-R606)</f>
        <v/>
      </c>
      <c r="T606" s="11"/>
      <c r="U606" s="18" t="str">
        <f aca="false">IF(T606="","",IFERROR(VLOOKUP(T606,REPS!$A$2:$D$40,2,0),""))</f>
        <v/>
      </c>
      <c r="V606" s="14" t="str">
        <f aca="false">IF(O606="","",IF(U606="",0,O606*IF(U606&gt;1,U606/100,U606)))</f>
        <v/>
      </c>
      <c r="W606" s="11"/>
      <c r="X606" s="18" t="str">
        <f aca="false">IF(W606="","",IFERROR(VLOOKUP(W606,REPS!$A$2:$D$40,3,0),""))</f>
        <v/>
      </c>
      <c r="Y606" s="14" t="str">
        <f aca="false">IF(O606="","",IF(X606="",0,O606*IF(X606&gt;1,X606/100,X606)))</f>
        <v/>
      </c>
      <c r="Z606" s="11"/>
      <c r="AA606" s="18" t="str">
        <f aca="false">IF(Z606="","",IFERROR(VLOOKUP(Z606,REPS!$A$2:$D$40,4,0),""))</f>
        <v/>
      </c>
      <c r="AB606" s="14" t="str">
        <f aca="false">IF(O606="","",IF(AA606="",0,O606*IF(AA606&gt;1,AA606/100,AA606)))</f>
        <v/>
      </c>
      <c r="AC606" s="14" t="str">
        <f aca="false">IF(O606="","",V606+Y606+AB606)</f>
        <v/>
      </c>
      <c r="AD606" s="19" t="str">
        <f aca="false">IF(O606="","",O606-R606-AC606)</f>
        <v/>
      </c>
      <c r="AE606" s="20"/>
      <c r="AF606" s="10"/>
      <c r="AG606" s="21" t="n">
        <f aca="false">IF(OR(AE606="",AE606=0),0,AE606*IF(U606="",0,IF(U606&gt;1,U606/100,U606)))</f>
        <v>0</v>
      </c>
      <c r="AH606" s="21" t="n">
        <f aca="false">IF(OR(AE606="",AE606=0),0,AE606*IF(X606="",0,IF(X606&gt;1,X606/100,X606)))</f>
        <v>0</v>
      </c>
      <c r="AI606" s="21" t="n">
        <f aca="false">IF(OR(AE606="",AE606=0),0,AE606*IF(AA606="",0,IF(AA606&gt;1,AA606/100,AA606)))</f>
        <v>0</v>
      </c>
      <c r="AJ606" s="21" t="n">
        <f aca="false">AG606+AH606+AI606</f>
        <v>0</v>
      </c>
      <c r="AK606" s="21" t="n">
        <f aca="false">IF(OR(AE606="",AE606=0),0,AE606-AJ606)</f>
        <v>0</v>
      </c>
      <c r="AL606" s="19" t="str">
        <f aca="false">IF(AD606="","",AD606-AK606)</f>
        <v/>
      </c>
      <c r="AM606" s="9" t="str">
        <f aca="false">IF(C606="","","Waiting for payment")</f>
        <v/>
      </c>
      <c r="AN606" s="10"/>
      <c r="AO606" s="10"/>
      <c r="AP606" s="22" t="str">
        <f aca="false">IF(OR(C606="",I606="",K606=""),"",IF(K606="Monthly",EDATE(C606,ROUND(I606*SETTINGS!$I$8,0)),WORKDAY(C606,ROUND(I606*SETTINGS!$I$8,0))))</f>
        <v/>
      </c>
      <c r="AQ606" s="9" t="str">
        <f aca="true">IF(C606="","",IF(AND(AP606&lt;&gt;"",TODAY()&gt;=AP606),"Refi Ready",IF(TODAY()-C606&gt;=SETTINGS!$I$11,"Prospecting","Performing")))</f>
        <v/>
      </c>
      <c r="AR606" s="22" t="str">
        <f aca="false">IF(OR(C606="",I606="",K606=""),"",IF(K606="Monthly",EDATE(C606,I606),WORKDAY(C606,I606)))</f>
        <v/>
      </c>
      <c r="AS606" s="11"/>
      <c r="AT606" s="23" t="str">
        <f aca="true">IF(C606="","",IF(AM606="Clawed Back","CLAWED",IF(TODAY()&lt;=C606+SETTINGS!$I$2,"⚠ AT RISK","SAFE")))</f>
        <v/>
      </c>
      <c r="AU606" s="11"/>
      <c r="AW606" s="24" t="n">
        <f aca="false">AW605+IF(AND(C606&lt;&gt;"",AO606&lt;&gt;"",OR('REP COMMISSION'!$B$3="",T606='REP COMMISSION'!$B$3,W606='REP COMMISSION'!$B$3,Z606='REP COMMISSION'!$B$3)),1,0)</f>
        <v>0</v>
      </c>
      <c r="AX606" s="24" t="n">
        <f aca="false">AX605+IF(AND(C606&lt;&gt;"",OR(F606="LOC - INITIAL",F606="CONSOLIDATION - UPFRONT COMM",F606="REVERSE - TOTAL FUNDING")),1,0)</f>
        <v>0</v>
      </c>
    </row>
    <row r="607" customFormat="false" ht="15" hidden="false" customHeight="false" outlineLevel="0" collapsed="false">
      <c r="A607" s="25" t="str">
        <f aca="false">IF(C607&lt;&gt;"","F27-"&amp;COUNT($C$4:C607),"")</f>
        <v/>
      </c>
      <c r="B607" s="26" t="str">
        <f aca="false">IF(OR(F607="LOC - INITIAL",F607="CONSOLIDATION - UPFRONT COMM",F607="REVERSE - TOTAL FUNDING"),A607,"")</f>
        <v/>
      </c>
      <c r="C607" s="27"/>
      <c r="D607" s="28"/>
      <c r="E607" s="28"/>
      <c r="F607" s="28"/>
      <c r="G607" s="29"/>
      <c r="H607" s="30"/>
      <c r="I607" s="28"/>
      <c r="J607" s="31" t="str">
        <f aca="false">IF(AND(G607&lt;&gt;"",H607&lt;&gt;""),G607*H607,"")</f>
        <v/>
      </c>
      <c r="K607" s="28"/>
      <c r="L607" s="32"/>
      <c r="M607" s="32"/>
      <c r="N607" s="31" t="n">
        <f aca="false">IF(OR(G607="",M607=""),0,IF(M607&gt;100,M607,G607*IF(M607&gt;1,M607/100,M607)))</f>
        <v>0</v>
      </c>
      <c r="O607" s="31" t="str">
        <f aca="false">IF(G607="","",G607*IF(L607="",0,IF(L607&gt;1,L607/100,L607))+N607)</f>
        <v/>
      </c>
      <c r="P607" s="28"/>
      <c r="Q607" s="33" t="str">
        <f aca="false">IF(P607="","",IFERROR(VLOOKUP(P607,PARTNERS!$A$2:$B$30,2,0),""))</f>
        <v/>
      </c>
      <c r="R607" s="17" t="str">
        <f aca="false">IF(O607="","",IF(OR(P607="",Q607=""),0,(O607-N607)*IF(Q607&gt;1,Q607/100,Q607)))</f>
        <v/>
      </c>
      <c r="S607" s="31" t="str">
        <f aca="false">IF(O607="","",O607-R607)</f>
        <v/>
      </c>
      <c r="T607" s="28"/>
      <c r="U607" s="34" t="str">
        <f aca="false">IF(T607="","",IFERROR(VLOOKUP(T607,REPS!$A$2:$D$40,2,0),""))</f>
        <v/>
      </c>
      <c r="V607" s="31" t="str">
        <f aca="false">IF(O607="","",IF(U607="",0,O607*IF(U607&gt;1,U607/100,U607)))</f>
        <v/>
      </c>
      <c r="W607" s="28"/>
      <c r="X607" s="34" t="str">
        <f aca="false">IF(W607="","",IFERROR(VLOOKUP(W607,REPS!$A$2:$D$40,3,0),""))</f>
        <v/>
      </c>
      <c r="Y607" s="31" t="str">
        <f aca="false">IF(O607="","",IF(X607="",0,O607*IF(X607&gt;1,X607/100,X607)))</f>
        <v/>
      </c>
      <c r="Z607" s="28"/>
      <c r="AA607" s="34" t="str">
        <f aca="false">IF(Z607="","",IFERROR(VLOOKUP(Z607,REPS!$A$2:$D$40,4,0),""))</f>
        <v/>
      </c>
      <c r="AB607" s="31" t="str">
        <f aca="false">IF(O607="","",IF(AA607="",0,O607*IF(AA607&gt;1,AA607/100,AA607)))</f>
        <v/>
      </c>
      <c r="AC607" s="31" t="str">
        <f aca="false">IF(O607="","",V607+Y607+AB607)</f>
        <v/>
      </c>
      <c r="AD607" s="19" t="str">
        <f aca="false">IF(O607="","",O607-R607-AC607)</f>
        <v/>
      </c>
      <c r="AE607" s="20"/>
      <c r="AF607" s="27"/>
      <c r="AG607" s="21" t="n">
        <f aca="false">IF(OR(AE607="",AE607=0),0,AE607*IF(U607="",0,IF(U607&gt;1,U607/100,U607)))</f>
        <v>0</v>
      </c>
      <c r="AH607" s="21" t="n">
        <f aca="false">IF(OR(AE607="",AE607=0),0,AE607*IF(X607="",0,IF(X607&gt;1,X607/100,X607)))</f>
        <v>0</v>
      </c>
      <c r="AI607" s="21" t="n">
        <f aca="false">IF(OR(AE607="",AE607=0),0,AE607*IF(AA607="",0,IF(AA607&gt;1,AA607/100,AA607)))</f>
        <v>0</v>
      </c>
      <c r="AJ607" s="21" t="n">
        <f aca="false">AG607+AH607+AI607</f>
        <v>0</v>
      </c>
      <c r="AK607" s="21" t="n">
        <f aca="false">IF(OR(AE607="",AE607=0),0,AE607-AJ607)</f>
        <v>0</v>
      </c>
      <c r="AL607" s="19" t="str">
        <f aca="false">IF(AD607="","",AD607-AK607)</f>
        <v/>
      </c>
      <c r="AM607" s="26" t="str">
        <f aca="false">IF(C607="","","Waiting for payment")</f>
        <v/>
      </c>
      <c r="AN607" s="27"/>
      <c r="AO607" s="27"/>
      <c r="AP607" s="35" t="str">
        <f aca="false">IF(OR(C607="",I607="",K607=""),"",IF(K607="Monthly",EDATE(C607,ROUND(I607*SETTINGS!$I$8,0)),WORKDAY(C607,ROUND(I607*SETTINGS!$I$8,0))))</f>
        <v/>
      </c>
      <c r="AQ607" s="26" t="str">
        <f aca="true">IF(C607="","",IF(AND(AP607&lt;&gt;"",TODAY()&gt;=AP607),"Refi Ready",IF(TODAY()-C607&gt;=SETTINGS!$I$11,"Prospecting","Performing")))</f>
        <v/>
      </c>
      <c r="AR607" s="35" t="str">
        <f aca="false">IF(OR(C607="",I607="",K607=""),"",IF(K607="Monthly",EDATE(C607,I607),WORKDAY(C607,I607)))</f>
        <v/>
      </c>
      <c r="AS607" s="28"/>
      <c r="AT607" s="36" t="str">
        <f aca="true">IF(C607="","",IF(AM607="Clawed Back","CLAWED",IF(TODAY()&lt;=C607+SETTINGS!$I$2,"⚠ AT RISK","SAFE")))</f>
        <v/>
      </c>
      <c r="AU607" s="28"/>
      <c r="AW607" s="24" t="n">
        <f aca="false">AW606+IF(AND(C607&lt;&gt;"",AO607&lt;&gt;"",OR('REP COMMISSION'!$B$3="",T607='REP COMMISSION'!$B$3,W607='REP COMMISSION'!$B$3,Z607='REP COMMISSION'!$B$3)),1,0)</f>
        <v>0</v>
      </c>
      <c r="AX607" s="24" t="n">
        <f aca="false">AX606+IF(AND(C607&lt;&gt;"",OR(F607="LOC - INITIAL",F607="CONSOLIDATION - UPFRONT COMM",F607="REVERSE - TOTAL FUNDING")),1,0)</f>
        <v>0</v>
      </c>
    </row>
    <row r="608" customFormat="false" ht="15" hidden="false" customHeight="false" outlineLevel="0" collapsed="false">
      <c r="A608" s="8" t="str">
        <f aca="false">IF(C608&lt;&gt;"","F27-"&amp;COUNT($C$4:C608),"")</f>
        <v/>
      </c>
      <c r="B608" s="9" t="str">
        <f aca="false">IF(OR(F608="LOC - INITIAL",F608="CONSOLIDATION - UPFRONT COMM",F608="REVERSE - TOTAL FUNDING"),A608,"")</f>
        <v/>
      </c>
      <c r="C608" s="10"/>
      <c r="D608" s="11"/>
      <c r="E608" s="11"/>
      <c r="F608" s="11"/>
      <c r="G608" s="12"/>
      <c r="H608" s="13"/>
      <c r="I608" s="11"/>
      <c r="J608" s="14" t="str">
        <f aca="false">IF(AND(G608&lt;&gt;"",H608&lt;&gt;""),G608*H608,"")</f>
        <v/>
      </c>
      <c r="K608" s="11"/>
      <c r="L608" s="15"/>
      <c r="M608" s="15"/>
      <c r="N608" s="14" t="n">
        <f aca="false">IF(OR(G608="",M608=""),0,IF(M608&gt;100,M608,G608*IF(M608&gt;1,M608/100,M608)))</f>
        <v>0</v>
      </c>
      <c r="O608" s="14" t="str">
        <f aca="false">IF(G608="","",G608*IF(L608="",0,IF(L608&gt;1,L608/100,L608))+N608)</f>
        <v/>
      </c>
      <c r="P608" s="11"/>
      <c r="Q608" s="16" t="str">
        <f aca="false">IF(P608="","",IFERROR(VLOOKUP(P608,PARTNERS!$A$2:$B$30,2,0),""))</f>
        <v/>
      </c>
      <c r="R608" s="17" t="str">
        <f aca="false">IF(O608="","",IF(OR(P608="",Q608=""),0,(O608-N608)*IF(Q608&gt;1,Q608/100,Q608)))</f>
        <v/>
      </c>
      <c r="S608" s="14" t="str">
        <f aca="false">IF(O608="","",O608-R608)</f>
        <v/>
      </c>
      <c r="T608" s="11"/>
      <c r="U608" s="18" t="str">
        <f aca="false">IF(T608="","",IFERROR(VLOOKUP(T608,REPS!$A$2:$D$40,2,0),""))</f>
        <v/>
      </c>
      <c r="V608" s="14" t="str">
        <f aca="false">IF(O608="","",IF(U608="",0,O608*IF(U608&gt;1,U608/100,U608)))</f>
        <v/>
      </c>
      <c r="W608" s="11"/>
      <c r="X608" s="18" t="str">
        <f aca="false">IF(W608="","",IFERROR(VLOOKUP(W608,REPS!$A$2:$D$40,3,0),""))</f>
        <v/>
      </c>
      <c r="Y608" s="14" t="str">
        <f aca="false">IF(O608="","",IF(X608="",0,O608*IF(X608&gt;1,X608/100,X608)))</f>
        <v/>
      </c>
      <c r="Z608" s="11"/>
      <c r="AA608" s="18" t="str">
        <f aca="false">IF(Z608="","",IFERROR(VLOOKUP(Z608,REPS!$A$2:$D$40,4,0),""))</f>
        <v/>
      </c>
      <c r="AB608" s="14" t="str">
        <f aca="false">IF(O608="","",IF(AA608="",0,O608*IF(AA608&gt;1,AA608/100,AA608)))</f>
        <v/>
      </c>
      <c r="AC608" s="14" t="str">
        <f aca="false">IF(O608="","",V608+Y608+AB608)</f>
        <v/>
      </c>
      <c r="AD608" s="19" t="str">
        <f aca="false">IF(O608="","",O608-R608-AC608)</f>
        <v/>
      </c>
      <c r="AE608" s="20"/>
      <c r="AF608" s="10"/>
      <c r="AG608" s="21" t="n">
        <f aca="false">IF(OR(AE608="",AE608=0),0,AE608*IF(U608="",0,IF(U608&gt;1,U608/100,U608)))</f>
        <v>0</v>
      </c>
      <c r="AH608" s="21" t="n">
        <f aca="false">IF(OR(AE608="",AE608=0),0,AE608*IF(X608="",0,IF(X608&gt;1,X608/100,X608)))</f>
        <v>0</v>
      </c>
      <c r="AI608" s="21" t="n">
        <f aca="false">IF(OR(AE608="",AE608=0),0,AE608*IF(AA608="",0,IF(AA608&gt;1,AA608/100,AA608)))</f>
        <v>0</v>
      </c>
      <c r="AJ608" s="21" t="n">
        <f aca="false">AG608+AH608+AI608</f>
        <v>0</v>
      </c>
      <c r="AK608" s="21" t="n">
        <f aca="false">IF(OR(AE608="",AE608=0),0,AE608-AJ608)</f>
        <v>0</v>
      </c>
      <c r="AL608" s="19" t="str">
        <f aca="false">IF(AD608="","",AD608-AK608)</f>
        <v/>
      </c>
      <c r="AM608" s="9" t="str">
        <f aca="false">IF(C608="","","Waiting for payment")</f>
        <v/>
      </c>
      <c r="AN608" s="10"/>
      <c r="AO608" s="10"/>
      <c r="AP608" s="22" t="str">
        <f aca="false">IF(OR(C608="",I608="",K608=""),"",IF(K608="Monthly",EDATE(C608,ROUND(I608*SETTINGS!$I$8,0)),WORKDAY(C608,ROUND(I608*SETTINGS!$I$8,0))))</f>
        <v/>
      </c>
      <c r="AQ608" s="9" t="str">
        <f aca="true">IF(C608="","",IF(AND(AP608&lt;&gt;"",TODAY()&gt;=AP608),"Refi Ready",IF(TODAY()-C608&gt;=SETTINGS!$I$11,"Prospecting","Performing")))</f>
        <v/>
      </c>
      <c r="AR608" s="22" t="str">
        <f aca="false">IF(OR(C608="",I608="",K608=""),"",IF(K608="Monthly",EDATE(C608,I608),WORKDAY(C608,I608)))</f>
        <v/>
      </c>
      <c r="AS608" s="11"/>
      <c r="AT608" s="23" t="str">
        <f aca="true">IF(C608="","",IF(AM608="Clawed Back","CLAWED",IF(TODAY()&lt;=C608+SETTINGS!$I$2,"⚠ AT RISK","SAFE")))</f>
        <v/>
      </c>
      <c r="AU608" s="11"/>
      <c r="AW608" s="24" t="n">
        <f aca="false">AW607+IF(AND(C608&lt;&gt;"",AO608&lt;&gt;"",OR('REP COMMISSION'!$B$3="",T608='REP COMMISSION'!$B$3,W608='REP COMMISSION'!$B$3,Z608='REP COMMISSION'!$B$3)),1,0)</f>
        <v>0</v>
      </c>
      <c r="AX608" s="24" t="n">
        <f aca="false">AX607+IF(AND(C608&lt;&gt;"",OR(F608="LOC - INITIAL",F608="CONSOLIDATION - UPFRONT COMM",F608="REVERSE - TOTAL FUNDING")),1,0)</f>
        <v>0</v>
      </c>
    </row>
    <row r="609" customFormat="false" ht="15" hidden="false" customHeight="false" outlineLevel="0" collapsed="false">
      <c r="A609" s="25" t="str">
        <f aca="false">IF(C609&lt;&gt;"","F27-"&amp;COUNT($C$4:C609),"")</f>
        <v/>
      </c>
      <c r="B609" s="26" t="str">
        <f aca="false">IF(OR(F609="LOC - INITIAL",F609="CONSOLIDATION - UPFRONT COMM",F609="REVERSE - TOTAL FUNDING"),A609,"")</f>
        <v/>
      </c>
      <c r="C609" s="27"/>
      <c r="D609" s="28"/>
      <c r="E609" s="28"/>
      <c r="F609" s="28"/>
      <c r="G609" s="29"/>
      <c r="H609" s="30"/>
      <c r="I609" s="28"/>
      <c r="J609" s="31" t="str">
        <f aca="false">IF(AND(G609&lt;&gt;"",H609&lt;&gt;""),G609*H609,"")</f>
        <v/>
      </c>
      <c r="K609" s="28"/>
      <c r="L609" s="32"/>
      <c r="M609" s="32"/>
      <c r="N609" s="31" t="n">
        <f aca="false">IF(OR(G609="",M609=""),0,IF(M609&gt;100,M609,G609*IF(M609&gt;1,M609/100,M609)))</f>
        <v>0</v>
      </c>
      <c r="O609" s="31" t="str">
        <f aca="false">IF(G609="","",G609*IF(L609="",0,IF(L609&gt;1,L609/100,L609))+N609)</f>
        <v/>
      </c>
      <c r="P609" s="28"/>
      <c r="Q609" s="33" t="str">
        <f aca="false">IF(P609="","",IFERROR(VLOOKUP(P609,PARTNERS!$A$2:$B$30,2,0),""))</f>
        <v/>
      </c>
      <c r="R609" s="17" t="str">
        <f aca="false">IF(O609="","",IF(OR(P609="",Q609=""),0,(O609-N609)*IF(Q609&gt;1,Q609/100,Q609)))</f>
        <v/>
      </c>
      <c r="S609" s="31" t="str">
        <f aca="false">IF(O609="","",O609-R609)</f>
        <v/>
      </c>
      <c r="T609" s="28"/>
      <c r="U609" s="34" t="str">
        <f aca="false">IF(T609="","",IFERROR(VLOOKUP(T609,REPS!$A$2:$D$40,2,0),""))</f>
        <v/>
      </c>
      <c r="V609" s="31" t="str">
        <f aca="false">IF(O609="","",IF(U609="",0,O609*IF(U609&gt;1,U609/100,U609)))</f>
        <v/>
      </c>
      <c r="W609" s="28"/>
      <c r="X609" s="34" t="str">
        <f aca="false">IF(W609="","",IFERROR(VLOOKUP(W609,REPS!$A$2:$D$40,3,0),""))</f>
        <v/>
      </c>
      <c r="Y609" s="31" t="str">
        <f aca="false">IF(O609="","",IF(X609="",0,O609*IF(X609&gt;1,X609/100,X609)))</f>
        <v/>
      </c>
      <c r="Z609" s="28"/>
      <c r="AA609" s="34" t="str">
        <f aca="false">IF(Z609="","",IFERROR(VLOOKUP(Z609,REPS!$A$2:$D$40,4,0),""))</f>
        <v/>
      </c>
      <c r="AB609" s="31" t="str">
        <f aca="false">IF(O609="","",IF(AA609="",0,O609*IF(AA609&gt;1,AA609/100,AA609)))</f>
        <v/>
      </c>
      <c r="AC609" s="31" t="str">
        <f aca="false">IF(O609="","",V609+Y609+AB609)</f>
        <v/>
      </c>
      <c r="AD609" s="19" t="str">
        <f aca="false">IF(O609="","",O609-R609-AC609)</f>
        <v/>
      </c>
      <c r="AE609" s="20"/>
      <c r="AF609" s="27"/>
      <c r="AG609" s="21" t="n">
        <f aca="false">IF(OR(AE609="",AE609=0),0,AE609*IF(U609="",0,IF(U609&gt;1,U609/100,U609)))</f>
        <v>0</v>
      </c>
      <c r="AH609" s="21" t="n">
        <f aca="false">IF(OR(AE609="",AE609=0),0,AE609*IF(X609="",0,IF(X609&gt;1,X609/100,X609)))</f>
        <v>0</v>
      </c>
      <c r="AI609" s="21" t="n">
        <f aca="false">IF(OR(AE609="",AE609=0),0,AE609*IF(AA609="",0,IF(AA609&gt;1,AA609/100,AA609)))</f>
        <v>0</v>
      </c>
      <c r="AJ609" s="21" t="n">
        <f aca="false">AG609+AH609+AI609</f>
        <v>0</v>
      </c>
      <c r="AK609" s="21" t="n">
        <f aca="false">IF(OR(AE609="",AE609=0),0,AE609-AJ609)</f>
        <v>0</v>
      </c>
      <c r="AL609" s="19" t="str">
        <f aca="false">IF(AD609="","",AD609-AK609)</f>
        <v/>
      </c>
      <c r="AM609" s="26" t="str">
        <f aca="false">IF(C609="","","Waiting for payment")</f>
        <v/>
      </c>
      <c r="AN609" s="27"/>
      <c r="AO609" s="27"/>
      <c r="AP609" s="35" t="str">
        <f aca="false">IF(OR(C609="",I609="",K609=""),"",IF(K609="Monthly",EDATE(C609,ROUND(I609*SETTINGS!$I$8,0)),WORKDAY(C609,ROUND(I609*SETTINGS!$I$8,0))))</f>
        <v/>
      </c>
      <c r="AQ609" s="26" t="str">
        <f aca="true">IF(C609="","",IF(AND(AP609&lt;&gt;"",TODAY()&gt;=AP609),"Refi Ready",IF(TODAY()-C609&gt;=SETTINGS!$I$11,"Prospecting","Performing")))</f>
        <v/>
      </c>
      <c r="AR609" s="35" t="str">
        <f aca="false">IF(OR(C609="",I609="",K609=""),"",IF(K609="Monthly",EDATE(C609,I609),WORKDAY(C609,I609)))</f>
        <v/>
      </c>
      <c r="AS609" s="28"/>
      <c r="AT609" s="36" t="str">
        <f aca="true">IF(C609="","",IF(AM609="Clawed Back","CLAWED",IF(TODAY()&lt;=C609+SETTINGS!$I$2,"⚠ AT RISK","SAFE")))</f>
        <v/>
      </c>
      <c r="AU609" s="28"/>
      <c r="AW609" s="24" t="n">
        <f aca="false">AW608+IF(AND(C609&lt;&gt;"",AO609&lt;&gt;"",OR('REP COMMISSION'!$B$3="",T609='REP COMMISSION'!$B$3,W609='REP COMMISSION'!$B$3,Z609='REP COMMISSION'!$B$3)),1,0)</f>
        <v>0</v>
      </c>
      <c r="AX609" s="24" t="n">
        <f aca="false">AX608+IF(AND(C609&lt;&gt;"",OR(F609="LOC - INITIAL",F609="CONSOLIDATION - UPFRONT COMM",F609="REVERSE - TOTAL FUNDING")),1,0)</f>
        <v>0</v>
      </c>
    </row>
    <row r="610" customFormat="false" ht="15" hidden="false" customHeight="false" outlineLevel="0" collapsed="false">
      <c r="A610" s="8" t="str">
        <f aca="false">IF(C610&lt;&gt;"","F27-"&amp;COUNT($C$4:C610),"")</f>
        <v/>
      </c>
      <c r="B610" s="9" t="str">
        <f aca="false">IF(OR(F610="LOC - INITIAL",F610="CONSOLIDATION - UPFRONT COMM",F610="REVERSE - TOTAL FUNDING"),A610,"")</f>
        <v/>
      </c>
      <c r="C610" s="10"/>
      <c r="D610" s="11"/>
      <c r="E610" s="11"/>
      <c r="F610" s="11"/>
      <c r="G610" s="12"/>
      <c r="H610" s="13"/>
      <c r="I610" s="11"/>
      <c r="J610" s="14" t="str">
        <f aca="false">IF(AND(G610&lt;&gt;"",H610&lt;&gt;""),G610*H610,"")</f>
        <v/>
      </c>
      <c r="K610" s="11"/>
      <c r="L610" s="15"/>
      <c r="M610" s="15"/>
      <c r="N610" s="14" t="n">
        <f aca="false">IF(OR(G610="",M610=""),0,IF(M610&gt;100,M610,G610*IF(M610&gt;1,M610/100,M610)))</f>
        <v>0</v>
      </c>
      <c r="O610" s="14" t="str">
        <f aca="false">IF(G610="","",G610*IF(L610="",0,IF(L610&gt;1,L610/100,L610))+N610)</f>
        <v/>
      </c>
      <c r="P610" s="11"/>
      <c r="Q610" s="16" t="str">
        <f aca="false">IF(P610="","",IFERROR(VLOOKUP(P610,PARTNERS!$A$2:$B$30,2,0),""))</f>
        <v/>
      </c>
      <c r="R610" s="17" t="str">
        <f aca="false">IF(O610="","",IF(OR(P610="",Q610=""),0,(O610-N610)*IF(Q610&gt;1,Q610/100,Q610)))</f>
        <v/>
      </c>
      <c r="S610" s="14" t="str">
        <f aca="false">IF(O610="","",O610-R610)</f>
        <v/>
      </c>
      <c r="T610" s="11"/>
      <c r="U610" s="18" t="str">
        <f aca="false">IF(T610="","",IFERROR(VLOOKUP(T610,REPS!$A$2:$D$40,2,0),""))</f>
        <v/>
      </c>
      <c r="V610" s="14" t="str">
        <f aca="false">IF(O610="","",IF(U610="",0,O610*IF(U610&gt;1,U610/100,U610)))</f>
        <v/>
      </c>
      <c r="W610" s="11"/>
      <c r="X610" s="18" t="str">
        <f aca="false">IF(W610="","",IFERROR(VLOOKUP(W610,REPS!$A$2:$D$40,3,0),""))</f>
        <v/>
      </c>
      <c r="Y610" s="14" t="str">
        <f aca="false">IF(O610="","",IF(X610="",0,O610*IF(X610&gt;1,X610/100,X610)))</f>
        <v/>
      </c>
      <c r="Z610" s="11"/>
      <c r="AA610" s="18" t="str">
        <f aca="false">IF(Z610="","",IFERROR(VLOOKUP(Z610,REPS!$A$2:$D$40,4,0),""))</f>
        <v/>
      </c>
      <c r="AB610" s="14" t="str">
        <f aca="false">IF(O610="","",IF(AA610="",0,O610*IF(AA610&gt;1,AA610/100,AA610)))</f>
        <v/>
      </c>
      <c r="AC610" s="14" t="str">
        <f aca="false">IF(O610="","",V610+Y610+AB610)</f>
        <v/>
      </c>
      <c r="AD610" s="19" t="str">
        <f aca="false">IF(O610="","",O610-R610-AC610)</f>
        <v/>
      </c>
      <c r="AE610" s="20"/>
      <c r="AF610" s="10"/>
      <c r="AG610" s="21" t="n">
        <f aca="false">IF(OR(AE610="",AE610=0),0,AE610*IF(U610="",0,IF(U610&gt;1,U610/100,U610)))</f>
        <v>0</v>
      </c>
      <c r="AH610" s="21" t="n">
        <f aca="false">IF(OR(AE610="",AE610=0),0,AE610*IF(X610="",0,IF(X610&gt;1,X610/100,X610)))</f>
        <v>0</v>
      </c>
      <c r="AI610" s="21" t="n">
        <f aca="false">IF(OR(AE610="",AE610=0),0,AE610*IF(AA610="",0,IF(AA610&gt;1,AA610/100,AA610)))</f>
        <v>0</v>
      </c>
      <c r="AJ610" s="21" t="n">
        <f aca="false">AG610+AH610+AI610</f>
        <v>0</v>
      </c>
      <c r="AK610" s="21" t="n">
        <f aca="false">IF(OR(AE610="",AE610=0),0,AE610-AJ610)</f>
        <v>0</v>
      </c>
      <c r="AL610" s="19" t="str">
        <f aca="false">IF(AD610="","",AD610-AK610)</f>
        <v/>
      </c>
      <c r="AM610" s="9" t="str">
        <f aca="false">IF(C610="","","Waiting for payment")</f>
        <v/>
      </c>
      <c r="AN610" s="10"/>
      <c r="AO610" s="10"/>
      <c r="AP610" s="22" t="str">
        <f aca="false">IF(OR(C610="",I610="",K610=""),"",IF(K610="Monthly",EDATE(C610,ROUND(I610*SETTINGS!$I$8,0)),WORKDAY(C610,ROUND(I610*SETTINGS!$I$8,0))))</f>
        <v/>
      </c>
      <c r="AQ610" s="9" t="str">
        <f aca="true">IF(C610="","",IF(AND(AP610&lt;&gt;"",TODAY()&gt;=AP610),"Refi Ready",IF(TODAY()-C610&gt;=SETTINGS!$I$11,"Prospecting","Performing")))</f>
        <v/>
      </c>
      <c r="AR610" s="22" t="str">
        <f aca="false">IF(OR(C610="",I610="",K610=""),"",IF(K610="Monthly",EDATE(C610,I610),WORKDAY(C610,I610)))</f>
        <v/>
      </c>
      <c r="AS610" s="11"/>
      <c r="AT610" s="23" t="str">
        <f aca="true">IF(C610="","",IF(AM610="Clawed Back","CLAWED",IF(TODAY()&lt;=C610+SETTINGS!$I$2,"⚠ AT RISK","SAFE")))</f>
        <v/>
      </c>
      <c r="AU610" s="11"/>
      <c r="AW610" s="24" t="n">
        <f aca="false">AW609+IF(AND(C610&lt;&gt;"",AO610&lt;&gt;"",OR('REP COMMISSION'!$B$3="",T610='REP COMMISSION'!$B$3,W610='REP COMMISSION'!$B$3,Z610='REP COMMISSION'!$B$3)),1,0)</f>
        <v>0</v>
      </c>
      <c r="AX610" s="24" t="n">
        <f aca="false">AX609+IF(AND(C610&lt;&gt;"",OR(F610="LOC - INITIAL",F610="CONSOLIDATION - UPFRONT COMM",F610="REVERSE - TOTAL FUNDING")),1,0)</f>
        <v>0</v>
      </c>
    </row>
    <row r="611" customFormat="false" ht="15" hidden="false" customHeight="false" outlineLevel="0" collapsed="false">
      <c r="A611" s="25" t="str">
        <f aca="false">IF(C611&lt;&gt;"","F27-"&amp;COUNT($C$4:C611),"")</f>
        <v/>
      </c>
      <c r="B611" s="26" t="str">
        <f aca="false">IF(OR(F611="LOC - INITIAL",F611="CONSOLIDATION - UPFRONT COMM",F611="REVERSE - TOTAL FUNDING"),A611,"")</f>
        <v/>
      </c>
      <c r="C611" s="27"/>
      <c r="D611" s="28"/>
      <c r="E611" s="28"/>
      <c r="F611" s="28"/>
      <c r="G611" s="29"/>
      <c r="H611" s="30"/>
      <c r="I611" s="28"/>
      <c r="J611" s="31" t="str">
        <f aca="false">IF(AND(G611&lt;&gt;"",H611&lt;&gt;""),G611*H611,"")</f>
        <v/>
      </c>
      <c r="K611" s="28"/>
      <c r="L611" s="32"/>
      <c r="M611" s="32"/>
      <c r="N611" s="31" t="n">
        <f aca="false">IF(OR(G611="",M611=""),0,IF(M611&gt;100,M611,G611*IF(M611&gt;1,M611/100,M611)))</f>
        <v>0</v>
      </c>
      <c r="O611" s="31" t="str">
        <f aca="false">IF(G611="","",G611*IF(L611="",0,IF(L611&gt;1,L611/100,L611))+N611)</f>
        <v/>
      </c>
      <c r="P611" s="28"/>
      <c r="Q611" s="33" t="str">
        <f aca="false">IF(P611="","",IFERROR(VLOOKUP(P611,PARTNERS!$A$2:$B$30,2,0),""))</f>
        <v/>
      </c>
      <c r="R611" s="17" t="str">
        <f aca="false">IF(O611="","",IF(OR(P611="",Q611=""),0,(O611-N611)*IF(Q611&gt;1,Q611/100,Q611)))</f>
        <v/>
      </c>
      <c r="S611" s="31" t="str">
        <f aca="false">IF(O611="","",O611-R611)</f>
        <v/>
      </c>
      <c r="T611" s="28"/>
      <c r="U611" s="34" t="str">
        <f aca="false">IF(T611="","",IFERROR(VLOOKUP(T611,REPS!$A$2:$D$40,2,0),""))</f>
        <v/>
      </c>
      <c r="V611" s="31" t="str">
        <f aca="false">IF(O611="","",IF(U611="",0,O611*IF(U611&gt;1,U611/100,U611)))</f>
        <v/>
      </c>
      <c r="W611" s="28"/>
      <c r="X611" s="34" t="str">
        <f aca="false">IF(W611="","",IFERROR(VLOOKUP(W611,REPS!$A$2:$D$40,3,0),""))</f>
        <v/>
      </c>
      <c r="Y611" s="31" t="str">
        <f aca="false">IF(O611="","",IF(X611="",0,O611*IF(X611&gt;1,X611/100,X611)))</f>
        <v/>
      </c>
      <c r="Z611" s="28"/>
      <c r="AA611" s="34" t="str">
        <f aca="false">IF(Z611="","",IFERROR(VLOOKUP(Z611,REPS!$A$2:$D$40,4,0),""))</f>
        <v/>
      </c>
      <c r="AB611" s="31" t="str">
        <f aca="false">IF(O611="","",IF(AA611="",0,O611*IF(AA611&gt;1,AA611/100,AA611)))</f>
        <v/>
      </c>
      <c r="AC611" s="31" t="str">
        <f aca="false">IF(O611="","",V611+Y611+AB611)</f>
        <v/>
      </c>
      <c r="AD611" s="19" t="str">
        <f aca="false">IF(O611="","",O611-R611-AC611)</f>
        <v/>
      </c>
      <c r="AE611" s="20"/>
      <c r="AF611" s="27"/>
      <c r="AG611" s="21" t="n">
        <f aca="false">IF(OR(AE611="",AE611=0),0,AE611*IF(U611="",0,IF(U611&gt;1,U611/100,U611)))</f>
        <v>0</v>
      </c>
      <c r="AH611" s="21" t="n">
        <f aca="false">IF(OR(AE611="",AE611=0),0,AE611*IF(X611="",0,IF(X611&gt;1,X611/100,X611)))</f>
        <v>0</v>
      </c>
      <c r="AI611" s="21" t="n">
        <f aca="false">IF(OR(AE611="",AE611=0),0,AE611*IF(AA611="",0,IF(AA611&gt;1,AA611/100,AA611)))</f>
        <v>0</v>
      </c>
      <c r="AJ611" s="21" t="n">
        <f aca="false">AG611+AH611+AI611</f>
        <v>0</v>
      </c>
      <c r="AK611" s="21" t="n">
        <f aca="false">IF(OR(AE611="",AE611=0),0,AE611-AJ611)</f>
        <v>0</v>
      </c>
      <c r="AL611" s="19" t="str">
        <f aca="false">IF(AD611="","",AD611-AK611)</f>
        <v/>
      </c>
      <c r="AM611" s="26" t="str">
        <f aca="false">IF(C611="","","Waiting for payment")</f>
        <v/>
      </c>
      <c r="AN611" s="27"/>
      <c r="AO611" s="27"/>
      <c r="AP611" s="35" t="str">
        <f aca="false">IF(OR(C611="",I611="",K611=""),"",IF(K611="Monthly",EDATE(C611,ROUND(I611*SETTINGS!$I$8,0)),WORKDAY(C611,ROUND(I611*SETTINGS!$I$8,0))))</f>
        <v/>
      </c>
      <c r="AQ611" s="26" t="str">
        <f aca="true">IF(C611="","",IF(AND(AP611&lt;&gt;"",TODAY()&gt;=AP611),"Refi Ready",IF(TODAY()-C611&gt;=SETTINGS!$I$11,"Prospecting","Performing")))</f>
        <v/>
      </c>
      <c r="AR611" s="35" t="str">
        <f aca="false">IF(OR(C611="",I611="",K611=""),"",IF(K611="Monthly",EDATE(C611,I611),WORKDAY(C611,I611)))</f>
        <v/>
      </c>
      <c r="AS611" s="28"/>
      <c r="AT611" s="36" t="str">
        <f aca="true">IF(C611="","",IF(AM611="Clawed Back","CLAWED",IF(TODAY()&lt;=C611+SETTINGS!$I$2,"⚠ AT RISK","SAFE")))</f>
        <v/>
      </c>
      <c r="AU611" s="28"/>
      <c r="AW611" s="24" t="n">
        <f aca="false">AW610+IF(AND(C611&lt;&gt;"",AO611&lt;&gt;"",OR('REP COMMISSION'!$B$3="",T611='REP COMMISSION'!$B$3,W611='REP COMMISSION'!$B$3,Z611='REP COMMISSION'!$B$3)),1,0)</f>
        <v>0</v>
      </c>
      <c r="AX611" s="24" t="n">
        <f aca="false">AX610+IF(AND(C611&lt;&gt;"",OR(F611="LOC - INITIAL",F611="CONSOLIDATION - UPFRONT COMM",F611="REVERSE - TOTAL FUNDING")),1,0)</f>
        <v>0</v>
      </c>
    </row>
    <row r="612" customFormat="false" ht="15" hidden="false" customHeight="false" outlineLevel="0" collapsed="false">
      <c r="A612" s="8" t="str">
        <f aca="false">IF(C612&lt;&gt;"","F27-"&amp;COUNT($C$4:C612),"")</f>
        <v/>
      </c>
      <c r="B612" s="9" t="str">
        <f aca="false">IF(OR(F612="LOC - INITIAL",F612="CONSOLIDATION - UPFRONT COMM",F612="REVERSE - TOTAL FUNDING"),A612,"")</f>
        <v/>
      </c>
      <c r="C612" s="10"/>
      <c r="D612" s="11"/>
      <c r="E612" s="11"/>
      <c r="F612" s="11"/>
      <c r="G612" s="12"/>
      <c r="H612" s="13"/>
      <c r="I612" s="11"/>
      <c r="J612" s="14" t="str">
        <f aca="false">IF(AND(G612&lt;&gt;"",H612&lt;&gt;""),G612*H612,"")</f>
        <v/>
      </c>
      <c r="K612" s="11"/>
      <c r="L612" s="15"/>
      <c r="M612" s="15"/>
      <c r="N612" s="14" t="n">
        <f aca="false">IF(OR(G612="",M612=""),0,IF(M612&gt;100,M612,G612*IF(M612&gt;1,M612/100,M612)))</f>
        <v>0</v>
      </c>
      <c r="O612" s="14" t="str">
        <f aca="false">IF(G612="","",G612*IF(L612="",0,IF(L612&gt;1,L612/100,L612))+N612)</f>
        <v/>
      </c>
      <c r="P612" s="11"/>
      <c r="Q612" s="16" t="str">
        <f aca="false">IF(P612="","",IFERROR(VLOOKUP(P612,PARTNERS!$A$2:$B$30,2,0),""))</f>
        <v/>
      </c>
      <c r="R612" s="17" t="str">
        <f aca="false">IF(O612="","",IF(OR(P612="",Q612=""),0,(O612-N612)*IF(Q612&gt;1,Q612/100,Q612)))</f>
        <v/>
      </c>
      <c r="S612" s="14" t="str">
        <f aca="false">IF(O612="","",O612-R612)</f>
        <v/>
      </c>
      <c r="T612" s="11"/>
      <c r="U612" s="18" t="str">
        <f aca="false">IF(T612="","",IFERROR(VLOOKUP(T612,REPS!$A$2:$D$40,2,0),""))</f>
        <v/>
      </c>
      <c r="V612" s="14" t="str">
        <f aca="false">IF(O612="","",IF(U612="",0,O612*IF(U612&gt;1,U612/100,U612)))</f>
        <v/>
      </c>
      <c r="W612" s="11"/>
      <c r="X612" s="18" t="str">
        <f aca="false">IF(W612="","",IFERROR(VLOOKUP(W612,REPS!$A$2:$D$40,3,0),""))</f>
        <v/>
      </c>
      <c r="Y612" s="14" t="str">
        <f aca="false">IF(O612="","",IF(X612="",0,O612*IF(X612&gt;1,X612/100,X612)))</f>
        <v/>
      </c>
      <c r="Z612" s="11"/>
      <c r="AA612" s="18" t="str">
        <f aca="false">IF(Z612="","",IFERROR(VLOOKUP(Z612,REPS!$A$2:$D$40,4,0),""))</f>
        <v/>
      </c>
      <c r="AB612" s="14" t="str">
        <f aca="false">IF(O612="","",IF(AA612="",0,O612*IF(AA612&gt;1,AA612/100,AA612)))</f>
        <v/>
      </c>
      <c r="AC612" s="14" t="str">
        <f aca="false">IF(O612="","",V612+Y612+AB612)</f>
        <v/>
      </c>
      <c r="AD612" s="19" t="str">
        <f aca="false">IF(O612="","",O612-R612-AC612)</f>
        <v/>
      </c>
      <c r="AE612" s="20"/>
      <c r="AF612" s="10"/>
      <c r="AG612" s="21" t="n">
        <f aca="false">IF(OR(AE612="",AE612=0),0,AE612*IF(U612="",0,IF(U612&gt;1,U612/100,U612)))</f>
        <v>0</v>
      </c>
      <c r="AH612" s="21" t="n">
        <f aca="false">IF(OR(AE612="",AE612=0),0,AE612*IF(X612="",0,IF(X612&gt;1,X612/100,X612)))</f>
        <v>0</v>
      </c>
      <c r="AI612" s="21" t="n">
        <f aca="false">IF(OR(AE612="",AE612=0),0,AE612*IF(AA612="",0,IF(AA612&gt;1,AA612/100,AA612)))</f>
        <v>0</v>
      </c>
      <c r="AJ612" s="21" t="n">
        <f aca="false">AG612+AH612+AI612</f>
        <v>0</v>
      </c>
      <c r="AK612" s="21" t="n">
        <f aca="false">IF(OR(AE612="",AE612=0),0,AE612-AJ612)</f>
        <v>0</v>
      </c>
      <c r="AL612" s="19" t="str">
        <f aca="false">IF(AD612="","",AD612-AK612)</f>
        <v/>
      </c>
      <c r="AM612" s="9" t="str">
        <f aca="false">IF(C612="","","Waiting for payment")</f>
        <v/>
      </c>
      <c r="AN612" s="10"/>
      <c r="AO612" s="10"/>
      <c r="AP612" s="22" t="str">
        <f aca="false">IF(OR(C612="",I612="",K612=""),"",IF(K612="Monthly",EDATE(C612,ROUND(I612*SETTINGS!$I$8,0)),WORKDAY(C612,ROUND(I612*SETTINGS!$I$8,0))))</f>
        <v/>
      </c>
      <c r="AQ612" s="9" t="str">
        <f aca="true">IF(C612="","",IF(AND(AP612&lt;&gt;"",TODAY()&gt;=AP612),"Refi Ready",IF(TODAY()-C612&gt;=SETTINGS!$I$11,"Prospecting","Performing")))</f>
        <v/>
      </c>
      <c r="AR612" s="22" t="str">
        <f aca="false">IF(OR(C612="",I612="",K612=""),"",IF(K612="Monthly",EDATE(C612,I612),WORKDAY(C612,I612)))</f>
        <v/>
      </c>
      <c r="AS612" s="11"/>
      <c r="AT612" s="23" t="str">
        <f aca="true">IF(C612="","",IF(AM612="Clawed Back","CLAWED",IF(TODAY()&lt;=C612+SETTINGS!$I$2,"⚠ AT RISK","SAFE")))</f>
        <v/>
      </c>
      <c r="AU612" s="11"/>
      <c r="AW612" s="24" t="n">
        <f aca="false">AW611+IF(AND(C612&lt;&gt;"",AO612&lt;&gt;"",OR('REP COMMISSION'!$B$3="",T612='REP COMMISSION'!$B$3,W612='REP COMMISSION'!$B$3,Z612='REP COMMISSION'!$B$3)),1,0)</f>
        <v>0</v>
      </c>
      <c r="AX612" s="24" t="n">
        <f aca="false">AX611+IF(AND(C612&lt;&gt;"",OR(F612="LOC - INITIAL",F612="CONSOLIDATION - UPFRONT COMM",F612="REVERSE - TOTAL FUNDING")),1,0)</f>
        <v>0</v>
      </c>
    </row>
    <row r="613" customFormat="false" ht="15" hidden="false" customHeight="false" outlineLevel="0" collapsed="false">
      <c r="A613" s="25" t="str">
        <f aca="false">IF(C613&lt;&gt;"","F27-"&amp;COUNT($C$4:C613),"")</f>
        <v/>
      </c>
      <c r="B613" s="26" t="str">
        <f aca="false">IF(OR(F613="LOC - INITIAL",F613="CONSOLIDATION - UPFRONT COMM",F613="REVERSE - TOTAL FUNDING"),A613,"")</f>
        <v/>
      </c>
      <c r="C613" s="27"/>
      <c r="D613" s="28"/>
      <c r="E613" s="28"/>
      <c r="F613" s="28"/>
      <c r="G613" s="29"/>
      <c r="H613" s="30"/>
      <c r="I613" s="28"/>
      <c r="J613" s="31" t="str">
        <f aca="false">IF(AND(G613&lt;&gt;"",H613&lt;&gt;""),G613*H613,"")</f>
        <v/>
      </c>
      <c r="K613" s="28"/>
      <c r="L613" s="32"/>
      <c r="M613" s="32"/>
      <c r="N613" s="31" t="n">
        <f aca="false">IF(OR(G613="",M613=""),0,IF(M613&gt;100,M613,G613*IF(M613&gt;1,M613/100,M613)))</f>
        <v>0</v>
      </c>
      <c r="O613" s="31" t="str">
        <f aca="false">IF(G613="","",G613*IF(L613="",0,IF(L613&gt;1,L613/100,L613))+N613)</f>
        <v/>
      </c>
      <c r="P613" s="28"/>
      <c r="Q613" s="33" t="str">
        <f aca="false">IF(P613="","",IFERROR(VLOOKUP(P613,PARTNERS!$A$2:$B$30,2,0),""))</f>
        <v/>
      </c>
      <c r="R613" s="17" t="str">
        <f aca="false">IF(O613="","",IF(OR(P613="",Q613=""),0,(O613-N613)*IF(Q613&gt;1,Q613/100,Q613)))</f>
        <v/>
      </c>
      <c r="S613" s="31" t="str">
        <f aca="false">IF(O613="","",O613-R613)</f>
        <v/>
      </c>
      <c r="T613" s="28"/>
      <c r="U613" s="34" t="str">
        <f aca="false">IF(T613="","",IFERROR(VLOOKUP(T613,REPS!$A$2:$D$40,2,0),""))</f>
        <v/>
      </c>
      <c r="V613" s="31" t="str">
        <f aca="false">IF(O613="","",IF(U613="",0,O613*IF(U613&gt;1,U613/100,U613)))</f>
        <v/>
      </c>
      <c r="W613" s="28"/>
      <c r="X613" s="34" t="str">
        <f aca="false">IF(W613="","",IFERROR(VLOOKUP(W613,REPS!$A$2:$D$40,3,0),""))</f>
        <v/>
      </c>
      <c r="Y613" s="31" t="str">
        <f aca="false">IF(O613="","",IF(X613="",0,O613*IF(X613&gt;1,X613/100,X613)))</f>
        <v/>
      </c>
      <c r="Z613" s="28"/>
      <c r="AA613" s="34" t="str">
        <f aca="false">IF(Z613="","",IFERROR(VLOOKUP(Z613,REPS!$A$2:$D$40,4,0),""))</f>
        <v/>
      </c>
      <c r="AB613" s="31" t="str">
        <f aca="false">IF(O613="","",IF(AA613="",0,O613*IF(AA613&gt;1,AA613/100,AA613)))</f>
        <v/>
      </c>
      <c r="AC613" s="31" t="str">
        <f aca="false">IF(O613="","",V613+Y613+AB613)</f>
        <v/>
      </c>
      <c r="AD613" s="19" t="str">
        <f aca="false">IF(O613="","",O613-R613-AC613)</f>
        <v/>
      </c>
      <c r="AE613" s="20"/>
      <c r="AF613" s="27"/>
      <c r="AG613" s="21" t="n">
        <f aca="false">IF(OR(AE613="",AE613=0),0,AE613*IF(U613="",0,IF(U613&gt;1,U613/100,U613)))</f>
        <v>0</v>
      </c>
      <c r="AH613" s="21" t="n">
        <f aca="false">IF(OR(AE613="",AE613=0),0,AE613*IF(X613="",0,IF(X613&gt;1,X613/100,X613)))</f>
        <v>0</v>
      </c>
      <c r="AI613" s="21" t="n">
        <f aca="false">IF(OR(AE613="",AE613=0),0,AE613*IF(AA613="",0,IF(AA613&gt;1,AA613/100,AA613)))</f>
        <v>0</v>
      </c>
      <c r="AJ613" s="21" t="n">
        <f aca="false">AG613+AH613+AI613</f>
        <v>0</v>
      </c>
      <c r="AK613" s="21" t="n">
        <f aca="false">IF(OR(AE613="",AE613=0),0,AE613-AJ613)</f>
        <v>0</v>
      </c>
      <c r="AL613" s="19" t="str">
        <f aca="false">IF(AD613="","",AD613-AK613)</f>
        <v/>
      </c>
      <c r="AM613" s="26" t="str">
        <f aca="false">IF(C613="","","Waiting for payment")</f>
        <v/>
      </c>
      <c r="AN613" s="27"/>
      <c r="AO613" s="27"/>
      <c r="AP613" s="35" t="str">
        <f aca="false">IF(OR(C613="",I613="",K613=""),"",IF(K613="Monthly",EDATE(C613,ROUND(I613*SETTINGS!$I$8,0)),WORKDAY(C613,ROUND(I613*SETTINGS!$I$8,0))))</f>
        <v/>
      </c>
      <c r="AQ613" s="26" t="str">
        <f aca="true">IF(C613="","",IF(AND(AP613&lt;&gt;"",TODAY()&gt;=AP613),"Refi Ready",IF(TODAY()-C613&gt;=SETTINGS!$I$11,"Prospecting","Performing")))</f>
        <v/>
      </c>
      <c r="AR613" s="35" t="str">
        <f aca="false">IF(OR(C613="",I613="",K613=""),"",IF(K613="Monthly",EDATE(C613,I613),WORKDAY(C613,I613)))</f>
        <v/>
      </c>
      <c r="AS613" s="28"/>
      <c r="AT613" s="36" t="str">
        <f aca="true">IF(C613="","",IF(AM613="Clawed Back","CLAWED",IF(TODAY()&lt;=C613+SETTINGS!$I$2,"⚠ AT RISK","SAFE")))</f>
        <v/>
      </c>
      <c r="AU613" s="28"/>
      <c r="AW613" s="24" t="n">
        <f aca="false">AW612+IF(AND(C613&lt;&gt;"",AO613&lt;&gt;"",OR('REP COMMISSION'!$B$3="",T613='REP COMMISSION'!$B$3,W613='REP COMMISSION'!$B$3,Z613='REP COMMISSION'!$B$3)),1,0)</f>
        <v>0</v>
      </c>
      <c r="AX613" s="24" t="n">
        <f aca="false">AX612+IF(AND(C613&lt;&gt;"",OR(F613="LOC - INITIAL",F613="CONSOLIDATION - UPFRONT COMM",F613="REVERSE - TOTAL FUNDING")),1,0)</f>
        <v>0</v>
      </c>
    </row>
    <row r="614" customFormat="false" ht="18" hidden="false" customHeight="true" outlineLevel="0" collapsed="false">
      <c r="A614" s="37" t="s">
        <v>53</v>
      </c>
      <c r="B614" s="38"/>
      <c r="C614" s="38"/>
      <c r="D614" s="37" t="str">
        <f aca="false">COUNT(C514:C613)&amp;" units"</f>
        <v>0 units</v>
      </c>
      <c r="E614" s="38"/>
      <c r="F614" s="38"/>
      <c r="G614" s="39" t="n">
        <f aca="false">SUM(G514:G613)</f>
        <v>0</v>
      </c>
      <c r="H614" s="38"/>
      <c r="I614" s="38"/>
      <c r="J614" s="38"/>
      <c r="K614" s="38"/>
      <c r="L614" s="38"/>
      <c r="M614" s="38"/>
      <c r="N614" s="39" t="n">
        <f aca="false">SUM(N514:N613)</f>
        <v>0</v>
      </c>
      <c r="O614" s="39" t="n">
        <f aca="false">SUM(O514:O613)</f>
        <v>0</v>
      </c>
      <c r="P614" s="38"/>
      <c r="Q614" s="38"/>
      <c r="R614" s="39" t="n">
        <f aca="false">SUM(R514:R613)</f>
        <v>0</v>
      </c>
      <c r="S614" s="39" t="n">
        <f aca="false">SUM(S514:S613)</f>
        <v>0</v>
      </c>
      <c r="T614" s="38"/>
      <c r="U614" s="38"/>
      <c r="V614" s="38"/>
      <c r="W614" s="38"/>
      <c r="X614" s="38"/>
      <c r="Y614" s="38"/>
      <c r="Z614" s="38"/>
      <c r="AA614" s="38"/>
      <c r="AB614" s="38"/>
      <c r="AC614" s="39" t="n">
        <f aca="false">SUM(AC514:AC613)</f>
        <v>0</v>
      </c>
      <c r="AD614" s="39" t="n">
        <f aca="false">SUM(AD514:AD613)</f>
        <v>0</v>
      </c>
      <c r="AE614" s="39" t="n">
        <f aca="false">SUM(AE514:AE613)</f>
        <v>0</v>
      </c>
      <c r="AF614" s="38"/>
      <c r="AG614" s="38"/>
      <c r="AH614" s="38"/>
      <c r="AI614" s="38"/>
      <c r="AJ614" s="39" t="n">
        <f aca="false">SUM(AJ514:AJ613)</f>
        <v>0</v>
      </c>
      <c r="AK614" s="39" t="n">
        <f aca="false">SUM(AK514:AK613)</f>
        <v>0</v>
      </c>
      <c r="AL614" s="39" t="n">
        <f aca="false">SUM(AL514:AL613)</f>
        <v>0</v>
      </c>
      <c r="AM614" s="38"/>
      <c r="AN614" s="38"/>
      <c r="AO614" s="38"/>
      <c r="AP614" s="38"/>
      <c r="AQ614" s="38"/>
      <c r="AR614" s="38"/>
      <c r="AS614" s="38"/>
      <c r="AT614" s="38"/>
      <c r="AU614" s="38"/>
      <c r="AW614" s="24" t="n">
        <f aca="false">AW613</f>
        <v>0</v>
      </c>
      <c r="AX614" s="24" t="n">
        <f aca="false">AX613</f>
        <v>0</v>
      </c>
    </row>
    <row r="615" customFormat="false" ht="19.5" hidden="false" customHeight="true" outlineLevel="0" collapsed="false">
      <c r="A615" s="6" t="s">
        <v>76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W615" s="24" t="n">
        <f aca="false">AW614</f>
        <v>0</v>
      </c>
      <c r="AX615" s="24" t="n">
        <f aca="false">AX614</f>
        <v>0</v>
      </c>
    </row>
    <row r="616" customFormat="false" ht="15" hidden="false" customHeight="false" outlineLevel="0" collapsed="false">
      <c r="A616" s="8" t="str">
        <f aca="false">IF(C616&lt;&gt;"","F27-"&amp;COUNT($C$4:C616),"")</f>
        <v/>
      </c>
      <c r="B616" s="9" t="str">
        <f aca="false">IF(OR(F616="LOC - INITIAL",F616="CONSOLIDATION - UPFRONT COMM",F616="REVERSE - TOTAL FUNDING"),A616,"")</f>
        <v/>
      </c>
      <c r="C616" s="10"/>
      <c r="D616" s="11"/>
      <c r="E616" s="11"/>
      <c r="F616" s="11"/>
      <c r="G616" s="12"/>
      <c r="H616" s="13"/>
      <c r="I616" s="11"/>
      <c r="J616" s="14" t="str">
        <f aca="false">IF(AND(G616&lt;&gt;"",H616&lt;&gt;""),G616*H616,"")</f>
        <v/>
      </c>
      <c r="K616" s="11"/>
      <c r="L616" s="15"/>
      <c r="M616" s="15"/>
      <c r="N616" s="14" t="n">
        <f aca="false">IF(OR(G616="",M616=""),0,IF(M616&gt;100,M616,G616*IF(M616&gt;1,M616/100,M616)))</f>
        <v>0</v>
      </c>
      <c r="O616" s="14" t="str">
        <f aca="false">IF(G616="","",G616*IF(L616="",0,IF(L616&gt;1,L616/100,L616))+N616)</f>
        <v/>
      </c>
      <c r="P616" s="11"/>
      <c r="Q616" s="16" t="str">
        <f aca="false">IF(P616="","",IFERROR(VLOOKUP(P616,PARTNERS!$A$2:$B$30,2,0),""))</f>
        <v/>
      </c>
      <c r="R616" s="17" t="str">
        <f aca="false">IF(O616="","",IF(OR(P616="",Q616=""),0,(O616-N616)*IF(Q616&gt;1,Q616/100,Q616)))</f>
        <v/>
      </c>
      <c r="S616" s="14" t="str">
        <f aca="false">IF(O616="","",O616-R616)</f>
        <v/>
      </c>
      <c r="T616" s="11"/>
      <c r="U616" s="18" t="str">
        <f aca="false">IF(T616="","",IFERROR(VLOOKUP(T616,REPS!$A$2:$D$40,2,0),""))</f>
        <v/>
      </c>
      <c r="V616" s="14" t="str">
        <f aca="false">IF(O616="","",IF(U616="",0,O616*IF(U616&gt;1,U616/100,U616)))</f>
        <v/>
      </c>
      <c r="W616" s="11"/>
      <c r="X616" s="18" t="str">
        <f aca="false">IF(W616="","",IFERROR(VLOOKUP(W616,REPS!$A$2:$D$40,3,0),""))</f>
        <v/>
      </c>
      <c r="Y616" s="14" t="str">
        <f aca="false">IF(O616="","",IF(X616="",0,O616*IF(X616&gt;1,X616/100,X616)))</f>
        <v/>
      </c>
      <c r="Z616" s="11"/>
      <c r="AA616" s="18" t="str">
        <f aca="false">IF(Z616="","",IFERROR(VLOOKUP(Z616,REPS!$A$2:$D$40,4,0),""))</f>
        <v/>
      </c>
      <c r="AB616" s="14" t="str">
        <f aca="false">IF(O616="","",IF(AA616="",0,O616*IF(AA616&gt;1,AA616/100,AA616)))</f>
        <v/>
      </c>
      <c r="AC616" s="14" t="str">
        <f aca="false">IF(O616="","",V616+Y616+AB616)</f>
        <v/>
      </c>
      <c r="AD616" s="19" t="str">
        <f aca="false">IF(O616="","",O616-R616-AC616)</f>
        <v/>
      </c>
      <c r="AE616" s="20"/>
      <c r="AF616" s="10"/>
      <c r="AG616" s="21" t="n">
        <f aca="false">IF(OR(AE616="",AE616=0),0,AE616*IF(U616="",0,IF(U616&gt;1,U616/100,U616)))</f>
        <v>0</v>
      </c>
      <c r="AH616" s="21" t="n">
        <f aca="false">IF(OR(AE616="",AE616=0),0,AE616*IF(X616="",0,IF(X616&gt;1,X616/100,X616)))</f>
        <v>0</v>
      </c>
      <c r="AI616" s="21" t="n">
        <f aca="false">IF(OR(AE616="",AE616=0),0,AE616*IF(AA616="",0,IF(AA616&gt;1,AA616/100,AA616)))</f>
        <v>0</v>
      </c>
      <c r="AJ616" s="21" t="n">
        <f aca="false">AG616+AH616+AI616</f>
        <v>0</v>
      </c>
      <c r="AK616" s="21" t="n">
        <f aca="false">IF(OR(AE616="",AE616=0),0,AE616-AJ616)</f>
        <v>0</v>
      </c>
      <c r="AL616" s="19" t="str">
        <f aca="false">IF(AD616="","",AD616-AK616)</f>
        <v/>
      </c>
      <c r="AM616" s="9" t="str">
        <f aca="false">IF(C616="","","Waiting for payment")</f>
        <v/>
      </c>
      <c r="AN616" s="10"/>
      <c r="AO616" s="10"/>
      <c r="AP616" s="22" t="str">
        <f aca="false">IF(OR(C616="",I616="",K616=""),"",IF(K616="Monthly",EDATE(C616,ROUND(I616*SETTINGS!$I$8,0)),WORKDAY(C616,ROUND(I616*SETTINGS!$I$8,0))))</f>
        <v/>
      </c>
      <c r="AQ616" s="9" t="str">
        <f aca="true">IF(C616="","",IF(AND(AP616&lt;&gt;"",TODAY()&gt;=AP616),"Refi Ready",IF(TODAY()-C616&gt;=SETTINGS!$I$11,"Prospecting","Performing")))</f>
        <v/>
      </c>
      <c r="AR616" s="22" t="str">
        <f aca="false">IF(OR(C616="",I616="",K616=""),"",IF(K616="Monthly",EDATE(C616,I616),WORKDAY(C616,I616)))</f>
        <v/>
      </c>
      <c r="AS616" s="11"/>
      <c r="AT616" s="23" t="str">
        <f aca="true">IF(C616="","",IF(AM616="Clawed Back","CLAWED",IF(TODAY()&lt;=C616+SETTINGS!$I$2,"⚠ AT RISK","SAFE")))</f>
        <v/>
      </c>
      <c r="AU616" s="11"/>
      <c r="AW616" s="24" t="n">
        <f aca="false">AW615+IF(AND(C616&lt;&gt;"",AO616&lt;&gt;"",OR('REP COMMISSION'!$B$3="",T616='REP COMMISSION'!$B$3,W616='REP COMMISSION'!$B$3,Z616='REP COMMISSION'!$B$3)),1,0)</f>
        <v>0</v>
      </c>
      <c r="AX616" s="24" t="n">
        <f aca="false">AX615+IF(AND(C616&lt;&gt;"",OR(F616="LOC - INITIAL",F616="CONSOLIDATION - UPFRONT COMM",F616="REVERSE - TOTAL FUNDING")),1,0)</f>
        <v>0</v>
      </c>
    </row>
    <row r="617" customFormat="false" ht="15" hidden="false" customHeight="false" outlineLevel="0" collapsed="false">
      <c r="A617" s="25" t="str">
        <f aca="false">IF(C617&lt;&gt;"","F27-"&amp;COUNT($C$4:C617),"")</f>
        <v/>
      </c>
      <c r="B617" s="26" t="str">
        <f aca="false">IF(OR(F617="LOC - INITIAL",F617="CONSOLIDATION - UPFRONT COMM",F617="REVERSE - TOTAL FUNDING"),A617,"")</f>
        <v/>
      </c>
      <c r="C617" s="27"/>
      <c r="D617" s="28"/>
      <c r="E617" s="28"/>
      <c r="F617" s="28"/>
      <c r="G617" s="29"/>
      <c r="H617" s="30"/>
      <c r="I617" s="28"/>
      <c r="J617" s="31" t="str">
        <f aca="false">IF(AND(G617&lt;&gt;"",H617&lt;&gt;""),G617*H617,"")</f>
        <v/>
      </c>
      <c r="K617" s="28"/>
      <c r="L617" s="32"/>
      <c r="M617" s="32"/>
      <c r="N617" s="31" t="n">
        <f aca="false">IF(OR(G617="",M617=""),0,IF(M617&gt;100,M617,G617*IF(M617&gt;1,M617/100,M617)))</f>
        <v>0</v>
      </c>
      <c r="O617" s="31" t="str">
        <f aca="false">IF(G617="","",G617*IF(L617="",0,IF(L617&gt;1,L617/100,L617))+N617)</f>
        <v/>
      </c>
      <c r="P617" s="28"/>
      <c r="Q617" s="33" t="str">
        <f aca="false">IF(P617="","",IFERROR(VLOOKUP(P617,PARTNERS!$A$2:$B$30,2,0),""))</f>
        <v/>
      </c>
      <c r="R617" s="17" t="str">
        <f aca="false">IF(O617="","",IF(OR(P617="",Q617=""),0,(O617-N617)*IF(Q617&gt;1,Q617/100,Q617)))</f>
        <v/>
      </c>
      <c r="S617" s="31" t="str">
        <f aca="false">IF(O617="","",O617-R617)</f>
        <v/>
      </c>
      <c r="T617" s="28"/>
      <c r="U617" s="34" t="str">
        <f aca="false">IF(T617="","",IFERROR(VLOOKUP(T617,REPS!$A$2:$D$40,2,0),""))</f>
        <v/>
      </c>
      <c r="V617" s="31" t="str">
        <f aca="false">IF(O617="","",IF(U617="",0,O617*IF(U617&gt;1,U617/100,U617)))</f>
        <v/>
      </c>
      <c r="W617" s="28"/>
      <c r="X617" s="34" t="str">
        <f aca="false">IF(W617="","",IFERROR(VLOOKUP(W617,REPS!$A$2:$D$40,3,0),""))</f>
        <v/>
      </c>
      <c r="Y617" s="31" t="str">
        <f aca="false">IF(O617="","",IF(X617="",0,O617*IF(X617&gt;1,X617/100,X617)))</f>
        <v/>
      </c>
      <c r="Z617" s="28"/>
      <c r="AA617" s="34" t="str">
        <f aca="false">IF(Z617="","",IFERROR(VLOOKUP(Z617,REPS!$A$2:$D$40,4,0),""))</f>
        <v/>
      </c>
      <c r="AB617" s="31" t="str">
        <f aca="false">IF(O617="","",IF(AA617="",0,O617*IF(AA617&gt;1,AA617/100,AA617)))</f>
        <v/>
      </c>
      <c r="AC617" s="31" t="str">
        <f aca="false">IF(O617="","",V617+Y617+AB617)</f>
        <v/>
      </c>
      <c r="AD617" s="19" t="str">
        <f aca="false">IF(O617="","",O617-R617-AC617)</f>
        <v/>
      </c>
      <c r="AE617" s="20"/>
      <c r="AF617" s="27"/>
      <c r="AG617" s="21" t="n">
        <f aca="false">IF(OR(AE617="",AE617=0),0,AE617*IF(U617="",0,IF(U617&gt;1,U617/100,U617)))</f>
        <v>0</v>
      </c>
      <c r="AH617" s="21" t="n">
        <f aca="false">IF(OR(AE617="",AE617=0),0,AE617*IF(X617="",0,IF(X617&gt;1,X617/100,X617)))</f>
        <v>0</v>
      </c>
      <c r="AI617" s="21" t="n">
        <f aca="false">IF(OR(AE617="",AE617=0),0,AE617*IF(AA617="",0,IF(AA617&gt;1,AA617/100,AA617)))</f>
        <v>0</v>
      </c>
      <c r="AJ617" s="21" t="n">
        <f aca="false">AG617+AH617+AI617</f>
        <v>0</v>
      </c>
      <c r="AK617" s="21" t="n">
        <f aca="false">IF(OR(AE617="",AE617=0),0,AE617-AJ617)</f>
        <v>0</v>
      </c>
      <c r="AL617" s="19" t="str">
        <f aca="false">IF(AD617="","",AD617-AK617)</f>
        <v/>
      </c>
      <c r="AM617" s="26" t="str">
        <f aca="false">IF(C617="","","Waiting for payment")</f>
        <v/>
      </c>
      <c r="AN617" s="27"/>
      <c r="AO617" s="27"/>
      <c r="AP617" s="35" t="str">
        <f aca="false">IF(OR(C617="",I617="",K617=""),"",IF(K617="Monthly",EDATE(C617,ROUND(I617*SETTINGS!$I$8,0)),WORKDAY(C617,ROUND(I617*SETTINGS!$I$8,0))))</f>
        <v/>
      </c>
      <c r="AQ617" s="26" t="str">
        <f aca="true">IF(C617="","",IF(AND(AP617&lt;&gt;"",TODAY()&gt;=AP617),"Refi Ready",IF(TODAY()-C617&gt;=SETTINGS!$I$11,"Prospecting","Performing")))</f>
        <v/>
      </c>
      <c r="AR617" s="35" t="str">
        <f aca="false">IF(OR(C617="",I617="",K617=""),"",IF(K617="Monthly",EDATE(C617,I617),WORKDAY(C617,I617)))</f>
        <v/>
      </c>
      <c r="AS617" s="28"/>
      <c r="AT617" s="36" t="str">
        <f aca="true">IF(C617="","",IF(AM617="Clawed Back","CLAWED",IF(TODAY()&lt;=C617+SETTINGS!$I$2,"⚠ AT RISK","SAFE")))</f>
        <v/>
      </c>
      <c r="AU617" s="28"/>
      <c r="AW617" s="24" t="n">
        <f aca="false">AW616+IF(AND(C617&lt;&gt;"",AO617&lt;&gt;"",OR('REP COMMISSION'!$B$3="",T617='REP COMMISSION'!$B$3,W617='REP COMMISSION'!$B$3,Z617='REP COMMISSION'!$B$3)),1,0)</f>
        <v>0</v>
      </c>
      <c r="AX617" s="24" t="n">
        <f aca="false">AX616+IF(AND(C617&lt;&gt;"",OR(F617="LOC - INITIAL",F617="CONSOLIDATION - UPFRONT COMM",F617="REVERSE - TOTAL FUNDING")),1,0)</f>
        <v>0</v>
      </c>
    </row>
    <row r="618" customFormat="false" ht="15" hidden="false" customHeight="false" outlineLevel="0" collapsed="false">
      <c r="A618" s="8" t="str">
        <f aca="false">IF(C618&lt;&gt;"","F27-"&amp;COUNT($C$4:C618),"")</f>
        <v/>
      </c>
      <c r="B618" s="9" t="str">
        <f aca="false">IF(OR(F618="LOC - INITIAL",F618="CONSOLIDATION - UPFRONT COMM",F618="REVERSE - TOTAL FUNDING"),A618,"")</f>
        <v/>
      </c>
      <c r="C618" s="10"/>
      <c r="D618" s="11"/>
      <c r="E618" s="11"/>
      <c r="F618" s="11"/>
      <c r="G618" s="12"/>
      <c r="H618" s="13"/>
      <c r="I618" s="11"/>
      <c r="J618" s="14" t="str">
        <f aca="false">IF(AND(G618&lt;&gt;"",H618&lt;&gt;""),G618*H618,"")</f>
        <v/>
      </c>
      <c r="K618" s="11"/>
      <c r="L618" s="15"/>
      <c r="M618" s="15"/>
      <c r="N618" s="14" t="n">
        <f aca="false">IF(OR(G618="",M618=""),0,IF(M618&gt;100,M618,G618*IF(M618&gt;1,M618/100,M618)))</f>
        <v>0</v>
      </c>
      <c r="O618" s="14" t="str">
        <f aca="false">IF(G618="","",G618*IF(L618="",0,IF(L618&gt;1,L618/100,L618))+N618)</f>
        <v/>
      </c>
      <c r="P618" s="11"/>
      <c r="Q618" s="16" t="str">
        <f aca="false">IF(P618="","",IFERROR(VLOOKUP(P618,PARTNERS!$A$2:$B$30,2,0),""))</f>
        <v/>
      </c>
      <c r="R618" s="17" t="str">
        <f aca="false">IF(O618="","",IF(OR(P618="",Q618=""),0,(O618-N618)*IF(Q618&gt;1,Q618/100,Q618)))</f>
        <v/>
      </c>
      <c r="S618" s="14" t="str">
        <f aca="false">IF(O618="","",O618-R618)</f>
        <v/>
      </c>
      <c r="T618" s="11"/>
      <c r="U618" s="18" t="str">
        <f aca="false">IF(T618="","",IFERROR(VLOOKUP(T618,REPS!$A$2:$D$40,2,0),""))</f>
        <v/>
      </c>
      <c r="V618" s="14" t="str">
        <f aca="false">IF(O618="","",IF(U618="",0,O618*IF(U618&gt;1,U618/100,U618)))</f>
        <v/>
      </c>
      <c r="W618" s="11"/>
      <c r="X618" s="18" t="str">
        <f aca="false">IF(W618="","",IFERROR(VLOOKUP(W618,REPS!$A$2:$D$40,3,0),""))</f>
        <v/>
      </c>
      <c r="Y618" s="14" t="str">
        <f aca="false">IF(O618="","",IF(X618="",0,O618*IF(X618&gt;1,X618/100,X618)))</f>
        <v/>
      </c>
      <c r="Z618" s="11"/>
      <c r="AA618" s="18" t="str">
        <f aca="false">IF(Z618="","",IFERROR(VLOOKUP(Z618,REPS!$A$2:$D$40,4,0),""))</f>
        <v/>
      </c>
      <c r="AB618" s="14" t="str">
        <f aca="false">IF(O618="","",IF(AA618="",0,O618*IF(AA618&gt;1,AA618/100,AA618)))</f>
        <v/>
      </c>
      <c r="AC618" s="14" t="str">
        <f aca="false">IF(O618="","",V618+Y618+AB618)</f>
        <v/>
      </c>
      <c r="AD618" s="19" t="str">
        <f aca="false">IF(O618="","",O618-R618-AC618)</f>
        <v/>
      </c>
      <c r="AE618" s="20"/>
      <c r="AF618" s="10"/>
      <c r="AG618" s="21" t="n">
        <f aca="false">IF(OR(AE618="",AE618=0),0,AE618*IF(U618="",0,IF(U618&gt;1,U618/100,U618)))</f>
        <v>0</v>
      </c>
      <c r="AH618" s="21" t="n">
        <f aca="false">IF(OR(AE618="",AE618=0),0,AE618*IF(X618="",0,IF(X618&gt;1,X618/100,X618)))</f>
        <v>0</v>
      </c>
      <c r="AI618" s="21" t="n">
        <f aca="false">IF(OR(AE618="",AE618=0),0,AE618*IF(AA618="",0,IF(AA618&gt;1,AA618/100,AA618)))</f>
        <v>0</v>
      </c>
      <c r="AJ618" s="21" t="n">
        <f aca="false">AG618+AH618+AI618</f>
        <v>0</v>
      </c>
      <c r="AK618" s="21" t="n">
        <f aca="false">IF(OR(AE618="",AE618=0),0,AE618-AJ618)</f>
        <v>0</v>
      </c>
      <c r="AL618" s="19" t="str">
        <f aca="false">IF(AD618="","",AD618-AK618)</f>
        <v/>
      </c>
      <c r="AM618" s="9" t="str">
        <f aca="false">IF(C618="","","Waiting for payment")</f>
        <v/>
      </c>
      <c r="AN618" s="10"/>
      <c r="AO618" s="10"/>
      <c r="AP618" s="22" t="str">
        <f aca="false">IF(OR(C618="",I618="",K618=""),"",IF(K618="Monthly",EDATE(C618,ROUND(I618*SETTINGS!$I$8,0)),WORKDAY(C618,ROUND(I618*SETTINGS!$I$8,0))))</f>
        <v/>
      </c>
      <c r="AQ618" s="9" t="str">
        <f aca="true">IF(C618="","",IF(AND(AP618&lt;&gt;"",TODAY()&gt;=AP618),"Refi Ready",IF(TODAY()-C618&gt;=SETTINGS!$I$11,"Prospecting","Performing")))</f>
        <v/>
      </c>
      <c r="AR618" s="22" t="str">
        <f aca="false">IF(OR(C618="",I618="",K618=""),"",IF(K618="Monthly",EDATE(C618,I618),WORKDAY(C618,I618)))</f>
        <v/>
      </c>
      <c r="AS618" s="11"/>
      <c r="AT618" s="23" t="str">
        <f aca="true">IF(C618="","",IF(AM618="Clawed Back","CLAWED",IF(TODAY()&lt;=C618+SETTINGS!$I$2,"⚠ AT RISK","SAFE")))</f>
        <v/>
      </c>
      <c r="AU618" s="11"/>
      <c r="AW618" s="24" t="n">
        <f aca="false">AW617+IF(AND(C618&lt;&gt;"",AO618&lt;&gt;"",OR('REP COMMISSION'!$B$3="",T618='REP COMMISSION'!$B$3,W618='REP COMMISSION'!$B$3,Z618='REP COMMISSION'!$B$3)),1,0)</f>
        <v>0</v>
      </c>
      <c r="AX618" s="24" t="n">
        <f aca="false">AX617+IF(AND(C618&lt;&gt;"",OR(F618="LOC - INITIAL",F618="CONSOLIDATION - UPFRONT COMM",F618="REVERSE - TOTAL FUNDING")),1,0)</f>
        <v>0</v>
      </c>
    </row>
    <row r="619" customFormat="false" ht="15" hidden="false" customHeight="false" outlineLevel="0" collapsed="false">
      <c r="A619" s="25" t="str">
        <f aca="false">IF(C619&lt;&gt;"","F27-"&amp;COUNT($C$4:C619),"")</f>
        <v/>
      </c>
      <c r="B619" s="26" t="str">
        <f aca="false">IF(OR(F619="LOC - INITIAL",F619="CONSOLIDATION - UPFRONT COMM",F619="REVERSE - TOTAL FUNDING"),A619,"")</f>
        <v/>
      </c>
      <c r="C619" s="27"/>
      <c r="D619" s="28"/>
      <c r="E619" s="28"/>
      <c r="F619" s="28"/>
      <c r="G619" s="29"/>
      <c r="H619" s="30"/>
      <c r="I619" s="28"/>
      <c r="J619" s="31" t="str">
        <f aca="false">IF(AND(G619&lt;&gt;"",H619&lt;&gt;""),G619*H619,"")</f>
        <v/>
      </c>
      <c r="K619" s="28"/>
      <c r="L619" s="32"/>
      <c r="M619" s="32"/>
      <c r="N619" s="31" t="n">
        <f aca="false">IF(OR(G619="",M619=""),0,IF(M619&gt;100,M619,G619*IF(M619&gt;1,M619/100,M619)))</f>
        <v>0</v>
      </c>
      <c r="O619" s="31" t="str">
        <f aca="false">IF(G619="","",G619*IF(L619="",0,IF(L619&gt;1,L619/100,L619))+N619)</f>
        <v/>
      </c>
      <c r="P619" s="28"/>
      <c r="Q619" s="33" t="str">
        <f aca="false">IF(P619="","",IFERROR(VLOOKUP(P619,PARTNERS!$A$2:$B$30,2,0),""))</f>
        <v/>
      </c>
      <c r="R619" s="17" t="str">
        <f aca="false">IF(O619="","",IF(OR(P619="",Q619=""),0,(O619-N619)*IF(Q619&gt;1,Q619/100,Q619)))</f>
        <v/>
      </c>
      <c r="S619" s="31" t="str">
        <f aca="false">IF(O619="","",O619-R619)</f>
        <v/>
      </c>
      <c r="T619" s="28"/>
      <c r="U619" s="34" t="str">
        <f aca="false">IF(T619="","",IFERROR(VLOOKUP(T619,REPS!$A$2:$D$40,2,0),""))</f>
        <v/>
      </c>
      <c r="V619" s="31" t="str">
        <f aca="false">IF(O619="","",IF(U619="",0,O619*IF(U619&gt;1,U619/100,U619)))</f>
        <v/>
      </c>
      <c r="W619" s="28"/>
      <c r="X619" s="34" t="str">
        <f aca="false">IF(W619="","",IFERROR(VLOOKUP(W619,REPS!$A$2:$D$40,3,0),""))</f>
        <v/>
      </c>
      <c r="Y619" s="31" t="str">
        <f aca="false">IF(O619="","",IF(X619="",0,O619*IF(X619&gt;1,X619/100,X619)))</f>
        <v/>
      </c>
      <c r="Z619" s="28"/>
      <c r="AA619" s="34" t="str">
        <f aca="false">IF(Z619="","",IFERROR(VLOOKUP(Z619,REPS!$A$2:$D$40,4,0),""))</f>
        <v/>
      </c>
      <c r="AB619" s="31" t="str">
        <f aca="false">IF(O619="","",IF(AA619="",0,O619*IF(AA619&gt;1,AA619/100,AA619)))</f>
        <v/>
      </c>
      <c r="AC619" s="31" t="str">
        <f aca="false">IF(O619="","",V619+Y619+AB619)</f>
        <v/>
      </c>
      <c r="AD619" s="19" t="str">
        <f aca="false">IF(O619="","",O619-R619-AC619)</f>
        <v/>
      </c>
      <c r="AE619" s="20"/>
      <c r="AF619" s="27"/>
      <c r="AG619" s="21" t="n">
        <f aca="false">IF(OR(AE619="",AE619=0),0,AE619*IF(U619="",0,IF(U619&gt;1,U619/100,U619)))</f>
        <v>0</v>
      </c>
      <c r="AH619" s="21" t="n">
        <f aca="false">IF(OR(AE619="",AE619=0),0,AE619*IF(X619="",0,IF(X619&gt;1,X619/100,X619)))</f>
        <v>0</v>
      </c>
      <c r="AI619" s="21" t="n">
        <f aca="false">IF(OR(AE619="",AE619=0),0,AE619*IF(AA619="",0,IF(AA619&gt;1,AA619/100,AA619)))</f>
        <v>0</v>
      </c>
      <c r="AJ619" s="21" t="n">
        <f aca="false">AG619+AH619+AI619</f>
        <v>0</v>
      </c>
      <c r="AK619" s="21" t="n">
        <f aca="false">IF(OR(AE619="",AE619=0),0,AE619-AJ619)</f>
        <v>0</v>
      </c>
      <c r="AL619" s="19" t="str">
        <f aca="false">IF(AD619="","",AD619-AK619)</f>
        <v/>
      </c>
      <c r="AM619" s="26" t="str">
        <f aca="false">IF(C619="","","Waiting for payment")</f>
        <v/>
      </c>
      <c r="AN619" s="27"/>
      <c r="AO619" s="27"/>
      <c r="AP619" s="35" t="str">
        <f aca="false">IF(OR(C619="",I619="",K619=""),"",IF(K619="Monthly",EDATE(C619,ROUND(I619*SETTINGS!$I$8,0)),WORKDAY(C619,ROUND(I619*SETTINGS!$I$8,0))))</f>
        <v/>
      </c>
      <c r="AQ619" s="26" t="str">
        <f aca="true">IF(C619="","",IF(AND(AP619&lt;&gt;"",TODAY()&gt;=AP619),"Refi Ready",IF(TODAY()-C619&gt;=SETTINGS!$I$11,"Prospecting","Performing")))</f>
        <v/>
      </c>
      <c r="AR619" s="35" t="str">
        <f aca="false">IF(OR(C619="",I619="",K619=""),"",IF(K619="Monthly",EDATE(C619,I619),WORKDAY(C619,I619)))</f>
        <v/>
      </c>
      <c r="AS619" s="28"/>
      <c r="AT619" s="36" t="str">
        <f aca="true">IF(C619="","",IF(AM619="Clawed Back","CLAWED",IF(TODAY()&lt;=C619+SETTINGS!$I$2,"⚠ AT RISK","SAFE")))</f>
        <v/>
      </c>
      <c r="AU619" s="28"/>
      <c r="AW619" s="24" t="n">
        <f aca="false">AW618+IF(AND(C619&lt;&gt;"",AO619&lt;&gt;"",OR('REP COMMISSION'!$B$3="",T619='REP COMMISSION'!$B$3,W619='REP COMMISSION'!$B$3,Z619='REP COMMISSION'!$B$3)),1,0)</f>
        <v>0</v>
      </c>
      <c r="AX619" s="24" t="n">
        <f aca="false">AX618+IF(AND(C619&lt;&gt;"",OR(F619="LOC - INITIAL",F619="CONSOLIDATION - UPFRONT COMM",F619="REVERSE - TOTAL FUNDING")),1,0)</f>
        <v>0</v>
      </c>
    </row>
    <row r="620" customFormat="false" ht="15" hidden="false" customHeight="false" outlineLevel="0" collapsed="false">
      <c r="A620" s="8" t="str">
        <f aca="false">IF(C620&lt;&gt;"","F27-"&amp;COUNT($C$4:C620),"")</f>
        <v/>
      </c>
      <c r="B620" s="9" t="str">
        <f aca="false">IF(OR(F620="LOC - INITIAL",F620="CONSOLIDATION - UPFRONT COMM",F620="REVERSE - TOTAL FUNDING"),A620,"")</f>
        <v/>
      </c>
      <c r="C620" s="10"/>
      <c r="D620" s="11"/>
      <c r="E620" s="11"/>
      <c r="F620" s="11"/>
      <c r="G620" s="12"/>
      <c r="H620" s="13"/>
      <c r="I620" s="11"/>
      <c r="J620" s="14" t="str">
        <f aca="false">IF(AND(G620&lt;&gt;"",H620&lt;&gt;""),G620*H620,"")</f>
        <v/>
      </c>
      <c r="K620" s="11"/>
      <c r="L620" s="15"/>
      <c r="M620" s="15"/>
      <c r="N620" s="14" t="n">
        <f aca="false">IF(OR(G620="",M620=""),0,IF(M620&gt;100,M620,G620*IF(M620&gt;1,M620/100,M620)))</f>
        <v>0</v>
      </c>
      <c r="O620" s="14" t="str">
        <f aca="false">IF(G620="","",G620*IF(L620="",0,IF(L620&gt;1,L620/100,L620))+N620)</f>
        <v/>
      </c>
      <c r="P620" s="11"/>
      <c r="Q620" s="16" t="str">
        <f aca="false">IF(P620="","",IFERROR(VLOOKUP(P620,PARTNERS!$A$2:$B$30,2,0),""))</f>
        <v/>
      </c>
      <c r="R620" s="17" t="str">
        <f aca="false">IF(O620="","",IF(OR(P620="",Q620=""),0,(O620-N620)*IF(Q620&gt;1,Q620/100,Q620)))</f>
        <v/>
      </c>
      <c r="S620" s="14" t="str">
        <f aca="false">IF(O620="","",O620-R620)</f>
        <v/>
      </c>
      <c r="T620" s="11"/>
      <c r="U620" s="18" t="str">
        <f aca="false">IF(T620="","",IFERROR(VLOOKUP(T620,REPS!$A$2:$D$40,2,0),""))</f>
        <v/>
      </c>
      <c r="V620" s="14" t="str">
        <f aca="false">IF(O620="","",IF(U620="",0,O620*IF(U620&gt;1,U620/100,U620)))</f>
        <v/>
      </c>
      <c r="W620" s="11"/>
      <c r="X620" s="18" t="str">
        <f aca="false">IF(W620="","",IFERROR(VLOOKUP(W620,REPS!$A$2:$D$40,3,0),""))</f>
        <v/>
      </c>
      <c r="Y620" s="14" t="str">
        <f aca="false">IF(O620="","",IF(X620="",0,O620*IF(X620&gt;1,X620/100,X620)))</f>
        <v/>
      </c>
      <c r="Z620" s="11"/>
      <c r="AA620" s="18" t="str">
        <f aca="false">IF(Z620="","",IFERROR(VLOOKUP(Z620,REPS!$A$2:$D$40,4,0),""))</f>
        <v/>
      </c>
      <c r="AB620" s="14" t="str">
        <f aca="false">IF(O620="","",IF(AA620="",0,O620*IF(AA620&gt;1,AA620/100,AA620)))</f>
        <v/>
      </c>
      <c r="AC620" s="14" t="str">
        <f aca="false">IF(O620="","",V620+Y620+AB620)</f>
        <v/>
      </c>
      <c r="AD620" s="19" t="str">
        <f aca="false">IF(O620="","",O620-R620-AC620)</f>
        <v/>
      </c>
      <c r="AE620" s="20"/>
      <c r="AF620" s="10"/>
      <c r="AG620" s="21" t="n">
        <f aca="false">IF(OR(AE620="",AE620=0),0,AE620*IF(U620="",0,IF(U620&gt;1,U620/100,U620)))</f>
        <v>0</v>
      </c>
      <c r="AH620" s="21" t="n">
        <f aca="false">IF(OR(AE620="",AE620=0),0,AE620*IF(X620="",0,IF(X620&gt;1,X620/100,X620)))</f>
        <v>0</v>
      </c>
      <c r="AI620" s="21" t="n">
        <f aca="false">IF(OR(AE620="",AE620=0),0,AE620*IF(AA620="",0,IF(AA620&gt;1,AA620/100,AA620)))</f>
        <v>0</v>
      </c>
      <c r="AJ620" s="21" t="n">
        <f aca="false">AG620+AH620+AI620</f>
        <v>0</v>
      </c>
      <c r="AK620" s="21" t="n">
        <f aca="false">IF(OR(AE620="",AE620=0),0,AE620-AJ620)</f>
        <v>0</v>
      </c>
      <c r="AL620" s="19" t="str">
        <f aca="false">IF(AD620="","",AD620-AK620)</f>
        <v/>
      </c>
      <c r="AM620" s="9" t="str">
        <f aca="false">IF(C620="","","Waiting for payment")</f>
        <v/>
      </c>
      <c r="AN620" s="10"/>
      <c r="AO620" s="10"/>
      <c r="AP620" s="22" t="str">
        <f aca="false">IF(OR(C620="",I620="",K620=""),"",IF(K620="Monthly",EDATE(C620,ROUND(I620*SETTINGS!$I$8,0)),WORKDAY(C620,ROUND(I620*SETTINGS!$I$8,0))))</f>
        <v/>
      </c>
      <c r="AQ620" s="9" t="str">
        <f aca="true">IF(C620="","",IF(AND(AP620&lt;&gt;"",TODAY()&gt;=AP620),"Refi Ready",IF(TODAY()-C620&gt;=SETTINGS!$I$11,"Prospecting","Performing")))</f>
        <v/>
      </c>
      <c r="AR620" s="22" t="str">
        <f aca="false">IF(OR(C620="",I620="",K620=""),"",IF(K620="Monthly",EDATE(C620,I620),WORKDAY(C620,I620)))</f>
        <v/>
      </c>
      <c r="AS620" s="11"/>
      <c r="AT620" s="23" t="str">
        <f aca="true">IF(C620="","",IF(AM620="Clawed Back","CLAWED",IF(TODAY()&lt;=C620+SETTINGS!$I$2,"⚠ AT RISK","SAFE")))</f>
        <v/>
      </c>
      <c r="AU620" s="11"/>
      <c r="AW620" s="24" t="n">
        <f aca="false">AW619+IF(AND(C620&lt;&gt;"",AO620&lt;&gt;"",OR('REP COMMISSION'!$B$3="",T620='REP COMMISSION'!$B$3,W620='REP COMMISSION'!$B$3,Z620='REP COMMISSION'!$B$3)),1,0)</f>
        <v>0</v>
      </c>
      <c r="AX620" s="24" t="n">
        <f aca="false">AX619+IF(AND(C620&lt;&gt;"",OR(F620="LOC - INITIAL",F620="CONSOLIDATION - UPFRONT COMM",F620="REVERSE - TOTAL FUNDING")),1,0)</f>
        <v>0</v>
      </c>
    </row>
    <row r="621" customFormat="false" ht="15" hidden="false" customHeight="false" outlineLevel="0" collapsed="false">
      <c r="A621" s="25" t="str">
        <f aca="false">IF(C621&lt;&gt;"","F27-"&amp;COUNT($C$4:C621),"")</f>
        <v/>
      </c>
      <c r="B621" s="26" t="str">
        <f aca="false">IF(OR(F621="LOC - INITIAL",F621="CONSOLIDATION - UPFRONT COMM",F621="REVERSE - TOTAL FUNDING"),A621,"")</f>
        <v/>
      </c>
      <c r="C621" s="27"/>
      <c r="D621" s="28"/>
      <c r="E621" s="28"/>
      <c r="F621" s="28"/>
      <c r="G621" s="29"/>
      <c r="H621" s="30"/>
      <c r="I621" s="28"/>
      <c r="J621" s="31" t="str">
        <f aca="false">IF(AND(G621&lt;&gt;"",H621&lt;&gt;""),G621*H621,"")</f>
        <v/>
      </c>
      <c r="K621" s="28"/>
      <c r="L621" s="32"/>
      <c r="M621" s="32"/>
      <c r="N621" s="31" t="n">
        <f aca="false">IF(OR(G621="",M621=""),0,IF(M621&gt;100,M621,G621*IF(M621&gt;1,M621/100,M621)))</f>
        <v>0</v>
      </c>
      <c r="O621" s="31" t="str">
        <f aca="false">IF(G621="","",G621*IF(L621="",0,IF(L621&gt;1,L621/100,L621))+N621)</f>
        <v/>
      </c>
      <c r="P621" s="28"/>
      <c r="Q621" s="33" t="str">
        <f aca="false">IF(P621="","",IFERROR(VLOOKUP(P621,PARTNERS!$A$2:$B$30,2,0),""))</f>
        <v/>
      </c>
      <c r="R621" s="17" t="str">
        <f aca="false">IF(O621="","",IF(OR(P621="",Q621=""),0,(O621-N621)*IF(Q621&gt;1,Q621/100,Q621)))</f>
        <v/>
      </c>
      <c r="S621" s="31" t="str">
        <f aca="false">IF(O621="","",O621-R621)</f>
        <v/>
      </c>
      <c r="T621" s="28"/>
      <c r="U621" s="34" t="str">
        <f aca="false">IF(T621="","",IFERROR(VLOOKUP(T621,REPS!$A$2:$D$40,2,0),""))</f>
        <v/>
      </c>
      <c r="V621" s="31" t="str">
        <f aca="false">IF(O621="","",IF(U621="",0,O621*IF(U621&gt;1,U621/100,U621)))</f>
        <v/>
      </c>
      <c r="W621" s="28"/>
      <c r="X621" s="34" t="str">
        <f aca="false">IF(W621="","",IFERROR(VLOOKUP(W621,REPS!$A$2:$D$40,3,0),""))</f>
        <v/>
      </c>
      <c r="Y621" s="31" t="str">
        <f aca="false">IF(O621="","",IF(X621="",0,O621*IF(X621&gt;1,X621/100,X621)))</f>
        <v/>
      </c>
      <c r="Z621" s="28"/>
      <c r="AA621" s="34" t="str">
        <f aca="false">IF(Z621="","",IFERROR(VLOOKUP(Z621,REPS!$A$2:$D$40,4,0),""))</f>
        <v/>
      </c>
      <c r="AB621" s="31" t="str">
        <f aca="false">IF(O621="","",IF(AA621="",0,O621*IF(AA621&gt;1,AA621/100,AA621)))</f>
        <v/>
      </c>
      <c r="AC621" s="31" t="str">
        <f aca="false">IF(O621="","",V621+Y621+AB621)</f>
        <v/>
      </c>
      <c r="AD621" s="19" t="str">
        <f aca="false">IF(O621="","",O621-R621-AC621)</f>
        <v/>
      </c>
      <c r="AE621" s="20"/>
      <c r="AF621" s="27"/>
      <c r="AG621" s="21" t="n">
        <f aca="false">IF(OR(AE621="",AE621=0),0,AE621*IF(U621="",0,IF(U621&gt;1,U621/100,U621)))</f>
        <v>0</v>
      </c>
      <c r="AH621" s="21" t="n">
        <f aca="false">IF(OR(AE621="",AE621=0),0,AE621*IF(X621="",0,IF(X621&gt;1,X621/100,X621)))</f>
        <v>0</v>
      </c>
      <c r="AI621" s="21" t="n">
        <f aca="false">IF(OR(AE621="",AE621=0),0,AE621*IF(AA621="",0,IF(AA621&gt;1,AA621/100,AA621)))</f>
        <v>0</v>
      </c>
      <c r="AJ621" s="21" t="n">
        <f aca="false">AG621+AH621+AI621</f>
        <v>0</v>
      </c>
      <c r="AK621" s="21" t="n">
        <f aca="false">IF(OR(AE621="",AE621=0),0,AE621-AJ621)</f>
        <v>0</v>
      </c>
      <c r="AL621" s="19" t="str">
        <f aca="false">IF(AD621="","",AD621-AK621)</f>
        <v/>
      </c>
      <c r="AM621" s="26" t="str">
        <f aca="false">IF(C621="","","Waiting for payment")</f>
        <v/>
      </c>
      <c r="AN621" s="27"/>
      <c r="AO621" s="27"/>
      <c r="AP621" s="35" t="str">
        <f aca="false">IF(OR(C621="",I621="",K621=""),"",IF(K621="Monthly",EDATE(C621,ROUND(I621*SETTINGS!$I$8,0)),WORKDAY(C621,ROUND(I621*SETTINGS!$I$8,0))))</f>
        <v/>
      </c>
      <c r="AQ621" s="26" t="str">
        <f aca="true">IF(C621="","",IF(AND(AP621&lt;&gt;"",TODAY()&gt;=AP621),"Refi Ready",IF(TODAY()-C621&gt;=SETTINGS!$I$11,"Prospecting","Performing")))</f>
        <v/>
      </c>
      <c r="AR621" s="35" t="str">
        <f aca="false">IF(OR(C621="",I621="",K621=""),"",IF(K621="Monthly",EDATE(C621,I621),WORKDAY(C621,I621)))</f>
        <v/>
      </c>
      <c r="AS621" s="28"/>
      <c r="AT621" s="36" t="str">
        <f aca="true">IF(C621="","",IF(AM621="Clawed Back","CLAWED",IF(TODAY()&lt;=C621+SETTINGS!$I$2,"⚠ AT RISK","SAFE")))</f>
        <v/>
      </c>
      <c r="AU621" s="28"/>
      <c r="AW621" s="24" t="n">
        <f aca="false">AW620+IF(AND(C621&lt;&gt;"",AO621&lt;&gt;"",OR('REP COMMISSION'!$B$3="",T621='REP COMMISSION'!$B$3,W621='REP COMMISSION'!$B$3,Z621='REP COMMISSION'!$B$3)),1,0)</f>
        <v>0</v>
      </c>
      <c r="AX621" s="24" t="n">
        <f aca="false">AX620+IF(AND(C621&lt;&gt;"",OR(F621="LOC - INITIAL",F621="CONSOLIDATION - UPFRONT COMM",F621="REVERSE - TOTAL FUNDING")),1,0)</f>
        <v>0</v>
      </c>
    </row>
    <row r="622" customFormat="false" ht="15" hidden="false" customHeight="false" outlineLevel="0" collapsed="false">
      <c r="A622" s="8" t="str">
        <f aca="false">IF(C622&lt;&gt;"","F27-"&amp;COUNT($C$4:C622),"")</f>
        <v/>
      </c>
      <c r="B622" s="9" t="str">
        <f aca="false">IF(OR(F622="LOC - INITIAL",F622="CONSOLIDATION - UPFRONT COMM",F622="REVERSE - TOTAL FUNDING"),A622,"")</f>
        <v/>
      </c>
      <c r="C622" s="10"/>
      <c r="D622" s="11"/>
      <c r="E622" s="11"/>
      <c r="F622" s="11"/>
      <c r="G622" s="12"/>
      <c r="H622" s="13"/>
      <c r="I622" s="11"/>
      <c r="J622" s="14" t="str">
        <f aca="false">IF(AND(G622&lt;&gt;"",H622&lt;&gt;""),G622*H622,"")</f>
        <v/>
      </c>
      <c r="K622" s="11"/>
      <c r="L622" s="15"/>
      <c r="M622" s="15"/>
      <c r="N622" s="14" t="n">
        <f aca="false">IF(OR(G622="",M622=""),0,IF(M622&gt;100,M622,G622*IF(M622&gt;1,M622/100,M622)))</f>
        <v>0</v>
      </c>
      <c r="O622" s="14" t="str">
        <f aca="false">IF(G622="","",G622*IF(L622="",0,IF(L622&gt;1,L622/100,L622))+N622)</f>
        <v/>
      </c>
      <c r="P622" s="11"/>
      <c r="Q622" s="16" t="str">
        <f aca="false">IF(P622="","",IFERROR(VLOOKUP(P622,PARTNERS!$A$2:$B$30,2,0),""))</f>
        <v/>
      </c>
      <c r="R622" s="17" t="str">
        <f aca="false">IF(O622="","",IF(OR(P622="",Q622=""),0,(O622-N622)*IF(Q622&gt;1,Q622/100,Q622)))</f>
        <v/>
      </c>
      <c r="S622" s="14" t="str">
        <f aca="false">IF(O622="","",O622-R622)</f>
        <v/>
      </c>
      <c r="T622" s="11"/>
      <c r="U622" s="18" t="str">
        <f aca="false">IF(T622="","",IFERROR(VLOOKUP(T622,REPS!$A$2:$D$40,2,0),""))</f>
        <v/>
      </c>
      <c r="V622" s="14" t="str">
        <f aca="false">IF(O622="","",IF(U622="",0,O622*IF(U622&gt;1,U622/100,U622)))</f>
        <v/>
      </c>
      <c r="W622" s="11"/>
      <c r="X622" s="18" t="str">
        <f aca="false">IF(W622="","",IFERROR(VLOOKUP(W622,REPS!$A$2:$D$40,3,0),""))</f>
        <v/>
      </c>
      <c r="Y622" s="14" t="str">
        <f aca="false">IF(O622="","",IF(X622="",0,O622*IF(X622&gt;1,X622/100,X622)))</f>
        <v/>
      </c>
      <c r="Z622" s="11"/>
      <c r="AA622" s="18" t="str">
        <f aca="false">IF(Z622="","",IFERROR(VLOOKUP(Z622,REPS!$A$2:$D$40,4,0),""))</f>
        <v/>
      </c>
      <c r="AB622" s="14" t="str">
        <f aca="false">IF(O622="","",IF(AA622="",0,O622*IF(AA622&gt;1,AA622/100,AA622)))</f>
        <v/>
      </c>
      <c r="AC622" s="14" t="str">
        <f aca="false">IF(O622="","",V622+Y622+AB622)</f>
        <v/>
      </c>
      <c r="AD622" s="19" t="str">
        <f aca="false">IF(O622="","",O622-R622-AC622)</f>
        <v/>
      </c>
      <c r="AE622" s="20"/>
      <c r="AF622" s="10"/>
      <c r="AG622" s="21" t="n">
        <f aca="false">IF(OR(AE622="",AE622=0),0,AE622*IF(U622="",0,IF(U622&gt;1,U622/100,U622)))</f>
        <v>0</v>
      </c>
      <c r="AH622" s="21" t="n">
        <f aca="false">IF(OR(AE622="",AE622=0),0,AE622*IF(X622="",0,IF(X622&gt;1,X622/100,X622)))</f>
        <v>0</v>
      </c>
      <c r="AI622" s="21" t="n">
        <f aca="false">IF(OR(AE622="",AE622=0),0,AE622*IF(AA622="",0,IF(AA622&gt;1,AA622/100,AA622)))</f>
        <v>0</v>
      </c>
      <c r="AJ622" s="21" t="n">
        <f aca="false">AG622+AH622+AI622</f>
        <v>0</v>
      </c>
      <c r="AK622" s="21" t="n">
        <f aca="false">IF(OR(AE622="",AE622=0),0,AE622-AJ622)</f>
        <v>0</v>
      </c>
      <c r="AL622" s="19" t="str">
        <f aca="false">IF(AD622="","",AD622-AK622)</f>
        <v/>
      </c>
      <c r="AM622" s="9" t="str">
        <f aca="false">IF(C622="","","Waiting for payment")</f>
        <v/>
      </c>
      <c r="AN622" s="10"/>
      <c r="AO622" s="10"/>
      <c r="AP622" s="22" t="str">
        <f aca="false">IF(OR(C622="",I622="",K622=""),"",IF(K622="Monthly",EDATE(C622,ROUND(I622*SETTINGS!$I$8,0)),WORKDAY(C622,ROUND(I622*SETTINGS!$I$8,0))))</f>
        <v/>
      </c>
      <c r="AQ622" s="9" t="str">
        <f aca="true">IF(C622="","",IF(AND(AP622&lt;&gt;"",TODAY()&gt;=AP622),"Refi Ready",IF(TODAY()-C622&gt;=SETTINGS!$I$11,"Prospecting","Performing")))</f>
        <v/>
      </c>
      <c r="AR622" s="22" t="str">
        <f aca="false">IF(OR(C622="",I622="",K622=""),"",IF(K622="Monthly",EDATE(C622,I622),WORKDAY(C622,I622)))</f>
        <v/>
      </c>
      <c r="AS622" s="11"/>
      <c r="AT622" s="23" t="str">
        <f aca="true">IF(C622="","",IF(AM622="Clawed Back","CLAWED",IF(TODAY()&lt;=C622+SETTINGS!$I$2,"⚠ AT RISK","SAFE")))</f>
        <v/>
      </c>
      <c r="AU622" s="11"/>
      <c r="AW622" s="24" t="n">
        <f aca="false">AW621+IF(AND(C622&lt;&gt;"",AO622&lt;&gt;"",OR('REP COMMISSION'!$B$3="",T622='REP COMMISSION'!$B$3,W622='REP COMMISSION'!$B$3,Z622='REP COMMISSION'!$B$3)),1,0)</f>
        <v>0</v>
      </c>
      <c r="AX622" s="24" t="n">
        <f aca="false">AX621+IF(AND(C622&lt;&gt;"",OR(F622="LOC - INITIAL",F622="CONSOLIDATION - UPFRONT COMM",F622="REVERSE - TOTAL FUNDING")),1,0)</f>
        <v>0</v>
      </c>
    </row>
    <row r="623" customFormat="false" ht="15" hidden="false" customHeight="false" outlineLevel="0" collapsed="false">
      <c r="A623" s="25" t="str">
        <f aca="false">IF(C623&lt;&gt;"","F27-"&amp;COUNT($C$4:C623),"")</f>
        <v/>
      </c>
      <c r="B623" s="26" t="str">
        <f aca="false">IF(OR(F623="LOC - INITIAL",F623="CONSOLIDATION - UPFRONT COMM",F623="REVERSE - TOTAL FUNDING"),A623,"")</f>
        <v/>
      </c>
      <c r="C623" s="27"/>
      <c r="D623" s="28"/>
      <c r="E623" s="28"/>
      <c r="F623" s="28"/>
      <c r="G623" s="29"/>
      <c r="H623" s="30"/>
      <c r="I623" s="28"/>
      <c r="J623" s="31" t="str">
        <f aca="false">IF(AND(G623&lt;&gt;"",H623&lt;&gt;""),G623*H623,"")</f>
        <v/>
      </c>
      <c r="K623" s="28"/>
      <c r="L623" s="32"/>
      <c r="M623" s="32"/>
      <c r="N623" s="31" t="n">
        <f aca="false">IF(OR(G623="",M623=""),0,IF(M623&gt;100,M623,G623*IF(M623&gt;1,M623/100,M623)))</f>
        <v>0</v>
      </c>
      <c r="O623" s="31" t="str">
        <f aca="false">IF(G623="","",G623*IF(L623="",0,IF(L623&gt;1,L623/100,L623))+N623)</f>
        <v/>
      </c>
      <c r="P623" s="28"/>
      <c r="Q623" s="33" t="str">
        <f aca="false">IF(P623="","",IFERROR(VLOOKUP(P623,PARTNERS!$A$2:$B$30,2,0),""))</f>
        <v/>
      </c>
      <c r="R623" s="17" t="str">
        <f aca="false">IF(O623="","",IF(OR(P623="",Q623=""),0,(O623-N623)*IF(Q623&gt;1,Q623/100,Q623)))</f>
        <v/>
      </c>
      <c r="S623" s="31" t="str">
        <f aca="false">IF(O623="","",O623-R623)</f>
        <v/>
      </c>
      <c r="T623" s="28"/>
      <c r="U623" s="34" t="str">
        <f aca="false">IF(T623="","",IFERROR(VLOOKUP(T623,REPS!$A$2:$D$40,2,0),""))</f>
        <v/>
      </c>
      <c r="V623" s="31" t="str">
        <f aca="false">IF(O623="","",IF(U623="",0,O623*IF(U623&gt;1,U623/100,U623)))</f>
        <v/>
      </c>
      <c r="W623" s="28"/>
      <c r="X623" s="34" t="str">
        <f aca="false">IF(W623="","",IFERROR(VLOOKUP(W623,REPS!$A$2:$D$40,3,0),""))</f>
        <v/>
      </c>
      <c r="Y623" s="31" t="str">
        <f aca="false">IF(O623="","",IF(X623="",0,O623*IF(X623&gt;1,X623/100,X623)))</f>
        <v/>
      </c>
      <c r="Z623" s="28"/>
      <c r="AA623" s="34" t="str">
        <f aca="false">IF(Z623="","",IFERROR(VLOOKUP(Z623,REPS!$A$2:$D$40,4,0),""))</f>
        <v/>
      </c>
      <c r="AB623" s="31" t="str">
        <f aca="false">IF(O623="","",IF(AA623="",0,O623*IF(AA623&gt;1,AA623/100,AA623)))</f>
        <v/>
      </c>
      <c r="AC623" s="31" t="str">
        <f aca="false">IF(O623="","",V623+Y623+AB623)</f>
        <v/>
      </c>
      <c r="AD623" s="19" t="str">
        <f aca="false">IF(O623="","",O623-R623-AC623)</f>
        <v/>
      </c>
      <c r="AE623" s="20"/>
      <c r="AF623" s="27"/>
      <c r="AG623" s="21" t="n">
        <f aca="false">IF(OR(AE623="",AE623=0),0,AE623*IF(U623="",0,IF(U623&gt;1,U623/100,U623)))</f>
        <v>0</v>
      </c>
      <c r="AH623" s="21" t="n">
        <f aca="false">IF(OR(AE623="",AE623=0),0,AE623*IF(X623="",0,IF(X623&gt;1,X623/100,X623)))</f>
        <v>0</v>
      </c>
      <c r="AI623" s="21" t="n">
        <f aca="false">IF(OR(AE623="",AE623=0),0,AE623*IF(AA623="",0,IF(AA623&gt;1,AA623/100,AA623)))</f>
        <v>0</v>
      </c>
      <c r="AJ623" s="21" t="n">
        <f aca="false">AG623+AH623+AI623</f>
        <v>0</v>
      </c>
      <c r="AK623" s="21" t="n">
        <f aca="false">IF(OR(AE623="",AE623=0),0,AE623-AJ623)</f>
        <v>0</v>
      </c>
      <c r="AL623" s="19" t="str">
        <f aca="false">IF(AD623="","",AD623-AK623)</f>
        <v/>
      </c>
      <c r="AM623" s="26" t="str">
        <f aca="false">IF(C623="","","Waiting for payment")</f>
        <v/>
      </c>
      <c r="AN623" s="27"/>
      <c r="AO623" s="27"/>
      <c r="AP623" s="35" t="str">
        <f aca="false">IF(OR(C623="",I623="",K623=""),"",IF(K623="Monthly",EDATE(C623,ROUND(I623*SETTINGS!$I$8,0)),WORKDAY(C623,ROUND(I623*SETTINGS!$I$8,0))))</f>
        <v/>
      </c>
      <c r="AQ623" s="26" t="str">
        <f aca="true">IF(C623="","",IF(AND(AP623&lt;&gt;"",TODAY()&gt;=AP623),"Refi Ready",IF(TODAY()-C623&gt;=SETTINGS!$I$11,"Prospecting","Performing")))</f>
        <v/>
      </c>
      <c r="AR623" s="35" t="str">
        <f aca="false">IF(OR(C623="",I623="",K623=""),"",IF(K623="Monthly",EDATE(C623,I623),WORKDAY(C623,I623)))</f>
        <v/>
      </c>
      <c r="AS623" s="28"/>
      <c r="AT623" s="36" t="str">
        <f aca="true">IF(C623="","",IF(AM623="Clawed Back","CLAWED",IF(TODAY()&lt;=C623+SETTINGS!$I$2,"⚠ AT RISK","SAFE")))</f>
        <v/>
      </c>
      <c r="AU623" s="28"/>
      <c r="AW623" s="24" t="n">
        <f aca="false">AW622+IF(AND(C623&lt;&gt;"",AO623&lt;&gt;"",OR('REP COMMISSION'!$B$3="",T623='REP COMMISSION'!$B$3,W623='REP COMMISSION'!$B$3,Z623='REP COMMISSION'!$B$3)),1,0)</f>
        <v>0</v>
      </c>
      <c r="AX623" s="24" t="n">
        <f aca="false">AX622+IF(AND(C623&lt;&gt;"",OR(F623="LOC - INITIAL",F623="CONSOLIDATION - UPFRONT COMM",F623="REVERSE - TOTAL FUNDING")),1,0)</f>
        <v>0</v>
      </c>
    </row>
    <row r="624" customFormat="false" ht="15" hidden="false" customHeight="false" outlineLevel="0" collapsed="false">
      <c r="A624" s="8" t="str">
        <f aca="false">IF(C624&lt;&gt;"","F27-"&amp;COUNT($C$4:C624),"")</f>
        <v/>
      </c>
      <c r="B624" s="9" t="str">
        <f aca="false">IF(OR(F624="LOC - INITIAL",F624="CONSOLIDATION - UPFRONT COMM",F624="REVERSE - TOTAL FUNDING"),A624,"")</f>
        <v/>
      </c>
      <c r="C624" s="10"/>
      <c r="D624" s="11"/>
      <c r="E624" s="11"/>
      <c r="F624" s="11"/>
      <c r="G624" s="12"/>
      <c r="H624" s="13"/>
      <c r="I624" s="11"/>
      <c r="J624" s="14" t="str">
        <f aca="false">IF(AND(G624&lt;&gt;"",H624&lt;&gt;""),G624*H624,"")</f>
        <v/>
      </c>
      <c r="K624" s="11"/>
      <c r="L624" s="15"/>
      <c r="M624" s="15"/>
      <c r="N624" s="14" t="n">
        <f aca="false">IF(OR(G624="",M624=""),0,IF(M624&gt;100,M624,G624*IF(M624&gt;1,M624/100,M624)))</f>
        <v>0</v>
      </c>
      <c r="O624" s="14" t="str">
        <f aca="false">IF(G624="","",G624*IF(L624="",0,IF(L624&gt;1,L624/100,L624))+N624)</f>
        <v/>
      </c>
      <c r="P624" s="11"/>
      <c r="Q624" s="16" t="str">
        <f aca="false">IF(P624="","",IFERROR(VLOOKUP(P624,PARTNERS!$A$2:$B$30,2,0),""))</f>
        <v/>
      </c>
      <c r="R624" s="17" t="str">
        <f aca="false">IF(O624="","",IF(OR(P624="",Q624=""),0,(O624-N624)*IF(Q624&gt;1,Q624/100,Q624)))</f>
        <v/>
      </c>
      <c r="S624" s="14" t="str">
        <f aca="false">IF(O624="","",O624-R624)</f>
        <v/>
      </c>
      <c r="T624" s="11"/>
      <c r="U624" s="18" t="str">
        <f aca="false">IF(T624="","",IFERROR(VLOOKUP(T624,REPS!$A$2:$D$40,2,0),""))</f>
        <v/>
      </c>
      <c r="V624" s="14" t="str">
        <f aca="false">IF(O624="","",IF(U624="",0,O624*IF(U624&gt;1,U624/100,U624)))</f>
        <v/>
      </c>
      <c r="W624" s="11"/>
      <c r="X624" s="18" t="str">
        <f aca="false">IF(W624="","",IFERROR(VLOOKUP(W624,REPS!$A$2:$D$40,3,0),""))</f>
        <v/>
      </c>
      <c r="Y624" s="14" t="str">
        <f aca="false">IF(O624="","",IF(X624="",0,O624*IF(X624&gt;1,X624/100,X624)))</f>
        <v/>
      </c>
      <c r="Z624" s="11"/>
      <c r="AA624" s="18" t="str">
        <f aca="false">IF(Z624="","",IFERROR(VLOOKUP(Z624,REPS!$A$2:$D$40,4,0),""))</f>
        <v/>
      </c>
      <c r="AB624" s="14" t="str">
        <f aca="false">IF(O624="","",IF(AA624="",0,O624*IF(AA624&gt;1,AA624/100,AA624)))</f>
        <v/>
      </c>
      <c r="AC624" s="14" t="str">
        <f aca="false">IF(O624="","",V624+Y624+AB624)</f>
        <v/>
      </c>
      <c r="AD624" s="19" t="str">
        <f aca="false">IF(O624="","",O624-R624-AC624)</f>
        <v/>
      </c>
      <c r="AE624" s="20"/>
      <c r="AF624" s="10"/>
      <c r="AG624" s="21" t="n">
        <f aca="false">IF(OR(AE624="",AE624=0),0,AE624*IF(U624="",0,IF(U624&gt;1,U624/100,U624)))</f>
        <v>0</v>
      </c>
      <c r="AH624" s="21" t="n">
        <f aca="false">IF(OR(AE624="",AE624=0),0,AE624*IF(X624="",0,IF(X624&gt;1,X624/100,X624)))</f>
        <v>0</v>
      </c>
      <c r="AI624" s="21" t="n">
        <f aca="false">IF(OR(AE624="",AE624=0),0,AE624*IF(AA624="",0,IF(AA624&gt;1,AA624/100,AA624)))</f>
        <v>0</v>
      </c>
      <c r="AJ624" s="21" t="n">
        <f aca="false">AG624+AH624+AI624</f>
        <v>0</v>
      </c>
      <c r="AK624" s="21" t="n">
        <f aca="false">IF(OR(AE624="",AE624=0),0,AE624-AJ624)</f>
        <v>0</v>
      </c>
      <c r="AL624" s="19" t="str">
        <f aca="false">IF(AD624="","",AD624-AK624)</f>
        <v/>
      </c>
      <c r="AM624" s="9" t="str">
        <f aca="false">IF(C624="","","Waiting for payment")</f>
        <v/>
      </c>
      <c r="AN624" s="10"/>
      <c r="AO624" s="10"/>
      <c r="AP624" s="22" t="str">
        <f aca="false">IF(OR(C624="",I624="",K624=""),"",IF(K624="Monthly",EDATE(C624,ROUND(I624*SETTINGS!$I$8,0)),WORKDAY(C624,ROUND(I624*SETTINGS!$I$8,0))))</f>
        <v/>
      </c>
      <c r="AQ624" s="9" t="str">
        <f aca="true">IF(C624="","",IF(AND(AP624&lt;&gt;"",TODAY()&gt;=AP624),"Refi Ready",IF(TODAY()-C624&gt;=SETTINGS!$I$11,"Prospecting","Performing")))</f>
        <v/>
      </c>
      <c r="AR624" s="22" t="str">
        <f aca="false">IF(OR(C624="",I624="",K624=""),"",IF(K624="Monthly",EDATE(C624,I624),WORKDAY(C624,I624)))</f>
        <v/>
      </c>
      <c r="AS624" s="11"/>
      <c r="AT624" s="23" t="str">
        <f aca="true">IF(C624="","",IF(AM624="Clawed Back","CLAWED",IF(TODAY()&lt;=C624+SETTINGS!$I$2,"⚠ AT RISK","SAFE")))</f>
        <v/>
      </c>
      <c r="AU624" s="11"/>
      <c r="AW624" s="24" t="n">
        <f aca="false">AW623+IF(AND(C624&lt;&gt;"",AO624&lt;&gt;"",OR('REP COMMISSION'!$B$3="",T624='REP COMMISSION'!$B$3,W624='REP COMMISSION'!$B$3,Z624='REP COMMISSION'!$B$3)),1,0)</f>
        <v>0</v>
      </c>
      <c r="AX624" s="24" t="n">
        <f aca="false">AX623+IF(AND(C624&lt;&gt;"",OR(F624="LOC - INITIAL",F624="CONSOLIDATION - UPFRONT COMM",F624="REVERSE - TOTAL FUNDING")),1,0)</f>
        <v>0</v>
      </c>
    </row>
    <row r="625" customFormat="false" ht="15" hidden="false" customHeight="false" outlineLevel="0" collapsed="false">
      <c r="A625" s="25" t="str">
        <f aca="false">IF(C625&lt;&gt;"","F27-"&amp;COUNT($C$4:C625),"")</f>
        <v/>
      </c>
      <c r="B625" s="26" t="str">
        <f aca="false">IF(OR(F625="LOC - INITIAL",F625="CONSOLIDATION - UPFRONT COMM",F625="REVERSE - TOTAL FUNDING"),A625,"")</f>
        <v/>
      </c>
      <c r="C625" s="27"/>
      <c r="D625" s="28"/>
      <c r="E625" s="28"/>
      <c r="F625" s="28"/>
      <c r="G625" s="29"/>
      <c r="H625" s="30"/>
      <c r="I625" s="28"/>
      <c r="J625" s="31" t="str">
        <f aca="false">IF(AND(G625&lt;&gt;"",H625&lt;&gt;""),G625*H625,"")</f>
        <v/>
      </c>
      <c r="K625" s="28"/>
      <c r="L625" s="32"/>
      <c r="M625" s="32"/>
      <c r="N625" s="31" t="n">
        <f aca="false">IF(OR(G625="",M625=""),0,IF(M625&gt;100,M625,G625*IF(M625&gt;1,M625/100,M625)))</f>
        <v>0</v>
      </c>
      <c r="O625" s="31" t="str">
        <f aca="false">IF(G625="","",G625*IF(L625="",0,IF(L625&gt;1,L625/100,L625))+N625)</f>
        <v/>
      </c>
      <c r="P625" s="28"/>
      <c r="Q625" s="33" t="str">
        <f aca="false">IF(P625="","",IFERROR(VLOOKUP(P625,PARTNERS!$A$2:$B$30,2,0),""))</f>
        <v/>
      </c>
      <c r="R625" s="17" t="str">
        <f aca="false">IF(O625="","",IF(OR(P625="",Q625=""),0,(O625-N625)*IF(Q625&gt;1,Q625/100,Q625)))</f>
        <v/>
      </c>
      <c r="S625" s="31" t="str">
        <f aca="false">IF(O625="","",O625-R625)</f>
        <v/>
      </c>
      <c r="T625" s="28"/>
      <c r="U625" s="34" t="str">
        <f aca="false">IF(T625="","",IFERROR(VLOOKUP(T625,REPS!$A$2:$D$40,2,0),""))</f>
        <v/>
      </c>
      <c r="V625" s="31" t="str">
        <f aca="false">IF(O625="","",IF(U625="",0,O625*IF(U625&gt;1,U625/100,U625)))</f>
        <v/>
      </c>
      <c r="W625" s="28"/>
      <c r="X625" s="34" t="str">
        <f aca="false">IF(W625="","",IFERROR(VLOOKUP(W625,REPS!$A$2:$D$40,3,0),""))</f>
        <v/>
      </c>
      <c r="Y625" s="31" t="str">
        <f aca="false">IF(O625="","",IF(X625="",0,O625*IF(X625&gt;1,X625/100,X625)))</f>
        <v/>
      </c>
      <c r="Z625" s="28"/>
      <c r="AA625" s="34" t="str">
        <f aca="false">IF(Z625="","",IFERROR(VLOOKUP(Z625,REPS!$A$2:$D$40,4,0),""))</f>
        <v/>
      </c>
      <c r="AB625" s="31" t="str">
        <f aca="false">IF(O625="","",IF(AA625="",0,O625*IF(AA625&gt;1,AA625/100,AA625)))</f>
        <v/>
      </c>
      <c r="AC625" s="31" t="str">
        <f aca="false">IF(O625="","",V625+Y625+AB625)</f>
        <v/>
      </c>
      <c r="AD625" s="19" t="str">
        <f aca="false">IF(O625="","",O625-R625-AC625)</f>
        <v/>
      </c>
      <c r="AE625" s="20"/>
      <c r="AF625" s="27"/>
      <c r="AG625" s="21" t="n">
        <f aca="false">IF(OR(AE625="",AE625=0),0,AE625*IF(U625="",0,IF(U625&gt;1,U625/100,U625)))</f>
        <v>0</v>
      </c>
      <c r="AH625" s="21" t="n">
        <f aca="false">IF(OR(AE625="",AE625=0),0,AE625*IF(X625="",0,IF(X625&gt;1,X625/100,X625)))</f>
        <v>0</v>
      </c>
      <c r="AI625" s="21" t="n">
        <f aca="false">IF(OR(AE625="",AE625=0),0,AE625*IF(AA625="",0,IF(AA625&gt;1,AA625/100,AA625)))</f>
        <v>0</v>
      </c>
      <c r="AJ625" s="21" t="n">
        <f aca="false">AG625+AH625+AI625</f>
        <v>0</v>
      </c>
      <c r="AK625" s="21" t="n">
        <f aca="false">IF(OR(AE625="",AE625=0),0,AE625-AJ625)</f>
        <v>0</v>
      </c>
      <c r="AL625" s="19" t="str">
        <f aca="false">IF(AD625="","",AD625-AK625)</f>
        <v/>
      </c>
      <c r="AM625" s="26" t="str">
        <f aca="false">IF(C625="","","Waiting for payment")</f>
        <v/>
      </c>
      <c r="AN625" s="27"/>
      <c r="AO625" s="27"/>
      <c r="AP625" s="35" t="str">
        <f aca="false">IF(OR(C625="",I625="",K625=""),"",IF(K625="Monthly",EDATE(C625,ROUND(I625*SETTINGS!$I$8,0)),WORKDAY(C625,ROUND(I625*SETTINGS!$I$8,0))))</f>
        <v/>
      </c>
      <c r="AQ625" s="26" t="str">
        <f aca="true">IF(C625="","",IF(AND(AP625&lt;&gt;"",TODAY()&gt;=AP625),"Refi Ready",IF(TODAY()-C625&gt;=SETTINGS!$I$11,"Prospecting","Performing")))</f>
        <v/>
      </c>
      <c r="AR625" s="35" t="str">
        <f aca="false">IF(OR(C625="",I625="",K625=""),"",IF(K625="Monthly",EDATE(C625,I625),WORKDAY(C625,I625)))</f>
        <v/>
      </c>
      <c r="AS625" s="28"/>
      <c r="AT625" s="36" t="str">
        <f aca="true">IF(C625="","",IF(AM625="Clawed Back","CLAWED",IF(TODAY()&lt;=C625+SETTINGS!$I$2,"⚠ AT RISK","SAFE")))</f>
        <v/>
      </c>
      <c r="AU625" s="28"/>
      <c r="AW625" s="24" t="n">
        <f aca="false">AW624+IF(AND(C625&lt;&gt;"",AO625&lt;&gt;"",OR('REP COMMISSION'!$B$3="",T625='REP COMMISSION'!$B$3,W625='REP COMMISSION'!$B$3,Z625='REP COMMISSION'!$B$3)),1,0)</f>
        <v>0</v>
      </c>
      <c r="AX625" s="24" t="n">
        <f aca="false">AX624+IF(AND(C625&lt;&gt;"",OR(F625="LOC - INITIAL",F625="CONSOLIDATION - UPFRONT COMM",F625="REVERSE - TOTAL FUNDING")),1,0)</f>
        <v>0</v>
      </c>
    </row>
    <row r="626" customFormat="false" ht="15" hidden="false" customHeight="false" outlineLevel="0" collapsed="false">
      <c r="A626" s="8" t="str">
        <f aca="false">IF(C626&lt;&gt;"","F27-"&amp;COUNT($C$4:C626),"")</f>
        <v/>
      </c>
      <c r="B626" s="9" t="str">
        <f aca="false">IF(OR(F626="LOC - INITIAL",F626="CONSOLIDATION - UPFRONT COMM",F626="REVERSE - TOTAL FUNDING"),A626,"")</f>
        <v/>
      </c>
      <c r="C626" s="10"/>
      <c r="D626" s="11"/>
      <c r="E626" s="11"/>
      <c r="F626" s="11"/>
      <c r="G626" s="12"/>
      <c r="H626" s="13"/>
      <c r="I626" s="11"/>
      <c r="J626" s="14" t="str">
        <f aca="false">IF(AND(G626&lt;&gt;"",H626&lt;&gt;""),G626*H626,"")</f>
        <v/>
      </c>
      <c r="K626" s="11"/>
      <c r="L626" s="15"/>
      <c r="M626" s="15"/>
      <c r="N626" s="14" t="n">
        <f aca="false">IF(OR(G626="",M626=""),0,IF(M626&gt;100,M626,G626*IF(M626&gt;1,M626/100,M626)))</f>
        <v>0</v>
      </c>
      <c r="O626" s="14" t="str">
        <f aca="false">IF(G626="","",G626*IF(L626="",0,IF(L626&gt;1,L626/100,L626))+N626)</f>
        <v/>
      </c>
      <c r="P626" s="11"/>
      <c r="Q626" s="16" t="str">
        <f aca="false">IF(P626="","",IFERROR(VLOOKUP(P626,PARTNERS!$A$2:$B$30,2,0),""))</f>
        <v/>
      </c>
      <c r="R626" s="17" t="str">
        <f aca="false">IF(O626="","",IF(OR(P626="",Q626=""),0,(O626-N626)*IF(Q626&gt;1,Q626/100,Q626)))</f>
        <v/>
      </c>
      <c r="S626" s="14" t="str">
        <f aca="false">IF(O626="","",O626-R626)</f>
        <v/>
      </c>
      <c r="T626" s="11"/>
      <c r="U626" s="18" t="str">
        <f aca="false">IF(T626="","",IFERROR(VLOOKUP(T626,REPS!$A$2:$D$40,2,0),""))</f>
        <v/>
      </c>
      <c r="V626" s="14" t="str">
        <f aca="false">IF(O626="","",IF(U626="",0,O626*IF(U626&gt;1,U626/100,U626)))</f>
        <v/>
      </c>
      <c r="W626" s="11"/>
      <c r="X626" s="18" t="str">
        <f aca="false">IF(W626="","",IFERROR(VLOOKUP(W626,REPS!$A$2:$D$40,3,0),""))</f>
        <v/>
      </c>
      <c r="Y626" s="14" t="str">
        <f aca="false">IF(O626="","",IF(X626="",0,O626*IF(X626&gt;1,X626/100,X626)))</f>
        <v/>
      </c>
      <c r="Z626" s="11"/>
      <c r="AA626" s="18" t="str">
        <f aca="false">IF(Z626="","",IFERROR(VLOOKUP(Z626,REPS!$A$2:$D$40,4,0),""))</f>
        <v/>
      </c>
      <c r="AB626" s="14" t="str">
        <f aca="false">IF(O626="","",IF(AA626="",0,O626*IF(AA626&gt;1,AA626/100,AA626)))</f>
        <v/>
      </c>
      <c r="AC626" s="14" t="str">
        <f aca="false">IF(O626="","",V626+Y626+AB626)</f>
        <v/>
      </c>
      <c r="AD626" s="19" t="str">
        <f aca="false">IF(O626="","",O626-R626-AC626)</f>
        <v/>
      </c>
      <c r="AE626" s="20"/>
      <c r="AF626" s="10"/>
      <c r="AG626" s="21" t="n">
        <f aca="false">IF(OR(AE626="",AE626=0),0,AE626*IF(U626="",0,IF(U626&gt;1,U626/100,U626)))</f>
        <v>0</v>
      </c>
      <c r="AH626" s="21" t="n">
        <f aca="false">IF(OR(AE626="",AE626=0),0,AE626*IF(X626="",0,IF(X626&gt;1,X626/100,X626)))</f>
        <v>0</v>
      </c>
      <c r="AI626" s="21" t="n">
        <f aca="false">IF(OR(AE626="",AE626=0),0,AE626*IF(AA626="",0,IF(AA626&gt;1,AA626/100,AA626)))</f>
        <v>0</v>
      </c>
      <c r="AJ626" s="21" t="n">
        <f aca="false">AG626+AH626+AI626</f>
        <v>0</v>
      </c>
      <c r="AK626" s="21" t="n">
        <f aca="false">IF(OR(AE626="",AE626=0),0,AE626-AJ626)</f>
        <v>0</v>
      </c>
      <c r="AL626" s="19" t="str">
        <f aca="false">IF(AD626="","",AD626-AK626)</f>
        <v/>
      </c>
      <c r="AM626" s="9" t="str">
        <f aca="false">IF(C626="","","Waiting for payment")</f>
        <v/>
      </c>
      <c r="AN626" s="10"/>
      <c r="AO626" s="10"/>
      <c r="AP626" s="22" t="str">
        <f aca="false">IF(OR(C626="",I626="",K626=""),"",IF(K626="Monthly",EDATE(C626,ROUND(I626*SETTINGS!$I$8,0)),WORKDAY(C626,ROUND(I626*SETTINGS!$I$8,0))))</f>
        <v/>
      </c>
      <c r="AQ626" s="9" t="str">
        <f aca="true">IF(C626="","",IF(AND(AP626&lt;&gt;"",TODAY()&gt;=AP626),"Refi Ready",IF(TODAY()-C626&gt;=SETTINGS!$I$11,"Prospecting","Performing")))</f>
        <v/>
      </c>
      <c r="AR626" s="22" t="str">
        <f aca="false">IF(OR(C626="",I626="",K626=""),"",IF(K626="Monthly",EDATE(C626,I626),WORKDAY(C626,I626)))</f>
        <v/>
      </c>
      <c r="AS626" s="11"/>
      <c r="AT626" s="23" t="str">
        <f aca="true">IF(C626="","",IF(AM626="Clawed Back","CLAWED",IF(TODAY()&lt;=C626+SETTINGS!$I$2,"⚠ AT RISK","SAFE")))</f>
        <v/>
      </c>
      <c r="AU626" s="11"/>
      <c r="AW626" s="24" t="n">
        <f aca="false">AW625+IF(AND(C626&lt;&gt;"",AO626&lt;&gt;"",OR('REP COMMISSION'!$B$3="",T626='REP COMMISSION'!$B$3,W626='REP COMMISSION'!$B$3,Z626='REP COMMISSION'!$B$3)),1,0)</f>
        <v>0</v>
      </c>
      <c r="AX626" s="24" t="n">
        <f aca="false">AX625+IF(AND(C626&lt;&gt;"",OR(F626="LOC - INITIAL",F626="CONSOLIDATION - UPFRONT COMM",F626="REVERSE - TOTAL FUNDING")),1,0)</f>
        <v>0</v>
      </c>
    </row>
    <row r="627" customFormat="false" ht="15" hidden="false" customHeight="false" outlineLevel="0" collapsed="false">
      <c r="A627" s="25" t="str">
        <f aca="false">IF(C627&lt;&gt;"","F27-"&amp;COUNT($C$4:C627),"")</f>
        <v/>
      </c>
      <c r="B627" s="26" t="str">
        <f aca="false">IF(OR(F627="LOC - INITIAL",F627="CONSOLIDATION - UPFRONT COMM",F627="REVERSE - TOTAL FUNDING"),A627,"")</f>
        <v/>
      </c>
      <c r="C627" s="27"/>
      <c r="D627" s="28"/>
      <c r="E627" s="28"/>
      <c r="F627" s="28"/>
      <c r="G627" s="29"/>
      <c r="H627" s="30"/>
      <c r="I627" s="28"/>
      <c r="J627" s="31" t="str">
        <f aca="false">IF(AND(G627&lt;&gt;"",H627&lt;&gt;""),G627*H627,"")</f>
        <v/>
      </c>
      <c r="K627" s="28"/>
      <c r="L627" s="32"/>
      <c r="M627" s="32"/>
      <c r="N627" s="31" t="n">
        <f aca="false">IF(OR(G627="",M627=""),0,IF(M627&gt;100,M627,G627*IF(M627&gt;1,M627/100,M627)))</f>
        <v>0</v>
      </c>
      <c r="O627" s="31" t="str">
        <f aca="false">IF(G627="","",G627*IF(L627="",0,IF(L627&gt;1,L627/100,L627))+N627)</f>
        <v/>
      </c>
      <c r="P627" s="28"/>
      <c r="Q627" s="33" t="str">
        <f aca="false">IF(P627="","",IFERROR(VLOOKUP(P627,PARTNERS!$A$2:$B$30,2,0),""))</f>
        <v/>
      </c>
      <c r="R627" s="17" t="str">
        <f aca="false">IF(O627="","",IF(OR(P627="",Q627=""),0,(O627-N627)*IF(Q627&gt;1,Q627/100,Q627)))</f>
        <v/>
      </c>
      <c r="S627" s="31" t="str">
        <f aca="false">IF(O627="","",O627-R627)</f>
        <v/>
      </c>
      <c r="T627" s="28"/>
      <c r="U627" s="34" t="str">
        <f aca="false">IF(T627="","",IFERROR(VLOOKUP(T627,REPS!$A$2:$D$40,2,0),""))</f>
        <v/>
      </c>
      <c r="V627" s="31" t="str">
        <f aca="false">IF(O627="","",IF(U627="",0,O627*IF(U627&gt;1,U627/100,U627)))</f>
        <v/>
      </c>
      <c r="W627" s="28"/>
      <c r="X627" s="34" t="str">
        <f aca="false">IF(W627="","",IFERROR(VLOOKUP(W627,REPS!$A$2:$D$40,3,0),""))</f>
        <v/>
      </c>
      <c r="Y627" s="31" t="str">
        <f aca="false">IF(O627="","",IF(X627="",0,O627*IF(X627&gt;1,X627/100,X627)))</f>
        <v/>
      </c>
      <c r="Z627" s="28"/>
      <c r="AA627" s="34" t="str">
        <f aca="false">IF(Z627="","",IFERROR(VLOOKUP(Z627,REPS!$A$2:$D$40,4,0),""))</f>
        <v/>
      </c>
      <c r="AB627" s="31" t="str">
        <f aca="false">IF(O627="","",IF(AA627="",0,O627*IF(AA627&gt;1,AA627/100,AA627)))</f>
        <v/>
      </c>
      <c r="AC627" s="31" t="str">
        <f aca="false">IF(O627="","",V627+Y627+AB627)</f>
        <v/>
      </c>
      <c r="AD627" s="19" t="str">
        <f aca="false">IF(O627="","",O627-R627-AC627)</f>
        <v/>
      </c>
      <c r="AE627" s="20"/>
      <c r="AF627" s="27"/>
      <c r="AG627" s="21" t="n">
        <f aca="false">IF(OR(AE627="",AE627=0),0,AE627*IF(U627="",0,IF(U627&gt;1,U627/100,U627)))</f>
        <v>0</v>
      </c>
      <c r="AH627" s="21" t="n">
        <f aca="false">IF(OR(AE627="",AE627=0),0,AE627*IF(X627="",0,IF(X627&gt;1,X627/100,X627)))</f>
        <v>0</v>
      </c>
      <c r="AI627" s="21" t="n">
        <f aca="false">IF(OR(AE627="",AE627=0),0,AE627*IF(AA627="",0,IF(AA627&gt;1,AA627/100,AA627)))</f>
        <v>0</v>
      </c>
      <c r="AJ627" s="21" t="n">
        <f aca="false">AG627+AH627+AI627</f>
        <v>0</v>
      </c>
      <c r="AK627" s="21" t="n">
        <f aca="false">IF(OR(AE627="",AE627=0),0,AE627-AJ627)</f>
        <v>0</v>
      </c>
      <c r="AL627" s="19" t="str">
        <f aca="false">IF(AD627="","",AD627-AK627)</f>
        <v/>
      </c>
      <c r="AM627" s="26" t="str">
        <f aca="false">IF(C627="","","Waiting for payment")</f>
        <v/>
      </c>
      <c r="AN627" s="27"/>
      <c r="AO627" s="27"/>
      <c r="AP627" s="35" t="str">
        <f aca="false">IF(OR(C627="",I627="",K627=""),"",IF(K627="Monthly",EDATE(C627,ROUND(I627*SETTINGS!$I$8,0)),WORKDAY(C627,ROUND(I627*SETTINGS!$I$8,0))))</f>
        <v/>
      </c>
      <c r="AQ627" s="26" t="str">
        <f aca="true">IF(C627="","",IF(AND(AP627&lt;&gt;"",TODAY()&gt;=AP627),"Refi Ready",IF(TODAY()-C627&gt;=SETTINGS!$I$11,"Prospecting","Performing")))</f>
        <v/>
      </c>
      <c r="AR627" s="35" t="str">
        <f aca="false">IF(OR(C627="",I627="",K627=""),"",IF(K627="Monthly",EDATE(C627,I627),WORKDAY(C627,I627)))</f>
        <v/>
      </c>
      <c r="AS627" s="28"/>
      <c r="AT627" s="36" t="str">
        <f aca="true">IF(C627="","",IF(AM627="Clawed Back","CLAWED",IF(TODAY()&lt;=C627+SETTINGS!$I$2,"⚠ AT RISK","SAFE")))</f>
        <v/>
      </c>
      <c r="AU627" s="28"/>
      <c r="AW627" s="24" t="n">
        <f aca="false">AW626+IF(AND(C627&lt;&gt;"",AO627&lt;&gt;"",OR('REP COMMISSION'!$B$3="",T627='REP COMMISSION'!$B$3,W627='REP COMMISSION'!$B$3,Z627='REP COMMISSION'!$B$3)),1,0)</f>
        <v>0</v>
      </c>
      <c r="AX627" s="24" t="n">
        <f aca="false">AX626+IF(AND(C627&lt;&gt;"",OR(F627="LOC - INITIAL",F627="CONSOLIDATION - UPFRONT COMM",F627="REVERSE - TOTAL FUNDING")),1,0)</f>
        <v>0</v>
      </c>
    </row>
    <row r="628" customFormat="false" ht="15" hidden="false" customHeight="false" outlineLevel="0" collapsed="false">
      <c r="A628" s="8" t="str">
        <f aca="false">IF(C628&lt;&gt;"","F27-"&amp;COUNT($C$4:C628),"")</f>
        <v/>
      </c>
      <c r="B628" s="9" t="str">
        <f aca="false">IF(OR(F628="LOC - INITIAL",F628="CONSOLIDATION - UPFRONT COMM",F628="REVERSE - TOTAL FUNDING"),A628,"")</f>
        <v/>
      </c>
      <c r="C628" s="10"/>
      <c r="D628" s="11"/>
      <c r="E628" s="11"/>
      <c r="F628" s="11"/>
      <c r="G628" s="12"/>
      <c r="H628" s="13"/>
      <c r="I628" s="11"/>
      <c r="J628" s="14" t="str">
        <f aca="false">IF(AND(G628&lt;&gt;"",H628&lt;&gt;""),G628*H628,"")</f>
        <v/>
      </c>
      <c r="K628" s="11"/>
      <c r="L628" s="15"/>
      <c r="M628" s="15"/>
      <c r="N628" s="14" t="n">
        <f aca="false">IF(OR(G628="",M628=""),0,IF(M628&gt;100,M628,G628*IF(M628&gt;1,M628/100,M628)))</f>
        <v>0</v>
      </c>
      <c r="O628" s="14" t="str">
        <f aca="false">IF(G628="","",G628*IF(L628="",0,IF(L628&gt;1,L628/100,L628))+N628)</f>
        <v/>
      </c>
      <c r="P628" s="11"/>
      <c r="Q628" s="16" t="str">
        <f aca="false">IF(P628="","",IFERROR(VLOOKUP(P628,PARTNERS!$A$2:$B$30,2,0),""))</f>
        <v/>
      </c>
      <c r="R628" s="17" t="str">
        <f aca="false">IF(O628="","",IF(OR(P628="",Q628=""),0,(O628-N628)*IF(Q628&gt;1,Q628/100,Q628)))</f>
        <v/>
      </c>
      <c r="S628" s="14" t="str">
        <f aca="false">IF(O628="","",O628-R628)</f>
        <v/>
      </c>
      <c r="T628" s="11"/>
      <c r="U628" s="18" t="str">
        <f aca="false">IF(T628="","",IFERROR(VLOOKUP(T628,REPS!$A$2:$D$40,2,0),""))</f>
        <v/>
      </c>
      <c r="V628" s="14" t="str">
        <f aca="false">IF(O628="","",IF(U628="",0,O628*IF(U628&gt;1,U628/100,U628)))</f>
        <v/>
      </c>
      <c r="W628" s="11"/>
      <c r="X628" s="18" t="str">
        <f aca="false">IF(W628="","",IFERROR(VLOOKUP(W628,REPS!$A$2:$D$40,3,0),""))</f>
        <v/>
      </c>
      <c r="Y628" s="14" t="str">
        <f aca="false">IF(O628="","",IF(X628="",0,O628*IF(X628&gt;1,X628/100,X628)))</f>
        <v/>
      </c>
      <c r="Z628" s="11"/>
      <c r="AA628" s="18" t="str">
        <f aca="false">IF(Z628="","",IFERROR(VLOOKUP(Z628,REPS!$A$2:$D$40,4,0),""))</f>
        <v/>
      </c>
      <c r="AB628" s="14" t="str">
        <f aca="false">IF(O628="","",IF(AA628="",0,O628*IF(AA628&gt;1,AA628/100,AA628)))</f>
        <v/>
      </c>
      <c r="AC628" s="14" t="str">
        <f aca="false">IF(O628="","",V628+Y628+AB628)</f>
        <v/>
      </c>
      <c r="AD628" s="19" t="str">
        <f aca="false">IF(O628="","",O628-R628-AC628)</f>
        <v/>
      </c>
      <c r="AE628" s="20"/>
      <c r="AF628" s="10"/>
      <c r="AG628" s="21" t="n">
        <f aca="false">IF(OR(AE628="",AE628=0),0,AE628*IF(U628="",0,IF(U628&gt;1,U628/100,U628)))</f>
        <v>0</v>
      </c>
      <c r="AH628" s="21" t="n">
        <f aca="false">IF(OR(AE628="",AE628=0),0,AE628*IF(X628="",0,IF(X628&gt;1,X628/100,X628)))</f>
        <v>0</v>
      </c>
      <c r="AI628" s="21" t="n">
        <f aca="false">IF(OR(AE628="",AE628=0),0,AE628*IF(AA628="",0,IF(AA628&gt;1,AA628/100,AA628)))</f>
        <v>0</v>
      </c>
      <c r="AJ628" s="21" t="n">
        <f aca="false">AG628+AH628+AI628</f>
        <v>0</v>
      </c>
      <c r="AK628" s="21" t="n">
        <f aca="false">IF(OR(AE628="",AE628=0),0,AE628-AJ628)</f>
        <v>0</v>
      </c>
      <c r="AL628" s="19" t="str">
        <f aca="false">IF(AD628="","",AD628-AK628)</f>
        <v/>
      </c>
      <c r="AM628" s="9" t="str">
        <f aca="false">IF(C628="","","Waiting for payment")</f>
        <v/>
      </c>
      <c r="AN628" s="10"/>
      <c r="AO628" s="10"/>
      <c r="AP628" s="22" t="str">
        <f aca="false">IF(OR(C628="",I628="",K628=""),"",IF(K628="Monthly",EDATE(C628,ROUND(I628*SETTINGS!$I$8,0)),WORKDAY(C628,ROUND(I628*SETTINGS!$I$8,0))))</f>
        <v/>
      </c>
      <c r="AQ628" s="9" t="str">
        <f aca="true">IF(C628="","",IF(AND(AP628&lt;&gt;"",TODAY()&gt;=AP628),"Refi Ready",IF(TODAY()-C628&gt;=SETTINGS!$I$11,"Prospecting","Performing")))</f>
        <v/>
      </c>
      <c r="AR628" s="22" t="str">
        <f aca="false">IF(OR(C628="",I628="",K628=""),"",IF(K628="Monthly",EDATE(C628,I628),WORKDAY(C628,I628)))</f>
        <v/>
      </c>
      <c r="AS628" s="11"/>
      <c r="AT628" s="23" t="str">
        <f aca="true">IF(C628="","",IF(AM628="Clawed Back","CLAWED",IF(TODAY()&lt;=C628+SETTINGS!$I$2,"⚠ AT RISK","SAFE")))</f>
        <v/>
      </c>
      <c r="AU628" s="11"/>
      <c r="AW628" s="24" t="n">
        <f aca="false">AW627+IF(AND(C628&lt;&gt;"",AO628&lt;&gt;"",OR('REP COMMISSION'!$B$3="",T628='REP COMMISSION'!$B$3,W628='REP COMMISSION'!$B$3,Z628='REP COMMISSION'!$B$3)),1,0)</f>
        <v>0</v>
      </c>
      <c r="AX628" s="24" t="n">
        <f aca="false">AX627+IF(AND(C628&lt;&gt;"",OR(F628="LOC - INITIAL",F628="CONSOLIDATION - UPFRONT COMM",F628="REVERSE - TOTAL FUNDING")),1,0)</f>
        <v>0</v>
      </c>
    </row>
    <row r="629" customFormat="false" ht="15" hidden="false" customHeight="false" outlineLevel="0" collapsed="false">
      <c r="A629" s="25" t="str">
        <f aca="false">IF(C629&lt;&gt;"","F27-"&amp;COUNT($C$4:C629),"")</f>
        <v/>
      </c>
      <c r="B629" s="26" t="str">
        <f aca="false">IF(OR(F629="LOC - INITIAL",F629="CONSOLIDATION - UPFRONT COMM",F629="REVERSE - TOTAL FUNDING"),A629,"")</f>
        <v/>
      </c>
      <c r="C629" s="27"/>
      <c r="D629" s="28"/>
      <c r="E629" s="28"/>
      <c r="F629" s="28"/>
      <c r="G629" s="29"/>
      <c r="H629" s="30"/>
      <c r="I629" s="28"/>
      <c r="J629" s="31" t="str">
        <f aca="false">IF(AND(G629&lt;&gt;"",H629&lt;&gt;""),G629*H629,"")</f>
        <v/>
      </c>
      <c r="K629" s="28"/>
      <c r="L629" s="32"/>
      <c r="M629" s="32"/>
      <c r="N629" s="31" t="n">
        <f aca="false">IF(OR(G629="",M629=""),0,IF(M629&gt;100,M629,G629*IF(M629&gt;1,M629/100,M629)))</f>
        <v>0</v>
      </c>
      <c r="O629" s="31" t="str">
        <f aca="false">IF(G629="","",G629*IF(L629="",0,IF(L629&gt;1,L629/100,L629))+N629)</f>
        <v/>
      </c>
      <c r="P629" s="28"/>
      <c r="Q629" s="33" t="str">
        <f aca="false">IF(P629="","",IFERROR(VLOOKUP(P629,PARTNERS!$A$2:$B$30,2,0),""))</f>
        <v/>
      </c>
      <c r="R629" s="17" t="str">
        <f aca="false">IF(O629="","",IF(OR(P629="",Q629=""),0,(O629-N629)*IF(Q629&gt;1,Q629/100,Q629)))</f>
        <v/>
      </c>
      <c r="S629" s="31" t="str">
        <f aca="false">IF(O629="","",O629-R629)</f>
        <v/>
      </c>
      <c r="T629" s="28"/>
      <c r="U629" s="34" t="str">
        <f aca="false">IF(T629="","",IFERROR(VLOOKUP(T629,REPS!$A$2:$D$40,2,0),""))</f>
        <v/>
      </c>
      <c r="V629" s="31" t="str">
        <f aca="false">IF(O629="","",IF(U629="",0,O629*IF(U629&gt;1,U629/100,U629)))</f>
        <v/>
      </c>
      <c r="W629" s="28"/>
      <c r="X629" s="34" t="str">
        <f aca="false">IF(W629="","",IFERROR(VLOOKUP(W629,REPS!$A$2:$D$40,3,0),""))</f>
        <v/>
      </c>
      <c r="Y629" s="31" t="str">
        <f aca="false">IF(O629="","",IF(X629="",0,O629*IF(X629&gt;1,X629/100,X629)))</f>
        <v/>
      </c>
      <c r="Z629" s="28"/>
      <c r="AA629" s="34" t="str">
        <f aca="false">IF(Z629="","",IFERROR(VLOOKUP(Z629,REPS!$A$2:$D$40,4,0),""))</f>
        <v/>
      </c>
      <c r="AB629" s="31" t="str">
        <f aca="false">IF(O629="","",IF(AA629="",0,O629*IF(AA629&gt;1,AA629/100,AA629)))</f>
        <v/>
      </c>
      <c r="AC629" s="31" t="str">
        <f aca="false">IF(O629="","",V629+Y629+AB629)</f>
        <v/>
      </c>
      <c r="AD629" s="19" t="str">
        <f aca="false">IF(O629="","",O629-R629-AC629)</f>
        <v/>
      </c>
      <c r="AE629" s="20"/>
      <c r="AF629" s="27"/>
      <c r="AG629" s="21" t="n">
        <f aca="false">IF(OR(AE629="",AE629=0),0,AE629*IF(U629="",0,IF(U629&gt;1,U629/100,U629)))</f>
        <v>0</v>
      </c>
      <c r="AH629" s="21" t="n">
        <f aca="false">IF(OR(AE629="",AE629=0),0,AE629*IF(X629="",0,IF(X629&gt;1,X629/100,X629)))</f>
        <v>0</v>
      </c>
      <c r="AI629" s="21" t="n">
        <f aca="false">IF(OR(AE629="",AE629=0),0,AE629*IF(AA629="",0,IF(AA629&gt;1,AA629/100,AA629)))</f>
        <v>0</v>
      </c>
      <c r="AJ629" s="21" t="n">
        <f aca="false">AG629+AH629+AI629</f>
        <v>0</v>
      </c>
      <c r="AK629" s="21" t="n">
        <f aca="false">IF(OR(AE629="",AE629=0),0,AE629-AJ629)</f>
        <v>0</v>
      </c>
      <c r="AL629" s="19" t="str">
        <f aca="false">IF(AD629="","",AD629-AK629)</f>
        <v/>
      </c>
      <c r="AM629" s="26" t="str">
        <f aca="false">IF(C629="","","Waiting for payment")</f>
        <v/>
      </c>
      <c r="AN629" s="27"/>
      <c r="AO629" s="27"/>
      <c r="AP629" s="35" t="str">
        <f aca="false">IF(OR(C629="",I629="",K629=""),"",IF(K629="Monthly",EDATE(C629,ROUND(I629*SETTINGS!$I$8,0)),WORKDAY(C629,ROUND(I629*SETTINGS!$I$8,0))))</f>
        <v/>
      </c>
      <c r="AQ629" s="26" t="str">
        <f aca="true">IF(C629="","",IF(AND(AP629&lt;&gt;"",TODAY()&gt;=AP629),"Refi Ready",IF(TODAY()-C629&gt;=SETTINGS!$I$11,"Prospecting","Performing")))</f>
        <v/>
      </c>
      <c r="AR629" s="35" t="str">
        <f aca="false">IF(OR(C629="",I629="",K629=""),"",IF(K629="Monthly",EDATE(C629,I629),WORKDAY(C629,I629)))</f>
        <v/>
      </c>
      <c r="AS629" s="28"/>
      <c r="AT629" s="36" t="str">
        <f aca="true">IF(C629="","",IF(AM629="Clawed Back","CLAWED",IF(TODAY()&lt;=C629+SETTINGS!$I$2,"⚠ AT RISK","SAFE")))</f>
        <v/>
      </c>
      <c r="AU629" s="28"/>
      <c r="AW629" s="24" t="n">
        <f aca="false">AW628+IF(AND(C629&lt;&gt;"",AO629&lt;&gt;"",OR('REP COMMISSION'!$B$3="",T629='REP COMMISSION'!$B$3,W629='REP COMMISSION'!$B$3,Z629='REP COMMISSION'!$B$3)),1,0)</f>
        <v>0</v>
      </c>
      <c r="AX629" s="24" t="n">
        <f aca="false">AX628+IF(AND(C629&lt;&gt;"",OR(F629="LOC - INITIAL",F629="CONSOLIDATION - UPFRONT COMM",F629="REVERSE - TOTAL FUNDING")),1,0)</f>
        <v>0</v>
      </c>
    </row>
    <row r="630" customFormat="false" ht="15" hidden="false" customHeight="false" outlineLevel="0" collapsed="false">
      <c r="A630" s="8" t="str">
        <f aca="false">IF(C630&lt;&gt;"","F27-"&amp;COUNT($C$4:C630),"")</f>
        <v/>
      </c>
      <c r="B630" s="9" t="str">
        <f aca="false">IF(OR(F630="LOC - INITIAL",F630="CONSOLIDATION - UPFRONT COMM",F630="REVERSE - TOTAL FUNDING"),A630,"")</f>
        <v/>
      </c>
      <c r="C630" s="10"/>
      <c r="D630" s="11"/>
      <c r="E630" s="11"/>
      <c r="F630" s="11"/>
      <c r="G630" s="12"/>
      <c r="H630" s="13"/>
      <c r="I630" s="11"/>
      <c r="J630" s="14" t="str">
        <f aca="false">IF(AND(G630&lt;&gt;"",H630&lt;&gt;""),G630*H630,"")</f>
        <v/>
      </c>
      <c r="K630" s="11"/>
      <c r="L630" s="15"/>
      <c r="M630" s="15"/>
      <c r="N630" s="14" t="n">
        <f aca="false">IF(OR(G630="",M630=""),0,IF(M630&gt;100,M630,G630*IF(M630&gt;1,M630/100,M630)))</f>
        <v>0</v>
      </c>
      <c r="O630" s="14" t="str">
        <f aca="false">IF(G630="","",G630*IF(L630="",0,IF(L630&gt;1,L630/100,L630))+N630)</f>
        <v/>
      </c>
      <c r="P630" s="11"/>
      <c r="Q630" s="16" t="str">
        <f aca="false">IF(P630="","",IFERROR(VLOOKUP(P630,PARTNERS!$A$2:$B$30,2,0),""))</f>
        <v/>
      </c>
      <c r="R630" s="17" t="str">
        <f aca="false">IF(O630="","",IF(OR(P630="",Q630=""),0,(O630-N630)*IF(Q630&gt;1,Q630/100,Q630)))</f>
        <v/>
      </c>
      <c r="S630" s="14" t="str">
        <f aca="false">IF(O630="","",O630-R630)</f>
        <v/>
      </c>
      <c r="T630" s="11"/>
      <c r="U630" s="18" t="str">
        <f aca="false">IF(T630="","",IFERROR(VLOOKUP(T630,REPS!$A$2:$D$40,2,0),""))</f>
        <v/>
      </c>
      <c r="V630" s="14" t="str">
        <f aca="false">IF(O630="","",IF(U630="",0,O630*IF(U630&gt;1,U630/100,U630)))</f>
        <v/>
      </c>
      <c r="W630" s="11"/>
      <c r="X630" s="18" t="str">
        <f aca="false">IF(W630="","",IFERROR(VLOOKUP(W630,REPS!$A$2:$D$40,3,0),""))</f>
        <v/>
      </c>
      <c r="Y630" s="14" t="str">
        <f aca="false">IF(O630="","",IF(X630="",0,O630*IF(X630&gt;1,X630/100,X630)))</f>
        <v/>
      </c>
      <c r="Z630" s="11"/>
      <c r="AA630" s="18" t="str">
        <f aca="false">IF(Z630="","",IFERROR(VLOOKUP(Z630,REPS!$A$2:$D$40,4,0),""))</f>
        <v/>
      </c>
      <c r="AB630" s="14" t="str">
        <f aca="false">IF(O630="","",IF(AA630="",0,O630*IF(AA630&gt;1,AA630/100,AA630)))</f>
        <v/>
      </c>
      <c r="AC630" s="14" t="str">
        <f aca="false">IF(O630="","",V630+Y630+AB630)</f>
        <v/>
      </c>
      <c r="AD630" s="19" t="str">
        <f aca="false">IF(O630="","",O630-R630-AC630)</f>
        <v/>
      </c>
      <c r="AE630" s="20"/>
      <c r="AF630" s="10"/>
      <c r="AG630" s="21" t="n">
        <f aca="false">IF(OR(AE630="",AE630=0),0,AE630*IF(U630="",0,IF(U630&gt;1,U630/100,U630)))</f>
        <v>0</v>
      </c>
      <c r="AH630" s="21" t="n">
        <f aca="false">IF(OR(AE630="",AE630=0),0,AE630*IF(X630="",0,IF(X630&gt;1,X630/100,X630)))</f>
        <v>0</v>
      </c>
      <c r="AI630" s="21" t="n">
        <f aca="false">IF(OR(AE630="",AE630=0),0,AE630*IF(AA630="",0,IF(AA630&gt;1,AA630/100,AA630)))</f>
        <v>0</v>
      </c>
      <c r="AJ630" s="21" t="n">
        <f aca="false">AG630+AH630+AI630</f>
        <v>0</v>
      </c>
      <c r="AK630" s="21" t="n">
        <f aca="false">IF(OR(AE630="",AE630=0),0,AE630-AJ630)</f>
        <v>0</v>
      </c>
      <c r="AL630" s="19" t="str">
        <f aca="false">IF(AD630="","",AD630-AK630)</f>
        <v/>
      </c>
      <c r="AM630" s="9" t="str">
        <f aca="false">IF(C630="","","Waiting for payment")</f>
        <v/>
      </c>
      <c r="AN630" s="10"/>
      <c r="AO630" s="10"/>
      <c r="AP630" s="22" t="str">
        <f aca="false">IF(OR(C630="",I630="",K630=""),"",IF(K630="Monthly",EDATE(C630,ROUND(I630*SETTINGS!$I$8,0)),WORKDAY(C630,ROUND(I630*SETTINGS!$I$8,0))))</f>
        <v/>
      </c>
      <c r="AQ630" s="9" t="str">
        <f aca="true">IF(C630="","",IF(AND(AP630&lt;&gt;"",TODAY()&gt;=AP630),"Refi Ready",IF(TODAY()-C630&gt;=SETTINGS!$I$11,"Prospecting","Performing")))</f>
        <v/>
      </c>
      <c r="AR630" s="22" t="str">
        <f aca="false">IF(OR(C630="",I630="",K630=""),"",IF(K630="Monthly",EDATE(C630,I630),WORKDAY(C630,I630)))</f>
        <v/>
      </c>
      <c r="AS630" s="11"/>
      <c r="AT630" s="23" t="str">
        <f aca="true">IF(C630="","",IF(AM630="Clawed Back","CLAWED",IF(TODAY()&lt;=C630+SETTINGS!$I$2,"⚠ AT RISK","SAFE")))</f>
        <v/>
      </c>
      <c r="AU630" s="11"/>
      <c r="AW630" s="24" t="n">
        <f aca="false">AW629+IF(AND(C630&lt;&gt;"",AO630&lt;&gt;"",OR('REP COMMISSION'!$B$3="",T630='REP COMMISSION'!$B$3,W630='REP COMMISSION'!$B$3,Z630='REP COMMISSION'!$B$3)),1,0)</f>
        <v>0</v>
      </c>
      <c r="AX630" s="24" t="n">
        <f aca="false">AX629+IF(AND(C630&lt;&gt;"",OR(F630="LOC - INITIAL",F630="CONSOLIDATION - UPFRONT COMM",F630="REVERSE - TOTAL FUNDING")),1,0)</f>
        <v>0</v>
      </c>
    </row>
    <row r="631" customFormat="false" ht="15" hidden="false" customHeight="false" outlineLevel="0" collapsed="false">
      <c r="A631" s="25" t="str">
        <f aca="false">IF(C631&lt;&gt;"","F27-"&amp;COUNT($C$4:C631),"")</f>
        <v/>
      </c>
      <c r="B631" s="26" t="str">
        <f aca="false">IF(OR(F631="LOC - INITIAL",F631="CONSOLIDATION - UPFRONT COMM",F631="REVERSE - TOTAL FUNDING"),A631,"")</f>
        <v/>
      </c>
      <c r="C631" s="27"/>
      <c r="D631" s="28"/>
      <c r="E631" s="28"/>
      <c r="F631" s="28"/>
      <c r="G631" s="29"/>
      <c r="H631" s="30"/>
      <c r="I631" s="28"/>
      <c r="J631" s="31" t="str">
        <f aca="false">IF(AND(G631&lt;&gt;"",H631&lt;&gt;""),G631*H631,"")</f>
        <v/>
      </c>
      <c r="K631" s="28"/>
      <c r="L631" s="32"/>
      <c r="M631" s="32"/>
      <c r="N631" s="31" t="n">
        <f aca="false">IF(OR(G631="",M631=""),0,IF(M631&gt;100,M631,G631*IF(M631&gt;1,M631/100,M631)))</f>
        <v>0</v>
      </c>
      <c r="O631" s="31" t="str">
        <f aca="false">IF(G631="","",G631*IF(L631="",0,IF(L631&gt;1,L631/100,L631))+N631)</f>
        <v/>
      </c>
      <c r="P631" s="28"/>
      <c r="Q631" s="33" t="str">
        <f aca="false">IF(P631="","",IFERROR(VLOOKUP(P631,PARTNERS!$A$2:$B$30,2,0),""))</f>
        <v/>
      </c>
      <c r="R631" s="17" t="str">
        <f aca="false">IF(O631="","",IF(OR(P631="",Q631=""),0,(O631-N631)*IF(Q631&gt;1,Q631/100,Q631)))</f>
        <v/>
      </c>
      <c r="S631" s="31" t="str">
        <f aca="false">IF(O631="","",O631-R631)</f>
        <v/>
      </c>
      <c r="T631" s="28"/>
      <c r="U631" s="34" t="str">
        <f aca="false">IF(T631="","",IFERROR(VLOOKUP(T631,REPS!$A$2:$D$40,2,0),""))</f>
        <v/>
      </c>
      <c r="V631" s="31" t="str">
        <f aca="false">IF(O631="","",IF(U631="",0,O631*IF(U631&gt;1,U631/100,U631)))</f>
        <v/>
      </c>
      <c r="W631" s="28"/>
      <c r="X631" s="34" t="str">
        <f aca="false">IF(W631="","",IFERROR(VLOOKUP(W631,REPS!$A$2:$D$40,3,0),""))</f>
        <v/>
      </c>
      <c r="Y631" s="31" t="str">
        <f aca="false">IF(O631="","",IF(X631="",0,O631*IF(X631&gt;1,X631/100,X631)))</f>
        <v/>
      </c>
      <c r="Z631" s="28"/>
      <c r="AA631" s="34" t="str">
        <f aca="false">IF(Z631="","",IFERROR(VLOOKUP(Z631,REPS!$A$2:$D$40,4,0),""))</f>
        <v/>
      </c>
      <c r="AB631" s="31" t="str">
        <f aca="false">IF(O631="","",IF(AA631="",0,O631*IF(AA631&gt;1,AA631/100,AA631)))</f>
        <v/>
      </c>
      <c r="AC631" s="31" t="str">
        <f aca="false">IF(O631="","",V631+Y631+AB631)</f>
        <v/>
      </c>
      <c r="AD631" s="19" t="str">
        <f aca="false">IF(O631="","",O631-R631-AC631)</f>
        <v/>
      </c>
      <c r="AE631" s="20"/>
      <c r="AF631" s="27"/>
      <c r="AG631" s="21" t="n">
        <f aca="false">IF(OR(AE631="",AE631=0),0,AE631*IF(U631="",0,IF(U631&gt;1,U631/100,U631)))</f>
        <v>0</v>
      </c>
      <c r="AH631" s="21" t="n">
        <f aca="false">IF(OR(AE631="",AE631=0),0,AE631*IF(X631="",0,IF(X631&gt;1,X631/100,X631)))</f>
        <v>0</v>
      </c>
      <c r="AI631" s="21" t="n">
        <f aca="false">IF(OR(AE631="",AE631=0),0,AE631*IF(AA631="",0,IF(AA631&gt;1,AA631/100,AA631)))</f>
        <v>0</v>
      </c>
      <c r="AJ631" s="21" t="n">
        <f aca="false">AG631+AH631+AI631</f>
        <v>0</v>
      </c>
      <c r="AK631" s="21" t="n">
        <f aca="false">IF(OR(AE631="",AE631=0),0,AE631-AJ631)</f>
        <v>0</v>
      </c>
      <c r="AL631" s="19" t="str">
        <f aca="false">IF(AD631="","",AD631-AK631)</f>
        <v/>
      </c>
      <c r="AM631" s="26" t="str">
        <f aca="false">IF(C631="","","Waiting for payment")</f>
        <v/>
      </c>
      <c r="AN631" s="27"/>
      <c r="AO631" s="27"/>
      <c r="AP631" s="35" t="str">
        <f aca="false">IF(OR(C631="",I631="",K631=""),"",IF(K631="Monthly",EDATE(C631,ROUND(I631*SETTINGS!$I$8,0)),WORKDAY(C631,ROUND(I631*SETTINGS!$I$8,0))))</f>
        <v/>
      </c>
      <c r="AQ631" s="26" t="str">
        <f aca="true">IF(C631="","",IF(AND(AP631&lt;&gt;"",TODAY()&gt;=AP631),"Refi Ready",IF(TODAY()-C631&gt;=SETTINGS!$I$11,"Prospecting","Performing")))</f>
        <v/>
      </c>
      <c r="AR631" s="35" t="str">
        <f aca="false">IF(OR(C631="",I631="",K631=""),"",IF(K631="Monthly",EDATE(C631,I631),WORKDAY(C631,I631)))</f>
        <v/>
      </c>
      <c r="AS631" s="28"/>
      <c r="AT631" s="36" t="str">
        <f aca="true">IF(C631="","",IF(AM631="Clawed Back","CLAWED",IF(TODAY()&lt;=C631+SETTINGS!$I$2,"⚠ AT RISK","SAFE")))</f>
        <v/>
      </c>
      <c r="AU631" s="28"/>
      <c r="AW631" s="24" t="n">
        <f aca="false">AW630+IF(AND(C631&lt;&gt;"",AO631&lt;&gt;"",OR('REP COMMISSION'!$B$3="",T631='REP COMMISSION'!$B$3,W631='REP COMMISSION'!$B$3,Z631='REP COMMISSION'!$B$3)),1,0)</f>
        <v>0</v>
      </c>
      <c r="AX631" s="24" t="n">
        <f aca="false">AX630+IF(AND(C631&lt;&gt;"",OR(F631="LOC - INITIAL",F631="CONSOLIDATION - UPFRONT COMM",F631="REVERSE - TOTAL FUNDING")),1,0)</f>
        <v>0</v>
      </c>
    </row>
    <row r="632" customFormat="false" ht="15" hidden="false" customHeight="false" outlineLevel="0" collapsed="false">
      <c r="A632" s="8" t="str">
        <f aca="false">IF(C632&lt;&gt;"","F27-"&amp;COUNT($C$4:C632),"")</f>
        <v/>
      </c>
      <c r="B632" s="9" t="str">
        <f aca="false">IF(OR(F632="LOC - INITIAL",F632="CONSOLIDATION - UPFRONT COMM",F632="REVERSE - TOTAL FUNDING"),A632,"")</f>
        <v/>
      </c>
      <c r="C632" s="10"/>
      <c r="D632" s="11"/>
      <c r="E632" s="11"/>
      <c r="F632" s="11"/>
      <c r="G632" s="12"/>
      <c r="H632" s="13"/>
      <c r="I632" s="11"/>
      <c r="J632" s="14" t="str">
        <f aca="false">IF(AND(G632&lt;&gt;"",H632&lt;&gt;""),G632*H632,"")</f>
        <v/>
      </c>
      <c r="K632" s="11"/>
      <c r="L632" s="15"/>
      <c r="M632" s="15"/>
      <c r="N632" s="14" t="n">
        <f aca="false">IF(OR(G632="",M632=""),0,IF(M632&gt;100,M632,G632*IF(M632&gt;1,M632/100,M632)))</f>
        <v>0</v>
      </c>
      <c r="O632" s="14" t="str">
        <f aca="false">IF(G632="","",G632*IF(L632="",0,IF(L632&gt;1,L632/100,L632))+N632)</f>
        <v/>
      </c>
      <c r="P632" s="11"/>
      <c r="Q632" s="16" t="str">
        <f aca="false">IF(P632="","",IFERROR(VLOOKUP(P632,PARTNERS!$A$2:$B$30,2,0),""))</f>
        <v/>
      </c>
      <c r="R632" s="17" t="str">
        <f aca="false">IF(O632="","",IF(OR(P632="",Q632=""),0,(O632-N632)*IF(Q632&gt;1,Q632/100,Q632)))</f>
        <v/>
      </c>
      <c r="S632" s="14" t="str">
        <f aca="false">IF(O632="","",O632-R632)</f>
        <v/>
      </c>
      <c r="T632" s="11"/>
      <c r="U632" s="18" t="str">
        <f aca="false">IF(T632="","",IFERROR(VLOOKUP(T632,REPS!$A$2:$D$40,2,0),""))</f>
        <v/>
      </c>
      <c r="V632" s="14" t="str">
        <f aca="false">IF(O632="","",IF(U632="",0,O632*IF(U632&gt;1,U632/100,U632)))</f>
        <v/>
      </c>
      <c r="W632" s="11"/>
      <c r="X632" s="18" t="str">
        <f aca="false">IF(W632="","",IFERROR(VLOOKUP(W632,REPS!$A$2:$D$40,3,0),""))</f>
        <v/>
      </c>
      <c r="Y632" s="14" t="str">
        <f aca="false">IF(O632="","",IF(X632="",0,O632*IF(X632&gt;1,X632/100,X632)))</f>
        <v/>
      </c>
      <c r="Z632" s="11"/>
      <c r="AA632" s="18" t="str">
        <f aca="false">IF(Z632="","",IFERROR(VLOOKUP(Z632,REPS!$A$2:$D$40,4,0),""))</f>
        <v/>
      </c>
      <c r="AB632" s="14" t="str">
        <f aca="false">IF(O632="","",IF(AA632="",0,O632*IF(AA632&gt;1,AA632/100,AA632)))</f>
        <v/>
      </c>
      <c r="AC632" s="14" t="str">
        <f aca="false">IF(O632="","",V632+Y632+AB632)</f>
        <v/>
      </c>
      <c r="AD632" s="19" t="str">
        <f aca="false">IF(O632="","",O632-R632-AC632)</f>
        <v/>
      </c>
      <c r="AE632" s="20"/>
      <c r="AF632" s="10"/>
      <c r="AG632" s="21" t="n">
        <f aca="false">IF(OR(AE632="",AE632=0),0,AE632*IF(U632="",0,IF(U632&gt;1,U632/100,U632)))</f>
        <v>0</v>
      </c>
      <c r="AH632" s="21" t="n">
        <f aca="false">IF(OR(AE632="",AE632=0),0,AE632*IF(X632="",0,IF(X632&gt;1,X632/100,X632)))</f>
        <v>0</v>
      </c>
      <c r="AI632" s="21" t="n">
        <f aca="false">IF(OR(AE632="",AE632=0),0,AE632*IF(AA632="",0,IF(AA632&gt;1,AA632/100,AA632)))</f>
        <v>0</v>
      </c>
      <c r="AJ632" s="21" t="n">
        <f aca="false">AG632+AH632+AI632</f>
        <v>0</v>
      </c>
      <c r="AK632" s="21" t="n">
        <f aca="false">IF(OR(AE632="",AE632=0),0,AE632-AJ632)</f>
        <v>0</v>
      </c>
      <c r="AL632" s="19" t="str">
        <f aca="false">IF(AD632="","",AD632-AK632)</f>
        <v/>
      </c>
      <c r="AM632" s="9" t="str">
        <f aca="false">IF(C632="","","Waiting for payment")</f>
        <v/>
      </c>
      <c r="AN632" s="10"/>
      <c r="AO632" s="10"/>
      <c r="AP632" s="22" t="str">
        <f aca="false">IF(OR(C632="",I632="",K632=""),"",IF(K632="Monthly",EDATE(C632,ROUND(I632*SETTINGS!$I$8,0)),WORKDAY(C632,ROUND(I632*SETTINGS!$I$8,0))))</f>
        <v/>
      </c>
      <c r="AQ632" s="9" t="str">
        <f aca="true">IF(C632="","",IF(AND(AP632&lt;&gt;"",TODAY()&gt;=AP632),"Refi Ready",IF(TODAY()-C632&gt;=SETTINGS!$I$11,"Prospecting","Performing")))</f>
        <v/>
      </c>
      <c r="AR632" s="22" t="str">
        <f aca="false">IF(OR(C632="",I632="",K632=""),"",IF(K632="Monthly",EDATE(C632,I632),WORKDAY(C632,I632)))</f>
        <v/>
      </c>
      <c r="AS632" s="11"/>
      <c r="AT632" s="23" t="str">
        <f aca="true">IF(C632="","",IF(AM632="Clawed Back","CLAWED",IF(TODAY()&lt;=C632+SETTINGS!$I$2,"⚠ AT RISK","SAFE")))</f>
        <v/>
      </c>
      <c r="AU632" s="11"/>
      <c r="AW632" s="24" t="n">
        <f aca="false">AW631+IF(AND(C632&lt;&gt;"",AO632&lt;&gt;"",OR('REP COMMISSION'!$B$3="",T632='REP COMMISSION'!$B$3,W632='REP COMMISSION'!$B$3,Z632='REP COMMISSION'!$B$3)),1,0)</f>
        <v>0</v>
      </c>
      <c r="AX632" s="24" t="n">
        <f aca="false">AX631+IF(AND(C632&lt;&gt;"",OR(F632="LOC - INITIAL",F632="CONSOLIDATION - UPFRONT COMM",F632="REVERSE - TOTAL FUNDING")),1,0)</f>
        <v>0</v>
      </c>
    </row>
    <row r="633" customFormat="false" ht="15" hidden="false" customHeight="false" outlineLevel="0" collapsed="false">
      <c r="A633" s="25" t="str">
        <f aca="false">IF(C633&lt;&gt;"","F27-"&amp;COUNT($C$4:C633),"")</f>
        <v/>
      </c>
      <c r="B633" s="26" t="str">
        <f aca="false">IF(OR(F633="LOC - INITIAL",F633="CONSOLIDATION - UPFRONT COMM",F633="REVERSE - TOTAL FUNDING"),A633,"")</f>
        <v/>
      </c>
      <c r="C633" s="27"/>
      <c r="D633" s="28"/>
      <c r="E633" s="28"/>
      <c r="F633" s="28"/>
      <c r="G633" s="29"/>
      <c r="H633" s="30"/>
      <c r="I633" s="28"/>
      <c r="J633" s="31" t="str">
        <f aca="false">IF(AND(G633&lt;&gt;"",H633&lt;&gt;""),G633*H633,"")</f>
        <v/>
      </c>
      <c r="K633" s="28"/>
      <c r="L633" s="32"/>
      <c r="M633" s="32"/>
      <c r="N633" s="31" t="n">
        <f aca="false">IF(OR(G633="",M633=""),0,IF(M633&gt;100,M633,G633*IF(M633&gt;1,M633/100,M633)))</f>
        <v>0</v>
      </c>
      <c r="O633" s="31" t="str">
        <f aca="false">IF(G633="","",G633*IF(L633="",0,IF(L633&gt;1,L633/100,L633))+N633)</f>
        <v/>
      </c>
      <c r="P633" s="28"/>
      <c r="Q633" s="33" t="str">
        <f aca="false">IF(P633="","",IFERROR(VLOOKUP(P633,PARTNERS!$A$2:$B$30,2,0),""))</f>
        <v/>
      </c>
      <c r="R633" s="17" t="str">
        <f aca="false">IF(O633="","",IF(OR(P633="",Q633=""),0,(O633-N633)*IF(Q633&gt;1,Q633/100,Q633)))</f>
        <v/>
      </c>
      <c r="S633" s="31" t="str">
        <f aca="false">IF(O633="","",O633-R633)</f>
        <v/>
      </c>
      <c r="T633" s="28"/>
      <c r="U633" s="34" t="str">
        <f aca="false">IF(T633="","",IFERROR(VLOOKUP(T633,REPS!$A$2:$D$40,2,0),""))</f>
        <v/>
      </c>
      <c r="V633" s="31" t="str">
        <f aca="false">IF(O633="","",IF(U633="",0,O633*IF(U633&gt;1,U633/100,U633)))</f>
        <v/>
      </c>
      <c r="W633" s="28"/>
      <c r="X633" s="34" t="str">
        <f aca="false">IF(W633="","",IFERROR(VLOOKUP(W633,REPS!$A$2:$D$40,3,0),""))</f>
        <v/>
      </c>
      <c r="Y633" s="31" t="str">
        <f aca="false">IF(O633="","",IF(X633="",0,O633*IF(X633&gt;1,X633/100,X633)))</f>
        <v/>
      </c>
      <c r="Z633" s="28"/>
      <c r="AA633" s="34" t="str">
        <f aca="false">IF(Z633="","",IFERROR(VLOOKUP(Z633,REPS!$A$2:$D$40,4,0),""))</f>
        <v/>
      </c>
      <c r="AB633" s="31" t="str">
        <f aca="false">IF(O633="","",IF(AA633="",0,O633*IF(AA633&gt;1,AA633/100,AA633)))</f>
        <v/>
      </c>
      <c r="AC633" s="31" t="str">
        <f aca="false">IF(O633="","",V633+Y633+AB633)</f>
        <v/>
      </c>
      <c r="AD633" s="19" t="str">
        <f aca="false">IF(O633="","",O633-R633-AC633)</f>
        <v/>
      </c>
      <c r="AE633" s="20"/>
      <c r="AF633" s="27"/>
      <c r="AG633" s="21" t="n">
        <f aca="false">IF(OR(AE633="",AE633=0),0,AE633*IF(U633="",0,IF(U633&gt;1,U633/100,U633)))</f>
        <v>0</v>
      </c>
      <c r="AH633" s="21" t="n">
        <f aca="false">IF(OR(AE633="",AE633=0),0,AE633*IF(X633="",0,IF(X633&gt;1,X633/100,X633)))</f>
        <v>0</v>
      </c>
      <c r="AI633" s="21" t="n">
        <f aca="false">IF(OR(AE633="",AE633=0),0,AE633*IF(AA633="",0,IF(AA633&gt;1,AA633/100,AA633)))</f>
        <v>0</v>
      </c>
      <c r="AJ633" s="21" t="n">
        <f aca="false">AG633+AH633+AI633</f>
        <v>0</v>
      </c>
      <c r="AK633" s="21" t="n">
        <f aca="false">IF(OR(AE633="",AE633=0),0,AE633-AJ633)</f>
        <v>0</v>
      </c>
      <c r="AL633" s="19" t="str">
        <f aca="false">IF(AD633="","",AD633-AK633)</f>
        <v/>
      </c>
      <c r="AM633" s="26" t="str">
        <f aca="false">IF(C633="","","Waiting for payment")</f>
        <v/>
      </c>
      <c r="AN633" s="27"/>
      <c r="AO633" s="27"/>
      <c r="AP633" s="35" t="str">
        <f aca="false">IF(OR(C633="",I633="",K633=""),"",IF(K633="Monthly",EDATE(C633,ROUND(I633*SETTINGS!$I$8,0)),WORKDAY(C633,ROUND(I633*SETTINGS!$I$8,0))))</f>
        <v/>
      </c>
      <c r="AQ633" s="26" t="str">
        <f aca="true">IF(C633="","",IF(AND(AP633&lt;&gt;"",TODAY()&gt;=AP633),"Refi Ready",IF(TODAY()-C633&gt;=SETTINGS!$I$11,"Prospecting","Performing")))</f>
        <v/>
      </c>
      <c r="AR633" s="35" t="str">
        <f aca="false">IF(OR(C633="",I633="",K633=""),"",IF(K633="Monthly",EDATE(C633,I633),WORKDAY(C633,I633)))</f>
        <v/>
      </c>
      <c r="AS633" s="28"/>
      <c r="AT633" s="36" t="str">
        <f aca="true">IF(C633="","",IF(AM633="Clawed Back","CLAWED",IF(TODAY()&lt;=C633+SETTINGS!$I$2,"⚠ AT RISK","SAFE")))</f>
        <v/>
      </c>
      <c r="AU633" s="28"/>
      <c r="AW633" s="24" t="n">
        <f aca="false">AW632+IF(AND(C633&lt;&gt;"",AO633&lt;&gt;"",OR('REP COMMISSION'!$B$3="",T633='REP COMMISSION'!$B$3,W633='REP COMMISSION'!$B$3,Z633='REP COMMISSION'!$B$3)),1,0)</f>
        <v>0</v>
      </c>
      <c r="AX633" s="24" t="n">
        <f aca="false">AX632+IF(AND(C633&lt;&gt;"",OR(F633="LOC - INITIAL",F633="CONSOLIDATION - UPFRONT COMM",F633="REVERSE - TOTAL FUNDING")),1,0)</f>
        <v>0</v>
      </c>
    </row>
    <row r="634" customFormat="false" ht="15" hidden="false" customHeight="false" outlineLevel="0" collapsed="false">
      <c r="A634" s="8" t="str">
        <f aca="false">IF(C634&lt;&gt;"","F27-"&amp;COUNT($C$4:C634),"")</f>
        <v/>
      </c>
      <c r="B634" s="9" t="str">
        <f aca="false">IF(OR(F634="LOC - INITIAL",F634="CONSOLIDATION - UPFRONT COMM",F634="REVERSE - TOTAL FUNDING"),A634,"")</f>
        <v/>
      </c>
      <c r="C634" s="10"/>
      <c r="D634" s="11"/>
      <c r="E634" s="11"/>
      <c r="F634" s="11"/>
      <c r="G634" s="12"/>
      <c r="H634" s="13"/>
      <c r="I634" s="11"/>
      <c r="J634" s="14" t="str">
        <f aca="false">IF(AND(G634&lt;&gt;"",H634&lt;&gt;""),G634*H634,"")</f>
        <v/>
      </c>
      <c r="K634" s="11"/>
      <c r="L634" s="15"/>
      <c r="M634" s="15"/>
      <c r="N634" s="14" t="n">
        <f aca="false">IF(OR(G634="",M634=""),0,IF(M634&gt;100,M634,G634*IF(M634&gt;1,M634/100,M634)))</f>
        <v>0</v>
      </c>
      <c r="O634" s="14" t="str">
        <f aca="false">IF(G634="","",G634*IF(L634="",0,IF(L634&gt;1,L634/100,L634))+N634)</f>
        <v/>
      </c>
      <c r="P634" s="11"/>
      <c r="Q634" s="16" t="str">
        <f aca="false">IF(P634="","",IFERROR(VLOOKUP(P634,PARTNERS!$A$2:$B$30,2,0),""))</f>
        <v/>
      </c>
      <c r="R634" s="17" t="str">
        <f aca="false">IF(O634="","",IF(OR(P634="",Q634=""),0,(O634-N634)*IF(Q634&gt;1,Q634/100,Q634)))</f>
        <v/>
      </c>
      <c r="S634" s="14" t="str">
        <f aca="false">IF(O634="","",O634-R634)</f>
        <v/>
      </c>
      <c r="T634" s="11"/>
      <c r="U634" s="18" t="str">
        <f aca="false">IF(T634="","",IFERROR(VLOOKUP(T634,REPS!$A$2:$D$40,2,0),""))</f>
        <v/>
      </c>
      <c r="V634" s="14" t="str">
        <f aca="false">IF(O634="","",IF(U634="",0,O634*IF(U634&gt;1,U634/100,U634)))</f>
        <v/>
      </c>
      <c r="W634" s="11"/>
      <c r="X634" s="18" t="str">
        <f aca="false">IF(W634="","",IFERROR(VLOOKUP(W634,REPS!$A$2:$D$40,3,0),""))</f>
        <v/>
      </c>
      <c r="Y634" s="14" t="str">
        <f aca="false">IF(O634="","",IF(X634="",0,O634*IF(X634&gt;1,X634/100,X634)))</f>
        <v/>
      </c>
      <c r="Z634" s="11"/>
      <c r="AA634" s="18" t="str">
        <f aca="false">IF(Z634="","",IFERROR(VLOOKUP(Z634,REPS!$A$2:$D$40,4,0),""))</f>
        <v/>
      </c>
      <c r="AB634" s="14" t="str">
        <f aca="false">IF(O634="","",IF(AA634="",0,O634*IF(AA634&gt;1,AA634/100,AA634)))</f>
        <v/>
      </c>
      <c r="AC634" s="14" t="str">
        <f aca="false">IF(O634="","",V634+Y634+AB634)</f>
        <v/>
      </c>
      <c r="AD634" s="19" t="str">
        <f aca="false">IF(O634="","",O634-R634-AC634)</f>
        <v/>
      </c>
      <c r="AE634" s="20"/>
      <c r="AF634" s="10"/>
      <c r="AG634" s="21" t="n">
        <f aca="false">IF(OR(AE634="",AE634=0),0,AE634*IF(U634="",0,IF(U634&gt;1,U634/100,U634)))</f>
        <v>0</v>
      </c>
      <c r="AH634" s="21" t="n">
        <f aca="false">IF(OR(AE634="",AE634=0),0,AE634*IF(X634="",0,IF(X634&gt;1,X634/100,X634)))</f>
        <v>0</v>
      </c>
      <c r="AI634" s="21" t="n">
        <f aca="false">IF(OR(AE634="",AE634=0),0,AE634*IF(AA634="",0,IF(AA634&gt;1,AA634/100,AA634)))</f>
        <v>0</v>
      </c>
      <c r="AJ634" s="21" t="n">
        <f aca="false">AG634+AH634+AI634</f>
        <v>0</v>
      </c>
      <c r="AK634" s="21" t="n">
        <f aca="false">IF(OR(AE634="",AE634=0),0,AE634-AJ634)</f>
        <v>0</v>
      </c>
      <c r="AL634" s="19" t="str">
        <f aca="false">IF(AD634="","",AD634-AK634)</f>
        <v/>
      </c>
      <c r="AM634" s="9" t="str">
        <f aca="false">IF(C634="","","Waiting for payment")</f>
        <v/>
      </c>
      <c r="AN634" s="10"/>
      <c r="AO634" s="10"/>
      <c r="AP634" s="22" t="str">
        <f aca="false">IF(OR(C634="",I634="",K634=""),"",IF(K634="Monthly",EDATE(C634,ROUND(I634*SETTINGS!$I$8,0)),WORKDAY(C634,ROUND(I634*SETTINGS!$I$8,0))))</f>
        <v/>
      </c>
      <c r="AQ634" s="9" t="str">
        <f aca="true">IF(C634="","",IF(AND(AP634&lt;&gt;"",TODAY()&gt;=AP634),"Refi Ready",IF(TODAY()-C634&gt;=SETTINGS!$I$11,"Prospecting","Performing")))</f>
        <v/>
      </c>
      <c r="AR634" s="22" t="str">
        <f aca="false">IF(OR(C634="",I634="",K634=""),"",IF(K634="Monthly",EDATE(C634,I634),WORKDAY(C634,I634)))</f>
        <v/>
      </c>
      <c r="AS634" s="11"/>
      <c r="AT634" s="23" t="str">
        <f aca="true">IF(C634="","",IF(AM634="Clawed Back","CLAWED",IF(TODAY()&lt;=C634+SETTINGS!$I$2,"⚠ AT RISK","SAFE")))</f>
        <v/>
      </c>
      <c r="AU634" s="11"/>
      <c r="AW634" s="24" t="n">
        <f aca="false">AW633+IF(AND(C634&lt;&gt;"",AO634&lt;&gt;"",OR('REP COMMISSION'!$B$3="",T634='REP COMMISSION'!$B$3,W634='REP COMMISSION'!$B$3,Z634='REP COMMISSION'!$B$3)),1,0)</f>
        <v>0</v>
      </c>
      <c r="AX634" s="24" t="n">
        <f aca="false">AX633+IF(AND(C634&lt;&gt;"",OR(F634="LOC - INITIAL",F634="CONSOLIDATION - UPFRONT COMM",F634="REVERSE - TOTAL FUNDING")),1,0)</f>
        <v>0</v>
      </c>
    </row>
    <row r="635" customFormat="false" ht="15" hidden="false" customHeight="false" outlineLevel="0" collapsed="false">
      <c r="A635" s="25" t="str">
        <f aca="false">IF(C635&lt;&gt;"","F27-"&amp;COUNT($C$4:C635),"")</f>
        <v/>
      </c>
      <c r="B635" s="26" t="str">
        <f aca="false">IF(OR(F635="LOC - INITIAL",F635="CONSOLIDATION - UPFRONT COMM",F635="REVERSE - TOTAL FUNDING"),A635,"")</f>
        <v/>
      </c>
      <c r="C635" s="27"/>
      <c r="D635" s="28"/>
      <c r="E635" s="28"/>
      <c r="F635" s="28"/>
      <c r="G635" s="29"/>
      <c r="H635" s="30"/>
      <c r="I635" s="28"/>
      <c r="J635" s="31" t="str">
        <f aca="false">IF(AND(G635&lt;&gt;"",H635&lt;&gt;""),G635*H635,"")</f>
        <v/>
      </c>
      <c r="K635" s="28"/>
      <c r="L635" s="32"/>
      <c r="M635" s="32"/>
      <c r="N635" s="31" t="n">
        <f aca="false">IF(OR(G635="",M635=""),0,IF(M635&gt;100,M635,G635*IF(M635&gt;1,M635/100,M635)))</f>
        <v>0</v>
      </c>
      <c r="O635" s="31" t="str">
        <f aca="false">IF(G635="","",G635*IF(L635="",0,IF(L635&gt;1,L635/100,L635))+N635)</f>
        <v/>
      </c>
      <c r="P635" s="28"/>
      <c r="Q635" s="33" t="str">
        <f aca="false">IF(P635="","",IFERROR(VLOOKUP(P635,PARTNERS!$A$2:$B$30,2,0),""))</f>
        <v/>
      </c>
      <c r="R635" s="17" t="str">
        <f aca="false">IF(O635="","",IF(OR(P635="",Q635=""),0,(O635-N635)*IF(Q635&gt;1,Q635/100,Q635)))</f>
        <v/>
      </c>
      <c r="S635" s="31" t="str">
        <f aca="false">IF(O635="","",O635-R635)</f>
        <v/>
      </c>
      <c r="T635" s="28"/>
      <c r="U635" s="34" t="str">
        <f aca="false">IF(T635="","",IFERROR(VLOOKUP(T635,REPS!$A$2:$D$40,2,0),""))</f>
        <v/>
      </c>
      <c r="V635" s="31" t="str">
        <f aca="false">IF(O635="","",IF(U635="",0,O635*IF(U635&gt;1,U635/100,U635)))</f>
        <v/>
      </c>
      <c r="W635" s="28"/>
      <c r="X635" s="34" t="str">
        <f aca="false">IF(W635="","",IFERROR(VLOOKUP(W635,REPS!$A$2:$D$40,3,0),""))</f>
        <v/>
      </c>
      <c r="Y635" s="31" t="str">
        <f aca="false">IF(O635="","",IF(X635="",0,O635*IF(X635&gt;1,X635/100,X635)))</f>
        <v/>
      </c>
      <c r="Z635" s="28"/>
      <c r="AA635" s="34" t="str">
        <f aca="false">IF(Z635="","",IFERROR(VLOOKUP(Z635,REPS!$A$2:$D$40,4,0),""))</f>
        <v/>
      </c>
      <c r="AB635" s="31" t="str">
        <f aca="false">IF(O635="","",IF(AA635="",0,O635*IF(AA635&gt;1,AA635/100,AA635)))</f>
        <v/>
      </c>
      <c r="AC635" s="31" t="str">
        <f aca="false">IF(O635="","",V635+Y635+AB635)</f>
        <v/>
      </c>
      <c r="AD635" s="19" t="str">
        <f aca="false">IF(O635="","",O635-R635-AC635)</f>
        <v/>
      </c>
      <c r="AE635" s="20"/>
      <c r="AF635" s="27"/>
      <c r="AG635" s="21" t="n">
        <f aca="false">IF(OR(AE635="",AE635=0),0,AE635*IF(U635="",0,IF(U635&gt;1,U635/100,U635)))</f>
        <v>0</v>
      </c>
      <c r="AH635" s="21" t="n">
        <f aca="false">IF(OR(AE635="",AE635=0),0,AE635*IF(X635="",0,IF(X635&gt;1,X635/100,X635)))</f>
        <v>0</v>
      </c>
      <c r="AI635" s="21" t="n">
        <f aca="false">IF(OR(AE635="",AE635=0),0,AE635*IF(AA635="",0,IF(AA635&gt;1,AA635/100,AA635)))</f>
        <v>0</v>
      </c>
      <c r="AJ635" s="21" t="n">
        <f aca="false">AG635+AH635+AI635</f>
        <v>0</v>
      </c>
      <c r="AK635" s="21" t="n">
        <f aca="false">IF(OR(AE635="",AE635=0),0,AE635-AJ635)</f>
        <v>0</v>
      </c>
      <c r="AL635" s="19" t="str">
        <f aca="false">IF(AD635="","",AD635-AK635)</f>
        <v/>
      </c>
      <c r="AM635" s="26" t="str">
        <f aca="false">IF(C635="","","Waiting for payment")</f>
        <v/>
      </c>
      <c r="AN635" s="27"/>
      <c r="AO635" s="27"/>
      <c r="AP635" s="35" t="str">
        <f aca="false">IF(OR(C635="",I635="",K635=""),"",IF(K635="Monthly",EDATE(C635,ROUND(I635*SETTINGS!$I$8,0)),WORKDAY(C635,ROUND(I635*SETTINGS!$I$8,0))))</f>
        <v/>
      </c>
      <c r="AQ635" s="26" t="str">
        <f aca="true">IF(C635="","",IF(AND(AP635&lt;&gt;"",TODAY()&gt;=AP635),"Refi Ready",IF(TODAY()-C635&gt;=SETTINGS!$I$11,"Prospecting","Performing")))</f>
        <v/>
      </c>
      <c r="AR635" s="35" t="str">
        <f aca="false">IF(OR(C635="",I635="",K635=""),"",IF(K635="Monthly",EDATE(C635,I635),WORKDAY(C635,I635)))</f>
        <v/>
      </c>
      <c r="AS635" s="28"/>
      <c r="AT635" s="36" t="str">
        <f aca="true">IF(C635="","",IF(AM635="Clawed Back","CLAWED",IF(TODAY()&lt;=C635+SETTINGS!$I$2,"⚠ AT RISK","SAFE")))</f>
        <v/>
      </c>
      <c r="AU635" s="28"/>
      <c r="AW635" s="24" t="n">
        <f aca="false">AW634+IF(AND(C635&lt;&gt;"",AO635&lt;&gt;"",OR('REP COMMISSION'!$B$3="",T635='REP COMMISSION'!$B$3,W635='REP COMMISSION'!$B$3,Z635='REP COMMISSION'!$B$3)),1,0)</f>
        <v>0</v>
      </c>
      <c r="AX635" s="24" t="n">
        <f aca="false">AX634+IF(AND(C635&lt;&gt;"",OR(F635="LOC - INITIAL",F635="CONSOLIDATION - UPFRONT COMM",F635="REVERSE - TOTAL FUNDING")),1,0)</f>
        <v>0</v>
      </c>
    </row>
    <row r="636" customFormat="false" ht="15" hidden="false" customHeight="false" outlineLevel="0" collapsed="false">
      <c r="A636" s="8" t="str">
        <f aca="false">IF(C636&lt;&gt;"","F27-"&amp;COUNT($C$4:C636),"")</f>
        <v/>
      </c>
      <c r="B636" s="9" t="str">
        <f aca="false">IF(OR(F636="LOC - INITIAL",F636="CONSOLIDATION - UPFRONT COMM",F636="REVERSE - TOTAL FUNDING"),A636,"")</f>
        <v/>
      </c>
      <c r="C636" s="10"/>
      <c r="D636" s="11"/>
      <c r="E636" s="11"/>
      <c r="F636" s="11"/>
      <c r="G636" s="12"/>
      <c r="H636" s="13"/>
      <c r="I636" s="11"/>
      <c r="J636" s="14" t="str">
        <f aca="false">IF(AND(G636&lt;&gt;"",H636&lt;&gt;""),G636*H636,"")</f>
        <v/>
      </c>
      <c r="K636" s="11"/>
      <c r="L636" s="15"/>
      <c r="M636" s="15"/>
      <c r="N636" s="14" t="n">
        <f aca="false">IF(OR(G636="",M636=""),0,IF(M636&gt;100,M636,G636*IF(M636&gt;1,M636/100,M636)))</f>
        <v>0</v>
      </c>
      <c r="O636" s="14" t="str">
        <f aca="false">IF(G636="","",G636*IF(L636="",0,IF(L636&gt;1,L636/100,L636))+N636)</f>
        <v/>
      </c>
      <c r="P636" s="11"/>
      <c r="Q636" s="16" t="str">
        <f aca="false">IF(P636="","",IFERROR(VLOOKUP(P636,PARTNERS!$A$2:$B$30,2,0),""))</f>
        <v/>
      </c>
      <c r="R636" s="17" t="str">
        <f aca="false">IF(O636="","",IF(OR(P636="",Q636=""),0,(O636-N636)*IF(Q636&gt;1,Q636/100,Q636)))</f>
        <v/>
      </c>
      <c r="S636" s="14" t="str">
        <f aca="false">IF(O636="","",O636-R636)</f>
        <v/>
      </c>
      <c r="T636" s="11"/>
      <c r="U636" s="18" t="str">
        <f aca="false">IF(T636="","",IFERROR(VLOOKUP(T636,REPS!$A$2:$D$40,2,0),""))</f>
        <v/>
      </c>
      <c r="V636" s="14" t="str">
        <f aca="false">IF(O636="","",IF(U636="",0,O636*IF(U636&gt;1,U636/100,U636)))</f>
        <v/>
      </c>
      <c r="W636" s="11"/>
      <c r="X636" s="18" t="str">
        <f aca="false">IF(W636="","",IFERROR(VLOOKUP(W636,REPS!$A$2:$D$40,3,0),""))</f>
        <v/>
      </c>
      <c r="Y636" s="14" t="str">
        <f aca="false">IF(O636="","",IF(X636="",0,O636*IF(X636&gt;1,X636/100,X636)))</f>
        <v/>
      </c>
      <c r="Z636" s="11"/>
      <c r="AA636" s="18" t="str">
        <f aca="false">IF(Z636="","",IFERROR(VLOOKUP(Z636,REPS!$A$2:$D$40,4,0),""))</f>
        <v/>
      </c>
      <c r="AB636" s="14" t="str">
        <f aca="false">IF(O636="","",IF(AA636="",0,O636*IF(AA636&gt;1,AA636/100,AA636)))</f>
        <v/>
      </c>
      <c r="AC636" s="14" t="str">
        <f aca="false">IF(O636="","",V636+Y636+AB636)</f>
        <v/>
      </c>
      <c r="AD636" s="19" t="str">
        <f aca="false">IF(O636="","",O636-R636-AC636)</f>
        <v/>
      </c>
      <c r="AE636" s="20"/>
      <c r="AF636" s="10"/>
      <c r="AG636" s="21" t="n">
        <f aca="false">IF(OR(AE636="",AE636=0),0,AE636*IF(U636="",0,IF(U636&gt;1,U636/100,U636)))</f>
        <v>0</v>
      </c>
      <c r="AH636" s="21" t="n">
        <f aca="false">IF(OR(AE636="",AE636=0),0,AE636*IF(X636="",0,IF(X636&gt;1,X636/100,X636)))</f>
        <v>0</v>
      </c>
      <c r="AI636" s="21" t="n">
        <f aca="false">IF(OR(AE636="",AE636=0),0,AE636*IF(AA636="",0,IF(AA636&gt;1,AA636/100,AA636)))</f>
        <v>0</v>
      </c>
      <c r="AJ636" s="21" t="n">
        <f aca="false">AG636+AH636+AI636</f>
        <v>0</v>
      </c>
      <c r="AK636" s="21" t="n">
        <f aca="false">IF(OR(AE636="",AE636=0),0,AE636-AJ636)</f>
        <v>0</v>
      </c>
      <c r="AL636" s="19" t="str">
        <f aca="false">IF(AD636="","",AD636-AK636)</f>
        <v/>
      </c>
      <c r="AM636" s="9" t="str">
        <f aca="false">IF(C636="","","Waiting for payment")</f>
        <v/>
      </c>
      <c r="AN636" s="10"/>
      <c r="AO636" s="10"/>
      <c r="AP636" s="22" t="str">
        <f aca="false">IF(OR(C636="",I636="",K636=""),"",IF(K636="Monthly",EDATE(C636,ROUND(I636*SETTINGS!$I$8,0)),WORKDAY(C636,ROUND(I636*SETTINGS!$I$8,0))))</f>
        <v/>
      </c>
      <c r="AQ636" s="9" t="str">
        <f aca="true">IF(C636="","",IF(AND(AP636&lt;&gt;"",TODAY()&gt;=AP636),"Refi Ready",IF(TODAY()-C636&gt;=SETTINGS!$I$11,"Prospecting","Performing")))</f>
        <v/>
      </c>
      <c r="AR636" s="22" t="str">
        <f aca="false">IF(OR(C636="",I636="",K636=""),"",IF(K636="Monthly",EDATE(C636,I636),WORKDAY(C636,I636)))</f>
        <v/>
      </c>
      <c r="AS636" s="11"/>
      <c r="AT636" s="23" t="str">
        <f aca="true">IF(C636="","",IF(AM636="Clawed Back","CLAWED",IF(TODAY()&lt;=C636+SETTINGS!$I$2,"⚠ AT RISK","SAFE")))</f>
        <v/>
      </c>
      <c r="AU636" s="11"/>
      <c r="AW636" s="24" t="n">
        <f aca="false">AW635+IF(AND(C636&lt;&gt;"",AO636&lt;&gt;"",OR('REP COMMISSION'!$B$3="",T636='REP COMMISSION'!$B$3,W636='REP COMMISSION'!$B$3,Z636='REP COMMISSION'!$B$3)),1,0)</f>
        <v>0</v>
      </c>
      <c r="AX636" s="24" t="n">
        <f aca="false">AX635+IF(AND(C636&lt;&gt;"",OR(F636="LOC - INITIAL",F636="CONSOLIDATION - UPFRONT COMM",F636="REVERSE - TOTAL FUNDING")),1,0)</f>
        <v>0</v>
      </c>
    </row>
    <row r="637" customFormat="false" ht="15" hidden="false" customHeight="false" outlineLevel="0" collapsed="false">
      <c r="A637" s="25" t="str">
        <f aca="false">IF(C637&lt;&gt;"","F27-"&amp;COUNT($C$4:C637),"")</f>
        <v/>
      </c>
      <c r="B637" s="26" t="str">
        <f aca="false">IF(OR(F637="LOC - INITIAL",F637="CONSOLIDATION - UPFRONT COMM",F637="REVERSE - TOTAL FUNDING"),A637,"")</f>
        <v/>
      </c>
      <c r="C637" s="27"/>
      <c r="D637" s="28"/>
      <c r="E637" s="28"/>
      <c r="F637" s="28"/>
      <c r="G637" s="29"/>
      <c r="H637" s="30"/>
      <c r="I637" s="28"/>
      <c r="J637" s="31" t="str">
        <f aca="false">IF(AND(G637&lt;&gt;"",H637&lt;&gt;""),G637*H637,"")</f>
        <v/>
      </c>
      <c r="K637" s="28"/>
      <c r="L637" s="32"/>
      <c r="M637" s="32"/>
      <c r="N637" s="31" t="n">
        <f aca="false">IF(OR(G637="",M637=""),0,IF(M637&gt;100,M637,G637*IF(M637&gt;1,M637/100,M637)))</f>
        <v>0</v>
      </c>
      <c r="O637" s="31" t="str">
        <f aca="false">IF(G637="","",G637*IF(L637="",0,IF(L637&gt;1,L637/100,L637))+N637)</f>
        <v/>
      </c>
      <c r="P637" s="28"/>
      <c r="Q637" s="33" t="str">
        <f aca="false">IF(P637="","",IFERROR(VLOOKUP(P637,PARTNERS!$A$2:$B$30,2,0),""))</f>
        <v/>
      </c>
      <c r="R637" s="17" t="str">
        <f aca="false">IF(O637="","",IF(OR(P637="",Q637=""),0,(O637-N637)*IF(Q637&gt;1,Q637/100,Q637)))</f>
        <v/>
      </c>
      <c r="S637" s="31" t="str">
        <f aca="false">IF(O637="","",O637-R637)</f>
        <v/>
      </c>
      <c r="T637" s="28"/>
      <c r="U637" s="34" t="str">
        <f aca="false">IF(T637="","",IFERROR(VLOOKUP(T637,REPS!$A$2:$D$40,2,0),""))</f>
        <v/>
      </c>
      <c r="V637" s="31" t="str">
        <f aca="false">IF(O637="","",IF(U637="",0,O637*IF(U637&gt;1,U637/100,U637)))</f>
        <v/>
      </c>
      <c r="W637" s="28"/>
      <c r="X637" s="34" t="str">
        <f aca="false">IF(W637="","",IFERROR(VLOOKUP(W637,REPS!$A$2:$D$40,3,0),""))</f>
        <v/>
      </c>
      <c r="Y637" s="31" t="str">
        <f aca="false">IF(O637="","",IF(X637="",0,O637*IF(X637&gt;1,X637/100,X637)))</f>
        <v/>
      </c>
      <c r="Z637" s="28"/>
      <c r="AA637" s="34" t="str">
        <f aca="false">IF(Z637="","",IFERROR(VLOOKUP(Z637,REPS!$A$2:$D$40,4,0),""))</f>
        <v/>
      </c>
      <c r="AB637" s="31" t="str">
        <f aca="false">IF(O637="","",IF(AA637="",0,O637*IF(AA637&gt;1,AA637/100,AA637)))</f>
        <v/>
      </c>
      <c r="AC637" s="31" t="str">
        <f aca="false">IF(O637="","",V637+Y637+AB637)</f>
        <v/>
      </c>
      <c r="AD637" s="19" t="str">
        <f aca="false">IF(O637="","",O637-R637-AC637)</f>
        <v/>
      </c>
      <c r="AE637" s="20"/>
      <c r="AF637" s="27"/>
      <c r="AG637" s="21" t="n">
        <f aca="false">IF(OR(AE637="",AE637=0),0,AE637*IF(U637="",0,IF(U637&gt;1,U637/100,U637)))</f>
        <v>0</v>
      </c>
      <c r="AH637" s="21" t="n">
        <f aca="false">IF(OR(AE637="",AE637=0),0,AE637*IF(X637="",0,IF(X637&gt;1,X637/100,X637)))</f>
        <v>0</v>
      </c>
      <c r="AI637" s="21" t="n">
        <f aca="false">IF(OR(AE637="",AE637=0),0,AE637*IF(AA637="",0,IF(AA637&gt;1,AA637/100,AA637)))</f>
        <v>0</v>
      </c>
      <c r="AJ637" s="21" t="n">
        <f aca="false">AG637+AH637+AI637</f>
        <v>0</v>
      </c>
      <c r="AK637" s="21" t="n">
        <f aca="false">IF(OR(AE637="",AE637=0),0,AE637-AJ637)</f>
        <v>0</v>
      </c>
      <c r="AL637" s="19" t="str">
        <f aca="false">IF(AD637="","",AD637-AK637)</f>
        <v/>
      </c>
      <c r="AM637" s="26" t="str">
        <f aca="false">IF(C637="","","Waiting for payment")</f>
        <v/>
      </c>
      <c r="AN637" s="27"/>
      <c r="AO637" s="27"/>
      <c r="AP637" s="35" t="str">
        <f aca="false">IF(OR(C637="",I637="",K637=""),"",IF(K637="Monthly",EDATE(C637,ROUND(I637*SETTINGS!$I$8,0)),WORKDAY(C637,ROUND(I637*SETTINGS!$I$8,0))))</f>
        <v/>
      </c>
      <c r="AQ637" s="26" t="str">
        <f aca="true">IF(C637="","",IF(AND(AP637&lt;&gt;"",TODAY()&gt;=AP637),"Refi Ready",IF(TODAY()-C637&gt;=SETTINGS!$I$11,"Prospecting","Performing")))</f>
        <v/>
      </c>
      <c r="AR637" s="35" t="str">
        <f aca="false">IF(OR(C637="",I637="",K637=""),"",IF(K637="Monthly",EDATE(C637,I637),WORKDAY(C637,I637)))</f>
        <v/>
      </c>
      <c r="AS637" s="28"/>
      <c r="AT637" s="36" t="str">
        <f aca="true">IF(C637="","",IF(AM637="Clawed Back","CLAWED",IF(TODAY()&lt;=C637+SETTINGS!$I$2,"⚠ AT RISK","SAFE")))</f>
        <v/>
      </c>
      <c r="AU637" s="28"/>
      <c r="AW637" s="24" t="n">
        <f aca="false">AW636+IF(AND(C637&lt;&gt;"",AO637&lt;&gt;"",OR('REP COMMISSION'!$B$3="",T637='REP COMMISSION'!$B$3,W637='REP COMMISSION'!$B$3,Z637='REP COMMISSION'!$B$3)),1,0)</f>
        <v>0</v>
      </c>
      <c r="AX637" s="24" t="n">
        <f aca="false">AX636+IF(AND(C637&lt;&gt;"",OR(F637="LOC - INITIAL",F637="CONSOLIDATION - UPFRONT COMM",F637="REVERSE - TOTAL FUNDING")),1,0)</f>
        <v>0</v>
      </c>
    </row>
    <row r="638" customFormat="false" ht="15" hidden="false" customHeight="false" outlineLevel="0" collapsed="false">
      <c r="A638" s="8" t="str">
        <f aca="false">IF(C638&lt;&gt;"","F27-"&amp;COUNT($C$4:C638),"")</f>
        <v/>
      </c>
      <c r="B638" s="9" t="str">
        <f aca="false">IF(OR(F638="LOC - INITIAL",F638="CONSOLIDATION - UPFRONT COMM",F638="REVERSE - TOTAL FUNDING"),A638,"")</f>
        <v/>
      </c>
      <c r="C638" s="10"/>
      <c r="D638" s="11"/>
      <c r="E638" s="11"/>
      <c r="F638" s="11"/>
      <c r="G638" s="12"/>
      <c r="H638" s="13"/>
      <c r="I638" s="11"/>
      <c r="J638" s="14" t="str">
        <f aca="false">IF(AND(G638&lt;&gt;"",H638&lt;&gt;""),G638*H638,"")</f>
        <v/>
      </c>
      <c r="K638" s="11"/>
      <c r="L638" s="15"/>
      <c r="M638" s="15"/>
      <c r="N638" s="14" t="n">
        <f aca="false">IF(OR(G638="",M638=""),0,IF(M638&gt;100,M638,G638*IF(M638&gt;1,M638/100,M638)))</f>
        <v>0</v>
      </c>
      <c r="O638" s="14" t="str">
        <f aca="false">IF(G638="","",G638*IF(L638="",0,IF(L638&gt;1,L638/100,L638))+N638)</f>
        <v/>
      </c>
      <c r="P638" s="11"/>
      <c r="Q638" s="16" t="str">
        <f aca="false">IF(P638="","",IFERROR(VLOOKUP(P638,PARTNERS!$A$2:$B$30,2,0),""))</f>
        <v/>
      </c>
      <c r="R638" s="17" t="str">
        <f aca="false">IF(O638="","",IF(OR(P638="",Q638=""),0,(O638-N638)*IF(Q638&gt;1,Q638/100,Q638)))</f>
        <v/>
      </c>
      <c r="S638" s="14" t="str">
        <f aca="false">IF(O638="","",O638-R638)</f>
        <v/>
      </c>
      <c r="T638" s="11"/>
      <c r="U638" s="18" t="str">
        <f aca="false">IF(T638="","",IFERROR(VLOOKUP(T638,REPS!$A$2:$D$40,2,0),""))</f>
        <v/>
      </c>
      <c r="V638" s="14" t="str">
        <f aca="false">IF(O638="","",IF(U638="",0,O638*IF(U638&gt;1,U638/100,U638)))</f>
        <v/>
      </c>
      <c r="W638" s="11"/>
      <c r="X638" s="18" t="str">
        <f aca="false">IF(W638="","",IFERROR(VLOOKUP(W638,REPS!$A$2:$D$40,3,0),""))</f>
        <v/>
      </c>
      <c r="Y638" s="14" t="str">
        <f aca="false">IF(O638="","",IF(X638="",0,O638*IF(X638&gt;1,X638/100,X638)))</f>
        <v/>
      </c>
      <c r="Z638" s="11"/>
      <c r="AA638" s="18" t="str">
        <f aca="false">IF(Z638="","",IFERROR(VLOOKUP(Z638,REPS!$A$2:$D$40,4,0),""))</f>
        <v/>
      </c>
      <c r="AB638" s="14" t="str">
        <f aca="false">IF(O638="","",IF(AA638="",0,O638*IF(AA638&gt;1,AA638/100,AA638)))</f>
        <v/>
      </c>
      <c r="AC638" s="14" t="str">
        <f aca="false">IF(O638="","",V638+Y638+AB638)</f>
        <v/>
      </c>
      <c r="AD638" s="19" t="str">
        <f aca="false">IF(O638="","",O638-R638-AC638)</f>
        <v/>
      </c>
      <c r="AE638" s="20"/>
      <c r="AF638" s="10"/>
      <c r="AG638" s="21" t="n">
        <f aca="false">IF(OR(AE638="",AE638=0),0,AE638*IF(U638="",0,IF(U638&gt;1,U638/100,U638)))</f>
        <v>0</v>
      </c>
      <c r="AH638" s="21" t="n">
        <f aca="false">IF(OR(AE638="",AE638=0),0,AE638*IF(X638="",0,IF(X638&gt;1,X638/100,X638)))</f>
        <v>0</v>
      </c>
      <c r="AI638" s="21" t="n">
        <f aca="false">IF(OR(AE638="",AE638=0),0,AE638*IF(AA638="",0,IF(AA638&gt;1,AA638/100,AA638)))</f>
        <v>0</v>
      </c>
      <c r="AJ638" s="21" t="n">
        <f aca="false">AG638+AH638+AI638</f>
        <v>0</v>
      </c>
      <c r="AK638" s="21" t="n">
        <f aca="false">IF(OR(AE638="",AE638=0),0,AE638-AJ638)</f>
        <v>0</v>
      </c>
      <c r="AL638" s="19" t="str">
        <f aca="false">IF(AD638="","",AD638-AK638)</f>
        <v/>
      </c>
      <c r="AM638" s="9" t="str">
        <f aca="false">IF(C638="","","Waiting for payment")</f>
        <v/>
      </c>
      <c r="AN638" s="10"/>
      <c r="AO638" s="10"/>
      <c r="AP638" s="22" t="str">
        <f aca="false">IF(OR(C638="",I638="",K638=""),"",IF(K638="Monthly",EDATE(C638,ROUND(I638*SETTINGS!$I$8,0)),WORKDAY(C638,ROUND(I638*SETTINGS!$I$8,0))))</f>
        <v/>
      </c>
      <c r="AQ638" s="9" t="str">
        <f aca="true">IF(C638="","",IF(AND(AP638&lt;&gt;"",TODAY()&gt;=AP638),"Refi Ready",IF(TODAY()-C638&gt;=SETTINGS!$I$11,"Prospecting","Performing")))</f>
        <v/>
      </c>
      <c r="AR638" s="22" t="str">
        <f aca="false">IF(OR(C638="",I638="",K638=""),"",IF(K638="Monthly",EDATE(C638,I638),WORKDAY(C638,I638)))</f>
        <v/>
      </c>
      <c r="AS638" s="11"/>
      <c r="AT638" s="23" t="str">
        <f aca="true">IF(C638="","",IF(AM638="Clawed Back","CLAWED",IF(TODAY()&lt;=C638+SETTINGS!$I$2,"⚠ AT RISK","SAFE")))</f>
        <v/>
      </c>
      <c r="AU638" s="11"/>
      <c r="AW638" s="24" t="n">
        <f aca="false">AW637+IF(AND(C638&lt;&gt;"",AO638&lt;&gt;"",OR('REP COMMISSION'!$B$3="",T638='REP COMMISSION'!$B$3,W638='REP COMMISSION'!$B$3,Z638='REP COMMISSION'!$B$3)),1,0)</f>
        <v>0</v>
      </c>
      <c r="AX638" s="24" t="n">
        <f aca="false">AX637+IF(AND(C638&lt;&gt;"",OR(F638="LOC - INITIAL",F638="CONSOLIDATION - UPFRONT COMM",F638="REVERSE - TOTAL FUNDING")),1,0)</f>
        <v>0</v>
      </c>
    </row>
    <row r="639" customFormat="false" ht="15" hidden="false" customHeight="false" outlineLevel="0" collapsed="false">
      <c r="A639" s="25" t="str">
        <f aca="false">IF(C639&lt;&gt;"","F27-"&amp;COUNT($C$4:C639),"")</f>
        <v/>
      </c>
      <c r="B639" s="26" t="str">
        <f aca="false">IF(OR(F639="LOC - INITIAL",F639="CONSOLIDATION - UPFRONT COMM",F639="REVERSE - TOTAL FUNDING"),A639,"")</f>
        <v/>
      </c>
      <c r="C639" s="27"/>
      <c r="D639" s="28"/>
      <c r="E639" s="28"/>
      <c r="F639" s="28"/>
      <c r="G639" s="29"/>
      <c r="H639" s="30"/>
      <c r="I639" s="28"/>
      <c r="J639" s="31" t="str">
        <f aca="false">IF(AND(G639&lt;&gt;"",H639&lt;&gt;""),G639*H639,"")</f>
        <v/>
      </c>
      <c r="K639" s="28"/>
      <c r="L639" s="32"/>
      <c r="M639" s="32"/>
      <c r="N639" s="31" t="n">
        <f aca="false">IF(OR(G639="",M639=""),0,IF(M639&gt;100,M639,G639*IF(M639&gt;1,M639/100,M639)))</f>
        <v>0</v>
      </c>
      <c r="O639" s="31" t="str">
        <f aca="false">IF(G639="","",G639*IF(L639="",0,IF(L639&gt;1,L639/100,L639))+N639)</f>
        <v/>
      </c>
      <c r="P639" s="28"/>
      <c r="Q639" s="33" t="str">
        <f aca="false">IF(P639="","",IFERROR(VLOOKUP(P639,PARTNERS!$A$2:$B$30,2,0),""))</f>
        <v/>
      </c>
      <c r="R639" s="17" t="str">
        <f aca="false">IF(O639="","",IF(OR(P639="",Q639=""),0,(O639-N639)*IF(Q639&gt;1,Q639/100,Q639)))</f>
        <v/>
      </c>
      <c r="S639" s="31" t="str">
        <f aca="false">IF(O639="","",O639-R639)</f>
        <v/>
      </c>
      <c r="T639" s="28"/>
      <c r="U639" s="34" t="str">
        <f aca="false">IF(T639="","",IFERROR(VLOOKUP(T639,REPS!$A$2:$D$40,2,0),""))</f>
        <v/>
      </c>
      <c r="V639" s="31" t="str">
        <f aca="false">IF(O639="","",IF(U639="",0,O639*IF(U639&gt;1,U639/100,U639)))</f>
        <v/>
      </c>
      <c r="W639" s="28"/>
      <c r="X639" s="34" t="str">
        <f aca="false">IF(W639="","",IFERROR(VLOOKUP(W639,REPS!$A$2:$D$40,3,0),""))</f>
        <v/>
      </c>
      <c r="Y639" s="31" t="str">
        <f aca="false">IF(O639="","",IF(X639="",0,O639*IF(X639&gt;1,X639/100,X639)))</f>
        <v/>
      </c>
      <c r="Z639" s="28"/>
      <c r="AA639" s="34" t="str">
        <f aca="false">IF(Z639="","",IFERROR(VLOOKUP(Z639,REPS!$A$2:$D$40,4,0),""))</f>
        <v/>
      </c>
      <c r="AB639" s="31" t="str">
        <f aca="false">IF(O639="","",IF(AA639="",0,O639*IF(AA639&gt;1,AA639/100,AA639)))</f>
        <v/>
      </c>
      <c r="AC639" s="31" t="str">
        <f aca="false">IF(O639="","",V639+Y639+AB639)</f>
        <v/>
      </c>
      <c r="AD639" s="19" t="str">
        <f aca="false">IF(O639="","",O639-R639-AC639)</f>
        <v/>
      </c>
      <c r="AE639" s="20"/>
      <c r="AF639" s="27"/>
      <c r="AG639" s="21" t="n">
        <f aca="false">IF(OR(AE639="",AE639=0),0,AE639*IF(U639="",0,IF(U639&gt;1,U639/100,U639)))</f>
        <v>0</v>
      </c>
      <c r="AH639" s="21" t="n">
        <f aca="false">IF(OR(AE639="",AE639=0),0,AE639*IF(X639="",0,IF(X639&gt;1,X639/100,X639)))</f>
        <v>0</v>
      </c>
      <c r="AI639" s="21" t="n">
        <f aca="false">IF(OR(AE639="",AE639=0),0,AE639*IF(AA639="",0,IF(AA639&gt;1,AA639/100,AA639)))</f>
        <v>0</v>
      </c>
      <c r="AJ639" s="21" t="n">
        <f aca="false">AG639+AH639+AI639</f>
        <v>0</v>
      </c>
      <c r="AK639" s="21" t="n">
        <f aca="false">IF(OR(AE639="",AE639=0),0,AE639-AJ639)</f>
        <v>0</v>
      </c>
      <c r="AL639" s="19" t="str">
        <f aca="false">IF(AD639="","",AD639-AK639)</f>
        <v/>
      </c>
      <c r="AM639" s="26" t="str">
        <f aca="false">IF(C639="","","Waiting for payment")</f>
        <v/>
      </c>
      <c r="AN639" s="27"/>
      <c r="AO639" s="27"/>
      <c r="AP639" s="35" t="str">
        <f aca="false">IF(OR(C639="",I639="",K639=""),"",IF(K639="Monthly",EDATE(C639,ROUND(I639*SETTINGS!$I$8,0)),WORKDAY(C639,ROUND(I639*SETTINGS!$I$8,0))))</f>
        <v/>
      </c>
      <c r="AQ639" s="26" t="str">
        <f aca="true">IF(C639="","",IF(AND(AP639&lt;&gt;"",TODAY()&gt;=AP639),"Refi Ready",IF(TODAY()-C639&gt;=SETTINGS!$I$11,"Prospecting","Performing")))</f>
        <v/>
      </c>
      <c r="AR639" s="35" t="str">
        <f aca="false">IF(OR(C639="",I639="",K639=""),"",IF(K639="Monthly",EDATE(C639,I639),WORKDAY(C639,I639)))</f>
        <v/>
      </c>
      <c r="AS639" s="28"/>
      <c r="AT639" s="36" t="str">
        <f aca="true">IF(C639="","",IF(AM639="Clawed Back","CLAWED",IF(TODAY()&lt;=C639+SETTINGS!$I$2,"⚠ AT RISK","SAFE")))</f>
        <v/>
      </c>
      <c r="AU639" s="28"/>
      <c r="AW639" s="24" t="n">
        <f aca="false">AW638+IF(AND(C639&lt;&gt;"",AO639&lt;&gt;"",OR('REP COMMISSION'!$B$3="",T639='REP COMMISSION'!$B$3,W639='REP COMMISSION'!$B$3,Z639='REP COMMISSION'!$B$3)),1,0)</f>
        <v>0</v>
      </c>
      <c r="AX639" s="24" t="n">
        <f aca="false">AX638+IF(AND(C639&lt;&gt;"",OR(F639="LOC - INITIAL",F639="CONSOLIDATION - UPFRONT COMM",F639="REVERSE - TOTAL FUNDING")),1,0)</f>
        <v>0</v>
      </c>
    </row>
    <row r="640" customFormat="false" ht="15" hidden="false" customHeight="false" outlineLevel="0" collapsed="false">
      <c r="A640" s="8" t="str">
        <f aca="false">IF(C640&lt;&gt;"","F27-"&amp;COUNT($C$4:C640),"")</f>
        <v/>
      </c>
      <c r="B640" s="9" t="str">
        <f aca="false">IF(OR(F640="LOC - INITIAL",F640="CONSOLIDATION - UPFRONT COMM",F640="REVERSE - TOTAL FUNDING"),A640,"")</f>
        <v/>
      </c>
      <c r="C640" s="10"/>
      <c r="D640" s="11"/>
      <c r="E640" s="11"/>
      <c r="F640" s="11"/>
      <c r="G640" s="12"/>
      <c r="H640" s="13"/>
      <c r="I640" s="11"/>
      <c r="J640" s="14" t="str">
        <f aca="false">IF(AND(G640&lt;&gt;"",H640&lt;&gt;""),G640*H640,"")</f>
        <v/>
      </c>
      <c r="K640" s="11"/>
      <c r="L640" s="15"/>
      <c r="M640" s="15"/>
      <c r="N640" s="14" t="n">
        <f aca="false">IF(OR(G640="",M640=""),0,IF(M640&gt;100,M640,G640*IF(M640&gt;1,M640/100,M640)))</f>
        <v>0</v>
      </c>
      <c r="O640" s="14" t="str">
        <f aca="false">IF(G640="","",G640*IF(L640="",0,IF(L640&gt;1,L640/100,L640))+N640)</f>
        <v/>
      </c>
      <c r="P640" s="11"/>
      <c r="Q640" s="16" t="str">
        <f aca="false">IF(P640="","",IFERROR(VLOOKUP(P640,PARTNERS!$A$2:$B$30,2,0),""))</f>
        <v/>
      </c>
      <c r="R640" s="17" t="str">
        <f aca="false">IF(O640="","",IF(OR(P640="",Q640=""),0,(O640-N640)*IF(Q640&gt;1,Q640/100,Q640)))</f>
        <v/>
      </c>
      <c r="S640" s="14" t="str">
        <f aca="false">IF(O640="","",O640-R640)</f>
        <v/>
      </c>
      <c r="T640" s="11"/>
      <c r="U640" s="18" t="str">
        <f aca="false">IF(T640="","",IFERROR(VLOOKUP(T640,REPS!$A$2:$D$40,2,0),""))</f>
        <v/>
      </c>
      <c r="V640" s="14" t="str">
        <f aca="false">IF(O640="","",IF(U640="",0,O640*IF(U640&gt;1,U640/100,U640)))</f>
        <v/>
      </c>
      <c r="W640" s="11"/>
      <c r="X640" s="18" t="str">
        <f aca="false">IF(W640="","",IFERROR(VLOOKUP(W640,REPS!$A$2:$D$40,3,0),""))</f>
        <v/>
      </c>
      <c r="Y640" s="14" t="str">
        <f aca="false">IF(O640="","",IF(X640="",0,O640*IF(X640&gt;1,X640/100,X640)))</f>
        <v/>
      </c>
      <c r="Z640" s="11"/>
      <c r="AA640" s="18" t="str">
        <f aca="false">IF(Z640="","",IFERROR(VLOOKUP(Z640,REPS!$A$2:$D$40,4,0),""))</f>
        <v/>
      </c>
      <c r="AB640" s="14" t="str">
        <f aca="false">IF(O640="","",IF(AA640="",0,O640*IF(AA640&gt;1,AA640/100,AA640)))</f>
        <v/>
      </c>
      <c r="AC640" s="14" t="str">
        <f aca="false">IF(O640="","",V640+Y640+AB640)</f>
        <v/>
      </c>
      <c r="AD640" s="19" t="str">
        <f aca="false">IF(O640="","",O640-R640-AC640)</f>
        <v/>
      </c>
      <c r="AE640" s="20"/>
      <c r="AF640" s="10"/>
      <c r="AG640" s="21" t="n">
        <f aca="false">IF(OR(AE640="",AE640=0),0,AE640*IF(U640="",0,IF(U640&gt;1,U640/100,U640)))</f>
        <v>0</v>
      </c>
      <c r="AH640" s="21" t="n">
        <f aca="false">IF(OR(AE640="",AE640=0),0,AE640*IF(X640="",0,IF(X640&gt;1,X640/100,X640)))</f>
        <v>0</v>
      </c>
      <c r="AI640" s="21" t="n">
        <f aca="false">IF(OR(AE640="",AE640=0),0,AE640*IF(AA640="",0,IF(AA640&gt;1,AA640/100,AA640)))</f>
        <v>0</v>
      </c>
      <c r="AJ640" s="21" t="n">
        <f aca="false">AG640+AH640+AI640</f>
        <v>0</v>
      </c>
      <c r="AK640" s="21" t="n">
        <f aca="false">IF(OR(AE640="",AE640=0),0,AE640-AJ640)</f>
        <v>0</v>
      </c>
      <c r="AL640" s="19" t="str">
        <f aca="false">IF(AD640="","",AD640-AK640)</f>
        <v/>
      </c>
      <c r="AM640" s="9" t="str">
        <f aca="false">IF(C640="","","Waiting for payment")</f>
        <v/>
      </c>
      <c r="AN640" s="10"/>
      <c r="AO640" s="10"/>
      <c r="AP640" s="22" t="str">
        <f aca="false">IF(OR(C640="",I640="",K640=""),"",IF(K640="Monthly",EDATE(C640,ROUND(I640*SETTINGS!$I$8,0)),WORKDAY(C640,ROUND(I640*SETTINGS!$I$8,0))))</f>
        <v/>
      </c>
      <c r="AQ640" s="9" t="str">
        <f aca="true">IF(C640="","",IF(AND(AP640&lt;&gt;"",TODAY()&gt;=AP640),"Refi Ready",IF(TODAY()-C640&gt;=SETTINGS!$I$11,"Prospecting","Performing")))</f>
        <v/>
      </c>
      <c r="AR640" s="22" t="str">
        <f aca="false">IF(OR(C640="",I640="",K640=""),"",IF(K640="Monthly",EDATE(C640,I640),WORKDAY(C640,I640)))</f>
        <v/>
      </c>
      <c r="AS640" s="11"/>
      <c r="AT640" s="23" t="str">
        <f aca="true">IF(C640="","",IF(AM640="Clawed Back","CLAWED",IF(TODAY()&lt;=C640+SETTINGS!$I$2,"⚠ AT RISK","SAFE")))</f>
        <v/>
      </c>
      <c r="AU640" s="11"/>
      <c r="AW640" s="24" t="n">
        <f aca="false">AW639+IF(AND(C640&lt;&gt;"",AO640&lt;&gt;"",OR('REP COMMISSION'!$B$3="",T640='REP COMMISSION'!$B$3,W640='REP COMMISSION'!$B$3,Z640='REP COMMISSION'!$B$3)),1,0)</f>
        <v>0</v>
      </c>
      <c r="AX640" s="24" t="n">
        <f aca="false">AX639+IF(AND(C640&lt;&gt;"",OR(F640="LOC - INITIAL",F640="CONSOLIDATION - UPFRONT COMM",F640="REVERSE - TOTAL FUNDING")),1,0)</f>
        <v>0</v>
      </c>
    </row>
    <row r="641" customFormat="false" ht="15" hidden="false" customHeight="false" outlineLevel="0" collapsed="false">
      <c r="A641" s="25" t="str">
        <f aca="false">IF(C641&lt;&gt;"","F27-"&amp;COUNT($C$4:C641),"")</f>
        <v/>
      </c>
      <c r="B641" s="26" t="str">
        <f aca="false">IF(OR(F641="LOC - INITIAL",F641="CONSOLIDATION - UPFRONT COMM",F641="REVERSE - TOTAL FUNDING"),A641,"")</f>
        <v/>
      </c>
      <c r="C641" s="27"/>
      <c r="D641" s="28"/>
      <c r="E641" s="28"/>
      <c r="F641" s="28"/>
      <c r="G641" s="29"/>
      <c r="H641" s="30"/>
      <c r="I641" s="28"/>
      <c r="J641" s="31" t="str">
        <f aca="false">IF(AND(G641&lt;&gt;"",H641&lt;&gt;""),G641*H641,"")</f>
        <v/>
      </c>
      <c r="K641" s="28"/>
      <c r="L641" s="32"/>
      <c r="M641" s="32"/>
      <c r="N641" s="31" t="n">
        <f aca="false">IF(OR(G641="",M641=""),0,IF(M641&gt;100,M641,G641*IF(M641&gt;1,M641/100,M641)))</f>
        <v>0</v>
      </c>
      <c r="O641" s="31" t="str">
        <f aca="false">IF(G641="","",G641*IF(L641="",0,IF(L641&gt;1,L641/100,L641))+N641)</f>
        <v/>
      </c>
      <c r="P641" s="28"/>
      <c r="Q641" s="33" t="str">
        <f aca="false">IF(P641="","",IFERROR(VLOOKUP(P641,PARTNERS!$A$2:$B$30,2,0),""))</f>
        <v/>
      </c>
      <c r="R641" s="17" t="str">
        <f aca="false">IF(O641="","",IF(OR(P641="",Q641=""),0,(O641-N641)*IF(Q641&gt;1,Q641/100,Q641)))</f>
        <v/>
      </c>
      <c r="S641" s="31" t="str">
        <f aca="false">IF(O641="","",O641-R641)</f>
        <v/>
      </c>
      <c r="T641" s="28"/>
      <c r="U641" s="34" t="str">
        <f aca="false">IF(T641="","",IFERROR(VLOOKUP(T641,REPS!$A$2:$D$40,2,0),""))</f>
        <v/>
      </c>
      <c r="V641" s="31" t="str">
        <f aca="false">IF(O641="","",IF(U641="",0,O641*IF(U641&gt;1,U641/100,U641)))</f>
        <v/>
      </c>
      <c r="W641" s="28"/>
      <c r="X641" s="34" t="str">
        <f aca="false">IF(W641="","",IFERROR(VLOOKUP(W641,REPS!$A$2:$D$40,3,0),""))</f>
        <v/>
      </c>
      <c r="Y641" s="31" t="str">
        <f aca="false">IF(O641="","",IF(X641="",0,O641*IF(X641&gt;1,X641/100,X641)))</f>
        <v/>
      </c>
      <c r="Z641" s="28"/>
      <c r="AA641" s="34" t="str">
        <f aca="false">IF(Z641="","",IFERROR(VLOOKUP(Z641,REPS!$A$2:$D$40,4,0),""))</f>
        <v/>
      </c>
      <c r="AB641" s="31" t="str">
        <f aca="false">IF(O641="","",IF(AA641="",0,O641*IF(AA641&gt;1,AA641/100,AA641)))</f>
        <v/>
      </c>
      <c r="AC641" s="31" t="str">
        <f aca="false">IF(O641="","",V641+Y641+AB641)</f>
        <v/>
      </c>
      <c r="AD641" s="19" t="str">
        <f aca="false">IF(O641="","",O641-R641-AC641)</f>
        <v/>
      </c>
      <c r="AE641" s="20"/>
      <c r="AF641" s="27"/>
      <c r="AG641" s="21" t="n">
        <f aca="false">IF(OR(AE641="",AE641=0),0,AE641*IF(U641="",0,IF(U641&gt;1,U641/100,U641)))</f>
        <v>0</v>
      </c>
      <c r="AH641" s="21" t="n">
        <f aca="false">IF(OR(AE641="",AE641=0),0,AE641*IF(X641="",0,IF(X641&gt;1,X641/100,X641)))</f>
        <v>0</v>
      </c>
      <c r="AI641" s="21" t="n">
        <f aca="false">IF(OR(AE641="",AE641=0),0,AE641*IF(AA641="",0,IF(AA641&gt;1,AA641/100,AA641)))</f>
        <v>0</v>
      </c>
      <c r="AJ641" s="21" t="n">
        <f aca="false">AG641+AH641+AI641</f>
        <v>0</v>
      </c>
      <c r="AK641" s="21" t="n">
        <f aca="false">IF(OR(AE641="",AE641=0),0,AE641-AJ641)</f>
        <v>0</v>
      </c>
      <c r="AL641" s="19" t="str">
        <f aca="false">IF(AD641="","",AD641-AK641)</f>
        <v/>
      </c>
      <c r="AM641" s="26" t="str">
        <f aca="false">IF(C641="","","Waiting for payment")</f>
        <v/>
      </c>
      <c r="AN641" s="27"/>
      <c r="AO641" s="27"/>
      <c r="AP641" s="35" t="str">
        <f aca="false">IF(OR(C641="",I641="",K641=""),"",IF(K641="Monthly",EDATE(C641,ROUND(I641*SETTINGS!$I$8,0)),WORKDAY(C641,ROUND(I641*SETTINGS!$I$8,0))))</f>
        <v/>
      </c>
      <c r="AQ641" s="26" t="str">
        <f aca="true">IF(C641="","",IF(AND(AP641&lt;&gt;"",TODAY()&gt;=AP641),"Refi Ready",IF(TODAY()-C641&gt;=SETTINGS!$I$11,"Prospecting","Performing")))</f>
        <v/>
      </c>
      <c r="AR641" s="35" t="str">
        <f aca="false">IF(OR(C641="",I641="",K641=""),"",IF(K641="Monthly",EDATE(C641,I641),WORKDAY(C641,I641)))</f>
        <v/>
      </c>
      <c r="AS641" s="28"/>
      <c r="AT641" s="36" t="str">
        <f aca="true">IF(C641="","",IF(AM641="Clawed Back","CLAWED",IF(TODAY()&lt;=C641+SETTINGS!$I$2,"⚠ AT RISK","SAFE")))</f>
        <v/>
      </c>
      <c r="AU641" s="28"/>
      <c r="AW641" s="24" t="n">
        <f aca="false">AW640+IF(AND(C641&lt;&gt;"",AO641&lt;&gt;"",OR('REP COMMISSION'!$B$3="",T641='REP COMMISSION'!$B$3,W641='REP COMMISSION'!$B$3,Z641='REP COMMISSION'!$B$3)),1,0)</f>
        <v>0</v>
      </c>
      <c r="AX641" s="24" t="n">
        <f aca="false">AX640+IF(AND(C641&lt;&gt;"",OR(F641="LOC - INITIAL",F641="CONSOLIDATION - UPFRONT COMM",F641="REVERSE - TOTAL FUNDING")),1,0)</f>
        <v>0</v>
      </c>
    </row>
    <row r="642" customFormat="false" ht="15" hidden="false" customHeight="false" outlineLevel="0" collapsed="false">
      <c r="A642" s="8" t="str">
        <f aca="false">IF(C642&lt;&gt;"","F27-"&amp;COUNT($C$4:C642),"")</f>
        <v/>
      </c>
      <c r="B642" s="9" t="str">
        <f aca="false">IF(OR(F642="LOC - INITIAL",F642="CONSOLIDATION - UPFRONT COMM",F642="REVERSE - TOTAL FUNDING"),A642,"")</f>
        <v/>
      </c>
      <c r="C642" s="10"/>
      <c r="D642" s="11"/>
      <c r="E642" s="11"/>
      <c r="F642" s="11"/>
      <c r="G642" s="12"/>
      <c r="H642" s="13"/>
      <c r="I642" s="11"/>
      <c r="J642" s="14" t="str">
        <f aca="false">IF(AND(G642&lt;&gt;"",H642&lt;&gt;""),G642*H642,"")</f>
        <v/>
      </c>
      <c r="K642" s="11"/>
      <c r="L642" s="15"/>
      <c r="M642" s="15"/>
      <c r="N642" s="14" t="n">
        <f aca="false">IF(OR(G642="",M642=""),0,IF(M642&gt;100,M642,G642*IF(M642&gt;1,M642/100,M642)))</f>
        <v>0</v>
      </c>
      <c r="O642" s="14" t="str">
        <f aca="false">IF(G642="","",G642*IF(L642="",0,IF(L642&gt;1,L642/100,L642))+N642)</f>
        <v/>
      </c>
      <c r="P642" s="11"/>
      <c r="Q642" s="16" t="str">
        <f aca="false">IF(P642="","",IFERROR(VLOOKUP(P642,PARTNERS!$A$2:$B$30,2,0),""))</f>
        <v/>
      </c>
      <c r="R642" s="17" t="str">
        <f aca="false">IF(O642="","",IF(OR(P642="",Q642=""),0,(O642-N642)*IF(Q642&gt;1,Q642/100,Q642)))</f>
        <v/>
      </c>
      <c r="S642" s="14" t="str">
        <f aca="false">IF(O642="","",O642-R642)</f>
        <v/>
      </c>
      <c r="T642" s="11"/>
      <c r="U642" s="18" t="str">
        <f aca="false">IF(T642="","",IFERROR(VLOOKUP(T642,REPS!$A$2:$D$40,2,0),""))</f>
        <v/>
      </c>
      <c r="V642" s="14" t="str">
        <f aca="false">IF(O642="","",IF(U642="",0,O642*IF(U642&gt;1,U642/100,U642)))</f>
        <v/>
      </c>
      <c r="W642" s="11"/>
      <c r="X642" s="18" t="str">
        <f aca="false">IF(W642="","",IFERROR(VLOOKUP(W642,REPS!$A$2:$D$40,3,0),""))</f>
        <v/>
      </c>
      <c r="Y642" s="14" t="str">
        <f aca="false">IF(O642="","",IF(X642="",0,O642*IF(X642&gt;1,X642/100,X642)))</f>
        <v/>
      </c>
      <c r="Z642" s="11"/>
      <c r="AA642" s="18" t="str">
        <f aca="false">IF(Z642="","",IFERROR(VLOOKUP(Z642,REPS!$A$2:$D$40,4,0),""))</f>
        <v/>
      </c>
      <c r="AB642" s="14" t="str">
        <f aca="false">IF(O642="","",IF(AA642="",0,O642*IF(AA642&gt;1,AA642/100,AA642)))</f>
        <v/>
      </c>
      <c r="AC642" s="14" t="str">
        <f aca="false">IF(O642="","",V642+Y642+AB642)</f>
        <v/>
      </c>
      <c r="AD642" s="19" t="str">
        <f aca="false">IF(O642="","",O642-R642-AC642)</f>
        <v/>
      </c>
      <c r="AE642" s="20"/>
      <c r="AF642" s="10"/>
      <c r="AG642" s="21" t="n">
        <f aca="false">IF(OR(AE642="",AE642=0),0,AE642*IF(U642="",0,IF(U642&gt;1,U642/100,U642)))</f>
        <v>0</v>
      </c>
      <c r="AH642" s="21" t="n">
        <f aca="false">IF(OR(AE642="",AE642=0),0,AE642*IF(X642="",0,IF(X642&gt;1,X642/100,X642)))</f>
        <v>0</v>
      </c>
      <c r="AI642" s="21" t="n">
        <f aca="false">IF(OR(AE642="",AE642=0),0,AE642*IF(AA642="",0,IF(AA642&gt;1,AA642/100,AA642)))</f>
        <v>0</v>
      </c>
      <c r="AJ642" s="21" t="n">
        <f aca="false">AG642+AH642+AI642</f>
        <v>0</v>
      </c>
      <c r="AK642" s="21" t="n">
        <f aca="false">IF(OR(AE642="",AE642=0),0,AE642-AJ642)</f>
        <v>0</v>
      </c>
      <c r="AL642" s="19" t="str">
        <f aca="false">IF(AD642="","",AD642-AK642)</f>
        <v/>
      </c>
      <c r="AM642" s="9" t="str">
        <f aca="false">IF(C642="","","Waiting for payment")</f>
        <v/>
      </c>
      <c r="AN642" s="10"/>
      <c r="AO642" s="10"/>
      <c r="AP642" s="22" t="str">
        <f aca="false">IF(OR(C642="",I642="",K642=""),"",IF(K642="Monthly",EDATE(C642,ROUND(I642*SETTINGS!$I$8,0)),WORKDAY(C642,ROUND(I642*SETTINGS!$I$8,0))))</f>
        <v/>
      </c>
      <c r="AQ642" s="9" t="str">
        <f aca="true">IF(C642="","",IF(AND(AP642&lt;&gt;"",TODAY()&gt;=AP642),"Refi Ready",IF(TODAY()-C642&gt;=SETTINGS!$I$11,"Prospecting","Performing")))</f>
        <v/>
      </c>
      <c r="AR642" s="22" t="str">
        <f aca="false">IF(OR(C642="",I642="",K642=""),"",IF(K642="Monthly",EDATE(C642,I642),WORKDAY(C642,I642)))</f>
        <v/>
      </c>
      <c r="AS642" s="11"/>
      <c r="AT642" s="23" t="str">
        <f aca="true">IF(C642="","",IF(AM642="Clawed Back","CLAWED",IF(TODAY()&lt;=C642+SETTINGS!$I$2,"⚠ AT RISK","SAFE")))</f>
        <v/>
      </c>
      <c r="AU642" s="11"/>
      <c r="AW642" s="24" t="n">
        <f aca="false">AW641+IF(AND(C642&lt;&gt;"",AO642&lt;&gt;"",OR('REP COMMISSION'!$B$3="",T642='REP COMMISSION'!$B$3,W642='REP COMMISSION'!$B$3,Z642='REP COMMISSION'!$B$3)),1,0)</f>
        <v>0</v>
      </c>
      <c r="AX642" s="24" t="n">
        <f aca="false">AX641+IF(AND(C642&lt;&gt;"",OR(F642="LOC - INITIAL",F642="CONSOLIDATION - UPFRONT COMM",F642="REVERSE - TOTAL FUNDING")),1,0)</f>
        <v>0</v>
      </c>
    </row>
    <row r="643" customFormat="false" ht="15" hidden="false" customHeight="false" outlineLevel="0" collapsed="false">
      <c r="A643" s="25" t="str">
        <f aca="false">IF(C643&lt;&gt;"","F27-"&amp;COUNT($C$4:C643),"")</f>
        <v/>
      </c>
      <c r="B643" s="26" t="str">
        <f aca="false">IF(OR(F643="LOC - INITIAL",F643="CONSOLIDATION - UPFRONT COMM",F643="REVERSE - TOTAL FUNDING"),A643,"")</f>
        <v/>
      </c>
      <c r="C643" s="27"/>
      <c r="D643" s="28"/>
      <c r="E643" s="28"/>
      <c r="F643" s="28"/>
      <c r="G643" s="29"/>
      <c r="H643" s="30"/>
      <c r="I643" s="28"/>
      <c r="J643" s="31" t="str">
        <f aca="false">IF(AND(G643&lt;&gt;"",H643&lt;&gt;""),G643*H643,"")</f>
        <v/>
      </c>
      <c r="K643" s="28"/>
      <c r="L643" s="32"/>
      <c r="M643" s="32"/>
      <c r="N643" s="31" t="n">
        <f aca="false">IF(OR(G643="",M643=""),0,IF(M643&gt;100,M643,G643*IF(M643&gt;1,M643/100,M643)))</f>
        <v>0</v>
      </c>
      <c r="O643" s="31" t="str">
        <f aca="false">IF(G643="","",G643*IF(L643="",0,IF(L643&gt;1,L643/100,L643))+N643)</f>
        <v/>
      </c>
      <c r="P643" s="28"/>
      <c r="Q643" s="33" t="str">
        <f aca="false">IF(P643="","",IFERROR(VLOOKUP(P643,PARTNERS!$A$2:$B$30,2,0),""))</f>
        <v/>
      </c>
      <c r="R643" s="17" t="str">
        <f aca="false">IF(O643="","",IF(OR(P643="",Q643=""),0,(O643-N643)*IF(Q643&gt;1,Q643/100,Q643)))</f>
        <v/>
      </c>
      <c r="S643" s="31" t="str">
        <f aca="false">IF(O643="","",O643-R643)</f>
        <v/>
      </c>
      <c r="T643" s="28"/>
      <c r="U643" s="34" t="str">
        <f aca="false">IF(T643="","",IFERROR(VLOOKUP(T643,REPS!$A$2:$D$40,2,0),""))</f>
        <v/>
      </c>
      <c r="V643" s="31" t="str">
        <f aca="false">IF(O643="","",IF(U643="",0,O643*IF(U643&gt;1,U643/100,U643)))</f>
        <v/>
      </c>
      <c r="W643" s="28"/>
      <c r="X643" s="34" t="str">
        <f aca="false">IF(W643="","",IFERROR(VLOOKUP(W643,REPS!$A$2:$D$40,3,0),""))</f>
        <v/>
      </c>
      <c r="Y643" s="31" t="str">
        <f aca="false">IF(O643="","",IF(X643="",0,O643*IF(X643&gt;1,X643/100,X643)))</f>
        <v/>
      </c>
      <c r="Z643" s="28"/>
      <c r="AA643" s="34" t="str">
        <f aca="false">IF(Z643="","",IFERROR(VLOOKUP(Z643,REPS!$A$2:$D$40,4,0),""))</f>
        <v/>
      </c>
      <c r="AB643" s="31" t="str">
        <f aca="false">IF(O643="","",IF(AA643="",0,O643*IF(AA643&gt;1,AA643/100,AA643)))</f>
        <v/>
      </c>
      <c r="AC643" s="31" t="str">
        <f aca="false">IF(O643="","",V643+Y643+AB643)</f>
        <v/>
      </c>
      <c r="AD643" s="19" t="str">
        <f aca="false">IF(O643="","",O643-R643-AC643)</f>
        <v/>
      </c>
      <c r="AE643" s="20"/>
      <c r="AF643" s="27"/>
      <c r="AG643" s="21" t="n">
        <f aca="false">IF(OR(AE643="",AE643=0),0,AE643*IF(U643="",0,IF(U643&gt;1,U643/100,U643)))</f>
        <v>0</v>
      </c>
      <c r="AH643" s="21" t="n">
        <f aca="false">IF(OR(AE643="",AE643=0),0,AE643*IF(X643="",0,IF(X643&gt;1,X643/100,X643)))</f>
        <v>0</v>
      </c>
      <c r="AI643" s="21" t="n">
        <f aca="false">IF(OR(AE643="",AE643=0),0,AE643*IF(AA643="",0,IF(AA643&gt;1,AA643/100,AA643)))</f>
        <v>0</v>
      </c>
      <c r="AJ643" s="21" t="n">
        <f aca="false">AG643+AH643+AI643</f>
        <v>0</v>
      </c>
      <c r="AK643" s="21" t="n">
        <f aca="false">IF(OR(AE643="",AE643=0),0,AE643-AJ643)</f>
        <v>0</v>
      </c>
      <c r="AL643" s="19" t="str">
        <f aca="false">IF(AD643="","",AD643-AK643)</f>
        <v/>
      </c>
      <c r="AM643" s="26" t="str">
        <f aca="false">IF(C643="","","Waiting for payment")</f>
        <v/>
      </c>
      <c r="AN643" s="27"/>
      <c r="AO643" s="27"/>
      <c r="AP643" s="35" t="str">
        <f aca="false">IF(OR(C643="",I643="",K643=""),"",IF(K643="Monthly",EDATE(C643,ROUND(I643*SETTINGS!$I$8,0)),WORKDAY(C643,ROUND(I643*SETTINGS!$I$8,0))))</f>
        <v/>
      </c>
      <c r="AQ643" s="26" t="str">
        <f aca="true">IF(C643="","",IF(AND(AP643&lt;&gt;"",TODAY()&gt;=AP643),"Refi Ready",IF(TODAY()-C643&gt;=SETTINGS!$I$11,"Prospecting","Performing")))</f>
        <v/>
      </c>
      <c r="AR643" s="35" t="str">
        <f aca="false">IF(OR(C643="",I643="",K643=""),"",IF(K643="Monthly",EDATE(C643,I643),WORKDAY(C643,I643)))</f>
        <v/>
      </c>
      <c r="AS643" s="28"/>
      <c r="AT643" s="36" t="str">
        <f aca="true">IF(C643="","",IF(AM643="Clawed Back","CLAWED",IF(TODAY()&lt;=C643+SETTINGS!$I$2,"⚠ AT RISK","SAFE")))</f>
        <v/>
      </c>
      <c r="AU643" s="28"/>
      <c r="AW643" s="24" t="n">
        <f aca="false">AW642+IF(AND(C643&lt;&gt;"",AO643&lt;&gt;"",OR('REP COMMISSION'!$B$3="",T643='REP COMMISSION'!$B$3,W643='REP COMMISSION'!$B$3,Z643='REP COMMISSION'!$B$3)),1,0)</f>
        <v>0</v>
      </c>
      <c r="AX643" s="24" t="n">
        <f aca="false">AX642+IF(AND(C643&lt;&gt;"",OR(F643="LOC - INITIAL",F643="CONSOLIDATION - UPFRONT COMM",F643="REVERSE - TOTAL FUNDING")),1,0)</f>
        <v>0</v>
      </c>
    </row>
    <row r="644" customFormat="false" ht="15" hidden="false" customHeight="false" outlineLevel="0" collapsed="false">
      <c r="A644" s="8" t="str">
        <f aca="false">IF(C644&lt;&gt;"","F27-"&amp;COUNT($C$4:C644),"")</f>
        <v/>
      </c>
      <c r="B644" s="9" t="str">
        <f aca="false">IF(OR(F644="LOC - INITIAL",F644="CONSOLIDATION - UPFRONT COMM",F644="REVERSE - TOTAL FUNDING"),A644,"")</f>
        <v/>
      </c>
      <c r="C644" s="10"/>
      <c r="D644" s="11"/>
      <c r="E644" s="11"/>
      <c r="F644" s="11"/>
      <c r="G644" s="12"/>
      <c r="H644" s="13"/>
      <c r="I644" s="11"/>
      <c r="J644" s="14" t="str">
        <f aca="false">IF(AND(G644&lt;&gt;"",H644&lt;&gt;""),G644*H644,"")</f>
        <v/>
      </c>
      <c r="K644" s="11"/>
      <c r="L644" s="15"/>
      <c r="M644" s="15"/>
      <c r="N644" s="14" t="n">
        <f aca="false">IF(OR(G644="",M644=""),0,IF(M644&gt;100,M644,G644*IF(M644&gt;1,M644/100,M644)))</f>
        <v>0</v>
      </c>
      <c r="O644" s="14" t="str">
        <f aca="false">IF(G644="","",G644*IF(L644="",0,IF(L644&gt;1,L644/100,L644))+N644)</f>
        <v/>
      </c>
      <c r="P644" s="11"/>
      <c r="Q644" s="16" t="str">
        <f aca="false">IF(P644="","",IFERROR(VLOOKUP(P644,PARTNERS!$A$2:$B$30,2,0),""))</f>
        <v/>
      </c>
      <c r="R644" s="17" t="str">
        <f aca="false">IF(O644="","",IF(OR(P644="",Q644=""),0,(O644-N644)*IF(Q644&gt;1,Q644/100,Q644)))</f>
        <v/>
      </c>
      <c r="S644" s="14" t="str">
        <f aca="false">IF(O644="","",O644-R644)</f>
        <v/>
      </c>
      <c r="T644" s="11"/>
      <c r="U644" s="18" t="str">
        <f aca="false">IF(T644="","",IFERROR(VLOOKUP(T644,REPS!$A$2:$D$40,2,0),""))</f>
        <v/>
      </c>
      <c r="V644" s="14" t="str">
        <f aca="false">IF(O644="","",IF(U644="",0,O644*IF(U644&gt;1,U644/100,U644)))</f>
        <v/>
      </c>
      <c r="W644" s="11"/>
      <c r="X644" s="18" t="str">
        <f aca="false">IF(W644="","",IFERROR(VLOOKUP(W644,REPS!$A$2:$D$40,3,0),""))</f>
        <v/>
      </c>
      <c r="Y644" s="14" t="str">
        <f aca="false">IF(O644="","",IF(X644="",0,O644*IF(X644&gt;1,X644/100,X644)))</f>
        <v/>
      </c>
      <c r="Z644" s="11"/>
      <c r="AA644" s="18" t="str">
        <f aca="false">IF(Z644="","",IFERROR(VLOOKUP(Z644,REPS!$A$2:$D$40,4,0),""))</f>
        <v/>
      </c>
      <c r="AB644" s="14" t="str">
        <f aca="false">IF(O644="","",IF(AA644="",0,O644*IF(AA644&gt;1,AA644/100,AA644)))</f>
        <v/>
      </c>
      <c r="AC644" s="14" t="str">
        <f aca="false">IF(O644="","",V644+Y644+AB644)</f>
        <v/>
      </c>
      <c r="AD644" s="19" t="str">
        <f aca="false">IF(O644="","",O644-R644-AC644)</f>
        <v/>
      </c>
      <c r="AE644" s="20"/>
      <c r="AF644" s="10"/>
      <c r="AG644" s="21" t="n">
        <f aca="false">IF(OR(AE644="",AE644=0),0,AE644*IF(U644="",0,IF(U644&gt;1,U644/100,U644)))</f>
        <v>0</v>
      </c>
      <c r="AH644" s="21" t="n">
        <f aca="false">IF(OR(AE644="",AE644=0),0,AE644*IF(X644="",0,IF(X644&gt;1,X644/100,X644)))</f>
        <v>0</v>
      </c>
      <c r="AI644" s="21" t="n">
        <f aca="false">IF(OR(AE644="",AE644=0),0,AE644*IF(AA644="",0,IF(AA644&gt;1,AA644/100,AA644)))</f>
        <v>0</v>
      </c>
      <c r="AJ644" s="21" t="n">
        <f aca="false">AG644+AH644+AI644</f>
        <v>0</v>
      </c>
      <c r="AK644" s="21" t="n">
        <f aca="false">IF(OR(AE644="",AE644=0),0,AE644-AJ644)</f>
        <v>0</v>
      </c>
      <c r="AL644" s="19" t="str">
        <f aca="false">IF(AD644="","",AD644-AK644)</f>
        <v/>
      </c>
      <c r="AM644" s="9" t="str">
        <f aca="false">IF(C644="","","Waiting for payment")</f>
        <v/>
      </c>
      <c r="AN644" s="10"/>
      <c r="AO644" s="10"/>
      <c r="AP644" s="22" t="str">
        <f aca="false">IF(OR(C644="",I644="",K644=""),"",IF(K644="Monthly",EDATE(C644,ROUND(I644*SETTINGS!$I$8,0)),WORKDAY(C644,ROUND(I644*SETTINGS!$I$8,0))))</f>
        <v/>
      </c>
      <c r="AQ644" s="9" t="str">
        <f aca="true">IF(C644="","",IF(AND(AP644&lt;&gt;"",TODAY()&gt;=AP644),"Refi Ready",IF(TODAY()-C644&gt;=SETTINGS!$I$11,"Prospecting","Performing")))</f>
        <v/>
      </c>
      <c r="AR644" s="22" t="str">
        <f aca="false">IF(OR(C644="",I644="",K644=""),"",IF(K644="Monthly",EDATE(C644,I644),WORKDAY(C644,I644)))</f>
        <v/>
      </c>
      <c r="AS644" s="11"/>
      <c r="AT644" s="23" t="str">
        <f aca="true">IF(C644="","",IF(AM644="Clawed Back","CLAWED",IF(TODAY()&lt;=C644+SETTINGS!$I$2,"⚠ AT RISK","SAFE")))</f>
        <v/>
      </c>
      <c r="AU644" s="11"/>
      <c r="AW644" s="24" t="n">
        <f aca="false">AW643+IF(AND(C644&lt;&gt;"",AO644&lt;&gt;"",OR('REP COMMISSION'!$B$3="",T644='REP COMMISSION'!$B$3,W644='REP COMMISSION'!$B$3,Z644='REP COMMISSION'!$B$3)),1,0)</f>
        <v>0</v>
      </c>
      <c r="AX644" s="24" t="n">
        <f aca="false">AX643+IF(AND(C644&lt;&gt;"",OR(F644="LOC - INITIAL",F644="CONSOLIDATION - UPFRONT COMM",F644="REVERSE - TOTAL FUNDING")),1,0)</f>
        <v>0</v>
      </c>
    </row>
    <row r="645" customFormat="false" ht="15" hidden="false" customHeight="false" outlineLevel="0" collapsed="false">
      <c r="A645" s="25" t="str">
        <f aca="false">IF(C645&lt;&gt;"","F27-"&amp;COUNT($C$4:C645),"")</f>
        <v/>
      </c>
      <c r="B645" s="26" t="str">
        <f aca="false">IF(OR(F645="LOC - INITIAL",F645="CONSOLIDATION - UPFRONT COMM",F645="REVERSE - TOTAL FUNDING"),A645,"")</f>
        <v/>
      </c>
      <c r="C645" s="27"/>
      <c r="D645" s="28"/>
      <c r="E645" s="28"/>
      <c r="F645" s="28"/>
      <c r="G645" s="29"/>
      <c r="H645" s="30"/>
      <c r="I645" s="28"/>
      <c r="J645" s="31" t="str">
        <f aca="false">IF(AND(G645&lt;&gt;"",H645&lt;&gt;""),G645*H645,"")</f>
        <v/>
      </c>
      <c r="K645" s="28"/>
      <c r="L645" s="32"/>
      <c r="M645" s="32"/>
      <c r="N645" s="31" t="n">
        <f aca="false">IF(OR(G645="",M645=""),0,IF(M645&gt;100,M645,G645*IF(M645&gt;1,M645/100,M645)))</f>
        <v>0</v>
      </c>
      <c r="O645" s="31" t="str">
        <f aca="false">IF(G645="","",G645*IF(L645="",0,IF(L645&gt;1,L645/100,L645))+N645)</f>
        <v/>
      </c>
      <c r="P645" s="28"/>
      <c r="Q645" s="33" t="str">
        <f aca="false">IF(P645="","",IFERROR(VLOOKUP(P645,PARTNERS!$A$2:$B$30,2,0),""))</f>
        <v/>
      </c>
      <c r="R645" s="17" t="str">
        <f aca="false">IF(O645="","",IF(OR(P645="",Q645=""),0,(O645-N645)*IF(Q645&gt;1,Q645/100,Q645)))</f>
        <v/>
      </c>
      <c r="S645" s="31" t="str">
        <f aca="false">IF(O645="","",O645-R645)</f>
        <v/>
      </c>
      <c r="T645" s="28"/>
      <c r="U645" s="34" t="str">
        <f aca="false">IF(T645="","",IFERROR(VLOOKUP(T645,REPS!$A$2:$D$40,2,0),""))</f>
        <v/>
      </c>
      <c r="V645" s="31" t="str">
        <f aca="false">IF(O645="","",IF(U645="",0,O645*IF(U645&gt;1,U645/100,U645)))</f>
        <v/>
      </c>
      <c r="W645" s="28"/>
      <c r="X645" s="34" t="str">
        <f aca="false">IF(W645="","",IFERROR(VLOOKUP(W645,REPS!$A$2:$D$40,3,0),""))</f>
        <v/>
      </c>
      <c r="Y645" s="31" t="str">
        <f aca="false">IF(O645="","",IF(X645="",0,O645*IF(X645&gt;1,X645/100,X645)))</f>
        <v/>
      </c>
      <c r="Z645" s="28"/>
      <c r="AA645" s="34" t="str">
        <f aca="false">IF(Z645="","",IFERROR(VLOOKUP(Z645,REPS!$A$2:$D$40,4,0),""))</f>
        <v/>
      </c>
      <c r="AB645" s="31" t="str">
        <f aca="false">IF(O645="","",IF(AA645="",0,O645*IF(AA645&gt;1,AA645/100,AA645)))</f>
        <v/>
      </c>
      <c r="AC645" s="31" t="str">
        <f aca="false">IF(O645="","",V645+Y645+AB645)</f>
        <v/>
      </c>
      <c r="AD645" s="19" t="str">
        <f aca="false">IF(O645="","",O645-R645-AC645)</f>
        <v/>
      </c>
      <c r="AE645" s="20"/>
      <c r="AF645" s="27"/>
      <c r="AG645" s="21" t="n">
        <f aca="false">IF(OR(AE645="",AE645=0),0,AE645*IF(U645="",0,IF(U645&gt;1,U645/100,U645)))</f>
        <v>0</v>
      </c>
      <c r="AH645" s="21" t="n">
        <f aca="false">IF(OR(AE645="",AE645=0),0,AE645*IF(X645="",0,IF(X645&gt;1,X645/100,X645)))</f>
        <v>0</v>
      </c>
      <c r="AI645" s="21" t="n">
        <f aca="false">IF(OR(AE645="",AE645=0),0,AE645*IF(AA645="",0,IF(AA645&gt;1,AA645/100,AA645)))</f>
        <v>0</v>
      </c>
      <c r="AJ645" s="21" t="n">
        <f aca="false">AG645+AH645+AI645</f>
        <v>0</v>
      </c>
      <c r="AK645" s="21" t="n">
        <f aca="false">IF(OR(AE645="",AE645=0),0,AE645-AJ645)</f>
        <v>0</v>
      </c>
      <c r="AL645" s="19" t="str">
        <f aca="false">IF(AD645="","",AD645-AK645)</f>
        <v/>
      </c>
      <c r="AM645" s="26" t="str">
        <f aca="false">IF(C645="","","Waiting for payment")</f>
        <v/>
      </c>
      <c r="AN645" s="27"/>
      <c r="AO645" s="27"/>
      <c r="AP645" s="35" t="str">
        <f aca="false">IF(OR(C645="",I645="",K645=""),"",IF(K645="Monthly",EDATE(C645,ROUND(I645*SETTINGS!$I$8,0)),WORKDAY(C645,ROUND(I645*SETTINGS!$I$8,0))))</f>
        <v/>
      </c>
      <c r="AQ645" s="26" t="str">
        <f aca="true">IF(C645="","",IF(AND(AP645&lt;&gt;"",TODAY()&gt;=AP645),"Refi Ready",IF(TODAY()-C645&gt;=SETTINGS!$I$11,"Prospecting","Performing")))</f>
        <v/>
      </c>
      <c r="AR645" s="35" t="str">
        <f aca="false">IF(OR(C645="",I645="",K645=""),"",IF(K645="Monthly",EDATE(C645,I645),WORKDAY(C645,I645)))</f>
        <v/>
      </c>
      <c r="AS645" s="28"/>
      <c r="AT645" s="36" t="str">
        <f aca="true">IF(C645="","",IF(AM645="Clawed Back","CLAWED",IF(TODAY()&lt;=C645+SETTINGS!$I$2,"⚠ AT RISK","SAFE")))</f>
        <v/>
      </c>
      <c r="AU645" s="28"/>
      <c r="AW645" s="24" t="n">
        <f aca="false">AW644+IF(AND(C645&lt;&gt;"",AO645&lt;&gt;"",OR('REP COMMISSION'!$B$3="",T645='REP COMMISSION'!$B$3,W645='REP COMMISSION'!$B$3,Z645='REP COMMISSION'!$B$3)),1,0)</f>
        <v>0</v>
      </c>
      <c r="AX645" s="24" t="n">
        <f aca="false">AX644+IF(AND(C645&lt;&gt;"",OR(F645="LOC - INITIAL",F645="CONSOLIDATION - UPFRONT COMM",F645="REVERSE - TOTAL FUNDING")),1,0)</f>
        <v>0</v>
      </c>
    </row>
    <row r="646" customFormat="false" ht="15" hidden="false" customHeight="false" outlineLevel="0" collapsed="false">
      <c r="A646" s="8" t="str">
        <f aca="false">IF(C646&lt;&gt;"","F27-"&amp;COUNT($C$4:C646),"")</f>
        <v/>
      </c>
      <c r="B646" s="9" t="str">
        <f aca="false">IF(OR(F646="LOC - INITIAL",F646="CONSOLIDATION - UPFRONT COMM",F646="REVERSE - TOTAL FUNDING"),A646,"")</f>
        <v/>
      </c>
      <c r="C646" s="10"/>
      <c r="D646" s="11"/>
      <c r="E646" s="11"/>
      <c r="F646" s="11"/>
      <c r="G646" s="12"/>
      <c r="H646" s="13"/>
      <c r="I646" s="11"/>
      <c r="J646" s="14" t="str">
        <f aca="false">IF(AND(G646&lt;&gt;"",H646&lt;&gt;""),G646*H646,"")</f>
        <v/>
      </c>
      <c r="K646" s="11"/>
      <c r="L646" s="15"/>
      <c r="M646" s="15"/>
      <c r="N646" s="14" t="n">
        <f aca="false">IF(OR(G646="",M646=""),0,IF(M646&gt;100,M646,G646*IF(M646&gt;1,M646/100,M646)))</f>
        <v>0</v>
      </c>
      <c r="O646" s="14" t="str">
        <f aca="false">IF(G646="","",G646*IF(L646="",0,IF(L646&gt;1,L646/100,L646))+N646)</f>
        <v/>
      </c>
      <c r="P646" s="11"/>
      <c r="Q646" s="16" t="str">
        <f aca="false">IF(P646="","",IFERROR(VLOOKUP(P646,PARTNERS!$A$2:$B$30,2,0),""))</f>
        <v/>
      </c>
      <c r="R646" s="17" t="str">
        <f aca="false">IF(O646="","",IF(OR(P646="",Q646=""),0,(O646-N646)*IF(Q646&gt;1,Q646/100,Q646)))</f>
        <v/>
      </c>
      <c r="S646" s="14" t="str">
        <f aca="false">IF(O646="","",O646-R646)</f>
        <v/>
      </c>
      <c r="T646" s="11"/>
      <c r="U646" s="18" t="str">
        <f aca="false">IF(T646="","",IFERROR(VLOOKUP(T646,REPS!$A$2:$D$40,2,0),""))</f>
        <v/>
      </c>
      <c r="V646" s="14" t="str">
        <f aca="false">IF(O646="","",IF(U646="",0,O646*IF(U646&gt;1,U646/100,U646)))</f>
        <v/>
      </c>
      <c r="W646" s="11"/>
      <c r="X646" s="18" t="str">
        <f aca="false">IF(W646="","",IFERROR(VLOOKUP(W646,REPS!$A$2:$D$40,3,0),""))</f>
        <v/>
      </c>
      <c r="Y646" s="14" t="str">
        <f aca="false">IF(O646="","",IF(X646="",0,O646*IF(X646&gt;1,X646/100,X646)))</f>
        <v/>
      </c>
      <c r="Z646" s="11"/>
      <c r="AA646" s="18" t="str">
        <f aca="false">IF(Z646="","",IFERROR(VLOOKUP(Z646,REPS!$A$2:$D$40,4,0),""))</f>
        <v/>
      </c>
      <c r="AB646" s="14" t="str">
        <f aca="false">IF(O646="","",IF(AA646="",0,O646*IF(AA646&gt;1,AA646/100,AA646)))</f>
        <v/>
      </c>
      <c r="AC646" s="14" t="str">
        <f aca="false">IF(O646="","",V646+Y646+AB646)</f>
        <v/>
      </c>
      <c r="AD646" s="19" t="str">
        <f aca="false">IF(O646="","",O646-R646-AC646)</f>
        <v/>
      </c>
      <c r="AE646" s="20"/>
      <c r="AF646" s="10"/>
      <c r="AG646" s="21" t="n">
        <f aca="false">IF(OR(AE646="",AE646=0),0,AE646*IF(U646="",0,IF(U646&gt;1,U646/100,U646)))</f>
        <v>0</v>
      </c>
      <c r="AH646" s="21" t="n">
        <f aca="false">IF(OR(AE646="",AE646=0),0,AE646*IF(X646="",0,IF(X646&gt;1,X646/100,X646)))</f>
        <v>0</v>
      </c>
      <c r="AI646" s="21" t="n">
        <f aca="false">IF(OR(AE646="",AE646=0),0,AE646*IF(AA646="",0,IF(AA646&gt;1,AA646/100,AA646)))</f>
        <v>0</v>
      </c>
      <c r="AJ646" s="21" t="n">
        <f aca="false">AG646+AH646+AI646</f>
        <v>0</v>
      </c>
      <c r="AK646" s="21" t="n">
        <f aca="false">IF(OR(AE646="",AE646=0),0,AE646-AJ646)</f>
        <v>0</v>
      </c>
      <c r="AL646" s="19" t="str">
        <f aca="false">IF(AD646="","",AD646-AK646)</f>
        <v/>
      </c>
      <c r="AM646" s="9" t="str">
        <f aca="false">IF(C646="","","Waiting for payment")</f>
        <v/>
      </c>
      <c r="AN646" s="10"/>
      <c r="AO646" s="10"/>
      <c r="AP646" s="22" t="str">
        <f aca="false">IF(OR(C646="",I646="",K646=""),"",IF(K646="Monthly",EDATE(C646,ROUND(I646*SETTINGS!$I$8,0)),WORKDAY(C646,ROUND(I646*SETTINGS!$I$8,0))))</f>
        <v/>
      </c>
      <c r="AQ646" s="9" t="str">
        <f aca="true">IF(C646="","",IF(AND(AP646&lt;&gt;"",TODAY()&gt;=AP646),"Refi Ready",IF(TODAY()-C646&gt;=SETTINGS!$I$11,"Prospecting","Performing")))</f>
        <v/>
      </c>
      <c r="AR646" s="22" t="str">
        <f aca="false">IF(OR(C646="",I646="",K646=""),"",IF(K646="Monthly",EDATE(C646,I646),WORKDAY(C646,I646)))</f>
        <v/>
      </c>
      <c r="AS646" s="11"/>
      <c r="AT646" s="23" t="str">
        <f aca="true">IF(C646="","",IF(AM646="Clawed Back","CLAWED",IF(TODAY()&lt;=C646+SETTINGS!$I$2,"⚠ AT RISK","SAFE")))</f>
        <v/>
      </c>
      <c r="AU646" s="11"/>
      <c r="AW646" s="24" t="n">
        <f aca="false">AW645+IF(AND(C646&lt;&gt;"",AO646&lt;&gt;"",OR('REP COMMISSION'!$B$3="",T646='REP COMMISSION'!$B$3,W646='REP COMMISSION'!$B$3,Z646='REP COMMISSION'!$B$3)),1,0)</f>
        <v>0</v>
      </c>
      <c r="AX646" s="24" t="n">
        <f aca="false">AX645+IF(AND(C646&lt;&gt;"",OR(F646="LOC - INITIAL",F646="CONSOLIDATION - UPFRONT COMM",F646="REVERSE - TOTAL FUNDING")),1,0)</f>
        <v>0</v>
      </c>
    </row>
    <row r="647" customFormat="false" ht="15" hidden="false" customHeight="false" outlineLevel="0" collapsed="false">
      <c r="A647" s="25" t="str">
        <f aca="false">IF(C647&lt;&gt;"","F27-"&amp;COUNT($C$4:C647),"")</f>
        <v/>
      </c>
      <c r="B647" s="26" t="str">
        <f aca="false">IF(OR(F647="LOC - INITIAL",F647="CONSOLIDATION - UPFRONT COMM",F647="REVERSE - TOTAL FUNDING"),A647,"")</f>
        <v/>
      </c>
      <c r="C647" s="27"/>
      <c r="D647" s="28"/>
      <c r="E647" s="28"/>
      <c r="F647" s="28"/>
      <c r="G647" s="29"/>
      <c r="H647" s="30"/>
      <c r="I647" s="28"/>
      <c r="J647" s="31" t="str">
        <f aca="false">IF(AND(G647&lt;&gt;"",H647&lt;&gt;""),G647*H647,"")</f>
        <v/>
      </c>
      <c r="K647" s="28"/>
      <c r="L647" s="32"/>
      <c r="M647" s="32"/>
      <c r="N647" s="31" t="n">
        <f aca="false">IF(OR(G647="",M647=""),0,IF(M647&gt;100,M647,G647*IF(M647&gt;1,M647/100,M647)))</f>
        <v>0</v>
      </c>
      <c r="O647" s="31" t="str">
        <f aca="false">IF(G647="","",G647*IF(L647="",0,IF(L647&gt;1,L647/100,L647))+N647)</f>
        <v/>
      </c>
      <c r="P647" s="28"/>
      <c r="Q647" s="33" t="str">
        <f aca="false">IF(P647="","",IFERROR(VLOOKUP(P647,PARTNERS!$A$2:$B$30,2,0),""))</f>
        <v/>
      </c>
      <c r="R647" s="17" t="str">
        <f aca="false">IF(O647="","",IF(OR(P647="",Q647=""),0,(O647-N647)*IF(Q647&gt;1,Q647/100,Q647)))</f>
        <v/>
      </c>
      <c r="S647" s="31" t="str">
        <f aca="false">IF(O647="","",O647-R647)</f>
        <v/>
      </c>
      <c r="T647" s="28"/>
      <c r="U647" s="34" t="str">
        <f aca="false">IF(T647="","",IFERROR(VLOOKUP(T647,REPS!$A$2:$D$40,2,0),""))</f>
        <v/>
      </c>
      <c r="V647" s="31" t="str">
        <f aca="false">IF(O647="","",IF(U647="",0,O647*IF(U647&gt;1,U647/100,U647)))</f>
        <v/>
      </c>
      <c r="W647" s="28"/>
      <c r="X647" s="34" t="str">
        <f aca="false">IF(W647="","",IFERROR(VLOOKUP(W647,REPS!$A$2:$D$40,3,0),""))</f>
        <v/>
      </c>
      <c r="Y647" s="31" t="str">
        <f aca="false">IF(O647="","",IF(X647="",0,O647*IF(X647&gt;1,X647/100,X647)))</f>
        <v/>
      </c>
      <c r="Z647" s="28"/>
      <c r="AA647" s="34" t="str">
        <f aca="false">IF(Z647="","",IFERROR(VLOOKUP(Z647,REPS!$A$2:$D$40,4,0),""))</f>
        <v/>
      </c>
      <c r="AB647" s="31" t="str">
        <f aca="false">IF(O647="","",IF(AA647="",0,O647*IF(AA647&gt;1,AA647/100,AA647)))</f>
        <v/>
      </c>
      <c r="AC647" s="31" t="str">
        <f aca="false">IF(O647="","",V647+Y647+AB647)</f>
        <v/>
      </c>
      <c r="AD647" s="19" t="str">
        <f aca="false">IF(O647="","",O647-R647-AC647)</f>
        <v/>
      </c>
      <c r="AE647" s="20"/>
      <c r="AF647" s="27"/>
      <c r="AG647" s="21" t="n">
        <f aca="false">IF(OR(AE647="",AE647=0),0,AE647*IF(U647="",0,IF(U647&gt;1,U647/100,U647)))</f>
        <v>0</v>
      </c>
      <c r="AH647" s="21" t="n">
        <f aca="false">IF(OR(AE647="",AE647=0),0,AE647*IF(X647="",0,IF(X647&gt;1,X647/100,X647)))</f>
        <v>0</v>
      </c>
      <c r="AI647" s="21" t="n">
        <f aca="false">IF(OR(AE647="",AE647=0),0,AE647*IF(AA647="",0,IF(AA647&gt;1,AA647/100,AA647)))</f>
        <v>0</v>
      </c>
      <c r="AJ647" s="21" t="n">
        <f aca="false">AG647+AH647+AI647</f>
        <v>0</v>
      </c>
      <c r="AK647" s="21" t="n">
        <f aca="false">IF(OR(AE647="",AE647=0),0,AE647-AJ647)</f>
        <v>0</v>
      </c>
      <c r="AL647" s="19" t="str">
        <f aca="false">IF(AD647="","",AD647-AK647)</f>
        <v/>
      </c>
      <c r="AM647" s="26" t="str">
        <f aca="false">IF(C647="","","Waiting for payment")</f>
        <v/>
      </c>
      <c r="AN647" s="27"/>
      <c r="AO647" s="27"/>
      <c r="AP647" s="35" t="str">
        <f aca="false">IF(OR(C647="",I647="",K647=""),"",IF(K647="Monthly",EDATE(C647,ROUND(I647*SETTINGS!$I$8,0)),WORKDAY(C647,ROUND(I647*SETTINGS!$I$8,0))))</f>
        <v/>
      </c>
      <c r="AQ647" s="26" t="str">
        <f aca="true">IF(C647="","",IF(AND(AP647&lt;&gt;"",TODAY()&gt;=AP647),"Refi Ready",IF(TODAY()-C647&gt;=SETTINGS!$I$11,"Prospecting","Performing")))</f>
        <v/>
      </c>
      <c r="AR647" s="35" t="str">
        <f aca="false">IF(OR(C647="",I647="",K647=""),"",IF(K647="Monthly",EDATE(C647,I647),WORKDAY(C647,I647)))</f>
        <v/>
      </c>
      <c r="AS647" s="28"/>
      <c r="AT647" s="36" t="str">
        <f aca="true">IF(C647="","",IF(AM647="Clawed Back","CLAWED",IF(TODAY()&lt;=C647+SETTINGS!$I$2,"⚠ AT RISK","SAFE")))</f>
        <v/>
      </c>
      <c r="AU647" s="28"/>
      <c r="AW647" s="24" t="n">
        <f aca="false">AW646+IF(AND(C647&lt;&gt;"",AO647&lt;&gt;"",OR('REP COMMISSION'!$B$3="",T647='REP COMMISSION'!$B$3,W647='REP COMMISSION'!$B$3,Z647='REP COMMISSION'!$B$3)),1,0)</f>
        <v>0</v>
      </c>
      <c r="AX647" s="24" t="n">
        <f aca="false">AX646+IF(AND(C647&lt;&gt;"",OR(F647="LOC - INITIAL",F647="CONSOLIDATION - UPFRONT COMM",F647="REVERSE - TOTAL FUNDING")),1,0)</f>
        <v>0</v>
      </c>
    </row>
    <row r="648" customFormat="false" ht="15" hidden="false" customHeight="false" outlineLevel="0" collapsed="false">
      <c r="A648" s="8" t="str">
        <f aca="false">IF(C648&lt;&gt;"","F27-"&amp;COUNT($C$4:C648),"")</f>
        <v/>
      </c>
      <c r="B648" s="9" t="str">
        <f aca="false">IF(OR(F648="LOC - INITIAL",F648="CONSOLIDATION - UPFRONT COMM",F648="REVERSE - TOTAL FUNDING"),A648,"")</f>
        <v/>
      </c>
      <c r="C648" s="10"/>
      <c r="D648" s="11"/>
      <c r="E648" s="11"/>
      <c r="F648" s="11"/>
      <c r="G648" s="12"/>
      <c r="H648" s="13"/>
      <c r="I648" s="11"/>
      <c r="J648" s="14" t="str">
        <f aca="false">IF(AND(G648&lt;&gt;"",H648&lt;&gt;""),G648*H648,"")</f>
        <v/>
      </c>
      <c r="K648" s="11"/>
      <c r="L648" s="15"/>
      <c r="M648" s="15"/>
      <c r="N648" s="14" t="n">
        <f aca="false">IF(OR(G648="",M648=""),0,IF(M648&gt;100,M648,G648*IF(M648&gt;1,M648/100,M648)))</f>
        <v>0</v>
      </c>
      <c r="O648" s="14" t="str">
        <f aca="false">IF(G648="","",G648*IF(L648="",0,IF(L648&gt;1,L648/100,L648))+N648)</f>
        <v/>
      </c>
      <c r="P648" s="11"/>
      <c r="Q648" s="16" t="str">
        <f aca="false">IF(P648="","",IFERROR(VLOOKUP(P648,PARTNERS!$A$2:$B$30,2,0),""))</f>
        <v/>
      </c>
      <c r="R648" s="17" t="str">
        <f aca="false">IF(O648="","",IF(OR(P648="",Q648=""),0,(O648-N648)*IF(Q648&gt;1,Q648/100,Q648)))</f>
        <v/>
      </c>
      <c r="S648" s="14" t="str">
        <f aca="false">IF(O648="","",O648-R648)</f>
        <v/>
      </c>
      <c r="T648" s="11"/>
      <c r="U648" s="18" t="str">
        <f aca="false">IF(T648="","",IFERROR(VLOOKUP(T648,REPS!$A$2:$D$40,2,0),""))</f>
        <v/>
      </c>
      <c r="V648" s="14" t="str">
        <f aca="false">IF(O648="","",IF(U648="",0,O648*IF(U648&gt;1,U648/100,U648)))</f>
        <v/>
      </c>
      <c r="W648" s="11"/>
      <c r="X648" s="18" t="str">
        <f aca="false">IF(W648="","",IFERROR(VLOOKUP(W648,REPS!$A$2:$D$40,3,0),""))</f>
        <v/>
      </c>
      <c r="Y648" s="14" t="str">
        <f aca="false">IF(O648="","",IF(X648="",0,O648*IF(X648&gt;1,X648/100,X648)))</f>
        <v/>
      </c>
      <c r="Z648" s="11"/>
      <c r="AA648" s="18" t="str">
        <f aca="false">IF(Z648="","",IFERROR(VLOOKUP(Z648,REPS!$A$2:$D$40,4,0),""))</f>
        <v/>
      </c>
      <c r="AB648" s="14" t="str">
        <f aca="false">IF(O648="","",IF(AA648="",0,O648*IF(AA648&gt;1,AA648/100,AA648)))</f>
        <v/>
      </c>
      <c r="AC648" s="14" t="str">
        <f aca="false">IF(O648="","",V648+Y648+AB648)</f>
        <v/>
      </c>
      <c r="AD648" s="19" t="str">
        <f aca="false">IF(O648="","",O648-R648-AC648)</f>
        <v/>
      </c>
      <c r="AE648" s="20"/>
      <c r="AF648" s="10"/>
      <c r="AG648" s="21" t="n">
        <f aca="false">IF(OR(AE648="",AE648=0),0,AE648*IF(U648="",0,IF(U648&gt;1,U648/100,U648)))</f>
        <v>0</v>
      </c>
      <c r="AH648" s="21" t="n">
        <f aca="false">IF(OR(AE648="",AE648=0),0,AE648*IF(X648="",0,IF(X648&gt;1,X648/100,X648)))</f>
        <v>0</v>
      </c>
      <c r="AI648" s="21" t="n">
        <f aca="false">IF(OR(AE648="",AE648=0),0,AE648*IF(AA648="",0,IF(AA648&gt;1,AA648/100,AA648)))</f>
        <v>0</v>
      </c>
      <c r="AJ648" s="21" t="n">
        <f aca="false">AG648+AH648+AI648</f>
        <v>0</v>
      </c>
      <c r="AK648" s="21" t="n">
        <f aca="false">IF(OR(AE648="",AE648=0),0,AE648-AJ648)</f>
        <v>0</v>
      </c>
      <c r="AL648" s="19" t="str">
        <f aca="false">IF(AD648="","",AD648-AK648)</f>
        <v/>
      </c>
      <c r="AM648" s="9" t="str">
        <f aca="false">IF(C648="","","Waiting for payment")</f>
        <v/>
      </c>
      <c r="AN648" s="10"/>
      <c r="AO648" s="10"/>
      <c r="AP648" s="22" t="str">
        <f aca="false">IF(OR(C648="",I648="",K648=""),"",IF(K648="Monthly",EDATE(C648,ROUND(I648*SETTINGS!$I$8,0)),WORKDAY(C648,ROUND(I648*SETTINGS!$I$8,0))))</f>
        <v/>
      </c>
      <c r="AQ648" s="9" t="str">
        <f aca="true">IF(C648="","",IF(AND(AP648&lt;&gt;"",TODAY()&gt;=AP648),"Refi Ready",IF(TODAY()-C648&gt;=SETTINGS!$I$11,"Prospecting","Performing")))</f>
        <v/>
      </c>
      <c r="AR648" s="22" t="str">
        <f aca="false">IF(OR(C648="",I648="",K648=""),"",IF(K648="Monthly",EDATE(C648,I648),WORKDAY(C648,I648)))</f>
        <v/>
      </c>
      <c r="AS648" s="11"/>
      <c r="AT648" s="23" t="str">
        <f aca="true">IF(C648="","",IF(AM648="Clawed Back","CLAWED",IF(TODAY()&lt;=C648+SETTINGS!$I$2,"⚠ AT RISK","SAFE")))</f>
        <v/>
      </c>
      <c r="AU648" s="11"/>
      <c r="AW648" s="24" t="n">
        <f aca="false">AW647+IF(AND(C648&lt;&gt;"",AO648&lt;&gt;"",OR('REP COMMISSION'!$B$3="",T648='REP COMMISSION'!$B$3,W648='REP COMMISSION'!$B$3,Z648='REP COMMISSION'!$B$3)),1,0)</f>
        <v>0</v>
      </c>
      <c r="AX648" s="24" t="n">
        <f aca="false">AX647+IF(AND(C648&lt;&gt;"",OR(F648="LOC - INITIAL",F648="CONSOLIDATION - UPFRONT COMM",F648="REVERSE - TOTAL FUNDING")),1,0)</f>
        <v>0</v>
      </c>
    </row>
    <row r="649" customFormat="false" ht="15" hidden="false" customHeight="false" outlineLevel="0" collapsed="false">
      <c r="A649" s="25" t="str">
        <f aca="false">IF(C649&lt;&gt;"","F27-"&amp;COUNT($C$4:C649),"")</f>
        <v/>
      </c>
      <c r="B649" s="26" t="str">
        <f aca="false">IF(OR(F649="LOC - INITIAL",F649="CONSOLIDATION - UPFRONT COMM",F649="REVERSE - TOTAL FUNDING"),A649,"")</f>
        <v/>
      </c>
      <c r="C649" s="27"/>
      <c r="D649" s="28"/>
      <c r="E649" s="28"/>
      <c r="F649" s="28"/>
      <c r="G649" s="29"/>
      <c r="H649" s="30"/>
      <c r="I649" s="28"/>
      <c r="J649" s="31" t="str">
        <f aca="false">IF(AND(G649&lt;&gt;"",H649&lt;&gt;""),G649*H649,"")</f>
        <v/>
      </c>
      <c r="K649" s="28"/>
      <c r="L649" s="32"/>
      <c r="M649" s="32"/>
      <c r="N649" s="31" t="n">
        <f aca="false">IF(OR(G649="",M649=""),0,IF(M649&gt;100,M649,G649*IF(M649&gt;1,M649/100,M649)))</f>
        <v>0</v>
      </c>
      <c r="O649" s="31" t="str">
        <f aca="false">IF(G649="","",G649*IF(L649="",0,IF(L649&gt;1,L649/100,L649))+N649)</f>
        <v/>
      </c>
      <c r="P649" s="28"/>
      <c r="Q649" s="33" t="str">
        <f aca="false">IF(P649="","",IFERROR(VLOOKUP(P649,PARTNERS!$A$2:$B$30,2,0),""))</f>
        <v/>
      </c>
      <c r="R649" s="17" t="str">
        <f aca="false">IF(O649="","",IF(OR(P649="",Q649=""),0,(O649-N649)*IF(Q649&gt;1,Q649/100,Q649)))</f>
        <v/>
      </c>
      <c r="S649" s="31" t="str">
        <f aca="false">IF(O649="","",O649-R649)</f>
        <v/>
      </c>
      <c r="T649" s="28"/>
      <c r="U649" s="34" t="str">
        <f aca="false">IF(T649="","",IFERROR(VLOOKUP(T649,REPS!$A$2:$D$40,2,0),""))</f>
        <v/>
      </c>
      <c r="V649" s="31" t="str">
        <f aca="false">IF(O649="","",IF(U649="",0,O649*IF(U649&gt;1,U649/100,U649)))</f>
        <v/>
      </c>
      <c r="W649" s="28"/>
      <c r="X649" s="34" t="str">
        <f aca="false">IF(W649="","",IFERROR(VLOOKUP(W649,REPS!$A$2:$D$40,3,0),""))</f>
        <v/>
      </c>
      <c r="Y649" s="31" t="str">
        <f aca="false">IF(O649="","",IF(X649="",0,O649*IF(X649&gt;1,X649/100,X649)))</f>
        <v/>
      </c>
      <c r="Z649" s="28"/>
      <c r="AA649" s="34" t="str">
        <f aca="false">IF(Z649="","",IFERROR(VLOOKUP(Z649,REPS!$A$2:$D$40,4,0),""))</f>
        <v/>
      </c>
      <c r="AB649" s="31" t="str">
        <f aca="false">IF(O649="","",IF(AA649="",0,O649*IF(AA649&gt;1,AA649/100,AA649)))</f>
        <v/>
      </c>
      <c r="AC649" s="31" t="str">
        <f aca="false">IF(O649="","",V649+Y649+AB649)</f>
        <v/>
      </c>
      <c r="AD649" s="19" t="str">
        <f aca="false">IF(O649="","",O649-R649-AC649)</f>
        <v/>
      </c>
      <c r="AE649" s="20"/>
      <c r="AF649" s="27"/>
      <c r="AG649" s="21" t="n">
        <f aca="false">IF(OR(AE649="",AE649=0),0,AE649*IF(U649="",0,IF(U649&gt;1,U649/100,U649)))</f>
        <v>0</v>
      </c>
      <c r="AH649" s="21" t="n">
        <f aca="false">IF(OR(AE649="",AE649=0),0,AE649*IF(X649="",0,IF(X649&gt;1,X649/100,X649)))</f>
        <v>0</v>
      </c>
      <c r="AI649" s="21" t="n">
        <f aca="false">IF(OR(AE649="",AE649=0),0,AE649*IF(AA649="",0,IF(AA649&gt;1,AA649/100,AA649)))</f>
        <v>0</v>
      </c>
      <c r="AJ649" s="21" t="n">
        <f aca="false">AG649+AH649+AI649</f>
        <v>0</v>
      </c>
      <c r="AK649" s="21" t="n">
        <f aca="false">IF(OR(AE649="",AE649=0),0,AE649-AJ649)</f>
        <v>0</v>
      </c>
      <c r="AL649" s="19" t="str">
        <f aca="false">IF(AD649="","",AD649-AK649)</f>
        <v/>
      </c>
      <c r="AM649" s="26" t="str">
        <f aca="false">IF(C649="","","Waiting for payment")</f>
        <v/>
      </c>
      <c r="AN649" s="27"/>
      <c r="AO649" s="27"/>
      <c r="AP649" s="35" t="str">
        <f aca="false">IF(OR(C649="",I649="",K649=""),"",IF(K649="Monthly",EDATE(C649,ROUND(I649*SETTINGS!$I$8,0)),WORKDAY(C649,ROUND(I649*SETTINGS!$I$8,0))))</f>
        <v/>
      </c>
      <c r="AQ649" s="26" t="str">
        <f aca="true">IF(C649="","",IF(AND(AP649&lt;&gt;"",TODAY()&gt;=AP649),"Refi Ready",IF(TODAY()-C649&gt;=SETTINGS!$I$11,"Prospecting","Performing")))</f>
        <v/>
      </c>
      <c r="AR649" s="35" t="str">
        <f aca="false">IF(OR(C649="",I649="",K649=""),"",IF(K649="Monthly",EDATE(C649,I649),WORKDAY(C649,I649)))</f>
        <v/>
      </c>
      <c r="AS649" s="28"/>
      <c r="AT649" s="36" t="str">
        <f aca="true">IF(C649="","",IF(AM649="Clawed Back","CLAWED",IF(TODAY()&lt;=C649+SETTINGS!$I$2,"⚠ AT RISK","SAFE")))</f>
        <v/>
      </c>
      <c r="AU649" s="28"/>
      <c r="AW649" s="24" t="n">
        <f aca="false">AW648+IF(AND(C649&lt;&gt;"",AO649&lt;&gt;"",OR('REP COMMISSION'!$B$3="",T649='REP COMMISSION'!$B$3,W649='REP COMMISSION'!$B$3,Z649='REP COMMISSION'!$B$3)),1,0)</f>
        <v>0</v>
      </c>
      <c r="AX649" s="24" t="n">
        <f aca="false">AX648+IF(AND(C649&lt;&gt;"",OR(F649="LOC - INITIAL",F649="CONSOLIDATION - UPFRONT COMM",F649="REVERSE - TOTAL FUNDING")),1,0)</f>
        <v>0</v>
      </c>
    </row>
    <row r="650" customFormat="false" ht="15" hidden="false" customHeight="false" outlineLevel="0" collapsed="false">
      <c r="A650" s="8" t="str">
        <f aca="false">IF(C650&lt;&gt;"","F27-"&amp;COUNT($C$4:C650),"")</f>
        <v/>
      </c>
      <c r="B650" s="9" t="str">
        <f aca="false">IF(OR(F650="LOC - INITIAL",F650="CONSOLIDATION - UPFRONT COMM",F650="REVERSE - TOTAL FUNDING"),A650,"")</f>
        <v/>
      </c>
      <c r="C650" s="10"/>
      <c r="D650" s="11"/>
      <c r="E650" s="11"/>
      <c r="F650" s="11"/>
      <c r="G650" s="12"/>
      <c r="H650" s="13"/>
      <c r="I650" s="11"/>
      <c r="J650" s="14" t="str">
        <f aca="false">IF(AND(G650&lt;&gt;"",H650&lt;&gt;""),G650*H650,"")</f>
        <v/>
      </c>
      <c r="K650" s="11"/>
      <c r="L650" s="15"/>
      <c r="M650" s="15"/>
      <c r="N650" s="14" t="n">
        <f aca="false">IF(OR(G650="",M650=""),0,IF(M650&gt;100,M650,G650*IF(M650&gt;1,M650/100,M650)))</f>
        <v>0</v>
      </c>
      <c r="O650" s="14" t="str">
        <f aca="false">IF(G650="","",G650*IF(L650="",0,IF(L650&gt;1,L650/100,L650))+N650)</f>
        <v/>
      </c>
      <c r="P650" s="11"/>
      <c r="Q650" s="16" t="str">
        <f aca="false">IF(P650="","",IFERROR(VLOOKUP(P650,PARTNERS!$A$2:$B$30,2,0),""))</f>
        <v/>
      </c>
      <c r="R650" s="17" t="str">
        <f aca="false">IF(O650="","",IF(OR(P650="",Q650=""),0,(O650-N650)*IF(Q650&gt;1,Q650/100,Q650)))</f>
        <v/>
      </c>
      <c r="S650" s="14" t="str">
        <f aca="false">IF(O650="","",O650-R650)</f>
        <v/>
      </c>
      <c r="T650" s="11"/>
      <c r="U650" s="18" t="str">
        <f aca="false">IF(T650="","",IFERROR(VLOOKUP(T650,REPS!$A$2:$D$40,2,0),""))</f>
        <v/>
      </c>
      <c r="V650" s="14" t="str">
        <f aca="false">IF(O650="","",IF(U650="",0,O650*IF(U650&gt;1,U650/100,U650)))</f>
        <v/>
      </c>
      <c r="W650" s="11"/>
      <c r="X650" s="18" t="str">
        <f aca="false">IF(W650="","",IFERROR(VLOOKUP(W650,REPS!$A$2:$D$40,3,0),""))</f>
        <v/>
      </c>
      <c r="Y650" s="14" t="str">
        <f aca="false">IF(O650="","",IF(X650="",0,O650*IF(X650&gt;1,X650/100,X650)))</f>
        <v/>
      </c>
      <c r="Z650" s="11"/>
      <c r="AA650" s="18" t="str">
        <f aca="false">IF(Z650="","",IFERROR(VLOOKUP(Z650,REPS!$A$2:$D$40,4,0),""))</f>
        <v/>
      </c>
      <c r="AB650" s="14" t="str">
        <f aca="false">IF(O650="","",IF(AA650="",0,O650*IF(AA650&gt;1,AA650/100,AA650)))</f>
        <v/>
      </c>
      <c r="AC650" s="14" t="str">
        <f aca="false">IF(O650="","",V650+Y650+AB650)</f>
        <v/>
      </c>
      <c r="AD650" s="19" t="str">
        <f aca="false">IF(O650="","",O650-R650-AC650)</f>
        <v/>
      </c>
      <c r="AE650" s="20"/>
      <c r="AF650" s="10"/>
      <c r="AG650" s="21" t="n">
        <f aca="false">IF(OR(AE650="",AE650=0),0,AE650*IF(U650="",0,IF(U650&gt;1,U650/100,U650)))</f>
        <v>0</v>
      </c>
      <c r="AH650" s="21" t="n">
        <f aca="false">IF(OR(AE650="",AE650=0),0,AE650*IF(X650="",0,IF(X650&gt;1,X650/100,X650)))</f>
        <v>0</v>
      </c>
      <c r="AI650" s="21" t="n">
        <f aca="false">IF(OR(AE650="",AE650=0),0,AE650*IF(AA650="",0,IF(AA650&gt;1,AA650/100,AA650)))</f>
        <v>0</v>
      </c>
      <c r="AJ650" s="21" t="n">
        <f aca="false">AG650+AH650+AI650</f>
        <v>0</v>
      </c>
      <c r="AK650" s="21" t="n">
        <f aca="false">IF(OR(AE650="",AE650=0),0,AE650-AJ650)</f>
        <v>0</v>
      </c>
      <c r="AL650" s="19" t="str">
        <f aca="false">IF(AD650="","",AD650-AK650)</f>
        <v/>
      </c>
      <c r="AM650" s="9" t="str">
        <f aca="false">IF(C650="","","Waiting for payment")</f>
        <v/>
      </c>
      <c r="AN650" s="10"/>
      <c r="AO650" s="10"/>
      <c r="AP650" s="22" t="str">
        <f aca="false">IF(OR(C650="",I650="",K650=""),"",IF(K650="Monthly",EDATE(C650,ROUND(I650*SETTINGS!$I$8,0)),WORKDAY(C650,ROUND(I650*SETTINGS!$I$8,0))))</f>
        <v/>
      </c>
      <c r="AQ650" s="9" t="str">
        <f aca="true">IF(C650="","",IF(AND(AP650&lt;&gt;"",TODAY()&gt;=AP650),"Refi Ready",IF(TODAY()-C650&gt;=SETTINGS!$I$11,"Prospecting","Performing")))</f>
        <v/>
      </c>
      <c r="AR650" s="22" t="str">
        <f aca="false">IF(OR(C650="",I650="",K650=""),"",IF(K650="Monthly",EDATE(C650,I650),WORKDAY(C650,I650)))</f>
        <v/>
      </c>
      <c r="AS650" s="11"/>
      <c r="AT650" s="23" t="str">
        <f aca="true">IF(C650="","",IF(AM650="Clawed Back","CLAWED",IF(TODAY()&lt;=C650+SETTINGS!$I$2,"⚠ AT RISK","SAFE")))</f>
        <v/>
      </c>
      <c r="AU650" s="11"/>
      <c r="AW650" s="24" t="n">
        <f aca="false">AW649+IF(AND(C650&lt;&gt;"",AO650&lt;&gt;"",OR('REP COMMISSION'!$B$3="",T650='REP COMMISSION'!$B$3,W650='REP COMMISSION'!$B$3,Z650='REP COMMISSION'!$B$3)),1,0)</f>
        <v>0</v>
      </c>
      <c r="AX650" s="24" t="n">
        <f aca="false">AX649+IF(AND(C650&lt;&gt;"",OR(F650="LOC - INITIAL",F650="CONSOLIDATION - UPFRONT COMM",F650="REVERSE - TOTAL FUNDING")),1,0)</f>
        <v>0</v>
      </c>
    </row>
    <row r="651" customFormat="false" ht="15" hidden="false" customHeight="false" outlineLevel="0" collapsed="false">
      <c r="A651" s="25" t="str">
        <f aca="false">IF(C651&lt;&gt;"","F27-"&amp;COUNT($C$4:C651),"")</f>
        <v/>
      </c>
      <c r="B651" s="26" t="str">
        <f aca="false">IF(OR(F651="LOC - INITIAL",F651="CONSOLIDATION - UPFRONT COMM",F651="REVERSE - TOTAL FUNDING"),A651,"")</f>
        <v/>
      </c>
      <c r="C651" s="27"/>
      <c r="D651" s="28"/>
      <c r="E651" s="28"/>
      <c r="F651" s="28"/>
      <c r="G651" s="29"/>
      <c r="H651" s="30"/>
      <c r="I651" s="28"/>
      <c r="J651" s="31" t="str">
        <f aca="false">IF(AND(G651&lt;&gt;"",H651&lt;&gt;""),G651*H651,"")</f>
        <v/>
      </c>
      <c r="K651" s="28"/>
      <c r="L651" s="32"/>
      <c r="M651" s="32"/>
      <c r="N651" s="31" t="n">
        <f aca="false">IF(OR(G651="",M651=""),0,IF(M651&gt;100,M651,G651*IF(M651&gt;1,M651/100,M651)))</f>
        <v>0</v>
      </c>
      <c r="O651" s="31" t="str">
        <f aca="false">IF(G651="","",G651*IF(L651="",0,IF(L651&gt;1,L651/100,L651))+N651)</f>
        <v/>
      </c>
      <c r="P651" s="28"/>
      <c r="Q651" s="33" t="str">
        <f aca="false">IF(P651="","",IFERROR(VLOOKUP(P651,PARTNERS!$A$2:$B$30,2,0),""))</f>
        <v/>
      </c>
      <c r="R651" s="17" t="str">
        <f aca="false">IF(O651="","",IF(OR(P651="",Q651=""),0,(O651-N651)*IF(Q651&gt;1,Q651/100,Q651)))</f>
        <v/>
      </c>
      <c r="S651" s="31" t="str">
        <f aca="false">IF(O651="","",O651-R651)</f>
        <v/>
      </c>
      <c r="T651" s="28"/>
      <c r="U651" s="34" t="str">
        <f aca="false">IF(T651="","",IFERROR(VLOOKUP(T651,REPS!$A$2:$D$40,2,0),""))</f>
        <v/>
      </c>
      <c r="V651" s="31" t="str">
        <f aca="false">IF(O651="","",IF(U651="",0,O651*IF(U651&gt;1,U651/100,U651)))</f>
        <v/>
      </c>
      <c r="W651" s="28"/>
      <c r="X651" s="34" t="str">
        <f aca="false">IF(W651="","",IFERROR(VLOOKUP(W651,REPS!$A$2:$D$40,3,0),""))</f>
        <v/>
      </c>
      <c r="Y651" s="31" t="str">
        <f aca="false">IF(O651="","",IF(X651="",0,O651*IF(X651&gt;1,X651/100,X651)))</f>
        <v/>
      </c>
      <c r="Z651" s="28"/>
      <c r="AA651" s="34" t="str">
        <f aca="false">IF(Z651="","",IFERROR(VLOOKUP(Z651,REPS!$A$2:$D$40,4,0),""))</f>
        <v/>
      </c>
      <c r="AB651" s="31" t="str">
        <f aca="false">IF(O651="","",IF(AA651="",0,O651*IF(AA651&gt;1,AA651/100,AA651)))</f>
        <v/>
      </c>
      <c r="AC651" s="31" t="str">
        <f aca="false">IF(O651="","",V651+Y651+AB651)</f>
        <v/>
      </c>
      <c r="AD651" s="19" t="str">
        <f aca="false">IF(O651="","",O651-R651-AC651)</f>
        <v/>
      </c>
      <c r="AE651" s="20"/>
      <c r="AF651" s="27"/>
      <c r="AG651" s="21" t="n">
        <f aca="false">IF(OR(AE651="",AE651=0),0,AE651*IF(U651="",0,IF(U651&gt;1,U651/100,U651)))</f>
        <v>0</v>
      </c>
      <c r="AH651" s="21" t="n">
        <f aca="false">IF(OR(AE651="",AE651=0),0,AE651*IF(X651="",0,IF(X651&gt;1,X651/100,X651)))</f>
        <v>0</v>
      </c>
      <c r="AI651" s="21" t="n">
        <f aca="false">IF(OR(AE651="",AE651=0),0,AE651*IF(AA651="",0,IF(AA651&gt;1,AA651/100,AA651)))</f>
        <v>0</v>
      </c>
      <c r="AJ651" s="21" t="n">
        <f aca="false">AG651+AH651+AI651</f>
        <v>0</v>
      </c>
      <c r="AK651" s="21" t="n">
        <f aca="false">IF(OR(AE651="",AE651=0),0,AE651-AJ651)</f>
        <v>0</v>
      </c>
      <c r="AL651" s="19" t="str">
        <f aca="false">IF(AD651="","",AD651-AK651)</f>
        <v/>
      </c>
      <c r="AM651" s="26" t="str">
        <f aca="false">IF(C651="","","Waiting for payment")</f>
        <v/>
      </c>
      <c r="AN651" s="27"/>
      <c r="AO651" s="27"/>
      <c r="AP651" s="35" t="str">
        <f aca="false">IF(OR(C651="",I651="",K651=""),"",IF(K651="Monthly",EDATE(C651,ROUND(I651*SETTINGS!$I$8,0)),WORKDAY(C651,ROUND(I651*SETTINGS!$I$8,0))))</f>
        <v/>
      </c>
      <c r="AQ651" s="26" t="str">
        <f aca="true">IF(C651="","",IF(AND(AP651&lt;&gt;"",TODAY()&gt;=AP651),"Refi Ready",IF(TODAY()-C651&gt;=SETTINGS!$I$11,"Prospecting","Performing")))</f>
        <v/>
      </c>
      <c r="AR651" s="35" t="str">
        <f aca="false">IF(OR(C651="",I651="",K651=""),"",IF(K651="Monthly",EDATE(C651,I651),WORKDAY(C651,I651)))</f>
        <v/>
      </c>
      <c r="AS651" s="28"/>
      <c r="AT651" s="36" t="str">
        <f aca="true">IF(C651="","",IF(AM651="Clawed Back","CLAWED",IF(TODAY()&lt;=C651+SETTINGS!$I$2,"⚠ AT RISK","SAFE")))</f>
        <v/>
      </c>
      <c r="AU651" s="28"/>
      <c r="AW651" s="24" t="n">
        <f aca="false">AW650+IF(AND(C651&lt;&gt;"",AO651&lt;&gt;"",OR('REP COMMISSION'!$B$3="",T651='REP COMMISSION'!$B$3,W651='REP COMMISSION'!$B$3,Z651='REP COMMISSION'!$B$3)),1,0)</f>
        <v>0</v>
      </c>
      <c r="AX651" s="24" t="n">
        <f aca="false">AX650+IF(AND(C651&lt;&gt;"",OR(F651="LOC - INITIAL",F651="CONSOLIDATION - UPFRONT COMM",F651="REVERSE - TOTAL FUNDING")),1,0)</f>
        <v>0</v>
      </c>
    </row>
    <row r="652" customFormat="false" ht="15" hidden="false" customHeight="false" outlineLevel="0" collapsed="false">
      <c r="A652" s="8" t="str">
        <f aca="false">IF(C652&lt;&gt;"","F27-"&amp;COUNT($C$4:C652),"")</f>
        <v/>
      </c>
      <c r="B652" s="9" t="str">
        <f aca="false">IF(OR(F652="LOC - INITIAL",F652="CONSOLIDATION - UPFRONT COMM",F652="REVERSE - TOTAL FUNDING"),A652,"")</f>
        <v/>
      </c>
      <c r="C652" s="10"/>
      <c r="D652" s="11"/>
      <c r="E652" s="11"/>
      <c r="F652" s="11"/>
      <c r="G652" s="12"/>
      <c r="H652" s="13"/>
      <c r="I652" s="11"/>
      <c r="J652" s="14" t="str">
        <f aca="false">IF(AND(G652&lt;&gt;"",H652&lt;&gt;""),G652*H652,"")</f>
        <v/>
      </c>
      <c r="K652" s="11"/>
      <c r="L652" s="15"/>
      <c r="M652" s="15"/>
      <c r="N652" s="14" t="n">
        <f aca="false">IF(OR(G652="",M652=""),0,IF(M652&gt;100,M652,G652*IF(M652&gt;1,M652/100,M652)))</f>
        <v>0</v>
      </c>
      <c r="O652" s="14" t="str">
        <f aca="false">IF(G652="","",G652*IF(L652="",0,IF(L652&gt;1,L652/100,L652))+N652)</f>
        <v/>
      </c>
      <c r="P652" s="11"/>
      <c r="Q652" s="16" t="str">
        <f aca="false">IF(P652="","",IFERROR(VLOOKUP(P652,PARTNERS!$A$2:$B$30,2,0),""))</f>
        <v/>
      </c>
      <c r="R652" s="17" t="str">
        <f aca="false">IF(O652="","",IF(OR(P652="",Q652=""),0,(O652-N652)*IF(Q652&gt;1,Q652/100,Q652)))</f>
        <v/>
      </c>
      <c r="S652" s="14" t="str">
        <f aca="false">IF(O652="","",O652-R652)</f>
        <v/>
      </c>
      <c r="T652" s="11"/>
      <c r="U652" s="18" t="str">
        <f aca="false">IF(T652="","",IFERROR(VLOOKUP(T652,REPS!$A$2:$D$40,2,0),""))</f>
        <v/>
      </c>
      <c r="V652" s="14" t="str">
        <f aca="false">IF(O652="","",IF(U652="",0,O652*IF(U652&gt;1,U652/100,U652)))</f>
        <v/>
      </c>
      <c r="W652" s="11"/>
      <c r="X652" s="18" t="str">
        <f aca="false">IF(W652="","",IFERROR(VLOOKUP(W652,REPS!$A$2:$D$40,3,0),""))</f>
        <v/>
      </c>
      <c r="Y652" s="14" t="str">
        <f aca="false">IF(O652="","",IF(X652="",0,O652*IF(X652&gt;1,X652/100,X652)))</f>
        <v/>
      </c>
      <c r="Z652" s="11"/>
      <c r="AA652" s="18" t="str">
        <f aca="false">IF(Z652="","",IFERROR(VLOOKUP(Z652,REPS!$A$2:$D$40,4,0),""))</f>
        <v/>
      </c>
      <c r="AB652" s="14" t="str">
        <f aca="false">IF(O652="","",IF(AA652="",0,O652*IF(AA652&gt;1,AA652/100,AA652)))</f>
        <v/>
      </c>
      <c r="AC652" s="14" t="str">
        <f aca="false">IF(O652="","",V652+Y652+AB652)</f>
        <v/>
      </c>
      <c r="AD652" s="19" t="str">
        <f aca="false">IF(O652="","",O652-R652-AC652)</f>
        <v/>
      </c>
      <c r="AE652" s="20"/>
      <c r="AF652" s="10"/>
      <c r="AG652" s="21" t="n">
        <f aca="false">IF(OR(AE652="",AE652=0),0,AE652*IF(U652="",0,IF(U652&gt;1,U652/100,U652)))</f>
        <v>0</v>
      </c>
      <c r="AH652" s="21" t="n">
        <f aca="false">IF(OR(AE652="",AE652=0),0,AE652*IF(X652="",0,IF(X652&gt;1,X652/100,X652)))</f>
        <v>0</v>
      </c>
      <c r="AI652" s="21" t="n">
        <f aca="false">IF(OR(AE652="",AE652=0),0,AE652*IF(AA652="",0,IF(AA652&gt;1,AA652/100,AA652)))</f>
        <v>0</v>
      </c>
      <c r="AJ652" s="21" t="n">
        <f aca="false">AG652+AH652+AI652</f>
        <v>0</v>
      </c>
      <c r="AK652" s="21" t="n">
        <f aca="false">IF(OR(AE652="",AE652=0),0,AE652-AJ652)</f>
        <v>0</v>
      </c>
      <c r="AL652" s="19" t="str">
        <f aca="false">IF(AD652="","",AD652-AK652)</f>
        <v/>
      </c>
      <c r="AM652" s="9" t="str">
        <f aca="false">IF(C652="","","Waiting for payment")</f>
        <v/>
      </c>
      <c r="AN652" s="10"/>
      <c r="AO652" s="10"/>
      <c r="AP652" s="22" t="str">
        <f aca="false">IF(OR(C652="",I652="",K652=""),"",IF(K652="Monthly",EDATE(C652,ROUND(I652*SETTINGS!$I$8,0)),WORKDAY(C652,ROUND(I652*SETTINGS!$I$8,0))))</f>
        <v/>
      </c>
      <c r="AQ652" s="9" t="str">
        <f aca="true">IF(C652="","",IF(AND(AP652&lt;&gt;"",TODAY()&gt;=AP652),"Refi Ready",IF(TODAY()-C652&gt;=SETTINGS!$I$11,"Prospecting","Performing")))</f>
        <v/>
      </c>
      <c r="AR652" s="22" t="str">
        <f aca="false">IF(OR(C652="",I652="",K652=""),"",IF(K652="Monthly",EDATE(C652,I652),WORKDAY(C652,I652)))</f>
        <v/>
      </c>
      <c r="AS652" s="11"/>
      <c r="AT652" s="23" t="str">
        <f aca="true">IF(C652="","",IF(AM652="Clawed Back","CLAWED",IF(TODAY()&lt;=C652+SETTINGS!$I$2,"⚠ AT RISK","SAFE")))</f>
        <v/>
      </c>
      <c r="AU652" s="11"/>
      <c r="AW652" s="24" t="n">
        <f aca="false">AW651+IF(AND(C652&lt;&gt;"",AO652&lt;&gt;"",OR('REP COMMISSION'!$B$3="",T652='REP COMMISSION'!$B$3,W652='REP COMMISSION'!$B$3,Z652='REP COMMISSION'!$B$3)),1,0)</f>
        <v>0</v>
      </c>
      <c r="AX652" s="24" t="n">
        <f aca="false">AX651+IF(AND(C652&lt;&gt;"",OR(F652="LOC - INITIAL",F652="CONSOLIDATION - UPFRONT COMM",F652="REVERSE - TOTAL FUNDING")),1,0)</f>
        <v>0</v>
      </c>
    </row>
    <row r="653" customFormat="false" ht="15" hidden="false" customHeight="false" outlineLevel="0" collapsed="false">
      <c r="A653" s="25" t="str">
        <f aca="false">IF(C653&lt;&gt;"","F27-"&amp;COUNT($C$4:C653),"")</f>
        <v/>
      </c>
      <c r="B653" s="26" t="str">
        <f aca="false">IF(OR(F653="LOC - INITIAL",F653="CONSOLIDATION - UPFRONT COMM",F653="REVERSE - TOTAL FUNDING"),A653,"")</f>
        <v/>
      </c>
      <c r="C653" s="27"/>
      <c r="D653" s="28"/>
      <c r="E653" s="28"/>
      <c r="F653" s="28"/>
      <c r="G653" s="29"/>
      <c r="H653" s="30"/>
      <c r="I653" s="28"/>
      <c r="J653" s="31" t="str">
        <f aca="false">IF(AND(G653&lt;&gt;"",H653&lt;&gt;""),G653*H653,"")</f>
        <v/>
      </c>
      <c r="K653" s="28"/>
      <c r="L653" s="32"/>
      <c r="M653" s="32"/>
      <c r="N653" s="31" t="n">
        <f aca="false">IF(OR(G653="",M653=""),0,IF(M653&gt;100,M653,G653*IF(M653&gt;1,M653/100,M653)))</f>
        <v>0</v>
      </c>
      <c r="O653" s="31" t="str">
        <f aca="false">IF(G653="","",G653*IF(L653="",0,IF(L653&gt;1,L653/100,L653))+N653)</f>
        <v/>
      </c>
      <c r="P653" s="28"/>
      <c r="Q653" s="33" t="str">
        <f aca="false">IF(P653="","",IFERROR(VLOOKUP(P653,PARTNERS!$A$2:$B$30,2,0),""))</f>
        <v/>
      </c>
      <c r="R653" s="17" t="str">
        <f aca="false">IF(O653="","",IF(OR(P653="",Q653=""),0,(O653-N653)*IF(Q653&gt;1,Q653/100,Q653)))</f>
        <v/>
      </c>
      <c r="S653" s="31" t="str">
        <f aca="false">IF(O653="","",O653-R653)</f>
        <v/>
      </c>
      <c r="T653" s="28"/>
      <c r="U653" s="34" t="str">
        <f aca="false">IF(T653="","",IFERROR(VLOOKUP(T653,REPS!$A$2:$D$40,2,0),""))</f>
        <v/>
      </c>
      <c r="V653" s="31" t="str">
        <f aca="false">IF(O653="","",IF(U653="",0,O653*IF(U653&gt;1,U653/100,U653)))</f>
        <v/>
      </c>
      <c r="W653" s="28"/>
      <c r="X653" s="34" t="str">
        <f aca="false">IF(W653="","",IFERROR(VLOOKUP(W653,REPS!$A$2:$D$40,3,0),""))</f>
        <v/>
      </c>
      <c r="Y653" s="31" t="str">
        <f aca="false">IF(O653="","",IF(X653="",0,O653*IF(X653&gt;1,X653/100,X653)))</f>
        <v/>
      </c>
      <c r="Z653" s="28"/>
      <c r="AA653" s="34" t="str">
        <f aca="false">IF(Z653="","",IFERROR(VLOOKUP(Z653,REPS!$A$2:$D$40,4,0),""))</f>
        <v/>
      </c>
      <c r="AB653" s="31" t="str">
        <f aca="false">IF(O653="","",IF(AA653="",0,O653*IF(AA653&gt;1,AA653/100,AA653)))</f>
        <v/>
      </c>
      <c r="AC653" s="31" t="str">
        <f aca="false">IF(O653="","",V653+Y653+AB653)</f>
        <v/>
      </c>
      <c r="AD653" s="19" t="str">
        <f aca="false">IF(O653="","",O653-R653-AC653)</f>
        <v/>
      </c>
      <c r="AE653" s="20"/>
      <c r="AF653" s="27"/>
      <c r="AG653" s="21" t="n">
        <f aca="false">IF(OR(AE653="",AE653=0),0,AE653*IF(U653="",0,IF(U653&gt;1,U653/100,U653)))</f>
        <v>0</v>
      </c>
      <c r="AH653" s="21" t="n">
        <f aca="false">IF(OR(AE653="",AE653=0),0,AE653*IF(X653="",0,IF(X653&gt;1,X653/100,X653)))</f>
        <v>0</v>
      </c>
      <c r="AI653" s="21" t="n">
        <f aca="false">IF(OR(AE653="",AE653=0),0,AE653*IF(AA653="",0,IF(AA653&gt;1,AA653/100,AA653)))</f>
        <v>0</v>
      </c>
      <c r="AJ653" s="21" t="n">
        <f aca="false">AG653+AH653+AI653</f>
        <v>0</v>
      </c>
      <c r="AK653" s="21" t="n">
        <f aca="false">IF(OR(AE653="",AE653=0),0,AE653-AJ653)</f>
        <v>0</v>
      </c>
      <c r="AL653" s="19" t="str">
        <f aca="false">IF(AD653="","",AD653-AK653)</f>
        <v/>
      </c>
      <c r="AM653" s="26" t="str">
        <f aca="false">IF(C653="","","Waiting for payment")</f>
        <v/>
      </c>
      <c r="AN653" s="27"/>
      <c r="AO653" s="27"/>
      <c r="AP653" s="35" t="str">
        <f aca="false">IF(OR(C653="",I653="",K653=""),"",IF(K653="Monthly",EDATE(C653,ROUND(I653*SETTINGS!$I$8,0)),WORKDAY(C653,ROUND(I653*SETTINGS!$I$8,0))))</f>
        <v/>
      </c>
      <c r="AQ653" s="26" t="str">
        <f aca="true">IF(C653="","",IF(AND(AP653&lt;&gt;"",TODAY()&gt;=AP653),"Refi Ready",IF(TODAY()-C653&gt;=SETTINGS!$I$11,"Prospecting","Performing")))</f>
        <v/>
      </c>
      <c r="AR653" s="35" t="str">
        <f aca="false">IF(OR(C653="",I653="",K653=""),"",IF(K653="Monthly",EDATE(C653,I653),WORKDAY(C653,I653)))</f>
        <v/>
      </c>
      <c r="AS653" s="28"/>
      <c r="AT653" s="36" t="str">
        <f aca="true">IF(C653="","",IF(AM653="Clawed Back","CLAWED",IF(TODAY()&lt;=C653+SETTINGS!$I$2,"⚠ AT RISK","SAFE")))</f>
        <v/>
      </c>
      <c r="AU653" s="28"/>
      <c r="AW653" s="24" t="n">
        <f aca="false">AW652+IF(AND(C653&lt;&gt;"",AO653&lt;&gt;"",OR('REP COMMISSION'!$B$3="",T653='REP COMMISSION'!$B$3,W653='REP COMMISSION'!$B$3,Z653='REP COMMISSION'!$B$3)),1,0)</f>
        <v>0</v>
      </c>
      <c r="AX653" s="24" t="n">
        <f aca="false">AX652+IF(AND(C653&lt;&gt;"",OR(F653="LOC - INITIAL",F653="CONSOLIDATION - UPFRONT COMM",F653="REVERSE - TOTAL FUNDING")),1,0)</f>
        <v>0</v>
      </c>
    </row>
    <row r="654" customFormat="false" ht="15" hidden="false" customHeight="false" outlineLevel="0" collapsed="false">
      <c r="A654" s="8" t="str">
        <f aca="false">IF(C654&lt;&gt;"","F27-"&amp;COUNT($C$4:C654),"")</f>
        <v/>
      </c>
      <c r="B654" s="9" t="str">
        <f aca="false">IF(OR(F654="LOC - INITIAL",F654="CONSOLIDATION - UPFRONT COMM",F654="REVERSE - TOTAL FUNDING"),A654,"")</f>
        <v/>
      </c>
      <c r="C654" s="10"/>
      <c r="D654" s="11"/>
      <c r="E654" s="11"/>
      <c r="F654" s="11"/>
      <c r="G654" s="12"/>
      <c r="H654" s="13"/>
      <c r="I654" s="11"/>
      <c r="J654" s="14" t="str">
        <f aca="false">IF(AND(G654&lt;&gt;"",H654&lt;&gt;""),G654*H654,"")</f>
        <v/>
      </c>
      <c r="K654" s="11"/>
      <c r="L654" s="15"/>
      <c r="M654" s="15"/>
      <c r="N654" s="14" t="n">
        <f aca="false">IF(OR(G654="",M654=""),0,IF(M654&gt;100,M654,G654*IF(M654&gt;1,M654/100,M654)))</f>
        <v>0</v>
      </c>
      <c r="O654" s="14" t="str">
        <f aca="false">IF(G654="","",G654*IF(L654="",0,IF(L654&gt;1,L654/100,L654))+N654)</f>
        <v/>
      </c>
      <c r="P654" s="11"/>
      <c r="Q654" s="16" t="str">
        <f aca="false">IF(P654="","",IFERROR(VLOOKUP(P654,PARTNERS!$A$2:$B$30,2,0),""))</f>
        <v/>
      </c>
      <c r="R654" s="17" t="str">
        <f aca="false">IF(O654="","",IF(OR(P654="",Q654=""),0,(O654-N654)*IF(Q654&gt;1,Q654/100,Q654)))</f>
        <v/>
      </c>
      <c r="S654" s="14" t="str">
        <f aca="false">IF(O654="","",O654-R654)</f>
        <v/>
      </c>
      <c r="T654" s="11"/>
      <c r="U654" s="18" t="str">
        <f aca="false">IF(T654="","",IFERROR(VLOOKUP(T654,REPS!$A$2:$D$40,2,0),""))</f>
        <v/>
      </c>
      <c r="V654" s="14" t="str">
        <f aca="false">IF(O654="","",IF(U654="",0,O654*IF(U654&gt;1,U654/100,U654)))</f>
        <v/>
      </c>
      <c r="W654" s="11"/>
      <c r="X654" s="18" t="str">
        <f aca="false">IF(W654="","",IFERROR(VLOOKUP(W654,REPS!$A$2:$D$40,3,0),""))</f>
        <v/>
      </c>
      <c r="Y654" s="14" t="str">
        <f aca="false">IF(O654="","",IF(X654="",0,O654*IF(X654&gt;1,X654/100,X654)))</f>
        <v/>
      </c>
      <c r="Z654" s="11"/>
      <c r="AA654" s="18" t="str">
        <f aca="false">IF(Z654="","",IFERROR(VLOOKUP(Z654,REPS!$A$2:$D$40,4,0),""))</f>
        <v/>
      </c>
      <c r="AB654" s="14" t="str">
        <f aca="false">IF(O654="","",IF(AA654="",0,O654*IF(AA654&gt;1,AA654/100,AA654)))</f>
        <v/>
      </c>
      <c r="AC654" s="14" t="str">
        <f aca="false">IF(O654="","",V654+Y654+AB654)</f>
        <v/>
      </c>
      <c r="AD654" s="19" t="str">
        <f aca="false">IF(O654="","",O654-R654-AC654)</f>
        <v/>
      </c>
      <c r="AE654" s="20"/>
      <c r="AF654" s="10"/>
      <c r="AG654" s="21" t="n">
        <f aca="false">IF(OR(AE654="",AE654=0),0,AE654*IF(U654="",0,IF(U654&gt;1,U654/100,U654)))</f>
        <v>0</v>
      </c>
      <c r="AH654" s="21" t="n">
        <f aca="false">IF(OR(AE654="",AE654=0),0,AE654*IF(X654="",0,IF(X654&gt;1,X654/100,X654)))</f>
        <v>0</v>
      </c>
      <c r="AI654" s="21" t="n">
        <f aca="false">IF(OR(AE654="",AE654=0),0,AE654*IF(AA654="",0,IF(AA654&gt;1,AA654/100,AA654)))</f>
        <v>0</v>
      </c>
      <c r="AJ654" s="21" t="n">
        <f aca="false">AG654+AH654+AI654</f>
        <v>0</v>
      </c>
      <c r="AK654" s="21" t="n">
        <f aca="false">IF(OR(AE654="",AE654=0),0,AE654-AJ654)</f>
        <v>0</v>
      </c>
      <c r="AL654" s="19" t="str">
        <f aca="false">IF(AD654="","",AD654-AK654)</f>
        <v/>
      </c>
      <c r="AM654" s="9" t="str">
        <f aca="false">IF(C654="","","Waiting for payment")</f>
        <v/>
      </c>
      <c r="AN654" s="10"/>
      <c r="AO654" s="10"/>
      <c r="AP654" s="22" t="str">
        <f aca="false">IF(OR(C654="",I654="",K654=""),"",IF(K654="Monthly",EDATE(C654,ROUND(I654*SETTINGS!$I$8,0)),WORKDAY(C654,ROUND(I654*SETTINGS!$I$8,0))))</f>
        <v/>
      </c>
      <c r="AQ654" s="9" t="str">
        <f aca="true">IF(C654="","",IF(AND(AP654&lt;&gt;"",TODAY()&gt;=AP654),"Refi Ready",IF(TODAY()-C654&gt;=SETTINGS!$I$11,"Prospecting","Performing")))</f>
        <v/>
      </c>
      <c r="AR654" s="22" t="str">
        <f aca="false">IF(OR(C654="",I654="",K654=""),"",IF(K654="Monthly",EDATE(C654,I654),WORKDAY(C654,I654)))</f>
        <v/>
      </c>
      <c r="AS654" s="11"/>
      <c r="AT654" s="23" t="str">
        <f aca="true">IF(C654="","",IF(AM654="Clawed Back","CLAWED",IF(TODAY()&lt;=C654+SETTINGS!$I$2,"⚠ AT RISK","SAFE")))</f>
        <v/>
      </c>
      <c r="AU654" s="11"/>
      <c r="AW654" s="24" t="n">
        <f aca="false">AW653+IF(AND(C654&lt;&gt;"",AO654&lt;&gt;"",OR('REP COMMISSION'!$B$3="",T654='REP COMMISSION'!$B$3,W654='REP COMMISSION'!$B$3,Z654='REP COMMISSION'!$B$3)),1,0)</f>
        <v>0</v>
      </c>
      <c r="AX654" s="24" t="n">
        <f aca="false">AX653+IF(AND(C654&lt;&gt;"",OR(F654="LOC - INITIAL",F654="CONSOLIDATION - UPFRONT COMM",F654="REVERSE - TOTAL FUNDING")),1,0)</f>
        <v>0</v>
      </c>
    </row>
    <row r="655" customFormat="false" ht="15" hidden="false" customHeight="false" outlineLevel="0" collapsed="false">
      <c r="A655" s="25" t="str">
        <f aca="false">IF(C655&lt;&gt;"","F27-"&amp;COUNT($C$4:C655),"")</f>
        <v/>
      </c>
      <c r="B655" s="26" t="str">
        <f aca="false">IF(OR(F655="LOC - INITIAL",F655="CONSOLIDATION - UPFRONT COMM",F655="REVERSE - TOTAL FUNDING"),A655,"")</f>
        <v/>
      </c>
      <c r="C655" s="27"/>
      <c r="D655" s="28"/>
      <c r="E655" s="28"/>
      <c r="F655" s="28"/>
      <c r="G655" s="29"/>
      <c r="H655" s="30"/>
      <c r="I655" s="28"/>
      <c r="J655" s="31" t="str">
        <f aca="false">IF(AND(G655&lt;&gt;"",H655&lt;&gt;""),G655*H655,"")</f>
        <v/>
      </c>
      <c r="K655" s="28"/>
      <c r="L655" s="32"/>
      <c r="M655" s="32"/>
      <c r="N655" s="31" t="n">
        <f aca="false">IF(OR(G655="",M655=""),0,IF(M655&gt;100,M655,G655*IF(M655&gt;1,M655/100,M655)))</f>
        <v>0</v>
      </c>
      <c r="O655" s="31" t="str">
        <f aca="false">IF(G655="","",G655*IF(L655="",0,IF(L655&gt;1,L655/100,L655))+N655)</f>
        <v/>
      </c>
      <c r="P655" s="28"/>
      <c r="Q655" s="33" t="str">
        <f aca="false">IF(P655="","",IFERROR(VLOOKUP(P655,PARTNERS!$A$2:$B$30,2,0),""))</f>
        <v/>
      </c>
      <c r="R655" s="17" t="str">
        <f aca="false">IF(O655="","",IF(OR(P655="",Q655=""),0,(O655-N655)*IF(Q655&gt;1,Q655/100,Q655)))</f>
        <v/>
      </c>
      <c r="S655" s="31" t="str">
        <f aca="false">IF(O655="","",O655-R655)</f>
        <v/>
      </c>
      <c r="T655" s="28"/>
      <c r="U655" s="34" t="str">
        <f aca="false">IF(T655="","",IFERROR(VLOOKUP(T655,REPS!$A$2:$D$40,2,0),""))</f>
        <v/>
      </c>
      <c r="V655" s="31" t="str">
        <f aca="false">IF(O655="","",IF(U655="",0,O655*IF(U655&gt;1,U655/100,U655)))</f>
        <v/>
      </c>
      <c r="W655" s="28"/>
      <c r="X655" s="34" t="str">
        <f aca="false">IF(W655="","",IFERROR(VLOOKUP(W655,REPS!$A$2:$D$40,3,0),""))</f>
        <v/>
      </c>
      <c r="Y655" s="31" t="str">
        <f aca="false">IF(O655="","",IF(X655="",0,O655*IF(X655&gt;1,X655/100,X655)))</f>
        <v/>
      </c>
      <c r="Z655" s="28"/>
      <c r="AA655" s="34" t="str">
        <f aca="false">IF(Z655="","",IFERROR(VLOOKUP(Z655,REPS!$A$2:$D$40,4,0),""))</f>
        <v/>
      </c>
      <c r="AB655" s="31" t="str">
        <f aca="false">IF(O655="","",IF(AA655="",0,O655*IF(AA655&gt;1,AA655/100,AA655)))</f>
        <v/>
      </c>
      <c r="AC655" s="31" t="str">
        <f aca="false">IF(O655="","",V655+Y655+AB655)</f>
        <v/>
      </c>
      <c r="AD655" s="19" t="str">
        <f aca="false">IF(O655="","",O655-R655-AC655)</f>
        <v/>
      </c>
      <c r="AE655" s="20"/>
      <c r="AF655" s="27"/>
      <c r="AG655" s="21" t="n">
        <f aca="false">IF(OR(AE655="",AE655=0),0,AE655*IF(U655="",0,IF(U655&gt;1,U655/100,U655)))</f>
        <v>0</v>
      </c>
      <c r="AH655" s="21" t="n">
        <f aca="false">IF(OR(AE655="",AE655=0),0,AE655*IF(X655="",0,IF(X655&gt;1,X655/100,X655)))</f>
        <v>0</v>
      </c>
      <c r="AI655" s="21" t="n">
        <f aca="false">IF(OR(AE655="",AE655=0),0,AE655*IF(AA655="",0,IF(AA655&gt;1,AA655/100,AA655)))</f>
        <v>0</v>
      </c>
      <c r="AJ655" s="21" t="n">
        <f aca="false">AG655+AH655+AI655</f>
        <v>0</v>
      </c>
      <c r="AK655" s="21" t="n">
        <f aca="false">IF(OR(AE655="",AE655=0),0,AE655-AJ655)</f>
        <v>0</v>
      </c>
      <c r="AL655" s="19" t="str">
        <f aca="false">IF(AD655="","",AD655-AK655)</f>
        <v/>
      </c>
      <c r="AM655" s="26" t="str">
        <f aca="false">IF(C655="","","Waiting for payment")</f>
        <v/>
      </c>
      <c r="AN655" s="27"/>
      <c r="AO655" s="27"/>
      <c r="AP655" s="35" t="str">
        <f aca="false">IF(OR(C655="",I655="",K655=""),"",IF(K655="Monthly",EDATE(C655,ROUND(I655*SETTINGS!$I$8,0)),WORKDAY(C655,ROUND(I655*SETTINGS!$I$8,0))))</f>
        <v/>
      </c>
      <c r="AQ655" s="26" t="str">
        <f aca="true">IF(C655="","",IF(AND(AP655&lt;&gt;"",TODAY()&gt;=AP655),"Refi Ready",IF(TODAY()-C655&gt;=SETTINGS!$I$11,"Prospecting","Performing")))</f>
        <v/>
      </c>
      <c r="AR655" s="35" t="str">
        <f aca="false">IF(OR(C655="",I655="",K655=""),"",IF(K655="Monthly",EDATE(C655,I655),WORKDAY(C655,I655)))</f>
        <v/>
      </c>
      <c r="AS655" s="28"/>
      <c r="AT655" s="36" t="str">
        <f aca="true">IF(C655="","",IF(AM655="Clawed Back","CLAWED",IF(TODAY()&lt;=C655+SETTINGS!$I$2,"⚠ AT RISK","SAFE")))</f>
        <v/>
      </c>
      <c r="AU655" s="28"/>
      <c r="AW655" s="24" t="n">
        <f aca="false">AW654+IF(AND(C655&lt;&gt;"",AO655&lt;&gt;"",OR('REP COMMISSION'!$B$3="",T655='REP COMMISSION'!$B$3,W655='REP COMMISSION'!$B$3,Z655='REP COMMISSION'!$B$3)),1,0)</f>
        <v>0</v>
      </c>
      <c r="AX655" s="24" t="n">
        <f aca="false">AX654+IF(AND(C655&lt;&gt;"",OR(F655="LOC - INITIAL",F655="CONSOLIDATION - UPFRONT COMM",F655="REVERSE - TOTAL FUNDING")),1,0)</f>
        <v>0</v>
      </c>
    </row>
    <row r="656" customFormat="false" ht="15" hidden="false" customHeight="false" outlineLevel="0" collapsed="false">
      <c r="A656" s="8" t="str">
        <f aca="false">IF(C656&lt;&gt;"","F27-"&amp;COUNT($C$4:C656),"")</f>
        <v/>
      </c>
      <c r="B656" s="9" t="str">
        <f aca="false">IF(OR(F656="LOC - INITIAL",F656="CONSOLIDATION - UPFRONT COMM",F656="REVERSE - TOTAL FUNDING"),A656,"")</f>
        <v/>
      </c>
      <c r="C656" s="10"/>
      <c r="D656" s="11"/>
      <c r="E656" s="11"/>
      <c r="F656" s="11"/>
      <c r="G656" s="12"/>
      <c r="H656" s="13"/>
      <c r="I656" s="11"/>
      <c r="J656" s="14" t="str">
        <f aca="false">IF(AND(G656&lt;&gt;"",H656&lt;&gt;""),G656*H656,"")</f>
        <v/>
      </c>
      <c r="K656" s="11"/>
      <c r="L656" s="15"/>
      <c r="M656" s="15"/>
      <c r="N656" s="14" t="n">
        <f aca="false">IF(OR(G656="",M656=""),0,IF(M656&gt;100,M656,G656*IF(M656&gt;1,M656/100,M656)))</f>
        <v>0</v>
      </c>
      <c r="O656" s="14" t="str">
        <f aca="false">IF(G656="","",G656*IF(L656="",0,IF(L656&gt;1,L656/100,L656))+N656)</f>
        <v/>
      </c>
      <c r="P656" s="11"/>
      <c r="Q656" s="16" t="str">
        <f aca="false">IF(P656="","",IFERROR(VLOOKUP(P656,PARTNERS!$A$2:$B$30,2,0),""))</f>
        <v/>
      </c>
      <c r="R656" s="17" t="str">
        <f aca="false">IF(O656="","",IF(OR(P656="",Q656=""),0,(O656-N656)*IF(Q656&gt;1,Q656/100,Q656)))</f>
        <v/>
      </c>
      <c r="S656" s="14" t="str">
        <f aca="false">IF(O656="","",O656-R656)</f>
        <v/>
      </c>
      <c r="T656" s="11"/>
      <c r="U656" s="18" t="str">
        <f aca="false">IF(T656="","",IFERROR(VLOOKUP(T656,REPS!$A$2:$D$40,2,0),""))</f>
        <v/>
      </c>
      <c r="V656" s="14" t="str">
        <f aca="false">IF(O656="","",IF(U656="",0,O656*IF(U656&gt;1,U656/100,U656)))</f>
        <v/>
      </c>
      <c r="W656" s="11"/>
      <c r="X656" s="18" t="str">
        <f aca="false">IF(W656="","",IFERROR(VLOOKUP(W656,REPS!$A$2:$D$40,3,0),""))</f>
        <v/>
      </c>
      <c r="Y656" s="14" t="str">
        <f aca="false">IF(O656="","",IF(X656="",0,O656*IF(X656&gt;1,X656/100,X656)))</f>
        <v/>
      </c>
      <c r="Z656" s="11"/>
      <c r="AA656" s="18" t="str">
        <f aca="false">IF(Z656="","",IFERROR(VLOOKUP(Z656,REPS!$A$2:$D$40,4,0),""))</f>
        <v/>
      </c>
      <c r="AB656" s="14" t="str">
        <f aca="false">IF(O656="","",IF(AA656="",0,O656*IF(AA656&gt;1,AA656/100,AA656)))</f>
        <v/>
      </c>
      <c r="AC656" s="14" t="str">
        <f aca="false">IF(O656="","",V656+Y656+AB656)</f>
        <v/>
      </c>
      <c r="AD656" s="19" t="str">
        <f aca="false">IF(O656="","",O656-R656-AC656)</f>
        <v/>
      </c>
      <c r="AE656" s="20"/>
      <c r="AF656" s="10"/>
      <c r="AG656" s="21" t="n">
        <f aca="false">IF(OR(AE656="",AE656=0),0,AE656*IF(U656="",0,IF(U656&gt;1,U656/100,U656)))</f>
        <v>0</v>
      </c>
      <c r="AH656" s="21" t="n">
        <f aca="false">IF(OR(AE656="",AE656=0),0,AE656*IF(X656="",0,IF(X656&gt;1,X656/100,X656)))</f>
        <v>0</v>
      </c>
      <c r="AI656" s="21" t="n">
        <f aca="false">IF(OR(AE656="",AE656=0),0,AE656*IF(AA656="",0,IF(AA656&gt;1,AA656/100,AA656)))</f>
        <v>0</v>
      </c>
      <c r="AJ656" s="21" t="n">
        <f aca="false">AG656+AH656+AI656</f>
        <v>0</v>
      </c>
      <c r="AK656" s="21" t="n">
        <f aca="false">IF(OR(AE656="",AE656=0),0,AE656-AJ656)</f>
        <v>0</v>
      </c>
      <c r="AL656" s="19" t="str">
        <f aca="false">IF(AD656="","",AD656-AK656)</f>
        <v/>
      </c>
      <c r="AM656" s="9" t="str">
        <f aca="false">IF(C656="","","Waiting for payment")</f>
        <v/>
      </c>
      <c r="AN656" s="10"/>
      <c r="AO656" s="10"/>
      <c r="AP656" s="22" t="str">
        <f aca="false">IF(OR(C656="",I656="",K656=""),"",IF(K656="Monthly",EDATE(C656,ROUND(I656*SETTINGS!$I$8,0)),WORKDAY(C656,ROUND(I656*SETTINGS!$I$8,0))))</f>
        <v/>
      </c>
      <c r="AQ656" s="9" t="str">
        <f aca="true">IF(C656="","",IF(AND(AP656&lt;&gt;"",TODAY()&gt;=AP656),"Refi Ready",IF(TODAY()-C656&gt;=SETTINGS!$I$11,"Prospecting","Performing")))</f>
        <v/>
      </c>
      <c r="AR656" s="22" t="str">
        <f aca="false">IF(OR(C656="",I656="",K656=""),"",IF(K656="Monthly",EDATE(C656,I656),WORKDAY(C656,I656)))</f>
        <v/>
      </c>
      <c r="AS656" s="11"/>
      <c r="AT656" s="23" t="str">
        <f aca="true">IF(C656="","",IF(AM656="Clawed Back","CLAWED",IF(TODAY()&lt;=C656+SETTINGS!$I$2,"⚠ AT RISK","SAFE")))</f>
        <v/>
      </c>
      <c r="AU656" s="11"/>
      <c r="AW656" s="24" t="n">
        <f aca="false">AW655+IF(AND(C656&lt;&gt;"",AO656&lt;&gt;"",OR('REP COMMISSION'!$B$3="",T656='REP COMMISSION'!$B$3,W656='REP COMMISSION'!$B$3,Z656='REP COMMISSION'!$B$3)),1,0)</f>
        <v>0</v>
      </c>
      <c r="AX656" s="24" t="n">
        <f aca="false">AX655+IF(AND(C656&lt;&gt;"",OR(F656="LOC - INITIAL",F656="CONSOLIDATION - UPFRONT COMM",F656="REVERSE - TOTAL FUNDING")),1,0)</f>
        <v>0</v>
      </c>
    </row>
    <row r="657" customFormat="false" ht="15" hidden="false" customHeight="false" outlineLevel="0" collapsed="false">
      <c r="A657" s="25" t="str">
        <f aca="false">IF(C657&lt;&gt;"","F27-"&amp;COUNT($C$4:C657),"")</f>
        <v/>
      </c>
      <c r="B657" s="26" t="str">
        <f aca="false">IF(OR(F657="LOC - INITIAL",F657="CONSOLIDATION - UPFRONT COMM",F657="REVERSE - TOTAL FUNDING"),A657,"")</f>
        <v/>
      </c>
      <c r="C657" s="27"/>
      <c r="D657" s="28"/>
      <c r="E657" s="28"/>
      <c r="F657" s="28"/>
      <c r="G657" s="29"/>
      <c r="H657" s="30"/>
      <c r="I657" s="28"/>
      <c r="J657" s="31" t="str">
        <f aca="false">IF(AND(G657&lt;&gt;"",H657&lt;&gt;""),G657*H657,"")</f>
        <v/>
      </c>
      <c r="K657" s="28"/>
      <c r="L657" s="32"/>
      <c r="M657" s="32"/>
      <c r="N657" s="31" t="n">
        <f aca="false">IF(OR(G657="",M657=""),0,IF(M657&gt;100,M657,G657*IF(M657&gt;1,M657/100,M657)))</f>
        <v>0</v>
      </c>
      <c r="O657" s="31" t="str">
        <f aca="false">IF(G657="","",G657*IF(L657="",0,IF(L657&gt;1,L657/100,L657))+N657)</f>
        <v/>
      </c>
      <c r="P657" s="28"/>
      <c r="Q657" s="33" t="str">
        <f aca="false">IF(P657="","",IFERROR(VLOOKUP(P657,PARTNERS!$A$2:$B$30,2,0),""))</f>
        <v/>
      </c>
      <c r="R657" s="17" t="str">
        <f aca="false">IF(O657="","",IF(OR(P657="",Q657=""),0,(O657-N657)*IF(Q657&gt;1,Q657/100,Q657)))</f>
        <v/>
      </c>
      <c r="S657" s="31" t="str">
        <f aca="false">IF(O657="","",O657-R657)</f>
        <v/>
      </c>
      <c r="T657" s="28"/>
      <c r="U657" s="34" t="str">
        <f aca="false">IF(T657="","",IFERROR(VLOOKUP(T657,REPS!$A$2:$D$40,2,0),""))</f>
        <v/>
      </c>
      <c r="V657" s="31" t="str">
        <f aca="false">IF(O657="","",IF(U657="",0,O657*IF(U657&gt;1,U657/100,U657)))</f>
        <v/>
      </c>
      <c r="W657" s="28"/>
      <c r="X657" s="34" t="str">
        <f aca="false">IF(W657="","",IFERROR(VLOOKUP(W657,REPS!$A$2:$D$40,3,0),""))</f>
        <v/>
      </c>
      <c r="Y657" s="31" t="str">
        <f aca="false">IF(O657="","",IF(X657="",0,O657*IF(X657&gt;1,X657/100,X657)))</f>
        <v/>
      </c>
      <c r="Z657" s="28"/>
      <c r="AA657" s="34" t="str">
        <f aca="false">IF(Z657="","",IFERROR(VLOOKUP(Z657,REPS!$A$2:$D$40,4,0),""))</f>
        <v/>
      </c>
      <c r="AB657" s="31" t="str">
        <f aca="false">IF(O657="","",IF(AA657="",0,O657*IF(AA657&gt;1,AA657/100,AA657)))</f>
        <v/>
      </c>
      <c r="AC657" s="31" t="str">
        <f aca="false">IF(O657="","",V657+Y657+AB657)</f>
        <v/>
      </c>
      <c r="AD657" s="19" t="str">
        <f aca="false">IF(O657="","",O657-R657-AC657)</f>
        <v/>
      </c>
      <c r="AE657" s="20"/>
      <c r="AF657" s="27"/>
      <c r="AG657" s="21" t="n">
        <f aca="false">IF(OR(AE657="",AE657=0),0,AE657*IF(U657="",0,IF(U657&gt;1,U657/100,U657)))</f>
        <v>0</v>
      </c>
      <c r="AH657" s="21" t="n">
        <f aca="false">IF(OR(AE657="",AE657=0),0,AE657*IF(X657="",0,IF(X657&gt;1,X657/100,X657)))</f>
        <v>0</v>
      </c>
      <c r="AI657" s="21" t="n">
        <f aca="false">IF(OR(AE657="",AE657=0),0,AE657*IF(AA657="",0,IF(AA657&gt;1,AA657/100,AA657)))</f>
        <v>0</v>
      </c>
      <c r="AJ657" s="21" t="n">
        <f aca="false">AG657+AH657+AI657</f>
        <v>0</v>
      </c>
      <c r="AK657" s="21" t="n">
        <f aca="false">IF(OR(AE657="",AE657=0),0,AE657-AJ657)</f>
        <v>0</v>
      </c>
      <c r="AL657" s="19" t="str">
        <f aca="false">IF(AD657="","",AD657-AK657)</f>
        <v/>
      </c>
      <c r="AM657" s="26" t="str">
        <f aca="false">IF(C657="","","Waiting for payment")</f>
        <v/>
      </c>
      <c r="AN657" s="27"/>
      <c r="AO657" s="27"/>
      <c r="AP657" s="35" t="str">
        <f aca="false">IF(OR(C657="",I657="",K657=""),"",IF(K657="Monthly",EDATE(C657,ROUND(I657*SETTINGS!$I$8,0)),WORKDAY(C657,ROUND(I657*SETTINGS!$I$8,0))))</f>
        <v/>
      </c>
      <c r="AQ657" s="26" t="str">
        <f aca="true">IF(C657="","",IF(AND(AP657&lt;&gt;"",TODAY()&gt;=AP657),"Refi Ready",IF(TODAY()-C657&gt;=SETTINGS!$I$11,"Prospecting","Performing")))</f>
        <v/>
      </c>
      <c r="AR657" s="35" t="str">
        <f aca="false">IF(OR(C657="",I657="",K657=""),"",IF(K657="Monthly",EDATE(C657,I657),WORKDAY(C657,I657)))</f>
        <v/>
      </c>
      <c r="AS657" s="28"/>
      <c r="AT657" s="36" t="str">
        <f aca="true">IF(C657="","",IF(AM657="Clawed Back","CLAWED",IF(TODAY()&lt;=C657+SETTINGS!$I$2,"⚠ AT RISK","SAFE")))</f>
        <v/>
      </c>
      <c r="AU657" s="28"/>
      <c r="AW657" s="24" t="n">
        <f aca="false">AW656+IF(AND(C657&lt;&gt;"",AO657&lt;&gt;"",OR('REP COMMISSION'!$B$3="",T657='REP COMMISSION'!$B$3,W657='REP COMMISSION'!$B$3,Z657='REP COMMISSION'!$B$3)),1,0)</f>
        <v>0</v>
      </c>
      <c r="AX657" s="24" t="n">
        <f aca="false">AX656+IF(AND(C657&lt;&gt;"",OR(F657="LOC - INITIAL",F657="CONSOLIDATION - UPFRONT COMM",F657="REVERSE - TOTAL FUNDING")),1,0)</f>
        <v>0</v>
      </c>
    </row>
    <row r="658" customFormat="false" ht="15" hidden="false" customHeight="false" outlineLevel="0" collapsed="false">
      <c r="A658" s="8" t="str">
        <f aca="false">IF(C658&lt;&gt;"","F27-"&amp;COUNT($C$4:C658),"")</f>
        <v/>
      </c>
      <c r="B658" s="9" t="str">
        <f aca="false">IF(OR(F658="LOC - INITIAL",F658="CONSOLIDATION - UPFRONT COMM",F658="REVERSE - TOTAL FUNDING"),A658,"")</f>
        <v/>
      </c>
      <c r="C658" s="10"/>
      <c r="D658" s="11"/>
      <c r="E658" s="11"/>
      <c r="F658" s="11"/>
      <c r="G658" s="12"/>
      <c r="H658" s="13"/>
      <c r="I658" s="11"/>
      <c r="J658" s="14" t="str">
        <f aca="false">IF(AND(G658&lt;&gt;"",H658&lt;&gt;""),G658*H658,"")</f>
        <v/>
      </c>
      <c r="K658" s="11"/>
      <c r="L658" s="15"/>
      <c r="M658" s="15"/>
      <c r="N658" s="14" t="n">
        <f aca="false">IF(OR(G658="",M658=""),0,IF(M658&gt;100,M658,G658*IF(M658&gt;1,M658/100,M658)))</f>
        <v>0</v>
      </c>
      <c r="O658" s="14" t="str">
        <f aca="false">IF(G658="","",G658*IF(L658="",0,IF(L658&gt;1,L658/100,L658))+N658)</f>
        <v/>
      </c>
      <c r="P658" s="11"/>
      <c r="Q658" s="16" t="str">
        <f aca="false">IF(P658="","",IFERROR(VLOOKUP(P658,PARTNERS!$A$2:$B$30,2,0),""))</f>
        <v/>
      </c>
      <c r="R658" s="17" t="str">
        <f aca="false">IF(O658="","",IF(OR(P658="",Q658=""),0,(O658-N658)*IF(Q658&gt;1,Q658/100,Q658)))</f>
        <v/>
      </c>
      <c r="S658" s="14" t="str">
        <f aca="false">IF(O658="","",O658-R658)</f>
        <v/>
      </c>
      <c r="T658" s="11"/>
      <c r="U658" s="18" t="str">
        <f aca="false">IF(T658="","",IFERROR(VLOOKUP(T658,REPS!$A$2:$D$40,2,0),""))</f>
        <v/>
      </c>
      <c r="V658" s="14" t="str">
        <f aca="false">IF(O658="","",IF(U658="",0,O658*IF(U658&gt;1,U658/100,U658)))</f>
        <v/>
      </c>
      <c r="W658" s="11"/>
      <c r="X658" s="18" t="str">
        <f aca="false">IF(W658="","",IFERROR(VLOOKUP(W658,REPS!$A$2:$D$40,3,0),""))</f>
        <v/>
      </c>
      <c r="Y658" s="14" t="str">
        <f aca="false">IF(O658="","",IF(X658="",0,O658*IF(X658&gt;1,X658/100,X658)))</f>
        <v/>
      </c>
      <c r="Z658" s="11"/>
      <c r="AA658" s="18" t="str">
        <f aca="false">IF(Z658="","",IFERROR(VLOOKUP(Z658,REPS!$A$2:$D$40,4,0),""))</f>
        <v/>
      </c>
      <c r="AB658" s="14" t="str">
        <f aca="false">IF(O658="","",IF(AA658="",0,O658*IF(AA658&gt;1,AA658/100,AA658)))</f>
        <v/>
      </c>
      <c r="AC658" s="14" t="str">
        <f aca="false">IF(O658="","",V658+Y658+AB658)</f>
        <v/>
      </c>
      <c r="AD658" s="19" t="str">
        <f aca="false">IF(O658="","",O658-R658-AC658)</f>
        <v/>
      </c>
      <c r="AE658" s="20"/>
      <c r="AF658" s="10"/>
      <c r="AG658" s="21" t="n">
        <f aca="false">IF(OR(AE658="",AE658=0),0,AE658*IF(U658="",0,IF(U658&gt;1,U658/100,U658)))</f>
        <v>0</v>
      </c>
      <c r="AH658" s="21" t="n">
        <f aca="false">IF(OR(AE658="",AE658=0),0,AE658*IF(X658="",0,IF(X658&gt;1,X658/100,X658)))</f>
        <v>0</v>
      </c>
      <c r="AI658" s="21" t="n">
        <f aca="false">IF(OR(AE658="",AE658=0),0,AE658*IF(AA658="",0,IF(AA658&gt;1,AA658/100,AA658)))</f>
        <v>0</v>
      </c>
      <c r="AJ658" s="21" t="n">
        <f aca="false">AG658+AH658+AI658</f>
        <v>0</v>
      </c>
      <c r="AK658" s="21" t="n">
        <f aca="false">IF(OR(AE658="",AE658=0),0,AE658-AJ658)</f>
        <v>0</v>
      </c>
      <c r="AL658" s="19" t="str">
        <f aca="false">IF(AD658="","",AD658-AK658)</f>
        <v/>
      </c>
      <c r="AM658" s="9" t="str">
        <f aca="false">IF(C658="","","Waiting for payment")</f>
        <v/>
      </c>
      <c r="AN658" s="10"/>
      <c r="AO658" s="10"/>
      <c r="AP658" s="22" t="str">
        <f aca="false">IF(OR(C658="",I658="",K658=""),"",IF(K658="Monthly",EDATE(C658,ROUND(I658*SETTINGS!$I$8,0)),WORKDAY(C658,ROUND(I658*SETTINGS!$I$8,0))))</f>
        <v/>
      </c>
      <c r="AQ658" s="9" t="str">
        <f aca="true">IF(C658="","",IF(AND(AP658&lt;&gt;"",TODAY()&gt;=AP658),"Refi Ready",IF(TODAY()-C658&gt;=SETTINGS!$I$11,"Prospecting","Performing")))</f>
        <v/>
      </c>
      <c r="AR658" s="22" t="str">
        <f aca="false">IF(OR(C658="",I658="",K658=""),"",IF(K658="Monthly",EDATE(C658,I658),WORKDAY(C658,I658)))</f>
        <v/>
      </c>
      <c r="AS658" s="11"/>
      <c r="AT658" s="23" t="str">
        <f aca="true">IF(C658="","",IF(AM658="Clawed Back","CLAWED",IF(TODAY()&lt;=C658+SETTINGS!$I$2,"⚠ AT RISK","SAFE")))</f>
        <v/>
      </c>
      <c r="AU658" s="11"/>
      <c r="AW658" s="24" t="n">
        <f aca="false">AW657+IF(AND(C658&lt;&gt;"",AO658&lt;&gt;"",OR('REP COMMISSION'!$B$3="",T658='REP COMMISSION'!$B$3,W658='REP COMMISSION'!$B$3,Z658='REP COMMISSION'!$B$3)),1,0)</f>
        <v>0</v>
      </c>
      <c r="AX658" s="24" t="n">
        <f aca="false">AX657+IF(AND(C658&lt;&gt;"",OR(F658="LOC - INITIAL",F658="CONSOLIDATION - UPFRONT COMM",F658="REVERSE - TOTAL FUNDING")),1,0)</f>
        <v>0</v>
      </c>
    </row>
    <row r="659" customFormat="false" ht="15" hidden="false" customHeight="false" outlineLevel="0" collapsed="false">
      <c r="A659" s="25" t="str">
        <f aca="false">IF(C659&lt;&gt;"","F27-"&amp;COUNT($C$4:C659),"")</f>
        <v/>
      </c>
      <c r="B659" s="26" t="str">
        <f aca="false">IF(OR(F659="LOC - INITIAL",F659="CONSOLIDATION - UPFRONT COMM",F659="REVERSE - TOTAL FUNDING"),A659,"")</f>
        <v/>
      </c>
      <c r="C659" s="27"/>
      <c r="D659" s="28"/>
      <c r="E659" s="28"/>
      <c r="F659" s="28"/>
      <c r="G659" s="29"/>
      <c r="H659" s="30"/>
      <c r="I659" s="28"/>
      <c r="J659" s="31" t="str">
        <f aca="false">IF(AND(G659&lt;&gt;"",H659&lt;&gt;""),G659*H659,"")</f>
        <v/>
      </c>
      <c r="K659" s="28"/>
      <c r="L659" s="32"/>
      <c r="M659" s="32"/>
      <c r="N659" s="31" t="n">
        <f aca="false">IF(OR(G659="",M659=""),0,IF(M659&gt;100,M659,G659*IF(M659&gt;1,M659/100,M659)))</f>
        <v>0</v>
      </c>
      <c r="O659" s="31" t="str">
        <f aca="false">IF(G659="","",G659*IF(L659="",0,IF(L659&gt;1,L659/100,L659))+N659)</f>
        <v/>
      </c>
      <c r="P659" s="28"/>
      <c r="Q659" s="33" t="str">
        <f aca="false">IF(P659="","",IFERROR(VLOOKUP(P659,PARTNERS!$A$2:$B$30,2,0),""))</f>
        <v/>
      </c>
      <c r="R659" s="17" t="str">
        <f aca="false">IF(O659="","",IF(OR(P659="",Q659=""),0,(O659-N659)*IF(Q659&gt;1,Q659/100,Q659)))</f>
        <v/>
      </c>
      <c r="S659" s="31" t="str">
        <f aca="false">IF(O659="","",O659-R659)</f>
        <v/>
      </c>
      <c r="T659" s="28"/>
      <c r="U659" s="34" t="str">
        <f aca="false">IF(T659="","",IFERROR(VLOOKUP(T659,REPS!$A$2:$D$40,2,0),""))</f>
        <v/>
      </c>
      <c r="V659" s="31" t="str">
        <f aca="false">IF(O659="","",IF(U659="",0,O659*IF(U659&gt;1,U659/100,U659)))</f>
        <v/>
      </c>
      <c r="W659" s="28"/>
      <c r="X659" s="34" t="str">
        <f aca="false">IF(W659="","",IFERROR(VLOOKUP(W659,REPS!$A$2:$D$40,3,0),""))</f>
        <v/>
      </c>
      <c r="Y659" s="31" t="str">
        <f aca="false">IF(O659="","",IF(X659="",0,O659*IF(X659&gt;1,X659/100,X659)))</f>
        <v/>
      </c>
      <c r="Z659" s="28"/>
      <c r="AA659" s="34" t="str">
        <f aca="false">IF(Z659="","",IFERROR(VLOOKUP(Z659,REPS!$A$2:$D$40,4,0),""))</f>
        <v/>
      </c>
      <c r="AB659" s="31" t="str">
        <f aca="false">IF(O659="","",IF(AA659="",0,O659*IF(AA659&gt;1,AA659/100,AA659)))</f>
        <v/>
      </c>
      <c r="AC659" s="31" t="str">
        <f aca="false">IF(O659="","",V659+Y659+AB659)</f>
        <v/>
      </c>
      <c r="AD659" s="19" t="str">
        <f aca="false">IF(O659="","",O659-R659-AC659)</f>
        <v/>
      </c>
      <c r="AE659" s="20"/>
      <c r="AF659" s="27"/>
      <c r="AG659" s="21" t="n">
        <f aca="false">IF(OR(AE659="",AE659=0),0,AE659*IF(U659="",0,IF(U659&gt;1,U659/100,U659)))</f>
        <v>0</v>
      </c>
      <c r="AH659" s="21" t="n">
        <f aca="false">IF(OR(AE659="",AE659=0),0,AE659*IF(X659="",0,IF(X659&gt;1,X659/100,X659)))</f>
        <v>0</v>
      </c>
      <c r="AI659" s="21" t="n">
        <f aca="false">IF(OR(AE659="",AE659=0),0,AE659*IF(AA659="",0,IF(AA659&gt;1,AA659/100,AA659)))</f>
        <v>0</v>
      </c>
      <c r="AJ659" s="21" t="n">
        <f aca="false">AG659+AH659+AI659</f>
        <v>0</v>
      </c>
      <c r="AK659" s="21" t="n">
        <f aca="false">IF(OR(AE659="",AE659=0),0,AE659-AJ659)</f>
        <v>0</v>
      </c>
      <c r="AL659" s="19" t="str">
        <f aca="false">IF(AD659="","",AD659-AK659)</f>
        <v/>
      </c>
      <c r="AM659" s="26" t="str">
        <f aca="false">IF(C659="","","Waiting for payment")</f>
        <v/>
      </c>
      <c r="AN659" s="27"/>
      <c r="AO659" s="27"/>
      <c r="AP659" s="35" t="str">
        <f aca="false">IF(OR(C659="",I659="",K659=""),"",IF(K659="Monthly",EDATE(C659,ROUND(I659*SETTINGS!$I$8,0)),WORKDAY(C659,ROUND(I659*SETTINGS!$I$8,0))))</f>
        <v/>
      </c>
      <c r="AQ659" s="26" t="str">
        <f aca="true">IF(C659="","",IF(AND(AP659&lt;&gt;"",TODAY()&gt;=AP659),"Refi Ready",IF(TODAY()-C659&gt;=SETTINGS!$I$11,"Prospecting","Performing")))</f>
        <v/>
      </c>
      <c r="AR659" s="35" t="str">
        <f aca="false">IF(OR(C659="",I659="",K659=""),"",IF(K659="Monthly",EDATE(C659,I659),WORKDAY(C659,I659)))</f>
        <v/>
      </c>
      <c r="AS659" s="28"/>
      <c r="AT659" s="36" t="str">
        <f aca="true">IF(C659="","",IF(AM659="Clawed Back","CLAWED",IF(TODAY()&lt;=C659+SETTINGS!$I$2,"⚠ AT RISK","SAFE")))</f>
        <v/>
      </c>
      <c r="AU659" s="28"/>
      <c r="AW659" s="24" t="n">
        <f aca="false">AW658+IF(AND(C659&lt;&gt;"",AO659&lt;&gt;"",OR('REP COMMISSION'!$B$3="",T659='REP COMMISSION'!$B$3,W659='REP COMMISSION'!$B$3,Z659='REP COMMISSION'!$B$3)),1,0)</f>
        <v>0</v>
      </c>
      <c r="AX659" s="24" t="n">
        <f aca="false">AX658+IF(AND(C659&lt;&gt;"",OR(F659="LOC - INITIAL",F659="CONSOLIDATION - UPFRONT COMM",F659="REVERSE - TOTAL FUNDING")),1,0)</f>
        <v>0</v>
      </c>
    </row>
    <row r="660" customFormat="false" ht="15" hidden="false" customHeight="false" outlineLevel="0" collapsed="false">
      <c r="A660" s="8" t="str">
        <f aca="false">IF(C660&lt;&gt;"","F27-"&amp;COUNT($C$4:C660),"")</f>
        <v/>
      </c>
      <c r="B660" s="9" t="str">
        <f aca="false">IF(OR(F660="LOC - INITIAL",F660="CONSOLIDATION - UPFRONT COMM",F660="REVERSE - TOTAL FUNDING"),A660,"")</f>
        <v/>
      </c>
      <c r="C660" s="10"/>
      <c r="D660" s="11"/>
      <c r="E660" s="11"/>
      <c r="F660" s="11"/>
      <c r="G660" s="12"/>
      <c r="H660" s="13"/>
      <c r="I660" s="11"/>
      <c r="J660" s="14" t="str">
        <f aca="false">IF(AND(G660&lt;&gt;"",H660&lt;&gt;""),G660*H660,"")</f>
        <v/>
      </c>
      <c r="K660" s="11"/>
      <c r="L660" s="15"/>
      <c r="M660" s="15"/>
      <c r="N660" s="14" t="n">
        <f aca="false">IF(OR(G660="",M660=""),0,IF(M660&gt;100,M660,G660*IF(M660&gt;1,M660/100,M660)))</f>
        <v>0</v>
      </c>
      <c r="O660" s="14" t="str">
        <f aca="false">IF(G660="","",G660*IF(L660="",0,IF(L660&gt;1,L660/100,L660))+N660)</f>
        <v/>
      </c>
      <c r="P660" s="11"/>
      <c r="Q660" s="16" t="str">
        <f aca="false">IF(P660="","",IFERROR(VLOOKUP(P660,PARTNERS!$A$2:$B$30,2,0),""))</f>
        <v/>
      </c>
      <c r="R660" s="17" t="str">
        <f aca="false">IF(O660="","",IF(OR(P660="",Q660=""),0,(O660-N660)*IF(Q660&gt;1,Q660/100,Q660)))</f>
        <v/>
      </c>
      <c r="S660" s="14" t="str">
        <f aca="false">IF(O660="","",O660-R660)</f>
        <v/>
      </c>
      <c r="T660" s="11"/>
      <c r="U660" s="18" t="str">
        <f aca="false">IF(T660="","",IFERROR(VLOOKUP(T660,REPS!$A$2:$D$40,2,0),""))</f>
        <v/>
      </c>
      <c r="V660" s="14" t="str">
        <f aca="false">IF(O660="","",IF(U660="",0,O660*IF(U660&gt;1,U660/100,U660)))</f>
        <v/>
      </c>
      <c r="W660" s="11"/>
      <c r="X660" s="18" t="str">
        <f aca="false">IF(W660="","",IFERROR(VLOOKUP(W660,REPS!$A$2:$D$40,3,0),""))</f>
        <v/>
      </c>
      <c r="Y660" s="14" t="str">
        <f aca="false">IF(O660="","",IF(X660="",0,O660*IF(X660&gt;1,X660/100,X660)))</f>
        <v/>
      </c>
      <c r="Z660" s="11"/>
      <c r="AA660" s="18" t="str">
        <f aca="false">IF(Z660="","",IFERROR(VLOOKUP(Z660,REPS!$A$2:$D$40,4,0),""))</f>
        <v/>
      </c>
      <c r="AB660" s="14" t="str">
        <f aca="false">IF(O660="","",IF(AA660="",0,O660*IF(AA660&gt;1,AA660/100,AA660)))</f>
        <v/>
      </c>
      <c r="AC660" s="14" t="str">
        <f aca="false">IF(O660="","",V660+Y660+AB660)</f>
        <v/>
      </c>
      <c r="AD660" s="19" t="str">
        <f aca="false">IF(O660="","",O660-R660-AC660)</f>
        <v/>
      </c>
      <c r="AE660" s="20"/>
      <c r="AF660" s="10"/>
      <c r="AG660" s="21" t="n">
        <f aca="false">IF(OR(AE660="",AE660=0),0,AE660*IF(U660="",0,IF(U660&gt;1,U660/100,U660)))</f>
        <v>0</v>
      </c>
      <c r="AH660" s="21" t="n">
        <f aca="false">IF(OR(AE660="",AE660=0),0,AE660*IF(X660="",0,IF(X660&gt;1,X660/100,X660)))</f>
        <v>0</v>
      </c>
      <c r="AI660" s="21" t="n">
        <f aca="false">IF(OR(AE660="",AE660=0),0,AE660*IF(AA660="",0,IF(AA660&gt;1,AA660/100,AA660)))</f>
        <v>0</v>
      </c>
      <c r="AJ660" s="21" t="n">
        <f aca="false">AG660+AH660+AI660</f>
        <v>0</v>
      </c>
      <c r="AK660" s="21" t="n">
        <f aca="false">IF(OR(AE660="",AE660=0),0,AE660-AJ660)</f>
        <v>0</v>
      </c>
      <c r="AL660" s="19" t="str">
        <f aca="false">IF(AD660="","",AD660-AK660)</f>
        <v/>
      </c>
      <c r="AM660" s="9" t="str">
        <f aca="false">IF(C660="","","Waiting for payment")</f>
        <v/>
      </c>
      <c r="AN660" s="10"/>
      <c r="AO660" s="10"/>
      <c r="AP660" s="22" t="str">
        <f aca="false">IF(OR(C660="",I660="",K660=""),"",IF(K660="Monthly",EDATE(C660,ROUND(I660*SETTINGS!$I$8,0)),WORKDAY(C660,ROUND(I660*SETTINGS!$I$8,0))))</f>
        <v/>
      </c>
      <c r="AQ660" s="9" t="str">
        <f aca="true">IF(C660="","",IF(AND(AP660&lt;&gt;"",TODAY()&gt;=AP660),"Refi Ready",IF(TODAY()-C660&gt;=SETTINGS!$I$11,"Prospecting","Performing")))</f>
        <v/>
      </c>
      <c r="AR660" s="22" t="str">
        <f aca="false">IF(OR(C660="",I660="",K660=""),"",IF(K660="Monthly",EDATE(C660,I660),WORKDAY(C660,I660)))</f>
        <v/>
      </c>
      <c r="AS660" s="11"/>
      <c r="AT660" s="23" t="str">
        <f aca="true">IF(C660="","",IF(AM660="Clawed Back","CLAWED",IF(TODAY()&lt;=C660+SETTINGS!$I$2,"⚠ AT RISK","SAFE")))</f>
        <v/>
      </c>
      <c r="AU660" s="11"/>
      <c r="AW660" s="24" t="n">
        <f aca="false">AW659+IF(AND(C660&lt;&gt;"",AO660&lt;&gt;"",OR('REP COMMISSION'!$B$3="",T660='REP COMMISSION'!$B$3,W660='REP COMMISSION'!$B$3,Z660='REP COMMISSION'!$B$3)),1,0)</f>
        <v>0</v>
      </c>
      <c r="AX660" s="24" t="n">
        <f aca="false">AX659+IF(AND(C660&lt;&gt;"",OR(F660="LOC - INITIAL",F660="CONSOLIDATION - UPFRONT COMM",F660="REVERSE - TOTAL FUNDING")),1,0)</f>
        <v>0</v>
      </c>
    </row>
    <row r="661" customFormat="false" ht="15" hidden="false" customHeight="false" outlineLevel="0" collapsed="false">
      <c r="A661" s="25" t="str">
        <f aca="false">IF(C661&lt;&gt;"","F27-"&amp;COUNT($C$4:C661),"")</f>
        <v/>
      </c>
      <c r="B661" s="26" t="str">
        <f aca="false">IF(OR(F661="LOC - INITIAL",F661="CONSOLIDATION - UPFRONT COMM",F661="REVERSE - TOTAL FUNDING"),A661,"")</f>
        <v/>
      </c>
      <c r="C661" s="27"/>
      <c r="D661" s="28"/>
      <c r="E661" s="28"/>
      <c r="F661" s="28"/>
      <c r="G661" s="29"/>
      <c r="H661" s="30"/>
      <c r="I661" s="28"/>
      <c r="J661" s="31" t="str">
        <f aca="false">IF(AND(G661&lt;&gt;"",H661&lt;&gt;""),G661*H661,"")</f>
        <v/>
      </c>
      <c r="K661" s="28"/>
      <c r="L661" s="32"/>
      <c r="M661" s="32"/>
      <c r="N661" s="31" t="n">
        <f aca="false">IF(OR(G661="",M661=""),0,IF(M661&gt;100,M661,G661*IF(M661&gt;1,M661/100,M661)))</f>
        <v>0</v>
      </c>
      <c r="O661" s="31" t="str">
        <f aca="false">IF(G661="","",G661*IF(L661="",0,IF(L661&gt;1,L661/100,L661))+N661)</f>
        <v/>
      </c>
      <c r="P661" s="28"/>
      <c r="Q661" s="33" t="str">
        <f aca="false">IF(P661="","",IFERROR(VLOOKUP(P661,PARTNERS!$A$2:$B$30,2,0),""))</f>
        <v/>
      </c>
      <c r="R661" s="17" t="str">
        <f aca="false">IF(O661="","",IF(OR(P661="",Q661=""),0,(O661-N661)*IF(Q661&gt;1,Q661/100,Q661)))</f>
        <v/>
      </c>
      <c r="S661" s="31" t="str">
        <f aca="false">IF(O661="","",O661-R661)</f>
        <v/>
      </c>
      <c r="T661" s="28"/>
      <c r="U661" s="34" t="str">
        <f aca="false">IF(T661="","",IFERROR(VLOOKUP(T661,REPS!$A$2:$D$40,2,0),""))</f>
        <v/>
      </c>
      <c r="V661" s="31" t="str">
        <f aca="false">IF(O661="","",IF(U661="",0,O661*IF(U661&gt;1,U661/100,U661)))</f>
        <v/>
      </c>
      <c r="W661" s="28"/>
      <c r="X661" s="34" t="str">
        <f aca="false">IF(W661="","",IFERROR(VLOOKUP(W661,REPS!$A$2:$D$40,3,0),""))</f>
        <v/>
      </c>
      <c r="Y661" s="31" t="str">
        <f aca="false">IF(O661="","",IF(X661="",0,O661*IF(X661&gt;1,X661/100,X661)))</f>
        <v/>
      </c>
      <c r="Z661" s="28"/>
      <c r="AA661" s="34" t="str">
        <f aca="false">IF(Z661="","",IFERROR(VLOOKUP(Z661,REPS!$A$2:$D$40,4,0),""))</f>
        <v/>
      </c>
      <c r="AB661" s="31" t="str">
        <f aca="false">IF(O661="","",IF(AA661="",0,O661*IF(AA661&gt;1,AA661/100,AA661)))</f>
        <v/>
      </c>
      <c r="AC661" s="31" t="str">
        <f aca="false">IF(O661="","",V661+Y661+AB661)</f>
        <v/>
      </c>
      <c r="AD661" s="19" t="str">
        <f aca="false">IF(O661="","",O661-R661-AC661)</f>
        <v/>
      </c>
      <c r="AE661" s="20"/>
      <c r="AF661" s="27"/>
      <c r="AG661" s="21" t="n">
        <f aca="false">IF(OR(AE661="",AE661=0),0,AE661*IF(U661="",0,IF(U661&gt;1,U661/100,U661)))</f>
        <v>0</v>
      </c>
      <c r="AH661" s="21" t="n">
        <f aca="false">IF(OR(AE661="",AE661=0),0,AE661*IF(X661="",0,IF(X661&gt;1,X661/100,X661)))</f>
        <v>0</v>
      </c>
      <c r="AI661" s="21" t="n">
        <f aca="false">IF(OR(AE661="",AE661=0),0,AE661*IF(AA661="",0,IF(AA661&gt;1,AA661/100,AA661)))</f>
        <v>0</v>
      </c>
      <c r="AJ661" s="21" t="n">
        <f aca="false">AG661+AH661+AI661</f>
        <v>0</v>
      </c>
      <c r="AK661" s="21" t="n">
        <f aca="false">IF(OR(AE661="",AE661=0),0,AE661-AJ661)</f>
        <v>0</v>
      </c>
      <c r="AL661" s="19" t="str">
        <f aca="false">IF(AD661="","",AD661-AK661)</f>
        <v/>
      </c>
      <c r="AM661" s="26" t="str">
        <f aca="false">IF(C661="","","Waiting for payment")</f>
        <v/>
      </c>
      <c r="AN661" s="27"/>
      <c r="AO661" s="27"/>
      <c r="AP661" s="35" t="str">
        <f aca="false">IF(OR(C661="",I661="",K661=""),"",IF(K661="Monthly",EDATE(C661,ROUND(I661*SETTINGS!$I$8,0)),WORKDAY(C661,ROUND(I661*SETTINGS!$I$8,0))))</f>
        <v/>
      </c>
      <c r="AQ661" s="26" t="str">
        <f aca="true">IF(C661="","",IF(AND(AP661&lt;&gt;"",TODAY()&gt;=AP661),"Refi Ready",IF(TODAY()-C661&gt;=SETTINGS!$I$11,"Prospecting","Performing")))</f>
        <v/>
      </c>
      <c r="AR661" s="35" t="str">
        <f aca="false">IF(OR(C661="",I661="",K661=""),"",IF(K661="Monthly",EDATE(C661,I661),WORKDAY(C661,I661)))</f>
        <v/>
      </c>
      <c r="AS661" s="28"/>
      <c r="AT661" s="36" t="str">
        <f aca="true">IF(C661="","",IF(AM661="Clawed Back","CLAWED",IF(TODAY()&lt;=C661+SETTINGS!$I$2,"⚠ AT RISK","SAFE")))</f>
        <v/>
      </c>
      <c r="AU661" s="28"/>
      <c r="AW661" s="24" t="n">
        <f aca="false">AW660+IF(AND(C661&lt;&gt;"",AO661&lt;&gt;"",OR('REP COMMISSION'!$B$3="",T661='REP COMMISSION'!$B$3,W661='REP COMMISSION'!$B$3,Z661='REP COMMISSION'!$B$3)),1,0)</f>
        <v>0</v>
      </c>
      <c r="AX661" s="24" t="n">
        <f aca="false">AX660+IF(AND(C661&lt;&gt;"",OR(F661="LOC - INITIAL",F661="CONSOLIDATION - UPFRONT COMM",F661="REVERSE - TOTAL FUNDING")),1,0)</f>
        <v>0</v>
      </c>
    </row>
    <row r="662" customFormat="false" ht="15" hidden="false" customHeight="false" outlineLevel="0" collapsed="false">
      <c r="A662" s="8" t="str">
        <f aca="false">IF(C662&lt;&gt;"","F27-"&amp;COUNT($C$4:C662),"")</f>
        <v/>
      </c>
      <c r="B662" s="9" t="str">
        <f aca="false">IF(OR(F662="LOC - INITIAL",F662="CONSOLIDATION - UPFRONT COMM",F662="REVERSE - TOTAL FUNDING"),A662,"")</f>
        <v/>
      </c>
      <c r="C662" s="10"/>
      <c r="D662" s="11"/>
      <c r="E662" s="11"/>
      <c r="F662" s="11"/>
      <c r="G662" s="12"/>
      <c r="H662" s="13"/>
      <c r="I662" s="11"/>
      <c r="J662" s="14" t="str">
        <f aca="false">IF(AND(G662&lt;&gt;"",H662&lt;&gt;""),G662*H662,"")</f>
        <v/>
      </c>
      <c r="K662" s="11"/>
      <c r="L662" s="15"/>
      <c r="M662" s="15"/>
      <c r="N662" s="14" t="n">
        <f aca="false">IF(OR(G662="",M662=""),0,IF(M662&gt;100,M662,G662*IF(M662&gt;1,M662/100,M662)))</f>
        <v>0</v>
      </c>
      <c r="O662" s="14" t="str">
        <f aca="false">IF(G662="","",G662*IF(L662="",0,IF(L662&gt;1,L662/100,L662))+N662)</f>
        <v/>
      </c>
      <c r="P662" s="11"/>
      <c r="Q662" s="16" t="str">
        <f aca="false">IF(P662="","",IFERROR(VLOOKUP(P662,PARTNERS!$A$2:$B$30,2,0),""))</f>
        <v/>
      </c>
      <c r="R662" s="17" t="str">
        <f aca="false">IF(O662="","",IF(OR(P662="",Q662=""),0,(O662-N662)*IF(Q662&gt;1,Q662/100,Q662)))</f>
        <v/>
      </c>
      <c r="S662" s="14" t="str">
        <f aca="false">IF(O662="","",O662-R662)</f>
        <v/>
      </c>
      <c r="T662" s="11"/>
      <c r="U662" s="18" t="str">
        <f aca="false">IF(T662="","",IFERROR(VLOOKUP(T662,REPS!$A$2:$D$40,2,0),""))</f>
        <v/>
      </c>
      <c r="V662" s="14" t="str">
        <f aca="false">IF(O662="","",IF(U662="",0,O662*IF(U662&gt;1,U662/100,U662)))</f>
        <v/>
      </c>
      <c r="W662" s="11"/>
      <c r="X662" s="18" t="str">
        <f aca="false">IF(W662="","",IFERROR(VLOOKUP(W662,REPS!$A$2:$D$40,3,0),""))</f>
        <v/>
      </c>
      <c r="Y662" s="14" t="str">
        <f aca="false">IF(O662="","",IF(X662="",0,O662*IF(X662&gt;1,X662/100,X662)))</f>
        <v/>
      </c>
      <c r="Z662" s="11"/>
      <c r="AA662" s="18" t="str">
        <f aca="false">IF(Z662="","",IFERROR(VLOOKUP(Z662,REPS!$A$2:$D$40,4,0),""))</f>
        <v/>
      </c>
      <c r="AB662" s="14" t="str">
        <f aca="false">IF(O662="","",IF(AA662="",0,O662*IF(AA662&gt;1,AA662/100,AA662)))</f>
        <v/>
      </c>
      <c r="AC662" s="14" t="str">
        <f aca="false">IF(O662="","",V662+Y662+AB662)</f>
        <v/>
      </c>
      <c r="AD662" s="19" t="str">
        <f aca="false">IF(O662="","",O662-R662-AC662)</f>
        <v/>
      </c>
      <c r="AE662" s="20"/>
      <c r="AF662" s="10"/>
      <c r="AG662" s="21" t="n">
        <f aca="false">IF(OR(AE662="",AE662=0),0,AE662*IF(U662="",0,IF(U662&gt;1,U662/100,U662)))</f>
        <v>0</v>
      </c>
      <c r="AH662" s="21" t="n">
        <f aca="false">IF(OR(AE662="",AE662=0),0,AE662*IF(X662="",0,IF(X662&gt;1,X662/100,X662)))</f>
        <v>0</v>
      </c>
      <c r="AI662" s="21" t="n">
        <f aca="false">IF(OR(AE662="",AE662=0),0,AE662*IF(AA662="",0,IF(AA662&gt;1,AA662/100,AA662)))</f>
        <v>0</v>
      </c>
      <c r="AJ662" s="21" t="n">
        <f aca="false">AG662+AH662+AI662</f>
        <v>0</v>
      </c>
      <c r="AK662" s="21" t="n">
        <f aca="false">IF(OR(AE662="",AE662=0),0,AE662-AJ662)</f>
        <v>0</v>
      </c>
      <c r="AL662" s="19" t="str">
        <f aca="false">IF(AD662="","",AD662-AK662)</f>
        <v/>
      </c>
      <c r="AM662" s="9" t="str">
        <f aca="false">IF(C662="","","Waiting for payment")</f>
        <v/>
      </c>
      <c r="AN662" s="10"/>
      <c r="AO662" s="10"/>
      <c r="AP662" s="22" t="str">
        <f aca="false">IF(OR(C662="",I662="",K662=""),"",IF(K662="Monthly",EDATE(C662,ROUND(I662*SETTINGS!$I$8,0)),WORKDAY(C662,ROUND(I662*SETTINGS!$I$8,0))))</f>
        <v/>
      </c>
      <c r="AQ662" s="9" t="str">
        <f aca="true">IF(C662="","",IF(AND(AP662&lt;&gt;"",TODAY()&gt;=AP662),"Refi Ready",IF(TODAY()-C662&gt;=SETTINGS!$I$11,"Prospecting","Performing")))</f>
        <v/>
      </c>
      <c r="AR662" s="22" t="str">
        <f aca="false">IF(OR(C662="",I662="",K662=""),"",IF(K662="Monthly",EDATE(C662,I662),WORKDAY(C662,I662)))</f>
        <v/>
      </c>
      <c r="AS662" s="11"/>
      <c r="AT662" s="23" t="str">
        <f aca="true">IF(C662="","",IF(AM662="Clawed Back","CLAWED",IF(TODAY()&lt;=C662+SETTINGS!$I$2,"⚠ AT RISK","SAFE")))</f>
        <v/>
      </c>
      <c r="AU662" s="11"/>
      <c r="AW662" s="24" t="n">
        <f aca="false">AW661+IF(AND(C662&lt;&gt;"",AO662&lt;&gt;"",OR('REP COMMISSION'!$B$3="",T662='REP COMMISSION'!$B$3,W662='REP COMMISSION'!$B$3,Z662='REP COMMISSION'!$B$3)),1,0)</f>
        <v>0</v>
      </c>
      <c r="AX662" s="24" t="n">
        <f aca="false">AX661+IF(AND(C662&lt;&gt;"",OR(F662="LOC - INITIAL",F662="CONSOLIDATION - UPFRONT COMM",F662="REVERSE - TOTAL FUNDING")),1,0)</f>
        <v>0</v>
      </c>
    </row>
    <row r="663" customFormat="false" ht="15" hidden="false" customHeight="false" outlineLevel="0" collapsed="false">
      <c r="A663" s="25" t="str">
        <f aca="false">IF(C663&lt;&gt;"","F27-"&amp;COUNT($C$4:C663),"")</f>
        <v/>
      </c>
      <c r="B663" s="26" t="str">
        <f aca="false">IF(OR(F663="LOC - INITIAL",F663="CONSOLIDATION - UPFRONT COMM",F663="REVERSE - TOTAL FUNDING"),A663,"")</f>
        <v/>
      </c>
      <c r="C663" s="27"/>
      <c r="D663" s="28"/>
      <c r="E663" s="28"/>
      <c r="F663" s="28"/>
      <c r="G663" s="29"/>
      <c r="H663" s="30"/>
      <c r="I663" s="28"/>
      <c r="J663" s="31" t="str">
        <f aca="false">IF(AND(G663&lt;&gt;"",H663&lt;&gt;""),G663*H663,"")</f>
        <v/>
      </c>
      <c r="K663" s="28"/>
      <c r="L663" s="32"/>
      <c r="M663" s="32"/>
      <c r="N663" s="31" t="n">
        <f aca="false">IF(OR(G663="",M663=""),0,IF(M663&gt;100,M663,G663*IF(M663&gt;1,M663/100,M663)))</f>
        <v>0</v>
      </c>
      <c r="O663" s="31" t="str">
        <f aca="false">IF(G663="","",G663*IF(L663="",0,IF(L663&gt;1,L663/100,L663))+N663)</f>
        <v/>
      </c>
      <c r="P663" s="28"/>
      <c r="Q663" s="33" t="str">
        <f aca="false">IF(P663="","",IFERROR(VLOOKUP(P663,PARTNERS!$A$2:$B$30,2,0),""))</f>
        <v/>
      </c>
      <c r="R663" s="17" t="str">
        <f aca="false">IF(O663="","",IF(OR(P663="",Q663=""),0,(O663-N663)*IF(Q663&gt;1,Q663/100,Q663)))</f>
        <v/>
      </c>
      <c r="S663" s="31" t="str">
        <f aca="false">IF(O663="","",O663-R663)</f>
        <v/>
      </c>
      <c r="T663" s="28"/>
      <c r="U663" s="34" t="str">
        <f aca="false">IF(T663="","",IFERROR(VLOOKUP(T663,REPS!$A$2:$D$40,2,0),""))</f>
        <v/>
      </c>
      <c r="V663" s="31" t="str">
        <f aca="false">IF(O663="","",IF(U663="",0,O663*IF(U663&gt;1,U663/100,U663)))</f>
        <v/>
      </c>
      <c r="W663" s="28"/>
      <c r="X663" s="34" t="str">
        <f aca="false">IF(W663="","",IFERROR(VLOOKUP(W663,REPS!$A$2:$D$40,3,0),""))</f>
        <v/>
      </c>
      <c r="Y663" s="31" t="str">
        <f aca="false">IF(O663="","",IF(X663="",0,O663*IF(X663&gt;1,X663/100,X663)))</f>
        <v/>
      </c>
      <c r="Z663" s="28"/>
      <c r="AA663" s="34" t="str">
        <f aca="false">IF(Z663="","",IFERROR(VLOOKUP(Z663,REPS!$A$2:$D$40,4,0),""))</f>
        <v/>
      </c>
      <c r="AB663" s="31" t="str">
        <f aca="false">IF(O663="","",IF(AA663="",0,O663*IF(AA663&gt;1,AA663/100,AA663)))</f>
        <v/>
      </c>
      <c r="AC663" s="31" t="str">
        <f aca="false">IF(O663="","",V663+Y663+AB663)</f>
        <v/>
      </c>
      <c r="AD663" s="19" t="str">
        <f aca="false">IF(O663="","",O663-R663-AC663)</f>
        <v/>
      </c>
      <c r="AE663" s="20"/>
      <c r="AF663" s="27"/>
      <c r="AG663" s="21" t="n">
        <f aca="false">IF(OR(AE663="",AE663=0),0,AE663*IF(U663="",0,IF(U663&gt;1,U663/100,U663)))</f>
        <v>0</v>
      </c>
      <c r="AH663" s="21" t="n">
        <f aca="false">IF(OR(AE663="",AE663=0),0,AE663*IF(X663="",0,IF(X663&gt;1,X663/100,X663)))</f>
        <v>0</v>
      </c>
      <c r="AI663" s="21" t="n">
        <f aca="false">IF(OR(AE663="",AE663=0),0,AE663*IF(AA663="",0,IF(AA663&gt;1,AA663/100,AA663)))</f>
        <v>0</v>
      </c>
      <c r="AJ663" s="21" t="n">
        <f aca="false">AG663+AH663+AI663</f>
        <v>0</v>
      </c>
      <c r="AK663" s="21" t="n">
        <f aca="false">IF(OR(AE663="",AE663=0),0,AE663-AJ663)</f>
        <v>0</v>
      </c>
      <c r="AL663" s="19" t="str">
        <f aca="false">IF(AD663="","",AD663-AK663)</f>
        <v/>
      </c>
      <c r="AM663" s="26" t="str">
        <f aca="false">IF(C663="","","Waiting for payment")</f>
        <v/>
      </c>
      <c r="AN663" s="27"/>
      <c r="AO663" s="27"/>
      <c r="AP663" s="35" t="str">
        <f aca="false">IF(OR(C663="",I663="",K663=""),"",IF(K663="Monthly",EDATE(C663,ROUND(I663*SETTINGS!$I$8,0)),WORKDAY(C663,ROUND(I663*SETTINGS!$I$8,0))))</f>
        <v/>
      </c>
      <c r="AQ663" s="26" t="str">
        <f aca="true">IF(C663="","",IF(AND(AP663&lt;&gt;"",TODAY()&gt;=AP663),"Refi Ready",IF(TODAY()-C663&gt;=SETTINGS!$I$11,"Prospecting","Performing")))</f>
        <v/>
      </c>
      <c r="AR663" s="35" t="str">
        <f aca="false">IF(OR(C663="",I663="",K663=""),"",IF(K663="Monthly",EDATE(C663,I663),WORKDAY(C663,I663)))</f>
        <v/>
      </c>
      <c r="AS663" s="28"/>
      <c r="AT663" s="36" t="str">
        <f aca="true">IF(C663="","",IF(AM663="Clawed Back","CLAWED",IF(TODAY()&lt;=C663+SETTINGS!$I$2,"⚠ AT RISK","SAFE")))</f>
        <v/>
      </c>
      <c r="AU663" s="28"/>
      <c r="AW663" s="24" t="n">
        <f aca="false">AW662+IF(AND(C663&lt;&gt;"",AO663&lt;&gt;"",OR('REP COMMISSION'!$B$3="",T663='REP COMMISSION'!$B$3,W663='REP COMMISSION'!$B$3,Z663='REP COMMISSION'!$B$3)),1,0)</f>
        <v>0</v>
      </c>
      <c r="AX663" s="24" t="n">
        <f aca="false">AX662+IF(AND(C663&lt;&gt;"",OR(F663="LOC - INITIAL",F663="CONSOLIDATION - UPFRONT COMM",F663="REVERSE - TOTAL FUNDING")),1,0)</f>
        <v>0</v>
      </c>
    </row>
    <row r="664" customFormat="false" ht="15" hidden="false" customHeight="false" outlineLevel="0" collapsed="false">
      <c r="A664" s="8" t="str">
        <f aca="false">IF(C664&lt;&gt;"","F27-"&amp;COUNT($C$4:C664),"")</f>
        <v/>
      </c>
      <c r="B664" s="9" t="str">
        <f aca="false">IF(OR(F664="LOC - INITIAL",F664="CONSOLIDATION - UPFRONT COMM",F664="REVERSE - TOTAL FUNDING"),A664,"")</f>
        <v/>
      </c>
      <c r="C664" s="10"/>
      <c r="D664" s="11"/>
      <c r="E664" s="11"/>
      <c r="F664" s="11"/>
      <c r="G664" s="12"/>
      <c r="H664" s="13"/>
      <c r="I664" s="11"/>
      <c r="J664" s="14" t="str">
        <f aca="false">IF(AND(G664&lt;&gt;"",H664&lt;&gt;""),G664*H664,"")</f>
        <v/>
      </c>
      <c r="K664" s="11"/>
      <c r="L664" s="15"/>
      <c r="M664" s="15"/>
      <c r="N664" s="14" t="n">
        <f aca="false">IF(OR(G664="",M664=""),0,IF(M664&gt;100,M664,G664*IF(M664&gt;1,M664/100,M664)))</f>
        <v>0</v>
      </c>
      <c r="O664" s="14" t="str">
        <f aca="false">IF(G664="","",G664*IF(L664="",0,IF(L664&gt;1,L664/100,L664))+N664)</f>
        <v/>
      </c>
      <c r="P664" s="11"/>
      <c r="Q664" s="16" t="str">
        <f aca="false">IF(P664="","",IFERROR(VLOOKUP(P664,PARTNERS!$A$2:$B$30,2,0),""))</f>
        <v/>
      </c>
      <c r="R664" s="17" t="str">
        <f aca="false">IF(O664="","",IF(OR(P664="",Q664=""),0,(O664-N664)*IF(Q664&gt;1,Q664/100,Q664)))</f>
        <v/>
      </c>
      <c r="S664" s="14" t="str">
        <f aca="false">IF(O664="","",O664-R664)</f>
        <v/>
      </c>
      <c r="T664" s="11"/>
      <c r="U664" s="18" t="str">
        <f aca="false">IF(T664="","",IFERROR(VLOOKUP(T664,REPS!$A$2:$D$40,2,0),""))</f>
        <v/>
      </c>
      <c r="V664" s="14" t="str">
        <f aca="false">IF(O664="","",IF(U664="",0,O664*IF(U664&gt;1,U664/100,U664)))</f>
        <v/>
      </c>
      <c r="W664" s="11"/>
      <c r="X664" s="18" t="str">
        <f aca="false">IF(W664="","",IFERROR(VLOOKUP(W664,REPS!$A$2:$D$40,3,0),""))</f>
        <v/>
      </c>
      <c r="Y664" s="14" t="str">
        <f aca="false">IF(O664="","",IF(X664="",0,O664*IF(X664&gt;1,X664/100,X664)))</f>
        <v/>
      </c>
      <c r="Z664" s="11"/>
      <c r="AA664" s="18" t="str">
        <f aca="false">IF(Z664="","",IFERROR(VLOOKUP(Z664,REPS!$A$2:$D$40,4,0),""))</f>
        <v/>
      </c>
      <c r="AB664" s="14" t="str">
        <f aca="false">IF(O664="","",IF(AA664="",0,O664*IF(AA664&gt;1,AA664/100,AA664)))</f>
        <v/>
      </c>
      <c r="AC664" s="14" t="str">
        <f aca="false">IF(O664="","",V664+Y664+AB664)</f>
        <v/>
      </c>
      <c r="AD664" s="19" t="str">
        <f aca="false">IF(O664="","",O664-R664-AC664)</f>
        <v/>
      </c>
      <c r="AE664" s="20"/>
      <c r="AF664" s="10"/>
      <c r="AG664" s="21" t="n">
        <f aca="false">IF(OR(AE664="",AE664=0),0,AE664*IF(U664="",0,IF(U664&gt;1,U664/100,U664)))</f>
        <v>0</v>
      </c>
      <c r="AH664" s="21" t="n">
        <f aca="false">IF(OR(AE664="",AE664=0),0,AE664*IF(X664="",0,IF(X664&gt;1,X664/100,X664)))</f>
        <v>0</v>
      </c>
      <c r="AI664" s="21" t="n">
        <f aca="false">IF(OR(AE664="",AE664=0),0,AE664*IF(AA664="",0,IF(AA664&gt;1,AA664/100,AA664)))</f>
        <v>0</v>
      </c>
      <c r="AJ664" s="21" t="n">
        <f aca="false">AG664+AH664+AI664</f>
        <v>0</v>
      </c>
      <c r="AK664" s="21" t="n">
        <f aca="false">IF(OR(AE664="",AE664=0),0,AE664-AJ664)</f>
        <v>0</v>
      </c>
      <c r="AL664" s="19" t="str">
        <f aca="false">IF(AD664="","",AD664-AK664)</f>
        <v/>
      </c>
      <c r="AM664" s="9" t="str">
        <f aca="false">IF(C664="","","Waiting for payment")</f>
        <v/>
      </c>
      <c r="AN664" s="10"/>
      <c r="AO664" s="10"/>
      <c r="AP664" s="22" t="str">
        <f aca="false">IF(OR(C664="",I664="",K664=""),"",IF(K664="Monthly",EDATE(C664,ROUND(I664*SETTINGS!$I$8,0)),WORKDAY(C664,ROUND(I664*SETTINGS!$I$8,0))))</f>
        <v/>
      </c>
      <c r="AQ664" s="9" t="str">
        <f aca="true">IF(C664="","",IF(AND(AP664&lt;&gt;"",TODAY()&gt;=AP664),"Refi Ready",IF(TODAY()-C664&gt;=SETTINGS!$I$11,"Prospecting","Performing")))</f>
        <v/>
      </c>
      <c r="AR664" s="22" t="str">
        <f aca="false">IF(OR(C664="",I664="",K664=""),"",IF(K664="Monthly",EDATE(C664,I664),WORKDAY(C664,I664)))</f>
        <v/>
      </c>
      <c r="AS664" s="11"/>
      <c r="AT664" s="23" t="str">
        <f aca="true">IF(C664="","",IF(AM664="Clawed Back","CLAWED",IF(TODAY()&lt;=C664+SETTINGS!$I$2,"⚠ AT RISK","SAFE")))</f>
        <v/>
      </c>
      <c r="AU664" s="11"/>
      <c r="AW664" s="24" t="n">
        <f aca="false">AW663+IF(AND(C664&lt;&gt;"",AO664&lt;&gt;"",OR('REP COMMISSION'!$B$3="",T664='REP COMMISSION'!$B$3,W664='REP COMMISSION'!$B$3,Z664='REP COMMISSION'!$B$3)),1,0)</f>
        <v>0</v>
      </c>
      <c r="AX664" s="24" t="n">
        <f aca="false">AX663+IF(AND(C664&lt;&gt;"",OR(F664="LOC - INITIAL",F664="CONSOLIDATION - UPFRONT COMM",F664="REVERSE - TOTAL FUNDING")),1,0)</f>
        <v>0</v>
      </c>
    </row>
    <row r="665" customFormat="false" ht="15" hidden="false" customHeight="false" outlineLevel="0" collapsed="false">
      <c r="A665" s="25" t="str">
        <f aca="false">IF(C665&lt;&gt;"","F27-"&amp;COUNT($C$4:C665),"")</f>
        <v/>
      </c>
      <c r="B665" s="26" t="str">
        <f aca="false">IF(OR(F665="LOC - INITIAL",F665="CONSOLIDATION - UPFRONT COMM",F665="REVERSE - TOTAL FUNDING"),A665,"")</f>
        <v/>
      </c>
      <c r="C665" s="27"/>
      <c r="D665" s="28"/>
      <c r="E665" s="28"/>
      <c r="F665" s="28"/>
      <c r="G665" s="29"/>
      <c r="H665" s="30"/>
      <c r="I665" s="28"/>
      <c r="J665" s="31" t="str">
        <f aca="false">IF(AND(G665&lt;&gt;"",H665&lt;&gt;""),G665*H665,"")</f>
        <v/>
      </c>
      <c r="K665" s="28"/>
      <c r="L665" s="32"/>
      <c r="M665" s="32"/>
      <c r="N665" s="31" t="n">
        <f aca="false">IF(OR(G665="",M665=""),0,IF(M665&gt;100,M665,G665*IF(M665&gt;1,M665/100,M665)))</f>
        <v>0</v>
      </c>
      <c r="O665" s="31" t="str">
        <f aca="false">IF(G665="","",G665*IF(L665="",0,IF(L665&gt;1,L665/100,L665))+N665)</f>
        <v/>
      </c>
      <c r="P665" s="28"/>
      <c r="Q665" s="33" t="str">
        <f aca="false">IF(P665="","",IFERROR(VLOOKUP(P665,PARTNERS!$A$2:$B$30,2,0),""))</f>
        <v/>
      </c>
      <c r="R665" s="17" t="str">
        <f aca="false">IF(O665="","",IF(OR(P665="",Q665=""),0,(O665-N665)*IF(Q665&gt;1,Q665/100,Q665)))</f>
        <v/>
      </c>
      <c r="S665" s="31" t="str">
        <f aca="false">IF(O665="","",O665-R665)</f>
        <v/>
      </c>
      <c r="T665" s="28"/>
      <c r="U665" s="34" t="str">
        <f aca="false">IF(T665="","",IFERROR(VLOOKUP(T665,REPS!$A$2:$D$40,2,0),""))</f>
        <v/>
      </c>
      <c r="V665" s="31" t="str">
        <f aca="false">IF(O665="","",IF(U665="",0,O665*IF(U665&gt;1,U665/100,U665)))</f>
        <v/>
      </c>
      <c r="W665" s="28"/>
      <c r="X665" s="34" t="str">
        <f aca="false">IF(W665="","",IFERROR(VLOOKUP(W665,REPS!$A$2:$D$40,3,0),""))</f>
        <v/>
      </c>
      <c r="Y665" s="31" t="str">
        <f aca="false">IF(O665="","",IF(X665="",0,O665*IF(X665&gt;1,X665/100,X665)))</f>
        <v/>
      </c>
      <c r="Z665" s="28"/>
      <c r="AA665" s="34" t="str">
        <f aca="false">IF(Z665="","",IFERROR(VLOOKUP(Z665,REPS!$A$2:$D$40,4,0),""))</f>
        <v/>
      </c>
      <c r="AB665" s="31" t="str">
        <f aca="false">IF(O665="","",IF(AA665="",0,O665*IF(AA665&gt;1,AA665/100,AA665)))</f>
        <v/>
      </c>
      <c r="AC665" s="31" t="str">
        <f aca="false">IF(O665="","",V665+Y665+AB665)</f>
        <v/>
      </c>
      <c r="AD665" s="19" t="str">
        <f aca="false">IF(O665="","",O665-R665-AC665)</f>
        <v/>
      </c>
      <c r="AE665" s="20"/>
      <c r="AF665" s="27"/>
      <c r="AG665" s="21" t="n">
        <f aca="false">IF(OR(AE665="",AE665=0),0,AE665*IF(U665="",0,IF(U665&gt;1,U665/100,U665)))</f>
        <v>0</v>
      </c>
      <c r="AH665" s="21" t="n">
        <f aca="false">IF(OR(AE665="",AE665=0),0,AE665*IF(X665="",0,IF(X665&gt;1,X665/100,X665)))</f>
        <v>0</v>
      </c>
      <c r="AI665" s="21" t="n">
        <f aca="false">IF(OR(AE665="",AE665=0),0,AE665*IF(AA665="",0,IF(AA665&gt;1,AA665/100,AA665)))</f>
        <v>0</v>
      </c>
      <c r="AJ665" s="21" t="n">
        <f aca="false">AG665+AH665+AI665</f>
        <v>0</v>
      </c>
      <c r="AK665" s="21" t="n">
        <f aca="false">IF(OR(AE665="",AE665=0),0,AE665-AJ665)</f>
        <v>0</v>
      </c>
      <c r="AL665" s="19" t="str">
        <f aca="false">IF(AD665="","",AD665-AK665)</f>
        <v/>
      </c>
      <c r="AM665" s="26" t="str">
        <f aca="false">IF(C665="","","Waiting for payment")</f>
        <v/>
      </c>
      <c r="AN665" s="27"/>
      <c r="AO665" s="27"/>
      <c r="AP665" s="35" t="str">
        <f aca="false">IF(OR(C665="",I665="",K665=""),"",IF(K665="Monthly",EDATE(C665,ROUND(I665*SETTINGS!$I$8,0)),WORKDAY(C665,ROUND(I665*SETTINGS!$I$8,0))))</f>
        <v/>
      </c>
      <c r="AQ665" s="26" t="str">
        <f aca="true">IF(C665="","",IF(AND(AP665&lt;&gt;"",TODAY()&gt;=AP665),"Refi Ready",IF(TODAY()-C665&gt;=SETTINGS!$I$11,"Prospecting","Performing")))</f>
        <v/>
      </c>
      <c r="AR665" s="35" t="str">
        <f aca="false">IF(OR(C665="",I665="",K665=""),"",IF(K665="Monthly",EDATE(C665,I665),WORKDAY(C665,I665)))</f>
        <v/>
      </c>
      <c r="AS665" s="28"/>
      <c r="AT665" s="36" t="str">
        <f aca="true">IF(C665="","",IF(AM665="Clawed Back","CLAWED",IF(TODAY()&lt;=C665+SETTINGS!$I$2,"⚠ AT RISK","SAFE")))</f>
        <v/>
      </c>
      <c r="AU665" s="28"/>
      <c r="AW665" s="24" t="n">
        <f aca="false">AW664+IF(AND(C665&lt;&gt;"",AO665&lt;&gt;"",OR('REP COMMISSION'!$B$3="",T665='REP COMMISSION'!$B$3,W665='REP COMMISSION'!$B$3,Z665='REP COMMISSION'!$B$3)),1,0)</f>
        <v>0</v>
      </c>
      <c r="AX665" s="24" t="n">
        <f aca="false">AX664+IF(AND(C665&lt;&gt;"",OR(F665="LOC - INITIAL",F665="CONSOLIDATION - UPFRONT COMM",F665="REVERSE - TOTAL FUNDING")),1,0)</f>
        <v>0</v>
      </c>
    </row>
    <row r="666" customFormat="false" ht="15" hidden="false" customHeight="false" outlineLevel="0" collapsed="false">
      <c r="A666" s="8" t="str">
        <f aca="false">IF(C666&lt;&gt;"","F27-"&amp;COUNT($C$4:C666),"")</f>
        <v/>
      </c>
      <c r="B666" s="9" t="str">
        <f aca="false">IF(OR(F666="LOC - INITIAL",F666="CONSOLIDATION - UPFRONT COMM",F666="REVERSE - TOTAL FUNDING"),A666,"")</f>
        <v/>
      </c>
      <c r="C666" s="10"/>
      <c r="D666" s="11"/>
      <c r="E666" s="11"/>
      <c r="F666" s="11"/>
      <c r="G666" s="12"/>
      <c r="H666" s="13"/>
      <c r="I666" s="11"/>
      <c r="J666" s="14" t="str">
        <f aca="false">IF(AND(G666&lt;&gt;"",H666&lt;&gt;""),G666*H666,"")</f>
        <v/>
      </c>
      <c r="K666" s="11"/>
      <c r="L666" s="15"/>
      <c r="M666" s="15"/>
      <c r="N666" s="14" t="n">
        <f aca="false">IF(OR(G666="",M666=""),0,IF(M666&gt;100,M666,G666*IF(M666&gt;1,M666/100,M666)))</f>
        <v>0</v>
      </c>
      <c r="O666" s="14" t="str">
        <f aca="false">IF(G666="","",G666*IF(L666="",0,IF(L666&gt;1,L666/100,L666))+N666)</f>
        <v/>
      </c>
      <c r="P666" s="11"/>
      <c r="Q666" s="16" t="str">
        <f aca="false">IF(P666="","",IFERROR(VLOOKUP(P666,PARTNERS!$A$2:$B$30,2,0),""))</f>
        <v/>
      </c>
      <c r="R666" s="17" t="str">
        <f aca="false">IF(O666="","",IF(OR(P666="",Q666=""),0,(O666-N666)*IF(Q666&gt;1,Q666/100,Q666)))</f>
        <v/>
      </c>
      <c r="S666" s="14" t="str">
        <f aca="false">IF(O666="","",O666-R666)</f>
        <v/>
      </c>
      <c r="T666" s="11"/>
      <c r="U666" s="18" t="str">
        <f aca="false">IF(T666="","",IFERROR(VLOOKUP(T666,REPS!$A$2:$D$40,2,0),""))</f>
        <v/>
      </c>
      <c r="V666" s="14" t="str">
        <f aca="false">IF(O666="","",IF(U666="",0,O666*IF(U666&gt;1,U666/100,U666)))</f>
        <v/>
      </c>
      <c r="W666" s="11"/>
      <c r="X666" s="18" t="str">
        <f aca="false">IF(W666="","",IFERROR(VLOOKUP(W666,REPS!$A$2:$D$40,3,0),""))</f>
        <v/>
      </c>
      <c r="Y666" s="14" t="str">
        <f aca="false">IF(O666="","",IF(X666="",0,O666*IF(X666&gt;1,X666/100,X666)))</f>
        <v/>
      </c>
      <c r="Z666" s="11"/>
      <c r="AA666" s="18" t="str">
        <f aca="false">IF(Z666="","",IFERROR(VLOOKUP(Z666,REPS!$A$2:$D$40,4,0),""))</f>
        <v/>
      </c>
      <c r="AB666" s="14" t="str">
        <f aca="false">IF(O666="","",IF(AA666="",0,O666*IF(AA666&gt;1,AA666/100,AA666)))</f>
        <v/>
      </c>
      <c r="AC666" s="14" t="str">
        <f aca="false">IF(O666="","",V666+Y666+AB666)</f>
        <v/>
      </c>
      <c r="AD666" s="19" t="str">
        <f aca="false">IF(O666="","",O666-R666-AC666)</f>
        <v/>
      </c>
      <c r="AE666" s="20"/>
      <c r="AF666" s="10"/>
      <c r="AG666" s="21" t="n">
        <f aca="false">IF(OR(AE666="",AE666=0),0,AE666*IF(U666="",0,IF(U666&gt;1,U666/100,U666)))</f>
        <v>0</v>
      </c>
      <c r="AH666" s="21" t="n">
        <f aca="false">IF(OR(AE666="",AE666=0),0,AE666*IF(X666="",0,IF(X666&gt;1,X666/100,X666)))</f>
        <v>0</v>
      </c>
      <c r="AI666" s="21" t="n">
        <f aca="false">IF(OR(AE666="",AE666=0),0,AE666*IF(AA666="",0,IF(AA666&gt;1,AA666/100,AA666)))</f>
        <v>0</v>
      </c>
      <c r="AJ666" s="21" t="n">
        <f aca="false">AG666+AH666+AI666</f>
        <v>0</v>
      </c>
      <c r="AK666" s="21" t="n">
        <f aca="false">IF(OR(AE666="",AE666=0),0,AE666-AJ666)</f>
        <v>0</v>
      </c>
      <c r="AL666" s="19" t="str">
        <f aca="false">IF(AD666="","",AD666-AK666)</f>
        <v/>
      </c>
      <c r="AM666" s="9" t="str">
        <f aca="false">IF(C666="","","Waiting for payment")</f>
        <v/>
      </c>
      <c r="AN666" s="10"/>
      <c r="AO666" s="10"/>
      <c r="AP666" s="22" t="str">
        <f aca="false">IF(OR(C666="",I666="",K666=""),"",IF(K666="Monthly",EDATE(C666,ROUND(I666*SETTINGS!$I$8,0)),WORKDAY(C666,ROUND(I666*SETTINGS!$I$8,0))))</f>
        <v/>
      </c>
      <c r="AQ666" s="9" t="str">
        <f aca="true">IF(C666="","",IF(AND(AP666&lt;&gt;"",TODAY()&gt;=AP666),"Refi Ready",IF(TODAY()-C666&gt;=SETTINGS!$I$11,"Prospecting","Performing")))</f>
        <v/>
      </c>
      <c r="AR666" s="22" t="str">
        <f aca="false">IF(OR(C666="",I666="",K666=""),"",IF(K666="Monthly",EDATE(C666,I666),WORKDAY(C666,I666)))</f>
        <v/>
      </c>
      <c r="AS666" s="11"/>
      <c r="AT666" s="23" t="str">
        <f aca="true">IF(C666="","",IF(AM666="Clawed Back","CLAWED",IF(TODAY()&lt;=C666+SETTINGS!$I$2,"⚠ AT RISK","SAFE")))</f>
        <v/>
      </c>
      <c r="AU666" s="11"/>
      <c r="AW666" s="24" t="n">
        <f aca="false">AW665+IF(AND(C666&lt;&gt;"",AO666&lt;&gt;"",OR('REP COMMISSION'!$B$3="",T666='REP COMMISSION'!$B$3,W666='REP COMMISSION'!$B$3,Z666='REP COMMISSION'!$B$3)),1,0)</f>
        <v>0</v>
      </c>
      <c r="AX666" s="24" t="n">
        <f aca="false">AX665+IF(AND(C666&lt;&gt;"",OR(F666="LOC - INITIAL",F666="CONSOLIDATION - UPFRONT COMM",F666="REVERSE - TOTAL FUNDING")),1,0)</f>
        <v>0</v>
      </c>
    </row>
    <row r="667" customFormat="false" ht="15" hidden="false" customHeight="false" outlineLevel="0" collapsed="false">
      <c r="A667" s="25" t="str">
        <f aca="false">IF(C667&lt;&gt;"","F27-"&amp;COUNT($C$4:C667),"")</f>
        <v/>
      </c>
      <c r="B667" s="26" t="str">
        <f aca="false">IF(OR(F667="LOC - INITIAL",F667="CONSOLIDATION - UPFRONT COMM",F667="REVERSE - TOTAL FUNDING"),A667,"")</f>
        <v/>
      </c>
      <c r="C667" s="27"/>
      <c r="D667" s="28"/>
      <c r="E667" s="28"/>
      <c r="F667" s="28"/>
      <c r="G667" s="29"/>
      <c r="H667" s="30"/>
      <c r="I667" s="28"/>
      <c r="J667" s="31" t="str">
        <f aca="false">IF(AND(G667&lt;&gt;"",H667&lt;&gt;""),G667*H667,"")</f>
        <v/>
      </c>
      <c r="K667" s="28"/>
      <c r="L667" s="32"/>
      <c r="M667" s="32"/>
      <c r="N667" s="31" t="n">
        <f aca="false">IF(OR(G667="",M667=""),0,IF(M667&gt;100,M667,G667*IF(M667&gt;1,M667/100,M667)))</f>
        <v>0</v>
      </c>
      <c r="O667" s="31" t="str">
        <f aca="false">IF(G667="","",G667*IF(L667="",0,IF(L667&gt;1,L667/100,L667))+N667)</f>
        <v/>
      </c>
      <c r="P667" s="28"/>
      <c r="Q667" s="33" t="str">
        <f aca="false">IF(P667="","",IFERROR(VLOOKUP(P667,PARTNERS!$A$2:$B$30,2,0),""))</f>
        <v/>
      </c>
      <c r="R667" s="17" t="str">
        <f aca="false">IF(O667="","",IF(OR(P667="",Q667=""),0,(O667-N667)*IF(Q667&gt;1,Q667/100,Q667)))</f>
        <v/>
      </c>
      <c r="S667" s="31" t="str">
        <f aca="false">IF(O667="","",O667-R667)</f>
        <v/>
      </c>
      <c r="T667" s="28"/>
      <c r="U667" s="34" t="str">
        <f aca="false">IF(T667="","",IFERROR(VLOOKUP(T667,REPS!$A$2:$D$40,2,0),""))</f>
        <v/>
      </c>
      <c r="V667" s="31" t="str">
        <f aca="false">IF(O667="","",IF(U667="",0,O667*IF(U667&gt;1,U667/100,U667)))</f>
        <v/>
      </c>
      <c r="W667" s="28"/>
      <c r="X667" s="34" t="str">
        <f aca="false">IF(W667="","",IFERROR(VLOOKUP(W667,REPS!$A$2:$D$40,3,0),""))</f>
        <v/>
      </c>
      <c r="Y667" s="31" t="str">
        <f aca="false">IF(O667="","",IF(X667="",0,O667*IF(X667&gt;1,X667/100,X667)))</f>
        <v/>
      </c>
      <c r="Z667" s="28"/>
      <c r="AA667" s="34" t="str">
        <f aca="false">IF(Z667="","",IFERROR(VLOOKUP(Z667,REPS!$A$2:$D$40,4,0),""))</f>
        <v/>
      </c>
      <c r="AB667" s="31" t="str">
        <f aca="false">IF(O667="","",IF(AA667="",0,O667*IF(AA667&gt;1,AA667/100,AA667)))</f>
        <v/>
      </c>
      <c r="AC667" s="31" t="str">
        <f aca="false">IF(O667="","",V667+Y667+AB667)</f>
        <v/>
      </c>
      <c r="AD667" s="19" t="str">
        <f aca="false">IF(O667="","",O667-R667-AC667)</f>
        <v/>
      </c>
      <c r="AE667" s="20"/>
      <c r="AF667" s="27"/>
      <c r="AG667" s="21" t="n">
        <f aca="false">IF(OR(AE667="",AE667=0),0,AE667*IF(U667="",0,IF(U667&gt;1,U667/100,U667)))</f>
        <v>0</v>
      </c>
      <c r="AH667" s="21" t="n">
        <f aca="false">IF(OR(AE667="",AE667=0),0,AE667*IF(X667="",0,IF(X667&gt;1,X667/100,X667)))</f>
        <v>0</v>
      </c>
      <c r="AI667" s="21" t="n">
        <f aca="false">IF(OR(AE667="",AE667=0),0,AE667*IF(AA667="",0,IF(AA667&gt;1,AA667/100,AA667)))</f>
        <v>0</v>
      </c>
      <c r="AJ667" s="21" t="n">
        <f aca="false">AG667+AH667+AI667</f>
        <v>0</v>
      </c>
      <c r="AK667" s="21" t="n">
        <f aca="false">IF(OR(AE667="",AE667=0),0,AE667-AJ667)</f>
        <v>0</v>
      </c>
      <c r="AL667" s="19" t="str">
        <f aca="false">IF(AD667="","",AD667-AK667)</f>
        <v/>
      </c>
      <c r="AM667" s="26" t="str">
        <f aca="false">IF(C667="","","Waiting for payment")</f>
        <v/>
      </c>
      <c r="AN667" s="27"/>
      <c r="AO667" s="27"/>
      <c r="AP667" s="35" t="str">
        <f aca="false">IF(OR(C667="",I667="",K667=""),"",IF(K667="Monthly",EDATE(C667,ROUND(I667*SETTINGS!$I$8,0)),WORKDAY(C667,ROUND(I667*SETTINGS!$I$8,0))))</f>
        <v/>
      </c>
      <c r="AQ667" s="26" t="str">
        <f aca="true">IF(C667="","",IF(AND(AP667&lt;&gt;"",TODAY()&gt;=AP667),"Refi Ready",IF(TODAY()-C667&gt;=SETTINGS!$I$11,"Prospecting","Performing")))</f>
        <v/>
      </c>
      <c r="AR667" s="35" t="str">
        <f aca="false">IF(OR(C667="",I667="",K667=""),"",IF(K667="Monthly",EDATE(C667,I667),WORKDAY(C667,I667)))</f>
        <v/>
      </c>
      <c r="AS667" s="28"/>
      <c r="AT667" s="36" t="str">
        <f aca="true">IF(C667="","",IF(AM667="Clawed Back","CLAWED",IF(TODAY()&lt;=C667+SETTINGS!$I$2,"⚠ AT RISK","SAFE")))</f>
        <v/>
      </c>
      <c r="AU667" s="28"/>
      <c r="AW667" s="24" t="n">
        <f aca="false">AW666+IF(AND(C667&lt;&gt;"",AO667&lt;&gt;"",OR('REP COMMISSION'!$B$3="",T667='REP COMMISSION'!$B$3,W667='REP COMMISSION'!$B$3,Z667='REP COMMISSION'!$B$3)),1,0)</f>
        <v>0</v>
      </c>
      <c r="AX667" s="24" t="n">
        <f aca="false">AX666+IF(AND(C667&lt;&gt;"",OR(F667="LOC - INITIAL",F667="CONSOLIDATION - UPFRONT COMM",F667="REVERSE - TOTAL FUNDING")),1,0)</f>
        <v>0</v>
      </c>
    </row>
    <row r="668" customFormat="false" ht="15" hidden="false" customHeight="false" outlineLevel="0" collapsed="false">
      <c r="A668" s="8" t="str">
        <f aca="false">IF(C668&lt;&gt;"","F27-"&amp;COUNT($C$4:C668),"")</f>
        <v/>
      </c>
      <c r="B668" s="9" t="str">
        <f aca="false">IF(OR(F668="LOC - INITIAL",F668="CONSOLIDATION - UPFRONT COMM",F668="REVERSE - TOTAL FUNDING"),A668,"")</f>
        <v/>
      </c>
      <c r="C668" s="10"/>
      <c r="D668" s="11"/>
      <c r="E668" s="11"/>
      <c r="F668" s="11"/>
      <c r="G668" s="12"/>
      <c r="H668" s="13"/>
      <c r="I668" s="11"/>
      <c r="J668" s="14" t="str">
        <f aca="false">IF(AND(G668&lt;&gt;"",H668&lt;&gt;""),G668*H668,"")</f>
        <v/>
      </c>
      <c r="K668" s="11"/>
      <c r="L668" s="15"/>
      <c r="M668" s="15"/>
      <c r="N668" s="14" t="n">
        <f aca="false">IF(OR(G668="",M668=""),0,IF(M668&gt;100,M668,G668*IF(M668&gt;1,M668/100,M668)))</f>
        <v>0</v>
      </c>
      <c r="O668" s="14" t="str">
        <f aca="false">IF(G668="","",G668*IF(L668="",0,IF(L668&gt;1,L668/100,L668))+N668)</f>
        <v/>
      </c>
      <c r="P668" s="11"/>
      <c r="Q668" s="16" t="str">
        <f aca="false">IF(P668="","",IFERROR(VLOOKUP(P668,PARTNERS!$A$2:$B$30,2,0),""))</f>
        <v/>
      </c>
      <c r="R668" s="17" t="str">
        <f aca="false">IF(O668="","",IF(OR(P668="",Q668=""),0,(O668-N668)*IF(Q668&gt;1,Q668/100,Q668)))</f>
        <v/>
      </c>
      <c r="S668" s="14" t="str">
        <f aca="false">IF(O668="","",O668-R668)</f>
        <v/>
      </c>
      <c r="T668" s="11"/>
      <c r="U668" s="18" t="str">
        <f aca="false">IF(T668="","",IFERROR(VLOOKUP(T668,REPS!$A$2:$D$40,2,0),""))</f>
        <v/>
      </c>
      <c r="V668" s="14" t="str">
        <f aca="false">IF(O668="","",IF(U668="",0,O668*IF(U668&gt;1,U668/100,U668)))</f>
        <v/>
      </c>
      <c r="W668" s="11"/>
      <c r="X668" s="18" t="str">
        <f aca="false">IF(W668="","",IFERROR(VLOOKUP(W668,REPS!$A$2:$D$40,3,0),""))</f>
        <v/>
      </c>
      <c r="Y668" s="14" t="str">
        <f aca="false">IF(O668="","",IF(X668="",0,O668*IF(X668&gt;1,X668/100,X668)))</f>
        <v/>
      </c>
      <c r="Z668" s="11"/>
      <c r="AA668" s="18" t="str">
        <f aca="false">IF(Z668="","",IFERROR(VLOOKUP(Z668,REPS!$A$2:$D$40,4,0),""))</f>
        <v/>
      </c>
      <c r="AB668" s="14" t="str">
        <f aca="false">IF(O668="","",IF(AA668="",0,O668*IF(AA668&gt;1,AA668/100,AA668)))</f>
        <v/>
      </c>
      <c r="AC668" s="14" t="str">
        <f aca="false">IF(O668="","",V668+Y668+AB668)</f>
        <v/>
      </c>
      <c r="AD668" s="19" t="str">
        <f aca="false">IF(O668="","",O668-R668-AC668)</f>
        <v/>
      </c>
      <c r="AE668" s="20"/>
      <c r="AF668" s="10"/>
      <c r="AG668" s="21" t="n">
        <f aca="false">IF(OR(AE668="",AE668=0),0,AE668*IF(U668="",0,IF(U668&gt;1,U668/100,U668)))</f>
        <v>0</v>
      </c>
      <c r="AH668" s="21" t="n">
        <f aca="false">IF(OR(AE668="",AE668=0),0,AE668*IF(X668="",0,IF(X668&gt;1,X668/100,X668)))</f>
        <v>0</v>
      </c>
      <c r="AI668" s="21" t="n">
        <f aca="false">IF(OR(AE668="",AE668=0),0,AE668*IF(AA668="",0,IF(AA668&gt;1,AA668/100,AA668)))</f>
        <v>0</v>
      </c>
      <c r="AJ668" s="21" t="n">
        <f aca="false">AG668+AH668+AI668</f>
        <v>0</v>
      </c>
      <c r="AK668" s="21" t="n">
        <f aca="false">IF(OR(AE668="",AE668=0),0,AE668-AJ668)</f>
        <v>0</v>
      </c>
      <c r="AL668" s="19" t="str">
        <f aca="false">IF(AD668="","",AD668-AK668)</f>
        <v/>
      </c>
      <c r="AM668" s="9" t="str">
        <f aca="false">IF(C668="","","Waiting for payment")</f>
        <v/>
      </c>
      <c r="AN668" s="10"/>
      <c r="AO668" s="10"/>
      <c r="AP668" s="22" t="str">
        <f aca="false">IF(OR(C668="",I668="",K668=""),"",IF(K668="Monthly",EDATE(C668,ROUND(I668*SETTINGS!$I$8,0)),WORKDAY(C668,ROUND(I668*SETTINGS!$I$8,0))))</f>
        <v/>
      </c>
      <c r="AQ668" s="9" t="str">
        <f aca="true">IF(C668="","",IF(AND(AP668&lt;&gt;"",TODAY()&gt;=AP668),"Refi Ready",IF(TODAY()-C668&gt;=SETTINGS!$I$11,"Prospecting","Performing")))</f>
        <v/>
      </c>
      <c r="AR668" s="22" t="str">
        <f aca="false">IF(OR(C668="",I668="",K668=""),"",IF(K668="Monthly",EDATE(C668,I668),WORKDAY(C668,I668)))</f>
        <v/>
      </c>
      <c r="AS668" s="11"/>
      <c r="AT668" s="23" t="str">
        <f aca="true">IF(C668="","",IF(AM668="Clawed Back","CLAWED",IF(TODAY()&lt;=C668+SETTINGS!$I$2,"⚠ AT RISK","SAFE")))</f>
        <v/>
      </c>
      <c r="AU668" s="11"/>
      <c r="AW668" s="24" t="n">
        <f aca="false">AW667+IF(AND(C668&lt;&gt;"",AO668&lt;&gt;"",OR('REP COMMISSION'!$B$3="",T668='REP COMMISSION'!$B$3,W668='REP COMMISSION'!$B$3,Z668='REP COMMISSION'!$B$3)),1,0)</f>
        <v>0</v>
      </c>
      <c r="AX668" s="24" t="n">
        <f aca="false">AX667+IF(AND(C668&lt;&gt;"",OR(F668="LOC - INITIAL",F668="CONSOLIDATION - UPFRONT COMM",F668="REVERSE - TOTAL FUNDING")),1,0)</f>
        <v>0</v>
      </c>
    </row>
    <row r="669" customFormat="false" ht="15" hidden="false" customHeight="false" outlineLevel="0" collapsed="false">
      <c r="A669" s="25" t="str">
        <f aca="false">IF(C669&lt;&gt;"","F27-"&amp;COUNT($C$4:C669),"")</f>
        <v/>
      </c>
      <c r="B669" s="26" t="str">
        <f aca="false">IF(OR(F669="LOC - INITIAL",F669="CONSOLIDATION - UPFRONT COMM",F669="REVERSE - TOTAL FUNDING"),A669,"")</f>
        <v/>
      </c>
      <c r="C669" s="27"/>
      <c r="D669" s="28"/>
      <c r="E669" s="28"/>
      <c r="F669" s="28"/>
      <c r="G669" s="29"/>
      <c r="H669" s="30"/>
      <c r="I669" s="28"/>
      <c r="J669" s="31" t="str">
        <f aca="false">IF(AND(G669&lt;&gt;"",H669&lt;&gt;""),G669*H669,"")</f>
        <v/>
      </c>
      <c r="K669" s="28"/>
      <c r="L669" s="32"/>
      <c r="M669" s="32"/>
      <c r="N669" s="31" t="n">
        <f aca="false">IF(OR(G669="",M669=""),0,IF(M669&gt;100,M669,G669*IF(M669&gt;1,M669/100,M669)))</f>
        <v>0</v>
      </c>
      <c r="O669" s="31" t="str">
        <f aca="false">IF(G669="","",G669*IF(L669="",0,IF(L669&gt;1,L669/100,L669))+N669)</f>
        <v/>
      </c>
      <c r="P669" s="28"/>
      <c r="Q669" s="33" t="str">
        <f aca="false">IF(P669="","",IFERROR(VLOOKUP(P669,PARTNERS!$A$2:$B$30,2,0),""))</f>
        <v/>
      </c>
      <c r="R669" s="17" t="str">
        <f aca="false">IF(O669="","",IF(OR(P669="",Q669=""),0,(O669-N669)*IF(Q669&gt;1,Q669/100,Q669)))</f>
        <v/>
      </c>
      <c r="S669" s="31" t="str">
        <f aca="false">IF(O669="","",O669-R669)</f>
        <v/>
      </c>
      <c r="T669" s="28"/>
      <c r="U669" s="34" t="str">
        <f aca="false">IF(T669="","",IFERROR(VLOOKUP(T669,REPS!$A$2:$D$40,2,0),""))</f>
        <v/>
      </c>
      <c r="V669" s="31" t="str">
        <f aca="false">IF(O669="","",IF(U669="",0,O669*IF(U669&gt;1,U669/100,U669)))</f>
        <v/>
      </c>
      <c r="W669" s="28"/>
      <c r="X669" s="34" t="str">
        <f aca="false">IF(W669="","",IFERROR(VLOOKUP(W669,REPS!$A$2:$D$40,3,0),""))</f>
        <v/>
      </c>
      <c r="Y669" s="31" t="str">
        <f aca="false">IF(O669="","",IF(X669="",0,O669*IF(X669&gt;1,X669/100,X669)))</f>
        <v/>
      </c>
      <c r="Z669" s="28"/>
      <c r="AA669" s="34" t="str">
        <f aca="false">IF(Z669="","",IFERROR(VLOOKUP(Z669,REPS!$A$2:$D$40,4,0),""))</f>
        <v/>
      </c>
      <c r="AB669" s="31" t="str">
        <f aca="false">IF(O669="","",IF(AA669="",0,O669*IF(AA669&gt;1,AA669/100,AA669)))</f>
        <v/>
      </c>
      <c r="AC669" s="31" t="str">
        <f aca="false">IF(O669="","",V669+Y669+AB669)</f>
        <v/>
      </c>
      <c r="AD669" s="19" t="str">
        <f aca="false">IF(O669="","",O669-R669-AC669)</f>
        <v/>
      </c>
      <c r="AE669" s="20"/>
      <c r="AF669" s="27"/>
      <c r="AG669" s="21" t="n">
        <f aca="false">IF(OR(AE669="",AE669=0),0,AE669*IF(U669="",0,IF(U669&gt;1,U669/100,U669)))</f>
        <v>0</v>
      </c>
      <c r="AH669" s="21" t="n">
        <f aca="false">IF(OR(AE669="",AE669=0),0,AE669*IF(X669="",0,IF(X669&gt;1,X669/100,X669)))</f>
        <v>0</v>
      </c>
      <c r="AI669" s="21" t="n">
        <f aca="false">IF(OR(AE669="",AE669=0),0,AE669*IF(AA669="",0,IF(AA669&gt;1,AA669/100,AA669)))</f>
        <v>0</v>
      </c>
      <c r="AJ669" s="21" t="n">
        <f aca="false">AG669+AH669+AI669</f>
        <v>0</v>
      </c>
      <c r="AK669" s="21" t="n">
        <f aca="false">IF(OR(AE669="",AE669=0),0,AE669-AJ669)</f>
        <v>0</v>
      </c>
      <c r="AL669" s="19" t="str">
        <f aca="false">IF(AD669="","",AD669-AK669)</f>
        <v/>
      </c>
      <c r="AM669" s="26" t="str">
        <f aca="false">IF(C669="","","Waiting for payment")</f>
        <v/>
      </c>
      <c r="AN669" s="27"/>
      <c r="AO669" s="27"/>
      <c r="AP669" s="35" t="str">
        <f aca="false">IF(OR(C669="",I669="",K669=""),"",IF(K669="Monthly",EDATE(C669,ROUND(I669*SETTINGS!$I$8,0)),WORKDAY(C669,ROUND(I669*SETTINGS!$I$8,0))))</f>
        <v/>
      </c>
      <c r="AQ669" s="26" t="str">
        <f aca="true">IF(C669="","",IF(AND(AP669&lt;&gt;"",TODAY()&gt;=AP669),"Refi Ready",IF(TODAY()-C669&gt;=SETTINGS!$I$11,"Prospecting","Performing")))</f>
        <v/>
      </c>
      <c r="AR669" s="35" t="str">
        <f aca="false">IF(OR(C669="",I669="",K669=""),"",IF(K669="Monthly",EDATE(C669,I669),WORKDAY(C669,I669)))</f>
        <v/>
      </c>
      <c r="AS669" s="28"/>
      <c r="AT669" s="36" t="str">
        <f aca="true">IF(C669="","",IF(AM669="Clawed Back","CLAWED",IF(TODAY()&lt;=C669+SETTINGS!$I$2,"⚠ AT RISK","SAFE")))</f>
        <v/>
      </c>
      <c r="AU669" s="28"/>
      <c r="AW669" s="24" t="n">
        <f aca="false">AW668+IF(AND(C669&lt;&gt;"",AO669&lt;&gt;"",OR('REP COMMISSION'!$B$3="",T669='REP COMMISSION'!$B$3,W669='REP COMMISSION'!$B$3,Z669='REP COMMISSION'!$B$3)),1,0)</f>
        <v>0</v>
      </c>
      <c r="AX669" s="24" t="n">
        <f aca="false">AX668+IF(AND(C669&lt;&gt;"",OR(F669="LOC - INITIAL",F669="CONSOLIDATION - UPFRONT COMM",F669="REVERSE - TOTAL FUNDING")),1,0)</f>
        <v>0</v>
      </c>
    </row>
    <row r="670" customFormat="false" ht="15" hidden="false" customHeight="false" outlineLevel="0" collapsed="false">
      <c r="A670" s="8" t="str">
        <f aca="false">IF(C670&lt;&gt;"","F27-"&amp;COUNT($C$4:C670),"")</f>
        <v/>
      </c>
      <c r="B670" s="9" t="str">
        <f aca="false">IF(OR(F670="LOC - INITIAL",F670="CONSOLIDATION - UPFRONT COMM",F670="REVERSE - TOTAL FUNDING"),A670,"")</f>
        <v/>
      </c>
      <c r="C670" s="10"/>
      <c r="D670" s="11"/>
      <c r="E670" s="11"/>
      <c r="F670" s="11"/>
      <c r="G670" s="12"/>
      <c r="H670" s="13"/>
      <c r="I670" s="11"/>
      <c r="J670" s="14" t="str">
        <f aca="false">IF(AND(G670&lt;&gt;"",H670&lt;&gt;""),G670*H670,"")</f>
        <v/>
      </c>
      <c r="K670" s="11"/>
      <c r="L670" s="15"/>
      <c r="M670" s="15"/>
      <c r="N670" s="14" t="n">
        <f aca="false">IF(OR(G670="",M670=""),0,IF(M670&gt;100,M670,G670*IF(M670&gt;1,M670/100,M670)))</f>
        <v>0</v>
      </c>
      <c r="O670" s="14" t="str">
        <f aca="false">IF(G670="","",G670*IF(L670="",0,IF(L670&gt;1,L670/100,L670))+N670)</f>
        <v/>
      </c>
      <c r="P670" s="11"/>
      <c r="Q670" s="16" t="str">
        <f aca="false">IF(P670="","",IFERROR(VLOOKUP(P670,PARTNERS!$A$2:$B$30,2,0),""))</f>
        <v/>
      </c>
      <c r="R670" s="17" t="str">
        <f aca="false">IF(O670="","",IF(OR(P670="",Q670=""),0,(O670-N670)*IF(Q670&gt;1,Q670/100,Q670)))</f>
        <v/>
      </c>
      <c r="S670" s="14" t="str">
        <f aca="false">IF(O670="","",O670-R670)</f>
        <v/>
      </c>
      <c r="T670" s="11"/>
      <c r="U670" s="18" t="str">
        <f aca="false">IF(T670="","",IFERROR(VLOOKUP(T670,REPS!$A$2:$D$40,2,0),""))</f>
        <v/>
      </c>
      <c r="V670" s="14" t="str">
        <f aca="false">IF(O670="","",IF(U670="",0,O670*IF(U670&gt;1,U670/100,U670)))</f>
        <v/>
      </c>
      <c r="W670" s="11"/>
      <c r="X670" s="18" t="str">
        <f aca="false">IF(W670="","",IFERROR(VLOOKUP(W670,REPS!$A$2:$D$40,3,0),""))</f>
        <v/>
      </c>
      <c r="Y670" s="14" t="str">
        <f aca="false">IF(O670="","",IF(X670="",0,O670*IF(X670&gt;1,X670/100,X670)))</f>
        <v/>
      </c>
      <c r="Z670" s="11"/>
      <c r="AA670" s="18" t="str">
        <f aca="false">IF(Z670="","",IFERROR(VLOOKUP(Z670,REPS!$A$2:$D$40,4,0),""))</f>
        <v/>
      </c>
      <c r="AB670" s="14" t="str">
        <f aca="false">IF(O670="","",IF(AA670="",0,O670*IF(AA670&gt;1,AA670/100,AA670)))</f>
        <v/>
      </c>
      <c r="AC670" s="14" t="str">
        <f aca="false">IF(O670="","",V670+Y670+AB670)</f>
        <v/>
      </c>
      <c r="AD670" s="19" t="str">
        <f aca="false">IF(O670="","",O670-R670-AC670)</f>
        <v/>
      </c>
      <c r="AE670" s="20"/>
      <c r="AF670" s="10"/>
      <c r="AG670" s="21" t="n">
        <f aca="false">IF(OR(AE670="",AE670=0),0,AE670*IF(U670="",0,IF(U670&gt;1,U670/100,U670)))</f>
        <v>0</v>
      </c>
      <c r="AH670" s="21" t="n">
        <f aca="false">IF(OR(AE670="",AE670=0),0,AE670*IF(X670="",0,IF(X670&gt;1,X670/100,X670)))</f>
        <v>0</v>
      </c>
      <c r="AI670" s="21" t="n">
        <f aca="false">IF(OR(AE670="",AE670=0),0,AE670*IF(AA670="",0,IF(AA670&gt;1,AA670/100,AA670)))</f>
        <v>0</v>
      </c>
      <c r="AJ670" s="21" t="n">
        <f aca="false">AG670+AH670+AI670</f>
        <v>0</v>
      </c>
      <c r="AK670" s="21" t="n">
        <f aca="false">IF(OR(AE670="",AE670=0),0,AE670-AJ670)</f>
        <v>0</v>
      </c>
      <c r="AL670" s="19" t="str">
        <f aca="false">IF(AD670="","",AD670-AK670)</f>
        <v/>
      </c>
      <c r="AM670" s="9" t="str">
        <f aca="false">IF(C670="","","Waiting for payment")</f>
        <v/>
      </c>
      <c r="AN670" s="10"/>
      <c r="AO670" s="10"/>
      <c r="AP670" s="22" t="str">
        <f aca="false">IF(OR(C670="",I670="",K670=""),"",IF(K670="Monthly",EDATE(C670,ROUND(I670*SETTINGS!$I$8,0)),WORKDAY(C670,ROUND(I670*SETTINGS!$I$8,0))))</f>
        <v/>
      </c>
      <c r="AQ670" s="9" t="str">
        <f aca="true">IF(C670="","",IF(AND(AP670&lt;&gt;"",TODAY()&gt;=AP670),"Refi Ready",IF(TODAY()-C670&gt;=SETTINGS!$I$11,"Prospecting","Performing")))</f>
        <v/>
      </c>
      <c r="AR670" s="22" t="str">
        <f aca="false">IF(OR(C670="",I670="",K670=""),"",IF(K670="Monthly",EDATE(C670,I670),WORKDAY(C670,I670)))</f>
        <v/>
      </c>
      <c r="AS670" s="11"/>
      <c r="AT670" s="23" t="str">
        <f aca="true">IF(C670="","",IF(AM670="Clawed Back","CLAWED",IF(TODAY()&lt;=C670+SETTINGS!$I$2,"⚠ AT RISK","SAFE")))</f>
        <v/>
      </c>
      <c r="AU670" s="11"/>
      <c r="AW670" s="24" t="n">
        <f aca="false">AW669+IF(AND(C670&lt;&gt;"",AO670&lt;&gt;"",OR('REP COMMISSION'!$B$3="",T670='REP COMMISSION'!$B$3,W670='REP COMMISSION'!$B$3,Z670='REP COMMISSION'!$B$3)),1,0)</f>
        <v>0</v>
      </c>
      <c r="AX670" s="24" t="n">
        <f aca="false">AX669+IF(AND(C670&lt;&gt;"",OR(F670="LOC - INITIAL",F670="CONSOLIDATION - UPFRONT COMM",F670="REVERSE - TOTAL FUNDING")),1,0)</f>
        <v>0</v>
      </c>
    </row>
    <row r="671" customFormat="false" ht="15" hidden="false" customHeight="false" outlineLevel="0" collapsed="false">
      <c r="A671" s="25" t="str">
        <f aca="false">IF(C671&lt;&gt;"","F27-"&amp;COUNT($C$4:C671),"")</f>
        <v/>
      </c>
      <c r="B671" s="26" t="str">
        <f aca="false">IF(OR(F671="LOC - INITIAL",F671="CONSOLIDATION - UPFRONT COMM",F671="REVERSE - TOTAL FUNDING"),A671,"")</f>
        <v/>
      </c>
      <c r="C671" s="27"/>
      <c r="D671" s="28"/>
      <c r="E671" s="28"/>
      <c r="F671" s="28"/>
      <c r="G671" s="29"/>
      <c r="H671" s="30"/>
      <c r="I671" s="28"/>
      <c r="J671" s="31" t="str">
        <f aca="false">IF(AND(G671&lt;&gt;"",H671&lt;&gt;""),G671*H671,"")</f>
        <v/>
      </c>
      <c r="K671" s="28"/>
      <c r="L671" s="32"/>
      <c r="M671" s="32"/>
      <c r="N671" s="31" t="n">
        <f aca="false">IF(OR(G671="",M671=""),0,IF(M671&gt;100,M671,G671*IF(M671&gt;1,M671/100,M671)))</f>
        <v>0</v>
      </c>
      <c r="O671" s="31" t="str">
        <f aca="false">IF(G671="","",G671*IF(L671="",0,IF(L671&gt;1,L671/100,L671))+N671)</f>
        <v/>
      </c>
      <c r="P671" s="28"/>
      <c r="Q671" s="33" t="str">
        <f aca="false">IF(P671="","",IFERROR(VLOOKUP(P671,PARTNERS!$A$2:$B$30,2,0),""))</f>
        <v/>
      </c>
      <c r="R671" s="17" t="str">
        <f aca="false">IF(O671="","",IF(OR(P671="",Q671=""),0,(O671-N671)*IF(Q671&gt;1,Q671/100,Q671)))</f>
        <v/>
      </c>
      <c r="S671" s="31" t="str">
        <f aca="false">IF(O671="","",O671-R671)</f>
        <v/>
      </c>
      <c r="T671" s="28"/>
      <c r="U671" s="34" t="str">
        <f aca="false">IF(T671="","",IFERROR(VLOOKUP(T671,REPS!$A$2:$D$40,2,0),""))</f>
        <v/>
      </c>
      <c r="V671" s="31" t="str">
        <f aca="false">IF(O671="","",IF(U671="",0,O671*IF(U671&gt;1,U671/100,U671)))</f>
        <v/>
      </c>
      <c r="W671" s="28"/>
      <c r="X671" s="34" t="str">
        <f aca="false">IF(W671="","",IFERROR(VLOOKUP(W671,REPS!$A$2:$D$40,3,0),""))</f>
        <v/>
      </c>
      <c r="Y671" s="31" t="str">
        <f aca="false">IF(O671="","",IF(X671="",0,O671*IF(X671&gt;1,X671/100,X671)))</f>
        <v/>
      </c>
      <c r="Z671" s="28"/>
      <c r="AA671" s="34" t="str">
        <f aca="false">IF(Z671="","",IFERROR(VLOOKUP(Z671,REPS!$A$2:$D$40,4,0),""))</f>
        <v/>
      </c>
      <c r="AB671" s="31" t="str">
        <f aca="false">IF(O671="","",IF(AA671="",0,O671*IF(AA671&gt;1,AA671/100,AA671)))</f>
        <v/>
      </c>
      <c r="AC671" s="31" t="str">
        <f aca="false">IF(O671="","",V671+Y671+AB671)</f>
        <v/>
      </c>
      <c r="AD671" s="19" t="str">
        <f aca="false">IF(O671="","",O671-R671-AC671)</f>
        <v/>
      </c>
      <c r="AE671" s="20"/>
      <c r="AF671" s="27"/>
      <c r="AG671" s="21" t="n">
        <f aca="false">IF(OR(AE671="",AE671=0),0,AE671*IF(U671="",0,IF(U671&gt;1,U671/100,U671)))</f>
        <v>0</v>
      </c>
      <c r="AH671" s="21" t="n">
        <f aca="false">IF(OR(AE671="",AE671=0),0,AE671*IF(X671="",0,IF(X671&gt;1,X671/100,X671)))</f>
        <v>0</v>
      </c>
      <c r="AI671" s="21" t="n">
        <f aca="false">IF(OR(AE671="",AE671=0),0,AE671*IF(AA671="",0,IF(AA671&gt;1,AA671/100,AA671)))</f>
        <v>0</v>
      </c>
      <c r="AJ671" s="21" t="n">
        <f aca="false">AG671+AH671+AI671</f>
        <v>0</v>
      </c>
      <c r="AK671" s="21" t="n">
        <f aca="false">IF(OR(AE671="",AE671=0),0,AE671-AJ671)</f>
        <v>0</v>
      </c>
      <c r="AL671" s="19" t="str">
        <f aca="false">IF(AD671="","",AD671-AK671)</f>
        <v/>
      </c>
      <c r="AM671" s="26" t="str">
        <f aca="false">IF(C671="","","Waiting for payment")</f>
        <v/>
      </c>
      <c r="AN671" s="27"/>
      <c r="AO671" s="27"/>
      <c r="AP671" s="35" t="str">
        <f aca="false">IF(OR(C671="",I671="",K671=""),"",IF(K671="Monthly",EDATE(C671,ROUND(I671*SETTINGS!$I$8,0)),WORKDAY(C671,ROUND(I671*SETTINGS!$I$8,0))))</f>
        <v/>
      </c>
      <c r="AQ671" s="26" t="str">
        <f aca="true">IF(C671="","",IF(AND(AP671&lt;&gt;"",TODAY()&gt;=AP671),"Refi Ready",IF(TODAY()-C671&gt;=SETTINGS!$I$11,"Prospecting","Performing")))</f>
        <v/>
      </c>
      <c r="AR671" s="35" t="str">
        <f aca="false">IF(OR(C671="",I671="",K671=""),"",IF(K671="Monthly",EDATE(C671,I671),WORKDAY(C671,I671)))</f>
        <v/>
      </c>
      <c r="AS671" s="28"/>
      <c r="AT671" s="36" t="str">
        <f aca="true">IF(C671="","",IF(AM671="Clawed Back","CLAWED",IF(TODAY()&lt;=C671+SETTINGS!$I$2,"⚠ AT RISK","SAFE")))</f>
        <v/>
      </c>
      <c r="AU671" s="28"/>
      <c r="AW671" s="24" t="n">
        <f aca="false">AW670+IF(AND(C671&lt;&gt;"",AO671&lt;&gt;"",OR('REP COMMISSION'!$B$3="",T671='REP COMMISSION'!$B$3,W671='REP COMMISSION'!$B$3,Z671='REP COMMISSION'!$B$3)),1,0)</f>
        <v>0</v>
      </c>
      <c r="AX671" s="24" t="n">
        <f aca="false">AX670+IF(AND(C671&lt;&gt;"",OR(F671="LOC - INITIAL",F671="CONSOLIDATION - UPFRONT COMM",F671="REVERSE - TOTAL FUNDING")),1,0)</f>
        <v>0</v>
      </c>
    </row>
    <row r="672" customFormat="false" ht="15" hidden="false" customHeight="false" outlineLevel="0" collapsed="false">
      <c r="A672" s="8" t="str">
        <f aca="false">IF(C672&lt;&gt;"","F27-"&amp;COUNT($C$4:C672),"")</f>
        <v/>
      </c>
      <c r="B672" s="9" t="str">
        <f aca="false">IF(OR(F672="LOC - INITIAL",F672="CONSOLIDATION - UPFRONT COMM",F672="REVERSE - TOTAL FUNDING"),A672,"")</f>
        <v/>
      </c>
      <c r="C672" s="10"/>
      <c r="D672" s="11"/>
      <c r="E672" s="11"/>
      <c r="F672" s="11"/>
      <c r="G672" s="12"/>
      <c r="H672" s="13"/>
      <c r="I672" s="11"/>
      <c r="J672" s="14" t="str">
        <f aca="false">IF(AND(G672&lt;&gt;"",H672&lt;&gt;""),G672*H672,"")</f>
        <v/>
      </c>
      <c r="K672" s="11"/>
      <c r="L672" s="15"/>
      <c r="M672" s="15"/>
      <c r="N672" s="14" t="n">
        <f aca="false">IF(OR(G672="",M672=""),0,IF(M672&gt;100,M672,G672*IF(M672&gt;1,M672/100,M672)))</f>
        <v>0</v>
      </c>
      <c r="O672" s="14" t="str">
        <f aca="false">IF(G672="","",G672*IF(L672="",0,IF(L672&gt;1,L672/100,L672))+N672)</f>
        <v/>
      </c>
      <c r="P672" s="11"/>
      <c r="Q672" s="16" t="str">
        <f aca="false">IF(P672="","",IFERROR(VLOOKUP(P672,PARTNERS!$A$2:$B$30,2,0),""))</f>
        <v/>
      </c>
      <c r="R672" s="17" t="str">
        <f aca="false">IF(O672="","",IF(OR(P672="",Q672=""),0,(O672-N672)*IF(Q672&gt;1,Q672/100,Q672)))</f>
        <v/>
      </c>
      <c r="S672" s="14" t="str">
        <f aca="false">IF(O672="","",O672-R672)</f>
        <v/>
      </c>
      <c r="T672" s="11"/>
      <c r="U672" s="18" t="str">
        <f aca="false">IF(T672="","",IFERROR(VLOOKUP(T672,REPS!$A$2:$D$40,2,0),""))</f>
        <v/>
      </c>
      <c r="V672" s="14" t="str">
        <f aca="false">IF(O672="","",IF(U672="",0,O672*IF(U672&gt;1,U672/100,U672)))</f>
        <v/>
      </c>
      <c r="W672" s="11"/>
      <c r="X672" s="18" t="str">
        <f aca="false">IF(W672="","",IFERROR(VLOOKUP(W672,REPS!$A$2:$D$40,3,0),""))</f>
        <v/>
      </c>
      <c r="Y672" s="14" t="str">
        <f aca="false">IF(O672="","",IF(X672="",0,O672*IF(X672&gt;1,X672/100,X672)))</f>
        <v/>
      </c>
      <c r="Z672" s="11"/>
      <c r="AA672" s="18" t="str">
        <f aca="false">IF(Z672="","",IFERROR(VLOOKUP(Z672,REPS!$A$2:$D$40,4,0),""))</f>
        <v/>
      </c>
      <c r="AB672" s="14" t="str">
        <f aca="false">IF(O672="","",IF(AA672="",0,O672*IF(AA672&gt;1,AA672/100,AA672)))</f>
        <v/>
      </c>
      <c r="AC672" s="14" t="str">
        <f aca="false">IF(O672="","",V672+Y672+AB672)</f>
        <v/>
      </c>
      <c r="AD672" s="19" t="str">
        <f aca="false">IF(O672="","",O672-R672-AC672)</f>
        <v/>
      </c>
      <c r="AE672" s="20"/>
      <c r="AF672" s="10"/>
      <c r="AG672" s="21" t="n">
        <f aca="false">IF(OR(AE672="",AE672=0),0,AE672*IF(U672="",0,IF(U672&gt;1,U672/100,U672)))</f>
        <v>0</v>
      </c>
      <c r="AH672" s="21" t="n">
        <f aca="false">IF(OR(AE672="",AE672=0),0,AE672*IF(X672="",0,IF(X672&gt;1,X672/100,X672)))</f>
        <v>0</v>
      </c>
      <c r="AI672" s="21" t="n">
        <f aca="false">IF(OR(AE672="",AE672=0),0,AE672*IF(AA672="",0,IF(AA672&gt;1,AA672/100,AA672)))</f>
        <v>0</v>
      </c>
      <c r="AJ672" s="21" t="n">
        <f aca="false">AG672+AH672+AI672</f>
        <v>0</v>
      </c>
      <c r="AK672" s="21" t="n">
        <f aca="false">IF(OR(AE672="",AE672=0),0,AE672-AJ672)</f>
        <v>0</v>
      </c>
      <c r="AL672" s="19" t="str">
        <f aca="false">IF(AD672="","",AD672-AK672)</f>
        <v/>
      </c>
      <c r="AM672" s="9" t="str">
        <f aca="false">IF(C672="","","Waiting for payment")</f>
        <v/>
      </c>
      <c r="AN672" s="10"/>
      <c r="AO672" s="10"/>
      <c r="AP672" s="22" t="str">
        <f aca="false">IF(OR(C672="",I672="",K672=""),"",IF(K672="Monthly",EDATE(C672,ROUND(I672*SETTINGS!$I$8,0)),WORKDAY(C672,ROUND(I672*SETTINGS!$I$8,0))))</f>
        <v/>
      </c>
      <c r="AQ672" s="9" t="str">
        <f aca="true">IF(C672="","",IF(AND(AP672&lt;&gt;"",TODAY()&gt;=AP672),"Refi Ready",IF(TODAY()-C672&gt;=SETTINGS!$I$11,"Prospecting","Performing")))</f>
        <v/>
      </c>
      <c r="AR672" s="22" t="str">
        <f aca="false">IF(OR(C672="",I672="",K672=""),"",IF(K672="Monthly",EDATE(C672,I672),WORKDAY(C672,I672)))</f>
        <v/>
      </c>
      <c r="AS672" s="11"/>
      <c r="AT672" s="23" t="str">
        <f aca="true">IF(C672="","",IF(AM672="Clawed Back","CLAWED",IF(TODAY()&lt;=C672+SETTINGS!$I$2,"⚠ AT RISK","SAFE")))</f>
        <v/>
      </c>
      <c r="AU672" s="11"/>
      <c r="AW672" s="24" t="n">
        <f aca="false">AW671+IF(AND(C672&lt;&gt;"",AO672&lt;&gt;"",OR('REP COMMISSION'!$B$3="",T672='REP COMMISSION'!$B$3,W672='REP COMMISSION'!$B$3,Z672='REP COMMISSION'!$B$3)),1,0)</f>
        <v>0</v>
      </c>
      <c r="AX672" s="24" t="n">
        <f aca="false">AX671+IF(AND(C672&lt;&gt;"",OR(F672="LOC - INITIAL",F672="CONSOLIDATION - UPFRONT COMM",F672="REVERSE - TOTAL FUNDING")),1,0)</f>
        <v>0</v>
      </c>
    </row>
    <row r="673" customFormat="false" ht="15" hidden="false" customHeight="false" outlineLevel="0" collapsed="false">
      <c r="A673" s="25" t="str">
        <f aca="false">IF(C673&lt;&gt;"","F27-"&amp;COUNT($C$4:C673),"")</f>
        <v/>
      </c>
      <c r="B673" s="26" t="str">
        <f aca="false">IF(OR(F673="LOC - INITIAL",F673="CONSOLIDATION - UPFRONT COMM",F673="REVERSE - TOTAL FUNDING"),A673,"")</f>
        <v/>
      </c>
      <c r="C673" s="27"/>
      <c r="D673" s="28"/>
      <c r="E673" s="28"/>
      <c r="F673" s="28"/>
      <c r="G673" s="29"/>
      <c r="H673" s="30"/>
      <c r="I673" s="28"/>
      <c r="J673" s="31" t="str">
        <f aca="false">IF(AND(G673&lt;&gt;"",H673&lt;&gt;""),G673*H673,"")</f>
        <v/>
      </c>
      <c r="K673" s="28"/>
      <c r="L673" s="32"/>
      <c r="M673" s="32"/>
      <c r="N673" s="31" t="n">
        <f aca="false">IF(OR(G673="",M673=""),0,IF(M673&gt;100,M673,G673*IF(M673&gt;1,M673/100,M673)))</f>
        <v>0</v>
      </c>
      <c r="O673" s="31" t="str">
        <f aca="false">IF(G673="","",G673*IF(L673="",0,IF(L673&gt;1,L673/100,L673))+N673)</f>
        <v/>
      </c>
      <c r="P673" s="28"/>
      <c r="Q673" s="33" t="str">
        <f aca="false">IF(P673="","",IFERROR(VLOOKUP(P673,PARTNERS!$A$2:$B$30,2,0),""))</f>
        <v/>
      </c>
      <c r="R673" s="17" t="str">
        <f aca="false">IF(O673="","",IF(OR(P673="",Q673=""),0,(O673-N673)*IF(Q673&gt;1,Q673/100,Q673)))</f>
        <v/>
      </c>
      <c r="S673" s="31" t="str">
        <f aca="false">IF(O673="","",O673-R673)</f>
        <v/>
      </c>
      <c r="T673" s="28"/>
      <c r="U673" s="34" t="str">
        <f aca="false">IF(T673="","",IFERROR(VLOOKUP(T673,REPS!$A$2:$D$40,2,0),""))</f>
        <v/>
      </c>
      <c r="V673" s="31" t="str">
        <f aca="false">IF(O673="","",IF(U673="",0,O673*IF(U673&gt;1,U673/100,U673)))</f>
        <v/>
      </c>
      <c r="W673" s="28"/>
      <c r="X673" s="34" t="str">
        <f aca="false">IF(W673="","",IFERROR(VLOOKUP(W673,REPS!$A$2:$D$40,3,0),""))</f>
        <v/>
      </c>
      <c r="Y673" s="31" t="str">
        <f aca="false">IF(O673="","",IF(X673="",0,O673*IF(X673&gt;1,X673/100,X673)))</f>
        <v/>
      </c>
      <c r="Z673" s="28"/>
      <c r="AA673" s="34" t="str">
        <f aca="false">IF(Z673="","",IFERROR(VLOOKUP(Z673,REPS!$A$2:$D$40,4,0),""))</f>
        <v/>
      </c>
      <c r="AB673" s="31" t="str">
        <f aca="false">IF(O673="","",IF(AA673="",0,O673*IF(AA673&gt;1,AA673/100,AA673)))</f>
        <v/>
      </c>
      <c r="AC673" s="31" t="str">
        <f aca="false">IF(O673="","",V673+Y673+AB673)</f>
        <v/>
      </c>
      <c r="AD673" s="19" t="str">
        <f aca="false">IF(O673="","",O673-R673-AC673)</f>
        <v/>
      </c>
      <c r="AE673" s="20"/>
      <c r="AF673" s="27"/>
      <c r="AG673" s="21" t="n">
        <f aca="false">IF(OR(AE673="",AE673=0),0,AE673*IF(U673="",0,IF(U673&gt;1,U673/100,U673)))</f>
        <v>0</v>
      </c>
      <c r="AH673" s="21" t="n">
        <f aca="false">IF(OR(AE673="",AE673=0),0,AE673*IF(X673="",0,IF(X673&gt;1,X673/100,X673)))</f>
        <v>0</v>
      </c>
      <c r="AI673" s="21" t="n">
        <f aca="false">IF(OR(AE673="",AE673=0),0,AE673*IF(AA673="",0,IF(AA673&gt;1,AA673/100,AA673)))</f>
        <v>0</v>
      </c>
      <c r="AJ673" s="21" t="n">
        <f aca="false">AG673+AH673+AI673</f>
        <v>0</v>
      </c>
      <c r="AK673" s="21" t="n">
        <f aca="false">IF(OR(AE673="",AE673=0),0,AE673-AJ673)</f>
        <v>0</v>
      </c>
      <c r="AL673" s="19" t="str">
        <f aca="false">IF(AD673="","",AD673-AK673)</f>
        <v/>
      </c>
      <c r="AM673" s="26" t="str">
        <f aca="false">IF(C673="","","Waiting for payment")</f>
        <v/>
      </c>
      <c r="AN673" s="27"/>
      <c r="AO673" s="27"/>
      <c r="AP673" s="35" t="str">
        <f aca="false">IF(OR(C673="",I673="",K673=""),"",IF(K673="Monthly",EDATE(C673,ROUND(I673*SETTINGS!$I$8,0)),WORKDAY(C673,ROUND(I673*SETTINGS!$I$8,0))))</f>
        <v/>
      </c>
      <c r="AQ673" s="26" t="str">
        <f aca="true">IF(C673="","",IF(AND(AP673&lt;&gt;"",TODAY()&gt;=AP673),"Refi Ready",IF(TODAY()-C673&gt;=SETTINGS!$I$11,"Prospecting","Performing")))</f>
        <v/>
      </c>
      <c r="AR673" s="35" t="str">
        <f aca="false">IF(OR(C673="",I673="",K673=""),"",IF(K673="Monthly",EDATE(C673,I673),WORKDAY(C673,I673)))</f>
        <v/>
      </c>
      <c r="AS673" s="28"/>
      <c r="AT673" s="36" t="str">
        <f aca="true">IF(C673="","",IF(AM673="Clawed Back","CLAWED",IF(TODAY()&lt;=C673+SETTINGS!$I$2,"⚠ AT RISK","SAFE")))</f>
        <v/>
      </c>
      <c r="AU673" s="28"/>
      <c r="AW673" s="24" t="n">
        <f aca="false">AW672+IF(AND(C673&lt;&gt;"",AO673&lt;&gt;"",OR('REP COMMISSION'!$B$3="",T673='REP COMMISSION'!$B$3,W673='REP COMMISSION'!$B$3,Z673='REP COMMISSION'!$B$3)),1,0)</f>
        <v>0</v>
      </c>
      <c r="AX673" s="24" t="n">
        <f aca="false">AX672+IF(AND(C673&lt;&gt;"",OR(F673="LOC - INITIAL",F673="CONSOLIDATION - UPFRONT COMM",F673="REVERSE - TOTAL FUNDING")),1,0)</f>
        <v>0</v>
      </c>
    </row>
    <row r="674" customFormat="false" ht="15" hidden="false" customHeight="false" outlineLevel="0" collapsed="false">
      <c r="A674" s="8" t="str">
        <f aca="false">IF(C674&lt;&gt;"","F27-"&amp;COUNT($C$4:C674),"")</f>
        <v/>
      </c>
      <c r="B674" s="9" t="str">
        <f aca="false">IF(OR(F674="LOC - INITIAL",F674="CONSOLIDATION - UPFRONT COMM",F674="REVERSE - TOTAL FUNDING"),A674,"")</f>
        <v/>
      </c>
      <c r="C674" s="10"/>
      <c r="D674" s="11"/>
      <c r="E674" s="11"/>
      <c r="F674" s="11"/>
      <c r="G674" s="12"/>
      <c r="H674" s="13"/>
      <c r="I674" s="11"/>
      <c r="J674" s="14" t="str">
        <f aca="false">IF(AND(G674&lt;&gt;"",H674&lt;&gt;""),G674*H674,"")</f>
        <v/>
      </c>
      <c r="K674" s="11"/>
      <c r="L674" s="15"/>
      <c r="M674" s="15"/>
      <c r="N674" s="14" t="n">
        <f aca="false">IF(OR(G674="",M674=""),0,IF(M674&gt;100,M674,G674*IF(M674&gt;1,M674/100,M674)))</f>
        <v>0</v>
      </c>
      <c r="O674" s="14" t="str">
        <f aca="false">IF(G674="","",G674*IF(L674="",0,IF(L674&gt;1,L674/100,L674))+N674)</f>
        <v/>
      </c>
      <c r="P674" s="11"/>
      <c r="Q674" s="16" t="str">
        <f aca="false">IF(P674="","",IFERROR(VLOOKUP(P674,PARTNERS!$A$2:$B$30,2,0),""))</f>
        <v/>
      </c>
      <c r="R674" s="17" t="str">
        <f aca="false">IF(O674="","",IF(OR(P674="",Q674=""),0,(O674-N674)*IF(Q674&gt;1,Q674/100,Q674)))</f>
        <v/>
      </c>
      <c r="S674" s="14" t="str">
        <f aca="false">IF(O674="","",O674-R674)</f>
        <v/>
      </c>
      <c r="T674" s="11"/>
      <c r="U674" s="18" t="str">
        <f aca="false">IF(T674="","",IFERROR(VLOOKUP(T674,REPS!$A$2:$D$40,2,0),""))</f>
        <v/>
      </c>
      <c r="V674" s="14" t="str">
        <f aca="false">IF(O674="","",IF(U674="",0,O674*IF(U674&gt;1,U674/100,U674)))</f>
        <v/>
      </c>
      <c r="W674" s="11"/>
      <c r="X674" s="18" t="str">
        <f aca="false">IF(W674="","",IFERROR(VLOOKUP(W674,REPS!$A$2:$D$40,3,0),""))</f>
        <v/>
      </c>
      <c r="Y674" s="14" t="str">
        <f aca="false">IF(O674="","",IF(X674="",0,O674*IF(X674&gt;1,X674/100,X674)))</f>
        <v/>
      </c>
      <c r="Z674" s="11"/>
      <c r="AA674" s="18" t="str">
        <f aca="false">IF(Z674="","",IFERROR(VLOOKUP(Z674,REPS!$A$2:$D$40,4,0),""))</f>
        <v/>
      </c>
      <c r="AB674" s="14" t="str">
        <f aca="false">IF(O674="","",IF(AA674="",0,O674*IF(AA674&gt;1,AA674/100,AA674)))</f>
        <v/>
      </c>
      <c r="AC674" s="14" t="str">
        <f aca="false">IF(O674="","",V674+Y674+AB674)</f>
        <v/>
      </c>
      <c r="AD674" s="19" t="str">
        <f aca="false">IF(O674="","",O674-R674-AC674)</f>
        <v/>
      </c>
      <c r="AE674" s="20"/>
      <c r="AF674" s="10"/>
      <c r="AG674" s="21" t="n">
        <f aca="false">IF(OR(AE674="",AE674=0),0,AE674*IF(U674="",0,IF(U674&gt;1,U674/100,U674)))</f>
        <v>0</v>
      </c>
      <c r="AH674" s="21" t="n">
        <f aca="false">IF(OR(AE674="",AE674=0),0,AE674*IF(X674="",0,IF(X674&gt;1,X674/100,X674)))</f>
        <v>0</v>
      </c>
      <c r="AI674" s="21" t="n">
        <f aca="false">IF(OR(AE674="",AE674=0),0,AE674*IF(AA674="",0,IF(AA674&gt;1,AA674/100,AA674)))</f>
        <v>0</v>
      </c>
      <c r="AJ674" s="21" t="n">
        <f aca="false">AG674+AH674+AI674</f>
        <v>0</v>
      </c>
      <c r="AK674" s="21" t="n">
        <f aca="false">IF(OR(AE674="",AE674=0),0,AE674-AJ674)</f>
        <v>0</v>
      </c>
      <c r="AL674" s="19" t="str">
        <f aca="false">IF(AD674="","",AD674-AK674)</f>
        <v/>
      </c>
      <c r="AM674" s="9" t="str">
        <f aca="false">IF(C674="","","Waiting for payment")</f>
        <v/>
      </c>
      <c r="AN674" s="10"/>
      <c r="AO674" s="10"/>
      <c r="AP674" s="22" t="str">
        <f aca="false">IF(OR(C674="",I674="",K674=""),"",IF(K674="Monthly",EDATE(C674,ROUND(I674*SETTINGS!$I$8,0)),WORKDAY(C674,ROUND(I674*SETTINGS!$I$8,0))))</f>
        <v/>
      </c>
      <c r="AQ674" s="9" t="str">
        <f aca="true">IF(C674="","",IF(AND(AP674&lt;&gt;"",TODAY()&gt;=AP674),"Refi Ready",IF(TODAY()-C674&gt;=SETTINGS!$I$11,"Prospecting","Performing")))</f>
        <v/>
      </c>
      <c r="AR674" s="22" t="str">
        <f aca="false">IF(OR(C674="",I674="",K674=""),"",IF(K674="Monthly",EDATE(C674,I674),WORKDAY(C674,I674)))</f>
        <v/>
      </c>
      <c r="AS674" s="11"/>
      <c r="AT674" s="23" t="str">
        <f aca="true">IF(C674="","",IF(AM674="Clawed Back","CLAWED",IF(TODAY()&lt;=C674+SETTINGS!$I$2,"⚠ AT RISK","SAFE")))</f>
        <v/>
      </c>
      <c r="AU674" s="11"/>
      <c r="AW674" s="24" t="n">
        <f aca="false">AW673+IF(AND(C674&lt;&gt;"",AO674&lt;&gt;"",OR('REP COMMISSION'!$B$3="",T674='REP COMMISSION'!$B$3,W674='REP COMMISSION'!$B$3,Z674='REP COMMISSION'!$B$3)),1,0)</f>
        <v>0</v>
      </c>
      <c r="AX674" s="24" t="n">
        <f aca="false">AX673+IF(AND(C674&lt;&gt;"",OR(F674="LOC - INITIAL",F674="CONSOLIDATION - UPFRONT COMM",F674="REVERSE - TOTAL FUNDING")),1,0)</f>
        <v>0</v>
      </c>
    </row>
    <row r="675" customFormat="false" ht="15" hidden="false" customHeight="false" outlineLevel="0" collapsed="false">
      <c r="A675" s="25" t="str">
        <f aca="false">IF(C675&lt;&gt;"","F27-"&amp;COUNT($C$4:C675),"")</f>
        <v/>
      </c>
      <c r="B675" s="26" t="str">
        <f aca="false">IF(OR(F675="LOC - INITIAL",F675="CONSOLIDATION - UPFRONT COMM",F675="REVERSE - TOTAL FUNDING"),A675,"")</f>
        <v/>
      </c>
      <c r="C675" s="27"/>
      <c r="D675" s="28"/>
      <c r="E675" s="28"/>
      <c r="F675" s="28"/>
      <c r="G675" s="29"/>
      <c r="H675" s="30"/>
      <c r="I675" s="28"/>
      <c r="J675" s="31" t="str">
        <f aca="false">IF(AND(G675&lt;&gt;"",H675&lt;&gt;""),G675*H675,"")</f>
        <v/>
      </c>
      <c r="K675" s="28"/>
      <c r="L675" s="32"/>
      <c r="M675" s="32"/>
      <c r="N675" s="31" t="n">
        <f aca="false">IF(OR(G675="",M675=""),0,IF(M675&gt;100,M675,G675*IF(M675&gt;1,M675/100,M675)))</f>
        <v>0</v>
      </c>
      <c r="O675" s="31" t="str">
        <f aca="false">IF(G675="","",G675*IF(L675="",0,IF(L675&gt;1,L675/100,L675))+N675)</f>
        <v/>
      </c>
      <c r="P675" s="28"/>
      <c r="Q675" s="33" t="str">
        <f aca="false">IF(P675="","",IFERROR(VLOOKUP(P675,PARTNERS!$A$2:$B$30,2,0),""))</f>
        <v/>
      </c>
      <c r="R675" s="17" t="str">
        <f aca="false">IF(O675="","",IF(OR(P675="",Q675=""),0,(O675-N675)*IF(Q675&gt;1,Q675/100,Q675)))</f>
        <v/>
      </c>
      <c r="S675" s="31" t="str">
        <f aca="false">IF(O675="","",O675-R675)</f>
        <v/>
      </c>
      <c r="T675" s="28"/>
      <c r="U675" s="34" t="str">
        <f aca="false">IF(T675="","",IFERROR(VLOOKUP(T675,REPS!$A$2:$D$40,2,0),""))</f>
        <v/>
      </c>
      <c r="V675" s="31" t="str">
        <f aca="false">IF(O675="","",IF(U675="",0,O675*IF(U675&gt;1,U675/100,U675)))</f>
        <v/>
      </c>
      <c r="W675" s="28"/>
      <c r="X675" s="34" t="str">
        <f aca="false">IF(W675="","",IFERROR(VLOOKUP(W675,REPS!$A$2:$D$40,3,0),""))</f>
        <v/>
      </c>
      <c r="Y675" s="31" t="str">
        <f aca="false">IF(O675="","",IF(X675="",0,O675*IF(X675&gt;1,X675/100,X675)))</f>
        <v/>
      </c>
      <c r="Z675" s="28"/>
      <c r="AA675" s="34" t="str">
        <f aca="false">IF(Z675="","",IFERROR(VLOOKUP(Z675,REPS!$A$2:$D$40,4,0),""))</f>
        <v/>
      </c>
      <c r="AB675" s="31" t="str">
        <f aca="false">IF(O675="","",IF(AA675="",0,O675*IF(AA675&gt;1,AA675/100,AA675)))</f>
        <v/>
      </c>
      <c r="AC675" s="31" t="str">
        <f aca="false">IF(O675="","",V675+Y675+AB675)</f>
        <v/>
      </c>
      <c r="AD675" s="19" t="str">
        <f aca="false">IF(O675="","",O675-R675-AC675)</f>
        <v/>
      </c>
      <c r="AE675" s="20"/>
      <c r="AF675" s="27"/>
      <c r="AG675" s="21" t="n">
        <f aca="false">IF(OR(AE675="",AE675=0),0,AE675*IF(U675="",0,IF(U675&gt;1,U675/100,U675)))</f>
        <v>0</v>
      </c>
      <c r="AH675" s="21" t="n">
        <f aca="false">IF(OR(AE675="",AE675=0),0,AE675*IF(X675="",0,IF(X675&gt;1,X675/100,X675)))</f>
        <v>0</v>
      </c>
      <c r="AI675" s="21" t="n">
        <f aca="false">IF(OR(AE675="",AE675=0),0,AE675*IF(AA675="",0,IF(AA675&gt;1,AA675/100,AA675)))</f>
        <v>0</v>
      </c>
      <c r="AJ675" s="21" t="n">
        <f aca="false">AG675+AH675+AI675</f>
        <v>0</v>
      </c>
      <c r="AK675" s="21" t="n">
        <f aca="false">IF(OR(AE675="",AE675=0),0,AE675-AJ675)</f>
        <v>0</v>
      </c>
      <c r="AL675" s="19" t="str">
        <f aca="false">IF(AD675="","",AD675-AK675)</f>
        <v/>
      </c>
      <c r="AM675" s="26" t="str">
        <f aca="false">IF(C675="","","Waiting for payment")</f>
        <v/>
      </c>
      <c r="AN675" s="27"/>
      <c r="AO675" s="27"/>
      <c r="AP675" s="35" t="str">
        <f aca="false">IF(OR(C675="",I675="",K675=""),"",IF(K675="Monthly",EDATE(C675,ROUND(I675*SETTINGS!$I$8,0)),WORKDAY(C675,ROUND(I675*SETTINGS!$I$8,0))))</f>
        <v/>
      </c>
      <c r="AQ675" s="26" t="str">
        <f aca="true">IF(C675="","",IF(AND(AP675&lt;&gt;"",TODAY()&gt;=AP675),"Refi Ready",IF(TODAY()-C675&gt;=SETTINGS!$I$11,"Prospecting","Performing")))</f>
        <v/>
      </c>
      <c r="AR675" s="35" t="str">
        <f aca="false">IF(OR(C675="",I675="",K675=""),"",IF(K675="Monthly",EDATE(C675,I675),WORKDAY(C675,I675)))</f>
        <v/>
      </c>
      <c r="AS675" s="28"/>
      <c r="AT675" s="36" t="str">
        <f aca="true">IF(C675="","",IF(AM675="Clawed Back","CLAWED",IF(TODAY()&lt;=C675+SETTINGS!$I$2,"⚠ AT RISK","SAFE")))</f>
        <v/>
      </c>
      <c r="AU675" s="28"/>
      <c r="AW675" s="24" t="n">
        <f aca="false">AW674+IF(AND(C675&lt;&gt;"",AO675&lt;&gt;"",OR('REP COMMISSION'!$B$3="",T675='REP COMMISSION'!$B$3,W675='REP COMMISSION'!$B$3,Z675='REP COMMISSION'!$B$3)),1,0)</f>
        <v>0</v>
      </c>
      <c r="AX675" s="24" t="n">
        <f aca="false">AX674+IF(AND(C675&lt;&gt;"",OR(F675="LOC - INITIAL",F675="CONSOLIDATION - UPFRONT COMM",F675="REVERSE - TOTAL FUNDING")),1,0)</f>
        <v>0</v>
      </c>
    </row>
    <row r="676" customFormat="false" ht="15" hidden="false" customHeight="false" outlineLevel="0" collapsed="false">
      <c r="A676" s="8" t="str">
        <f aca="false">IF(C676&lt;&gt;"","F27-"&amp;COUNT($C$4:C676),"")</f>
        <v/>
      </c>
      <c r="B676" s="9" t="str">
        <f aca="false">IF(OR(F676="LOC - INITIAL",F676="CONSOLIDATION - UPFRONT COMM",F676="REVERSE - TOTAL FUNDING"),A676,"")</f>
        <v/>
      </c>
      <c r="C676" s="10"/>
      <c r="D676" s="11"/>
      <c r="E676" s="11"/>
      <c r="F676" s="11"/>
      <c r="G676" s="12"/>
      <c r="H676" s="13"/>
      <c r="I676" s="11"/>
      <c r="J676" s="14" t="str">
        <f aca="false">IF(AND(G676&lt;&gt;"",H676&lt;&gt;""),G676*H676,"")</f>
        <v/>
      </c>
      <c r="K676" s="11"/>
      <c r="L676" s="15"/>
      <c r="M676" s="15"/>
      <c r="N676" s="14" t="n">
        <f aca="false">IF(OR(G676="",M676=""),0,IF(M676&gt;100,M676,G676*IF(M676&gt;1,M676/100,M676)))</f>
        <v>0</v>
      </c>
      <c r="O676" s="14" t="str">
        <f aca="false">IF(G676="","",G676*IF(L676="",0,IF(L676&gt;1,L676/100,L676))+N676)</f>
        <v/>
      </c>
      <c r="P676" s="11"/>
      <c r="Q676" s="16" t="str">
        <f aca="false">IF(P676="","",IFERROR(VLOOKUP(P676,PARTNERS!$A$2:$B$30,2,0),""))</f>
        <v/>
      </c>
      <c r="R676" s="17" t="str">
        <f aca="false">IF(O676="","",IF(OR(P676="",Q676=""),0,(O676-N676)*IF(Q676&gt;1,Q676/100,Q676)))</f>
        <v/>
      </c>
      <c r="S676" s="14" t="str">
        <f aca="false">IF(O676="","",O676-R676)</f>
        <v/>
      </c>
      <c r="T676" s="11"/>
      <c r="U676" s="18" t="str">
        <f aca="false">IF(T676="","",IFERROR(VLOOKUP(T676,REPS!$A$2:$D$40,2,0),""))</f>
        <v/>
      </c>
      <c r="V676" s="14" t="str">
        <f aca="false">IF(O676="","",IF(U676="",0,O676*IF(U676&gt;1,U676/100,U676)))</f>
        <v/>
      </c>
      <c r="W676" s="11"/>
      <c r="X676" s="18" t="str">
        <f aca="false">IF(W676="","",IFERROR(VLOOKUP(W676,REPS!$A$2:$D$40,3,0),""))</f>
        <v/>
      </c>
      <c r="Y676" s="14" t="str">
        <f aca="false">IF(O676="","",IF(X676="",0,O676*IF(X676&gt;1,X676/100,X676)))</f>
        <v/>
      </c>
      <c r="Z676" s="11"/>
      <c r="AA676" s="18" t="str">
        <f aca="false">IF(Z676="","",IFERROR(VLOOKUP(Z676,REPS!$A$2:$D$40,4,0),""))</f>
        <v/>
      </c>
      <c r="AB676" s="14" t="str">
        <f aca="false">IF(O676="","",IF(AA676="",0,O676*IF(AA676&gt;1,AA676/100,AA676)))</f>
        <v/>
      </c>
      <c r="AC676" s="14" t="str">
        <f aca="false">IF(O676="","",V676+Y676+AB676)</f>
        <v/>
      </c>
      <c r="AD676" s="19" t="str">
        <f aca="false">IF(O676="","",O676-R676-AC676)</f>
        <v/>
      </c>
      <c r="AE676" s="20"/>
      <c r="AF676" s="10"/>
      <c r="AG676" s="21" t="n">
        <f aca="false">IF(OR(AE676="",AE676=0),0,AE676*IF(U676="",0,IF(U676&gt;1,U676/100,U676)))</f>
        <v>0</v>
      </c>
      <c r="AH676" s="21" t="n">
        <f aca="false">IF(OR(AE676="",AE676=0),0,AE676*IF(X676="",0,IF(X676&gt;1,X676/100,X676)))</f>
        <v>0</v>
      </c>
      <c r="AI676" s="21" t="n">
        <f aca="false">IF(OR(AE676="",AE676=0),0,AE676*IF(AA676="",0,IF(AA676&gt;1,AA676/100,AA676)))</f>
        <v>0</v>
      </c>
      <c r="AJ676" s="21" t="n">
        <f aca="false">AG676+AH676+AI676</f>
        <v>0</v>
      </c>
      <c r="AK676" s="21" t="n">
        <f aca="false">IF(OR(AE676="",AE676=0),0,AE676-AJ676)</f>
        <v>0</v>
      </c>
      <c r="AL676" s="19" t="str">
        <f aca="false">IF(AD676="","",AD676-AK676)</f>
        <v/>
      </c>
      <c r="AM676" s="9" t="str">
        <f aca="false">IF(C676="","","Waiting for payment")</f>
        <v/>
      </c>
      <c r="AN676" s="10"/>
      <c r="AO676" s="10"/>
      <c r="AP676" s="22" t="str">
        <f aca="false">IF(OR(C676="",I676="",K676=""),"",IF(K676="Monthly",EDATE(C676,ROUND(I676*SETTINGS!$I$8,0)),WORKDAY(C676,ROUND(I676*SETTINGS!$I$8,0))))</f>
        <v/>
      </c>
      <c r="AQ676" s="9" t="str">
        <f aca="true">IF(C676="","",IF(AND(AP676&lt;&gt;"",TODAY()&gt;=AP676),"Refi Ready",IF(TODAY()-C676&gt;=SETTINGS!$I$11,"Prospecting","Performing")))</f>
        <v/>
      </c>
      <c r="AR676" s="22" t="str">
        <f aca="false">IF(OR(C676="",I676="",K676=""),"",IF(K676="Monthly",EDATE(C676,I676),WORKDAY(C676,I676)))</f>
        <v/>
      </c>
      <c r="AS676" s="11"/>
      <c r="AT676" s="23" t="str">
        <f aca="true">IF(C676="","",IF(AM676="Clawed Back","CLAWED",IF(TODAY()&lt;=C676+SETTINGS!$I$2,"⚠ AT RISK","SAFE")))</f>
        <v/>
      </c>
      <c r="AU676" s="11"/>
      <c r="AW676" s="24" t="n">
        <f aca="false">AW675+IF(AND(C676&lt;&gt;"",AO676&lt;&gt;"",OR('REP COMMISSION'!$B$3="",T676='REP COMMISSION'!$B$3,W676='REP COMMISSION'!$B$3,Z676='REP COMMISSION'!$B$3)),1,0)</f>
        <v>0</v>
      </c>
      <c r="AX676" s="24" t="n">
        <f aca="false">AX675+IF(AND(C676&lt;&gt;"",OR(F676="LOC - INITIAL",F676="CONSOLIDATION - UPFRONT COMM",F676="REVERSE - TOTAL FUNDING")),1,0)</f>
        <v>0</v>
      </c>
    </row>
    <row r="677" customFormat="false" ht="15" hidden="false" customHeight="false" outlineLevel="0" collapsed="false">
      <c r="A677" s="25" t="str">
        <f aca="false">IF(C677&lt;&gt;"","F27-"&amp;COUNT($C$4:C677),"")</f>
        <v/>
      </c>
      <c r="B677" s="26" t="str">
        <f aca="false">IF(OR(F677="LOC - INITIAL",F677="CONSOLIDATION - UPFRONT COMM",F677="REVERSE - TOTAL FUNDING"),A677,"")</f>
        <v/>
      </c>
      <c r="C677" s="27"/>
      <c r="D677" s="28"/>
      <c r="E677" s="28"/>
      <c r="F677" s="28"/>
      <c r="G677" s="29"/>
      <c r="H677" s="30"/>
      <c r="I677" s="28"/>
      <c r="J677" s="31" t="str">
        <f aca="false">IF(AND(G677&lt;&gt;"",H677&lt;&gt;""),G677*H677,"")</f>
        <v/>
      </c>
      <c r="K677" s="28"/>
      <c r="L677" s="32"/>
      <c r="M677" s="32"/>
      <c r="N677" s="31" t="n">
        <f aca="false">IF(OR(G677="",M677=""),0,IF(M677&gt;100,M677,G677*IF(M677&gt;1,M677/100,M677)))</f>
        <v>0</v>
      </c>
      <c r="O677" s="31" t="str">
        <f aca="false">IF(G677="","",G677*IF(L677="",0,IF(L677&gt;1,L677/100,L677))+N677)</f>
        <v/>
      </c>
      <c r="P677" s="28"/>
      <c r="Q677" s="33" t="str">
        <f aca="false">IF(P677="","",IFERROR(VLOOKUP(P677,PARTNERS!$A$2:$B$30,2,0),""))</f>
        <v/>
      </c>
      <c r="R677" s="17" t="str">
        <f aca="false">IF(O677="","",IF(OR(P677="",Q677=""),0,(O677-N677)*IF(Q677&gt;1,Q677/100,Q677)))</f>
        <v/>
      </c>
      <c r="S677" s="31" t="str">
        <f aca="false">IF(O677="","",O677-R677)</f>
        <v/>
      </c>
      <c r="T677" s="28"/>
      <c r="U677" s="34" t="str">
        <f aca="false">IF(T677="","",IFERROR(VLOOKUP(T677,REPS!$A$2:$D$40,2,0),""))</f>
        <v/>
      </c>
      <c r="V677" s="31" t="str">
        <f aca="false">IF(O677="","",IF(U677="",0,O677*IF(U677&gt;1,U677/100,U677)))</f>
        <v/>
      </c>
      <c r="W677" s="28"/>
      <c r="X677" s="34" t="str">
        <f aca="false">IF(W677="","",IFERROR(VLOOKUP(W677,REPS!$A$2:$D$40,3,0),""))</f>
        <v/>
      </c>
      <c r="Y677" s="31" t="str">
        <f aca="false">IF(O677="","",IF(X677="",0,O677*IF(X677&gt;1,X677/100,X677)))</f>
        <v/>
      </c>
      <c r="Z677" s="28"/>
      <c r="AA677" s="34" t="str">
        <f aca="false">IF(Z677="","",IFERROR(VLOOKUP(Z677,REPS!$A$2:$D$40,4,0),""))</f>
        <v/>
      </c>
      <c r="AB677" s="31" t="str">
        <f aca="false">IF(O677="","",IF(AA677="",0,O677*IF(AA677&gt;1,AA677/100,AA677)))</f>
        <v/>
      </c>
      <c r="AC677" s="31" t="str">
        <f aca="false">IF(O677="","",V677+Y677+AB677)</f>
        <v/>
      </c>
      <c r="AD677" s="19" t="str">
        <f aca="false">IF(O677="","",O677-R677-AC677)</f>
        <v/>
      </c>
      <c r="AE677" s="20"/>
      <c r="AF677" s="27"/>
      <c r="AG677" s="21" t="n">
        <f aca="false">IF(OR(AE677="",AE677=0),0,AE677*IF(U677="",0,IF(U677&gt;1,U677/100,U677)))</f>
        <v>0</v>
      </c>
      <c r="AH677" s="21" t="n">
        <f aca="false">IF(OR(AE677="",AE677=0),0,AE677*IF(X677="",0,IF(X677&gt;1,X677/100,X677)))</f>
        <v>0</v>
      </c>
      <c r="AI677" s="21" t="n">
        <f aca="false">IF(OR(AE677="",AE677=0),0,AE677*IF(AA677="",0,IF(AA677&gt;1,AA677/100,AA677)))</f>
        <v>0</v>
      </c>
      <c r="AJ677" s="21" t="n">
        <f aca="false">AG677+AH677+AI677</f>
        <v>0</v>
      </c>
      <c r="AK677" s="21" t="n">
        <f aca="false">IF(OR(AE677="",AE677=0),0,AE677-AJ677)</f>
        <v>0</v>
      </c>
      <c r="AL677" s="19" t="str">
        <f aca="false">IF(AD677="","",AD677-AK677)</f>
        <v/>
      </c>
      <c r="AM677" s="26" t="str">
        <f aca="false">IF(C677="","","Waiting for payment")</f>
        <v/>
      </c>
      <c r="AN677" s="27"/>
      <c r="AO677" s="27"/>
      <c r="AP677" s="35" t="str">
        <f aca="false">IF(OR(C677="",I677="",K677=""),"",IF(K677="Monthly",EDATE(C677,ROUND(I677*SETTINGS!$I$8,0)),WORKDAY(C677,ROUND(I677*SETTINGS!$I$8,0))))</f>
        <v/>
      </c>
      <c r="AQ677" s="26" t="str">
        <f aca="true">IF(C677="","",IF(AND(AP677&lt;&gt;"",TODAY()&gt;=AP677),"Refi Ready",IF(TODAY()-C677&gt;=SETTINGS!$I$11,"Prospecting","Performing")))</f>
        <v/>
      </c>
      <c r="AR677" s="35" t="str">
        <f aca="false">IF(OR(C677="",I677="",K677=""),"",IF(K677="Monthly",EDATE(C677,I677),WORKDAY(C677,I677)))</f>
        <v/>
      </c>
      <c r="AS677" s="28"/>
      <c r="AT677" s="36" t="str">
        <f aca="true">IF(C677="","",IF(AM677="Clawed Back","CLAWED",IF(TODAY()&lt;=C677+SETTINGS!$I$2,"⚠ AT RISK","SAFE")))</f>
        <v/>
      </c>
      <c r="AU677" s="28"/>
      <c r="AW677" s="24" t="n">
        <f aca="false">AW676+IF(AND(C677&lt;&gt;"",AO677&lt;&gt;"",OR('REP COMMISSION'!$B$3="",T677='REP COMMISSION'!$B$3,W677='REP COMMISSION'!$B$3,Z677='REP COMMISSION'!$B$3)),1,0)</f>
        <v>0</v>
      </c>
      <c r="AX677" s="24" t="n">
        <f aca="false">AX676+IF(AND(C677&lt;&gt;"",OR(F677="LOC - INITIAL",F677="CONSOLIDATION - UPFRONT COMM",F677="REVERSE - TOTAL FUNDING")),1,0)</f>
        <v>0</v>
      </c>
    </row>
    <row r="678" customFormat="false" ht="15" hidden="false" customHeight="false" outlineLevel="0" collapsed="false">
      <c r="A678" s="8" t="str">
        <f aca="false">IF(C678&lt;&gt;"","F27-"&amp;COUNT($C$4:C678),"")</f>
        <v/>
      </c>
      <c r="B678" s="9" t="str">
        <f aca="false">IF(OR(F678="LOC - INITIAL",F678="CONSOLIDATION - UPFRONT COMM",F678="REVERSE - TOTAL FUNDING"),A678,"")</f>
        <v/>
      </c>
      <c r="C678" s="10"/>
      <c r="D678" s="11"/>
      <c r="E678" s="11"/>
      <c r="F678" s="11"/>
      <c r="G678" s="12"/>
      <c r="H678" s="13"/>
      <c r="I678" s="11"/>
      <c r="J678" s="14" t="str">
        <f aca="false">IF(AND(G678&lt;&gt;"",H678&lt;&gt;""),G678*H678,"")</f>
        <v/>
      </c>
      <c r="K678" s="11"/>
      <c r="L678" s="15"/>
      <c r="M678" s="15"/>
      <c r="N678" s="14" t="n">
        <f aca="false">IF(OR(G678="",M678=""),0,IF(M678&gt;100,M678,G678*IF(M678&gt;1,M678/100,M678)))</f>
        <v>0</v>
      </c>
      <c r="O678" s="14" t="str">
        <f aca="false">IF(G678="","",G678*IF(L678="",0,IF(L678&gt;1,L678/100,L678))+N678)</f>
        <v/>
      </c>
      <c r="P678" s="11"/>
      <c r="Q678" s="16" t="str">
        <f aca="false">IF(P678="","",IFERROR(VLOOKUP(P678,PARTNERS!$A$2:$B$30,2,0),""))</f>
        <v/>
      </c>
      <c r="R678" s="17" t="str">
        <f aca="false">IF(O678="","",IF(OR(P678="",Q678=""),0,(O678-N678)*IF(Q678&gt;1,Q678/100,Q678)))</f>
        <v/>
      </c>
      <c r="S678" s="14" t="str">
        <f aca="false">IF(O678="","",O678-R678)</f>
        <v/>
      </c>
      <c r="T678" s="11"/>
      <c r="U678" s="18" t="str">
        <f aca="false">IF(T678="","",IFERROR(VLOOKUP(T678,REPS!$A$2:$D$40,2,0),""))</f>
        <v/>
      </c>
      <c r="V678" s="14" t="str">
        <f aca="false">IF(O678="","",IF(U678="",0,O678*IF(U678&gt;1,U678/100,U678)))</f>
        <v/>
      </c>
      <c r="W678" s="11"/>
      <c r="X678" s="18" t="str">
        <f aca="false">IF(W678="","",IFERROR(VLOOKUP(W678,REPS!$A$2:$D$40,3,0),""))</f>
        <v/>
      </c>
      <c r="Y678" s="14" t="str">
        <f aca="false">IF(O678="","",IF(X678="",0,O678*IF(X678&gt;1,X678/100,X678)))</f>
        <v/>
      </c>
      <c r="Z678" s="11"/>
      <c r="AA678" s="18" t="str">
        <f aca="false">IF(Z678="","",IFERROR(VLOOKUP(Z678,REPS!$A$2:$D$40,4,0),""))</f>
        <v/>
      </c>
      <c r="AB678" s="14" t="str">
        <f aca="false">IF(O678="","",IF(AA678="",0,O678*IF(AA678&gt;1,AA678/100,AA678)))</f>
        <v/>
      </c>
      <c r="AC678" s="14" t="str">
        <f aca="false">IF(O678="","",V678+Y678+AB678)</f>
        <v/>
      </c>
      <c r="AD678" s="19" t="str">
        <f aca="false">IF(O678="","",O678-R678-AC678)</f>
        <v/>
      </c>
      <c r="AE678" s="20"/>
      <c r="AF678" s="10"/>
      <c r="AG678" s="21" t="n">
        <f aca="false">IF(OR(AE678="",AE678=0),0,AE678*IF(U678="",0,IF(U678&gt;1,U678/100,U678)))</f>
        <v>0</v>
      </c>
      <c r="AH678" s="21" t="n">
        <f aca="false">IF(OR(AE678="",AE678=0),0,AE678*IF(X678="",0,IF(X678&gt;1,X678/100,X678)))</f>
        <v>0</v>
      </c>
      <c r="AI678" s="21" t="n">
        <f aca="false">IF(OR(AE678="",AE678=0),0,AE678*IF(AA678="",0,IF(AA678&gt;1,AA678/100,AA678)))</f>
        <v>0</v>
      </c>
      <c r="AJ678" s="21" t="n">
        <f aca="false">AG678+AH678+AI678</f>
        <v>0</v>
      </c>
      <c r="AK678" s="21" t="n">
        <f aca="false">IF(OR(AE678="",AE678=0),0,AE678-AJ678)</f>
        <v>0</v>
      </c>
      <c r="AL678" s="19" t="str">
        <f aca="false">IF(AD678="","",AD678-AK678)</f>
        <v/>
      </c>
      <c r="AM678" s="9" t="str">
        <f aca="false">IF(C678="","","Waiting for payment")</f>
        <v/>
      </c>
      <c r="AN678" s="10"/>
      <c r="AO678" s="10"/>
      <c r="AP678" s="22" t="str">
        <f aca="false">IF(OR(C678="",I678="",K678=""),"",IF(K678="Monthly",EDATE(C678,ROUND(I678*SETTINGS!$I$8,0)),WORKDAY(C678,ROUND(I678*SETTINGS!$I$8,0))))</f>
        <v/>
      </c>
      <c r="AQ678" s="9" t="str">
        <f aca="true">IF(C678="","",IF(AND(AP678&lt;&gt;"",TODAY()&gt;=AP678),"Refi Ready",IF(TODAY()-C678&gt;=SETTINGS!$I$11,"Prospecting","Performing")))</f>
        <v/>
      </c>
      <c r="AR678" s="22" t="str">
        <f aca="false">IF(OR(C678="",I678="",K678=""),"",IF(K678="Monthly",EDATE(C678,I678),WORKDAY(C678,I678)))</f>
        <v/>
      </c>
      <c r="AS678" s="11"/>
      <c r="AT678" s="23" t="str">
        <f aca="true">IF(C678="","",IF(AM678="Clawed Back","CLAWED",IF(TODAY()&lt;=C678+SETTINGS!$I$2,"⚠ AT RISK","SAFE")))</f>
        <v/>
      </c>
      <c r="AU678" s="11"/>
      <c r="AW678" s="24" t="n">
        <f aca="false">AW677+IF(AND(C678&lt;&gt;"",AO678&lt;&gt;"",OR('REP COMMISSION'!$B$3="",T678='REP COMMISSION'!$B$3,W678='REP COMMISSION'!$B$3,Z678='REP COMMISSION'!$B$3)),1,0)</f>
        <v>0</v>
      </c>
      <c r="AX678" s="24" t="n">
        <f aca="false">AX677+IF(AND(C678&lt;&gt;"",OR(F678="LOC - INITIAL",F678="CONSOLIDATION - UPFRONT COMM",F678="REVERSE - TOTAL FUNDING")),1,0)</f>
        <v>0</v>
      </c>
    </row>
    <row r="679" customFormat="false" ht="15" hidden="false" customHeight="false" outlineLevel="0" collapsed="false">
      <c r="A679" s="25" t="str">
        <f aca="false">IF(C679&lt;&gt;"","F27-"&amp;COUNT($C$4:C679),"")</f>
        <v/>
      </c>
      <c r="B679" s="26" t="str">
        <f aca="false">IF(OR(F679="LOC - INITIAL",F679="CONSOLIDATION - UPFRONT COMM",F679="REVERSE - TOTAL FUNDING"),A679,"")</f>
        <v/>
      </c>
      <c r="C679" s="27"/>
      <c r="D679" s="28"/>
      <c r="E679" s="28"/>
      <c r="F679" s="28"/>
      <c r="G679" s="29"/>
      <c r="H679" s="30"/>
      <c r="I679" s="28"/>
      <c r="J679" s="31" t="str">
        <f aca="false">IF(AND(G679&lt;&gt;"",H679&lt;&gt;""),G679*H679,"")</f>
        <v/>
      </c>
      <c r="K679" s="28"/>
      <c r="L679" s="32"/>
      <c r="M679" s="32"/>
      <c r="N679" s="31" t="n">
        <f aca="false">IF(OR(G679="",M679=""),0,IF(M679&gt;100,M679,G679*IF(M679&gt;1,M679/100,M679)))</f>
        <v>0</v>
      </c>
      <c r="O679" s="31" t="str">
        <f aca="false">IF(G679="","",G679*IF(L679="",0,IF(L679&gt;1,L679/100,L679))+N679)</f>
        <v/>
      </c>
      <c r="P679" s="28"/>
      <c r="Q679" s="33" t="str">
        <f aca="false">IF(P679="","",IFERROR(VLOOKUP(P679,PARTNERS!$A$2:$B$30,2,0),""))</f>
        <v/>
      </c>
      <c r="R679" s="17" t="str">
        <f aca="false">IF(O679="","",IF(OR(P679="",Q679=""),0,(O679-N679)*IF(Q679&gt;1,Q679/100,Q679)))</f>
        <v/>
      </c>
      <c r="S679" s="31" t="str">
        <f aca="false">IF(O679="","",O679-R679)</f>
        <v/>
      </c>
      <c r="T679" s="28"/>
      <c r="U679" s="34" t="str">
        <f aca="false">IF(T679="","",IFERROR(VLOOKUP(T679,REPS!$A$2:$D$40,2,0),""))</f>
        <v/>
      </c>
      <c r="V679" s="31" t="str">
        <f aca="false">IF(O679="","",IF(U679="",0,O679*IF(U679&gt;1,U679/100,U679)))</f>
        <v/>
      </c>
      <c r="W679" s="28"/>
      <c r="X679" s="34" t="str">
        <f aca="false">IF(W679="","",IFERROR(VLOOKUP(W679,REPS!$A$2:$D$40,3,0),""))</f>
        <v/>
      </c>
      <c r="Y679" s="31" t="str">
        <f aca="false">IF(O679="","",IF(X679="",0,O679*IF(X679&gt;1,X679/100,X679)))</f>
        <v/>
      </c>
      <c r="Z679" s="28"/>
      <c r="AA679" s="34" t="str">
        <f aca="false">IF(Z679="","",IFERROR(VLOOKUP(Z679,REPS!$A$2:$D$40,4,0),""))</f>
        <v/>
      </c>
      <c r="AB679" s="31" t="str">
        <f aca="false">IF(O679="","",IF(AA679="",0,O679*IF(AA679&gt;1,AA679/100,AA679)))</f>
        <v/>
      </c>
      <c r="AC679" s="31" t="str">
        <f aca="false">IF(O679="","",V679+Y679+AB679)</f>
        <v/>
      </c>
      <c r="AD679" s="19" t="str">
        <f aca="false">IF(O679="","",O679-R679-AC679)</f>
        <v/>
      </c>
      <c r="AE679" s="20"/>
      <c r="AF679" s="27"/>
      <c r="AG679" s="21" t="n">
        <f aca="false">IF(OR(AE679="",AE679=0),0,AE679*IF(U679="",0,IF(U679&gt;1,U679/100,U679)))</f>
        <v>0</v>
      </c>
      <c r="AH679" s="21" t="n">
        <f aca="false">IF(OR(AE679="",AE679=0),0,AE679*IF(X679="",0,IF(X679&gt;1,X679/100,X679)))</f>
        <v>0</v>
      </c>
      <c r="AI679" s="21" t="n">
        <f aca="false">IF(OR(AE679="",AE679=0),0,AE679*IF(AA679="",0,IF(AA679&gt;1,AA679/100,AA679)))</f>
        <v>0</v>
      </c>
      <c r="AJ679" s="21" t="n">
        <f aca="false">AG679+AH679+AI679</f>
        <v>0</v>
      </c>
      <c r="AK679" s="21" t="n">
        <f aca="false">IF(OR(AE679="",AE679=0),0,AE679-AJ679)</f>
        <v>0</v>
      </c>
      <c r="AL679" s="19" t="str">
        <f aca="false">IF(AD679="","",AD679-AK679)</f>
        <v/>
      </c>
      <c r="AM679" s="26" t="str">
        <f aca="false">IF(C679="","","Waiting for payment")</f>
        <v/>
      </c>
      <c r="AN679" s="27"/>
      <c r="AO679" s="27"/>
      <c r="AP679" s="35" t="str">
        <f aca="false">IF(OR(C679="",I679="",K679=""),"",IF(K679="Monthly",EDATE(C679,ROUND(I679*SETTINGS!$I$8,0)),WORKDAY(C679,ROUND(I679*SETTINGS!$I$8,0))))</f>
        <v/>
      </c>
      <c r="AQ679" s="26" t="str">
        <f aca="true">IF(C679="","",IF(AND(AP679&lt;&gt;"",TODAY()&gt;=AP679),"Refi Ready",IF(TODAY()-C679&gt;=SETTINGS!$I$11,"Prospecting","Performing")))</f>
        <v/>
      </c>
      <c r="AR679" s="35" t="str">
        <f aca="false">IF(OR(C679="",I679="",K679=""),"",IF(K679="Monthly",EDATE(C679,I679),WORKDAY(C679,I679)))</f>
        <v/>
      </c>
      <c r="AS679" s="28"/>
      <c r="AT679" s="36" t="str">
        <f aca="true">IF(C679="","",IF(AM679="Clawed Back","CLAWED",IF(TODAY()&lt;=C679+SETTINGS!$I$2,"⚠ AT RISK","SAFE")))</f>
        <v/>
      </c>
      <c r="AU679" s="28"/>
      <c r="AW679" s="24" t="n">
        <f aca="false">AW678+IF(AND(C679&lt;&gt;"",AO679&lt;&gt;"",OR('REP COMMISSION'!$B$3="",T679='REP COMMISSION'!$B$3,W679='REP COMMISSION'!$B$3,Z679='REP COMMISSION'!$B$3)),1,0)</f>
        <v>0</v>
      </c>
      <c r="AX679" s="24" t="n">
        <f aca="false">AX678+IF(AND(C679&lt;&gt;"",OR(F679="LOC - INITIAL",F679="CONSOLIDATION - UPFRONT COMM",F679="REVERSE - TOTAL FUNDING")),1,0)</f>
        <v>0</v>
      </c>
    </row>
    <row r="680" customFormat="false" ht="15" hidden="false" customHeight="false" outlineLevel="0" collapsed="false">
      <c r="A680" s="8" t="str">
        <f aca="false">IF(C680&lt;&gt;"","F27-"&amp;COUNT($C$4:C680),"")</f>
        <v/>
      </c>
      <c r="B680" s="9" t="str">
        <f aca="false">IF(OR(F680="LOC - INITIAL",F680="CONSOLIDATION - UPFRONT COMM",F680="REVERSE - TOTAL FUNDING"),A680,"")</f>
        <v/>
      </c>
      <c r="C680" s="10"/>
      <c r="D680" s="11"/>
      <c r="E680" s="11"/>
      <c r="F680" s="11"/>
      <c r="G680" s="12"/>
      <c r="H680" s="13"/>
      <c r="I680" s="11"/>
      <c r="J680" s="14" t="str">
        <f aca="false">IF(AND(G680&lt;&gt;"",H680&lt;&gt;""),G680*H680,"")</f>
        <v/>
      </c>
      <c r="K680" s="11"/>
      <c r="L680" s="15"/>
      <c r="M680" s="15"/>
      <c r="N680" s="14" t="n">
        <f aca="false">IF(OR(G680="",M680=""),0,IF(M680&gt;100,M680,G680*IF(M680&gt;1,M680/100,M680)))</f>
        <v>0</v>
      </c>
      <c r="O680" s="14" t="str">
        <f aca="false">IF(G680="","",G680*IF(L680="",0,IF(L680&gt;1,L680/100,L680))+N680)</f>
        <v/>
      </c>
      <c r="P680" s="11"/>
      <c r="Q680" s="16" t="str">
        <f aca="false">IF(P680="","",IFERROR(VLOOKUP(P680,PARTNERS!$A$2:$B$30,2,0),""))</f>
        <v/>
      </c>
      <c r="R680" s="17" t="str">
        <f aca="false">IF(O680="","",IF(OR(P680="",Q680=""),0,(O680-N680)*IF(Q680&gt;1,Q680/100,Q680)))</f>
        <v/>
      </c>
      <c r="S680" s="14" t="str">
        <f aca="false">IF(O680="","",O680-R680)</f>
        <v/>
      </c>
      <c r="T680" s="11"/>
      <c r="U680" s="18" t="str">
        <f aca="false">IF(T680="","",IFERROR(VLOOKUP(T680,REPS!$A$2:$D$40,2,0),""))</f>
        <v/>
      </c>
      <c r="V680" s="14" t="str">
        <f aca="false">IF(O680="","",IF(U680="",0,O680*IF(U680&gt;1,U680/100,U680)))</f>
        <v/>
      </c>
      <c r="W680" s="11"/>
      <c r="X680" s="18" t="str">
        <f aca="false">IF(W680="","",IFERROR(VLOOKUP(W680,REPS!$A$2:$D$40,3,0),""))</f>
        <v/>
      </c>
      <c r="Y680" s="14" t="str">
        <f aca="false">IF(O680="","",IF(X680="",0,O680*IF(X680&gt;1,X680/100,X680)))</f>
        <v/>
      </c>
      <c r="Z680" s="11"/>
      <c r="AA680" s="18" t="str">
        <f aca="false">IF(Z680="","",IFERROR(VLOOKUP(Z680,REPS!$A$2:$D$40,4,0),""))</f>
        <v/>
      </c>
      <c r="AB680" s="14" t="str">
        <f aca="false">IF(O680="","",IF(AA680="",0,O680*IF(AA680&gt;1,AA680/100,AA680)))</f>
        <v/>
      </c>
      <c r="AC680" s="14" t="str">
        <f aca="false">IF(O680="","",V680+Y680+AB680)</f>
        <v/>
      </c>
      <c r="AD680" s="19" t="str">
        <f aca="false">IF(O680="","",O680-R680-AC680)</f>
        <v/>
      </c>
      <c r="AE680" s="20"/>
      <c r="AF680" s="10"/>
      <c r="AG680" s="21" t="n">
        <f aca="false">IF(OR(AE680="",AE680=0),0,AE680*IF(U680="",0,IF(U680&gt;1,U680/100,U680)))</f>
        <v>0</v>
      </c>
      <c r="AH680" s="21" t="n">
        <f aca="false">IF(OR(AE680="",AE680=0),0,AE680*IF(X680="",0,IF(X680&gt;1,X680/100,X680)))</f>
        <v>0</v>
      </c>
      <c r="AI680" s="21" t="n">
        <f aca="false">IF(OR(AE680="",AE680=0),0,AE680*IF(AA680="",0,IF(AA680&gt;1,AA680/100,AA680)))</f>
        <v>0</v>
      </c>
      <c r="AJ680" s="21" t="n">
        <f aca="false">AG680+AH680+AI680</f>
        <v>0</v>
      </c>
      <c r="AK680" s="21" t="n">
        <f aca="false">IF(OR(AE680="",AE680=0),0,AE680-AJ680)</f>
        <v>0</v>
      </c>
      <c r="AL680" s="19" t="str">
        <f aca="false">IF(AD680="","",AD680-AK680)</f>
        <v/>
      </c>
      <c r="AM680" s="9" t="str">
        <f aca="false">IF(C680="","","Waiting for payment")</f>
        <v/>
      </c>
      <c r="AN680" s="10"/>
      <c r="AO680" s="10"/>
      <c r="AP680" s="22" t="str">
        <f aca="false">IF(OR(C680="",I680="",K680=""),"",IF(K680="Monthly",EDATE(C680,ROUND(I680*SETTINGS!$I$8,0)),WORKDAY(C680,ROUND(I680*SETTINGS!$I$8,0))))</f>
        <v/>
      </c>
      <c r="AQ680" s="9" t="str">
        <f aca="true">IF(C680="","",IF(AND(AP680&lt;&gt;"",TODAY()&gt;=AP680),"Refi Ready",IF(TODAY()-C680&gt;=SETTINGS!$I$11,"Prospecting","Performing")))</f>
        <v/>
      </c>
      <c r="AR680" s="22" t="str">
        <f aca="false">IF(OR(C680="",I680="",K680=""),"",IF(K680="Monthly",EDATE(C680,I680),WORKDAY(C680,I680)))</f>
        <v/>
      </c>
      <c r="AS680" s="11"/>
      <c r="AT680" s="23" t="str">
        <f aca="true">IF(C680="","",IF(AM680="Clawed Back","CLAWED",IF(TODAY()&lt;=C680+SETTINGS!$I$2,"⚠ AT RISK","SAFE")))</f>
        <v/>
      </c>
      <c r="AU680" s="11"/>
      <c r="AW680" s="24" t="n">
        <f aca="false">AW679+IF(AND(C680&lt;&gt;"",AO680&lt;&gt;"",OR('REP COMMISSION'!$B$3="",T680='REP COMMISSION'!$B$3,W680='REP COMMISSION'!$B$3,Z680='REP COMMISSION'!$B$3)),1,0)</f>
        <v>0</v>
      </c>
      <c r="AX680" s="24" t="n">
        <f aca="false">AX679+IF(AND(C680&lt;&gt;"",OR(F680="LOC - INITIAL",F680="CONSOLIDATION - UPFRONT COMM",F680="REVERSE - TOTAL FUNDING")),1,0)</f>
        <v>0</v>
      </c>
    </row>
    <row r="681" customFormat="false" ht="15" hidden="false" customHeight="false" outlineLevel="0" collapsed="false">
      <c r="A681" s="25" t="str">
        <f aca="false">IF(C681&lt;&gt;"","F27-"&amp;COUNT($C$4:C681),"")</f>
        <v/>
      </c>
      <c r="B681" s="26" t="str">
        <f aca="false">IF(OR(F681="LOC - INITIAL",F681="CONSOLIDATION - UPFRONT COMM",F681="REVERSE - TOTAL FUNDING"),A681,"")</f>
        <v/>
      </c>
      <c r="C681" s="27"/>
      <c r="D681" s="28"/>
      <c r="E681" s="28"/>
      <c r="F681" s="28"/>
      <c r="G681" s="29"/>
      <c r="H681" s="30"/>
      <c r="I681" s="28"/>
      <c r="J681" s="31" t="str">
        <f aca="false">IF(AND(G681&lt;&gt;"",H681&lt;&gt;""),G681*H681,"")</f>
        <v/>
      </c>
      <c r="K681" s="28"/>
      <c r="L681" s="32"/>
      <c r="M681" s="32"/>
      <c r="N681" s="31" t="n">
        <f aca="false">IF(OR(G681="",M681=""),0,IF(M681&gt;100,M681,G681*IF(M681&gt;1,M681/100,M681)))</f>
        <v>0</v>
      </c>
      <c r="O681" s="31" t="str">
        <f aca="false">IF(G681="","",G681*IF(L681="",0,IF(L681&gt;1,L681/100,L681))+N681)</f>
        <v/>
      </c>
      <c r="P681" s="28"/>
      <c r="Q681" s="33" t="str">
        <f aca="false">IF(P681="","",IFERROR(VLOOKUP(P681,PARTNERS!$A$2:$B$30,2,0),""))</f>
        <v/>
      </c>
      <c r="R681" s="17" t="str">
        <f aca="false">IF(O681="","",IF(OR(P681="",Q681=""),0,(O681-N681)*IF(Q681&gt;1,Q681/100,Q681)))</f>
        <v/>
      </c>
      <c r="S681" s="31" t="str">
        <f aca="false">IF(O681="","",O681-R681)</f>
        <v/>
      </c>
      <c r="T681" s="28"/>
      <c r="U681" s="34" t="str">
        <f aca="false">IF(T681="","",IFERROR(VLOOKUP(T681,REPS!$A$2:$D$40,2,0),""))</f>
        <v/>
      </c>
      <c r="V681" s="31" t="str">
        <f aca="false">IF(O681="","",IF(U681="",0,O681*IF(U681&gt;1,U681/100,U681)))</f>
        <v/>
      </c>
      <c r="W681" s="28"/>
      <c r="X681" s="34" t="str">
        <f aca="false">IF(W681="","",IFERROR(VLOOKUP(W681,REPS!$A$2:$D$40,3,0),""))</f>
        <v/>
      </c>
      <c r="Y681" s="31" t="str">
        <f aca="false">IF(O681="","",IF(X681="",0,O681*IF(X681&gt;1,X681/100,X681)))</f>
        <v/>
      </c>
      <c r="Z681" s="28"/>
      <c r="AA681" s="34" t="str">
        <f aca="false">IF(Z681="","",IFERROR(VLOOKUP(Z681,REPS!$A$2:$D$40,4,0),""))</f>
        <v/>
      </c>
      <c r="AB681" s="31" t="str">
        <f aca="false">IF(O681="","",IF(AA681="",0,O681*IF(AA681&gt;1,AA681/100,AA681)))</f>
        <v/>
      </c>
      <c r="AC681" s="31" t="str">
        <f aca="false">IF(O681="","",V681+Y681+AB681)</f>
        <v/>
      </c>
      <c r="AD681" s="19" t="str">
        <f aca="false">IF(O681="","",O681-R681-AC681)</f>
        <v/>
      </c>
      <c r="AE681" s="20"/>
      <c r="AF681" s="27"/>
      <c r="AG681" s="21" t="n">
        <f aca="false">IF(OR(AE681="",AE681=0),0,AE681*IF(U681="",0,IF(U681&gt;1,U681/100,U681)))</f>
        <v>0</v>
      </c>
      <c r="AH681" s="21" t="n">
        <f aca="false">IF(OR(AE681="",AE681=0),0,AE681*IF(X681="",0,IF(X681&gt;1,X681/100,X681)))</f>
        <v>0</v>
      </c>
      <c r="AI681" s="21" t="n">
        <f aca="false">IF(OR(AE681="",AE681=0),0,AE681*IF(AA681="",0,IF(AA681&gt;1,AA681/100,AA681)))</f>
        <v>0</v>
      </c>
      <c r="AJ681" s="21" t="n">
        <f aca="false">AG681+AH681+AI681</f>
        <v>0</v>
      </c>
      <c r="AK681" s="21" t="n">
        <f aca="false">IF(OR(AE681="",AE681=0),0,AE681-AJ681)</f>
        <v>0</v>
      </c>
      <c r="AL681" s="19" t="str">
        <f aca="false">IF(AD681="","",AD681-AK681)</f>
        <v/>
      </c>
      <c r="AM681" s="26" t="str">
        <f aca="false">IF(C681="","","Waiting for payment")</f>
        <v/>
      </c>
      <c r="AN681" s="27"/>
      <c r="AO681" s="27"/>
      <c r="AP681" s="35" t="str">
        <f aca="false">IF(OR(C681="",I681="",K681=""),"",IF(K681="Monthly",EDATE(C681,ROUND(I681*SETTINGS!$I$8,0)),WORKDAY(C681,ROUND(I681*SETTINGS!$I$8,0))))</f>
        <v/>
      </c>
      <c r="AQ681" s="26" t="str">
        <f aca="true">IF(C681="","",IF(AND(AP681&lt;&gt;"",TODAY()&gt;=AP681),"Refi Ready",IF(TODAY()-C681&gt;=SETTINGS!$I$11,"Prospecting","Performing")))</f>
        <v/>
      </c>
      <c r="AR681" s="35" t="str">
        <f aca="false">IF(OR(C681="",I681="",K681=""),"",IF(K681="Monthly",EDATE(C681,I681),WORKDAY(C681,I681)))</f>
        <v/>
      </c>
      <c r="AS681" s="28"/>
      <c r="AT681" s="36" t="str">
        <f aca="true">IF(C681="","",IF(AM681="Clawed Back","CLAWED",IF(TODAY()&lt;=C681+SETTINGS!$I$2,"⚠ AT RISK","SAFE")))</f>
        <v/>
      </c>
      <c r="AU681" s="28"/>
      <c r="AW681" s="24" t="n">
        <f aca="false">AW680+IF(AND(C681&lt;&gt;"",AO681&lt;&gt;"",OR('REP COMMISSION'!$B$3="",T681='REP COMMISSION'!$B$3,W681='REP COMMISSION'!$B$3,Z681='REP COMMISSION'!$B$3)),1,0)</f>
        <v>0</v>
      </c>
      <c r="AX681" s="24" t="n">
        <f aca="false">AX680+IF(AND(C681&lt;&gt;"",OR(F681="LOC - INITIAL",F681="CONSOLIDATION - UPFRONT COMM",F681="REVERSE - TOTAL FUNDING")),1,0)</f>
        <v>0</v>
      </c>
    </row>
    <row r="682" customFormat="false" ht="15" hidden="false" customHeight="false" outlineLevel="0" collapsed="false">
      <c r="A682" s="8" t="str">
        <f aca="false">IF(C682&lt;&gt;"","F27-"&amp;COUNT($C$4:C682),"")</f>
        <v/>
      </c>
      <c r="B682" s="9" t="str">
        <f aca="false">IF(OR(F682="LOC - INITIAL",F682="CONSOLIDATION - UPFRONT COMM",F682="REVERSE - TOTAL FUNDING"),A682,"")</f>
        <v/>
      </c>
      <c r="C682" s="10"/>
      <c r="D682" s="11"/>
      <c r="E682" s="11"/>
      <c r="F682" s="11"/>
      <c r="G682" s="12"/>
      <c r="H682" s="13"/>
      <c r="I682" s="11"/>
      <c r="J682" s="14" t="str">
        <f aca="false">IF(AND(G682&lt;&gt;"",H682&lt;&gt;""),G682*H682,"")</f>
        <v/>
      </c>
      <c r="K682" s="11"/>
      <c r="L682" s="15"/>
      <c r="M682" s="15"/>
      <c r="N682" s="14" t="n">
        <f aca="false">IF(OR(G682="",M682=""),0,IF(M682&gt;100,M682,G682*IF(M682&gt;1,M682/100,M682)))</f>
        <v>0</v>
      </c>
      <c r="O682" s="14" t="str">
        <f aca="false">IF(G682="","",G682*IF(L682="",0,IF(L682&gt;1,L682/100,L682))+N682)</f>
        <v/>
      </c>
      <c r="P682" s="11"/>
      <c r="Q682" s="16" t="str">
        <f aca="false">IF(P682="","",IFERROR(VLOOKUP(P682,PARTNERS!$A$2:$B$30,2,0),""))</f>
        <v/>
      </c>
      <c r="R682" s="17" t="str">
        <f aca="false">IF(O682="","",IF(OR(P682="",Q682=""),0,(O682-N682)*IF(Q682&gt;1,Q682/100,Q682)))</f>
        <v/>
      </c>
      <c r="S682" s="14" t="str">
        <f aca="false">IF(O682="","",O682-R682)</f>
        <v/>
      </c>
      <c r="T682" s="11"/>
      <c r="U682" s="18" t="str">
        <f aca="false">IF(T682="","",IFERROR(VLOOKUP(T682,REPS!$A$2:$D$40,2,0),""))</f>
        <v/>
      </c>
      <c r="V682" s="14" t="str">
        <f aca="false">IF(O682="","",IF(U682="",0,O682*IF(U682&gt;1,U682/100,U682)))</f>
        <v/>
      </c>
      <c r="W682" s="11"/>
      <c r="X682" s="18" t="str">
        <f aca="false">IF(W682="","",IFERROR(VLOOKUP(W682,REPS!$A$2:$D$40,3,0),""))</f>
        <v/>
      </c>
      <c r="Y682" s="14" t="str">
        <f aca="false">IF(O682="","",IF(X682="",0,O682*IF(X682&gt;1,X682/100,X682)))</f>
        <v/>
      </c>
      <c r="Z682" s="11"/>
      <c r="AA682" s="18" t="str">
        <f aca="false">IF(Z682="","",IFERROR(VLOOKUP(Z682,REPS!$A$2:$D$40,4,0),""))</f>
        <v/>
      </c>
      <c r="AB682" s="14" t="str">
        <f aca="false">IF(O682="","",IF(AA682="",0,O682*IF(AA682&gt;1,AA682/100,AA682)))</f>
        <v/>
      </c>
      <c r="AC682" s="14" t="str">
        <f aca="false">IF(O682="","",V682+Y682+AB682)</f>
        <v/>
      </c>
      <c r="AD682" s="19" t="str">
        <f aca="false">IF(O682="","",O682-R682-AC682)</f>
        <v/>
      </c>
      <c r="AE682" s="20"/>
      <c r="AF682" s="10"/>
      <c r="AG682" s="21" t="n">
        <f aca="false">IF(OR(AE682="",AE682=0),0,AE682*IF(U682="",0,IF(U682&gt;1,U682/100,U682)))</f>
        <v>0</v>
      </c>
      <c r="AH682" s="21" t="n">
        <f aca="false">IF(OR(AE682="",AE682=0),0,AE682*IF(X682="",0,IF(X682&gt;1,X682/100,X682)))</f>
        <v>0</v>
      </c>
      <c r="AI682" s="21" t="n">
        <f aca="false">IF(OR(AE682="",AE682=0),0,AE682*IF(AA682="",0,IF(AA682&gt;1,AA682/100,AA682)))</f>
        <v>0</v>
      </c>
      <c r="AJ682" s="21" t="n">
        <f aca="false">AG682+AH682+AI682</f>
        <v>0</v>
      </c>
      <c r="AK682" s="21" t="n">
        <f aca="false">IF(OR(AE682="",AE682=0),0,AE682-AJ682)</f>
        <v>0</v>
      </c>
      <c r="AL682" s="19" t="str">
        <f aca="false">IF(AD682="","",AD682-AK682)</f>
        <v/>
      </c>
      <c r="AM682" s="9" t="str">
        <f aca="false">IF(C682="","","Waiting for payment")</f>
        <v/>
      </c>
      <c r="AN682" s="10"/>
      <c r="AO682" s="10"/>
      <c r="AP682" s="22" t="str">
        <f aca="false">IF(OR(C682="",I682="",K682=""),"",IF(K682="Monthly",EDATE(C682,ROUND(I682*SETTINGS!$I$8,0)),WORKDAY(C682,ROUND(I682*SETTINGS!$I$8,0))))</f>
        <v/>
      </c>
      <c r="AQ682" s="9" t="str">
        <f aca="true">IF(C682="","",IF(AND(AP682&lt;&gt;"",TODAY()&gt;=AP682),"Refi Ready",IF(TODAY()-C682&gt;=SETTINGS!$I$11,"Prospecting","Performing")))</f>
        <v/>
      </c>
      <c r="AR682" s="22" t="str">
        <f aca="false">IF(OR(C682="",I682="",K682=""),"",IF(K682="Monthly",EDATE(C682,I682),WORKDAY(C682,I682)))</f>
        <v/>
      </c>
      <c r="AS682" s="11"/>
      <c r="AT682" s="23" t="str">
        <f aca="true">IF(C682="","",IF(AM682="Clawed Back","CLAWED",IF(TODAY()&lt;=C682+SETTINGS!$I$2,"⚠ AT RISK","SAFE")))</f>
        <v/>
      </c>
      <c r="AU682" s="11"/>
      <c r="AW682" s="24" t="n">
        <f aca="false">AW681+IF(AND(C682&lt;&gt;"",AO682&lt;&gt;"",OR('REP COMMISSION'!$B$3="",T682='REP COMMISSION'!$B$3,W682='REP COMMISSION'!$B$3,Z682='REP COMMISSION'!$B$3)),1,0)</f>
        <v>0</v>
      </c>
      <c r="AX682" s="24" t="n">
        <f aca="false">AX681+IF(AND(C682&lt;&gt;"",OR(F682="LOC - INITIAL",F682="CONSOLIDATION - UPFRONT COMM",F682="REVERSE - TOTAL FUNDING")),1,0)</f>
        <v>0</v>
      </c>
    </row>
    <row r="683" customFormat="false" ht="15" hidden="false" customHeight="false" outlineLevel="0" collapsed="false">
      <c r="A683" s="25" t="str">
        <f aca="false">IF(C683&lt;&gt;"","F27-"&amp;COUNT($C$4:C683),"")</f>
        <v/>
      </c>
      <c r="B683" s="26" t="str">
        <f aca="false">IF(OR(F683="LOC - INITIAL",F683="CONSOLIDATION - UPFRONT COMM",F683="REVERSE - TOTAL FUNDING"),A683,"")</f>
        <v/>
      </c>
      <c r="C683" s="27"/>
      <c r="D683" s="28"/>
      <c r="E683" s="28"/>
      <c r="F683" s="28"/>
      <c r="G683" s="29"/>
      <c r="H683" s="30"/>
      <c r="I683" s="28"/>
      <c r="J683" s="31" t="str">
        <f aca="false">IF(AND(G683&lt;&gt;"",H683&lt;&gt;""),G683*H683,"")</f>
        <v/>
      </c>
      <c r="K683" s="28"/>
      <c r="L683" s="32"/>
      <c r="M683" s="32"/>
      <c r="N683" s="31" t="n">
        <f aca="false">IF(OR(G683="",M683=""),0,IF(M683&gt;100,M683,G683*IF(M683&gt;1,M683/100,M683)))</f>
        <v>0</v>
      </c>
      <c r="O683" s="31" t="str">
        <f aca="false">IF(G683="","",G683*IF(L683="",0,IF(L683&gt;1,L683/100,L683))+N683)</f>
        <v/>
      </c>
      <c r="P683" s="28"/>
      <c r="Q683" s="33" t="str">
        <f aca="false">IF(P683="","",IFERROR(VLOOKUP(P683,PARTNERS!$A$2:$B$30,2,0),""))</f>
        <v/>
      </c>
      <c r="R683" s="17" t="str">
        <f aca="false">IF(O683="","",IF(OR(P683="",Q683=""),0,(O683-N683)*IF(Q683&gt;1,Q683/100,Q683)))</f>
        <v/>
      </c>
      <c r="S683" s="31" t="str">
        <f aca="false">IF(O683="","",O683-R683)</f>
        <v/>
      </c>
      <c r="T683" s="28"/>
      <c r="U683" s="34" t="str">
        <f aca="false">IF(T683="","",IFERROR(VLOOKUP(T683,REPS!$A$2:$D$40,2,0),""))</f>
        <v/>
      </c>
      <c r="V683" s="31" t="str">
        <f aca="false">IF(O683="","",IF(U683="",0,O683*IF(U683&gt;1,U683/100,U683)))</f>
        <v/>
      </c>
      <c r="W683" s="28"/>
      <c r="X683" s="34" t="str">
        <f aca="false">IF(W683="","",IFERROR(VLOOKUP(W683,REPS!$A$2:$D$40,3,0),""))</f>
        <v/>
      </c>
      <c r="Y683" s="31" t="str">
        <f aca="false">IF(O683="","",IF(X683="",0,O683*IF(X683&gt;1,X683/100,X683)))</f>
        <v/>
      </c>
      <c r="Z683" s="28"/>
      <c r="AA683" s="34" t="str">
        <f aca="false">IF(Z683="","",IFERROR(VLOOKUP(Z683,REPS!$A$2:$D$40,4,0),""))</f>
        <v/>
      </c>
      <c r="AB683" s="31" t="str">
        <f aca="false">IF(O683="","",IF(AA683="",0,O683*IF(AA683&gt;1,AA683/100,AA683)))</f>
        <v/>
      </c>
      <c r="AC683" s="31" t="str">
        <f aca="false">IF(O683="","",V683+Y683+AB683)</f>
        <v/>
      </c>
      <c r="AD683" s="19" t="str">
        <f aca="false">IF(O683="","",O683-R683-AC683)</f>
        <v/>
      </c>
      <c r="AE683" s="20"/>
      <c r="AF683" s="27"/>
      <c r="AG683" s="21" t="n">
        <f aca="false">IF(OR(AE683="",AE683=0),0,AE683*IF(U683="",0,IF(U683&gt;1,U683/100,U683)))</f>
        <v>0</v>
      </c>
      <c r="AH683" s="21" t="n">
        <f aca="false">IF(OR(AE683="",AE683=0),0,AE683*IF(X683="",0,IF(X683&gt;1,X683/100,X683)))</f>
        <v>0</v>
      </c>
      <c r="AI683" s="21" t="n">
        <f aca="false">IF(OR(AE683="",AE683=0),0,AE683*IF(AA683="",0,IF(AA683&gt;1,AA683/100,AA683)))</f>
        <v>0</v>
      </c>
      <c r="AJ683" s="21" t="n">
        <f aca="false">AG683+AH683+AI683</f>
        <v>0</v>
      </c>
      <c r="AK683" s="21" t="n">
        <f aca="false">IF(OR(AE683="",AE683=0),0,AE683-AJ683)</f>
        <v>0</v>
      </c>
      <c r="AL683" s="19" t="str">
        <f aca="false">IF(AD683="","",AD683-AK683)</f>
        <v/>
      </c>
      <c r="AM683" s="26" t="str">
        <f aca="false">IF(C683="","","Waiting for payment")</f>
        <v/>
      </c>
      <c r="AN683" s="27"/>
      <c r="AO683" s="27"/>
      <c r="AP683" s="35" t="str">
        <f aca="false">IF(OR(C683="",I683="",K683=""),"",IF(K683="Monthly",EDATE(C683,ROUND(I683*SETTINGS!$I$8,0)),WORKDAY(C683,ROUND(I683*SETTINGS!$I$8,0))))</f>
        <v/>
      </c>
      <c r="AQ683" s="26" t="str">
        <f aca="true">IF(C683="","",IF(AND(AP683&lt;&gt;"",TODAY()&gt;=AP683),"Refi Ready",IF(TODAY()-C683&gt;=SETTINGS!$I$11,"Prospecting","Performing")))</f>
        <v/>
      </c>
      <c r="AR683" s="35" t="str">
        <f aca="false">IF(OR(C683="",I683="",K683=""),"",IF(K683="Monthly",EDATE(C683,I683),WORKDAY(C683,I683)))</f>
        <v/>
      </c>
      <c r="AS683" s="28"/>
      <c r="AT683" s="36" t="str">
        <f aca="true">IF(C683="","",IF(AM683="Clawed Back","CLAWED",IF(TODAY()&lt;=C683+SETTINGS!$I$2,"⚠ AT RISK","SAFE")))</f>
        <v/>
      </c>
      <c r="AU683" s="28"/>
      <c r="AW683" s="24" t="n">
        <f aca="false">AW682+IF(AND(C683&lt;&gt;"",AO683&lt;&gt;"",OR('REP COMMISSION'!$B$3="",T683='REP COMMISSION'!$B$3,W683='REP COMMISSION'!$B$3,Z683='REP COMMISSION'!$B$3)),1,0)</f>
        <v>0</v>
      </c>
      <c r="AX683" s="24" t="n">
        <f aca="false">AX682+IF(AND(C683&lt;&gt;"",OR(F683="LOC - INITIAL",F683="CONSOLIDATION - UPFRONT COMM",F683="REVERSE - TOTAL FUNDING")),1,0)</f>
        <v>0</v>
      </c>
    </row>
    <row r="684" customFormat="false" ht="15" hidden="false" customHeight="false" outlineLevel="0" collapsed="false">
      <c r="A684" s="8" t="str">
        <f aca="false">IF(C684&lt;&gt;"","F27-"&amp;COUNT($C$4:C684),"")</f>
        <v/>
      </c>
      <c r="B684" s="9" t="str">
        <f aca="false">IF(OR(F684="LOC - INITIAL",F684="CONSOLIDATION - UPFRONT COMM",F684="REVERSE - TOTAL FUNDING"),A684,"")</f>
        <v/>
      </c>
      <c r="C684" s="10"/>
      <c r="D684" s="11"/>
      <c r="E684" s="11"/>
      <c r="F684" s="11"/>
      <c r="G684" s="12"/>
      <c r="H684" s="13"/>
      <c r="I684" s="11"/>
      <c r="J684" s="14" t="str">
        <f aca="false">IF(AND(G684&lt;&gt;"",H684&lt;&gt;""),G684*H684,"")</f>
        <v/>
      </c>
      <c r="K684" s="11"/>
      <c r="L684" s="15"/>
      <c r="M684" s="15"/>
      <c r="N684" s="14" t="n">
        <f aca="false">IF(OR(G684="",M684=""),0,IF(M684&gt;100,M684,G684*IF(M684&gt;1,M684/100,M684)))</f>
        <v>0</v>
      </c>
      <c r="O684" s="14" t="str">
        <f aca="false">IF(G684="","",G684*IF(L684="",0,IF(L684&gt;1,L684/100,L684))+N684)</f>
        <v/>
      </c>
      <c r="P684" s="11"/>
      <c r="Q684" s="16" t="str">
        <f aca="false">IF(P684="","",IFERROR(VLOOKUP(P684,PARTNERS!$A$2:$B$30,2,0),""))</f>
        <v/>
      </c>
      <c r="R684" s="17" t="str">
        <f aca="false">IF(O684="","",IF(OR(P684="",Q684=""),0,(O684-N684)*IF(Q684&gt;1,Q684/100,Q684)))</f>
        <v/>
      </c>
      <c r="S684" s="14" t="str">
        <f aca="false">IF(O684="","",O684-R684)</f>
        <v/>
      </c>
      <c r="T684" s="11"/>
      <c r="U684" s="18" t="str">
        <f aca="false">IF(T684="","",IFERROR(VLOOKUP(T684,REPS!$A$2:$D$40,2,0),""))</f>
        <v/>
      </c>
      <c r="V684" s="14" t="str">
        <f aca="false">IF(O684="","",IF(U684="",0,O684*IF(U684&gt;1,U684/100,U684)))</f>
        <v/>
      </c>
      <c r="W684" s="11"/>
      <c r="X684" s="18" t="str">
        <f aca="false">IF(W684="","",IFERROR(VLOOKUP(W684,REPS!$A$2:$D$40,3,0),""))</f>
        <v/>
      </c>
      <c r="Y684" s="14" t="str">
        <f aca="false">IF(O684="","",IF(X684="",0,O684*IF(X684&gt;1,X684/100,X684)))</f>
        <v/>
      </c>
      <c r="Z684" s="11"/>
      <c r="AA684" s="18" t="str">
        <f aca="false">IF(Z684="","",IFERROR(VLOOKUP(Z684,REPS!$A$2:$D$40,4,0),""))</f>
        <v/>
      </c>
      <c r="AB684" s="14" t="str">
        <f aca="false">IF(O684="","",IF(AA684="",0,O684*IF(AA684&gt;1,AA684/100,AA684)))</f>
        <v/>
      </c>
      <c r="AC684" s="14" t="str">
        <f aca="false">IF(O684="","",V684+Y684+AB684)</f>
        <v/>
      </c>
      <c r="AD684" s="19" t="str">
        <f aca="false">IF(O684="","",O684-R684-AC684)</f>
        <v/>
      </c>
      <c r="AE684" s="20"/>
      <c r="AF684" s="10"/>
      <c r="AG684" s="21" t="n">
        <f aca="false">IF(OR(AE684="",AE684=0),0,AE684*IF(U684="",0,IF(U684&gt;1,U684/100,U684)))</f>
        <v>0</v>
      </c>
      <c r="AH684" s="21" t="n">
        <f aca="false">IF(OR(AE684="",AE684=0),0,AE684*IF(X684="",0,IF(X684&gt;1,X684/100,X684)))</f>
        <v>0</v>
      </c>
      <c r="AI684" s="21" t="n">
        <f aca="false">IF(OR(AE684="",AE684=0),0,AE684*IF(AA684="",0,IF(AA684&gt;1,AA684/100,AA684)))</f>
        <v>0</v>
      </c>
      <c r="AJ684" s="21" t="n">
        <f aca="false">AG684+AH684+AI684</f>
        <v>0</v>
      </c>
      <c r="AK684" s="21" t="n">
        <f aca="false">IF(OR(AE684="",AE684=0),0,AE684-AJ684)</f>
        <v>0</v>
      </c>
      <c r="AL684" s="19" t="str">
        <f aca="false">IF(AD684="","",AD684-AK684)</f>
        <v/>
      </c>
      <c r="AM684" s="9" t="str">
        <f aca="false">IF(C684="","","Waiting for payment")</f>
        <v/>
      </c>
      <c r="AN684" s="10"/>
      <c r="AO684" s="10"/>
      <c r="AP684" s="22" t="str">
        <f aca="false">IF(OR(C684="",I684="",K684=""),"",IF(K684="Monthly",EDATE(C684,ROUND(I684*SETTINGS!$I$8,0)),WORKDAY(C684,ROUND(I684*SETTINGS!$I$8,0))))</f>
        <v/>
      </c>
      <c r="AQ684" s="9" t="str">
        <f aca="true">IF(C684="","",IF(AND(AP684&lt;&gt;"",TODAY()&gt;=AP684),"Refi Ready",IF(TODAY()-C684&gt;=SETTINGS!$I$11,"Prospecting","Performing")))</f>
        <v/>
      </c>
      <c r="AR684" s="22" t="str">
        <f aca="false">IF(OR(C684="",I684="",K684=""),"",IF(K684="Monthly",EDATE(C684,I684),WORKDAY(C684,I684)))</f>
        <v/>
      </c>
      <c r="AS684" s="11"/>
      <c r="AT684" s="23" t="str">
        <f aca="true">IF(C684="","",IF(AM684="Clawed Back","CLAWED",IF(TODAY()&lt;=C684+SETTINGS!$I$2,"⚠ AT RISK","SAFE")))</f>
        <v/>
      </c>
      <c r="AU684" s="11"/>
      <c r="AW684" s="24" t="n">
        <f aca="false">AW683+IF(AND(C684&lt;&gt;"",AO684&lt;&gt;"",OR('REP COMMISSION'!$B$3="",T684='REP COMMISSION'!$B$3,W684='REP COMMISSION'!$B$3,Z684='REP COMMISSION'!$B$3)),1,0)</f>
        <v>0</v>
      </c>
      <c r="AX684" s="24" t="n">
        <f aca="false">AX683+IF(AND(C684&lt;&gt;"",OR(F684="LOC - INITIAL",F684="CONSOLIDATION - UPFRONT COMM",F684="REVERSE - TOTAL FUNDING")),1,0)</f>
        <v>0</v>
      </c>
    </row>
    <row r="685" customFormat="false" ht="15" hidden="false" customHeight="false" outlineLevel="0" collapsed="false">
      <c r="A685" s="25" t="str">
        <f aca="false">IF(C685&lt;&gt;"","F27-"&amp;COUNT($C$4:C685),"")</f>
        <v/>
      </c>
      <c r="B685" s="26" t="str">
        <f aca="false">IF(OR(F685="LOC - INITIAL",F685="CONSOLIDATION - UPFRONT COMM",F685="REVERSE - TOTAL FUNDING"),A685,"")</f>
        <v/>
      </c>
      <c r="C685" s="27"/>
      <c r="D685" s="28"/>
      <c r="E685" s="28"/>
      <c r="F685" s="28"/>
      <c r="G685" s="29"/>
      <c r="H685" s="30"/>
      <c r="I685" s="28"/>
      <c r="J685" s="31" t="str">
        <f aca="false">IF(AND(G685&lt;&gt;"",H685&lt;&gt;""),G685*H685,"")</f>
        <v/>
      </c>
      <c r="K685" s="28"/>
      <c r="L685" s="32"/>
      <c r="M685" s="32"/>
      <c r="N685" s="31" t="n">
        <f aca="false">IF(OR(G685="",M685=""),0,IF(M685&gt;100,M685,G685*IF(M685&gt;1,M685/100,M685)))</f>
        <v>0</v>
      </c>
      <c r="O685" s="31" t="str">
        <f aca="false">IF(G685="","",G685*IF(L685="",0,IF(L685&gt;1,L685/100,L685))+N685)</f>
        <v/>
      </c>
      <c r="P685" s="28"/>
      <c r="Q685" s="33" t="str">
        <f aca="false">IF(P685="","",IFERROR(VLOOKUP(P685,PARTNERS!$A$2:$B$30,2,0),""))</f>
        <v/>
      </c>
      <c r="R685" s="17" t="str">
        <f aca="false">IF(O685="","",IF(OR(P685="",Q685=""),0,(O685-N685)*IF(Q685&gt;1,Q685/100,Q685)))</f>
        <v/>
      </c>
      <c r="S685" s="31" t="str">
        <f aca="false">IF(O685="","",O685-R685)</f>
        <v/>
      </c>
      <c r="T685" s="28"/>
      <c r="U685" s="34" t="str">
        <f aca="false">IF(T685="","",IFERROR(VLOOKUP(T685,REPS!$A$2:$D$40,2,0),""))</f>
        <v/>
      </c>
      <c r="V685" s="31" t="str">
        <f aca="false">IF(O685="","",IF(U685="",0,O685*IF(U685&gt;1,U685/100,U685)))</f>
        <v/>
      </c>
      <c r="W685" s="28"/>
      <c r="X685" s="34" t="str">
        <f aca="false">IF(W685="","",IFERROR(VLOOKUP(W685,REPS!$A$2:$D$40,3,0),""))</f>
        <v/>
      </c>
      <c r="Y685" s="31" t="str">
        <f aca="false">IF(O685="","",IF(X685="",0,O685*IF(X685&gt;1,X685/100,X685)))</f>
        <v/>
      </c>
      <c r="Z685" s="28"/>
      <c r="AA685" s="34" t="str">
        <f aca="false">IF(Z685="","",IFERROR(VLOOKUP(Z685,REPS!$A$2:$D$40,4,0),""))</f>
        <v/>
      </c>
      <c r="AB685" s="31" t="str">
        <f aca="false">IF(O685="","",IF(AA685="",0,O685*IF(AA685&gt;1,AA685/100,AA685)))</f>
        <v/>
      </c>
      <c r="AC685" s="31" t="str">
        <f aca="false">IF(O685="","",V685+Y685+AB685)</f>
        <v/>
      </c>
      <c r="AD685" s="19" t="str">
        <f aca="false">IF(O685="","",O685-R685-AC685)</f>
        <v/>
      </c>
      <c r="AE685" s="20"/>
      <c r="AF685" s="27"/>
      <c r="AG685" s="21" t="n">
        <f aca="false">IF(OR(AE685="",AE685=0),0,AE685*IF(U685="",0,IF(U685&gt;1,U685/100,U685)))</f>
        <v>0</v>
      </c>
      <c r="AH685" s="21" t="n">
        <f aca="false">IF(OR(AE685="",AE685=0),0,AE685*IF(X685="",0,IF(X685&gt;1,X685/100,X685)))</f>
        <v>0</v>
      </c>
      <c r="AI685" s="21" t="n">
        <f aca="false">IF(OR(AE685="",AE685=0),0,AE685*IF(AA685="",0,IF(AA685&gt;1,AA685/100,AA685)))</f>
        <v>0</v>
      </c>
      <c r="AJ685" s="21" t="n">
        <f aca="false">AG685+AH685+AI685</f>
        <v>0</v>
      </c>
      <c r="AK685" s="21" t="n">
        <f aca="false">IF(OR(AE685="",AE685=0),0,AE685-AJ685)</f>
        <v>0</v>
      </c>
      <c r="AL685" s="19" t="str">
        <f aca="false">IF(AD685="","",AD685-AK685)</f>
        <v/>
      </c>
      <c r="AM685" s="26" t="str">
        <f aca="false">IF(C685="","","Waiting for payment")</f>
        <v/>
      </c>
      <c r="AN685" s="27"/>
      <c r="AO685" s="27"/>
      <c r="AP685" s="35" t="str">
        <f aca="false">IF(OR(C685="",I685="",K685=""),"",IF(K685="Monthly",EDATE(C685,ROUND(I685*SETTINGS!$I$8,0)),WORKDAY(C685,ROUND(I685*SETTINGS!$I$8,0))))</f>
        <v/>
      </c>
      <c r="AQ685" s="26" t="str">
        <f aca="true">IF(C685="","",IF(AND(AP685&lt;&gt;"",TODAY()&gt;=AP685),"Refi Ready",IF(TODAY()-C685&gt;=SETTINGS!$I$11,"Prospecting","Performing")))</f>
        <v/>
      </c>
      <c r="AR685" s="35" t="str">
        <f aca="false">IF(OR(C685="",I685="",K685=""),"",IF(K685="Monthly",EDATE(C685,I685),WORKDAY(C685,I685)))</f>
        <v/>
      </c>
      <c r="AS685" s="28"/>
      <c r="AT685" s="36" t="str">
        <f aca="true">IF(C685="","",IF(AM685="Clawed Back","CLAWED",IF(TODAY()&lt;=C685+SETTINGS!$I$2,"⚠ AT RISK","SAFE")))</f>
        <v/>
      </c>
      <c r="AU685" s="28"/>
      <c r="AW685" s="24" t="n">
        <f aca="false">AW684+IF(AND(C685&lt;&gt;"",AO685&lt;&gt;"",OR('REP COMMISSION'!$B$3="",T685='REP COMMISSION'!$B$3,W685='REP COMMISSION'!$B$3,Z685='REP COMMISSION'!$B$3)),1,0)</f>
        <v>0</v>
      </c>
      <c r="AX685" s="24" t="n">
        <f aca="false">AX684+IF(AND(C685&lt;&gt;"",OR(F685="LOC - INITIAL",F685="CONSOLIDATION - UPFRONT COMM",F685="REVERSE - TOTAL FUNDING")),1,0)</f>
        <v>0</v>
      </c>
    </row>
    <row r="686" customFormat="false" ht="15" hidden="false" customHeight="false" outlineLevel="0" collapsed="false">
      <c r="A686" s="8" t="str">
        <f aca="false">IF(C686&lt;&gt;"","F27-"&amp;COUNT($C$4:C686),"")</f>
        <v/>
      </c>
      <c r="B686" s="9" t="str">
        <f aca="false">IF(OR(F686="LOC - INITIAL",F686="CONSOLIDATION - UPFRONT COMM",F686="REVERSE - TOTAL FUNDING"),A686,"")</f>
        <v/>
      </c>
      <c r="C686" s="10"/>
      <c r="D686" s="11"/>
      <c r="E686" s="11"/>
      <c r="F686" s="11"/>
      <c r="G686" s="12"/>
      <c r="H686" s="13"/>
      <c r="I686" s="11"/>
      <c r="J686" s="14" t="str">
        <f aca="false">IF(AND(G686&lt;&gt;"",H686&lt;&gt;""),G686*H686,"")</f>
        <v/>
      </c>
      <c r="K686" s="11"/>
      <c r="L686" s="15"/>
      <c r="M686" s="15"/>
      <c r="N686" s="14" t="n">
        <f aca="false">IF(OR(G686="",M686=""),0,IF(M686&gt;100,M686,G686*IF(M686&gt;1,M686/100,M686)))</f>
        <v>0</v>
      </c>
      <c r="O686" s="14" t="str">
        <f aca="false">IF(G686="","",G686*IF(L686="",0,IF(L686&gt;1,L686/100,L686))+N686)</f>
        <v/>
      </c>
      <c r="P686" s="11"/>
      <c r="Q686" s="16" t="str">
        <f aca="false">IF(P686="","",IFERROR(VLOOKUP(P686,PARTNERS!$A$2:$B$30,2,0),""))</f>
        <v/>
      </c>
      <c r="R686" s="17" t="str">
        <f aca="false">IF(O686="","",IF(OR(P686="",Q686=""),0,(O686-N686)*IF(Q686&gt;1,Q686/100,Q686)))</f>
        <v/>
      </c>
      <c r="S686" s="14" t="str">
        <f aca="false">IF(O686="","",O686-R686)</f>
        <v/>
      </c>
      <c r="T686" s="11"/>
      <c r="U686" s="18" t="str">
        <f aca="false">IF(T686="","",IFERROR(VLOOKUP(T686,REPS!$A$2:$D$40,2,0),""))</f>
        <v/>
      </c>
      <c r="V686" s="14" t="str">
        <f aca="false">IF(O686="","",IF(U686="",0,O686*IF(U686&gt;1,U686/100,U686)))</f>
        <v/>
      </c>
      <c r="W686" s="11"/>
      <c r="X686" s="18" t="str">
        <f aca="false">IF(W686="","",IFERROR(VLOOKUP(W686,REPS!$A$2:$D$40,3,0),""))</f>
        <v/>
      </c>
      <c r="Y686" s="14" t="str">
        <f aca="false">IF(O686="","",IF(X686="",0,O686*IF(X686&gt;1,X686/100,X686)))</f>
        <v/>
      </c>
      <c r="Z686" s="11"/>
      <c r="AA686" s="18" t="str">
        <f aca="false">IF(Z686="","",IFERROR(VLOOKUP(Z686,REPS!$A$2:$D$40,4,0),""))</f>
        <v/>
      </c>
      <c r="AB686" s="14" t="str">
        <f aca="false">IF(O686="","",IF(AA686="",0,O686*IF(AA686&gt;1,AA686/100,AA686)))</f>
        <v/>
      </c>
      <c r="AC686" s="14" t="str">
        <f aca="false">IF(O686="","",V686+Y686+AB686)</f>
        <v/>
      </c>
      <c r="AD686" s="19" t="str">
        <f aca="false">IF(O686="","",O686-R686-AC686)</f>
        <v/>
      </c>
      <c r="AE686" s="20"/>
      <c r="AF686" s="10"/>
      <c r="AG686" s="21" t="n">
        <f aca="false">IF(OR(AE686="",AE686=0),0,AE686*IF(U686="",0,IF(U686&gt;1,U686/100,U686)))</f>
        <v>0</v>
      </c>
      <c r="AH686" s="21" t="n">
        <f aca="false">IF(OR(AE686="",AE686=0),0,AE686*IF(X686="",0,IF(X686&gt;1,X686/100,X686)))</f>
        <v>0</v>
      </c>
      <c r="AI686" s="21" t="n">
        <f aca="false">IF(OR(AE686="",AE686=0),0,AE686*IF(AA686="",0,IF(AA686&gt;1,AA686/100,AA686)))</f>
        <v>0</v>
      </c>
      <c r="AJ686" s="21" t="n">
        <f aca="false">AG686+AH686+AI686</f>
        <v>0</v>
      </c>
      <c r="AK686" s="21" t="n">
        <f aca="false">IF(OR(AE686="",AE686=0),0,AE686-AJ686)</f>
        <v>0</v>
      </c>
      <c r="AL686" s="19" t="str">
        <f aca="false">IF(AD686="","",AD686-AK686)</f>
        <v/>
      </c>
      <c r="AM686" s="9" t="str">
        <f aca="false">IF(C686="","","Waiting for payment")</f>
        <v/>
      </c>
      <c r="AN686" s="10"/>
      <c r="AO686" s="10"/>
      <c r="AP686" s="22" t="str">
        <f aca="false">IF(OR(C686="",I686="",K686=""),"",IF(K686="Monthly",EDATE(C686,ROUND(I686*SETTINGS!$I$8,0)),WORKDAY(C686,ROUND(I686*SETTINGS!$I$8,0))))</f>
        <v/>
      </c>
      <c r="AQ686" s="9" t="str">
        <f aca="true">IF(C686="","",IF(AND(AP686&lt;&gt;"",TODAY()&gt;=AP686),"Refi Ready",IF(TODAY()-C686&gt;=SETTINGS!$I$11,"Prospecting","Performing")))</f>
        <v/>
      </c>
      <c r="AR686" s="22" t="str">
        <f aca="false">IF(OR(C686="",I686="",K686=""),"",IF(K686="Monthly",EDATE(C686,I686),WORKDAY(C686,I686)))</f>
        <v/>
      </c>
      <c r="AS686" s="11"/>
      <c r="AT686" s="23" t="str">
        <f aca="true">IF(C686="","",IF(AM686="Clawed Back","CLAWED",IF(TODAY()&lt;=C686+SETTINGS!$I$2,"⚠ AT RISK","SAFE")))</f>
        <v/>
      </c>
      <c r="AU686" s="11"/>
      <c r="AW686" s="24" t="n">
        <f aca="false">AW685+IF(AND(C686&lt;&gt;"",AO686&lt;&gt;"",OR('REP COMMISSION'!$B$3="",T686='REP COMMISSION'!$B$3,W686='REP COMMISSION'!$B$3,Z686='REP COMMISSION'!$B$3)),1,0)</f>
        <v>0</v>
      </c>
      <c r="AX686" s="24" t="n">
        <f aca="false">AX685+IF(AND(C686&lt;&gt;"",OR(F686="LOC - INITIAL",F686="CONSOLIDATION - UPFRONT COMM",F686="REVERSE - TOTAL FUNDING")),1,0)</f>
        <v>0</v>
      </c>
    </row>
    <row r="687" customFormat="false" ht="15" hidden="false" customHeight="false" outlineLevel="0" collapsed="false">
      <c r="A687" s="25" t="str">
        <f aca="false">IF(C687&lt;&gt;"","F27-"&amp;COUNT($C$4:C687),"")</f>
        <v/>
      </c>
      <c r="B687" s="26" t="str">
        <f aca="false">IF(OR(F687="LOC - INITIAL",F687="CONSOLIDATION - UPFRONT COMM",F687="REVERSE - TOTAL FUNDING"),A687,"")</f>
        <v/>
      </c>
      <c r="C687" s="27"/>
      <c r="D687" s="28"/>
      <c r="E687" s="28"/>
      <c r="F687" s="28"/>
      <c r="G687" s="29"/>
      <c r="H687" s="30"/>
      <c r="I687" s="28"/>
      <c r="J687" s="31" t="str">
        <f aca="false">IF(AND(G687&lt;&gt;"",H687&lt;&gt;""),G687*H687,"")</f>
        <v/>
      </c>
      <c r="K687" s="28"/>
      <c r="L687" s="32"/>
      <c r="M687" s="32"/>
      <c r="N687" s="31" t="n">
        <f aca="false">IF(OR(G687="",M687=""),0,IF(M687&gt;100,M687,G687*IF(M687&gt;1,M687/100,M687)))</f>
        <v>0</v>
      </c>
      <c r="O687" s="31" t="str">
        <f aca="false">IF(G687="","",G687*IF(L687="",0,IF(L687&gt;1,L687/100,L687))+N687)</f>
        <v/>
      </c>
      <c r="P687" s="28"/>
      <c r="Q687" s="33" t="str">
        <f aca="false">IF(P687="","",IFERROR(VLOOKUP(P687,PARTNERS!$A$2:$B$30,2,0),""))</f>
        <v/>
      </c>
      <c r="R687" s="17" t="str">
        <f aca="false">IF(O687="","",IF(OR(P687="",Q687=""),0,(O687-N687)*IF(Q687&gt;1,Q687/100,Q687)))</f>
        <v/>
      </c>
      <c r="S687" s="31" t="str">
        <f aca="false">IF(O687="","",O687-R687)</f>
        <v/>
      </c>
      <c r="T687" s="28"/>
      <c r="U687" s="34" t="str">
        <f aca="false">IF(T687="","",IFERROR(VLOOKUP(T687,REPS!$A$2:$D$40,2,0),""))</f>
        <v/>
      </c>
      <c r="V687" s="31" t="str">
        <f aca="false">IF(O687="","",IF(U687="",0,O687*IF(U687&gt;1,U687/100,U687)))</f>
        <v/>
      </c>
      <c r="W687" s="28"/>
      <c r="X687" s="34" t="str">
        <f aca="false">IF(W687="","",IFERROR(VLOOKUP(W687,REPS!$A$2:$D$40,3,0),""))</f>
        <v/>
      </c>
      <c r="Y687" s="31" t="str">
        <f aca="false">IF(O687="","",IF(X687="",0,O687*IF(X687&gt;1,X687/100,X687)))</f>
        <v/>
      </c>
      <c r="Z687" s="28"/>
      <c r="AA687" s="34" t="str">
        <f aca="false">IF(Z687="","",IFERROR(VLOOKUP(Z687,REPS!$A$2:$D$40,4,0),""))</f>
        <v/>
      </c>
      <c r="AB687" s="31" t="str">
        <f aca="false">IF(O687="","",IF(AA687="",0,O687*IF(AA687&gt;1,AA687/100,AA687)))</f>
        <v/>
      </c>
      <c r="AC687" s="31" t="str">
        <f aca="false">IF(O687="","",V687+Y687+AB687)</f>
        <v/>
      </c>
      <c r="AD687" s="19" t="str">
        <f aca="false">IF(O687="","",O687-R687-AC687)</f>
        <v/>
      </c>
      <c r="AE687" s="20"/>
      <c r="AF687" s="27"/>
      <c r="AG687" s="21" t="n">
        <f aca="false">IF(OR(AE687="",AE687=0),0,AE687*IF(U687="",0,IF(U687&gt;1,U687/100,U687)))</f>
        <v>0</v>
      </c>
      <c r="AH687" s="21" t="n">
        <f aca="false">IF(OR(AE687="",AE687=0),0,AE687*IF(X687="",0,IF(X687&gt;1,X687/100,X687)))</f>
        <v>0</v>
      </c>
      <c r="AI687" s="21" t="n">
        <f aca="false">IF(OR(AE687="",AE687=0),0,AE687*IF(AA687="",0,IF(AA687&gt;1,AA687/100,AA687)))</f>
        <v>0</v>
      </c>
      <c r="AJ687" s="21" t="n">
        <f aca="false">AG687+AH687+AI687</f>
        <v>0</v>
      </c>
      <c r="AK687" s="21" t="n">
        <f aca="false">IF(OR(AE687="",AE687=0),0,AE687-AJ687)</f>
        <v>0</v>
      </c>
      <c r="AL687" s="19" t="str">
        <f aca="false">IF(AD687="","",AD687-AK687)</f>
        <v/>
      </c>
      <c r="AM687" s="26" t="str">
        <f aca="false">IF(C687="","","Waiting for payment")</f>
        <v/>
      </c>
      <c r="AN687" s="27"/>
      <c r="AO687" s="27"/>
      <c r="AP687" s="35" t="str">
        <f aca="false">IF(OR(C687="",I687="",K687=""),"",IF(K687="Monthly",EDATE(C687,ROUND(I687*SETTINGS!$I$8,0)),WORKDAY(C687,ROUND(I687*SETTINGS!$I$8,0))))</f>
        <v/>
      </c>
      <c r="AQ687" s="26" t="str">
        <f aca="true">IF(C687="","",IF(AND(AP687&lt;&gt;"",TODAY()&gt;=AP687),"Refi Ready",IF(TODAY()-C687&gt;=SETTINGS!$I$11,"Prospecting","Performing")))</f>
        <v/>
      </c>
      <c r="AR687" s="35" t="str">
        <f aca="false">IF(OR(C687="",I687="",K687=""),"",IF(K687="Monthly",EDATE(C687,I687),WORKDAY(C687,I687)))</f>
        <v/>
      </c>
      <c r="AS687" s="28"/>
      <c r="AT687" s="36" t="str">
        <f aca="true">IF(C687="","",IF(AM687="Clawed Back","CLAWED",IF(TODAY()&lt;=C687+SETTINGS!$I$2,"⚠ AT RISK","SAFE")))</f>
        <v/>
      </c>
      <c r="AU687" s="28"/>
      <c r="AW687" s="24" t="n">
        <f aca="false">AW686+IF(AND(C687&lt;&gt;"",AO687&lt;&gt;"",OR('REP COMMISSION'!$B$3="",T687='REP COMMISSION'!$B$3,W687='REP COMMISSION'!$B$3,Z687='REP COMMISSION'!$B$3)),1,0)</f>
        <v>0</v>
      </c>
      <c r="AX687" s="24" t="n">
        <f aca="false">AX686+IF(AND(C687&lt;&gt;"",OR(F687="LOC - INITIAL",F687="CONSOLIDATION - UPFRONT COMM",F687="REVERSE - TOTAL FUNDING")),1,0)</f>
        <v>0</v>
      </c>
    </row>
    <row r="688" customFormat="false" ht="15" hidden="false" customHeight="false" outlineLevel="0" collapsed="false">
      <c r="A688" s="8" t="str">
        <f aca="false">IF(C688&lt;&gt;"","F27-"&amp;COUNT($C$4:C688),"")</f>
        <v/>
      </c>
      <c r="B688" s="9" t="str">
        <f aca="false">IF(OR(F688="LOC - INITIAL",F688="CONSOLIDATION - UPFRONT COMM",F688="REVERSE - TOTAL FUNDING"),A688,"")</f>
        <v/>
      </c>
      <c r="C688" s="10"/>
      <c r="D688" s="11"/>
      <c r="E688" s="11"/>
      <c r="F688" s="11"/>
      <c r="G688" s="12"/>
      <c r="H688" s="13"/>
      <c r="I688" s="11"/>
      <c r="J688" s="14" t="str">
        <f aca="false">IF(AND(G688&lt;&gt;"",H688&lt;&gt;""),G688*H688,"")</f>
        <v/>
      </c>
      <c r="K688" s="11"/>
      <c r="L688" s="15"/>
      <c r="M688" s="15"/>
      <c r="N688" s="14" t="n">
        <f aca="false">IF(OR(G688="",M688=""),0,IF(M688&gt;100,M688,G688*IF(M688&gt;1,M688/100,M688)))</f>
        <v>0</v>
      </c>
      <c r="O688" s="14" t="str">
        <f aca="false">IF(G688="","",G688*IF(L688="",0,IF(L688&gt;1,L688/100,L688))+N688)</f>
        <v/>
      </c>
      <c r="P688" s="11"/>
      <c r="Q688" s="16" t="str">
        <f aca="false">IF(P688="","",IFERROR(VLOOKUP(P688,PARTNERS!$A$2:$B$30,2,0),""))</f>
        <v/>
      </c>
      <c r="R688" s="17" t="str">
        <f aca="false">IF(O688="","",IF(OR(P688="",Q688=""),0,(O688-N688)*IF(Q688&gt;1,Q688/100,Q688)))</f>
        <v/>
      </c>
      <c r="S688" s="14" t="str">
        <f aca="false">IF(O688="","",O688-R688)</f>
        <v/>
      </c>
      <c r="T688" s="11"/>
      <c r="U688" s="18" t="str">
        <f aca="false">IF(T688="","",IFERROR(VLOOKUP(T688,REPS!$A$2:$D$40,2,0),""))</f>
        <v/>
      </c>
      <c r="V688" s="14" t="str">
        <f aca="false">IF(O688="","",IF(U688="",0,O688*IF(U688&gt;1,U688/100,U688)))</f>
        <v/>
      </c>
      <c r="W688" s="11"/>
      <c r="X688" s="18" t="str">
        <f aca="false">IF(W688="","",IFERROR(VLOOKUP(W688,REPS!$A$2:$D$40,3,0),""))</f>
        <v/>
      </c>
      <c r="Y688" s="14" t="str">
        <f aca="false">IF(O688="","",IF(X688="",0,O688*IF(X688&gt;1,X688/100,X688)))</f>
        <v/>
      </c>
      <c r="Z688" s="11"/>
      <c r="AA688" s="18" t="str">
        <f aca="false">IF(Z688="","",IFERROR(VLOOKUP(Z688,REPS!$A$2:$D$40,4,0),""))</f>
        <v/>
      </c>
      <c r="AB688" s="14" t="str">
        <f aca="false">IF(O688="","",IF(AA688="",0,O688*IF(AA688&gt;1,AA688/100,AA688)))</f>
        <v/>
      </c>
      <c r="AC688" s="14" t="str">
        <f aca="false">IF(O688="","",V688+Y688+AB688)</f>
        <v/>
      </c>
      <c r="AD688" s="19" t="str">
        <f aca="false">IF(O688="","",O688-R688-AC688)</f>
        <v/>
      </c>
      <c r="AE688" s="20"/>
      <c r="AF688" s="10"/>
      <c r="AG688" s="21" t="n">
        <f aca="false">IF(OR(AE688="",AE688=0),0,AE688*IF(U688="",0,IF(U688&gt;1,U688/100,U688)))</f>
        <v>0</v>
      </c>
      <c r="AH688" s="21" t="n">
        <f aca="false">IF(OR(AE688="",AE688=0),0,AE688*IF(X688="",0,IF(X688&gt;1,X688/100,X688)))</f>
        <v>0</v>
      </c>
      <c r="AI688" s="21" t="n">
        <f aca="false">IF(OR(AE688="",AE688=0),0,AE688*IF(AA688="",0,IF(AA688&gt;1,AA688/100,AA688)))</f>
        <v>0</v>
      </c>
      <c r="AJ688" s="21" t="n">
        <f aca="false">AG688+AH688+AI688</f>
        <v>0</v>
      </c>
      <c r="AK688" s="21" t="n">
        <f aca="false">IF(OR(AE688="",AE688=0),0,AE688-AJ688)</f>
        <v>0</v>
      </c>
      <c r="AL688" s="19" t="str">
        <f aca="false">IF(AD688="","",AD688-AK688)</f>
        <v/>
      </c>
      <c r="AM688" s="9" t="str">
        <f aca="false">IF(C688="","","Waiting for payment")</f>
        <v/>
      </c>
      <c r="AN688" s="10"/>
      <c r="AO688" s="10"/>
      <c r="AP688" s="22" t="str">
        <f aca="false">IF(OR(C688="",I688="",K688=""),"",IF(K688="Monthly",EDATE(C688,ROUND(I688*SETTINGS!$I$8,0)),WORKDAY(C688,ROUND(I688*SETTINGS!$I$8,0))))</f>
        <v/>
      </c>
      <c r="AQ688" s="9" t="str">
        <f aca="true">IF(C688="","",IF(AND(AP688&lt;&gt;"",TODAY()&gt;=AP688),"Refi Ready",IF(TODAY()-C688&gt;=SETTINGS!$I$11,"Prospecting","Performing")))</f>
        <v/>
      </c>
      <c r="AR688" s="22" t="str">
        <f aca="false">IF(OR(C688="",I688="",K688=""),"",IF(K688="Monthly",EDATE(C688,I688),WORKDAY(C688,I688)))</f>
        <v/>
      </c>
      <c r="AS688" s="11"/>
      <c r="AT688" s="23" t="str">
        <f aca="true">IF(C688="","",IF(AM688="Clawed Back","CLAWED",IF(TODAY()&lt;=C688+SETTINGS!$I$2,"⚠ AT RISK","SAFE")))</f>
        <v/>
      </c>
      <c r="AU688" s="11"/>
      <c r="AW688" s="24" t="n">
        <f aca="false">AW687+IF(AND(C688&lt;&gt;"",AO688&lt;&gt;"",OR('REP COMMISSION'!$B$3="",T688='REP COMMISSION'!$B$3,W688='REP COMMISSION'!$B$3,Z688='REP COMMISSION'!$B$3)),1,0)</f>
        <v>0</v>
      </c>
      <c r="AX688" s="24" t="n">
        <f aca="false">AX687+IF(AND(C688&lt;&gt;"",OR(F688="LOC - INITIAL",F688="CONSOLIDATION - UPFRONT COMM",F688="REVERSE - TOTAL FUNDING")),1,0)</f>
        <v>0</v>
      </c>
    </row>
    <row r="689" customFormat="false" ht="15" hidden="false" customHeight="false" outlineLevel="0" collapsed="false">
      <c r="A689" s="25" t="str">
        <f aca="false">IF(C689&lt;&gt;"","F27-"&amp;COUNT($C$4:C689),"")</f>
        <v/>
      </c>
      <c r="B689" s="26" t="str">
        <f aca="false">IF(OR(F689="LOC - INITIAL",F689="CONSOLIDATION - UPFRONT COMM",F689="REVERSE - TOTAL FUNDING"),A689,"")</f>
        <v/>
      </c>
      <c r="C689" s="27"/>
      <c r="D689" s="28"/>
      <c r="E689" s="28"/>
      <c r="F689" s="28"/>
      <c r="G689" s="29"/>
      <c r="H689" s="30"/>
      <c r="I689" s="28"/>
      <c r="J689" s="31" t="str">
        <f aca="false">IF(AND(G689&lt;&gt;"",H689&lt;&gt;""),G689*H689,"")</f>
        <v/>
      </c>
      <c r="K689" s="28"/>
      <c r="L689" s="32"/>
      <c r="M689" s="32"/>
      <c r="N689" s="31" t="n">
        <f aca="false">IF(OR(G689="",M689=""),0,IF(M689&gt;100,M689,G689*IF(M689&gt;1,M689/100,M689)))</f>
        <v>0</v>
      </c>
      <c r="O689" s="31" t="str">
        <f aca="false">IF(G689="","",G689*IF(L689="",0,IF(L689&gt;1,L689/100,L689))+N689)</f>
        <v/>
      </c>
      <c r="P689" s="28"/>
      <c r="Q689" s="33" t="str">
        <f aca="false">IF(P689="","",IFERROR(VLOOKUP(P689,PARTNERS!$A$2:$B$30,2,0),""))</f>
        <v/>
      </c>
      <c r="R689" s="17" t="str">
        <f aca="false">IF(O689="","",IF(OR(P689="",Q689=""),0,(O689-N689)*IF(Q689&gt;1,Q689/100,Q689)))</f>
        <v/>
      </c>
      <c r="S689" s="31" t="str">
        <f aca="false">IF(O689="","",O689-R689)</f>
        <v/>
      </c>
      <c r="T689" s="28"/>
      <c r="U689" s="34" t="str">
        <f aca="false">IF(T689="","",IFERROR(VLOOKUP(T689,REPS!$A$2:$D$40,2,0),""))</f>
        <v/>
      </c>
      <c r="V689" s="31" t="str">
        <f aca="false">IF(O689="","",IF(U689="",0,O689*IF(U689&gt;1,U689/100,U689)))</f>
        <v/>
      </c>
      <c r="W689" s="28"/>
      <c r="X689" s="34" t="str">
        <f aca="false">IF(W689="","",IFERROR(VLOOKUP(W689,REPS!$A$2:$D$40,3,0),""))</f>
        <v/>
      </c>
      <c r="Y689" s="31" t="str">
        <f aca="false">IF(O689="","",IF(X689="",0,O689*IF(X689&gt;1,X689/100,X689)))</f>
        <v/>
      </c>
      <c r="Z689" s="28"/>
      <c r="AA689" s="34" t="str">
        <f aca="false">IF(Z689="","",IFERROR(VLOOKUP(Z689,REPS!$A$2:$D$40,4,0),""))</f>
        <v/>
      </c>
      <c r="AB689" s="31" t="str">
        <f aca="false">IF(O689="","",IF(AA689="",0,O689*IF(AA689&gt;1,AA689/100,AA689)))</f>
        <v/>
      </c>
      <c r="AC689" s="31" t="str">
        <f aca="false">IF(O689="","",V689+Y689+AB689)</f>
        <v/>
      </c>
      <c r="AD689" s="19" t="str">
        <f aca="false">IF(O689="","",O689-R689-AC689)</f>
        <v/>
      </c>
      <c r="AE689" s="20"/>
      <c r="AF689" s="27"/>
      <c r="AG689" s="21" t="n">
        <f aca="false">IF(OR(AE689="",AE689=0),0,AE689*IF(U689="",0,IF(U689&gt;1,U689/100,U689)))</f>
        <v>0</v>
      </c>
      <c r="AH689" s="21" t="n">
        <f aca="false">IF(OR(AE689="",AE689=0),0,AE689*IF(X689="",0,IF(X689&gt;1,X689/100,X689)))</f>
        <v>0</v>
      </c>
      <c r="AI689" s="21" t="n">
        <f aca="false">IF(OR(AE689="",AE689=0),0,AE689*IF(AA689="",0,IF(AA689&gt;1,AA689/100,AA689)))</f>
        <v>0</v>
      </c>
      <c r="AJ689" s="21" t="n">
        <f aca="false">AG689+AH689+AI689</f>
        <v>0</v>
      </c>
      <c r="AK689" s="21" t="n">
        <f aca="false">IF(OR(AE689="",AE689=0),0,AE689-AJ689)</f>
        <v>0</v>
      </c>
      <c r="AL689" s="19" t="str">
        <f aca="false">IF(AD689="","",AD689-AK689)</f>
        <v/>
      </c>
      <c r="AM689" s="26" t="str">
        <f aca="false">IF(C689="","","Waiting for payment")</f>
        <v/>
      </c>
      <c r="AN689" s="27"/>
      <c r="AO689" s="27"/>
      <c r="AP689" s="35" t="str">
        <f aca="false">IF(OR(C689="",I689="",K689=""),"",IF(K689="Monthly",EDATE(C689,ROUND(I689*SETTINGS!$I$8,0)),WORKDAY(C689,ROUND(I689*SETTINGS!$I$8,0))))</f>
        <v/>
      </c>
      <c r="AQ689" s="26" t="str">
        <f aca="true">IF(C689="","",IF(AND(AP689&lt;&gt;"",TODAY()&gt;=AP689),"Refi Ready",IF(TODAY()-C689&gt;=SETTINGS!$I$11,"Prospecting","Performing")))</f>
        <v/>
      </c>
      <c r="AR689" s="35" t="str">
        <f aca="false">IF(OR(C689="",I689="",K689=""),"",IF(K689="Monthly",EDATE(C689,I689),WORKDAY(C689,I689)))</f>
        <v/>
      </c>
      <c r="AS689" s="28"/>
      <c r="AT689" s="36" t="str">
        <f aca="true">IF(C689="","",IF(AM689="Clawed Back","CLAWED",IF(TODAY()&lt;=C689+SETTINGS!$I$2,"⚠ AT RISK","SAFE")))</f>
        <v/>
      </c>
      <c r="AU689" s="28"/>
      <c r="AW689" s="24" t="n">
        <f aca="false">AW688+IF(AND(C689&lt;&gt;"",AO689&lt;&gt;"",OR('REP COMMISSION'!$B$3="",T689='REP COMMISSION'!$B$3,W689='REP COMMISSION'!$B$3,Z689='REP COMMISSION'!$B$3)),1,0)</f>
        <v>0</v>
      </c>
      <c r="AX689" s="24" t="n">
        <f aca="false">AX688+IF(AND(C689&lt;&gt;"",OR(F689="LOC - INITIAL",F689="CONSOLIDATION - UPFRONT COMM",F689="REVERSE - TOTAL FUNDING")),1,0)</f>
        <v>0</v>
      </c>
    </row>
    <row r="690" customFormat="false" ht="15" hidden="false" customHeight="false" outlineLevel="0" collapsed="false">
      <c r="A690" s="8" t="str">
        <f aca="false">IF(C690&lt;&gt;"","F27-"&amp;COUNT($C$4:C690),"")</f>
        <v/>
      </c>
      <c r="B690" s="9" t="str">
        <f aca="false">IF(OR(F690="LOC - INITIAL",F690="CONSOLIDATION - UPFRONT COMM",F690="REVERSE - TOTAL FUNDING"),A690,"")</f>
        <v/>
      </c>
      <c r="C690" s="10"/>
      <c r="D690" s="11"/>
      <c r="E690" s="11"/>
      <c r="F690" s="11"/>
      <c r="G690" s="12"/>
      <c r="H690" s="13"/>
      <c r="I690" s="11"/>
      <c r="J690" s="14" t="str">
        <f aca="false">IF(AND(G690&lt;&gt;"",H690&lt;&gt;""),G690*H690,"")</f>
        <v/>
      </c>
      <c r="K690" s="11"/>
      <c r="L690" s="15"/>
      <c r="M690" s="15"/>
      <c r="N690" s="14" t="n">
        <f aca="false">IF(OR(G690="",M690=""),0,IF(M690&gt;100,M690,G690*IF(M690&gt;1,M690/100,M690)))</f>
        <v>0</v>
      </c>
      <c r="O690" s="14" t="str">
        <f aca="false">IF(G690="","",G690*IF(L690="",0,IF(L690&gt;1,L690/100,L690))+N690)</f>
        <v/>
      </c>
      <c r="P690" s="11"/>
      <c r="Q690" s="16" t="str">
        <f aca="false">IF(P690="","",IFERROR(VLOOKUP(P690,PARTNERS!$A$2:$B$30,2,0),""))</f>
        <v/>
      </c>
      <c r="R690" s="17" t="str">
        <f aca="false">IF(O690="","",IF(OR(P690="",Q690=""),0,(O690-N690)*IF(Q690&gt;1,Q690/100,Q690)))</f>
        <v/>
      </c>
      <c r="S690" s="14" t="str">
        <f aca="false">IF(O690="","",O690-R690)</f>
        <v/>
      </c>
      <c r="T690" s="11"/>
      <c r="U690" s="18" t="str">
        <f aca="false">IF(T690="","",IFERROR(VLOOKUP(T690,REPS!$A$2:$D$40,2,0),""))</f>
        <v/>
      </c>
      <c r="V690" s="14" t="str">
        <f aca="false">IF(O690="","",IF(U690="",0,O690*IF(U690&gt;1,U690/100,U690)))</f>
        <v/>
      </c>
      <c r="W690" s="11"/>
      <c r="X690" s="18" t="str">
        <f aca="false">IF(W690="","",IFERROR(VLOOKUP(W690,REPS!$A$2:$D$40,3,0),""))</f>
        <v/>
      </c>
      <c r="Y690" s="14" t="str">
        <f aca="false">IF(O690="","",IF(X690="",0,O690*IF(X690&gt;1,X690/100,X690)))</f>
        <v/>
      </c>
      <c r="Z690" s="11"/>
      <c r="AA690" s="18" t="str">
        <f aca="false">IF(Z690="","",IFERROR(VLOOKUP(Z690,REPS!$A$2:$D$40,4,0),""))</f>
        <v/>
      </c>
      <c r="AB690" s="14" t="str">
        <f aca="false">IF(O690="","",IF(AA690="",0,O690*IF(AA690&gt;1,AA690/100,AA690)))</f>
        <v/>
      </c>
      <c r="AC690" s="14" t="str">
        <f aca="false">IF(O690="","",V690+Y690+AB690)</f>
        <v/>
      </c>
      <c r="AD690" s="19" t="str">
        <f aca="false">IF(O690="","",O690-R690-AC690)</f>
        <v/>
      </c>
      <c r="AE690" s="20"/>
      <c r="AF690" s="10"/>
      <c r="AG690" s="21" t="n">
        <f aca="false">IF(OR(AE690="",AE690=0),0,AE690*IF(U690="",0,IF(U690&gt;1,U690/100,U690)))</f>
        <v>0</v>
      </c>
      <c r="AH690" s="21" t="n">
        <f aca="false">IF(OR(AE690="",AE690=0),0,AE690*IF(X690="",0,IF(X690&gt;1,X690/100,X690)))</f>
        <v>0</v>
      </c>
      <c r="AI690" s="21" t="n">
        <f aca="false">IF(OR(AE690="",AE690=0),0,AE690*IF(AA690="",0,IF(AA690&gt;1,AA690/100,AA690)))</f>
        <v>0</v>
      </c>
      <c r="AJ690" s="21" t="n">
        <f aca="false">AG690+AH690+AI690</f>
        <v>0</v>
      </c>
      <c r="AK690" s="21" t="n">
        <f aca="false">IF(OR(AE690="",AE690=0),0,AE690-AJ690)</f>
        <v>0</v>
      </c>
      <c r="AL690" s="19" t="str">
        <f aca="false">IF(AD690="","",AD690-AK690)</f>
        <v/>
      </c>
      <c r="AM690" s="9" t="str">
        <f aca="false">IF(C690="","","Waiting for payment")</f>
        <v/>
      </c>
      <c r="AN690" s="10"/>
      <c r="AO690" s="10"/>
      <c r="AP690" s="22" t="str">
        <f aca="false">IF(OR(C690="",I690="",K690=""),"",IF(K690="Monthly",EDATE(C690,ROUND(I690*SETTINGS!$I$8,0)),WORKDAY(C690,ROUND(I690*SETTINGS!$I$8,0))))</f>
        <v/>
      </c>
      <c r="AQ690" s="9" t="str">
        <f aca="true">IF(C690="","",IF(AND(AP690&lt;&gt;"",TODAY()&gt;=AP690),"Refi Ready",IF(TODAY()-C690&gt;=SETTINGS!$I$11,"Prospecting","Performing")))</f>
        <v/>
      </c>
      <c r="AR690" s="22" t="str">
        <f aca="false">IF(OR(C690="",I690="",K690=""),"",IF(K690="Monthly",EDATE(C690,I690),WORKDAY(C690,I690)))</f>
        <v/>
      </c>
      <c r="AS690" s="11"/>
      <c r="AT690" s="23" t="str">
        <f aca="true">IF(C690="","",IF(AM690="Clawed Back","CLAWED",IF(TODAY()&lt;=C690+SETTINGS!$I$2,"⚠ AT RISK","SAFE")))</f>
        <v/>
      </c>
      <c r="AU690" s="11"/>
      <c r="AW690" s="24" t="n">
        <f aca="false">AW689+IF(AND(C690&lt;&gt;"",AO690&lt;&gt;"",OR('REP COMMISSION'!$B$3="",T690='REP COMMISSION'!$B$3,W690='REP COMMISSION'!$B$3,Z690='REP COMMISSION'!$B$3)),1,0)</f>
        <v>0</v>
      </c>
      <c r="AX690" s="24" t="n">
        <f aca="false">AX689+IF(AND(C690&lt;&gt;"",OR(F690="LOC - INITIAL",F690="CONSOLIDATION - UPFRONT COMM",F690="REVERSE - TOTAL FUNDING")),1,0)</f>
        <v>0</v>
      </c>
    </row>
    <row r="691" customFormat="false" ht="15" hidden="false" customHeight="false" outlineLevel="0" collapsed="false">
      <c r="A691" s="25" t="str">
        <f aca="false">IF(C691&lt;&gt;"","F27-"&amp;COUNT($C$4:C691),"")</f>
        <v/>
      </c>
      <c r="B691" s="26" t="str">
        <f aca="false">IF(OR(F691="LOC - INITIAL",F691="CONSOLIDATION - UPFRONT COMM",F691="REVERSE - TOTAL FUNDING"),A691,"")</f>
        <v/>
      </c>
      <c r="C691" s="27"/>
      <c r="D691" s="28"/>
      <c r="E691" s="28"/>
      <c r="F691" s="28"/>
      <c r="G691" s="29"/>
      <c r="H691" s="30"/>
      <c r="I691" s="28"/>
      <c r="J691" s="31" t="str">
        <f aca="false">IF(AND(G691&lt;&gt;"",H691&lt;&gt;""),G691*H691,"")</f>
        <v/>
      </c>
      <c r="K691" s="28"/>
      <c r="L691" s="32"/>
      <c r="M691" s="32"/>
      <c r="N691" s="31" t="n">
        <f aca="false">IF(OR(G691="",M691=""),0,IF(M691&gt;100,M691,G691*IF(M691&gt;1,M691/100,M691)))</f>
        <v>0</v>
      </c>
      <c r="O691" s="31" t="str">
        <f aca="false">IF(G691="","",G691*IF(L691="",0,IF(L691&gt;1,L691/100,L691))+N691)</f>
        <v/>
      </c>
      <c r="P691" s="28"/>
      <c r="Q691" s="33" t="str">
        <f aca="false">IF(P691="","",IFERROR(VLOOKUP(P691,PARTNERS!$A$2:$B$30,2,0),""))</f>
        <v/>
      </c>
      <c r="R691" s="17" t="str">
        <f aca="false">IF(O691="","",IF(OR(P691="",Q691=""),0,(O691-N691)*IF(Q691&gt;1,Q691/100,Q691)))</f>
        <v/>
      </c>
      <c r="S691" s="31" t="str">
        <f aca="false">IF(O691="","",O691-R691)</f>
        <v/>
      </c>
      <c r="T691" s="28"/>
      <c r="U691" s="34" t="str">
        <f aca="false">IF(T691="","",IFERROR(VLOOKUP(T691,REPS!$A$2:$D$40,2,0),""))</f>
        <v/>
      </c>
      <c r="V691" s="31" t="str">
        <f aca="false">IF(O691="","",IF(U691="",0,O691*IF(U691&gt;1,U691/100,U691)))</f>
        <v/>
      </c>
      <c r="W691" s="28"/>
      <c r="X691" s="34" t="str">
        <f aca="false">IF(W691="","",IFERROR(VLOOKUP(W691,REPS!$A$2:$D$40,3,0),""))</f>
        <v/>
      </c>
      <c r="Y691" s="31" t="str">
        <f aca="false">IF(O691="","",IF(X691="",0,O691*IF(X691&gt;1,X691/100,X691)))</f>
        <v/>
      </c>
      <c r="Z691" s="28"/>
      <c r="AA691" s="34" t="str">
        <f aca="false">IF(Z691="","",IFERROR(VLOOKUP(Z691,REPS!$A$2:$D$40,4,0),""))</f>
        <v/>
      </c>
      <c r="AB691" s="31" t="str">
        <f aca="false">IF(O691="","",IF(AA691="",0,O691*IF(AA691&gt;1,AA691/100,AA691)))</f>
        <v/>
      </c>
      <c r="AC691" s="31" t="str">
        <f aca="false">IF(O691="","",V691+Y691+AB691)</f>
        <v/>
      </c>
      <c r="AD691" s="19" t="str">
        <f aca="false">IF(O691="","",O691-R691-AC691)</f>
        <v/>
      </c>
      <c r="AE691" s="20"/>
      <c r="AF691" s="27"/>
      <c r="AG691" s="21" t="n">
        <f aca="false">IF(OR(AE691="",AE691=0),0,AE691*IF(U691="",0,IF(U691&gt;1,U691/100,U691)))</f>
        <v>0</v>
      </c>
      <c r="AH691" s="21" t="n">
        <f aca="false">IF(OR(AE691="",AE691=0),0,AE691*IF(X691="",0,IF(X691&gt;1,X691/100,X691)))</f>
        <v>0</v>
      </c>
      <c r="AI691" s="21" t="n">
        <f aca="false">IF(OR(AE691="",AE691=0),0,AE691*IF(AA691="",0,IF(AA691&gt;1,AA691/100,AA691)))</f>
        <v>0</v>
      </c>
      <c r="AJ691" s="21" t="n">
        <f aca="false">AG691+AH691+AI691</f>
        <v>0</v>
      </c>
      <c r="AK691" s="21" t="n">
        <f aca="false">IF(OR(AE691="",AE691=0),0,AE691-AJ691)</f>
        <v>0</v>
      </c>
      <c r="AL691" s="19" t="str">
        <f aca="false">IF(AD691="","",AD691-AK691)</f>
        <v/>
      </c>
      <c r="AM691" s="26" t="str">
        <f aca="false">IF(C691="","","Waiting for payment")</f>
        <v/>
      </c>
      <c r="AN691" s="27"/>
      <c r="AO691" s="27"/>
      <c r="AP691" s="35" t="str">
        <f aca="false">IF(OR(C691="",I691="",K691=""),"",IF(K691="Monthly",EDATE(C691,ROUND(I691*SETTINGS!$I$8,0)),WORKDAY(C691,ROUND(I691*SETTINGS!$I$8,0))))</f>
        <v/>
      </c>
      <c r="AQ691" s="26" t="str">
        <f aca="true">IF(C691="","",IF(AND(AP691&lt;&gt;"",TODAY()&gt;=AP691),"Refi Ready",IF(TODAY()-C691&gt;=SETTINGS!$I$11,"Prospecting","Performing")))</f>
        <v/>
      </c>
      <c r="AR691" s="35" t="str">
        <f aca="false">IF(OR(C691="",I691="",K691=""),"",IF(K691="Monthly",EDATE(C691,I691),WORKDAY(C691,I691)))</f>
        <v/>
      </c>
      <c r="AS691" s="28"/>
      <c r="AT691" s="36" t="str">
        <f aca="true">IF(C691="","",IF(AM691="Clawed Back","CLAWED",IF(TODAY()&lt;=C691+SETTINGS!$I$2,"⚠ AT RISK","SAFE")))</f>
        <v/>
      </c>
      <c r="AU691" s="28"/>
      <c r="AW691" s="24" t="n">
        <f aca="false">AW690+IF(AND(C691&lt;&gt;"",AO691&lt;&gt;"",OR('REP COMMISSION'!$B$3="",T691='REP COMMISSION'!$B$3,W691='REP COMMISSION'!$B$3,Z691='REP COMMISSION'!$B$3)),1,0)</f>
        <v>0</v>
      </c>
      <c r="AX691" s="24" t="n">
        <f aca="false">AX690+IF(AND(C691&lt;&gt;"",OR(F691="LOC - INITIAL",F691="CONSOLIDATION - UPFRONT COMM",F691="REVERSE - TOTAL FUNDING")),1,0)</f>
        <v>0</v>
      </c>
    </row>
    <row r="692" customFormat="false" ht="15" hidden="false" customHeight="false" outlineLevel="0" collapsed="false">
      <c r="A692" s="8" t="str">
        <f aca="false">IF(C692&lt;&gt;"","F27-"&amp;COUNT($C$4:C692),"")</f>
        <v/>
      </c>
      <c r="B692" s="9" t="str">
        <f aca="false">IF(OR(F692="LOC - INITIAL",F692="CONSOLIDATION - UPFRONT COMM",F692="REVERSE - TOTAL FUNDING"),A692,"")</f>
        <v/>
      </c>
      <c r="C692" s="10"/>
      <c r="D692" s="11"/>
      <c r="E692" s="11"/>
      <c r="F692" s="11"/>
      <c r="G692" s="12"/>
      <c r="H692" s="13"/>
      <c r="I692" s="11"/>
      <c r="J692" s="14" t="str">
        <f aca="false">IF(AND(G692&lt;&gt;"",H692&lt;&gt;""),G692*H692,"")</f>
        <v/>
      </c>
      <c r="K692" s="11"/>
      <c r="L692" s="15"/>
      <c r="M692" s="15"/>
      <c r="N692" s="14" t="n">
        <f aca="false">IF(OR(G692="",M692=""),0,IF(M692&gt;100,M692,G692*IF(M692&gt;1,M692/100,M692)))</f>
        <v>0</v>
      </c>
      <c r="O692" s="14" t="str">
        <f aca="false">IF(G692="","",G692*IF(L692="",0,IF(L692&gt;1,L692/100,L692))+N692)</f>
        <v/>
      </c>
      <c r="P692" s="11"/>
      <c r="Q692" s="16" t="str">
        <f aca="false">IF(P692="","",IFERROR(VLOOKUP(P692,PARTNERS!$A$2:$B$30,2,0),""))</f>
        <v/>
      </c>
      <c r="R692" s="17" t="str">
        <f aca="false">IF(O692="","",IF(OR(P692="",Q692=""),0,(O692-N692)*IF(Q692&gt;1,Q692/100,Q692)))</f>
        <v/>
      </c>
      <c r="S692" s="14" t="str">
        <f aca="false">IF(O692="","",O692-R692)</f>
        <v/>
      </c>
      <c r="T692" s="11"/>
      <c r="U692" s="18" t="str">
        <f aca="false">IF(T692="","",IFERROR(VLOOKUP(T692,REPS!$A$2:$D$40,2,0),""))</f>
        <v/>
      </c>
      <c r="V692" s="14" t="str">
        <f aca="false">IF(O692="","",IF(U692="",0,O692*IF(U692&gt;1,U692/100,U692)))</f>
        <v/>
      </c>
      <c r="W692" s="11"/>
      <c r="X692" s="18" t="str">
        <f aca="false">IF(W692="","",IFERROR(VLOOKUP(W692,REPS!$A$2:$D$40,3,0),""))</f>
        <v/>
      </c>
      <c r="Y692" s="14" t="str">
        <f aca="false">IF(O692="","",IF(X692="",0,O692*IF(X692&gt;1,X692/100,X692)))</f>
        <v/>
      </c>
      <c r="Z692" s="11"/>
      <c r="AA692" s="18" t="str">
        <f aca="false">IF(Z692="","",IFERROR(VLOOKUP(Z692,REPS!$A$2:$D$40,4,0),""))</f>
        <v/>
      </c>
      <c r="AB692" s="14" t="str">
        <f aca="false">IF(O692="","",IF(AA692="",0,O692*IF(AA692&gt;1,AA692/100,AA692)))</f>
        <v/>
      </c>
      <c r="AC692" s="14" t="str">
        <f aca="false">IF(O692="","",V692+Y692+AB692)</f>
        <v/>
      </c>
      <c r="AD692" s="19" t="str">
        <f aca="false">IF(O692="","",O692-R692-AC692)</f>
        <v/>
      </c>
      <c r="AE692" s="20"/>
      <c r="AF692" s="10"/>
      <c r="AG692" s="21" t="n">
        <f aca="false">IF(OR(AE692="",AE692=0),0,AE692*IF(U692="",0,IF(U692&gt;1,U692/100,U692)))</f>
        <v>0</v>
      </c>
      <c r="AH692" s="21" t="n">
        <f aca="false">IF(OR(AE692="",AE692=0),0,AE692*IF(X692="",0,IF(X692&gt;1,X692/100,X692)))</f>
        <v>0</v>
      </c>
      <c r="AI692" s="21" t="n">
        <f aca="false">IF(OR(AE692="",AE692=0),0,AE692*IF(AA692="",0,IF(AA692&gt;1,AA692/100,AA692)))</f>
        <v>0</v>
      </c>
      <c r="AJ692" s="21" t="n">
        <f aca="false">AG692+AH692+AI692</f>
        <v>0</v>
      </c>
      <c r="AK692" s="21" t="n">
        <f aca="false">IF(OR(AE692="",AE692=0),0,AE692-AJ692)</f>
        <v>0</v>
      </c>
      <c r="AL692" s="19" t="str">
        <f aca="false">IF(AD692="","",AD692-AK692)</f>
        <v/>
      </c>
      <c r="AM692" s="9" t="str">
        <f aca="false">IF(C692="","","Waiting for payment")</f>
        <v/>
      </c>
      <c r="AN692" s="10"/>
      <c r="AO692" s="10"/>
      <c r="AP692" s="22" t="str">
        <f aca="false">IF(OR(C692="",I692="",K692=""),"",IF(K692="Monthly",EDATE(C692,ROUND(I692*SETTINGS!$I$8,0)),WORKDAY(C692,ROUND(I692*SETTINGS!$I$8,0))))</f>
        <v/>
      </c>
      <c r="AQ692" s="9" t="str">
        <f aca="true">IF(C692="","",IF(AND(AP692&lt;&gt;"",TODAY()&gt;=AP692),"Refi Ready",IF(TODAY()-C692&gt;=SETTINGS!$I$11,"Prospecting","Performing")))</f>
        <v/>
      </c>
      <c r="AR692" s="22" t="str">
        <f aca="false">IF(OR(C692="",I692="",K692=""),"",IF(K692="Monthly",EDATE(C692,I692),WORKDAY(C692,I692)))</f>
        <v/>
      </c>
      <c r="AS692" s="11"/>
      <c r="AT692" s="23" t="str">
        <f aca="true">IF(C692="","",IF(AM692="Clawed Back","CLAWED",IF(TODAY()&lt;=C692+SETTINGS!$I$2,"⚠ AT RISK","SAFE")))</f>
        <v/>
      </c>
      <c r="AU692" s="11"/>
      <c r="AW692" s="24" t="n">
        <f aca="false">AW691+IF(AND(C692&lt;&gt;"",AO692&lt;&gt;"",OR('REP COMMISSION'!$B$3="",T692='REP COMMISSION'!$B$3,W692='REP COMMISSION'!$B$3,Z692='REP COMMISSION'!$B$3)),1,0)</f>
        <v>0</v>
      </c>
      <c r="AX692" s="24" t="n">
        <f aca="false">AX691+IF(AND(C692&lt;&gt;"",OR(F692="LOC - INITIAL",F692="CONSOLIDATION - UPFRONT COMM",F692="REVERSE - TOTAL FUNDING")),1,0)</f>
        <v>0</v>
      </c>
    </row>
    <row r="693" customFormat="false" ht="15" hidden="false" customHeight="false" outlineLevel="0" collapsed="false">
      <c r="A693" s="25" t="str">
        <f aca="false">IF(C693&lt;&gt;"","F27-"&amp;COUNT($C$4:C693),"")</f>
        <v/>
      </c>
      <c r="B693" s="26" t="str">
        <f aca="false">IF(OR(F693="LOC - INITIAL",F693="CONSOLIDATION - UPFRONT COMM",F693="REVERSE - TOTAL FUNDING"),A693,"")</f>
        <v/>
      </c>
      <c r="C693" s="27"/>
      <c r="D693" s="28"/>
      <c r="E693" s="28"/>
      <c r="F693" s="28"/>
      <c r="G693" s="29"/>
      <c r="H693" s="30"/>
      <c r="I693" s="28"/>
      <c r="J693" s="31" t="str">
        <f aca="false">IF(AND(G693&lt;&gt;"",H693&lt;&gt;""),G693*H693,"")</f>
        <v/>
      </c>
      <c r="K693" s="28"/>
      <c r="L693" s="32"/>
      <c r="M693" s="32"/>
      <c r="N693" s="31" t="n">
        <f aca="false">IF(OR(G693="",M693=""),0,IF(M693&gt;100,M693,G693*IF(M693&gt;1,M693/100,M693)))</f>
        <v>0</v>
      </c>
      <c r="O693" s="31" t="str">
        <f aca="false">IF(G693="","",G693*IF(L693="",0,IF(L693&gt;1,L693/100,L693))+N693)</f>
        <v/>
      </c>
      <c r="P693" s="28"/>
      <c r="Q693" s="33" t="str">
        <f aca="false">IF(P693="","",IFERROR(VLOOKUP(P693,PARTNERS!$A$2:$B$30,2,0),""))</f>
        <v/>
      </c>
      <c r="R693" s="17" t="str">
        <f aca="false">IF(O693="","",IF(OR(P693="",Q693=""),0,(O693-N693)*IF(Q693&gt;1,Q693/100,Q693)))</f>
        <v/>
      </c>
      <c r="S693" s="31" t="str">
        <f aca="false">IF(O693="","",O693-R693)</f>
        <v/>
      </c>
      <c r="T693" s="28"/>
      <c r="U693" s="34" t="str">
        <f aca="false">IF(T693="","",IFERROR(VLOOKUP(T693,REPS!$A$2:$D$40,2,0),""))</f>
        <v/>
      </c>
      <c r="V693" s="31" t="str">
        <f aca="false">IF(O693="","",IF(U693="",0,O693*IF(U693&gt;1,U693/100,U693)))</f>
        <v/>
      </c>
      <c r="W693" s="28"/>
      <c r="X693" s="34" t="str">
        <f aca="false">IF(W693="","",IFERROR(VLOOKUP(W693,REPS!$A$2:$D$40,3,0),""))</f>
        <v/>
      </c>
      <c r="Y693" s="31" t="str">
        <f aca="false">IF(O693="","",IF(X693="",0,O693*IF(X693&gt;1,X693/100,X693)))</f>
        <v/>
      </c>
      <c r="Z693" s="28"/>
      <c r="AA693" s="34" t="str">
        <f aca="false">IF(Z693="","",IFERROR(VLOOKUP(Z693,REPS!$A$2:$D$40,4,0),""))</f>
        <v/>
      </c>
      <c r="AB693" s="31" t="str">
        <f aca="false">IF(O693="","",IF(AA693="",0,O693*IF(AA693&gt;1,AA693/100,AA693)))</f>
        <v/>
      </c>
      <c r="AC693" s="31" t="str">
        <f aca="false">IF(O693="","",V693+Y693+AB693)</f>
        <v/>
      </c>
      <c r="AD693" s="19" t="str">
        <f aca="false">IF(O693="","",O693-R693-AC693)</f>
        <v/>
      </c>
      <c r="AE693" s="20"/>
      <c r="AF693" s="27"/>
      <c r="AG693" s="21" t="n">
        <f aca="false">IF(OR(AE693="",AE693=0),0,AE693*IF(U693="",0,IF(U693&gt;1,U693/100,U693)))</f>
        <v>0</v>
      </c>
      <c r="AH693" s="21" t="n">
        <f aca="false">IF(OR(AE693="",AE693=0),0,AE693*IF(X693="",0,IF(X693&gt;1,X693/100,X693)))</f>
        <v>0</v>
      </c>
      <c r="AI693" s="21" t="n">
        <f aca="false">IF(OR(AE693="",AE693=0),0,AE693*IF(AA693="",0,IF(AA693&gt;1,AA693/100,AA693)))</f>
        <v>0</v>
      </c>
      <c r="AJ693" s="21" t="n">
        <f aca="false">AG693+AH693+AI693</f>
        <v>0</v>
      </c>
      <c r="AK693" s="21" t="n">
        <f aca="false">IF(OR(AE693="",AE693=0),0,AE693-AJ693)</f>
        <v>0</v>
      </c>
      <c r="AL693" s="19" t="str">
        <f aca="false">IF(AD693="","",AD693-AK693)</f>
        <v/>
      </c>
      <c r="AM693" s="26" t="str">
        <f aca="false">IF(C693="","","Waiting for payment")</f>
        <v/>
      </c>
      <c r="AN693" s="27"/>
      <c r="AO693" s="27"/>
      <c r="AP693" s="35" t="str">
        <f aca="false">IF(OR(C693="",I693="",K693=""),"",IF(K693="Monthly",EDATE(C693,ROUND(I693*SETTINGS!$I$8,0)),WORKDAY(C693,ROUND(I693*SETTINGS!$I$8,0))))</f>
        <v/>
      </c>
      <c r="AQ693" s="26" t="str">
        <f aca="true">IF(C693="","",IF(AND(AP693&lt;&gt;"",TODAY()&gt;=AP693),"Refi Ready",IF(TODAY()-C693&gt;=SETTINGS!$I$11,"Prospecting","Performing")))</f>
        <v/>
      </c>
      <c r="AR693" s="35" t="str">
        <f aca="false">IF(OR(C693="",I693="",K693=""),"",IF(K693="Monthly",EDATE(C693,I693),WORKDAY(C693,I693)))</f>
        <v/>
      </c>
      <c r="AS693" s="28"/>
      <c r="AT693" s="36" t="str">
        <f aca="true">IF(C693="","",IF(AM693="Clawed Back","CLAWED",IF(TODAY()&lt;=C693+SETTINGS!$I$2,"⚠ AT RISK","SAFE")))</f>
        <v/>
      </c>
      <c r="AU693" s="28"/>
      <c r="AW693" s="24" t="n">
        <f aca="false">AW692+IF(AND(C693&lt;&gt;"",AO693&lt;&gt;"",OR('REP COMMISSION'!$B$3="",T693='REP COMMISSION'!$B$3,W693='REP COMMISSION'!$B$3,Z693='REP COMMISSION'!$B$3)),1,0)</f>
        <v>0</v>
      </c>
      <c r="AX693" s="24" t="n">
        <f aca="false">AX692+IF(AND(C693&lt;&gt;"",OR(F693="LOC - INITIAL",F693="CONSOLIDATION - UPFRONT COMM",F693="REVERSE - TOTAL FUNDING")),1,0)</f>
        <v>0</v>
      </c>
    </row>
    <row r="694" customFormat="false" ht="15" hidden="false" customHeight="false" outlineLevel="0" collapsed="false">
      <c r="A694" s="8" t="str">
        <f aca="false">IF(C694&lt;&gt;"","F27-"&amp;COUNT($C$4:C694),"")</f>
        <v/>
      </c>
      <c r="B694" s="9" t="str">
        <f aca="false">IF(OR(F694="LOC - INITIAL",F694="CONSOLIDATION - UPFRONT COMM",F694="REVERSE - TOTAL FUNDING"),A694,"")</f>
        <v/>
      </c>
      <c r="C694" s="10"/>
      <c r="D694" s="11"/>
      <c r="E694" s="11"/>
      <c r="F694" s="11"/>
      <c r="G694" s="12"/>
      <c r="H694" s="13"/>
      <c r="I694" s="11"/>
      <c r="J694" s="14" t="str">
        <f aca="false">IF(AND(G694&lt;&gt;"",H694&lt;&gt;""),G694*H694,"")</f>
        <v/>
      </c>
      <c r="K694" s="11"/>
      <c r="L694" s="15"/>
      <c r="M694" s="15"/>
      <c r="N694" s="14" t="n">
        <f aca="false">IF(OR(G694="",M694=""),0,IF(M694&gt;100,M694,G694*IF(M694&gt;1,M694/100,M694)))</f>
        <v>0</v>
      </c>
      <c r="O694" s="14" t="str">
        <f aca="false">IF(G694="","",G694*IF(L694="",0,IF(L694&gt;1,L694/100,L694))+N694)</f>
        <v/>
      </c>
      <c r="P694" s="11"/>
      <c r="Q694" s="16" t="str">
        <f aca="false">IF(P694="","",IFERROR(VLOOKUP(P694,PARTNERS!$A$2:$B$30,2,0),""))</f>
        <v/>
      </c>
      <c r="R694" s="17" t="str">
        <f aca="false">IF(O694="","",IF(OR(P694="",Q694=""),0,(O694-N694)*IF(Q694&gt;1,Q694/100,Q694)))</f>
        <v/>
      </c>
      <c r="S694" s="14" t="str">
        <f aca="false">IF(O694="","",O694-R694)</f>
        <v/>
      </c>
      <c r="T694" s="11"/>
      <c r="U694" s="18" t="str">
        <f aca="false">IF(T694="","",IFERROR(VLOOKUP(T694,REPS!$A$2:$D$40,2,0),""))</f>
        <v/>
      </c>
      <c r="V694" s="14" t="str">
        <f aca="false">IF(O694="","",IF(U694="",0,O694*IF(U694&gt;1,U694/100,U694)))</f>
        <v/>
      </c>
      <c r="W694" s="11"/>
      <c r="X694" s="18" t="str">
        <f aca="false">IF(W694="","",IFERROR(VLOOKUP(W694,REPS!$A$2:$D$40,3,0),""))</f>
        <v/>
      </c>
      <c r="Y694" s="14" t="str">
        <f aca="false">IF(O694="","",IF(X694="",0,O694*IF(X694&gt;1,X694/100,X694)))</f>
        <v/>
      </c>
      <c r="Z694" s="11"/>
      <c r="AA694" s="18" t="str">
        <f aca="false">IF(Z694="","",IFERROR(VLOOKUP(Z694,REPS!$A$2:$D$40,4,0),""))</f>
        <v/>
      </c>
      <c r="AB694" s="14" t="str">
        <f aca="false">IF(O694="","",IF(AA694="",0,O694*IF(AA694&gt;1,AA694/100,AA694)))</f>
        <v/>
      </c>
      <c r="AC694" s="14" t="str">
        <f aca="false">IF(O694="","",V694+Y694+AB694)</f>
        <v/>
      </c>
      <c r="AD694" s="19" t="str">
        <f aca="false">IF(O694="","",O694-R694-AC694)</f>
        <v/>
      </c>
      <c r="AE694" s="20"/>
      <c r="AF694" s="10"/>
      <c r="AG694" s="21" t="n">
        <f aca="false">IF(OR(AE694="",AE694=0),0,AE694*IF(U694="",0,IF(U694&gt;1,U694/100,U694)))</f>
        <v>0</v>
      </c>
      <c r="AH694" s="21" t="n">
        <f aca="false">IF(OR(AE694="",AE694=0),0,AE694*IF(X694="",0,IF(X694&gt;1,X694/100,X694)))</f>
        <v>0</v>
      </c>
      <c r="AI694" s="21" t="n">
        <f aca="false">IF(OR(AE694="",AE694=0),0,AE694*IF(AA694="",0,IF(AA694&gt;1,AA694/100,AA694)))</f>
        <v>0</v>
      </c>
      <c r="AJ694" s="21" t="n">
        <f aca="false">AG694+AH694+AI694</f>
        <v>0</v>
      </c>
      <c r="AK694" s="21" t="n">
        <f aca="false">IF(OR(AE694="",AE694=0),0,AE694-AJ694)</f>
        <v>0</v>
      </c>
      <c r="AL694" s="19" t="str">
        <f aca="false">IF(AD694="","",AD694-AK694)</f>
        <v/>
      </c>
      <c r="AM694" s="9" t="str">
        <f aca="false">IF(C694="","","Waiting for payment")</f>
        <v/>
      </c>
      <c r="AN694" s="10"/>
      <c r="AO694" s="10"/>
      <c r="AP694" s="22" t="str">
        <f aca="false">IF(OR(C694="",I694="",K694=""),"",IF(K694="Monthly",EDATE(C694,ROUND(I694*SETTINGS!$I$8,0)),WORKDAY(C694,ROUND(I694*SETTINGS!$I$8,0))))</f>
        <v/>
      </c>
      <c r="AQ694" s="9" t="str">
        <f aca="true">IF(C694="","",IF(AND(AP694&lt;&gt;"",TODAY()&gt;=AP694),"Refi Ready",IF(TODAY()-C694&gt;=SETTINGS!$I$11,"Prospecting","Performing")))</f>
        <v/>
      </c>
      <c r="AR694" s="22" t="str">
        <f aca="false">IF(OR(C694="",I694="",K694=""),"",IF(K694="Monthly",EDATE(C694,I694),WORKDAY(C694,I694)))</f>
        <v/>
      </c>
      <c r="AS694" s="11"/>
      <c r="AT694" s="23" t="str">
        <f aca="true">IF(C694="","",IF(AM694="Clawed Back","CLAWED",IF(TODAY()&lt;=C694+SETTINGS!$I$2,"⚠ AT RISK","SAFE")))</f>
        <v/>
      </c>
      <c r="AU694" s="11"/>
      <c r="AW694" s="24" t="n">
        <f aca="false">AW693+IF(AND(C694&lt;&gt;"",AO694&lt;&gt;"",OR('REP COMMISSION'!$B$3="",T694='REP COMMISSION'!$B$3,W694='REP COMMISSION'!$B$3,Z694='REP COMMISSION'!$B$3)),1,0)</f>
        <v>0</v>
      </c>
      <c r="AX694" s="24" t="n">
        <f aca="false">AX693+IF(AND(C694&lt;&gt;"",OR(F694="LOC - INITIAL",F694="CONSOLIDATION - UPFRONT COMM",F694="REVERSE - TOTAL FUNDING")),1,0)</f>
        <v>0</v>
      </c>
    </row>
    <row r="695" customFormat="false" ht="15" hidden="false" customHeight="false" outlineLevel="0" collapsed="false">
      <c r="A695" s="25" t="str">
        <f aca="false">IF(C695&lt;&gt;"","F27-"&amp;COUNT($C$4:C695),"")</f>
        <v/>
      </c>
      <c r="B695" s="26" t="str">
        <f aca="false">IF(OR(F695="LOC - INITIAL",F695="CONSOLIDATION - UPFRONT COMM",F695="REVERSE - TOTAL FUNDING"),A695,"")</f>
        <v/>
      </c>
      <c r="C695" s="27"/>
      <c r="D695" s="28"/>
      <c r="E695" s="28"/>
      <c r="F695" s="28"/>
      <c r="G695" s="29"/>
      <c r="H695" s="30"/>
      <c r="I695" s="28"/>
      <c r="J695" s="31" t="str">
        <f aca="false">IF(AND(G695&lt;&gt;"",H695&lt;&gt;""),G695*H695,"")</f>
        <v/>
      </c>
      <c r="K695" s="28"/>
      <c r="L695" s="32"/>
      <c r="M695" s="32"/>
      <c r="N695" s="31" t="n">
        <f aca="false">IF(OR(G695="",M695=""),0,IF(M695&gt;100,M695,G695*IF(M695&gt;1,M695/100,M695)))</f>
        <v>0</v>
      </c>
      <c r="O695" s="31" t="str">
        <f aca="false">IF(G695="","",G695*IF(L695="",0,IF(L695&gt;1,L695/100,L695))+N695)</f>
        <v/>
      </c>
      <c r="P695" s="28"/>
      <c r="Q695" s="33" t="str">
        <f aca="false">IF(P695="","",IFERROR(VLOOKUP(P695,PARTNERS!$A$2:$B$30,2,0),""))</f>
        <v/>
      </c>
      <c r="R695" s="17" t="str">
        <f aca="false">IF(O695="","",IF(OR(P695="",Q695=""),0,(O695-N695)*IF(Q695&gt;1,Q695/100,Q695)))</f>
        <v/>
      </c>
      <c r="S695" s="31" t="str">
        <f aca="false">IF(O695="","",O695-R695)</f>
        <v/>
      </c>
      <c r="T695" s="28"/>
      <c r="U695" s="34" t="str">
        <f aca="false">IF(T695="","",IFERROR(VLOOKUP(T695,REPS!$A$2:$D$40,2,0),""))</f>
        <v/>
      </c>
      <c r="V695" s="31" t="str">
        <f aca="false">IF(O695="","",IF(U695="",0,O695*IF(U695&gt;1,U695/100,U695)))</f>
        <v/>
      </c>
      <c r="W695" s="28"/>
      <c r="X695" s="34" t="str">
        <f aca="false">IF(W695="","",IFERROR(VLOOKUP(W695,REPS!$A$2:$D$40,3,0),""))</f>
        <v/>
      </c>
      <c r="Y695" s="31" t="str">
        <f aca="false">IF(O695="","",IF(X695="",0,O695*IF(X695&gt;1,X695/100,X695)))</f>
        <v/>
      </c>
      <c r="Z695" s="28"/>
      <c r="AA695" s="34" t="str">
        <f aca="false">IF(Z695="","",IFERROR(VLOOKUP(Z695,REPS!$A$2:$D$40,4,0),""))</f>
        <v/>
      </c>
      <c r="AB695" s="31" t="str">
        <f aca="false">IF(O695="","",IF(AA695="",0,O695*IF(AA695&gt;1,AA695/100,AA695)))</f>
        <v/>
      </c>
      <c r="AC695" s="31" t="str">
        <f aca="false">IF(O695="","",V695+Y695+AB695)</f>
        <v/>
      </c>
      <c r="AD695" s="19" t="str">
        <f aca="false">IF(O695="","",O695-R695-AC695)</f>
        <v/>
      </c>
      <c r="AE695" s="20"/>
      <c r="AF695" s="27"/>
      <c r="AG695" s="21" t="n">
        <f aca="false">IF(OR(AE695="",AE695=0),0,AE695*IF(U695="",0,IF(U695&gt;1,U695/100,U695)))</f>
        <v>0</v>
      </c>
      <c r="AH695" s="21" t="n">
        <f aca="false">IF(OR(AE695="",AE695=0),0,AE695*IF(X695="",0,IF(X695&gt;1,X695/100,X695)))</f>
        <v>0</v>
      </c>
      <c r="AI695" s="21" t="n">
        <f aca="false">IF(OR(AE695="",AE695=0),0,AE695*IF(AA695="",0,IF(AA695&gt;1,AA695/100,AA695)))</f>
        <v>0</v>
      </c>
      <c r="AJ695" s="21" t="n">
        <f aca="false">AG695+AH695+AI695</f>
        <v>0</v>
      </c>
      <c r="AK695" s="21" t="n">
        <f aca="false">IF(OR(AE695="",AE695=0),0,AE695-AJ695)</f>
        <v>0</v>
      </c>
      <c r="AL695" s="19" t="str">
        <f aca="false">IF(AD695="","",AD695-AK695)</f>
        <v/>
      </c>
      <c r="AM695" s="26" t="str">
        <f aca="false">IF(C695="","","Waiting for payment")</f>
        <v/>
      </c>
      <c r="AN695" s="27"/>
      <c r="AO695" s="27"/>
      <c r="AP695" s="35" t="str">
        <f aca="false">IF(OR(C695="",I695="",K695=""),"",IF(K695="Monthly",EDATE(C695,ROUND(I695*SETTINGS!$I$8,0)),WORKDAY(C695,ROUND(I695*SETTINGS!$I$8,0))))</f>
        <v/>
      </c>
      <c r="AQ695" s="26" t="str">
        <f aca="true">IF(C695="","",IF(AND(AP695&lt;&gt;"",TODAY()&gt;=AP695),"Refi Ready",IF(TODAY()-C695&gt;=SETTINGS!$I$11,"Prospecting","Performing")))</f>
        <v/>
      </c>
      <c r="AR695" s="35" t="str">
        <f aca="false">IF(OR(C695="",I695="",K695=""),"",IF(K695="Monthly",EDATE(C695,I695),WORKDAY(C695,I695)))</f>
        <v/>
      </c>
      <c r="AS695" s="28"/>
      <c r="AT695" s="36" t="str">
        <f aca="true">IF(C695="","",IF(AM695="Clawed Back","CLAWED",IF(TODAY()&lt;=C695+SETTINGS!$I$2,"⚠ AT RISK","SAFE")))</f>
        <v/>
      </c>
      <c r="AU695" s="28"/>
      <c r="AW695" s="24" t="n">
        <f aca="false">AW694+IF(AND(C695&lt;&gt;"",AO695&lt;&gt;"",OR('REP COMMISSION'!$B$3="",T695='REP COMMISSION'!$B$3,W695='REP COMMISSION'!$B$3,Z695='REP COMMISSION'!$B$3)),1,0)</f>
        <v>0</v>
      </c>
      <c r="AX695" s="24" t="n">
        <f aca="false">AX694+IF(AND(C695&lt;&gt;"",OR(F695="LOC - INITIAL",F695="CONSOLIDATION - UPFRONT COMM",F695="REVERSE - TOTAL FUNDING")),1,0)</f>
        <v>0</v>
      </c>
    </row>
    <row r="696" customFormat="false" ht="15" hidden="false" customHeight="false" outlineLevel="0" collapsed="false">
      <c r="A696" s="8" t="str">
        <f aca="false">IF(C696&lt;&gt;"","F27-"&amp;COUNT($C$4:C696),"")</f>
        <v/>
      </c>
      <c r="B696" s="9" t="str">
        <f aca="false">IF(OR(F696="LOC - INITIAL",F696="CONSOLIDATION - UPFRONT COMM",F696="REVERSE - TOTAL FUNDING"),A696,"")</f>
        <v/>
      </c>
      <c r="C696" s="10"/>
      <c r="D696" s="11"/>
      <c r="E696" s="11"/>
      <c r="F696" s="11"/>
      <c r="G696" s="12"/>
      <c r="H696" s="13"/>
      <c r="I696" s="11"/>
      <c r="J696" s="14" t="str">
        <f aca="false">IF(AND(G696&lt;&gt;"",H696&lt;&gt;""),G696*H696,"")</f>
        <v/>
      </c>
      <c r="K696" s="11"/>
      <c r="L696" s="15"/>
      <c r="M696" s="15"/>
      <c r="N696" s="14" t="n">
        <f aca="false">IF(OR(G696="",M696=""),0,IF(M696&gt;100,M696,G696*IF(M696&gt;1,M696/100,M696)))</f>
        <v>0</v>
      </c>
      <c r="O696" s="14" t="str">
        <f aca="false">IF(G696="","",G696*IF(L696="",0,IF(L696&gt;1,L696/100,L696))+N696)</f>
        <v/>
      </c>
      <c r="P696" s="11"/>
      <c r="Q696" s="16" t="str">
        <f aca="false">IF(P696="","",IFERROR(VLOOKUP(P696,PARTNERS!$A$2:$B$30,2,0),""))</f>
        <v/>
      </c>
      <c r="R696" s="17" t="str">
        <f aca="false">IF(O696="","",IF(OR(P696="",Q696=""),0,(O696-N696)*IF(Q696&gt;1,Q696/100,Q696)))</f>
        <v/>
      </c>
      <c r="S696" s="14" t="str">
        <f aca="false">IF(O696="","",O696-R696)</f>
        <v/>
      </c>
      <c r="T696" s="11"/>
      <c r="U696" s="18" t="str">
        <f aca="false">IF(T696="","",IFERROR(VLOOKUP(T696,REPS!$A$2:$D$40,2,0),""))</f>
        <v/>
      </c>
      <c r="V696" s="14" t="str">
        <f aca="false">IF(O696="","",IF(U696="",0,O696*IF(U696&gt;1,U696/100,U696)))</f>
        <v/>
      </c>
      <c r="W696" s="11"/>
      <c r="X696" s="18" t="str">
        <f aca="false">IF(W696="","",IFERROR(VLOOKUP(W696,REPS!$A$2:$D$40,3,0),""))</f>
        <v/>
      </c>
      <c r="Y696" s="14" t="str">
        <f aca="false">IF(O696="","",IF(X696="",0,O696*IF(X696&gt;1,X696/100,X696)))</f>
        <v/>
      </c>
      <c r="Z696" s="11"/>
      <c r="AA696" s="18" t="str">
        <f aca="false">IF(Z696="","",IFERROR(VLOOKUP(Z696,REPS!$A$2:$D$40,4,0),""))</f>
        <v/>
      </c>
      <c r="AB696" s="14" t="str">
        <f aca="false">IF(O696="","",IF(AA696="",0,O696*IF(AA696&gt;1,AA696/100,AA696)))</f>
        <v/>
      </c>
      <c r="AC696" s="14" t="str">
        <f aca="false">IF(O696="","",V696+Y696+AB696)</f>
        <v/>
      </c>
      <c r="AD696" s="19" t="str">
        <f aca="false">IF(O696="","",O696-R696-AC696)</f>
        <v/>
      </c>
      <c r="AE696" s="20"/>
      <c r="AF696" s="10"/>
      <c r="AG696" s="21" t="n">
        <f aca="false">IF(OR(AE696="",AE696=0),0,AE696*IF(U696="",0,IF(U696&gt;1,U696/100,U696)))</f>
        <v>0</v>
      </c>
      <c r="AH696" s="21" t="n">
        <f aca="false">IF(OR(AE696="",AE696=0),0,AE696*IF(X696="",0,IF(X696&gt;1,X696/100,X696)))</f>
        <v>0</v>
      </c>
      <c r="AI696" s="21" t="n">
        <f aca="false">IF(OR(AE696="",AE696=0),0,AE696*IF(AA696="",0,IF(AA696&gt;1,AA696/100,AA696)))</f>
        <v>0</v>
      </c>
      <c r="AJ696" s="21" t="n">
        <f aca="false">AG696+AH696+AI696</f>
        <v>0</v>
      </c>
      <c r="AK696" s="21" t="n">
        <f aca="false">IF(OR(AE696="",AE696=0),0,AE696-AJ696)</f>
        <v>0</v>
      </c>
      <c r="AL696" s="19" t="str">
        <f aca="false">IF(AD696="","",AD696-AK696)</f>
        <v/>
      </c>
      <c r="AM696" s="9" t="str">
        <f aca="false">IF(C696="","","Waiting for payment")</f>
        <v/>
      </c>
      <c r="AN696" s="10"/>
      <c r="AO696" s="10"/>
      <c r="AP696" s="22" t="str">
        <f aca="false">IF(OR(C696="",I696="",K696=""),"",IF(K696="Monthly",EDATE(C696,ROUND(I696*SETTINGS!$I$8,0)),WORKDAY(C696,ROUND(I696*SETTINGS!$I$8,0))))</f>
        <v/>
      </c>
      <c r="AQ696" s="9" t="str">
        <f aca="true">IF(C696="","",IF(AND(AP696&lt;&gt;"",TODAY()&gt;=AP696),"Refi Ready",IF(TODAY()-C696&gt;=SETTINGS!$I$11,"Prospecting","Performing")))</f>
        <v/>
      </c>
      <c r="AR696" s="22" t="str">
        <f aca="false">IF(OR(C696="",I696="",K696=""),"",IF(K696="Monthly",EDATE(C696,I696),WORKDAY(C696,I696)))</f>
        <v/>
      </c>
      <c r="AS696" s="11"/>
      <c r="AT696" s="23" t="str">
        <f aca="true">IF(C696="","",IF(AM696="Clawed Back","CLAWED",IF(TODAY()&lt;=C696+SETTINGS!$I$2,"⚠ AT RISK","SAFE")))</f>
        <v/>
      </c>
      <c r="AU696" s="11"/>
      <c r="AW696" s="24" t="n">
        <f aca="false">AW695+IF(AND(C696&lt;&gt;"",AO696&lt;&gt;"",OR('REP COMMISSION'!$B$3="",T696='REP COMMISSION'!$B$3,W696='REP COMMISSION'!$B$3,Z696='REP COMMISSION'!$B$3)),1,0)</f>
        <v>0</v>
      </c>
      <c r="AX696" s="24" t="n">
        <f aca="false">AX695+IF(AND(C696&lt;&gt;"",OR(F696="LOC - INITIAL",F696="CONSOLIDATION - UPFRONT COMM",F696="REVERSE - TOTAL FUNDING")),1,0)</f>
        <v>0</v>
      </c>
    </row>
    <row r="697" customFormat="false" ht="15" hidden="false" customHeight="false" outlineLevel="0" collapsed="false">
      <c r="A697" s="25" t="str">
        <f aca="false">IF(C697&lt;&gt;"","F27-"&amp;COUNT($C$4:C697),"")</f>
        <v/>
      </c>
      <c r="B697" s="26" t="str">
        <f aca="false">IF(OR(F697="LOC - INITIAL",F697="CONSOLIDATION - UPFRONT COMM",F697="REVERSE - TOTAL FUNDING"),A697,"")</f>
        <v/>
      </c>
      <c r="C697" s="27"/>
      <c r="D697" s="28"/>
      <c r="E697" s="28"/>
      <c r="F697" s="28"/>
      <c r="G697" s="29"/>
      <c r="H697" s="30"/>
      <c r="I697" s="28"/>
      <c r="J697" s="31" t="str">
        <f aca="false">IF(AND(G697&lt;&gt;"",H697&lt;&gt;""),G697*H697,"")</f>
        <v/>
      </c>
      <c r="K697" s="28"/>
      <c r="L697" s="32"/>
      <c r="M697" s="32"/>
      <c r="N697" s="31" t="n">
        <f aca="false">IF(OR(G697="",M697=""),0,IF(M697&gt;100,M697,G697*IF(M697&gt;1,M697/100,M697)))</f>
        <v>0</v>
      </c>
      <c r="O697" s="31" t="str">
        <f aca="false">IF(G697="","",G697*IF(L697="",0,IF(L697&gt;1,L697/100,L697))+N697)</f>
        <v/>
      </c>
      <c r="P697" s="28"/>
      <c r="Q697" s="33" t="str">
        <f aca="false">IF(P697="","",IFERROR(VLOOKUP(P697,PARTNERS!$A$2:$B$30,2,0),""))</f>
        <v/>
      </c>
      <c r="R697" s="17" t="str">
        <f aca="false">IF(O697="","",IF(OR(P697="",Q697=""),0,(O697-N697)*IF(Q697&gt;1,Q697/100,Q697)))</f>
        <v/>
      </c>
      <c r="S697" s="31" t="str">
        <f aca="false">IF(O697="","",O697-R697)</f>
        <v/>
      </c>
      <c r="T697" s="28"/>
      <c r="U697" s="34" t="str">
        <f aca="false">IF(T697="","",IFERROR(VLOOKUP(T697,REPS!$A$2:$D$40,2,0),""))</f>
        <v/>
      </c>
      <c r="V697" s="31" t="str">
        <f aca="false">IF(O697="","",IF(U697="",0,O697*IF(U697&gt;1,U697/100,U697)))</f>
        <v/>
      </c>
      <c r="W697" s="28"/>
      <c r="X697" s="34" t="str">
        <f aca="false">IF(W697="","",IFERROR(VLOOKUP(W697,REPS!$A$2:$D$40,3,0),""))</f>
        <v/>
      </c>
      <c r="Y697" s="31" t="str">
        <f aca="false">IF(O697="","",IF(X697="",0,O697*IF(X697&gt;1,X697/100,X697)))</f>
        <v/>
      </c>
      <c r="Z697" s="28"/>
      <c r="AA697" s="34" t="str">
        <f aca="false">IF(Z697="","",IFERROR(VLOOKUP(Z697,REPS!$A$2:$D$40,4,0),""))</f>
        <v/>
      </c>
      <c r="AB697" s="31" t="str">
        <f aca="false">IF(O697="","",IF(AA697="",0,O697*IF(AA697&gt;1,AA697/100,AA697)))</f>
        <v/>
      </c>
      <c r="AC697" s="31" t="str">
        <f aca="false">IF(O697="","",V697+Y697+AB697)</f>
        <v/>
      </c>
      <c r="AD697" s="19" t="str">
        <f aca="false">IF(O697="","",O697-R697-AC697)</f>
        <v/>
      </c>
      <c r="AE697" s="20"/>
      <c r="AF697" s="27"/>
      <c r="AG697" s="21" t="n">
        <f aca="false">IF(OR(AE697="",AE697=0),0,AE697*IF(U697="",0,IF(U697&gt;1,U697/100,U697)))</f>
        <v>0</v>
      </c>
      <c r="AH697" s="21" t="n">
        <f aca="false">IF(OR(AE697="",AE697=0),0,AE697*IF(X697="",0,IF(X697&gt;1,X697/100,X697)))</f>
        <v>0</v>
      </c>
      <c r="AI697" s="21" t="n">
        <f aca="false">IF(OR(AE697="",AE697=0),0,AE697*IF(AA697="",0,IF(AA697&gt;1,AA697/100,AA697)))</f>
        <v>0</v>
      </c>
      <c r="AJ697" s="21" t="n">
        <f aca="false">AG697+AH697+AI697</f>
        <v>0</v>
      </c>
      <c r="AK697" s="21" t="n">
        <f aca="false">IF(OR(AE697="",AE697=0),0,AE697-AJ697)</f>
        <v>0</v>
      </c>
      <c r="AL697" s="19" t="str">
        <f aca="false">IF(AD697="","",AD697-AK697)</f>
        <v/>
      </c>
      <c r="AM697" s="26" t="str">
        <f aca="false">IF(C697="","","Waiting for payment")</f>
        <v/>
      </c>
      <c r="AN697" s="27"/>
      <c r="AO697" s="27"/>
      <c r="AP697" s="35" t="str">
        <f aca="false">IF(OR(C697="",I697="",K697=""),"",IF(K697="Monthly",EDATE(C697,ROUND(I697*SETTINGS!$I$8,0)),WORKDAY(C697,ROUND(I697*SETTINGS!$I$8,0))))</f>
        <v/>
      </c>
      <c r="AQ697" s="26" t="str">
        <f aca="true">IF(C697="","",IF(AND(AP697&lt;&gt;"",TODAY()&gt;=AP697),"Refi Ready",IF(TODAY()-C697&gt;=SETTINGS!$I$11,"Prospecting","Performing")))</f>
        <v/>
      </c>
      <c r="AR697" s="35" t="str">
        <f aca="false">IF(OR(C697="",I697="",K697=""),"",IF(K697="Monthly",EDATE(C697,I697),WORKDAY(C697,I697)))</f>
        <v/>
      </c>
      <c r="AS697" s="28"/>
      <c r="AT697" s="36" t="str">
        <f aca="true">IF(C697="","",IF(AM697="Clawed Back","CLAWED",IF(TODAY()&lt;=C697+SETTINGS!$I$2,"⚠ AT RISK","SAFE")))</f>
        <v/>
      </c>
      <c r="AU697" s="28"/>
      <c r="AW697" s="24" t="n">
        <f aca="false">AW696+IF(AND(C697&lt;&gt;"",AO697&lt;&gt;"",OR('REP COMMISSION'!$B$3="",T697='REP COMMISSION'!$B$3,W697='REP COMMISSION'!$B$3,Z697='REP COMMISSION'!$B$3)),1,0)</f>
        <v>0</v>
      </c>
      <c r="AX697" s="24" t="n">
        <f aca="false">AX696+IF(AND(C697&lt;&gt;"",OR(F697="LOC - INITIAL",F697="CONSOLIDATION - UPFRONT COMM",F697="REVERSE - TOTAL FUNDING")),1,0)</f>
        <v>0</v>
      </c>
    </row>
    <row r="698" customFormat="false" ht="15" hidden="false" customHeight="false" outlineLevel="0" collapsed="false">
      <c r="A698" s="8" t="str">
        <f aca="false">IF(C698&lt;&gt;"","F27-"&amp;COUNT($C$4:C698),"")</f>
        <v/>
      </c>
      <c r="B698" s="9" t="str">
        <f aca="false">IF(OR(F698="LOC - INITIAL",F698="CONSOLIDATION - UPFRONT COMM",F698="REVERSE - TOTAL FUNDING"),A698,"")</f>
        <v/>
      </c>
      <c r="C698" s="10"/>
      <c r="D698" s="11"/>
      <c r="E698" s="11"/>
      <c r="F698" s="11"/>
      <c r="G698" s="12"/>
      <c r="H698" s="13"/>
      <c r="I698" s="11"/>
      <c r="J698" s="14" t="str">
        <f aca="false">IF(AND(G698&lt;&gt;"",H698&lt;&gt;""),G698*H698,"")</f>
        <v/>
      </c>
      <c r="K698" s="11"/>
      <c r="L698" s="15"/>
      <c r="M698" s="15"/>
      <c r="N698" s="14" t="n">
        <f aca="false">IF(OR(G698="",M698=""),0,IF(M698&gt;100,M698,G698*IF(M698&gt;1,M698/100,M698)))</f>
        <v>0</v>
      </c>
      <c r="O698" s="14" t="str">
        <f aca="false">IF(G698="","",G698*IF(L698="",0,IF(L698&gt;1,L698/100,L698))+N698)</f>
        <v/>
      </c>
      <c r="P698" s="11"/>
      <c r="Q698" s="16" t="str">
        <f aca="false">IF(P698="","",IFERROR(VLOOKUP(P698,PARTNERS!$A$2:$B$30,2,0),""))</f>
        <v/>
      </c>
      <c r="R698" s="17" t="str">
        <f aca="false">IF(O698="","",IF(OR(P698="",Q698=""),0,(O698-N698)*IF(Q698&gt;1,Q698/100,Q698)))</f>
        <v/>
      </c>
      <c r="S698" s="14" t="str">
        <f aca="false">IF(O698="","",O698-R698)</f>
        <v/>
      </c>
      <c r="T698" s="11"/>
      <c r="U698" s="18" t="str">
        <f aca="false">IF(T698="","",IFERROR(VLOOKUP(T698,REPS!$A$2:$D$40,2,0),""))</f>
        <v/>
      </c>
      <c r="V698" s="14" t="str">
        <f aca="false">IF(O698="","",IF(U698="",0,O698*IF(U698&gt;1,U698/100,U698)))</f>
        <v/>
      </c>
      <c r="W698" s="11"/>
      <c r="X698" s="18" t="str">
        <f aca="false">IF(W698="","",IFERROR(VLOOKUP(W698,REPS!$A$2:$D$40,3,0),""))</f>
        <v/>
      </c>
      <c r="Y698" s="14" t="str">
        <f aca="false">IF(O698="","",IF(X698="",0,O698*IF(X698&gt;1,X698/100,X698)))</f>
        <v/>
      </c>
      <c r="Z698" s="11"/>
      <c r="AA698" s="18" t="str">
        <f aca="false">IF(Z698="","",IFERROR(VLOOKUP(Z698,REPS!$A$2:$D$40,4,0),""))</f>
        <v/>
      </c>
      <c r="AB698" s="14" t="str">
        <f aca="false">IF(O698="","",IF(AA698="",0,O698*IF(AA698&gt;1,AA698/100,AA698)))</f>
        <v/>
      </c>
      <c r="AC698" s="14" t="str">
        <f aca="false">IF(O698="","",V698+Y698+AB698)</f>
        <v/>
      </c>
      <c r="AD698" s="19" t="str">
        <f aca="false">IF(O698="","",O698-R698-AC698)</f>
        <v/>
      </c>
      <c r="AE698" s="20"/>
      <c r="AF698" s="10"/>
      <c r="AG698" s="21" t="n">
        <f aca="false">IF(OR(AE698="",AE698=0),0,AE698*IF(U698="",0,IF(U698&gt;1,U698/100,U698)))</f>
        <v>0</v>
      </c>
      <c r="AH698" s="21" t="n">
        <f aca="false">IF(OR(AE698="",AE698=0),0,AE698*IF(X698="",0,IF(X698&gt;1,X698/100,X698)))</f>
        <v>0</v>
      </c>
      <c r="AI698" s="21" t="n">
        <f aca="false">IF(OR(AE698="",AE698=0),0,AE698*IF(AA698="",0,IF(AA698&gt;1,AA698/100,AA698)))</f>
        <v>0</v>
      </c>
      <c r="AJ698" s="21" t="n">
        <f aca="false">AG698+AH698+AI698</f>
        <v>0</v>
      </c>
      <c r="AK698" s="21" t="n">
        <f aca="false">IF(OR(AE698="",AE698=0),0,AE698-AJ698)</f>
        <v>0</v>
      </c>
      <c r="AL698" s="19" t="str">
        <f aca="false">IF(AD698="","",AD698-AK698)</f>
        <v/>
      </c>
      <c r="AM698" s="9" t="str">
        <f aca="false">IF(C698="","","Waiting for payment")</f>
        <v/>
      </c>
      <c r="AN698" s="10"/>
      <c r="AO698" s="10"/>
      <c r="AP698" s="22" t="str">
        <f aca="false">IF(OR(C698="",I698="",K698=""),"",IF(K698="Monthly",EDATE(C698,ROUND(I698*SETTINGS!$I$8,0)),WORKDAY(C698,ROUND(I698*SETTINGS!$I$8,0))))</f>
        <v/>
      </c>
      <c r="AQ698" s="9" t="str">
        <f aca="true">IF(C698="","",IF(AND(AP698&lt;&gt;"",TODAY()&gt;=AP698),"Refi Ready",IF(TODAY()-C698&gt;=SETTINGS!$I$11,"Prospecting","Performing")))</f>
        <v/>
      </c>
      <c r="AR698" s="22" t="str">
        <f aca="false">IF(OR(C698="",I698="",K698=""),"",IF(K698="Monthly",EDATE(C698,I698),WORKDAY(C698,I698)))</f>
        <v/>
      </c>
      <c r="AS698" s="11"/>
      <c r="AT698" s="23" t="str">
        <f aca="true">IF(C698="","",IF(AM698="Clawed Back","CLAWED",IF(TODAY()&lt;=C698+SETTINGS!$I$2,"⚠ AT RISK","SAFE")))</f>
        <v/>
      </c>
      <c r="AU698" s="11"/>
      <c r="AW698" s="24" t="n">
        <f aca="false">AW697+IF(AND(C698&lt;&gt;"",AO698&lt;&gt;"",OR('REP COMMISSION'!$B$3="",T698='REP COMMISSION'!$B$3,W698='REP COMMISSION'!$B$3,Z698='REP COMMISSION'!$B$3)),1,0)</f>
        <v>0</v>
      </c>
      <c r="AX698" s="24" t="n">
        <f aca="false">AX697+IF(AND(C698&lt;&gt;"",OR(F698="LOC - INITIAL",F698="CONSOLIDATION - UPFRONT COMM",F698="REVERSE - TOTAL FUNDING")),1,0)</f>
        <v>0</v>
      </c>
    </row>
    <row r="699" customFormat="false" ht="15" hidden="false" customHeight="false" outlineLevel="0" collapsed="false">
      <c r="A699" s="25" t="str">
        <f aca="false">IF(C699&lt;&gt;"","F27-"&amp;COUNT($C$4:C699),"")</f>
        <v/>
      </c>
      <c r="B699" s="26" t="str">
        <f aca="false">IF(OR(F699="LOC - INITIAL",F699="CONSOLIDATION - UPFRONT COMM",F699="REVERSE - TOTAL FUNDING"),A699,"")</f>
        <v/>
      </c>
      <c r="C699" s="27"/>
      <c r="D699" s="28"/>
      <c r="E699" s="28"/>
      <c r="F699" s="28"/>
      <c r="G699" s="29"/>
      <c r="H699" s="30"/>
      <c r="I699" s="28"/>
      <c r="J699" s="31" t="str">
        <f aca="false">IF(AND(G699&lt;&gt;"",H699&lt;&gt;""),G699*H699,"")</f>
        <v/>
      </c>
      <c r="K699" s="28"/>
      <c r="L699" s="32"/>
      <c r="M699" s="32"/>
      <c r="N699" s="31" t="n">
        <f aca="false">IF(OR(G699="",M699=""),0,IF(M699&gt;100,M699,G699*IF(M699&gt;1,M699/100,M699)))</f>
        <v>0</v>
      </c>
      <c r="O699" s="31" t="str">
        <f aca="false">IF(G699="","",G699*IF(L699="",0,IF(L699&gt;1,L699/100,L699))+N699)</f>
        <v/>
      </c>
      <c r="P699" s="28"/>
      <c r="Q699" s="33" t="str">
        <f aca="false">IF(P699="","",IFERROR(VLOOKUP(P699,PARTNERS!$A$2:$B$30,2,0),""))</f>
        <v/>
      </c>
      <c r="R699" s="17" t="str">
        <f aca="false">IF(O699="","",IF(OR(P699="",Q699=""),0,(O699-N699)*IF(Q699&gt;1,Q699/100,Q699)))</f>
        <v/>
      </c>
      <c r="S699" s="31" t="str">
        <f aca="false">IF(O699="","",O699-R699)</f>
        <v/>
      </c>
      <c r="T699" s="28"/>
      <c r="U699" s="34" t="str">
        <f aca="false">IF(T699="","",IFERROR(VLOOKUP(T699,REPS!$A$2:$D$40,2,0),""))</f>
        <v/>
      </c>
      <c r="V699" s="31" t="str">
        <f aca="false">IF(O699="","",IF(U699="",0,O699*IF(U699&gt;1,U699/100,U699)))</f>
        <v/>
      </c>
      <c r="W699" s="28"/>
      <c r="X699" s="34" t="str">
        <f aca="false">IF(W699="","",IFERROR(VLOOKUP(W699,REPS!$A$2:$D$40,3,0),""))</f>
        <v/>
      </c>
      <c r="Y699" s="31" t="str">
        <f aca="false">IF(O699="","",IF(X699="",0,O699*IF(X699&gt;1,X699/100,X699)))</f>
        <v/>
      </c>
      <c r="Z699" s="28"/>
      <c r="AA699" s="34" t="str">
        <f aca="false">IF(Z699="","",IFERROR(VLOOKUP(Z699,REPS!$A$2:$D$40,4,0),""))</f>
        <v/>
      </c>
      <c r="AB699" s="31" t="str">
        <f aca="false">IF(O699="","",IF(AA699="",0,O699*IF(AA699&gt;1,AA699/100,AA699)))</f>
        <v/>
      </c>
      <c r="AC699" s="31" t="str">
        <f aca="false">IF(O699="","",V699+Y699+AB699)</f>
        <v/>
      </c>
      <c r="AD699" s="19" t="str">
        <f aca="false">IF(O699="","",O699-R699-AC699)</f>
        <v/>
      </c>
      <c r="AE699" s="20"/>
      <c r="AF699" s="27"/>
      <c r="AG699" s="21" t="n">
        <f aca="false">IF(OR(AE699="",AE699=0),0,AE699*IF(U699="",0,IF(U699&gt;1,U699/100,U699)))</f>
        <v>0</v>
      </c>
      <c r="AH699" s="21" t="n">
        <f aca="false">IF(OR(AE699="",AE699=0),0,AE699*IF(X699="",0,IF(X699&gt;1,X699/100,X699)))</f>
        <v>0</v>
      </c>
      <c r="AI699" s="21" t="n">
        <f aca="false">IF(OR(AE699="",AE699=0),0,AE699*IF(AA699="",0,IF(AA699&gt;1,AA699/100,AA699)))</f>
        <v>0</v>
      </c>
      <c r="AJ699" s="21" t="n">
        <f aca="false">AG699+AH699+AI699</f>
        <v>0</v>
      </c>
      <c r="AK699" s="21" t="n">
        <f aca="false">IF(OR(AE699="",AE699=0),0,AE699-AJ699)</f>
        <v>0</v>
      </c>
      <c r="AL699" s="19" t="str">
        <f aca="false">IF(AD699="","",AD699-AK699)</f>
        <v/>
      </c>
      <c r="AM699" s="26" t="str">
        <f aca="false">IF(C699="","","Waiting for payment")</f>
        <v/>
      </c>
      <c r="AN699" s="27"/>
      <c r="AO699" s="27"/>
      <c r="AP699" s="35" t="str">
        <f aca="false">IF(OR(C699="",I699="",K699=""),"",IF(K699="Monthly",EDATE(C699,ROUND(I699*SETTINGS!$I$8,0)),WORKDAY(C699,ROUND(I699*SETTINGS!$I$8,0))))</f>
        <v/>
      </c>
      <c r="AQ699" s="26" t="str">
        <f aca="true">IF(C699="","",IF(AND(AP699&lt;&gt;"",TODAY()&gt;=AP699),"Refi Ready",IF(TODAY()-C699&gt;=SETTINGS!$I$11,"Prospecting","Performing")))</f>
        <v/>
      </c>
      <c r="AR699" s="35" t="str">
        <f aca="false">IF(OR(C699="",I699="",K699=""),"",IF(K699="Monthly",EDATE(C699,I699),WORKDAY(C699,I699)))</f>
        <v/>
      </c>
      <c r="AS699" s="28"/>
      <c r="AT699" s="36" t="str">
        <f aca="true">IF(C699="","",IF(AM699="Clawed Back","CLAWED",IF(TODAY()&lt;=C699+SETTINGS!$I$2,"⚠ AT RISK","SAFE")))</f>
        <v/>
      </c>
      <c r="AU699" s="28"/>
      <c r="AW699" s="24" t="n">
        <f aca="false">AW698+IF(AND(C699&lt;&gt;"",AO699&lt;&gt;"",OR('REP COMMISSION'!$B$3="",T699='REP COMMISSION'!$B$3,W699='REP COMMISSION'!$B$3,Z699='REP COMMISSION'!$B$3)),1,0)</f>
        <v>0</v>
      </c>
      <c r="AX699" s="24" t="n">
        <f aca="false">AX698+IF(AND(C699&lt;&gt;"",OR(F699="LOC - INITIAL",F699="CONSOLIDATION - UPFRONT COMM",F699="REVERSE - TOTAL FUNDING")),1,0)</f>
        <v>0</v>
      </c>
    </row>
    <row r="700" customFormat="false" ht="15" hidden="false" customHeight="false" outlineLevel="0" collapsed="false">
      <c r="A700" s="8" t="str">
        <f aca="false">IF(C700&lt;&gt;"","F27-"&amp;COUNT($C$4:C700),"")</f>
        <v/>
      </c>
      <c r="B700" s="9" t="str">
        <f aca="false">IF(OR(F700="LOC - INITIAL",F700="CONSOLIDATION - UPFRONT COMM",F700="REVERSE - TOTAL FUNDING"),A700,"")</f>
        <v/>
      </c>
      <c r="C700" s="10"/>
      <c r="D700" s="11"/>
      <c r="E700" s="11"/>
      <c r="F700" s="11"/>
      <c r="G700" s="12"/>
      <c r="H700" s="13"/>
      <c r="I700" s="11"/>
      <c r="J700" s="14" t="str">
        <f aca="false">IF(AND(G700&lt;&gt;"",H700&lt;&gt;""),G700*H700,"")</f>
        <v/>
      </c>
      <c r="K700" s="11"/>
      <c r="L700" s="15"/>
      <c r="M700" s="15"/>
      <c r="N700" s="14" t="n">
        <f aca="false">IF(OR(G700="",M700=""),0,IF(M700&gt;100,M700,G700*IF(M700&gt;1,M700/100,M700)))</f>
        <v>0</v>
      </c>
      <c r="O700" s="14" t="str">
        <f aca="false">IF(G700="","",G700*IF(L700="",0,IF(L700&gt;1,L700/100,L700))+N700)</f>
        <v/>
      </c>
      <c r="P700" s="11"/>
      <c r="Q700" s="16" t="str">
        <f aca="false">IF(P700="","",IFERROR(VLOOKUP(P700,PARTNERS!$A$2:$B$30,2,0),""))</f>
        <v/>
      </c>
      <c r="R700" s="17" t="str">
        <f aca="false">IF(O700="","",IF(OR(P700="",Q700=""),0,(O700-N700)*IF(Q700&gt;1,Q700/100,Q700)))</f>
        <v/>
      </c>
      <c r="S700" s="14" t="str">
        <f aca="false">IF(O700="","",O700-R700)</f>
        <v/>
      </c>
      <c r="T700" s="11"/>
      <c r="U700" s="18" t="str">
        <f aca="false">IF(T700="","",IFERROR(VLOOKUP(T700,REPS!$A$2:$D$40,2,0),""))</f>
        <v/>
      </c>
      <c r="V700" s="14" t="str">
        <f aca="false">IF(O700="","",IF(U700="",0,O700*IF(U700&gt;1,U700/100,U700)))</f>
        <v/>
      </c>
      <c r="W700" s="11"/>
      <c r="X700" s="18" t="str">
        <f aca="false">IF(W700="","",IFERROR(VLOOKUP(W700,REPS!$A$2:$D$40,3,0),""))</f>
        <v/>
      </c>
      <c r="Y700" s="14" t="str">
        <f aca="false">IF(O700="","",IF(X700="",0,O700*IF(X700&gt;1,X700/100,X700)))</f>
        <v/>
      </c>
      <c r="Z700" s="11"/>
      <c r="AA700" s="18" t="str">
        <f aca="false">IF(Z700="","",IFERROR(VLOOKUP(Z700,REPS!$A$2:$D$40,4,0),""))</f>
        <v/>
      </c>
      <c r="AB700" s="14" t="str">
        <f aca="false">IF(O700="","",IF(AA700="",0,O700*IF(AA700&gt;1,AA700/100,AA700)))</f>
        <v/>
      </c>
      <c r="AC700" s="14" t="str">
        <f aca="false">IF(O700="","",V700+Y700+AB700)</f>
        <v/>
      </c>
      <c r="AD700" s="19" t="str">
        <f aca="false">IF(O700="","",O700-R700-AC700)</f>
        <v/>
      </c>
      <c r="AE700" s="20"/>
      <c r="AF700" s="10"/>
      <c r="AG700" s="21" t="n">
        <f aca="false">IF(OR(AE700="",AE700=0),0,AE700*IF(U700="",0,IF(U700&gt;1,U700/100,U700)))</f>
        <v>0</v>
      </c>
      <c r="AH700" s="21" t="n">
        <f aca="false">IF(OR(AE700="",AE700=0),0,AE700*IF(X700="",0,IF(X700&gt;1,X700/100,X700)))</f>
        <v>0</v>
      </c>
      <c r="AI700" s="21" t="n">
        <f aca="false">IF(OR(AE700="",AE700=0),0,AE700*IF(AA700="",0,IF(AA700&gt;1,AA700/100,AA700)))</f>
        <v>0</v>
      </c>
      <c r="AJ700" s="21" t="n">
        <f aca="false">AG700+AH700+AI700</f>
        <v>0</v>
      </c>
      <c r="AK700" s="21" t="n">
        <f aca="false">IF(OR(AE700="",AE700=0),0,AE700-AJ700)</f>
        <v>0</v>
      </c>
      <c r="AL700" s="19" t="str">
        <f aca="false">IF(AD700="","",AD700-AK700)</f>
        <v/>
      </c>
      <c r="AM700" s="9" t="str">
        <f aca="false">IF(C700="","","Waiting for payment")</f>
        <v/>
      </c>
      <c r="AN700" s="10"/>
      <c r="AO700" s="10"/>
      <c r="AP700" s="22" t="str">
        <f aca="false">IF(OR(C700="",I700="",K700=""),"",IF(K700="Monthly",EDATE(C700,ROUND(I700*SETTINGS!$I$8,0)),WORKDAY(C700,ROUND(I700*SETTINGS!$I$8,0))))</f>
        <v/>
      </c>
      <c r="AQ700" s="9" t="str">
        <f aca="true">IF(C700="","",IF(AND(AP700&lt;&gt;"",TODAY()&gt;=AP700),"Refi Ready",IF(TODAY()-C700&gt;=SETTINGS!$I$11,"Prospecting","Performing")))</f>
        <v/>
      </c>
      <c r="AR700" s="22" t="str">
        <f aca="false">IF(OR(C700="",I700="",K700=""),"",IF(K700="Monthly",EDATE(C700,I700),WORKDAY(C700,I700)))</f>
        <v/>
      </c>
      <c r="AS700" s="11"/>
      <c r="AT700" s="23" t="str">
        <f aca="true">IF(C700="","",IF(AM700="Clawed Back","CLAWED",IF(TODAY()&lt;=C700+SETTINGS!$I$2,"⚠ AT RISK","SAFE")))</f>
        <v/>
      </c>
      <c r="AU700" s="11"/>
      <c r="AW700" s="24" t="n">
        <f aca="false">AW699+IF(AND(C700&lt;&gt;"",AO700&lt;&gt;"",OR('REP COMMISSION'!$B$3="",T700='REP COMMISSION'!$B$3,W700='REP COMMISSION'!$B$3,Z700='REP COMMISSION'!$B$3)),1,0)</f>
        <v>0</v>
      </c>
      <c r="AX700" s="24" t="n">
        <f aca="false">AX699+IF(AND(C700&lt;&gt;"",OR(F700="LOC - INITIAL",F700="CONSOLIDATION - UPFRONT COMM",F700="REVERSE - TOTAL FUNDING")),1,0)</f>
        <v>0</v>
      </c>
    </row>
    <row r="701" customFormat="false" ht="15" hidden="false" customHeight="false" outlineLevel="0" collapsed="false">
      <c r="A701" s="25" t="str">
        <f aca="false">IF(C701&lt;&gt;"","F27-"&amp;COUNT($C$4:C701),"")</f>
        <v/>
      </c>
      <c r="B701" s="26" t="str">
        <f aca="false">IF(OR(F701="LOC - INITIAL",F701="CONSOLIDATION - UPFRONT COMM",F701="REVERSE - TOTAL FUNDING"),A701,"")</f>
        <v/>
      </c>
      <c r="C701" s="27"/>
      <c r="D701" s="28"/>
      <c r="E701" s="28"/>
      <c r="F701" s="28"/>
      <c r="G701" s="29"/>
      <c r="H701" s="30"/>
      <c r="I701" s="28"/>
      <c r="J701" s="31" t="str">
        <f aca="false">IF(AND(G701&lt;&gt;"",H701&lt;&gt;""),G701*H701,"")</f>
        <v/>
      </c>
      <c r="K701" s="28"/>
      <c r="L701" s="32"/>
      <c r="M701" s="32"/>
      <c r="N701" s="31" t="n">
        <f aca="false">IF(OR(G701="",M701=""),0,IF(M701&gt;100,M701,G701*IF(M701&gt;1,M701/100,M701)))</f>
        <v>0</v>
      </c>
      <c r="O701" s="31" t="str">
        <f aca="false">IF(G701="","",G701*IF(L701="",0,IF(L701&gt;1,L701/100,L701))+N701)</f>
        <v/>
      </c>
      <c r="P701" s="28"/>
      <c r="Q701" s="33" t="str">
        <f aca="false">IF(P701="","",IFERROR(VLOOKUP(P701,PARTNERS!$A$2:$B$30,2,0),""))</f>
        <v/>
      </c>
      <c r="R701" s="17" t="str">
        <f aca="false">IF(O701="","",IF(OR(P701="",Q701=""),0,(O701-N701)*IF(Q701&gt;1,Q701/100,Q701)))</f>
        <v/>
      </c>
      <c r="S701" s="31" t="str">
        <f aca="false">IF(O701="","",O701-R701)</f>
        <v/>
      </c>
      <c r="T701" s="28"/>
      <c r="U701" s="34" t="str">
        <f aca="false">IF(T701="","",IFERROR(VLOOKUP(T701,REPS!$A$2:$D$40,2,0),""))</f>
        <v/>
      </c>
      <c r="V701" s="31" t="str">
        <f aca="false">IF(O701="","",IF(U701="",0,O701*IF(U701&gt;1,U701/100,U701)))</f>
        <v/>
      </c>
      <c r="W701" s="28"/>
      <c r="X701" s="34" t="str">
        <f aca="false">IF(W701="","",IFERROR(VLOOKUP(W701,REPS!$A$2:$D$40,3,0),""))</f>
        <v/>
      </c>
      <c r="Y701" s="31" t="str">
        <f aca="false">IF(O701="","",IF(X701="",0,O701*IF(X701&gt;1,X701/100,X701)))</f>
        <v/>
      </c>
      <c r="Z701" s="28"/>
      <c r="AA701" s="34" t="str">
        <f aca="false">IF(Z701="","",IFERROR(VLOOKUP(Z701,REPS!$A$2:$D$40,4,0),""))</f>
        <v/>
      </c>
      <c r="AB701" s="31" t="str">
        <f aca="false">IF(O701="","",IF(AA701="",0,O701*IF(AA701&gt;1,AA701/100,AA701)))</f>
        <v/>
      </c>
      <c r="AC701" s="31" t="str">
        <f aca="false">IF(O701="","",V701+Y701+AB701)</f>
        <v/>
      </c>
      <c r="AD701" s="19" t="str">
        <f aca="false">IF(O701="","",O701-R701-AC701)</f>
        <v/>
      </c>
      <c r="AE701" s="20"/>
      <c r="AF701" s="27"/>
      <c r="AG701" s="21" t="n">
        <f aca="false">IF(OR(AE701="",AE701=0),0,AE701*IF(U701="",0,IF(U701&gt;1,U701/100,U701)))</f>
        <v>0</v>
      </c>
      <c r="AH701" s="21" t="n">
        <f aca="false">IF(OR(AE701="",AE701=0),0,AE701*IF(X701="",0,IF(X701&gt;1,X701/100,X701)))</f>
        <v>0</v>
      </c>
      <c r="AI701" s="21" t="n">
        <f aca="false">IF(OR(AE701="",AE701=0),0,AE701*IF(AA701="",0,IF(AA701&gt;1,AA701/100,AA701)))</f>
        <v>0</v>
      </c>
      <c r="AJ701" s="21" t="n">
        <f aca="false">AG701+AH701+AI701</f>
        <v>0</v>
      </c>
      <c r="AK701" s="21" t="n">
        <f aca="false">IF(OR(AE701="",AE701=0),0,AE701-AJ701)</f>
        <v>0</v>
      </c>
      <c r="AL701" s="19" t="str">
        <f aca="false">IF(AD701="","",AD701-AK701)</f>
        <v/>
      </c>
      <c r="AM701" s="26" t="str">
        <f aca="false">IF(C701="","","Waiting for payment")</f>
        <v/>
      </c>
      <c r="AN701" s="27"/>
      <c r="AO701" s="27"/>
      <c r="AP701" s="35" t="str">
        <f aca="false">IF(OR(C701="",I701="",K701=""),"",IF(K701="Monthly",EDATE(C701,ROUND(I701*SETTINGS!$I$8,0)),WORKDAY(C701,ROUND(I701*SETTINGS!$I$8,0))))</f>
        <v/>
      </c>
      <c r="AQ701" s="26" t="str">
        <f aca="true">IF(C701="","",IF(AND(AP701&lt;&gt;"",TODAY()&gt;=AP701),"Refi Ready",IF(TODAY()-C701&gt;=SETTINGS!$I$11,"Prospecting","Performing")))</f>
        <v/>
      </c>
      <c r="AR701" s="35" t="str">
        <f aca="false">IF(OR(C701="",I701="",K701=""),"",IF(K701="Monthly",EDATE(C701,I701),WORKDAY(C701,I701)))</f>
        <v/>
      </c>
      <c r="AS701" s="28"/>
      <c r="AT701" s="36" t="str">
        <f aca="true">IF(C701="","",IF(AM701="Clawed Back","CLAWED",IF(TODAY()&lt;=C701+SETTINGS!$I$2,"⚠ AT RISK","SAFE")))</f>
        <v/>
      </c>
      <c r="AU701" s="28"/>
      <c r="AW701" s="24" t="n">
        <f aca="false">AW700+IF(AND(C701&lt;&gt;"",AO701&lt;&gt;"",OR('REP COMMISSION'!$B$3="",T701='REP COMMISSION'!$B$3,W701='REP COMMISSION'!$B$3,Z701='REP COMMISSION'!$B$3)),1,0)</f>
        <v>0</v>
      </c>
      <c r="AX701" s="24" t="n">
        <f aca="false">AX700+IF(AND(C701&lt;&gt;"",OR(F701="LOC - INITIAL",F701="CONSOLIDATION - UPFRONT COMM",F701="REVERSE - TOTAL FUNDING")),1,0)</f>
        <v>0</v>
      </c>
    </row>
    <row r="702" customFormat="false" ht="15" hidden="false" customHeight="false" outlineLevel="0" collapsed="false">
      <c r="A702" s="8" t="str">
        <f aca="false">IF(C702&lt;&gt;"","F27-"&amp;COUNT($C$4:C702),"")</f>
        <v/>
      </c>
      <c r="B702" s="9" t="str">
        <f aca="false">IF(OR(F702="LOC - INITIAL",F702="CONSOLIDATION - UPFRONT COMM",F702="REVERSE - TOTAL FUNDING"),A702,"")</f>
        <v/>
      </c>
      <c r="C702" s="10"/>
      <c r="D702" s="11"/>
      <c r="E702" s="11"/>
      <c r="F702" s="11"/>
      <c r="G702" s="12"/>
      <c r="H702" s="13"/>
      <c r="I702" s="11"/>
      <c r="J702" s="14" t="str">
        <f aca="false">IF(AND(G702&lt;&gt;"",H702&lt;&gt;""),G702*H702,"")</f>
        <v/>
      </c>
      <c r="K702" s="11"/>
      <c r="L702" s="15"/>
      <c r="M702" s="15"/>
      <c r="N702" s="14" t="n">
        <f aca="false">IF(OR(G702="",M702=""),0,IF(M702&gt;100,M702,G702*IF(M702&gt;1,M702/100,M702)))</f>
        <v>0</v>
      </c>
      <c r="O702" s="14" t="str">
        <f aca="false">IF(G702="","",G702*IF(L702="",0,IF(L702&gt;1,L702/100,L702))+N702)</f>
        <v/>
      </c>
      <c r="P702" s="11"/>
      <c r="Q702" s="16" t="str">
        <f aca="false">IF(P702="","",IFERROR(VLOOKUP(P702,PARTNERS!$A$2:$B$30,2,0),""))</f>
        <v/>
      </c>
      <c r="R702" s="17" t="str">
        <f aca="false">IF(O702="","",IF(OR(P702="",Q702=""),0,(O702-N702)*IF(Q702&gt;1,Q702/100,Q702)))</f>
        <v/>
      </c>
      <c r="S702" s="14" t="str">
        <f aca="false">IF(O702="","",O702-R702)</f>
        <v/>
      </c>
      <c r="T702" s="11"/>
      <c r="U702" s="18" t="str">
        <f aca="false">IF(T702="","",IFERROR(VLOOKUP(T702,REPS!$A$2:$D$40,2,0),""))</f>
        <v/>
      </c>
      <c r="V702" s="14" t="str">
        <f aca="false">IF(O702="","",IF(U702="",0,O702*IF(U702&gt;1,U702/100,U702)))</f>
        <v/>
      </c>
      <c r="W702" s="11"/>
      <c r="X702" s="18" t="str">
        <f aca="false">IF(W702="","",IFERROR(VLOOKUP(W702,REPS!$A$2:$D$40,3,0),""))</f>
        <v/>
      </c>
      <c r="Y702" s="14" t="str">
        <f aca="false">IF(O702="","",IF(X702="",0,O702*IF(X702&gt;1,X702/100,X702)))</f>
        <v/>
      </c>
      <c r="Z702" s="11"/>
      <c r="AA702" s="18" t="str">
        <f aca="false">IF(Z702="","",IFERROR(VLOOKUP(Z702,REPS!$A$2:$D$40,4,0),""))</f>
        <v/>
      </c>
      <c r="AB702" s="14" t="str">
        <f aca="false">IF(O702="","",IF(AA702="",0,O702*IF(AA702&gt;1,AA702/100,AA702)))</f>
        <v/>
      </c>
      <c r="AC702" s="14" t="str">
        <f aca="false">IF(O702="","",V702+Y702+AB702)</f>
        <v/>
      </c>
      <c r="AD702" s="19" t="str">
        <f aca="false">IF(O702="","",O702-R702-AC702)</f>
        <v/>
      </c>
      <c r="AE702" s="20"/>
      <c r="AF702" s="10"/>
      <c r="AG702" s="21" t="n">
        <f aca="false">IF(OR(AE702="",AE702=0),0,AE702*IF(U702="",0,IF(U702&gt;1,U702/100,U702)))</f>
        <v>0</v>
      </c>
      <c r="AH702" s="21" t="n">
        <f aca="false">IF(OR(AE702="",AE702=0),0,AE702*IF(X702="",0,IF(X702&gt;1,X702/100,X702)))</f>
        <v>0</v>
      </c>
      <c r="AI702" s="21" t="n">
        <f aca="false">IF(OR(AE702="",AE702=0),0,AE702*IF(AA702="",0,IF(AA702&gt;1,AA702/100,AA702)))</f>
        <v>0</v>
      </c>
      <c r="AJ702" s="21" t="n">
        <f aca="false">AG702+AH702+AI702</f>
        <v>0</v>
      </c>
      <c r="AK702" s="21" t="n">
        <f aca="false">IF(OR(AE702="",AE702=0),0,AE702-AJ702)</f>
        <v>0</v>
      </c>
      <c r="AL702" s="19" t="str">
        <f aca="false">IF(AD702="","",AD702-AK702)</f>
        <v/>
      </c>
      <c r="AM702" s="9" t="str">
        <f aca="false">IF(C702="","","Waiting for payment")</f>
        <v/>
      </c>
      <c r="AN702" s="10"/>
      <c r="AO702" s="10"/>
      <c r="AP702" s="22" t="str">
        <f aca="false">IF(OR(C702="",I702="",K702=""),"",IF(K702="Monthly",EDATE(C702,ROUND(I702*SETTINGS!$I$8,0)),WORKDAY(C702,ROUND(I702*SETTINGS!$I$8,0))))</f>
        <v/>
      </c>
      <c r="AQ702" s="9" t="str">
        <f aca="true">IF(C702="","",IF(AND(AP702&lt;&gt;"",TODAY()&gt;=AP702),"Refi Ready",IF(TODAY()-C702&gt;=SETTINGS!$I$11,"Prospecting","Performing")))</f>
        <v/>
      </c>
      <c r="AR702" s="22" t="str">
        <f aca="false">IF(OR(C702="",I702="",K702=""),"",IF(K702="Monthly",EDATE(C702,I702),WORKDAY(C702,I702)))</f>
        <v/>
      </c>
      <c r="AS702" s="11"/>
      <c r="AT702" s="23" t="str">
        <f aca="true">IF(C702="","",IF(AM702="Clawed Back","CLAWED",IF(TODAY()&lt;=C702+SETTINGS!$I$2,"⚠ AT RISK","SAFE")))</f>
        <v/>
      </c>
      <c r="AU702" s="11"/>
      <c r="AW702" s="24" t="n">
        <f aca="false">AW701+IF(AND(C702&lt;&gt;"",AO702&lt;&gt;"",OR('REP COMMISSION'!$B$3="",T702='REP COMMISSION'!$B$3,W702='REP COMMISSION'!$B$3,Z702='REP COMMISSION'!$B$3)),1,0)</f>
        <v>0</v>
      </c>
      <c r="AX702" s="24" t="n">
        <f aca="false">AX701+IF(AND(C702&lt;&gt;"",OR(F702="LOC - INITIAL",F702="CONSOLIDATION - UPFRONT COMM",F702="REVERSE - TOTAL FUNDING")),1,0)</f>
        <v>0</v>
      </c>
    </row>
    <row r="703" customFormat="false" ht="15" hidden="false" customHeight="false" outlineLevel="0" collapsed="false">
      <c r="A703" s="25" t="str">
        <f aca="false">IF(C703&lt;&gt;"","F27-"&amp;COUNT($C$4:C703),"")</f>
        <v/>
      </c>
      <c r="B703" s="26" t="str">
        <f aca="false">IF(OR(F703="LOC - INITIAL",F703="CONSOLIDATION - UPFRONT COMM",F703="REVERSE - TOTAL FUNDING"),A703,"")</f>
        <v/>
      </c>
      <c r="C703" s="27"/>
      <c r="D703" s="28"/>
      <c r="E703" s="28"/>
      <c r="F703" s="28"/>
      <c r="G703" s="29"/>
      <c r="H703" s="30"/>
      <c r="I703" s="28"/>
      <c r="J703" s="31" t="str">
        <f aca="false">IF(AND(G703&lt;&gt;"",H703&lt;&gt;""),G703*H703,"")</f>
        <v/>
      </c>
      <c r="K703" s="28"/>
      <c r="L703" s="32"/>
      <c r="M703" s="32"/>
      <c r="N703" s="31" t="n">
        <f aca="false">IF(OR(G703="",M703=""),0,IF(M703&gt;100,M703,G703*IF(M703&gt;1,M703/100,M703)))</f>
        <v>0</v>
      </c>
      <c r="O703" s="31" t="str">
        <f aca="false">IF(G703="","",G703*IF(L703="",0,IF(L703&gt;1,L703/100,L703))+N703)</f>
        <v/>
      </c>
      <c r="P703" s="28"/>
      <c r="Q703" s="33" t="str">
        <f aca="false">IF(P703="","",IFERROR(VLOOKUP(P703,PARTNERS!$A$2:$B$30,2,0),""))</f>
        <v/>
      </c>
      <c r="R703" s="17" t="str">
        <f aca="false">IF(O703="","",IF(OR(P703="",Q703=""),0,(O703-N703)*IF(Q703&gt;1,Q703/100,Q703)))</f>
        <v/>
      </c>
      <c r="S703" s="31" t="str">
        <f aca="false">IF(O703="","",O703-R703)</f>
        <v/>
      </c>
      <c r="T703" s="28"/>
      <c r="U703" s="34" t="str">
        <f aca="false">IF(T703="","",IFERROR(VLOOKUP(T703,REPS!$A$2:$D$40,2,0),""))</f>
        <v/>
      </c>
      <c r="V703" s="31" t="str">
        <f aca="false">IF(O703="","",IF(U703="",0,O703*IF(U703&gt;1,U703/100,U703)))</f>
        <v/>
      </c>
      <c r="W703" s="28"/>
      <c r="X703" s="34" t="str">
        <f aca="false">IF(W703="","",IFERROR(VLOOKUP(W703,REPS!$A$2:$D$40,3,0),""))</f>
        <v/>
      </c>
      <c r="Y703" s="31" t="str">
        <f aca="false">IF(O703="","",IF(X703="",0,O703*IF(X703&gt;1,X703/100,X703)))</f>
        <v/>
      </c>
      <c r="Z703" s="28"/>
      <c r="AA703" s="34" t="str">
        <f aca="false">IF(Z703="","",IFERROR(VLOOKUP(Z703,REPS!$A$2:$D$40,4,0),""))</f>
        <v/>
      </c>
      <c r="AB703" s="31" t="str">
        <f aca="false">IF(O703="","",IF(AA703="",0,O703*IF(AA703&gt;1,AA703/100,AA703)))</f>
        <v/>
      </c>
      <c r="AC703" s="31" t="str">
        <f aca="false">IF(O703="","",V703+Y703+AB703)</f>
        <v/>
      </c>
      <c r="AD703" s="19" t="str">
        <f aca="false">IF(O703="","",O703-R703-AC703)</f>
        <v/>
      </c>
      <c r="AE703" s="20"/>
      <c r="AF703" s="27"/>
      <c r="AG703" s="21" t="n">
        <f aca="false">IF(OR(AE703="",AE703=0),0,AE703*IF(U703="",0,IF(U703&gt;1,U703/100,U703)))</f>
        <v>0</v>
      </c>
      <c r="AH703" s="21" t="n">
        <f aca="false">IF(OR(AE703="",AE703=0),0,AE703*IF(X703="",0,IF(X703&gt;1,X703/100,X703)))</f>
        <v>0</v>
      </c>
      <c r="AI703" s="21" t="n">
        <f aca="false">IF(OR(AE703="",AE703=0),0,AE703*IF(AA703="",0,IF(AA703&gt;1,AA703/100,AA703)))</f>
        <v>0</v>
      </c>
      <c r="AJ703" s="21" t="n">
        <f aca="false">AG703+AH703+AI703</f>
        <v>0</v>
      </c>
      <c r="AK703" s="21" t="n">
        <f aca="false">IF(OR(AE703="",AE703=0),0,AE703-AJ703)</f>
        <v>0</v>
      </c>
      <c r="AL703" s="19" t="str">
        <f aca="false">IF(AD703="","",AD703-AK703)</f>
        <v/>
      </c>
      <c r="AM703" s="26" t="str">
        <f aca="false">IF(C703="","","Waiting for payment")</f>
        <v/>
      </c>
      <c r="AN703" s="27"/>
      <c r="AO703" s="27"/>
      <c r="AP703" s="35" t="str">
        <f aca="false">IF(OR(C703="",I703="",K703=""),"",IF(K703="Monthly",EDATE(C703,ROUND(I703*SETTINGS!$I$8,0)),WORKDAY(C703,ROUND(I703*SETTINGS!$I$8,0))))</f>
        <v/>
      </c>
      <c r="AQ703" s="26" t="str">
        <f aca="true">IF(C703="","",IF(AND(AP703&lt;&gt;"",TODAY()&gt;=AP703),"Refi Ready",IF(TODAY()-C703&gt;=SETTINGS!$I$11,"Prospecting","Performing")))</f>
        <v/>
      </c>
      <c r="AR703" s="35" t="str">
        <f aca="false">IF(OR(C703="",I703="",K703=""),"",IF(K703="Monthly",EDATE(C703,I703),WORKDAY(C703,I703)))</f>
        <v/>
      </c>
      <c r="AS703" s="28"/>
      <c r="AT703" s="36" t="str">
        <f aca="true">IF(C703="","",IF(AM703="Clawed Back","CLAWED",IF(TODAY()&lt;=C703+SETTINGS!$I$2,"⚠ AT RISK","SAFE")))</f>
        <v/>
      </c>
      <c r="AU703" s="28"/>
      <c r="AW703" s="24" t="n">
        <f aca="false">AW702+IF(AND(C703&lt;&gt;"",AO703&lt;&gt;"",OR('REP COMMISSION'!$B$3="",T703='REP COMMISSION'!$B$3,W703='REP COMMISSION'!$B$3,Z703='REP COMMISSION'!$B$3)),1,0)</f>
        <v>0</v>
      </c>
      <c r="AX703" s="24" t="n">
        <f aca="false">AX702+IF(AND(C703&lt;&gt;"",OR(F703="LOC - INITIAL",F703="CONSOLIDATION - UPFRONT COMM",F703="REVERSE - TOTAL FUNDING")),1,0)</f>
        <v>0</v>
      </c>
    </row>
    <row r="704" customFormat="false" ht="15" hidden="false" customHeight="false" outlineLevel="0" collapsed="false">
      <c r="A704" s="8" t="str">
        <f aca="false">IF(C704&lt;&gt;"","F27-"&amp;COUNT($C$4:C704),"")</f>
        <v/>
      </c>
      <c r="B704" s="9" t="str">
        <f aca="false">IF(OR(F704="LOC - INITIAL",F704="CONSOLIDATION - UPFRONT COMM",F704="REVERSE - TOTAL FUNDING"),A704,"")</f>
        <v/>
      </c>
      <c r="C704" s="10"/>
      <c r="D704" s="11"/>
      <c r="E704" s="11"/>
      <c r="F704" s="11"/>
      <c r="G704" s="12"/>
      <c r="H704" s="13"/>
      <c r="I704" s="11"/>
      <c r="J704" s="14" t="str">
        <f aca="false">IF(AND(G704&lt;&gt;"",H704&lt;&gt;""),G704*H704,"")</f>
        <v/>
      </c>
      <c r="K704" s="11"/>
      <c r="L704" s="15"/>
      <c r="M704" s="15"/>
      <c r="N704" s="14" t="n">
        <f aca="false">IF(OR(G704="",M704=""),0,IF(M704&gt;100,M704,G704*IF(M704&gt;1,M704/100,M704)))</f>
        <v>0</v>
      </c>
      <c r="O704" s="14" t="str">
        <f aca="false">IF(G704="","",G704*IF(L704="",0,IF(L704&gt;1,L704/100,L704))+N704)</f>
        <v/>
      </c>
      <c r="P704" s="11"/>
      <c r="Q704" s="16" t="str">
        <f aca="false">IF(P704="","",IFERROR(VLOOKUP(P704,PARTNERS!$A$2:$B$30,2,0),""))</f>
        <v/>
      </c>
      <c r="R704" s="17" t="str">
        <f aca="false">IF(O704="","",IF(OR(P704="",Q704=""),0,(O704-N704)*IF(Q704&gt;1,Q704/100,Q704)))</f>
        <v/>
      </c>
      <c r="S704" s="14" t="str">
        <f aca="false">IF(O704="","",O704-R704)</f>
        <v/>
      </c>
      <c r="T704" s="11"/>
      <c r="U704" s="18" t="str">
        <f aca="false">IF(T704="","",IFERROR(VLOOKUP(T704,REPS!$A$2:$D$40,2,0),""))</f>
        <v/>
      </c>
      <c r="V704" s="14" t="str">
        <f aca="false">IF(O704="","",IF(U704="",0,O704*IF(U704&gt;1,U704/100,U704)))</f>
        <v/>
      </c>
      <c r="W704" s="11"/>
      <c r="X704" s="18" t="str">
        <f aca="false">IF(W704="","",IFERROR(VLOOKUP(W704,REPS!$A$2:$D$40,3,0),""))</f>
        <v/>
      </c>
      <c r="Y704" s="14" t="str">
        <f aca="false">IF(O704="","",IF(X704="",0,O704*IF(X704&gt;1,X704/100,X704)))</f>
        <v/>
      </c>
      <c r="Z704" s="11"/>
      <c r="AA704" s="18" t="str">
        <f aca="false">IF(Z704="","",IFERROR(VLOOKUP(Z704,REPS!$A$2:$D$40,4,0),""))</f>
        <v/>
      </c>
      <c r="AB704" s="14" t="str">
        <f aca="false">IF(O704="","",IF(AA704="",0,O704*IF(AA704&gt;1,AA704/100,AA704)))</f>
        <v/>
      </c>
      <c r="AC704" s="14" t="str">
        <f aca="false">IF(O704="","",V704+Y704+AB704)</f>
        <v/>
      </c>
      <c r="AD704" s="19" t="str">
        <f aca="false">IF(O704="","",O704-R704-AC704)</f>
        <v/>
      </c>
      <c r="AE704" s="20"/>
      <c r="AF704" s="10"/>
      <c r="AG704" s="21" t="n">
        <f aca="false">IF(OR(AE704="",AE704=0),0,AE704*IF(U704="",0,IF(U704&gt;1,U704/100,U704)))</f>
        <v>0</v>
      </c>
      <c r="AH704" s="21" t="n">
        <f aca="false">IF(OR(AE704="",AE704=0),0,AE704*IF(X704="",0,IF(X704&gt;1,X704/100,X704)))</f>
        <v>0</v>
      </c>
      <c r="AI704" s="21" t="n">
        <f aca="false">IF(OR(AE704="",AE704=0),0,AE704*IF(AA704="",0,IF(AA704&gt;1,AA704/100,AA704)))</f>
        <v>0</v>
      </c>
      <c r="AJ704" s="21" t="n">
        <f aca="false">AG704+AH704+AI704</f>
        <v>0</v>
      </c>
      <c r="AK704" s="21" t="n">
        <f aca="false">IF(OR(AE704="",AE704=0),0,AE704-AJ704)</f>
        <v>0</v>
      </c>
      <c r="AL704" s="19" t="str">
        <f aca="false">IF(AD704="","",AD704-AK704)</f>
        <v/>
      </c>
      <c r="AM704" s="9" t="str">
        <f aca="false">IF(C704="","","Waiting for payment")</f>
        <v/>
      </c>
      <c r="AN704" s="10"/>
      <c r="AO704" s="10"/>
      <c r="AP704" s="22" t="str">
        <f aca="false">IF(OR(C704="",I704="",K704=""),"",IF(K704="Monthly",EDATE(C704,ROUND(I704*SETTINGS!$I$8,0)),WORKDAY(C704,ROUND(I704*SETTINGS!$I$8,0))))</f>
        <v/>
      </c>
      <c r="AQ704" s="9" t="str">
        <f aca="true">IF(C704="","",IF(AND(AP704&lt;&gt;"",TODAY()&gt;=AP704),"Refi Ready",IF(TODAY()-C704&gt;=SETTINGS!$I$11,"Prospecting","Performing")))</f>
        <v/>
      </c>
      <c r="AR704" s="22" t="str">
        <f aca="false">IF(OR(C704="",I704="",K704=""),"",IF(K704="Monthly",EDATE(C704,I704),WORKDAY(C704,I704)))</f>
        <v/>
      </c>
      <c r="AS704" s="11"/>
      <c r="AT704" s="23" t="str">
        <f aca="true">IF(C704="","",IF(AM704="Clawed Back","CLAWED",IF(TODAY()&lt;=C704+SETTINGS!$I$2,"⚠ AT RISK","SAFE")))</f>
        <v/>
      </c>
      <c r="AU704" s="11"/>
      <c r="AW704" s="24" t="n">
        <f aca="false">AW703+IF(AND(C704&lt;&gt;"",AO704&lt;&gt;"",OR('REP COMMISSION'!$B$3="",T704='REP COMMISSION'!$B$3,W704='REP COMMISSION'!$B$3,Z704='REP COMMISSION'!$B$3)),1,0)</f>
        <v>0</v>
      </c>
      <c r="AX704" s="24" t="n">
        <f aca="false">AX703+IF(AND(C704&lt;&gt;"",OR(F704="LOC - INITIAL",F704="CONSOLIDATION - UPFRONT COMM",F704="REVERSE - TOTAL FUNDING")),1,0)</f>
        <v>0</v>
      </c>
    </row>
    <row r="705" customFormat="false" ht="15" hidden="false" customHeight="false" outlineLevel="0" collapsed="false">
      <c r="A705" s="25" t="str">
        <f aca="false">IF(C705&lt;&gt;"","F27-"&amp;COUNT($C$4:C705),"")</f>
        <v/>
      </c>
      <c r="B705" s="26" t="str">
        <f aca="false">IF(OR(F705="LOC - INITIAL",F705="CONSOLIDATION - UPFRONT COMM",F705="REVERSE - TOTAL FUNDING"),A705,"")</f>
        <v/>
      </c>
      <c r="C705" s="27"/>
      <c r="D705" s="28"/>
      <c r="E705" s="28"/>
      <c r="F705" s="28"/>
      <c r="G705" s="29"/>
      <c r="H705" s="30"/>
      <c r="I705" s="28"/>
      <c r="J705" s="31" t="str">
        <f aca="false">IF(AND(G705&lt;&gt;"",H705&lt;&gt;""),G705*H705,"")</f>
        <v/>
      </c>
      <c r="K705" s="28"/>
      <c r="L705" s="32"/>
      <c r="M705" s="32"/>
      <c r="N705" s="31" t="n">
        <f aca="false">IF(OR(G705="",M705=""),0,IF(M705&gt;100,M705,G705*IF(M705&gt;1,M705/100,M705)))</f>
        <v>0</v>
      </c>
      <c r="O705" s="31" t="str">
        <f aca="false">IF(G705="","",G705*IF(L705="",0,IF(L705&gt;1,L705/100,L705))+N705)</f>
        <v/>
      </c>
      <c r="P705" s="28"/>
      <c r="Q705" s="33" t="str">
        <f aca="false">IF(P705="","",IFERROR(VLOOKUP(P705,PARTNERS!$A$2:$B$30,2,0),""))</f>
        <v/>
      </c>
      <c r="R705" s="17" t="str">
        <f aca="false">IF(O705="","",IF(OR(P705="",Q705=""),0,(O705-N705)*IF(Q705&gt;1,Q705/100,Q705)))</f>
        <v/>
      </c>
      <c r="S705" s="31" t="str">
        <f aca="false">IF(O705="","",O705-R705)</f>
        <v/>
      </c>
      <c r="T705" s="28"/>
      <c r="U705" s="34" t="str">
        <f aca="false">IF(T705="","",IFERROR(VLOOKUP(T705,REPS!$A$2:$D$40,2,0),""))</f>
        <v/>
      </c>
      <c r="V705" s="31" t="str">
        <f aca="false">IF(O705="","",IF(U705="",0,O705*IF(U705&gt;1,U705/100,U705)))</f>
        <v/>
      </c>
      <c r="W705" s="28"/>
      <c r="X705" s="34" t="str">
        <f aca="false">IF(W705="","",IFERROR(VLOOKUP(W705,REPS!$A$2:$D$40,3,0),""))</f>
        <v/>
      </c>
      <c r="Y705" s="31" t="str">
        <f aca="false">IF(O705="","",IF(X705="",0,O705*IF(X705&gt;1,X705/100,X705)))</f>
        <v/>
      </c>
      <c r="Z705" s="28"/>
      <c r="AA705" s="34" t="str">
        <f aca="false">IF(Z705="","",IFERROR(VLOOKUP(Z705,REPS!$A$2:$D$40,4,0),""))</f>
        <v/>
      </c>
      <c r="AB705" s="31" t="str">
        <f aca="false">IF(O705="","",IF(AA705="",0,O705*IF(AA705&gt;1,AA705/100,AA705)))</f>
        <v/>
      </c>
      <c r="AC705" s="31" t="str">
        <f aca="false">IF(O705="","",V705+Y705+AB705)</f>
        <v/>
      </c>
      <c r="AD705" s="19" t="str">
        <f aca="false">IF(O705="","",O705-R705-AC705)</f>
        <v/>
      </c>
      <c r="AE705" s="20"/>
      <c r="AF705" s="27"/>
      <c r="AG705" s="21" t="n">
        <f aca="false">IF(OR(AE705="",AE705=0),0,AE705*IF(U705="",0,IF(U705&gt;1,U705/100,U705)))</f>
        <v>0</v>
      </c>
      <c r="AH705" s="21" t="n">
        <f aca="false">IF(OR(AE705="",AE705=0),0,AE705*IF(X705="",0,IF(X705&gt;1,X705/100,X705)))</f>
        <v>0</v>
      </c>
      <c r="AI705" s="21" t="n">
        <f aca="false">IF(OR(AE705="",AE705=0),0,AE705*IF(AA705="",0,IF(AA705&gt;1,AA705/100,AA705)))</f>
        <v>0</v>
      </c>
      <c r="AJ705" s="21" t="n">
        <f aca="false">AG705+AH705+AI705</f>
        <v>0</v>
      </c>
      <c r="AK705" s="21" t="n">
        <f aca="false">IF(OR(AE705="",AE705=0),0,AE705-AJ705)</f>
        <v>0</v>
      </c>
      <c r="AL705" s="19" t="str">
        <f aca="false">IF(AD705="","",AD705-AK705)</f>
        <v/>
      </c>
      <c r="AM705" s="26" t="str">
        <f aca="false">IF(C705="","","Waiting for payment")</f>
        <v/>
      </c>
      <c r="AN705" s="27"/>
      <c r="AO705" s="27"/>
      <c r="AP705" s="35" t="str">
        <f aca="false">IF(OR(C705="",I705="",K705=""),"",IF(K705="Monthly",EDATE(C705,ROUND(I705*SETTINGS!$I$8,0)),WORKDAY(C705,ROUND(I705*SETTINGS!$I$8,0))))</f>
        <v/>
      </c>
      <c r="AQ705" s="26" t="str">
        <f aca="true">IF(C705="","",IF(AND(AP705&lt;&gt;"",TODAY()&gt;=AP705),"Refi Ready",IF(TODAY()-C705&gt;=SETTINGS!$I$11,"Prospecting","Performing")))</f>
        <v/>
      </c>
      <c r="AR705" s="35" t="str">
        <f aca="false">IF(OR(C705="",I705="",K705=""),"",IF(K705="Monthly",EDATE(C705,I705),WORKDAY(C705,I705)))</f>
        <v/>
      </c>
      <c r="AS705" s="28"/>
      <c r="AT705" s="36" t="str">
        <f aca="true">IF(C705="","",IF(AM705="Clawed Back","CLAWED",IF(TODAY()&lt;=C705+SETTINGS!$I$2,"⚠ AT RISK","SAFE")))</f>
        <v/>
      </c>
      <c r="AU705" s="28"/>
      <c r="AW705" s="24" t="n">
        <f aca="false">AW704+IF(AND(C705&lt;&gt;"",AO705&lt;&gt;"",OR('REP COMMISSION'!$B$3="",T705='REP COMMISSION'!$B$3,W705='REP COMMISSION'!$B$3,Z705='REP COMMISSION'!$B$3)),1,0)</f>
        <v>0</v>
      </c>
      <c r="AX705" s="24" t="n">
        <f aca="false">AX704+IF(AND(C705&lt;&gt;"",OR(F705="LOC - INITIAL",F705="CONSOLIDATION - UPFRONT COMM",F705="REVERSE - TOTAL FUNDING")),1,0)</f>
        <v>0</v>
      </c>
    </row>
    <row r="706" customFormat="false" ht="15" hidden="false" customHeight="false" outlineLevel="0" collapsed="false">
      <c r="A706" s="8" t="str">
        <f aca="false">IF(C706&lt;&gt;"","F27-"&amp;COUNT($C$4:C706),"")</f>
        <v/>
      </c>
      <c r="B706" s="9" t="str">
        <f aca="false">IF(OR(F706="LOC - INITIAL",F706="CONSOLIDATION - UPFRONT COMM",F706="REVERSE - TOTAL FUNDING"),A706,"")</f>
        <v/>
      </c>
      <c r="C706" s="10"/>
      <c r="D706" s="11"/>
      <c r="E706" s="11"/>
      <c r="F706" s="11"/>
      <c r="G706" s="12"/>
      <c r="H706" s="13"/>
      <c r="I706" s="11"/>
      <c r="J706" s="14" t="str">
        <f aca="false">IF(AND(G706&lt;&gt;"",H706&lt;&gt;""),G706*H706,"")</f>
        <v/>
      </c>
      <c r="K706" s="11"/>
      <c r="L706" s="15"/>
      <c r="M706" s="15"/>
      <c r="N706" s="14" t="n">
        <f aca="false">IF(OR(G706="",M706=""),0,IF(M706&gt;100,M706,G706*IF(M706&gt;1,M706/100,M706)))</f>
        <v>0</v>
      </c>
      <c r="O706" s="14" t="str">
        <f aca="false">IF(G706="","",G706*IF(L706="",0,IF(L706&gt;1,L706/100,L706))+N706)</f>
        <v/>
      </c>
      <c r="P706" s="11"/>
      <c r="Q706" s="16" t="str">
        <f aca="false">IF(P706="","",IFERROR(VLOOKUP(P706,PARTNERS!$A$2:$B$30,2,0),""))</f>
        <v/>
      </c>
      <c r="R706" s="17" t="str">
        <f aca="false">IF(O706="","",IF(OR(P706="",Q706=""),0,(O706-N706)*IF(Q706&gt;1,Q706/100,Q706)))</f>
        <v/>
      </c>
      <c r="S706" s="14" t="str">
        <f aca="false">IF(O706="","",O706-R706)</f>
        <v/>
      </c>
      <c r="T706" s="11"/>
      <c r="U706" s="18" t="str">
        <f aca="false">IF(T706="","",IFERROR(VLOOKUP(T706,REPS!$A$2:$D$40,2,0),""))</f>
        <v/>
      </c>
      <c r="V706" s="14" t="str">
        <f aca="false">IF(O706="","",IF(U706="",0,O706*IF(U706&gt;1,U706/100,U706)))</f>
        <v/>
      </c>
      <c r="W706" s="11"/>
      <c r="X706" s="18" t="str">
        <f aca="false">IF(W706="","",IFERROR(VLOOKUP(W706,REPS!$A$2:$D$40,3,0),""))</f>
        <v/>
      </c>
      <c r="Y706" s="14" t="str">
        <f aca="false">IF(O706="","",IF(X706="",0,O706*IF(X706&gt;1,X706/100,X706)))</f>
        <v/>
      </c>
      <c r="Z706" s="11"/>
      <c r="AA706" s="18" t="str">
        <f aca="false">IF(Z706="","",IFERROR(VLOOKUP(Z706,REPS!$A$2:$D$40,4,0),""))</f>
        <v/>
      </c>
      <c r="AB706" s="14" t="str">
        <f aca="false">IF(O706="","",IF(AA706="",0,O706*IF(AA706&gt;1,AA706/100,AA706)))</f>
        <v/>
      </c>
      <c r="AC706" s="14" t="str">
        <f aca="false">IF(O706="","",V706+Y706+AB706)</f>
        <v/>
      </c>
      <c r="AD706" s="19" t="str">
        <f aca="false">IF(O706="","",O706-R706-AC706)</f>
        <v/>
      </c>
      <c r="AE706" s="20"/>
      <c r="AF706" s="10"/>
      <c r="AG706" s="21" t="n">
        <f aca="false">IF(OR(AE706="",AE706=0),0,AE706*IF(U706="",0,IF(U706&gt;1,U706/100,U706)))</f>
        <v>0</v>
      </c>
      <c r="AH706" s="21" t="n">
        <f aca="false">IF(OR(AE706="",AE706=0),0,AE706*IF(X706="",0,IF(X706&gt;1,X706/100,X706)))</f>
        <v>0</v>
      </c>
      <c r="AI706" s="21" t="n">
        <f aca="false">IF(OR(AE706="",AE706=0),0,AE706*IF(AA706="",0,IF(AA706&gt;1,AA706/100,AA706)))</f>
        <v>0</v>
      </c>
      <c r="AJ706" s="21" t="n">
        <f aca="false">AG706+AH706+AI706</f>
        <v>0</v>
      </c>
      <c r="AK706" s="21" t="n">
        <f aca="false">IF(OR(AE706="",AE706=0),0,AE706-AJ706)</f>
        <v>0</v>
      </c>
      <c r="AL706" s="19" t="str">
        <f aca="false">IF(AD706="","",AD706-AK706)</f>
        <v/>
      </c>
      <c r="AM706" s="9" t="str">
        <f aca="false">IF(C706="","","Waiting for payment")</f>
        <v/>
      </c>
      <c r="AN706" s="10"/>
      <c r="AO706" s="10"/>
      <c r="AP706" s="22" t="str">
        <f aca="false">IF(OR(C706="",I706="",K706=""),"",IF(K706="Monthly",EDATE(C706,ROUND(I706*SETTINGS!$I$8,0)),WORKDAY(C706,ROUND(I706*SETTINGS!$I$8,0))))</f>
        <v/>
      </c>
      <c r="AQ706" s="9" t="str">
        <f aca="true">IF(C706="","",IF(AND(AP706&lt;&gt;"",TODAY()&gt;=AP706),"Refi Ready",IF(TODAY()-C706&gt;=SETTINGS!$I$11,"Prospecting","Performing")))</f>
        <v/>
      </c>
      <c r="AR706" s="22" t="str">
        <f aca="false">IF(OR(C706="",I706="",K706=""),"",IF(K706="Monthly",EDATE(C706,I706),WORKDAY(C706,I706)))</f>
        <v/>
      </c>
      <c r="AS706" s="11"/>
      <c r="AT706" s="23" t="str">
        <f aca="true">IF(C706="","",IF(AM706="Clawed Back","CLAWED",IF(TODAY()&lt;=C706+SETTINGS!$I$2,"⚠ AT RISK","SAFE")))</f>
        <v/>
      </c>
      <c r="AU706" s="11"/>
      <c r="AW706" s="24" t="n">
        <f aca="false">AW705+IF(AND(C706&lt;&gt;"",AO706&lt;&gt;"",OR('REP COMMISSION'!$B$3="",T706='REP COMMISSION'!$B$3,W706='REP COMMISSION'!$B$3,Z706='REP COMMISSION'!$B$3)),1,0)</f>
        <v>0</v>
      </c>
      <c r="AX706" s="24" t="n">
        <f aca="false">AX705+IF(AND(C706&lt;&gt;"",OR(F706="LOC - INITIAL",F706="CONSOLIDATION - UPFRONT COMM",F706="REVERSE - TOTAL FUNDING")),1,0)</f>
        <v>0</v>
      </c>
    </row>
    <row r="707" customFormat="false" ht="15" hidden="false" customHeight="false" outlineLevel="0" collapsed="false">
      <c r="A707" s="25" t="str">
        <f aca="false">IF(C707&lt;&gt;"","F27-"&amp;COUNT($C$4:C707),"")</f>
        <v/>
      </c>
      <c r="B707" s="26" t="str">
        <f aca="false">IF(OR(F707="LOC - INITIAL",F707="CONSOLIDATION - UPFRONT COMM",F707="REVERSE - TOTAL FUNDING"),A707,"")</f>
        <v/>
      </c>
      <c r="C707" s="27"/>
      <c r="D707" s="28"/>
      <c r="E707" s="28"/>
      <c r="F707" s="28"/>
      <c r="G707" s="29"/>
      <c r="H707" s="30"/>
      <c r="I707" s="28"/>
      <c r="J707" s="31" t="str">
        <f aca="false">IF(AND(G707&lt;&gt;"",H707&lt;&gt;""),G707*H707,"")</f>
        <v/>
      </c>
      <c r="K707" s="28"/>
      <c r="L707" s="32"/>
      <c r="M707" s="32"/>
      <c r="N707" s="31" t="n">
        <f aca="false">IF(OR(G707="",M707=""),0,IF(M707&gt;100,M707,G707*IF(M707&gt;1,M707/100,M707)))</f>
        <v>0</v>
      </c>
      <c r="O707" s="31" t="str">
        <f aca="false">IF(G707="","",G707*IF(L707="",0,IF(L707&gt;1,L707/100,L707))+N707)</f>
        <v/>
      </c>
      <c r="P707" s="28"/>
      <c r="Q707" s="33" t="str">
        <f aca="false">IF(P707="","",IFERROR(VLOOKUP(P707,PARTNERS!$A$2:$B$30,2,0),""))</f>
        <v/>
      </c>
      <c r="R707" s="17" t="str">
        <f aca="false">IF(O707="","",IF(OR(P707="",Q707=""),0,(O707-N707)*IF(Q707&gt;1,Q707/100,Q707)))</f>
        <v/>
      </c>
      <c r="S707" s="31" t="str">
        <f aca="false">IF(O707="","",O707-R707)</f>
        <v/>
      </c>
      <c r="T707" s="28"/>
      <c r="U707" s="34" t="str">
        <f aca="false">IF(T707="","",IFERROR(VLOOKUP(T707,REPS!$A$2:$D$40,2,0),""))</f>
        <v/>
      </c>
      <c r="V707" s="31" t="str">
        <f aca="false">IF(O707="","",IF(U707="",0,O707*IF(U707&gt;1,U707/100,U707)))</f>
        <v/>
      </c>
      <c r="W707" s="28"/>
      <c r="X707" s="34" t="str">
        <f aca="false">IF(W707="","",IFERROR(VLOOKUP(W707,REPS!$A$2:$D$40,3,0),""))</f>
        <v/>
      </c>
      <c r="Y707" s="31" t="str">
        <f aca="false">IF(O707="","",IF(X707="",0,O707*IF(X707&gt;1,X707/100,X707)))</f>
        <v/>
      </c>
      <c r="Z707" s="28"/>
      <c r="AA707" s="34" t="str">
        <f aca="false">IF(Z707="","",IFERROR(VLOOKUP(Z707,REPS!$A$2:$D$40,4,0),""))</f>
        <v/>
      </c>
      <c r="AB707" s="31" t="str">
        <f aca="false">IF(O707="","",IF(AA707="",0,O707*IF(AA707&gt;1,AA707/100,AA707)))</f>
        <v/>
      </c>
      <c r="AC707" s="31" t="str">
        <f aca="false">IF(O707="","",V707+Y707+AB707)</f>
        <v/>
      </c>
      <c r="AD707" s="19" t="str">
        <f aca="false">IF(O707="","",O707-R707-AC707)</f>
        <v/>
      </c>
      <c r="AE707" s="20"/>
      <c r="AF707" s="27"/>
      <c r="AG707" s="21" t="n">
        <f aca="false">IF(OR(AE707="",AE707=0),0,AE707*IF(U707="",0,IF(U707&gt;1,U707/100,U707)))</f>
        <v>0</v>
      </c>
      <c r="AH707" s="21" t="n">
        <f aca="false">IF(OR(AE707="",AE707=0),0,AE707*IF(X707="",0,IF(X707&gt;1,X707/100,X707)))</f>
        <v>0</v>
      </c>
      <c r="AI707" s="21" t="n">
        <f aca="false">IF(OR(AE707="",AE707=0),0,AE707*IF(AA707="",0,IF(AA707&gt;1,AA707/100,AA707)))</f>
        <v>0</v>
      </c>
      <c r="AJ707" s="21" t="n">
        <f aca="false">AG707+AH707+AI707</f>
        <v>0</v>
      </c>
      <c r="AK707" s="21" t="n">
        <f aca="false">IF(OR(AE707="",AE707=0),0,AE707-AJ707)</f>
        <v>0</v>
      </c>
      <c r="AL707" s="19" t="str">
        <f aca="false">IF(AD707="","",AD707-AK707)</f>
        <v/>
      </c>
      <c r="AM707" s="26" t="str">
        <f aca="false">IF(C707="","","Waiting for payment")</f>
        <v/>
      </c>
      <c r="AN707" s="27"/>
      <c r="AO707" s="27"/>
      <c r="AP707" s="35" t="str">
        <f aca="false">IF(OR(C707="",I707="",K707=""),"",IF(K707="Monthly",EDATE(C707,ROUND(I707*SETTINGS!$I$8,0)),WORKDAY(C707,ROUND(I707*SETTINGS!$I$8,0))))</f>
        <v/>
      </c>
      <c r="AQ707" s="26" t="str">
        <f aca="true">IF(C707="","",IF(AND(AP707&lt;&gt;"",TODAY()&gt;=AP707),"Refi Ready",IF(TODAY()-C707&gt;=SETTINGS!$I$11,"Prospecting","Performing")))</f>
        <v/>
      </c>
      <c r="AR707" s="35" t="str">
        <f aca="false">IF(OR(C707="",I707="",K707=""),"",IF(K707="Monthly",EDATE(C707,I707),WORKDAY(C707,I707)))</f>
        <v/>
      </c>
      <c r="AS707" s="28"/>
      <c r="AT707" s="36" t="str">
        <f aca="true">IF(C707="","",IF(AM707="Clawed Back","CLAWED",IF(TODAY()&lt;=C707+SETTINGS!$I$2,"⚠ AT RISK","SAFE")))</f>
        <v/>
      </c>
      <c r="AU707" s="28"/>
      <c r="AW707" s="24" t="n">
        <f aca="false">AW706+IF(AND(C707&lt;&gt;"",AO707&lt;&gt;"",OR('REP COMMISSION'!$B$3="",T707='REP COMMISSION'!$B$3,W707='REP COMMISSION'!$B$3,Z707='REP COMMISSION'!$B$3)),1,0)</f>
        <v>0</v>
      </c>
      <c r="AX707" s="24" t="n">
        <f aca="false">AX706+IF(AND(C707&lt;&gt;"",OR(F707="LOC - INITIAL",F707="CONSOLIDATION - UPFRONT COMM",F707="REVERSE - TOTAL FUNDING")),1,0)</f>
        <v>0</v>
      </c>
    </row>
    <row r="708" customFormat="false" ht="15" hidden="false" customHeight="false" outlineLevel="0" collapsed="false">
      <c r="A708" s="8" t="str">
        <f aca="false">IF(C708&lt;&gt;"","F27-"&amp;COUNT($C$4:C708),"")</f>
        <v/>
      </c>
      <c r="B708" s="9" t="str">
        <f aca="false">IF(OR(F708="LOC - INITIAL",F708="CONSOLIDATION - UPFRONT COMM",F708="REVERSE - TOTAL FUNDING"),A708,"")</f>
        <v/>
      </c>
      <c r="C708" s="10"/>
      <c r="D708" s="11"/>
      <c r="E708" s="11"/>
      <c r="F708" s="11"/>
      <c r="G708" s="12"/>
      <c r="H708" s="13"/>
      <c r="I708" s="11"/>
      <c r="J708" s="14" t="str">
        <f aca="false">IF(AND(G708&lt;&gt;"",H708&lt;&gt;""),G708*H708,"")</f>
        <v/>
      </c>
      <c r="K708" s="11"/>
      <c r="L708" s="15"/>
      <c r="M708" s="15"/>
      <c r="N708" s="14" t="n">
        <f aca="false">IF(OR(G708="",M708=""),0,IF(M708&gt;100,M708,G708*IF(M708&gt;1,M708/100,M708)))</f>
        <v>0</v>
      </c>
      <c r="O708" s="14" t="str">
        <f aca="false">IF(G708="","",G708*IF(L708="",0,IF(L708&gt;1,L708/100,L708))+N708)</f>
        <v/>
      </c>
      <c r="P708" s="11"/>
      <c r="Q708" s="16" t="str">
        <f aca="false">IF(P708="","",IFERROR(VLOOKUP(P708,PARTNERS!$A$2:$B$30,2,0),""))</f>
        <v/>
      </c>
      <c r="R708" s="17" t="str">
        <f aca="false">IF(O708="","",IF(OR(P708="",Q708=""),0,(O708-N708)*IF(Q708&gt;1,Q708/100,Q708)))</f>
        <v/>
      </c>
      <c r="S708" s="14" t="str">
        <f aca="false">IF(O708="","",O708-R708)</f>
        <v/>
      </c>
      <c r="T708" s="11"/>
      <c r="U708" s="18" t="str">
        <f aca="false">IF(T708="","",IFERROR(VLOOKUP(T708,REPS!$A$2:$D$40,2,0),""))</f>
        <v/>
      </c>
      <c r="V708" s="14" t="str">
        <f aca="false">IF(O708="","",IF(U708="",0,O708*IF(U708&gt;1,U708/100,U708)))</f>
        <v/>
      </c>
      <c r="W708" s="11"/>
      <c r="X708" s="18" t="str">
        <f aca="false">IF(W708="","",IFERROR(VLOOKUP(W708,REPS!$A$2:$D$40,3,0),""))</f>
        <v/>
      </c>
      <c r="Y708" s="14" t="str">
        <f aca="false">IF(O708="","",IF(X708="",0,O708*IF(X708&gt;1,X708/100,X708)))</f>
        <v/>
      </c>
      <c r="Z708" s="11"/>
      <c r="AA708" s="18" t="str">
        <f aca="false">IF(Z708="","",IFERROR(VLOOKUP(Z708,REPS!$A$2:$D$40,4,0),""))</f>
        <v/>
      </c>
      <c r="AB708" s="14" t="str">
        <f aca="false">IF(O708="","",IF(AA708="",0,O708*IF(AA708&gt;1,AA708/100,AA708)))</f>
        <v/>
      </c>
      <c r="AC708" s="14" t="str">
        <f aca="false">IF(O708="","",V708+Y708+AB708)</f>
        <v/>
      </c>
      <c r="AD708" s="19" t="str">
        <f aca="false">IF(O708="","",O708-R708-AC708)</f>
        <v/>
      </c>
      <c r="AE708" s="20"/>
      <c r="AF708" s="10"/>
      <c r="AG708" s="21" t="n">
        <f aca="false">IF(OR(AE708="",AE708=0),0,AE708*IF(U708="",0,IF(U708&gt;1,U708/100,U708)))</f>
        <v>0</v>
      </c>
      <c r="AH708" s="21" t="n">
        <f aca="false">IF(OR(AE708="",AE708=0),0,AE708*IF(X708="",0,IF(X708&gt;1,X708/100,X708)))</f>
        <v>0</v>
      </c>
      <c r="AI708" s="21" t="n">
        <f aca="false">IF(OR(AE708="",AE708=0),0,AE708*IF(AA708="",0,IF(AA708&gt;1,AA708/100,AA708)))</f>
        <v>0</v>
      </c>
      <c r="AJ708" s="21" t="n">
        <f aca="false">AG708+AH708+AI708</f>
        <v>0</v>
      </c>
      <c r="AK708" s="21" t="n">
        <f aca="false">IF(OR(AE708="",AE708=0),0,AE708-AJ708)</f>
        <v>0</v>
      </c>
      <c r="AL708" s="19" t="str">
        <f aca="false">IF(AD708="","",AD708-AK708)</f>
        <v/>
      </c>
      <c r="AM708" s="9" t="str">
        <f aca="false">IF(C708="","","Waiting for payment")</f>
        <v/>
      </c>
      <c r="AN708" s="10"/>
      <c r="AO708" s="10"/>
      <c r="AP708" s="22" t="str">
        <f aca="false">IF(OR(C708="",I708="",K708=""),"",IF(K708="Monthly",EDATE(C708,ROUND(I708*SETTINGS!$I$8,0)),WORKDAY(C708,ROUND(I708*SETTINGS!$I$8,0))))</f>
        <v/>
      </c>
      <c r="AQ708" s="9" t="str">
        <f aca="true">IF(C708="","",IF(AND(AP708&lt;&gt;"",TODAY()&gt;=AP708),"Refi Ready",IF(TODAY()-C708&gt;=SETTINGS!$I$11,"Prospecting","Performing")))</f>
        <v/>
      </c>
      <c r="AR708" s="22" t="str">
        <f aca="false">IF(OR(C708="",I708="",K708=""),"",IF(K708="Monthly",EDATE(C708,I708),WORKDAY(C708,I708)))</f>
        <v/>
      </c>
      <c r="AS708" s="11"/>
      <c r="AT708" s="23" t="str">
        <f aca="true">IF(C708="","",IF(AM708="Clawed Back","CLAWED",IF(TODAY()&lt;=C708+SETTINGS!$I$2,"⚠ AT RISK","SAFE")))</f>
        <v/>
      </c>
      <c r="AU708" s="11"/>
      <c r="AW708" s="24" t="n">
        <f aca="false">AW707+IF(AND(C708&lt;&gt;"",AO708&lt;&gt;"",OR('REP COMMISSION'!$B$3="",T708='REP COMMISSION'!$B$3,W708='REP COMMISSION'!$B$3,Z708='REP COMMISSION'!$B$3)),1,0)</f>
        <v>0</v>
      </c>
      <c r="AX708" s="24" t="n">
        <f aca="false">AX707+IF(AND(C708&lt;&gt;"",OR(F708="LOC - INITIAL",F708="CONSOLIDATION - UPFRONT COMM",F708="REVERSE - TOTAL FUNDING")),1,0)</f>
        <v>0</v>
      </c>
    </row>
    <row r="709" customFormat="false" ht="15" hidden="false" customHeight="false" outlineLevel="0" collapsed="false">
      <c r="A709" s="25" t="str">
        <f aca="false">IF(C709&lt;&gt;"","F27-"&amp;COUNT($C$4:C709),"")</f>
        <v/>
      </c>
      <c r="B709" s="26" t="str">
        <f aca="false">IF(OR(F709="LOC - INITIAL",F709="CONSOLIDATION - UPFRONT COMM",F709="REVERSE - TOTAL FUNDING"),A709,"")</f>
        <v/>
      </c>
      <c r="C709" s="27"/>
      <c r="D709" s="28"/>
      <c r="E709" s="28"/>
      <c r="F709" s="28"/>
      <c r="G709" s="29"/>
      <c r="H709" s="30"/>
      <c r="I709" s="28"/>
      <c r="J709" s="31" t="str">
        <f aca="false">IF(AND(G709&lt;&gt;"",H709&lt;&gt;""),G709*H709,"")</f>
        <v/>
      </c>
      <c r="K709" s="28"/>
      <c r="L709" s="32"/>
      <c r="M709" s="32"/>
      <c r="N709" s="31" t="n">
        <f aca="false">IF(OR(G709="",M709=""),0,IF(M709&gt;100,M709,G709*IF(M709&gt;1,M709/100,M709)))</f>
        <v>0</v>
      </c>
      <c r="O709" s="31" t="str">
        <f aca="false">IF(G709="","",G709*IF(L709="",0,IF(L709&gt;1,L709/100,L709))+N709)</f>
        <v/>
      </c>
      <c r="P709" s="28"/>
      <c r="Q709" s="33" t="str">
        <f aca="false">IF(P709="","",IFERROR(VLOOKUP(P709,PARTNERS!$A$2:$B$30,2,0),""))</f>
        <v/>
      </c>
      <c r="R709" s="17" t="str">
        <f aca="false">IF(O709="","",IF(OR(P709="",Q709=""),0,(O709-N709)*IF(Q709&gt;1,Q709/100,Q709)))</f>
        <v/>
      </c>
      <c r="S709" s="31" t="str">
        <f aca="false">IF(O709="","",O709-R709)</f>
        <v/>
      </c>
      <c r="T709" s="28"/>
      <c r="U709" s="34" t="str">
        <f aca="false">IF(T709="","",IFERROR(VLOOKUP(T709,REPS!$A$2:$D$40,2,0),""))</f>
        <v/>
      </c>
      <c r="V709" s="31" t="str">
        <f aca="false">IF(O709="","",IF(U709="",0,O709*IF(U709&gt;1,U709/100,U709)))</f>
        <v/>
      </c>
      <c r="W709" s="28"/>
      <c r="X709" s="34" t="str">
        <f aca="false">IF(W709="","",IFERROR(VLOOKUP(W709,REPS!$A$2:$D$40,3,0),""))</f>
        <v/>
      </c>
      <c r="Y709" s="31" t="str">
        <f aca="false">IF(O709="","",IF(X709="",0,O709*IF(X709&gt;1,X709/100,X709)))</f>
        <v/>
      </c>
      <c r="Z709" s="28"/>
      <c r="AA709" s="34" t="str">
        <f aca="false">IF(Z709="","",IFERROR(VLOOKUP(Z709,REPS!$A$2:$D$40,4,0),""))</f>
        <v/>
      </c>
      <c r="AB709" s="31" t="str">
        <f aca="false">IF(O709="","",IF(AA709="",0,O709*IF(AA709&gt;1,AA709/100,AA709)))</f>
        <v/>
      </c>
      <c r="AC709" s="31" t="str">
        <f aca="false">IF(O709="","",V709+Y709+AB709)</f>
        <v/>
      </c>
      <c r="AD709" s="19" t="str">
        <f aca="false">IF(O709="","",O709-R709-AC709)</f>
        <v/>
      </c>
      <c r="AE709" s="20"/>
      <c r="AF709" s="27"/>
      <c r="AG709" s="21" t="n">
        <f aca="false">IF(OR(AE709="",AE709=0),0,AE709*IF(U709="",0,IF(U709&gt;1,U709/100,U709)))</f>
        <v>0</v>
      </c>
      <c r="AH709" s="21" t="n">
        <f aca="false">IF(OR(AE709="",AE709=0),0,AE709*IF(X709="",0,IF(X709&gt;1,X709/100,X709)))</f>
        <v>0</v>
      </c>
      <c r="AI709" s="21" t="n">
        <f aca="false">IF(OR(AE709="",AE709=0),0,AE709*IF(AA709="",0,IF(AA709&gt;1,AA709/100,AA709)))</f>
        <v>0</v>
      </c>
      <c r="AJ709" s="21" t="n">
        <f aca="false">AG709+AH709+AI709</f>
        <v>0</v>
      </c>
      <c r="AK709" s="21" t="n">
        <f aca="false">IF(OR(AE709="",AE709=0),0,AE709-AJ709)</f>
        <v>0</v>
      </c>
      <c r="AL709" s="19" t="str">
        <f aca="false">IF(AD709="","",AD709-AK709)</f>
        <v/>
      </c>
      <c r="AM709" s="26" t="str">
        <f aca="false">IF(C709="","","Waiting for payment")</f>
        <v/>
      </c>
      <c r="AN709" s="27"/>
      <c r="AO709" s="27"/>
      <c r="AP709" s="35" t="str">
        <f aca="false">IF(OR(C709="",I709="",K709=""),"",IF(K709="Monthly",EDATE(C709,ROUND(I709*SETTINGS!$I$8,0)),WORKDAY(C709,ROUND(I709*SETTINGS!$I$8,0))))</f>
        <v/>
      </c>
      <c r="AQ709" s="26" t="str">
        <f aca="true">IF(C709="","",IF(AND(AP709&lt;&gt;"",TODAY()&gt;=AP709),"Refi Ready",IF(TODAY()-C709&gt;=SETTINGS!$I$11,"Prospecting","Performing")))</f>
        <v/>
      </c>
      <c r="AR709" s="35" t="str">
        <f aca="false">IF(OR(C709="",I709="",K709=""),"",IF(K709="Monthly",EDATE(C709,I709),WORKDAY(C709,I709)))</f>
        <v/>
      </c>
      <c r="AS709" s="28"/>
      <c r="AT709" s="36" t="str">
        <f aca="true">IF(C709="","",IF(AM709="Clawed Back","CLAWED",IF(TODAY()&lt;=C709+SETTINGS!$I$2,"⚠ AT RISK","SAFE")))</f>
        <v/>
      </c>
      <c r="AU709" s="28"/>
      <c r="AW709" s="24" t="n">
        <f aca="false">AW708+IF(AND(C709&lt;&gt;"",AO709&lt;&gt;"",OR('REP COMMISSION'!$B$3="",T709='REP COMMISSION'!$B$3,W709='REP COMMISSION'!$B$3,Z709='REP COMMISSION'!$B$3)),1,0)</f>
        <v>0</v>
      </c>
      <c r="AX709" s="24" t="n">
        <f aca="false">AX708+IF(AND(C709&lt;&gt;"",OR(F709="LOC - INITIAL",F709="CONSOLIDATION - UPFRONT COMM",F709="REVERSE - TOTAL FUNDING")),1,0)</f>
        <v>0</v>
      </c>
    </row>
    <row r="710" customFormat="false" ht="15" hidden="false" customHeight="false" outlineLevel="0" collapsed="false">
      <c r="A710" s="8" t="str">
        <f aca="false">IF(C710&lt;&gt;"","F27-"&amp;COUNT($C$4:C710),"")</f>
        <v/>
      </c>
      <c r="B710" s="9" t="str">
        <f aca="false">IF(OR(F710="LOC - INITIAL",F710="CONSOLIDATION - UPFRONT COMM",F710="REVERSE - TOTAL FUNDING"),A710,"")</f>
        <v/>
      </c>
      <c r="C710" s="10"/>
      <c r="D710" s="11"/>
      <c r="E710" s="11"/>
      <c r="F710" s="11"/>
      <c r="G710" s="12"/>
      <c r="H710" s="13"/>
      <c r="I710" s="11"/>
      <c r="J710" s="14" t="str">
        <f aca="false">IF(AND(G710&lt;&gt;"",H710&lt;&gt;""),G710*H710,"")</f>
        <v/>
      </c>
      <c r="K710" s="11"/>
      <c r="L710" s="15"/>
      <c r="M710" s="15"/>
      <c r="N710" s="14" t="n">
        <f aca="false">IF(OR(G710="",M710=""),0,IF(M710&gt;100,M710,G710*IF(M710&gt;1,M710/100,M710)))</f>
        <v>0</v>
      </c>
      <c r="O710" s="14" t="str">
        <f aca="false">IF(G710="","",G710*IF(L710="",0,IF(L710&gt;1,L710/100,L710))+N710)</f>
        <v/>
      </c>
      <c r="P710" s="11"/>
      <c r="Q710" s="16" t="str">
        <f aca="false">IF(P710="","",IFERROR(VLOOKUP(P710,PARTNERS!$A$2:$B$30,2,0),""))</f>
        <v/>
      </c>
      <c r="R710" s="17" t="str">
        <f aca="false">IF(O710="","",IF(OR(P710="",Q710=""),0,(O710-N710)*IF(Q710&gt;1,Q710/100,Q710)))</f>
        <v/>
      </c>
      <c r="S710" s="14" t="str">
        <f aca="false">IF(O710="","",O710-R710)</f>
        <v/>
      </c>
      <c r="T710" s="11"/>
      <c r="U710" s="18" t="str">
        <f aca="false">IF(T710="","",IFERROR(VLOOKUP(T710,REPS!$A$2:$D$40,2,0),""))</f>
        <v/>
      </c>
      <c r="V710" s="14" t="str">
        <f aca="false">IF(O710="","",IF(U710="",0,O710*IF(U710&gt;1,U710/100,U710)))</f>
        <v/>
      </c>
      <c r="W710" s="11"/>
      <c r="X710" s="18" t="str">
        <f aca="false">IF(W710="","",IFERROR(VLOOKUP(W710,REPS!$A$2:$D$40,3,0),""))</f>
        <v/>
      </c>
      <c r="Y710" s="14" t="str">
        <f aca="false">IF(O710="","",IF(X710="",0,O710*IF(X710&gt;1,X710/100,X710)))</f>
        <v/>
      </c>
      <c r="Z710" s="11"/>
      <c r="AA710" s="18" t="str">
        <f aca="false">IF(Z710="","",IFERROR(VLOOKUP(Z710,REPS!$A$2:$D$40,4,0),""))</f>
        <v/>
      </c>
      <c r="AB710" s="14" t="str">
        <f aca="false">IF(O710="","",IF(AA710="",0,O710*IF(AA710&gt;1,AA710/100,AA710)))</f>
        <v/>
      </c>
      <c r="AC710" s="14" t="str">
        <f aca="false">IF(O710="","",V710+Y710+AB710)</f>
        <v/>
      </c>
      <c r="AD710" s="19" t="str">
        <f aca="false">IF(O710="","",O710-R710-AC710)</f>
        <v/>
      </c>
      <c r="AE710" s="20"/>
      <c r="AF710" s="10"/>
      <c r="AG710" s="21" t="n">
        <f aca="false">IF(OR(AE710="",AE710=0),0,AE710*IF(U710="",0,IF(U710&gt;1,U710/100,U710)))</f>
        <v>0</v>
      </c>
      <c r="AH710" s="21" t="n">
        <f aca="false">IF(OR(AE710="",AE710=0),0,AE710*IF(X710="",0,IF(X710&gt;1,X710/100,X710)))</f>
        <v>0</v>
      </c>
      <c r="AI710" s="21" t="n">
        <f aca="false">IF(OR(AE710="",AE710=0),0,AE710*IF(AA710="",0,IF(AA710&gt;1,AA710/100,AA710)))</f>
        <v>0</v>
      </c>
      <c r="AJ710" s="21" t="n">
        <f aca="false">AG710+AH710+AI710</f>
        <v>0</v>
      </c>
      <c r="AK710" s="21" t="n">
        <f aca="false">IF(OR(AE710="",AE710=0),0,AE710-AJ710)</f>
        <v>0</v>
      </c>
      <c r="AL710" s="19" t="str">
        <f aca="false">IF(AD710="","",AD710-AK710)</f>
        <v/>
      </c>
      <c r="AM710" s="9" t="str">
        <f aca="false">IF(C710="","","Waiting for payment")</f>
        <v/>
      </c>
      <c r="AN710" s="10"/>
      <c r="AO710" s="10"/>
      <c r="AP710" s="22" t="str">
        <f aca="false">IF(OR(C710="",I710="",K710=""),"",IF(K710="Monthly",EDATE(C710,ROUND(I710*SETTINGS!$I$8,0)),WORKDAY(C710,ROUND(I710*SETTINGS!$I$8,0))))</f>
        <v/>
      </c>
      <c r="AQ710" s="9" t="str">
        <f aca="true">IF(C710="","",IF(AND(AP710&lt;&gt;"",TODAY()&gt;=AP710),"Refi Ready",IF(TODAY()-C710&gt;=SETTINGS!$I$11,"Prospecting","Performing")))</f>
        <v/>
      </c>
      <c r="AR710" s="22" t="str">
        <f aca="false">IF(OR(C710="",I710="",K710=""),"",IF(K710="Monthly",EDATE(C710,I710),WORKDAY(C710,I710)))</f>
        <v/>
      </c>
      <c r="AS710" s="11"/>
      <c r="AT710" s="23" t="str">
        <f aca="true">IF(C710="","",IF(AM710="Clawed Back","CLAWED",IF(TODAY()&lt;=C710+SETTINGS!$I$2,"⚠ AT RISK","SAFE")))</f>
        <v/>
      </c>
      <c r="AU710" s="11"/>
      <c r="AW710" s="24" t="n">
        <f aca="false">AW709+IF(AND(C710&lt;&gt;"",AO710&lt;&gt;"",OR('REP COMMISSION'!$B$3="",T710='REP COMMISSION'!$B$3,W710='REP COMMISSION'!$B$3,Z710='REP COMMISSION'!$B$3)),1,0)</f>
        <v>0</v>
      </c>
      <c r="AX710" s="24" t="n">
        <f aca="false">AX709+IF(AND(C710&lt;&gt;"",OR(F710="LOC - INITIAL",F710="CONSOLIDATION - UPFRONT COMM",F710="REVERSE - TOTAL FUNDING")),1,0)</f>
        <v>0</v>
      </c>
    </row>
    <row r="711" customFormat="false" ht="15" hidden="false" customHeight="false" outlineLevel="0" collapsed="false">
      <c r="A711" s="25" t="str">
        <f aca="false">IF(C711&lt;&gt;"","F27-"&amp;COUNT($C$4:C711),"")</f>
        <v/>
      </c>
      <c r="B711" s="26" t="str">
        <f aca="false">IF(OR(F711="LOC - INITIAL",F711="CONSOLIDATION - UPFRONT COMM",F711="REVERSE - TOTAL FUNDING"),A711,"")</f>
        <v/>
      </c>
      <c r="C711" s="27"/>
      <c r="D711" s="28"/>
      <c r="E711" s="28"/>
      <c r="F711" s="28"/>
      <c r="G711" s="29"/>
      <c r="H711" s="30"/>
      <c r="I711" s="28"/>
      <c r="J711" s="31" t="str">
        <f aca="false">IF(AND(G711&lt;&gt;"",H711&lt;&gt;""),G711*H711,"")</f>
        <v/>
      </c>
      <c r="K711" s="28"/>
      <c r="L711" s="32"/>
      <c r="M711" s="32"/>
      <c r="N711" s="31" t="n">
        <f aca="false">IF(OR(G711="",M711=""),0,IF(M711&gt;100,M711,G711*IF(M711&gt;1,M711/100,M711)))</f>
        <v>0</v>
      </c>
      <c r="O711" s="31" t="str">
        <f aca="false">IF(G711="","",G711*IF(L711="",0,IF(L711&gt;1,L711/100,L711))+N711)</f>
        <v/>
      </c>
      <c r="P711" s="28"/>
      <c r="Q711" s="33" t="str">
        <f aca="false">IF(P711="","",IFERROR(VLOOKUP(P711,PARTNERS!$A$2:$B$30,2,0),""))</f>
        <v/>
      </c>
      <c r="R711" s="17" t="str">
        <f aca="false">IF(O711="","",IF(OR(P711="",Q711=""),0,(O711-N711)*IF(Q711&gt;1,Q711/100,Q711)))</f>
        <v/>
      </c>
      <c r="S711" s="31" t="str">
        <f aca="false">IF(O711="","",O711-R711)</f>
        <v/>
      </c>
      <c r="T711" s="28"/>
      <c r="U711" s="34" t="str">
        <f aca="false">IF(T711="","",IFERROR(VLOOKUP(T711,REPS!$A$2:$D$40,2,0),""))</f>
        <v/>
      </c>
      <c r="V711" s="31" t="str">
        <f aca="false">IF(O711="","",IF(U711="",0,O711*IF(U711&gt;1,U711/100,U711)))</f>
        <v/>
      </c>
      <c r="W711" s="28"/>
      <c r="X711" s="34" t="str">
        <f aca="false">IF(W711="","",IFERROR(VLOOKUP(W711,REPS!$A$2:$D$40,3,0),""))</f>
        <v/>
      </c>
      <c r="Y711" s="31" t="str">
        <f aca="false">IF(O711="","",IF(X711="",0,O711*IF(X711&gt;1,X711/100,X711)))</f>
        <v/>
      </c>
      <c r="Z711" s="28"/>
      <c r="AA711" s="34" t="str">
        <f aca="false">IF(Z711="","",IFERROR(VLOOKUP(Z711,REPS!$A$2:$D$40,4,0),""))</f>
        <v/>
      </c>
      <c r="AB711" s="31" t="str">
        <f aca="false">IF(O711="","",IF(AA711="",0,O711*IF(AA711&gt;1,AA711/100,AA711)))</f>
        <v/>
      </c>
      <c r="AC711" s="31" t="str">
        <f aca="false">IF(O711="","",V711+Y711+AB711)</f>
        <v/>
      </c>
      <c r="AD711" s="19" t="str">
        <f aca="false">IF(O711="","",O711-R711-AC711)</f>
        <v/>
      </c>
      <c r="AE711" s="20"/>
      <c r="AF711" s="27"/>
      <c r="AG711" s="21" t="n">
        <f aca="false">IF(OR(AE711="",AE711=0),0,AE711*IF(U711="",0,IF(U711&gt;1,U711/100,U711)))</f>
        <v>0</v>
      </c>
      <c r="AH711" s="21" t="n">
        <f aca="false">IF(OR(AE711="",AE711=0),0,AE711*IF(X711="",0,IF(X711&gt;1,X711/100,X711)))</f>
        <v>0</v>
      </c>
      <c r="AI711" s="21" t="n">
        <f aca="false">IF(OR(AE711="",AE711=0),0,AE711*IF(AA711="",0,IF(AA711&gt;1,AA711/100,AA711)))</f>
        <v>0</v>
      </c>
      <c r="AJ711" s="21" t="n">
        <f aca="false">AG711+AH711+AI711</f>
        <v>0</v>
      </c>
      <c r="AK711" s="21" t="n">
        <f aca="false">IF(OR(AE711="",AE711=0),0,AE711-AJ711)</f>
        <v>0</v>
      </c>
      <c r="AL711" s="19" t="str">
        <f aca="false">IF(AD711="","",AD711-AK711)</f>
        <v/>
      </c>
      <c r="AM711" s="26" t="str">
        <f aca="false">IF(C711="","","Waiting for payment")</f>
        <v/>
      </c>
      <c r="AN711" s="27"/>
      <c r="AO711" s="27"/>
      <c r="AP711" s="35" t="str">
        <f aca="false">IF(OR(C711="",I711="",K711=""),"",IF(K711="Monthly",EDATE(C711,ROUND(I711*SETTINGS!$I$8,0)),WORKDAY(C711,ROUND(I711*SETTINGS!$I$8,0))))</f>
        <v/>
      </c>
      <c r="AQ711" s="26" t="str">
        <f aca="true">IF(C711="","",IF(AND(AP711&lt;&gt;"",TODAY()&gt;=AP711),"Refi Ready",IF(TODAY()-C711&gt;=SETTINGS!$I$11,"Prospecting","Performing")))</f>
        <v/>
      </c>
      <c r="AR711" s="35" t="str">
        <f aca="false">IF(OR(C711="",I711="",K711=""),"",IF(K711="Monthly",EDATE(C711,I711),WORKDAY(C711,I711)))</f>
        <v/>
      </c>
      <c r="AS711" s="28"/>
      <c r="AT711" s="36" t="str">
        <f aca="true">IF(C711="","",IF(AM711="Clawed Back","CLAWED",IF(TODAY()&lt;=C711+SETTINGS!$I$2,"⚠ AT RISK","SAFE")))</f>
        <v/>
      </c>
      <c r="AU711" s="28"/>
      <c r="AW711" s="24" t="n">
        <f aca="false">AW710+IF(AND(C711&lt;&gt;"",AO711&lt;&gt;"",OR('REP COMMISSION'!$B$3="",T711='REP COMMISSION'!$B$3,W711='REP COMMISSION'!$B$3,Z711='REP COMMISSION'!$B$3)),1,0)</f>
        <v>0</v>
      </c>
      <c r="AX711" s="24" t="n">
        <f aca="false">AX710+IF(AND(C711&lt;&gt;"",OR(F711="LOC - INITIAL",F711="CONSOLIDATION - UPFRONT COMM",F711="REVERSE - TOTAL FUNDING")),1,0)</f>
        <v>0</v>
      </c>
    </row>
    <row r="712" customFormat="false" ht="15" hidden="false" customHeight="false" outlineLevel="0" collapsed="false">
      <c r="A712" s="8" t="str">
        <f aca="false">IF(C712&lt;&gt;"","F27-"&amp;COUNT($C$4:C712),"")</f>
        <v/>
      </c>
      <c r="B712" s="9" t="str">
        <f aca="false">IF(OR(F712="LOC - INITIAL",F712="CONSOLIDATION - UPFRONT COMM",F712="REVERSE - TOTAL FUNDING"),A712,"")</f>
        <v/>
      </c>
      <c r="C712" s="10"/>
      <c r="D712" s="11"/>
      <c r="E712" s="11"/>
      <c r="F712" s="11"/>
      <c r="G712" s="12"/>
      <c r="H712" s="13"/>
      <c r="I712" s="11"/>
      <c r="J712" s="14" t="str">
        <f aca="false">IF(AND(G712&lt;&gt;"",H712&lt;&gt;""),G712*H712,"")</f>
        <v/>
      </c>
      <c r="K712" s="11"/>
      <c r="L712" s="15"/>
      <c r="M712" s="15"/>
      <c r="N712" s="14" t="n">
        <f aca="false">IF(OR(G712="",M712=""),0,IF(M712&gt;100,M712,G712*IF(M712&gt;1,M712/100,M712)))</f>
        <v>0</v>
      </c>
      <c r="O712" s="14" t="str">
        <f aca="false">IF(G712="","",G712*IF(L712="",0,IF(L712&gt;1,L712/100,L712))+N712)</f>
        <v/>
      </c>
      <c r="P712" s="11"/>
      <c r="Q712" s="16" t="str">
        <f aca="false">IF(P712="","",IFERROR(VLOOKUP(P712,PARTNERS!$A$2:$B$30,2,0),""))</f>
        <v/>
      </c>
      <c r="R712" s="17" t="str">
        <f aca="false">IF(O712="","",IF(OR(P712="",Q712=""),0,(O712-N712)*IF(Q712&gt;1,Q712/100,Q712)))</f>
        <v/>
      </c>
      <c r="S712" s="14" t="str">
        <f aca="false">IF(O712="","",O712-R712)</f>
        <v/>
      </c>
      <c r="T712" s="11"/>
      <c r="U712" s="18" t="str">
        <f aca="false">IF(T712="","",IFERROR(VLOOKUP(T712,REPS!$A$2:$D$40,2,0),""))</f>
        <v/>
      </c>
      <c r="V712" s="14" t="str">
        <f aca="false">IF(O712="","",IF(U712="",0,O712*IF(U712&gt;1,U712/100,U712)))</f>
        <v/>
      </c>
      <c r="W712" s="11"/>
      <c r="X712" s="18" t="str">
        <f aca="false">IF(W712="","",IFERROR(VLOOKUP(W712,REPS!$A$2:$D$40,3,0),""))</f>
        <v/>
      </c>
      <c r="Y712" s="14" t="str">
        <f aca="false">IF(O712="","",IF(X712="",0,O712*IF(X712&gt;1,X712/100,X712)))</f>
        <v/>
      </c>
      <c r="Z712" s="11"/>
      <c r="AA712" s="18" t="str">
        <f aca="false">IF(Z712="","",IFERROR(VLOOKUP(Z712,REPS!$A$2:$D$40,4,0),""))</f>
        <v/>
      </c>
      <c r="AB712" s="14" t="str">
        <f aca="false">IF(O712="","",IF(AA712="",0,O712*IF(AA712&gt;1,AA712/100,AA712)))</f>
        <v/>
      </c>
      <c r="AC712" s="14" t="str">
        <f aca="false">IF(O712="","",V712+Y712+AB712)</f>
        <v/>
      </c>
      <c r="AD712" s="19" t="str">
        <f aca="false">IF(O712="","",O712-R712-AC712)</f>
        <v/>
      </c>
      <c r="AE712" s="20"/>
      <c r="AF712" s="10"/>
      <c r="AG712" s="21" t="n">
        <f aca="false">IF(OR(AE712="",AE712=0),0,AE712*IF(U712="",0,IF(U712&gt;1,U712/100,U712)))</f>
        <v>0</v>
      </c>
      <c r="AH712" s="21" t="n">
        <f aca="false">IF(OR(AE712="",AE712=0),0,AE712*IF(X712="",0,IF(X712&gt;1,X712/100,X712)))</f>
        <v>0</v>
      </c>
      <c r="AI712" s="21" t="n">
        <f aca="false">IF(OR(AE712="",AE712=0),0,AE712*IF(AA712="",0,IF(AA712&gt;1,AA712/100,AA712)))</f>
        <v>0</v>
      </c>
      <c r="AJ712" s="21" t="n">
        <f aca="false">AG712+AH712+AI712</f>
        <v>0</v>
      </c>
      <c r="AK712" s="21" t="n">
        <f aca="false">IF(OR(AE712="",AE712=0),0,AE712-AJ712)</f>
        <v>0</v>
      </c>
      <c r="AL712" s="19" t="str">
        <f aca="false">IF(AD712="","",AD712-AK712)</f>
        <v/>
      </c>
      <c r="AM712" s="9" t="str">
        <f aca="false">IF(C712="","","Waiting for payment")</f>
        <v/>
      </c>
      <c r="AN712" s="10"/>
      <c r="AO712" s="10"/>
      <c r="AP712" s="22" t="str">
        <f aca="false">IF(OR(C712="",I712="",K712=""),"",IF(K712="Monthly",EDATE(C712,ROUND(I712*SETTINGS!$I$8,0)),WORKDAY(C712,ROUND(I712*SETTINGS!$I$8,0))))</f>
        <v/>
      </c>
      <c r="AQ712" s="9" t="str">
        <f aca="true">IF(C712="","",IF(AND(AP712&lt;&gt;"",TODAY()&gt;=AP712),"Refi Ready",IF(TODAY()-C712&gt;=SETTINGS!$I$11,"Prospecting","Performing")))</f>
        <v/>
      </c>
      <c r="AR712" s="22" t="str">
        <f aca="false">IF(OR(C712="",I712="",K712=""),"",IF(K712="Monthly",EDATE(C712,I712),WORKDAY(C712,I712)))</f>
        <v/>
      </c>
      <c r="AS712" s="11"/>
      <c r="AT712" s="23" t="str">
        <f aca="true">IF(C712="","",IF(AM712="Clawed Back","CLAWED",IF(TODAY()&lt;=C712+SETTINGS!$I$2,"⚠ AT RISK","SAFE")))</f>
        <v/>
      </c>
      <c r="AU712" s="11"/>
      <c r="AW712" s="24" t="n">
        <f aca="false">AW711+IF(AND(C712&lt;&gt;"",AO712&lt;&gt;"",OR('REP COMMISSION'!$B$3="",T712='REP COMMISSION'!$B$3,W712='REP COMMISSION'!$B$3,Z712='REP COMMISSION'!$B$3)),1,0)</f>
        <v>0</v>
      </c>
      <c r="AX712" s="24" t="n">
        <f aca="false">AX711+IF(AND(C712&lt;&gt;"",OR(F712="LOC - INITIAL",F712="CONSOLIDATION - UPFRONT COMM",F712="REVERSE - TOTAL FUNDING")),1,0)</f>
        <v>0</v>
      </c>
    </row>
    <row r="713" customFormat="false" ht="15" hidden="false" customHeight="false" outlineLevel="0" collapsed="false">
      <c r="A713" s="25" t="str">
        <f aca="false">IF(C713&lt;&gt;"","F27-"&amp;COUNT($C$4:C713),"")</f>
        <v/>
      </c>
      <c r="B713" s="26" t="str">
        <f aca="false">IF(OR(F713="LOC - INITIAL",F713="CONSOLIDATION - UPFRONT COMM",F713="REVERSE - TOTAL FUNDING"),A713,"")</f>
        <v/>
      </c>
      <c r="C713" s="27"/>
      <c r="D713" s="28"/>
      <c r="E713" s="28"/>
      <c r="F713" s="28"/>
      <c r="G713" s="29"/>
      <c r="H713" s="30"/>
      <c r="I713" s="28"/>
      <c r="J713" s="31" t="str">
        <f aca="false">IF(AND(G713&lt;&gt;"",H713&lt;&gt;""),G713*H713,"")</f>
        <v/>
      </c>
      <c r="K713" s="28"/>
      <c r="L713" s="32"/>
      <c r="M713" s="32"/>
      <c r="N713" s="31" t="n">
        <f aca="false">IF(OR(G713="",M713=""),0,IF(M713&gt;100,M713,G713*IF(M713&gt;1,M713/100,M713)))</f>
        <v>0</v>
      </c>
      <c r="O713" s="31" t="str">
        <f aca="false">IF(G713="","",G713*IF(L713="",0,IF(L713&gt;1,L713/100,L713))+N713)</f>
        <v/>
      </c>
      <c r="P713" s="28"/>
      <c r="Q713" s="33" t="str">
        <f aca="false">IF(P713="","",IFERROR(VLOOKUP(P713,PARTNERS!$A$2:$B$30,2,0),""))</f>
        <v/>
      </c>
      <c r="R713" s="17" t="str">
        <f aca="false">IF(O713="","",IF(OR(P713="",Q713=""),0,(O713-N713)*IF(Q713&gt;1,Q713/100,Q713)))</f>
        <v/>
      </c>
      <c r="S713" s="31" t="str">
        <f aca="false">IF(O713="","",O713-R713)</f>
        <v/>
      </c>
      <c r="T713" s="28"/>
      <c r="U713" s="34" t="str">
        <f aca="false">IF(T713="","",IFERROR(VLOOKUP(T713,REPS!$A$2:$D$40,2,0),""))</f>
        <v/>
      </c>
      <c r="V713" s="31" t="str">
        <f aca="false">IF(O713="","",IF(U713="",0,O713*IF(U713&gt;1,U713/100,U713)))</f>
        <v/>
      </c>
      <c r="W713" s="28"/>
      <c r="X713" s="34" t="str">
        <f aca="false">IF(W713="","",IFERROR(VLOOKUP(W713,REPS!$A$2:$D$40,3,0),""))</f>
        <v/>
      </c>
      <c r="Y713" s="31" t="str">
        <f aca="false">IF(O713="","",IF(X713="",0,O713*IF(X713&gt;1,X713/100,X713)))</f>
        <v/>
      </c>
      <c r="Z713" s="28"/>
      <c r="AA713" s="34" t="str">
        <f aca="false">IF(Z713="","",IFERROR(VLOOKUP(Z713,REPS!$A$2:$D$40,4,0),""))</f>
        <v/>
      </c>
      <c r="AB713" s="31" t="str">
        <f aca="false">IF(O713="","",IF(AA713="",0,O713*IF(AA713&gt;1,AA713/100,AA713)))</f>
        <v/>
      </c>
      <c r="AC713" s="31" t="str">
        <f aca="false">IF(O713="","",V713+Y713+AB713)</f>
        <v/>
      </c>
      <c r="AD713" s="19" t="str">
        <f aca="false">IF(O713="","",O713-R713-AC713)</f>
        <v/>
      </c>
      <c r="AE713" s="20"/>
      <c r="AF713" s="27"/>
      <c r="AG713" s="21" t="n">
        <f aca="false">IF(OR(AE713="",AE713=0),0,AE713*IF(U713="",0,IF(U713&gt;1,U713/100,U713)))</f>
        <v>0</v>
      </c>
      <c r="AH713" s="21" t="n">
        <f aca="false">IF(OR(AE713="",AE713=0),0,AE713*IF(X713="",0,IF(X713&gt;1,X713/100,X713)))</f>
        <v>0</v>
      </c>
      <c r="AI713" s="21" t="n">
        <f aca="false">IF(OR(AE713="",AE713=0),0,AE713*IF(AA713="",0,IF(AA713&gt;1,AA713/100,AA713)))</f>
        <v>0</v>
      </c>
      <c r="AJ713" s="21" t="n">
        <f aca="false">AG713+AH713+AI713</f>
        <v>0</v>
      </c>
      <c r="AK713" s="21" t="n">
        <f aca="false">IF(OR(AE713="",AE713=0),0,AE713-AJ713)</f>
        <v>0</v>
      </c>
      <c r="AL713" s="19" t="str">
        <f aca="false">IF(AD713="","",AD713-AK713)</f>
        <v/>
      </c>
      <c r="AM713" s="26" t="str">
        <f aca="false">IF(C713="","","Waiting for payment")</f>
        <v/>
      </c>
      <c r="AN713" s="27"/>
      <c r="AO713" s="27"/>
      <c r="AP713" s="35" t="str">
        <f aca="false">IF(OR(C713="",I713="",K713=""),"",IF(K713="Monthly",EDATE(C713,ROUND(I713*SETTINGS!$I$8,0)),WORKDAY(C713,ROUND(I713*SETTINGS!$I$8,0))))</f>
        <v/>
      </c>
      <c r="AQ713" s="26" t="str">
        <f aca="true">IF(C713="","",IF(AND(AP713&lt;&gt;"",TODAY()&gt;=AP713),"Refi Ready",IF(TODAY()-C713&gt;=SETTINGS!$I$11,"Prospecting","Performing")))</f>
        <v/>
      </c>
      <c r="AR713" s="35" t="str">
        <f aca="false">IF(OR(C713="",I713="",K713=""),"",IF(K713="Monthly",EDATE(C713,I713),WORKDAY(C713,I713)))</f>
        <v/>
      </c>
      <c r="AS713" s="28"/>
      <c r="AT713" s="36" t="str">
        <f aca="true">IF(C713="","",IF(AM713="Clawed Back","CLAWED",IF(TODAY()&lt;=C713+SETTINGS!$I$2,"⚠ AT RISK","SAFE")))</f>
        <v/>
      </c>
      <c r="AU713" s="28"/>
      <c r="AW713" s="24" t="n">
        <f aca="false">AW712+IF(AND(C713&lt;&gt;"",AO713&lt;&gt;"",OR('REP COMMISSION'!$B$3="",T713='REP COMMISSION'!$B$3,W713='REP COMMISSION'!$B$3,Z713='REP COMMISSION'!$B$3)),1,0)</f>
        <v>0</v>
      </c>
      <c r="AX713" s="24" t="n">
        <f aca="false">AX712+IF(AND(C713&lt;&gt;"",OR(F713="LOC - INITIAL",F713="CONSOLIDATION - UPFRONT COMM",F713="REVERSE - TOTAL FUNDING")),1,0)</f>
        <v>0</v>
      </c>
    </row>
    <row r="714" customFormat="false" ht="15" hidden="false" customHeight="false" outlineLevel="0" collapsed="false">
      <c r="A714" s="8" t="str">
        <f aca="false">IF(C714&lt;&gt;"","F27-"&amp;COUNT($C$4:C714),"")</f>
        <v/>
      </c>
      <c r="B714" s="9" t="str">
        <f aca="false">IF(OR(F714="LOC - INITIAL",F714="CONSOLIDATION - UPFRONT COMM",F714="REVERSE - TOTAL FUNDING"),A714,"")</f>
        <v/>
      </c>
      <c r="C714" s="10"/>
      <c r="D714" s="11"/>
      <c r="E714" s="11"/>
      <c r="F714" s="11"/>
      <c r="G714" s="12"/>
      <c r="H714" s="13"/>
      <c r="I714" s="11"/>
      <c r="J714" s="14" t="str">
        <f aca="false">IF(AND(G714&lt;&gt;"",H714&lt;&gt;""),G714*H714,"")</f>
        <v/>
      </c>
      <c r="K714" s="11"/>
      <c r="L714" s="15"/>
      <c r="M714" s="15"/>
      <c r="N714" s="14" t="n">
        <f aca="false">IF(OR(G714="",M714=""),0,IF(M714&gt;100,M714,G714*IF(M714&gt;1,M714/100,M714)))</f>
        <v>0</v>
      </c>
      <c r="O714" s="14" t="str">
        <f aca="false">IF(G714="","",G714*IF(L714="",0,IF(L714&gt;1,L714/100,L714))+N714)</f>
        <v/>
      </c>
      <c r="P714" s="11"/>
      <c r="Q714" s="16" t="str">
        <f aca="false">IF(P714="","",IFERROR(VLOOKUP(P714,PARTNERS!$A$2:$B$30,2,0),""))</f>
        <v/>
      </c>
      <c r="R714" s="17" t="str">
        <f aca="false">IF(O714="","",IF(OR(P714="",Q714=""),0,(O714-N714)*IF(Q714&gt;1,Q714/100,Q714)))</f>
        <v/>
      </c>
      <c r="S714" s="14" t="str">
        <f aca="false">IF(O714="","",O714-R714)</f>
        <v/>
      </c>
      <c r="T714" s="11"/>
      <c r="U714" s="18" t="str">
        <f aca="false">IF(T714="","",IFERROR(VLOOKUP(T714,REPS!$A$2:$D$40,2,0),""))</f>
        <v/>
      </c>
      <c r="V714" s="14" t="str">
        <f aca="false">IF(O714="","",IF(U714="",0,O714*IF(U714&gt;1,U714/100,U714)))</f>
        <v/>
      </c>
      <c r="W714" s="11"/>
      <c r="X714" s="18" t="str">
        <f aca="false">IF(W714="","",IFERROR(VLOOKUP(W714,REPS!$A$2:$D$40,3,0),""))</f>
        <v/>
      </c>
      <c r="Y714" s="14" t="str">
        <f aca="false">IF(O714="","",IF(X714="",0,O714*IF(X714&gt;1,X714/100,X714)))</f>
        <v/>
      </c>
      <c r="Z714" s="11"/>
      <c r="AA714" s="18" t="str">
        <f aca="false">IF(Z714="","",IFERROR(VLOOKUP(Z714,REPS!$A$2:$D$40,4,0),""))</f>
        <v/>
      </c>
      <c r="AB714" s="14" t="str">
        <f aca="false">IF(O714="","",IF(AA714="",0,O714*IF(AA714&gt;1,AA714/100,AA714)))</f>
        <v/>
      </c>
      <c r="AC714" s="14" t="str">
        <f aca="false">IF(O714="","",V714+Y714+AB714)</f>
        <v/>
      </c>
      <c r="AD714" s="19" t="str">
        <f aca="false">IF(O714="","",O714-R714-AC714)</f>
        <v/>
      </c>
      <c r="AE714" s="20"/>
      <c r="AF714" s="10"/>
      <c r="AG714" s="21" t="n">
        <f aca="false">IF(OR(AE714="",AE714=0),0,AE714*IF(U714="",0,IF(U714&gt;1,U714/100,U714)))</f>
        <v>0</v>
      </c>
      <c r="AH714" s="21" t="n">
        <f aca="false">IF(OR(AE714="",AE714=0),0,AE714*IF(X714="",0,IF(X714&gt;1,X714/100,X714)))</f>
        <v>0</v>
      </c>
      <c r="AI714" s="21" t="n">
        <f aca="false">IF(OR(AE714="",AE714=0),0,AE714*IF(AA714="",0,IF(AA714&gt;1,AA714/100,AA714)))</f>
        <v>0</v>
      </c>
      <c r="AJ714" s="21" t="n">
        <f aca="false">AG714+AH714+AI714</f>
        <v>0</v>
      </c>
      <c r="AK714" s="21" t="n">
        <f aca="false">IF(OR(AE714="",AE714=0),0,AE714-AJ714)</f>
        <v>0</v>
      </c>
      <c r="AL714" s="19" t="str">
        <f aca="false">IF(AD714="","",AD714-AK714)</f>
        <v/>
      </c>
      <c r="AM714" s="9" t="str">
        <f aca="false">IF(C714="","","Waiting for payment")</f>
        <v/>
      </c>
      <c r="AN714" s="10"/>
      <c r="AO714" s="10"/>
      <c r="AP714" s="22" t="str">
        <f aca="false">IF(OR(C714="",I714="",K714=""),"",IF(K714="Monthly",EDATE(C714,ROUND(I714*SETTINGS!$I$8,0)),WORKDAY(C714,ROUND(I714*SETTINGS!$I$8,0))))</f>
        <v/>
      </c>
      <c r="AQ714" s="9" t="str">
        <f aca="true">IF(C714="","",IF(AND(AP714&lt;&gt;"",TODAY()&gt;=AP714),"Refi Ready",IF(TODAY()-C714&gt;=SETTINGS!$I$11,"Prospecting","Performing")))</f>
        <v/>
      </c>
      <c r="AR714" s="22" t="str">
        <f aca="false">IF(OR(C714="",I714="",K714=""),"",IF(K714="Monthly",EDATE(C714,I714),WORKDAY(C714,I714)))</f>
        <v/>
      </c>
      <c r="AS714" s="11"/>
      <c r="AT714" s="23" t="str">
        <f aca="true">IF(C714="","",IF(AM714="Clawed Back","CLAWED",IF(TODAY()&lt;=C714+SETTINGS!$I$2,"⚠ AT RISK","SAFE")))</f>
        <v/>
      </c>
      <c r="AU714" s="11"/>
      <c r="AW714" s="24" t="n">
        <f aca="false">AW713+IF(AND(C714&lt;&gt;"",AO714&lt;&gt;"",OR('REP COMMISSION'!$B$3="",T714='REP COMMISSION'!$B$3,W714='REP COMMISSION'!$B$3,Z714='REP COMMISSION'!$B$3)),1,0)</f>
        <v>0</v>
      </c>
      <c r="AX714" s="24" t="n">
        <f aca="false">AX713+IF(AND(C714&lt;&gt;"",OR(F714="LOC - INITIAL",F714="CONSOLIDATION - UPFRONT COMM",F714="REVERSE - TOTAL FUNDING")),1,0)</f>
        <v>0</v>
      </c>
    </row>
    <row r="715" customFormat="false" ht="15" hidden="false" customHeight="false" outlineLevel="0" collapsed="false">
      <c r="A715" s="25" t="str">
        <f aca="false">IF(C715&lt;&gt;"","F27-"&amp;COUNT($C$4:C715),"")</f>
        <v/>
      </c>
      <c r="B715" s="26" t="str">
        <f aca="false">IF(OR(F715="LOC - INITIAL",F715="CONSOLIDATION - UPFRONT COMM",F715="REVERSE - TOTAL FUNDING"),A715,"")</f>
        <v/>
      </c>
      <c r="C715" s="27"/>
      <c r="D715" s="28"/>
      <c r="E715" s="28"/>
      <c r="F715" s="28"/>
      <c r="G715" s="29"/>
      <c r="H715" s="30"/>
      <c r="I715" s="28"/>
      <c r="J715" s="31" t="str">
        <f aca="false">IF(AND(G715&lt;&gt;"",H715&lt;&gt;""),G715*H715,"")</f>
        <v/>
      </c>
      <c r="K715" s="28"/>
      <c r="L715" s="32"/>
      <c r="M715" s="32"/>
      <c r="N715" s="31" t="n">
        <f aca="false">IF(OR(G715="",M715=""),0,IF(M715&gt;100,M715,G715*IF(M715&gt;1,M715/100,M715)))</f>
        <v>0</v>
      </c>
      <c r="O715" s="31" t="str">
        <f aca="false">IF(G715="","",G715*IF(L715="",0,IF(L715&gt;1,L715/100,L715))+N715)</f>
        <v/>
      </c>
      <c r="P715" s="28"/>
      <c r="Q715" s="33" t="str">
        <f aca="false">IF(P715="","",IFERROR(VLOOKUP(P715,PARTNERS!$A$2:$B$30,2,0),""))</f>
        <v/>
      </c>
      <c r="R715" s="17" t="str">
        <f aca="false">IF(O715="","",IF(OR(P715="",Q715=""),0,(O715-N715)*IF(Q715&gt;1,Q715/100,Q715)))</f>
        <v/>
      </c>
      <c r="S715" s="31" t="str">
        <f aca="false">IF(O715="","",O715-R715)</f>
        <v/>
      </c>
      <c r="T715" s="28"/>
      <c r="U715" s="34" t="str">
        <f aca="false">IF(T715="","",IFERROR(VLOOKUP(T715,REPS!$A$2:$D$40,2,0),""))</f>
        <v/>
      </c>
      <c r="V715" s="31" t="str">
        <f aca="false">IF(O715="","",IF(U715="",0,O715*IF(U715&gt;1,U715/100,U715)))</f>
        <v/>
      </c>
      <c r="W715" s="28"/>
      <c r="X715" s="34" t="str">
        <f aca="false">IF(W715="","",IFERROR(VLOOKUP(W715,REPS!$A$2:$D$40,3,0),""))</f>
        <v/>
      </c>
      <c r="Y715" s="31" t="str">
        <f aca="false">IF(O715="","",IF(X715="",0,O715*IF(X715&gt;1,X715/100,X715)))</f>
        <v/>
      </c>
      <c r="Z715" s="28"/>
      <c r="AA715" s="34" t="str">
        <f aca="false">IF(Z715="","",IFERROR(VLOOKUP(Z715,REPS!$A$2:$D$40,4,0),""))</f>
        <v/>
      </c>
      <c r="AB715" s="31" t="str">
        <f aca="false">IF(O715="","",IF(AA715="",0,O715*IF(AA715&gt;1,AA715/100,AA715)))</f>
        <v/>
      </c>
      <c r="AC715" s="31" t="str">
        <f aca="false">IF(O715="","",V715+Y715+AB715)</f>
        <v/>
      </c>
      <c r="AD715" s="19" t="str">
        <f aca="false">IF(O715="","",O715-R715-AC715)</f>
        <v/>
      </c>
      <c r="AE715" s="20"/>
      <c r="AF715" s="27"/>
      <c r="AG715" s="21" t="n">
        <f aca="false">IF(OR(AE715="",AE715=0),0,AE715*IF(U715="",0,IF(U715&gt;1,U715/100,U715)))</f>
        <v>0</v>
      </c>
      <c r="AH715" s="21" t="n">
        <f aca="false">IF(OR(AE715="",AE715=0),0,AE715*IF(X715="",0,IF(X715&gt;1,X715/100,X715)))</f>
        <v>0</v>
      </c>
      <c r="AI715" s="21" t="n">
        <f aca="false">IF(OR(AE715="",AE715=0),0,AE715*IF(AA715="",0,IF(AA715&gt;1,AA715/100,AA715)))</f>
        <v>0</v>
      </c>
      <c r="AJ715" s="21" t="n">
        <f aca="false">AG715+AH715+AI715</f>
        <v>0</v>
      </c>
      <c r="AK715" s="21" t="n">
        <f aca="false">IF(OR(AE715="",AE715=0),0,AE715-AJ715)</f>
        <v>0</v>
      </c>
      <c r="AL715" s="19" t="str">
        <f aca="false">IF(AD715="","",AD715-AK715)</f>
        <v/>
      </c>
      <c r="AM715" s="26" t="str">
        <f aca="false">IF(C715="","","Waiting for payment")</f>
        <v/>
      </c>
      <c r="AN715" s="27"/>
      <c r="AO715" s="27"/>
      <c r="AP715" s="35" t="str">
        <f aca="false">IF(OR(C715="",I715="",K715=""),"",IF(K715="Monthly",EDATE(C715,ROUND(I715*SETTINGS!$I$8,0)),WORKDAY(C715,ROUND(I715*SETTINGS!$I$8,0))))</f>
        <v/>
      </c>
      <c r="AQ715" s="26" t="str">
        <f aca="true">IF(C715="","",IF(AND(AP715&lt;&gt;"",TODAY()&gt;=AP715),"Refi Ready",IF(TODAY()-C715&gt;=SETTINGS!$I$11,"Prospecting","Performing")))</f>
        <v/>
      </c>
      <c r="AR715" s="35" t="str">
        <f aca="false">IF(OR(C715="",I715="",K715=""),"",IF(K715="Monthly",EDATE(C715,I715),WORKDAY(C715,I715)))</f>
        <v/>
      </c>
      <c r="AS715" s="28"/>
      <c r="AT715" s="36" t="str">
        <f aca="true">IF(C715="","",IF(AM715="Clawed Back","CLAWED",IF(TODAY()&lt;=C715+SETTINGS!$I$2,"⚠ AT RISK","SAFE")))</f>
        <v/>
      </c>
      <c r="AU715" s="28"/>
      <c r="AW715" s="24" t="n">
        <f aca="false">AW714+IF(AND(C715&lt;&gt;"",AO715&lt;&gt;"",OR('REP COMMISSION'!$B$3="",T715='REP COMMISSION'!$B$3,W715='REP COMMISSION'!$B$3,Z715='REP COMMISSION'!$B$3)),1,0)</f>
        <v>0</v>
      </c>
      <c r="AX715" s="24" t="n">
        <f aca="false">AX714+IF(AND(C715&lt;&gt;"",OR(F715="LOC - INITIAL",F715="CONSOLIDATION - UPFRONT COMM",F715="REVERSE - TOTAL FUNDING")),1,0)</f>
        <v>0</v>
      </c>
    </row>
    <row r="716" customFormat="false" ht="18" hidden="false" customHeight="true" outlineLevel="0" collapsed="false">
      <c r="A716" s="37" t="s">
        <v>55</v>
      </c>
      <c r="B716" s="38"/>
      <c r="C716" s="38"/>
      <c r="D716" s="37" t="str">
        <f aca="false">COUNT(C616:C715)&amp;" units"</f>
        <v>0 units</v>
      </c>
      <c r="E716" s="38"/>
      <c r="F716" s="38"/>
      <c r="G716" s="39" t="n">
        <f aca="false">SUM(G616:G715)</f>
        <v>0</v>
      </c>
      <c r="H716" s="38"/>
      <c r="I716" s="38"/>
      <c r="J716" s="38"/>
      <c r="K716" s="38"/>
      <c r="L716" s="38"/>
      <c r="M716" s="38"/>
      <c r="N716" s="39" t="n">
        <f aca="false">SUM(N616:N715)</f>
        <v>0</v>
      </c>
      <c r="O716" s="39" t="n">
        <f aca="false">SUM(O616:O715)</f>
        <v>0</v>
      </c>
      <c r="P716" s="38"/>
      <c r="Q716" s="38"/>
      <c r="R716" s="39" t="n">
        <f aca="false">SUM(R616:R715)</f>
        <v>0</v>
      </c>
      <c r="S716" s="39" t="n">
        <f aca="false">SUM(S616:S715)</f>
        <v>0</v>
      </c>
      <c r="T716" s="38"/>
      <c r="U716" s="38"/>
      <c r="V716" s="38"/>
      <c r="W716" s="38"/>
      <c r="X716" s="38"/>
      <c r="Y716" s="38"/>
      <c r="Z716" s="38"/>
      <c r="AA716" s="38"/>
      <c r="AB716" s="38"/>
      <c r="AC716" s="39" t="n">
        <f aca="false">SUM(AC616:AC715)</f>
        <v>0</v>
      </c>
      <c r="AD716" s="39" t="n">
        <f aca="false">SUM(AD616:AD715)</f>
        <v>0</v>
      </c>
      <c r="AE716" s="39" t="n">
        <f aca="false">SUM(AE616:AE715)</f>
        <v>0</v>
      </c>
      <c r="AF716" s="38"/>
      <c r="AG716" s="38"/>
      <c r="AH716" s="38"/>
      <c r="AI716" s="38"/>
      <c r="AJ716" s="39" t="n">
        <f aca="false">SUM(AJ616:AJ715)</f>
        <v>0</v>
      </c>
      <c r="AK716" s="39" t="n">
        <f aca="false">SUM(AK616:AK715)</f>
        <v>0</v>
      </c>
      <c r="AL716" s="39" t="n">
        <f aca="false">SUM(AL616:AL715)</f>
        <v>0</v>
      </c>
      <c r="AM716" s="38"/>
      <c r="AN716" s="38"/>
      <c r="AO716" s="38"/>
      <c r="AP716" s="38"/>
      <c r="AQ716" s="38"/>
      <c r="AR716" s="38"/>
      <c r="AS716" s="38"/>
      <c r="AT716" s="38"/>
      <c r="AU716" s="38"/>
      <c r="AW716" s="24" t="n">
        <f aca="false">AW715</f>
        <v>0</v>
      </c>
      <c r="AX716" s="24" t="n">
        <f aca="false">AX715</f>
        <v>0</v>
      </c>
    </row>
    <row r="717" customFormat="false" ht="19.5" hidden="false" customHeight="true" outlineLevel="0" collapsed="false">
      <c r="A717" s="6" t="s">
        <v>77</v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W717" s="24" t="n">
        <f aca="false">AW716</f>
        <v>0</v>
      </c>
      <c r="AX717" s="24" t="n">
        <f aca="false">AX716</f>
        <v>0</v>
      </c>
    </row>
    <row r="718" customFormat="false" ht="15" hidden="false" customHeight="false" outlineLevel="0" collapsed="false">
      <c r="A718" s="8" t="str">
        <f aca="false">IF(C718&lt;&gt;"","F27-"&amp;COUNT($C$4:C718),"")</f>
        <v/>
      </c>
      <c r="B718" s="9" t="str">
        <f aca="false">IF(OR(F718="LOC - INITIAL",F718="CONSOLIDATION - UPFRONT COMM",F718="REVERSE - TOTAL FUNDING"),A718,"")</f>
        <v/>
      </c>
      <c r="C718" s="10"/>
      <c r="D718" s="11"/>
      <c r="E718" s="11"/>
      <c r="F718" s="11"/>
      <c r="G718" s="12"/>
      <c r="H718" s="13"/>
      <c r="I718" s="11"/>
      <c r="J718" s="14" t="str">
        <f aca="false">IF(AND(G718&lt;&gt;"",H718&lt;&gt;""),G718*H718,"")</f>
        <v/>
      </c>
      <c r="K718" s="11"/>
      <c r="L718" s="15"/>
      <c r="M718" s="15"/>
      <c r="N718" s="14" t="n">
        <f aca="false">IF(OR(G718="",M718=""),0,IF(M718&gt;100,M718,G718*IF(M718&gt;1,M718/100,M718)))</f>
        <v>0</v>
      </c>
      <c r="O718" s="14" t="str">
        <f aca="false">IF(G718="","",G718*IF(L718="",0,IF(L718&gt;1,L718/100,L718))+N718)</f>
        <v/>
      </c>
      <c r="P718" s="11"/>
      <c r="Q718" s="16" t="str">
        <f aca="false">IF(P718="","",IFERROR(VLOOKUP(P718,PARTNERS!$A$2:$B$30,2,0),""))</f>
        <v/>
      </c>
      <c r="R718" s="17" t="str">
        <f aca="false">IF(O718="","",IF(OR(P718="",Q718=""),0,(O718-N718)*IF(Q718&gt;1,Q718/100,Q718)))</f>
        <v/>
      </c>
      <c r="S718" s="14" t="str">
        <f aca="false">IF(O718="","",O718-R718)</f>
        <v/>
      </c>
      <c r="T718" s="11"/>
      <c r="U718" s="18" t="str">
        <f aca="false">IF(T718="","",IFERROR(VLOOKUP(T718,REPS!$A$2:$D$40,2,0),""))</f>
        <v/>
      </c>
      <c r="V718" s="14" t="str">
        <f aca="false">IF(O718="","",IF(U718="",0,O718*IF(U718&gt;1,U718/100,U718)))</f>
        <v/>
      </c>
      <c r="W718" s="11"/>
      <c r="X718" s="18" t="str">
        <f aca="false">IF(W718="","",IFERROR(VLOOKUP(W718,REPS!$A$2:$D$40,3,0),""))</f>
        <v/>
      </c>
      <c r="Y718" s="14" t="str">
        <f aca="false">IF(O718="","",IF(X718="",0,O718*IF(X718&gt;1,X718/100,X718)))</f>
        <v/>
      </c>
      <c r="Z718" s="11"/>
      <c r="AA718" s="18" t="str">
        <f aca="false">IF(Z718="","",IFERROR(VLOOKUP(Z718,REPS!$A$2:$D$40,4,0),""))</f>
        <v/>
      </c>
      <c r="AB718" s="14" t="str">
        <f aca="false">IF(O718="","",IF(AA718="",0,O718*IF(AA718&gt;1,AA718/100,AA718)))</f>
        <v/>
      </c>
      <c r="AC718" s="14" t="str">
        <f aca="false">IF(O718="","",V718+Y718+AB718)</f>
        <v/>
      </c>
      <c r="AD718" s="19" t="str">
        <f aca="false">IF(O718="","",O718-R718-AC718)</f>
        <v/>
      </c>
      <c r="AE718" s="20"/>
      <c r="AF718" s="10"/>
      <c r="AG718" s="21" t="n">
        <f aca="false">IF(OR(AE718="",AE718=0),0,AE718*IF(U718="",0,IF(U718&gt;1,U718/100,U718)))</f>
        <v>0</v>
      </c>
      <c r="AH718" s="21" t="n">
        <f aca="false">IF(OR(AE718="",AE718=0),0,AE718*IF(X718="",0,IF(X718&gt;1,X718/100,X718)))</f>
        <v>0</v>
      </c>
      <c r="AI718" s="21" t="n">
        <f aca="false">IF(OR(AE718="",AE718=0),0,AE718*IF(AA718="",0,IF(AA718&gt;1,AA718/100,AA718)))</f>
        <v>0</v>
      </c>
      <c r="AJ718" s="21" t="n">
        <f aca="false">AG718+AH718+AI718</f>
        <v>0</v>
      </c>
      <c r="AK718" s="21" t="n">
        <f aca="false">IF(OR(AE718="",AE718=0),0,AE718-AJ718)</f>
        <v>0</v>
      </c>
      <c r="AL718" s="19" t="str">
        <f aca="false">IF(AD718="","",AD718-AK718)</f>
        <v/>
      </c>
      <c r="AM718" s="9" t="str">
        <f aca="false">IF(C718="","","Waiting for payment")</f>
        <v/>
      </c>
      <c r="AN718" s="10"/>
      <c r="AO718" s="10"/>
      <c r="AP718" s="22" t="str">
        <f aca="false">IF(OR(C718="",I718="",K718=""),"",IF(K718="Monthly",EDATE(C718,ROUND(I718*SETTINGS!$I$8,0)),WORKDAY(C718,ROUND(I718*SETTINGS!$I$8,0))))</f>
        <v/>
      </c>
      <c r="AQ718" s="9" t="str">
        <f aca="true">IF(C718="","",IF(AND(AP718&lt;&gt;"",TODAY()&gt;=AP718),"Refi Ready",IF(TODAY()-C718&gt;=SETTINGS!$I$11,"Prospecting","Performing")))</f>
        <v/>
      </c>
      <c r="AR718" s="22" t="str">
        <f aca="false">IF(OR(C718="",I718="",K718=""),"",IF(K718="Monthly",EDATE(C718,I718),WORKDAY(C718,I718)))</f>
        <v/>
      </c>
      <c r="AS718" s="11"/>
      <c r="AT718" s="23" t="str">
        <f aca="true">IF(C718="","",IF(AM718="Clawed Back","CLAWED",IF(TODAY()&lt;=C718+SETTINGS!$I$2,"⚠ AT RISK","SAFE")))</f>
        <v/>
      </c>
      <c r="AU718" s="11"/>
      <c r="AW718" s="24" t="n">
        <f aca="false">AW717+IF(AND(C718&lt;&gt;"",AO718&lt;&gt;"",OR('REP COMMISSION'!$B$3="",T718='REP COMMISSION'!$B$3,W718='REP COMMISSION'!$B$3,Z718='REP COMMISSION'!$B$3)),1,0)</f>
        <v>0</v>
      </c>
      <c r="AX718" s="24" t="n">
        <f aca="false">AX717+IF(AND(C718&lt;&gt;"",OR(F718="LOC - INITIAL",F718="CONSOLIDATION - UPFRONT COMM",F718="REVERSE - TOTAL FUNDING")),1,0)</f>
        <v>0</v>
      </c>
    </row>
    <row r="719" customFormat="false" ht="15" hidden="false" customHeight="false" outlineLevel="0" collapsed="false">
      <c r="A719" s="25" t="str">
        <f aca="false">IF(C719&lt;&gt;"","F27-"&amp;COUNT($C$4:C719),"")</f>
        <v/>
      </c>
      <c r="B719" s="26" t="str">
        <f aca="false">IF(OR(F719="LOC - INITIAL",F719="CONSOLIDATION - UPFRONT COMM",F719="REVERSE - TOTAL FUNDING"),A719,"")</f>
        <v/>
      </c>
      <c r="C719" s="27"/>
      <c r="D719" s="28"/>
      <c r="E719" s="28"/>
      <c r="F719" s="28"/>
      <c r="G719" s="29"/>
      <c r="H719" s="30"/>
      <c r="I719" s="28"/>
      <c r="J719" s="31" t="str">
        <f aca="false">IF(AND(G719&lt;&gt;"",H719&lt;&gt;""),G719*H719,"")</f>
        <v/>
      </c>
      <c r="K719" s="28"/>
      <c r="L719" s="32"/>
      <c r="M719" s="32"/>
      <c r="N719" s="31" t="n">
        <f aca="false">IF(OR(G719="",M719=""),0,IF(M719&gt;100,M719,G719*IF(M719&gt;1,M719/100,M719)))</f>
        <v>0</v>
      </c>
      <c r="O719" s="31" t="str">
        <f aca="false">IF(G719="","",G719*IF(L719="",0,IF(L719&gt;1,L719/100,L719))+N719)</f>
        <v/>
      </c>
      <c r="P719" s="28"/>
      <c r="Q719" s="33" t="str">
        <f aca="false">IF(P719="","",IFERROR(VLOOKUP(P719,PARTNERS!$A$2:$B$30,2,0),""))</f>
        <v/>
      </c>
      <c r="R719" s="17" t="str">
        <f aca="false">IF(O719="","",IF(OR(P719="",Q719=""),0,(O719-N719)*IF(Q719&gt;1,Q719/100,Q719)))</f>
        <v/>
      </c>
      <c r="S719" s="31" t="str">
        <f aca="false">IF(O719="","",O719-R719)</f>
        <v/>
      </c>
      <c r="T719" s="28"/>
      <c r="U719" s="34" t="str">
        <f aca="false">IF(T719="","",IFERROR(VLOOKUP(T719,REPS!$A$2:$D$40,2,0),""))</f>
        <v/>
      </c>
      <c r="V719" s="31" t="str">
        <f aca="false">IF(O719="","",IF(U719="",0,O719*IF(U719&gt;1,U719/100,U719)))</f>
        <v/>
      </c>
      <c r="W719" s="28"/>
      <c r="X719" s="34" t="str">
        <f aca="false">IF(W719="","",IFERROR(VLOOKUP(W719,REPS!$A$2:$D$40,3,0),""))</f>
        <v/>
      </c>
      <c r="Y719" s="31" t="str">
        <f aca="false">IF(O719="","",IF(X719="",0,O719*IF(X719&gt;1,X719/100,X719)))</f>
        <v/>
      </c>
      <c r="Z719" s="28"/>
      <c r="AA719" s="34" t="str">
        <f aca="false">IF(Z719="","",IFERROR(VLOOKUP(Z719,REPS!$A$2:$D$40,4,0),""))</f>
        <v/>
      </c>
      <c r="AB719" s="31" t="str">
        <f aca="false">IF(O719="","",IF(AA719="",0,O719*IF(AA719&gt;1,AA719/100,AA719)))</f>
        <v/>
      </c>
      <c r="AC719" s="31" t="str">
        <f aca="false">IF(O719="","",V719+Y719+AB719)</f>
        <v/>
      </c>
      <c r="AD719" s="19" t="str">
        <f aca="false">IF(O719="","",O719-R719-AC719)</f>
        <v/>
      </c>
      <c r="AE719" s="20"/>
      <c r="AF719" s="27"/>
      <c r="AG719" s="21" t="n">
        <f aca="false">IF(OR(AE719="",AE719=0),0,AE719*IF(U719="",0,IF(U719&gt;1,U719/100,U719)))</f>
        <v>0</v>
      </c>
      <c r="AH719" s="21" t="n">
        <f aca="false">IF(OR(AE719="",AE719=0),0,AE719*IF(X719="",0,IF(X719&gt;1,X719/100,X719)))</f>
        <v>0</v>
      </c>
      <c r="AI719" s="21" t="n">
        <f aca="false">IF(OR(AE719="",AE719=0),0,AE719*IF(AA719="",0,IF(AA719&gt;1,AA719/100,AA719)))</f>
        <v>0</v>
      </c>
      <c r="AJ719" s="21" t="n">
        <f aca="false">AG719+AH719+AI719</f>
        <v>0</v>
      </c>
      <c r="AK719" s="21" t="n">
        <f aca="false">IF(OR(AE719="",AE719=0),0,AE719-AJ719)</f>
        <v>0</v>
      </c>
      <c r="AL719" s="19" t="str">
        <f aca="false">IF(AD719="","",AD719-AK719)</f>
        <v/>
      </c>
      <c r="AM719" s="26" t="str">
        <f aca="false">IF(C719="","","Waiting for payment")</f>
        <v/>
      </c>
      <c r="AN719" s="27"/>
      <c r="AO719" s="27"/>
      <c r="AP719" s="35" t="str">
        <f aca="false">IF(OR(C719="",I719="",K719=""),"",IF(K719="Monthly",EDATE(C719,ROUND(I719*SETTINGS!$I$8,0)),WORKDAY(C719,ROUND(I719*SETTINGS!$I$8,0))))</f>
        <v/>
      </c>
      <c r="AQ719" s="26" t="str">
        <f aca="true">IF(C719="","",IF(AND(AP719&lt;&gt;"",TODAY()&gt;=AP719),"Refi Ready",IF(TODAY()-C719&gt;=SETTINGS!$I$11,"Prospecting","Performing")))</f>
        <v/>
      </c>
      <c r="AR719" s="35" t="str">
        <f aca="false">IF(OR(C719="",I719="",K719=""),"",IF(K719="Monthly",EDATE(C719,I719),WORKDAY(C719,I719)))</f>
        <v/>
      </c>
      <c r="AS719" s="28"/>
      <c r="AT719" s="36" t="str">
        <f aca="true">IF(C719="","",IF(AM719="Clawed Back","CLAWED",IF(TODAY()&lt;=C719+SETTINGS!$I$2,"⚠ AT RISK","SAFE")))</f>
        <v/>
      </c>
      <c r="AU719" s="28"/>
      <c r="AW719" s="24" t="n">
        <f aca="false">AW718+IF(AND(C719&lt;&gt;"",AO719&lt;&gt;"",OR('REP COMMISSION'!$B$3="",T719='REP COMMISSION'!$B$3,W719='REP COMMISSION'!$B$3,Z719='REP COMMISSION'!$B$3)),1,0)</f>
        <v>0</v>
      </c>
      <c r="AX719" s="24" t="n">
        <f aca="false">AX718+IF(AND(C719&lt;&gt;"",OR(F719="LOC - INITIAL",F719="CONSOLIDATION - UPFRONT COMM",F719="REVERSE - TOTAL FUNDING")),1,0)</f>
        <v>0</v>
      </c>
    </row>
    <row r="720" customFormat="false" ht="15" hidden="false" customHeight="false" outlineLevel="0" collapsed="false">
      <c r="A720" s="8" t="str">
        <f aca="false">IF(C720&lt;&gt;"","F27-"&amp;COUNT($C$4:C720),"")</f>
        <v/>
      </c>
      <c r="B720" s="9" t="str">
        <f aca="false">IF(OR(F720="LOC - INITIAL",F720="CONSOLIDATION - UPFRONT COMM",F720="REVERSE - TOTAL FUNDING"),A720,"")</f>
        <v/>
      </c>
      <c r="C720" s="10"/>
      <c r="D720" s="11"/>
      <c r="E720" s="11"/>
      <c r="F720" s="11"/>
      <c r="G720" s="12"/>
      <c r="H720" s="13"/>
      <c r="I720" s="11"/>
      <c r="J720" s="14" t="str">
        <f aca="false">IF(AND(G720&lt;&gt;"",H720&lt;&gt;""),G720*H720,"")</f>
        <v/>
      </c>
      <c r="K720" s="11"/>
      <c r="L720" s="15"/>
      <c r="M720" s="15"/>
      <c r="N720" s="14" t="n">
        <f aca="false">IF(OR(G720="",M720=""),0,IF(M720&gt;100,M720,G720*IF(M720&gt;1,M720/100,M720)))</f>
        <v>0</v>
      </c>
      <c r="O720" s="14" t="str">
        <f aca="false">IF(G720="","",G720*IF(L720="",0,IF(L720&gt;1,L720/100,L720))+N720)</f>
        <v/>
      </c>
      <c r="P720" s="11"/>
      <c r="Q720" s="16" t="str">
        <f aca="false">IF(P720="","",IFERROR(VLOOKUP(P720,PARTNERS!$A$2:$B$30,2,0),""))</f>
        <v/>
      </c>
      <c r="R720" s="17" t="str">
        <f aca="false">IF(O720="","",IF(OR(P720="",Q720=""),0,(O720-N720)*IF(Q720&gt;1,Q720/100,Q720)))</f>
        <v/>
      </c>
      <c r="S720" s="14" t="str">
        <f aca="false">IF(O720="","",O720-R720)</f>
        <v/>
      </c>
      <c r="T720" s="11"/>
      <c r="U720" s="18" t="str">
        <f aca="false">IF(T720="","",IFERROR(VLOOKUP(T720,REPS!$A$2:$D$40,2,0),""))</f>
        <v/>
      </c>
      <c r="V720" s="14" t="str">
        <f aca="false">IF(O720="","",IF(U720="",0,O720*IF(U720&gt;1,U720/100,U720)))</f>
        <v/>
      </c>
      <c r="W720" s="11"/>
      <c r="X720" s="18" t="str">
        <f aca="false">IF(W720="","",IFERROR(VLOOKUP(W720,REPS!$A$2:$D$40,3,0),""))</f>
        <v/>
      </c>
      <c r="Y720" s="14" t="str">
        <f aca="false">IF(O720="","",IF(X720="",0,O720*IF(X720&gt;1,X720/100,X720)))</f>
        <v/>
      </c>
      <c r="Z720" s="11"/>
      <c r="AA720" s="18" t="str">
        <f aca="false">IF(Z720="","",IFERROR(VLOOKUP(Z720,REPS!$A$2:$D$40,4,0),""))</f>
        <v/>
      </c>
      <c r="AB720" s="14" t="str">
        <f aca="false">IF(O720="","",IF(AA720="",0,O720*IF(AA720&gt;1,AA720/100,AA720)))</f>
        <v/>
      </c>
      <c r="AC720" s="14" t="str">
        <f aca="false">IF(O720="","",V720+Y720+AB720)</f>
        <v/>
      </c>
      <c r="AD720" s="19" t="str">
        <f aca="false">IF(O720="","",O720-R720-AC720)</f>
        <v/>
      </c>
      <c r="AE720" s="20"/>
      <c r="AF720" s="10"/>
      <c r="AG720" s="21" t="n">
        <f aca="false">IF(OR(AE720="",AE720=0),0,AE720*IF(U720="",0,IF(U720&gt;1,U720/100,U720)))</f>
        <v>0</v>
      </c>
      <c r="AH720" s="21" t="n">
        <f aca="false">IF(OR(AE720="",AE720=0),0,AE720*IF(X720="",0,IF(X720&gt;1,X720/100,X720)))</f>
        <v>0</v>
      </c>
      <c r="AI720" s="21" t="n">
        <f aca="false">IF(OR(AE720="",AE720=0),0,AE720*IF(AA720="",0,IF(AA720&gt;1,AA720/100,AA720)))</f>
        <v>0</v>
      </c>
      <c r="AJ720" s="21" t="n">
        <f aca="false">AG720+AH720+AI720</f>
        <v>0</v>
      </c>
      <c r="AK720" s="21" t="n">
        <f aca="false">IF(OR(AE720="",AE720=0),0,AE720-AJ720)</f>
        <v>0</v>
      </c>
      <c r="AL720" s="19" t="str">
        <f aca="false">IF(AD720="","",AD720-AK720)</f>
        <v/>
      </c>
      <c r="AM720" s="9" t="str">
        <f aca="false">IF(C720="","","Waiting for payment")</f>
        <v/>
      </c>
      <c r="AN720" s="10"/>
      <c r="AO720" s="10"/>
      <c r="AP720" s="22" t="str">
        <f aca="false">IF(OR(C720="",I720="",K720=""),"",IF(K720="Monthly",EDATE(C720,ROUND(I720*SETTINGS!$I$8,0)),WORKDAY(C720,ROUND(I720*SETTINGS!$I$8,0))))</f>
        <v/>
      </c>
      <c r="AQ720" s="9" t="str">
        <f aca="true">IF(C720="","",IF(AND(AP720&lt;&gt;"",TODAY()&gt;=AP720),"Refi Ready",IF(TODAY()-C720&gt;=SETTINGS!$I$11,"Prospecting","Performing")))</f>
        <v/>
      </c>
      <c r="AR720" s="22" t="str">
        <f aca="false">IF(OR(C720="",I720="",K720=""),"",IF(K720="Monthly",EDATE(C720,I720),WORKDAY(C720,I720)))</f>
        <v/>
      </c>
      <c r="AS720" s="11"/>
      <c r="AT720" s="23" t="str">
        <f aca="true">IF(C720="","",IF(AM720="Clawed Back","CLAWED",IF(TODAY()&lt;=C720+SETTINGS!$I$2,"⚠ AT RISK","SAFE")))</f>
        <v/>
      </c>
      <c r="AU720" s="11"/>
      <c r="AW720" s="24" t="n">
        <f aca="false">AW719+IF(AND(C720&lt;&gt;"",AO720&lt;&gt;"",OR('REP COMMISSION'!$B$3="",T720='REP COMMISSION'!$B$3,W720='REP COMMISSION'!$B$3,Z720='REP COMMISSION'!$B$3)),1,0)</f>
        <v>0</v>
      </c>
      <c r="AX720" s="24" t="n">
        <f aca="false">AX719+IF(AND(C720&lt;&gt;"",OR(F720="LOC - INITIAL",F720="CONSOLIDATION - UPFRONT COMM",F720="REVERSE - TOTAL FUNDING")),1,0)</f>
        <v>0</v>
      </c>
    </row>
    <row r="721" customFormat="false" ht="15" hidden="false" customHeight="false" outlineLevel="0" collapsed="false">
      <c r="A721" s="25" t="str">
        <f aca="false">IF(C721&lt;&gt;"","F27-"&amp;COUNT($C$4:C721),"")</f>
        <v/>
      </c>
      <c r="B721" s="26" t="str">
        <f aca="false">IF(OR(F721="LOC - INITIAL",F721="CONSOLIDATION - UPFRONT COMM",F721="REVERSE - TOTAL FUNDING"),A721,"")</f>
        <v/>
      </c>
      <c r="C721" s="27"/>
      <c r="D721" s="28"/>
      <c r="E721" s="28"/>
      <c r="F721" s="28"/>
      <c r="G721" s="29"/>
      <c r="H721" s="30"/>
      <c r="I721" s="28"/>
      <c r="J721" s="31" t="str">
        <f aca="false">IF(AND(G721&lt;&gt;"",H721&lt;&gt;""),G721*H721,"")</f>
        <v/>
      </c>
      <c r="K721" s="28"/>
      <c r="L721" s="32"/>
      <c r="M721" s="32"/>
      <c r="N721" s="31" t="n">
        <f aca="false">IF(OR(G721="",M721=""),0,IF(M721&gt;100,M721,G721*IF(M721&gt;1,M721/100,M721)))</f>
        <v>0</v>
      </c>
      <c r="O721" s="31" t="str">
        <f aca="false">IF(G721="","",G721*IF(L721="",0,IF(L721&gt;1,L721/100,L721))+N721)</f>
        <v/>
      </c>
      <c r="P721" s="28"/>
      <c r="Q721" s="33" t="str">
        <f aca="false">IF(P721="","",IFERROR(VLOOKUP(P721,PARTNERS!$A$2:$B$30,2,0),""))</f>
        <v/>
      </c>
      <c r="R721" s="17" t="str">
        <f aca="false">IF(O721="","",IF(OR(P721="",Q721=""),0,(O721-N721)*IF(Q721&gt;1,Q721/100,Q721)))</f>
        <v/>
      </c>
      <c r="S721" s="31" t="str">
        <f aca="false">IF(O721="","",O721-R721)</f>
        <v/>
      </c>
      <c r="T721" s="28"/>
      <c r="U721" s="34" t="str">
        <f aca="false">IF(T721="","",IFERROR(VLOOKUP(T721,REPS!$A$2:$D$40,2,0),""))</f>
        <v/>
      </c>
      <c r="V721" s="31" t="str">
        <f aca="false">IF(O721="","",IF(U721="",0,O721*IF(U721&gt;1,U721/100,U721)))</f>
        <v/>
      </c>
      <c r="W721" s="28"/>
      <c r="X721" s="34" t="str">
        <f aca="false">IF(W721="","",IFERROR(VLOOKUP(W721,REPS!$A$2:$D$40,3,0),""))</f>
        <v/>
      </c>
      <c r="Y721" s="31" t="str">
        <f aca="false">IF(O721="","",IF(X721="",0,O721*IF(X721&gt;1,X721/100,X721)))</f>
        <v/>
      </c>
      <c r="Z721" s="28"/>
      <c r="AA721" s="34" t="str">
        <f aca="false">IF(Z721="","",IFERROR(VLOOKUP(Z721,REPS!$A$2:$D$40,4,0),""))</f>
        <v/>
      </c>
      <c r="AB721" s="31" t="str">
        <f aca="false">IF(O721="","",IF(AA721="",0,O721*IF(AA721&gt;1,AA721/100,AA721)))</f>
        <v/>
      </c>
      <c r="AC721" s="31" t="str">
        <f aca="false">IF(O721="","",V721+Y721+AB721)</f>
        <v/>
      </c>
      <c r="AD721" s="19" t="str">
        <f aca="false">IF(O721="","",O721-R721-AC721)</f>
        <v/>
      </c>
      <c r="AE721" s="20"/>
      <c r="AF721" s="27"/>
      <c r="AG721" s="21" t="n">
        <f aca="false">IF(OR(AE721="",AE721=0),0,AE721*IF(U721="",0,IF(U721&gt;1,U721/100,U721)))</f>
        <v>0</v>
      </c>
      <c r="AH721" s="21" t="n">
        <f aca="false">IF(OR(AE721="",AE721=0),0,AE721*IF(X721="",0,IF(X721&gt;1,X721/100,X721)))</f>
        <v>0</v>
      </c>
      <c r="AI721" s="21" t="n">
        <f aca="false">IF(OR(AE721="",AE721=0),0,AE721*IF(AA721="",0,IF(AA721&gt;1,AA721/100,AA721)))</f>
        <v>0</v>
      </c>
      <c r="AJ721" s="21" t="n">
        <f aca="false">AG721+AH721+AI721</f>
        <v>0</v>
      </c>
      <c r="AK721" s="21" t="n">
        <f aca="false">IF(OR(AE721="",AE721=0),0,AE721-AJ721)</f>
        <v>0</v>
      </c>
      <c r="AL721" s="19" t="str">
        <f aca="false">IF(AD721="","",AD721-AK721)</f>
        <v/>
      </c>
      <c r="AM721" s="26" t="str">
        <f aca="false">IF(C721="","","Waiting for payment")</f>
        <v/>
      </c>
      <c r="AN721" s="27"/>
      <c r="AO721" s="27"/>
      <c r="AP721" s="35" t="str">
        <f aca="false">IF(OR(C721="",I721="",K721=""),"",IF(K721="Monthly",EDATE(C721,ROUND(I721*SETTINGS!$I$8,0)),WORKDAY(C721,ROUND(I721*SETTINGS!$I$8,0))))</f>
        <v/>
      </c>
      <c r="AQ721" s="26" t="str">
        <f aca="true">IF(C721="","",IF(AND(AP721&lt;&gt;"",TODAY()&gt;=AP721),"Refi Ready",IF(TODAY()-C721&gt;=SETTINGS!$I$11,"Prospecting","Performing")))</f>
        <v/>
      </c>
      <c r="AR721" s="35" t="str">
        <f aca="false">IF(OR(C721="",I721="",K721=""),"",IF(K721="Monthly",EDATE(C721,I721),WORKDAY(C721,I721)))</f>
        <v/>
      </c>
      <c r="AS721" s="28"/>
      <c r="AT721" s="36" t="str">
        <f aca="true">IF(C721="","",IF(AM721="Clawed Back","CLAWED",IF(TODAY()&lt;=C721+SETTINGS!$I$2,"⚠ AT RISK","SAFE")))</f>
        <v/>
      </c>
      <c r="AU721" s="28"/>
      <c r="AW721" s="24" t="n">
        <f aca="false">AW720+IF(AND(C721&lt;&gt;"",AO721&lt;&gt;"",OR('REP COMMISSION'!$B$3="",T721='REP COMMISSION'!$B$3,W721='REP COMMISSION'!$B$3,Z721='REP COMMISSION'!$B$3)),1,0)</f>
        <v>0</v>
      </c>
      <c r="AX721" s="24" t="n">
        <f aca="false">AX720+IF(AND(C721&lt;&gt;"",OR(F721="LOC - INITIAL",F721="CONSOLIDATION - UPFRONT COMM",F721="REVERSE - TOTAL FUNDING")),1,0)</f>
        <v>0</v>
      </c>
    </row>
    <row r="722" customFormat="false" ht="15" hidden="false" customHeight="false" outlineLevel="0" collapsed="false">
      <c r="A722" s="8" t="str">
        <f aca="false">IF(C722&lt;&gt;"","F27-"&amp;COUNT($C$4:C722),"")</f>
        <v/>
      </c>
      <c r="B722" s="9" t="str">
        <f aca="false">IF(OR(F722="LOC - INITIAL",F722="CONSOLIDATION - UPFRONT COMM",F722="REVERSE - TOTAL FUNDING"),A722,"")</f>
        <v/>
      </c>
      <c r="C722" s="10"/>
      <c r="D722" s="11"/>
      <c r="E722" s="11"/>
      <c r="F722" s="11"/>
      <c r="G722" s="12"/>
      <c r="H722" s="13"/>
      <c r="I722" s="11"/>
      <c r="J722" s="14" t="str">
        <f aca="false">IF(AND(G722&lt;&gt;"",H722&lt;&gt;""),G722*H722,"")</f>
        <v/>
      </c>
      <c r="K722" s="11"/>
      <c r="L722" s="15"/>
      <c r="M722" s="15"/>
      <c r="N722" s="14" t="n">
        <f aca="false">IF(OR(G722="",M722=""),0,IF(M722&gt;100,M722,G722*IF(M722&gt;1,M722/100,M722)))</f>
        <v>0</v>
      </c>
      <c r="O722" s="14" t="str">
        <f aca="false">IF(G722="","",G722*IF(L722="",0,IF(L722&gt;1,L722/100,L722))+N722)</f>
        <v/>
      </c>
      <c r="P722" s="11"/>
      <c r="Q722" s="16" t="str">
        <f aca="false">IF(P722="","",IFERROR(VLOOKUP(P722,PARTNERS!$A$2:$B$30,2,0),""))</f>
        <v/>
      </c>
      <c r="R722" s="17" t="str">
        <f aca="false">IF(O722="","",IF(OR(P722="",Q722=""),0,(O722-N722)*IF(Q722&gt;1,Q722/100,Q722)))</f>
        <v/>
      </c>
      <c r="S722" s="14" t="str">
        <f aca="false">IF(O722="","",O722-R722)</f>
        <v/>
      </c>
      <c r="T722" s="11"/>
      <c r="U722" s="18" t="str">
        <f aca="false">IF(T722="","",IFERROR(VLOOKUP(T722,REPS!$A$2:$D$40,2,0),""))</f>
        <v/>
      </c>
      <c r="V722" s="14" t="str">
        <f aca="false">IF(O722="","",IF(U722="",0,O722*IF(U722&gt;1,U722/100,U722)))</f>
        <v/>
      </c>
      <c r="W722" s="11"/>
      <c r="X722" s="18" t="str">
        <f aca="false">IF(W722="","",IFERROR(VLOOKUP(W722,REPS!$A$2:$D$40,3,0),""))</f>
        <v/>
      </c>
      <c r="Y722" s="14" t="str">
        <f aca="false">IF(O722="","",IF(X722="",0,O722*IF(X722&gt;1,X722/100,X722)))</f>
        <v/>
      </c>
      <c r="Z722" s="11"/>
      <c r="AA722" s="18" t="str">
        <f aca="false">IF(Z722="","",IFERROR(VLOOKUP(Z722,REPS!$A$2:$D$40,4,0),""))</f>
        <v/>
      </c>
      <c r="AB722" s="14" t="str">
        <f aca="false">IF(O722="","",IF(AA722="",0,O722*IF(AA722&gt;1,AA722/100,AA722)))</f>
        <v/>
      </c>
      <c r="AC722" s="14" t="str">
        <f aca="false">IF(O722="","",V722+Y722+AB722)</f>
        <v/>
      </c>
      <c r="AD722" s="19" t="str">
        <f aca="false">IF(O722="","",O722-R722-AC722)</f>
        <v/>
      </c>
      <c r="AE722" s="20"/>
      <c r="AF722" s="10"/>
      <c r="AG722" s="21" t="n">
        <f aca="false">IF(OR(AE722="",AE722=0),0,AE722*IF(U722="",0,IF(U722&gt;1,U722/100,U722)))</f>
        <v>0</v>
      </c>
      <c r="AH722" s="21" t="n">
        <f aca="false">IF(OR(AE722="",AE722=0),0,AE722*IF(X722="",0,IF(X722&gt;1,X722/100,X722)))</f>
        <v>0</v>
      </c>
      <c r="AI722" s="21" t="n">
        <f aca="false">IF(OR(AE722="",AE722=0),0,AE722*IF(AA722="",0,IF(AA722&gt;1,AA722/100,AA722)))</f>
        <v>0</v>
      </c>
      <c r="AJ722" s="21" t="n">
        <f aca="false">AG722+AH722+AI722</f>
        <v>0</v>
      </c>
      <c r="AK722" s="21" t="n">
        <f aca="false">IF(OR(AE722="",AE722=0),0,AE722-AJ722)</f>
        <v>0</v>
      </c>
      <c r="AL722" s="19" t="str">
        <f aca="false">IF(AD722="","",AD722-AK722)</f>
        <v/>
      </c>
      <c r="AM722" s="9" t="str">
        <f aca="false">IF(C722="","","Waiting for payment")</f>
        <v/>
      </c>
      <c r="AN722" s="10"/>
      <c r="AO722" s="10"/>
      <c r="AP722" s="22" t="str">
        <f aca="false">IF(OR(C722="",I722="",K722=""),"",IF(K722="Monthly",EDATE(C722,ROUND(I722*SETTINGS!$I$8,0)),WORKDAY(C722,ROUND(I722*SETTINGS!$I$8,0))))</f>
        <v/>
      </c>
      <c r="AQ722" s="9" t="str">
        <f aca="true">IF(C722="","",IF(AND(AP722&lt;&gt;"",TODAY()&gt;=AP722),"Refi Ready",IF(TODAY()-C722&gt;=SETTINGS!$I$11,"Prospecting","Performing")))</f>
        <v/>
      </c>
      <c r="AR722" s="22" t="str">
        <f aca="false">IF(OR(C722="",I722="",K722=""),"",IF(K722="Monthly",EDATE(C722,I722),WORKDAY(C722,I722)))</f>
        <v/>
      </c>
      <c r="AS722" s="11"/>
      <c r="AT722" s="23" t="str">
        <f aca="true">IF(C722="","",IF(AM722="Clawed Back","CLAWED",IF(TODAY()&lt;=C722+SETTINGS!$I$2,"⚠ AT RISK","SAFE")))</f>
        <v/>
      </c>
      <c r="AU722" s="11"/>
      <c r="AW722" s="24" t="n">
        <f aca="false">AW721+IF(AND(C722&lt;&gt;"",AO722&lt;&gt;"",OR('REP COMMISSION'!$B$3="",T722='REP COMMISSION'!$B$3,W722='REP COMMISSION'!$B$3,Z722='REP COMMISSION'!$B$3)),1,0)</f>
        <v>0</v>
      </c>
      <c r="AX722" s="24" t="n">
        <f aca="false">AX721+IF(AND(C722&lt;&gt;"",OR(F722="LOC - INITIAL",F722="CONSOLIDATION - UPFRONT COMM",F722="REVERSE - TOTAL FUNDING")),1,0)</f>
        <v>0</v>
      </c>
    </row>
    <row r="723" customFormat="false" ht="15" hidden="false" customHeight="false" outlineLevel="0" collapsed="false">
      <c r="A723" s="25" t="str">
        <f aca="false">IF(C723&lt;&gt;"","F27-"&amp;COUNT($C$4:C723),"")</f>
        <v/>
      </c>
      <c r="B723" s="26" t="str">
        <f aca="false">IF(OR(F723="LOC - INITIAL",F723="CONSOLIDATION - UPFRONT COMM",F723="REVERSE - TOTAL FUNDING"),A723,"")</f>
        <v/>
      </c>
      <c r="C723" s="27"/>
      <c r="D723" s="28"/>
      <c r="E723" s="28"/>
      <c r="F723" s="28"/>
      <c r="G723" s="29"/>
      <c r="H723" s="30"/>
      <c r="I723" s="28"/>
      <c r="J723" s="31" t="str">
        <f aca="false">IF(AND(G723&lt;&gt;"",H723&lt;&gt;""),G723*H723,"")</f>
        <v/>
      </c>
      <c r="K723" s="28"/>
      <c r="L723" s="32"/>
      <c r="M723" s="32"/>
      <c r="N723" s="31" t="n">
        <f aca="false">IF(OR(G723="",M723=""),0,IF(M723&gt;100,M723,G723*IF(M723&gt;1,M723/100,M723)))</f>
        <v>0</v>
      </c>
      <c r="O723" s="31" t="str">
        <f aca="false">IF(G723="","",G723*IF(L723="",0,IF(L723&gt;1,L723/100,L723))+N723)</f>
        <v/>
      </c>
      <c r="P723" s="28"/>
      <c r="Q723" s="33" t="str">
        <f aca="false">IF(P723="","",IFERROR(VLOOKUP(P723,PARTNERS!$A$2:$B$30,2,0),""))</f>
        <v/>
      </c>
      <c r="R723" s="17" t="str">
        <f aca="false">IF(O723="","",IF(OR(P723="",Q723=""),0,(O723-N723)*IF(Q723&gt;1,Q723/100,Q723)))</f>
        <v/>
      </c>
      <c r="S723" s="31" t="str">
        <f aca="false">IF(O723="","",O723-R723)</f>
        <v/>
      </c>
      <c r="T723" s="28"/>
      <c r="U723" s="34" t="str">
        <f aca="false">IF(T723="","",IFERROR(VLOOKUP(T723,REPS!$A$2:$D$40,2,0),""))</f>
        <v/>
      </c>
      <c r="V723" s="31" t="str">
        <f aca="false">IF(O723="","",IF(U723="",0,O723*IF(U723&gt;1,U723/100,U723)))</f>
        <v/>
      </c>
      <c r="W723" s="28"/>
      <c r="X723" s="34" t="str">
        <f aca="false">IF(W723="","",IFERROR(VLOOKUP(W723,REPS!$A$2:$D$40,3,0),""))</f>
        <v/>
      </c>
      <c r="Y723" s="31" t="str">
        <f aca="false">IF(O723="","",IF(X723="",0,O723*IF(X723&gt;1,X723/100,X723)))</f>
        <v/>
      </c>
      <c r="Z723" s="28"/>
      <c r="AA723" s="34" t="str">
        <f aca="false">IF(Z723="","",IFERROR(VLOOKUP(Z723,REPS!$A$2:$D$40,4,0),""))</f>
        <v/>
      </c>
      <c r="AB723" s="31" t="str">
        <f aca="false">IF(O723="","",IF(AA723="",0,O723*IF(AA723&gt;1,AA723/100,AA723)))</f>
        <v/>
      </c>
      <c r="AC723" s="31" t="str">
        <f aca="false">IF(O723="","",V723+Y723+AB723)</f>
        <v/>
      </c>
      <c r="AD723" s="19" t="str">
        <f aca="false">IF(O723="","",O723-R723-AC723)</f>
        <v/>
      </c>
      <c r="AE723" s="20"/>
      <c r="AF723" s="27"/>
      <c r="AG723" s="21" t="n">
        <f aca="false">IF(OR(AE723="",AE723=0),0,AE723*IF(U723="",0,IF(U723&gt;1,U723/100,U723)))</f>
        <v>0</v>
      </c>
      <c r="AH723" s="21" t="n">
        <f aca="false">IF(OR(AE723="",AE723=0),0,AE723*IF(X723="",0,IF(X723&gt;1,X723/100,X723)))</f>
        <v>0</v>
      </c>
      <c r="AI723" s="21" t="n">
        <f aca="false">IF(OR(AE723="",AE723=0),0,AE723*IF(AA723="",0,IF(AA723&gt;1,AA723/100,AA723)))</f>
        <v>0</v>
      </c>
      <c r="AJ723" s="21" t="n">
        <f aca="false">AG723+AH723+AI723</f>
        <v>0</v>
      </c>
      <c r="AK723" s="21" t="n">
        <f aca="false">IF(OR(AE723="",AE723=0),0,AE723-AJ723)</f>
        <v>0</v>
      </c>
      <c r="AL723" s="19" t="str">
        <f aca="false">IF(AD723="","",AD723-AK723)</f>
        <v/>
      </c>
      <c r="AM723" s="26" t="str">
        <f aca="false">IF(C723="","","Waiting for payment")</f>
        <v/>
      </c>
      <c r="AN723" s="27"/>
      <c r="AO723" s="27"/>
      <c r="AP723" s="35" t="str">
        <f aca="false">IF(OR(C723="",I723="",K723=""),"",IF(K723="Monthly",EDATE(C723,ROUND(I723*SETTINGS!$I$8,0)),WORKDAY(C723,ROUND(I723*SETTINGS!$I$8,0))))</f>
        <v/>
      </c>
      <c r="AQ723" s="26" t="str">
        <f aca="true">IF(C723="","",IF(AND(AP723&lt;&gt;"",TODAY()&gt;=AP723),"Refi Ready",IF(TODAY()-C723&gt;=SETTINGS!$I$11,"Prospecting","Performing")))</f>
        <v/>
      </c>
      <c r="AR723" s="35" t="str">
        <f aca="false">IF(OR(C723="",I723="",K723=""),"",IF(K723="Monthly",EDATE(C723,I723),WORKDAY(C723,I723)))</f>
        <v/>
      </c>
      <c r="AS723" s="28"/>
      <c r="AT723" s="36" t="str">
        <f aca="true">IF(C723="","",IF(AM723="Clawed Back","CLAWED",IF(TODAY()&lt;=C723+SETTINGS!$I$2,"⚠ AT RISK","SAFE")))</f>
        <v/>
      </c>
      <c r="AU723" s="28"/>
      <c r="AW723" s="24" t="n">
        <f aca="false">AW722+IF(AND(C723&lt;&gt;"",AO723&lt;&gt;"",OR('REP COMMISSION'!$B$3="",T723='REP COMMISSION'!$B$3,W723='REP COMMISSION'!$B$3,Z723='REP COMMISSION'!$B$3)),1,0)</f>
        <v>0</v>
      </c>
      <c r="AX723" s="24" t="n">
        <f aca="false">AX722+IF(AND(C723&lt;&gt;"",OR(F723="LOC - INITIAL",F723="CONSOLIDATION - UPFRONT COMM",F723="REVERSE - TOTAL FUNDING")),1,0)</f>
        <v>0</v>
      </c>
    </row>
    <row r="724" customFormat="false" ht="15" hidden="false" customHeight="false" outlineLevel="0" collapsed="false">
      <c r="A724" s="8" t="str">
        <f aca="false">IF(C724&lt;&gt;"","F27-"&amp;COUNT($C$4:C724),"")</f>
        <v/>
      </c>
      <c r="B724" s="9" t="str">
        <f aca="false">IF(OR(F724="LOC - INITIAL",F724="CONSOLIDATION - UPFRONT COMM",F724="REVERSE - TOTAL FUNDING"),A724,"")</f>
        <v/>
      </c>
      <c r="C724" s="10"/>
      <c r="D724" s="11"/>
      <c r="E724" s="11"/>
      <c r="F724" s="11"/>
      <c r="G724" s="12"/>
      <c r="H724" s="13"/>
      <c r="I724" s="11"/>
      <c r="J724" s="14" t="str">
        <f aca="false">IF(AND(G724&lt;&gt;"",H724&lt;&gt;""),G724*H724,"")</f>
        <v/>
      </c>
      <c r="K724" s="11"/>
      <c r="L724" s="15"/>
      <c r="M724" s="15"/>
      <c r="N724" s="14" t="n">
        <f aca="false">IF(OR(G724="",M724=""),0,IF(M724&gt;100,M724,G724*IF(M724&gt;1,M724/100,M724)))</f>
        <v>0</v>
      </c>
      <c r="O724" s="14" t="str">
        <f aca="false">IF(G724="","",G724*IF(L724="",0,IF(L724&gt;1,L724/100,L724))+N724)</f>
        <v/>
      </c>
      <c r="P724" s="11"/>
      <c r="Q724" s="16" t="str">
        <f aca="false">IF(P724="","",IFERROR(VLOOKUP(P724,PARTNERS!$A$2:$B$30,2,0),""))</f>
        <v/>
      </c>
      <c r="R724" s="17" t="str">
        <f aca="false">IF(O724="","",IF(OR(P724="",Q724=""),0,(O724-N724)*IF(Q724&gt;1,Q724/100,Q724)))</f>
        <v/>
      </c>
      <c r="S724" s="14" t="str">
        <f aca="false">IF(O724="","",O724-R724)</f>
        <v/>
      </c>
      <c r="T724" s="11"/>
      <c r="U724" s="18" t="str">
        <f aca="false">IF(T724="","",IFERROR(VLOOKUP(T724,REPS!$A$2:$D$40,2,0),""))</f>
        <v/>
      </c>
      <c r="V724" s="14" t="str">
        <f aca="false">IF(O724="","",IF(U724="",0,O724*IF(U724&gt;1,U724/100,U724)))</f>
        <v/>
      </c>
      <c r="W724" s="11"/>
      <c r="X724" s="18" t="str">
        <f aca="false">IF(W724="","",IFERROR(VLOOKUP(W724,REPS!$A$2:$D$40,3,0),""))</f>
        <v/>
      </c>
      <c r="Y724" s="14" t="str">
        <f aca="false">IF(O724="","",IF(X724="",0,O724*IF(X724&gt;1,X724/100,X724)))</f>
        <v/>
      </c>
      <c r="Z724" s="11"/>
      <c r="AA724" s="18" t="str">
        <f aca="false">IF(Z724="","",IFERROR(VLOOKUP(Z724,REPS!$A$2:$D$40,4,0),""))</f>
        <v/>
      </c>
      <c r="AB724" s="14" t="str">
        <f aca="false">IF(O724="","",IF(AA724="",0,O724*IF(AA724&gt;1,AA724/100,AA724)))</f>
        <v/>
      </c>
      <c r="AC724" s="14" t="str">
        <f aca="false">IF(O724="","",V724+Y724+AB724)</f>
        <v/>
      </c>
      <c r="AD724" s="19" t="str">
        <f aca="false">IF(O724="","",O724-R724-AC724)</f>
        <v/>
      </c>
      <c r="AE724" s="20"/>
      <c r="AF724" s="10"/>
      <c r="AG724" s="21" t="n">
        <f aca="false">IF(OR(AE724="",AE724=0),0,AE724*IF(U724="",0,IF(U724&gt;1,U724/100,U724)))</f>
        <v>0</v>
      </c>
      <c r="AH724" s="21" t="n">
        <f aca="false">IF(OR(AE724="",AE724=0),0,AE724*IF(X724="",0,IF(X724&gt;1,X724/100,X724)))</f>
        <v>0</v>
      </c>
      <c r="AI724" s="21" t="n">
        <f aca="false">IF(OR(AE724="",AE724=0),0,AE724*IF(AA724="",0,IF(AA724&gt;1,AA724/100,AA724)))</f>
        <v>0</v>
      </c>
      <c r="AJ724" s="21" t="n">
        <f aca="false">AG724+AH724+AI724</f>
        <v>0</v>
      </c>
      <c r="AK724" s="21" t="n">
        <f aca="false">IF(OR(AE724="",AE724=0),0,AE724-AJ724)</f>
        <v>0</v>
      </c>
      <c r="AL724" s="19" t="str">
        <f aca="false">IF(AD724="","",AD724-AK724)</f>
        <v/>
      </c>
      <c r="AM724" s="9" t="str">
        <f aca="false">IF(C724="","","Waiting for payment")</f>
        <v/>
      </c>
      <c r="AN724" s="10"/>
      <c r="AO724" s="10"/>
      <c r="AP724" s="22" t="str">
        <f aca="false">IF(OR(C724="",I724="",K724=""),"",IF(K724="Monthly",EDATE(C724,ROUND(I724*SETTINGS!$I$8,0)),WORKDAY(C724,ROUND(I724*SETTINGS!$I$8,0))))</f>
        <v/>
      </c>
      <c r="AQ724" s="9" t="str">
        <f aca="true">IF(C724="","",IF(AND(AP724&lt;&gt;"",TODAY()&gt;=AP724),"Refi Ready",IF(TODAY()-C724&gt;=SETTINGS!$I$11,"Prospecting","Performing")))</f>
        <v/>
      </c>
      <c r="AR724" s="22" t="str">
        <f aca="false">IF(OR(C724="",I724="",K724=""),"",IF(K724="Monthly",EDATE(C724,I724),WORKDAY(C724,I724)))</f>
        <v/>
      </c>
      <c r="AS724" s="11"/>
      <c r="AT724" s="23" t="str">
        <f aca="true">IF(C724="","",IF(AM724="Clawed Back","CLAWED",IF(TODAY()&lt;=C724+SETTINGS!$I$2,"⚠ AT RISK","SAFE")))</f>
        <v/>
      </c>
      <c r="AU724" s="11"/>
      <c r="AW724" s="24" t="n">
        <f aca="false">AW723+IF(AND(C724&lt;&gt;"",AO724&lt;&gt;"",OR('REP COMMISSION'!$B$3="",T724='REP COMMISSION'!$B$3,W724='REP COMMISSION'!$B$3,Z724='REP COMMISSION'!$B$3)),1,0)</f>
        <v>0</v>
      </c>
      <c r="AX724" s="24" t="n">
        <f aca="false">AX723+IF(AND(C724&lt;&gt;"",OR(F724="LOC - INITIAL",F724="CONSOLIDATION - UPFRONT COMM",F724="REVERSE - TOTAL FUNDING")),1,0)</f>
        <v>0</v>
      </c>
    </row>
    <row r="725" customFormat="false" ht="15" hidden="false" customHeight="false" outlineLevel="0" collapsed="false">
      <c r="A725" s="25" t="str">
        <f aca="false">IF(C725&lt;&gt;"","F27-"&amp;COUNT($C$4:C725),"")</f>
        <v/>
      </c>
      <c r="B725" s="26" t="str">
        <f aca="false">IF(OR(F725="LOC - INITIAL",F725="CONSOLIDATION - UPFRONT COMM",F725="REVERSE - TOTAL FUNDING"),A725,"")</f>
        <v/>
      </c>
      <c r="C725" s="27"/>
      <c r="D725" s="28"/>
      <c r="E725" s="28"/>
      <c r="F725" s="28"/>
      <c r="G725" s="29"/>
      <c r="H725" s="30"/>
      <c r="I725" s="28"/>
      <c r="J725" s="31" t="str">
        <f aca="false">IF(AND(G725&lt;&gt;"",H725&lt;&gt;""),G725*H725,"")</f>
        <v/>
      </c>
      <c r="K725" s="28"/>
      <c r="L725" s="32"/>
      <c r="M725" s="32"/>
      <c r="N725" s="31" t="n">
        <f aca="false">IF(OR(G725="",M725=""),0,IF(M725&gt;100,M725,G725*IF(M725&gt;1,M725/100,M725)))</f>
        <v>0</v>
      </c>
      <c r="O725" s="31" t="str">
        <f aca="false">IF(G725="","",G725*IF(L725="",0,IF(L725&gt;1,L725/100,L725))+N725)</f>
        <v/>
      </c>
      <c r="P725" s="28"/>
      <c r="Q725" s="33" t="str">
        <f aca="false">IF(P725="","",IFERROR(VLOOKUP(P725,PARTNERS!$A$2:$B$30,2,0),""))</f>
        <v/>
      </c>
      <c r="R725" s="17" t="str">
        <f aca="false">IF(O725="","",IF(OR(P725="",Q725=""),0,(O725-N725)*IF(Q725&gt;1,Q725/100,Q725)))</f>
        <v/>
      </c>
      <c r="S725" s="31" t="str">
        <f aca="false">IF(O725="","",O725-R725)</f>
        <v/>
      </c>
      <c r="T725" s="28"/>
      <c r="U725" s="34" t="str">
        <f aca="false">IF(T725="","",IFERROR(VLOOKUP(T725,REPS!$A$2:$D$40,2,0),""))</f>
        <v/>
      </c>
      <c r="V725" s="31" t="str">
        <f aca="false">IF(O725="","",IF(U725="",0,O725*IF(U725&gt;1,U725/100,U725)))</f>
        <v/>
      </c>
      <c r="W725" s="28"/>
      <c r="X725" s="34" t="str">
        <f aca="false">IF(W725="","",IFERROR(VLOOKUP(W725,REPS!$A$2:$D$40,3,0),""))</f>
        <v/>
      </c>
      <c r="Y725" s="31" t="str">
        <f aca="false">IF(O725="","",IF(X725="",0,O725*IF(X725&gt;1,X725/100,X725)))</f>
        <v/>
      </c>
      <c r="Z725" s="28"/>
      <c r="AA725" s="34" t="str">
        <f aca="false">IF(Z725="","",IFERROR(VLOOKUP(Z725,REPS!$A$2:$D$40,4,0),""))</f>
        <v/>
      </c>
      <c r="AB725" s="31" t="str">
        <f aca="false">IF(O725="","",IF(AA725="",0,O725*IF(AA725&gt;1,AA725/100,AA725)))</f>
        <v/>
      </c>
      <c r="AC725" s="31" t="str">
        <f aca="false">IF(O725="","",V725+Y725+AB725)</f>
        <v/>
      </c>
      <c r="AD725" s="19" t="str">
        <f aca="false">IF(O725="","",O725-R725-AC725)</f>
        <v/>
      </c>
      <c r="AE725" s="20"/>
      <c r="AF725" s="27"/>
      <c r="AG725" s="21" t="n">
        <f aca="false">IF(OR(AE725="",AE725=0),0,AE725*IF(U725="",0,IF(U725&gt;1,U725/100,U725)))</f>
        <v>0</v>
      </c>
      <c r="AH725" s="21" t="n">
        <f aca="false">IF(OR(AE725="",AE725=0),0,AE725*IF(X725="",0,IF(X725&gt;1,X725/100,X725)))</f>
        <v>0</v>
      </c>
      <c r="AI725" s="21" t="n">
        <f aca="false">IF(OR(AE725="",AE725=0),0,AE725*IF(AA725="",0,IF(AA725&gt;1,AA725/100,AA725)))</f>
        <v>0</v>
      </c>
      <c r="AJ725" s="21" t="n">
        <f aca="false">AG725+AH725+AI725</f>
        <v>0</v>
      </c>
      <c r="AK725" s="21" t="n">
        <f aca="false">IF(OR(AE725="",AE725=0),0,AE725-AJ725)</f>
        <v>0</v>
      </c>
      <c r="AL725" s="19" t="str">
        <f aca="false">IF(AD725="","",AD725-AK725)</f>
        <v/>
      </c>
      <c r="AM725" s="26" t="str">
        <f aca="false">IF(C725="","","Waiting for payment")</f>
        <v/>
      </c>
      <c r="AN725" s="27"/>
      <c r="AO725" s="27"/>
      <c r="AP725" s="35" t="str">
        <f aca="false">IF(OR(C725="",I725="",K725=""),"",IF(K725="Monthly",EDATE(C725,ROUND(I725*SETTINGS!$I$8,0)),WORKDAY(C725,ROUND(I725*SETTINGS!$I$8,0))))</f>
        <v/>
      </c>
      <c r="AQ725" s="26" t="str">
        <f aca="true">IF(C725="","",IF(AND(AP725&lt;&gt;"",TODAY()&gt;=AP725),"Refi Ready",IF(TODAY()-C725&gt;=SETTINGS!$I$11,"Prospecting","Performing")))</f>
        <v/>
      </c>
      <c r="AR725" s="35" t="str">
        <f aca="false">IF(OR(C725="",I725="",K725=""),"",IF(K725="Monthly",EDATE(C725,I725),WORKDAY(C725,I725)))</f>
        <v/>
      </c>
      <c r="AS725" s="28"/>
      <c r="AT725" s="36" t="str">
        <f aca="true">IF(C725="","",IF(AM725="Clawed Back","CLAWED",IF(TODAY()&lt;=C725+SETTINGS!$I$2,"⚠ AT RISK","SAFE")))</f>
        <v/>
      </c>
      <c r="AU725" s="28"/>
      <c r="AW725" s="24" t="n">
        <f aca="false">AW724+IF(AND(C725&lt;&gt;"",AO725&lt;&gt;"",OR('REP COMMISSION'!$B$3="",T725='REP COMMISSION'!$B$3,W725='REP COMMISSION'!$B$3,Z725='REP COMMISSION'!$B$3)),1,0)</f>
        <v>0</v>
      </c>
      <c r="AX725" s="24" t="n">
        <f aca="false">AX724+IF(AND(C725&lt;&gt;"",OR(F725="LOC - INITIAL",F725="CONSOLIDATION - UPFRONT COMM",F725="REVERSE - TOTAL FUNDING")),1,0)</f>
        <v>0</v>
      </c>
    </row>
    <row r="726" customFormat="false" ht="15" hidden="false" customHeight="false" outlineLevel="0" collapsed="false">
      <c r="A726" s="8" t="str">
        <f aca="false">IF(C726&lt;&gt;"","F27-"&amp;COUNT($C$4:C726),"")</f>
        <v/>
      </c>
      <c r="B726" s="9" t="str">
        <f aca="false">IF(OR(F726="LOC - INITIAL",F726="CONSOLIDATION - UPFRONT COMM",F726="REVERSE - TOTAL FUNDING"),A726,"")</f>
        <v/>
      </c>
      <c r="C726" s="10"/>
      <c r="D726" s="11"/>
      <c r="E726" s="11"/>
      <c r="F726" s="11"/>
      <c r="G726" s="12"/>
      <c r="H726" s="13"/>
      <c r="I726" s="11"/>
      <c r="J726" s="14" t="str">
        <f aca="false">IF(AND(G726&lt;&gt;"",H726&lt;&gt;""),G726*H726,"")</f>
        <v/>
      </c>
      <c r="K726" s="11"/>
      <c r="L726" s="15"/>
      <c r="M726" s="15"/>
      <c r="N726" s="14" t="n">
        <f aca="false">IF(OR(G726="",M726=""),0,IF(M726&gt;100,M726,G726*IF(M726&gt;1,M726/100,M726)))</f>
        <v>0</v>
      </c>
      <c r="O726" s="14" t="str">
        <f aca="false">IF(G726="","",G726*IF(L726="",0,IF(L726&gt;1,L726/100,L726))+N726)</f>
        <v/>
      </c>
      <c r="P726" s="11"/>
      <c r="Q726" s="16" t="str">
        <f aca="false">IF(P726="","",IFERROR(VLOOKUP(P726,PARTNERS!$A$2:$B$30,2,0),""))</f>
        <v/>
      </c>
      <c r="R726" s="17" t="str">
        <f aca="false">IF(O726="","",IF(OR(P726="",Q726=""),0,(O726-N726)*IF(Q726&gt;1,Q726/100,Q726)))</f>
        <v/>
      </c>
      <c r="S726" s="14" t="str">
        <f aca="false">IF(O726="","",O726-R726)</f>
        <v/>
      </c>
      <c r="T726" s="11"/>
      <c r="U726" s="18" t="str">
        <f aca="false">IF(T726="","",IFERROR(VLOOKUP(T726,REPS!$A$2:$D$40,2,0),""))</f>
        <v/>
      </c>
      <c r="V726" s="14" t="str">
        <f aca="false">IF(O726="","",IF(U726="",0,O726*IF(U726&gt;1,U726/100,U726)))</f>
        <v/>
      </c>
      <c r="W726" s="11"/>
      <c r="X726" s="18" t="str">
        <f aca="false">IF(W726="","",IFERROR(VLOOKUP(W726,REPS!$A$2:$D$40,3,0),""))</f>
        <v/>
      </c>
      <c r="Y726" s="14" t="str">
        <f aca="false">IF(O726="","",IF(X726="",0,O726*IF(X726&gt;1,X726/100,X726)))</f>
        <v/>
      </c>
      <c r="Z726" s="11"/>
      <c r="AA726" s="18" t="str">
        <f aca="false">IF(Z726="","",IFERROR(VLOOKUP(Z726,REPS!$A$2:$D$40,4,0),""))</f>
        <v/>
      </c>
      <c r="AB726" s="14" t="str">
        <f aca="false">IF(O726="","",IF(AA726="",0,O726*IF(AA726&gt;1,AA726/100,AA726)))</f>
        <v/>
      </c>
      <c r="AC726" s="14" t="str">
        <f aca="false">IF(O726="","",V726+Y726+AB726)</f>
        <v/>
      </c>
      <c r="AD726" s="19" t="str">
        <f aca="false">IF(O726="","",O726-R726-AC726)</f>
        <v/>
      </c>
      <c r="AE726" s="20"/>
      <c r="AF726" s="10"/>
      <c r="AG726" s="21" t="n">
        <f aca="false">IF(OR(AE726="",AE726=0),0,AE726*IF(U726="",0,IF(U726&gt;1,U726/100,U726)))</f>
        <v>0</v>
      </c>
      <c r="AH726" s="21" t="n">
        <f aca="false">IF(OR(AE726="",AE726=0),0,AE726*IF(X726="",0,IF(X726&gt;1,X726/100,X726)))</f>
        <v>0</v>
      </c>
      <c r="AI726" s="21" t="n">
        <f aca="false">IF(OR(AE726="",AE726=0),0,AE726*IF(AA726="",0,IF(AA726&gt;1,AA726/100,AA726)))</f>
        <v>0</v>
      </c>
      <c r="AJ726" s="21" t="n">
        <f aca="false">AG726+AH726+AI726</f>
        <v>0</v>
      </c>
      <c r="AK726" s="21" t="n">
        <f aca="false">IF(OR(AE726="",AE726=0),0,AE726-AJ726)</f>
        <v>0</v>
      </c>
      <c r="AL726" s="19" t="str">
        <f aca="false">IF(AD726="","",AD726-AK726)</f>
        <v/>
      </c>
      <c r="AM726" s="9" t="str">
        <f aca="false">IF(C726="","","Waiting for payment")</f>
        <v/>
      </c>
      <c r="AN726" s="10"/>
      <c r="AO726" s="10"/>
      <c r="AP726" s="22" t="str">
        <f aca="false">IF(OR(C726="",I726="",K726=""),"",IF(K726="Monthly",EDATE(C726,ROUND(I726*SETTINGS!$I$8,0)),WORKDAY(C726,ROUND(I726*SETTINGS!$I$8,0))))</f>
        <v/>
      </c>
      <c r="AQ726" s="9" t="str">
        <f aca="true">IF(C726="","",IF(AND(AP726&lt;&gt;"",TODAY()&gt;=AP726),"Refi Ready",IF(TODAY()-C726&gt;=SETTINGS!$I$11,"Prospecting","Performing")))</f>
        <v/>
      </c>
      <c r="AR726" s="22" t="str">
        <f aca="false">IF(OR(C726="",I726="",K726=""),"",IF(K726="Monthly",EDATE(C726,I726),WORKDAY(C726,I726)))</f>
        <v/>
      </c>
      <c r="AS726" s="11"/>
      <c r="AT726" s="23" t="str">
        <f aca="true">IF(C726="","",IF(AM726="Clawed Back","CLAWED",IF(TODAY()&lt;=C726+SETTINGS!$I$2,"⚠ AT RISK","SAFE")))</f>
        <v/>
      </c>
      <c r="AU726" s="11"/>
      <c r="AW726" s="24" t="n">
        <f aca="false">AW725+IF(AND(C726&lt;&gt;"",AO726&lt;&gt;"",OR('REP COMMISSION'!$B$3="",T726='REP COMMISSION'!$B$3,W726='REP COMMISSION'!$B$3,Z726='REP COMMISSION'!$B$3)),1,0)</f>
        <v>0</v>
      </c>
      <c r="AX726" s="24" t="n">
        <f aca="false">AX725+IF(AND(C726&lt;&gt;"",OR(F726="LOC - INITIAL",F726="CONSOLIDATION - UPFRONT COMM",F726="REVERSE - TOTAL FUNDING")),1,0)</f>
        <v>0</v>
      </c>
    </row>
    <row r="727" customFormat="false" ht="15" hidden="false" customHeight="false" outlineLevel="0" collapsed="false">
      <c r="A727" s="25" t="str">
        <f aca="false">IF(C727&lt;&gt;"","F27-"&amp;COUNT($C$4:C727),"")</f>
        <v/>
      </c>
      <c r="B727" s="26" t="str">
        <f aca="false">IF(OR(F727="LOC - INITIAL",F727="CONSOLIDATION - UPFRONT COMM",F727="REVERSE - TOTAL FUNDING"),A727,"")</f>
        <v/>
      </c>
      <c r="C727" s="27"/>
      <c r="D727" s="28"/>
      <c r="E727" s="28"/>
      <c r="F727" s="28"/>
      <c r="G727" s="29"/>
      <c r="H727" s="30"/>
      <c r="I727" s="28"/>
      <c r="J727" s="31" t="str">
        <f aca="false">IF(AND(G727&lt;&gt;"",H727&lt;&gt;""),G727*H727,"")</f>
        <v/>
      </c>
      <c r="K727" s="28"/>
      <c r="L727" s="32"/>
      <c r="M727" s="32"/>
      <c r="N727" s="31" t="n">
        <f aca="false">IF(OR(G727="",M727=""),0,IF(M727&gt;100,M727,G727*IF(M727&gt;1,M727/100,M727)))</f>
        <v>0</v>
      </c>
      <c r="O727" s="31" t="str">
        <f aca="false">IF(G727="","",G727*IF(L727="",0,IF(L727&gt;1,L727/100,L727))+N727)</f>
        <v/>
      </c>
      <c r="P727" s="28"/>
      <c r="Q727" s="33" t="str">
        <f aca="false">IF(P727="","",IFERROR(VLOOKUP(P727,PARTNERS!$A$2:$B$30,2,0),""))</f>
        <v/>
      </c>
      <c r="R727" s="17" t="str">
        <f aca="false">IF(O727="","",IF(OR(P727="",Q727=""),0,(O727-N727)*IF(Q727&gt;1,Q727/100,Q727)))</f>
        <v/>
      </c>
      <c r="S727" s="31" t="str">
        <f aca="false">IF(O727="","",O727-R727)</f>
        <v/>
      </c>
      <c r="T727" s="28"/>
      <c r="U727" s="34" t="str">
        <f aca="false">IF(T727="","",IFERROR(VLOOKUP(T727,REPS!$A$2:$D$40,2,0),""))</f>
        <v/>
      </c>
      <c r="V727" s="31" t="str">
        <f aca="false">IF(O727="","",IF(U727="",0,O727*IF(U727&gt;1,U727/100,U727)))</f>
        <v/>
      </c>
      <c r="W727" s="28"/>
      <c r="X727" s="34" t="str">
        <f aca="false">IF(W727="","",IFERROR(VLOOKUP(W727,REPS!$A$2:$D$40,3,0),""))</f>
        <v/>
      </c>
      <c r="Y727" s="31" t="str">
        <f aca="false">IF(O727="","",IF(X727="",0,O727*IF(X727&gt;1,X727/100,X727)))</f>
        <v/>
      </c>
      <c r="Z727" s="28"/>
      <c r="AA727" s="34" t="str">
        <f aca="false">IF(Z727="","",IFERROR(VLOOKUP(Z727,REPS!$A$2:$D$40,4,0),""))</f>
        <v/>
      </c>
      <c r="AB727" s="31" t="str">
        <f aca="false">IF(O727="","",IF(AA727="",0,O727*IF(AA727&gt;1,AA727/100,AA727)))</f>
        <v/>
      </c>
      <c r="AC727" s="31" t="str">
        <f aca="false">IF(O727="","",V727+Y727+AB727)</f>
        <v/>
      </c>
      <c r="AD727" s="19" t="str">
        <f aca="false">IF(O727="","",O727-R727-AC727)</f>
        <v/>
      </c>
      <c r="AE727" s="20"/>
      <c r="AF727" s="27"/>
      <c r="AG727" s="21" t="n">
        <f aca="false">IF(OR(AE727="",AE727=0),0,AE727*IF(U727="",0,IF(U727&gt;1,U727/100,U727)))</f>
        <v>0</v>
      </c>
      <c r="AH727" s="21" t="n">
        <f aca="false">IF(OR(AE727="",AE727=0),0,AE727*IF(X727="",0,IF(X727&gt;1,X727/100,X727)))</f>
        <v>0</v>
      </c>
      <c r="AI727" s="21" t="n">
        <f aca="false">IF(OR(AE727="",AE727=0),0,AE727*IF(AA727="",0,IF(AA727&gt;1,AA727/100,AA727)))</f>
        <v>0</v>
      </c>
      <c r="AJ727" s="21" t="n">
        <f aca="false">AG727+AH727+AI727</f>
        <v>0</v>
      </c>
      <c r="AK727" s="21" t="n">
        <f aca="false">IF(OR(AE727="",AE727=0),0,AE727-AJ727)</f>
        <v>0</v>
      </c>
      <c r="AL727" s="19" t="str">
        <f aca="false">IF(AD727="","",AD727-AK727)</f>
        <v/>
      </c>
      <c r="AM727" s="26" t="str">
        <f aca="false">IF(C727="","","Waiting for payment")</f>
        <v/>
      </c>
      <c r="AN727" s="27"/>
      <c r="AO727" s="27"/>
      <c r="AP727" s="35" t="str">
        <f aca="false">IF(OR(C727="",I727="",K727=""),"",IF(K727="Monthly",EDATE(C727,ROUND(I727*SETTINGS!$I$8,0)),WORKDAY(C727,ROUND(I727*SETTINGS!$I$8,0))))</f>
        <v/>
      </c>
      <c r="AQ727" s="26" t="str">
        <f aca="true">IF(C727="","",IF(AND(AP727&lt;&gt;"",TODAY()&gt;=AP727),"Refi Ready",IF(TODAY()-C727&gt;=SETTINGS!$I$11,"Prospecting","Performing")))</f>
        <v/>
      </c>
      <c r="AR727" s="35" t="str">
        <f aca="false">IF(OR(C727="",I727="",K727=""),"",IF(K727="Monthly",EDATE(C727,I727),WORKDAY(C727,I727)))</f>
        <v/>
      </c>
      <c r="AS727" s="28"/>
      <c r="AT727" s="36" t="str">
        <f aca="true">IF(C727="","",IF(AM727="Clawed Back","CLAWED",IF(TODAY()&lt;=C727+SETTINGS!$I$2,"⚠ AT RISK","SAFE")))</f>
        <v/>
      </c>
      <c r="AU727" s="28"/>
      <c r="AW727" s="24" t="n">
        <f aca="false">AW726+IF(AND(C727&lt;&gt;"",AO727&lt;&gt;"",OR('REP COMMISSION'!$B$3="",T727='REP COMMISSION'!$B$3,W727='REP COMMISSION'!$B$3,Z727='REP COMMISSION'!$B$3)),1,0)</f>
        <v>0</v>
      </c>
      <c r="AX727" s="24" t="n">
        <f aca="false">AX726+IF(AND(C727&lt;&gt;"",OR(F727="LOC - INITIAL",F727="CONSOLIDATION - UPFRONT COMM",F727="REVERSE - TOTAL FUNDING")),1,0)</f>
        <v>0</v>
      </c>
    </row>
    <row r="728" customFormat="false" ht="15" hidden="false" customHeight="false" outlineLevel="0" collapsed="false">
      <c r="A728" s="8" t="str">
        <f aca="false">IF(C728&lt;&gt;"","F27-"&amp;COUNT($C$4:C728),"")</f>
        <v/>
      </c>
      <c r="B728" s="9" t="str">
        <f aca="false">IF(OR(F728="LOC - INITIAL",F728="CONSOLIDATION - UPFRONT COMM",F728="REVERSE - TOTAL FUNDING"),A728,"")</f>
        <v/>
      </c>
      <c r="C728" s="10"/>
      <c r="D728" s="11"/>
      <c r="E728" s="11"/>
      <c r="F728" s="11"/>
      <c r="G728" s="12"/>
      <c r="H728" s="13"/>
      <c r="I728" s="11"/>
      <c r="J728" s="14" t="str">
        <f aca="false">IF(AND(G728&lt;&gt;"",H728&lt;&gt;""),G728*H728,"")</f>
        <v/>
      </c>
      <c r="K728" s="11"/>
      <c r="L728" s="15"/>
      <c r="M728" s="15"/>
      <c r="N728" s="14" t="n">
        <f aca="false">IF(OR(G728="",M728=""),0,IF(M728&gt;100,M728,G728*IF(M728&gt;1,M728/100,M728)))</f>
        <v>0</v>
      </c>
      <c r="O728" s="14" t="str">
        <f aca="false">IF(G728="","",G728*IF(L728="",0,IF(L728&gt;1,L728/100,L728))+N728)</f>
        <v/>
      </c>
      <c r="P728" s="11"/>
      <c r="Q728" s="16" t="str">
        <f aca="false">IF(P728="","",IFERROR(VLOOKUP(P728,PARTNERS!$A$2:$B$30,2,0),""))</f>
        <v/>
      </c>
      <c r="R728" s="17" t="str">
        <f aca="false">IF(O728="","",IF(OR(P728="",Q728=""),0,(O728-N728)*IF(Q728&gt;1,Q728/100,Q728)))</f>
        <v/>
      </c>
      <c r="S728" s="14" t="str">
        <f aca="false">IF(O728="","",O728-R728)</f>
        <v/>
      </c>
      <c r="T728" s="11"/>
      <c r="U728" s="18" t="str">
        <f aca="false">IF(T728="","",IFERROR(VLOOKUP(T728,REPS!$A$2:$D$40,2,0),""))</f>
        <v/>
      </c>
      <c r="V728" s="14" t="str">
        <f aca="false">IF(O728="","",IF(U728="",0,O728*IF(U728&gt;1,U728/100,U728)))</f>
        <v/>
      </c>
      <c r="W728" s="11"/>
      <c r="X728" s="18" t="str">
        <f aca="false">IF(W728="","",IFERROR(VLOOKUP(W728,REPS!$A$2:$D$40,3,0),""))</f>
        <v/>
      </c>
      <c r="Y728" s="14" t="str">
        <f aca="false">IF(O728="","",IF(X728="",0,O728*IF(X728&gt;1,X728/100,X728)))</f>
        <v/>
      </c>
      <c r="Z728" s="11"/>
      <c r="AA728" s="18" t="str">
        <f aca="false">IF(Z728="","",IFERROR(VLOOKUP(Z728,REPS!$A$2:$D$40,4,0),""))</f>
        <v/>
      </c>
      <c r="AB728" s="14" t="str">
        <f aca="false">IF(O728="","",IF(AA728="",0,O728*IF(AA728&gt;1,AA728/100,AA728)))</f>
        <v/>
      </c>
      <c r="AC728" s="14" t="str">
        <f aca="false">IF(O728="","",V728+Y728+AB728)</f>
        <v/>
      </c>
      <c r="AD728" s="19" t="str">
        <f aca="false">IF(O728="","",O728-R728-AC728)</f>
        <v/>
      </c>
      <c r="AE728" s="20"/>
      <c r="AF728" s="10"/>
      <c r="AG728" s="21" t="n">
        <f aca="false">IF(OR(AE728="",AE728=0),0,AE728*IF(U728="",0,IF(U728&gt;1,U728/100,U728)))</f>
        <v>0</v>
      </c>
      <c r="AH728" s="21" t="n">
        <f aca="false">IF(OR(AE728="",AE728=0),0,AE728*IF(X728="",0,IF(X728&gt;1,X728/100,X728)))</f>
        <v>0</v>
      </c>
      <c r="AI728" s="21" t="n">
        <f aca="false">IF(OR(AE728="",AE728=0),0,AE728*IF(AA728="",0,IF(AA728&gt;1,AA728/100,AA728)))</f>
        <v>0</v>
      </c>
      <c r="AJ728" s="21" t="n">
        <f aca="false">AG728+AH728+AI728</f>
        <v>0</v>
      </c>
      <c r="AK728" s="21" t="n">
        <f aca="false">IF(OR(AE728="",AE728=0),0,AE728-AJ728)</f>
        <v>0</v>
      </c>
      <c r="AL728" s="19" t="str">
        <f aca="false">IF(AD728="","",AD728-AK728)</f>
        <v/>
      </c>
      <c r="AM728" s="9" t="str">
        <f aca="false">IF(C728="","","Waiting for payment")</f>
        <v/>
      </c>
      <c r="AN728" s="10"/>
      <c r="AO728" s="10"/>
      <c r="AP728" s="22" t="str">
        <f aca="false">IF(OR(C728="",I728="",K728=""),"",IF(K728="Monthly",EDATE(C728,ROUND(I728*SETTINGS!$I$8,0)),WORKDAY(C728,ROUND(I728*SETTINGS!$I$8,0))))</f>
        <v/>
      </c>
      <c r="AQ728" s="9" t="str">
        <f aca="true">IF(C728="","",IF(AND(AP728&lt;&gt;"",TODAY()&gt;=AP728),"Refi Ready",IF(TODAY()-C728&gt;=SETTINGS!$I$11,"Prospecting","Performing")))</f>
        <v/>
      </c>
      <c r="AR728" s="22" t="str">
        <f aca="false">IF(OR(C728="",I728="",K728=""),"",IF(K728="Monthly",EDATE(C728,I728),WORKDAY(C728,I728)))</f>
        <v/>
      </c>
      <c r="AS728" s="11"/>
      <c r="AT728" s="23" t="str">
        <f aca="true">IF(C728="","",IF(AM728="Clawed Back","CLAWED",IF(TODAY()&lt;=C728+SETTINGS!$I$2,"⚠ AT RISK","SAFE")))</f>
        <v/>
      </c>
      <c r="AU728" s="11"/>
      <c r="AW728" s="24" t="n">
        <f aca="false">AW727+IF(AND(C728&lt;&gt;"",AO728&lt;&gt;"",OR('REP COMMISSION'!$B$3="",T728='REP COMMISSION'!$B$3,W728='REP COMMISSION'!$B$3,Z728='REP COMMISSION'!$B$3)),1,0)</f>
        <v>0</v>
      </c>
      <c r="AX728" s="24" t="n">
        <f aca="false">AX727+IF(AND(C728&lt;&gt;"",OR(F728="LOC - INITIAL",F728="CONSOLIDATION - UPFRONT COMM",F728="REVERSE - TOTAL FUNDING")),1,0)</f>
        <v>0</v>
      </c>
    </row>
    <row r="729" customFormat="false" ht="15" hidden="false" customHeight="false" outlineLevel="0" collapsed="false">
      <c r="A729" s="25" t="str">
        <f aca="false">IF(C729&lt;&gt;"","F27-"&amp;COUNT($C$4:C729),"")</f>
        <v/>
      </c>
      <c r="B729" s="26" t="str">
        <f aca="false">IF(OR(F729="LOC - INITIAL",F729="CONSOLIDATION - UPFRONT COMM",F729="REVERSE - TOTAL FUNDING"),A729,"")</f>
        <v/>
      </c>
      <c r="C729" s="27"/>
      <c r="D729" s="28"/>
      <c r="E729" s="28"/>
      <c r="F729" s="28"/>
      <c r="G729" s="29"/>
      <c r="H729" s="30"/>
      <c r="I729" s="28"/>
      <c r="J729" s="31" t="str">
        <f aca="false">IF(AND(G729&lt;&gt;"",H729&lt;&gt;""),G729*H729,"")</f>
        <v/>
      </c>
      <c r="K729" s="28"/>
      <c r="L729" s="32"/>
      <c r="M729" s="32"/>
      <c r="N729" s="31" t="n">
        <f aca="false">IF(OR(G729="",M729=""),0,IF(M729&gt;100,M729,G729*IF(M729&gt;1,M729/100,M729)))</f>
        <v>0</v>
      </c>
      <c r="O729" s="31" t="str">
        <f aca="false">IF(G729="","",G729*IF(L729="",0,IF(L729&gt;1,L729/100,L729))+N729)</f>
        <v/>
      </c>
      <c r="P729" s="28"/>
      <c r="Q729" s="33" t="str">
        <f aca="false">IF(P729="","",IFERROR(VLOOKUP(P729,PARTNERS!$A$2:$B$30,2,0),""))</f>
        <v/>
      </c>
      <c r="R729" s="17" t="str">
        <f aca="false">IF(O729="","",IF(OR(P729="",Q729=""),0,(O729-N729)*IF(Q729&gt;1,Q729/100,Q729)))</f>
        <v/>
      </c>
      <c r="S729" s="31" t="str">
        <f aca="false">IF(O729="","",O729-R729)</f>
        <v/>
      </c>
      <c r="T729" s="28"/>
      <c r="U729" s="34" t="str">
        <f aca="false">IF(T729="","",IFERROR(VLOOKUP(T729,REPS!$A$2:$D$40,2,0),""))</f>
        <v/>
      </c>
      <c r="V729" s="31" t="str">
        <f aca="false">IF(O729="","",IF(U729="",0,O729*IF(U729&gt;1,U729/100,U729)))</f>
        <v/>
      </c>
      <c r="W729" s="28"/>
      <c r="X729" s="34" t="str">
        <f aca="false">IF(W729="","",IFERROR(VLOOKUP(W729,REPS!$A$2:$D$40,3,0),""))</f>
        <v/>
      </c>
      <c r="Y729" s="31" t="str">
        <f aca="false">IF(O729="","",IF(X729="",0,O729*IF(X729&gt;1,X729/100,X729)))</f>
        <v/>
      </c>
      <c r="Z729" s="28"/>
      <c r="AA729" s="34" t="str">
        <f aca="false">IF(Z729="","",IFERROR(VLOOKUP(Z729,REPS!$A$2:$D$40,4,0),""))</f>
        <v/>
      </c>
      <c r="AB729" s="31" t="str">
        <f aca="false">IF(O729="","",IF(AA729="",0,O729*IF(AA729&gt;1,AA729/100,AA729)))</f>
        <v/>
      </c>
      <c r="AC729" s="31" t="str">
        <f aca="false">IF(O729="","",V729+Y729+AB729)</f>
        <v/>
      </c>
      <c r="AD729" s="19" t="str">
        <f aca="false">IF(O729="","",O729-R729-AC729)</f>
        <v/>
      </c>
      <c r="AE729" s="20"/>
      <c r="AF729" s="27"/>
      <c r="AG729" s="21" t="n">
        <f aca="false">IF(OR(AE729="",AE729=0),0,AE729*IF(U729="",0,IF(U729&gt;1,U729/100,U729)))</f>
        <v>0</v>
      </c>
      <c r="AH729" s="21" t="n">
        <f aca="false">IF(OR(AE729="",AE729=0),0,AE729*IF(X729="",0,IF(X729&gt;1,X729/100,X729)))</f>
        <v>0</v>
      </c>
      <c r="AI729" s="21" t="n">
        <f aca="false">IF(OR(AE729="",AE729=0),0,AE729*IF(AA729="",0,IF(AA729&gt;1,AA729/100,AA729)))</f>
        <v>0</v>
      </c>
      <c r="AJ729" s="21" t="n">
        <f aca="false">AG729+AH729+AI729</f>
        <v>0</v>
      </c>
      <c r="AK729" s="21" t="n">
        <f aca="false">IF(OR(AE729="",AE729=0),0,AE729-AJ729)</f>
        <v>0</v>
      </c>
      <c r="AL729" s="19" t="str">
        <f aca="false">IF(AD729="","",AD729-AK729)</f>
        <v/>
      </c>
      <c r="AM729" s="26" t="str">
        <f aca="false">IF(C729="","","Waiting for payment")</f>
        <v/>
      </c>
      <c r="AN729" s="27"/>
      <c r="AO729" s="27"/>
      <c r="AP729" s="35" t="str">
        <f aca="false">IF(OR(C729="",I729="",K729=""),"",IF(K729="Monthly",EDATE(C729,ROUND(I729*SETTINGS!$I$8,0)),WORKDAY(C729,ROUND(I729*SETTINGS!$I$8,0))))</f>
        <v/>
      </c>
      <c r="AQ729" s="26" t="str">
        <f aca="true">IF(C729="","",IF(AND(AP729&lt;&gt;"",TODAY()&gt;=AP729),"Refi Ready",IF(TODAY()-C729&gt;=SETTINGS!$I$11,"Prospecting","Performing")))</f>
        <v/>
      </c>
      <c r="AR729" s="35" t="str">
        <f aca="false">IF(OR(C729="",I729="",K729=""),"",IF(K729="Monthly",EDATE(C729,I729),WORKDAY(C729,I729)))</f>
        <v/>
      </c>
      <c r="AS729" s="28"/>
      <c r="AT729" s="36" t="str">
        <f aca="true">IF(C729="","",IF(AM729="Clawed Back","CLAWED",IF(TODAY()&lt;=C729+SETTINGS!$I$2,"⚠ AT RISK","SAFE")))</f>
        <v/>
      </c>
      <c r="AU729" s="28"/>
      <c r="AW729" s="24" t="n">
        <f aca="false">AW728+IF(AND(C729&lt;&gt;"",AO729&lt;&gt;"",OR('REP COMMISSION'!$B$3="",T729='REP COMMISSION'!$B$3,W729='REP COMMISSION'!$B$3,Z729='REP COMMISSION'!$B$3)),1,0)</f>
        <v>0</v>
      </c>
      <c r="AX729" s="24" t="n">
        <f aca="false">AX728+IF(AND(C729&lt;&gt;"",OR(F729="LOC - INITIAL",F729="CONSOLIDATION - UPFRONT COMM",F729="REVERSE - TOTAL FUNDING")),1,0)</f>
        <v>0</v>
      </c>
    </row>
    <row r="730" customFormat="false" ht="15" hidden="false" customHeight="false" outlineLevel="0" collapsed="false">
      <c r="A730" s="8" t="str">
        <f aca="false">IF(C730&lt;&gt;"","F27-"&amp;COUNT($C$4:C730),"")</f>
        <v/>
      </c>
      <c r="B730" s="9" t="str">
        <f aca="false">IF(OR(F730="LOC - INITIAL",F730="CONSOLIDATION - UPFRONT COMM",F730="REVERSE - TOTAL FUNDING"),A730,"")</f>
        <v/>
      </c>
      <c r="C730" s="10"/>
      <c r="D730" s="11"/>
      <c r="E730" s="11"/>
      <c r="F730" s="11"/>
      <c r="G730" s="12"/>
      <c r="H730" s="13"/>
      <c r="I730" s="11"/>
      <c r="J730" s="14" t="str">
        <f aca="false">IF(AND(G730&lt;&gt;"",H730&lt;&gt;""),G730*H730,"")</f>
        <v/>
      </c>
      <c r="K730" s="11"/>
      <c r="L730" s="15"/>
      <c r="M730" s="15"/>
      <c r="N730" s="14" t="n">
        <f aca="false">IF(OR(G730="",M730=""),0,IF(M730&gt;100,M730,G730*IF(M730&gt;1,M730/100,M730)))</f>
        <v>0</v>
      </c>
      <c r="O730" s="14" t="str">
        <f aca="false">IF(G730="","",G730*IF(L730="",0,IF(L730&gt;1,L730/100,L730))+N730)</f>
        <v/>
      </c>
      <c r="P730" s="11"/>
      <c r="Q730" s="16" t="str">
        <f aca="false">IF(P730="","",IFERROR(VLOOKUP(P730,PARTNERS!$A$2:$B$30,2,0),""))</f>
        <v/>
      </c>
      <c r="R730" s="17" t="str">
        <f aca="false">IF(O730="","",IF(OR(P730="",Q730=""),0,(O730-N730)*IF(Q730&gt;1,Q730/100,Q730)))</f>
        <v/>
      </c>
      <c r="S730" s="14" t="str">
        <f aca="false">IF(O730="","",O730-R730)</f>
        <v/>
      </c>
      <c r="T730" s="11"/>
      <c r="U730" s="18" t="str">
        <f aca="false">IF(T730="","",IFERROR(VLOOKUP(T730,REPS!$A$2:$D$40,2,0),""))</f>
        <v/>
      </c>
      <c r="V730" s="14" t="str">
        <f aca="false">IF(O730="","",IF(U730="",0,O730*IF(U730&gt;1,U730/100,U730)))</f>
        <v/>
      </c>
      <c r="W730" s="11"/>
      <c r="X730" s="18" t="str">
        <f aca="false">IF(W730="","",IFERROR(VLOOKUP(W730,REPS!$A$2:$D$40,3,0),""))</f>
        <v/>
      </c>
      <c r="Y730" s="14" t="str">
        <f aca="false">IF(O730="","",IF(X730="",0,O730*IF(X730&gt;1,X730/100,X730)))</f>
        <v/>
      </c>
      <c r="Z730" s="11"/>
      <c r="AA730" s="18" t="str">
        <f aca="false">IF(Z730="","",IFERROR(VLOOKUP(Z730,REPS!$A$2:$D$40,4,0),""))</f>
        <v/>
      </c>
      <c r="AB730" s="14" t="str">
        <f aca="false">IF(O730="","",IF(AA730="",0,O730*IF(AA730&gt;1,AA730/100,AA730)))</f>
        <v/>
      </c>
      <c r="AC730" s="14" t="str">
        <f aca="false">IF(O730="","",V730+Y730+AB730)</f>
        <v/>
      </c>
      <c r="AD730" s="19" t="str">
        <f aca="false">IF(O730="","",O730-R730-AC730)</f>
        <v/>
      </c>
      <c r="AE730" s="20"/>
      <c r="AF730" s="10"/>
      <c r="AG730" s="21" t="n">
        <f aca="false">IF(OR(AE730="",AE730=0),0,AE730*IF(U730="",0,IF(U730&gt;1,U730/100,U730)))</f>
        <v>0</v>
      </c>
      <c r="AH730" s="21" t="n">
        <f aca="false">IF(OR(AE730="",AE730=0),0,AE730*IF(X730="",0,IF(X730&gt;1,X730/100,X730)))</f>
        <v>0</v>
      </c>
      <c r="AI730" s="21" t="n">
        <f aca="false">IF(OR(AE730="",AE730=0),0,AE730*IF(AA730="",0,IF(AA730&gt;1,AA730/100,AA730)))</f>
        <v>0</v>
      </c>
      <c r="AJ730" s="21" t="n">
        <f aca="false">AG730+AH730+AI730</f>
        <v>0</v>
      </c>
      <c r="AK730" s="21" t="n">
        <f aca="false">IF(OR(AE730="",AE730=0),0,AE730-AJ730)</f>
        <v>0</v>
      </c>
      <c r="AL730" s="19" t="str">
        <f aca="false">IF(AD730="","",AD730-AK730)</f>
        <v/>
      </c>
      <c r="AM730" s="9" t="str">
        <f aca="false">IF(C730="","","Waiting for payment")</f>
        <v/>
      </c>
      <c r="AN730" s="10"/>
      <c r="AO730" s="10"/>
      <c r="AP730" s="22" t="str">
        <f aca="false">IF(OR(C730="",I730="",K730=""),"",IF(K730="Monthly",EDATE(C730,ROUND(I730*SETTINGS!$I$8,0)),WORKDAY(C730,ROUND(I730*SETTINGS!$I$8,0))))</f>
        <v/>
      </c>
      <c r="AQ730" s="9" t="str">
        <f aca="true">IF(C730="","",IF(AND(AP730&lt;&gt;"",TODAY()&gt;=AP730),"Refi Ready",IF(TODAY()-C730&gt;=SETTINGS!$I$11,"Prospecting","Performing")))</f>
        <v/>
      </c>
      <c r="AR730" s="22" t="str">
        <f aca="false">IF(OR(C730="",I730="",K730=""),"",IF(K730="Monthly",EDATE(C730,I730),WORKDAY(C730,I730)))</f>
        <v/>
      </c>
      <c r="AS730" s="11"/>
      <c r="AT730" s="23" t="str">
        <f aca="true">IF(C730="","",IF(AM730="Clawed Back","CLAWED",IF(TODAY()&lt;=C730+SETTINGS!$I$2,"⚠ AT RISK","SAFE")))</f>
        <v/>
      </c>
      <c r="AU730" s="11"/>
      <c r="AW730" s="24" t="n">
        <f aca="false">AW729+IF(AND(C730&lt;&gt;"",AO730&lt;&gt;"",OR('REP COMMISSION'!$B$3="",T730='REP COMMISSION'!$B$3,W730='REP COMMISSION'!$B$3,Z730='REP COMMISSION'!$B$3)),1,0)</f>
        <v>0</v>
      </c>
      <c r="AX730" s="24" t="n">
        <f aca="false">AX729+IF(AND(C730&lt;&gt;"",OR(F730="LOC - INITIAL",F730="CONSOLIDATION - UPFRONT COMM",F730="REVERSE - TOTAL FUNDING")),1,0)</f>
        <v>0</v>
      </c>
    </row>
    <row r="731" customFormat="false" ht="15" hidden="false" customHeight="false" outlineLevel="0" collapsed="false">
      <c r="A731" s="25" t="str">
        <f aca="false">IF(C731&lt;&gt;"","F27-"&amp;COUNT($C$4:C731),"")</f>
        <v/>
      </c>
      <c r="B731" s="26" t="str">
        <f aca="false">IF(OR(F731="LOC - INITIAL",F731="CONSOLIDATION - UPFRONT COMM",F731="REVERSE - TOTAL FUNDING"),A731,"")</f>
        <v/>
      </c>
      <c r="C731" s="27"/>
      <c r="D731" s="28"/>
      <c r="E731" s="28"/>
      <c r="F731" s="28"/>
      <c r="G731" s="29"/>
      <c r="H731" s="30"/>
      <c r="I731" s="28"/>
      <c r="J731" s="31" t="str">
        <f aca="false">IF(AND(G731&lt;&gt;"",H731&lt;&gt;""),G731*H731,"")</f>
        <v/>
      </c>
      <c r="K731" s="28"/>
      <c r="L731" s="32"/>
      <c r="M731" s="32"/>
      <c r="N731" s="31" t="n">
        <f aca="false">IF(OR(G731="",M731=""),0,IF(M731&gt;100,M731,G731*IF(M731&gt;1,M731/100,M731)))</f>
        <v>0</v>
      </c>
      <c r="O731" s="31" t="str">
        <f aca="false">IF(G731="","",G731*IF(L731="",0,IF(L731&gt;1,L731/100,L731))+N731)</f>
        <v/>
      </c>
      <c r="P731" s="28"/>
      <c r="Q731" s="33" t="str">
        <f aca="false">IF(P731="","",IFERROR(VLOOKUP(P731,PARTNERS!$A$2:$B$30,2,0),""))</f>
        <v/>
      </c>
      <c r="R731" s="17" t="str">
        <f aca="false">IF(O731="","",IF(OR(P731="",Q731=""),0,(O731-N731)*IF(Q731&gt;1,Q731/100,Q731)))</f>
        <v/>
      </c>
      <c r="S731" s="31" t="str">
        <f aca="false">IF(O731="","",O731-R731)</f>
        <v/>
      </c>
      <c r="T731" s="28"/>
      <c r="U731" s="34" t="str">
        <f aca="false">IF(T731="","",IFERROR(VLOOKUP(T731,REPS!$A$2:$D$40,2,0),""))</f>
        <v/>
      </c>
      <c r="V731" s="31" t="str">
        <f aca="false">IF(O731="","",IF(U731="",0,O731*IF(U731&gt;1,U731/100,U731)))</f>
        <v/>
      </c>
      <c r="W731" s="28"/>
      <c r="X731" s="34" t="str">
        <f aca="false">IF(W731="","",IFERROR(VLOOKUP(W731,REPS!$A$2:$D$40,3,0),""))</f>
        <v/>
      </c>
      <c r="Y731" s="31" t="str">
        <f aca="false">IF(O731="","",IF(X731="",0,O731*IF(X731&gt;1,X731/100,X731)))</f>
        <v/>
      </c>
      <c r="Z731" s="28"/>
      <c r="AA731" s="34" t="str">
        <f aca="false">IF(Z731="","",IFERROR(VLOOKUP(Z731,REPS!$A$2:$D$40,4,0),""))</f>
        <v/>
      </c>
      <c r="AB731" s="31" t="str">
        <f aca="false">IF(O731="","",IF(AA731="",0,O731*IF(AA731&gt;1,AA731/100,AA731)))</f>
        <v/>
      </c>
      <c r="AC731" s="31" t="str">
        <f aca="false">IF(O731="","",V731+Y731+AB731)</f>
        <v/>
      </c>
      <c r="AD731" s="19" t="str">
        <f aca="false">IF(O731="","",O731-R731-AC731)</f>
        <v/>
      </c>
      <c r="AE731" s="20"/>
      <c r="AF731" s="27"/>
      <c r="AG731" s="21" t="n">
        <f aca="false">IF(OR(AE731="",AE731=0),0,AE731*IF(U731="",0,IF(U731&gt;1,U731/100,U731)))</f>
        <v>0</v>
      </c>
      <c r="AH731" s="21" t="n">
        <f aca="false">IF(OR(AE731="",AE731=0),0,AE731*IF(X731="",0,IF(X731&gt;1,X731/100,X731)))</f>
        <v>0</v>
      </c>
      <c r="AI731" s="21" t="n">
        <f aca="false">IF(OR(AE731="",AE731=0),0,AE731*IF(AA731="",0,IF(AA731&gt;1,AA731/100,AA731)))</f>
        <v>0</v>
      </c>
      <c r="AJ731" s="21" t="n">
        <f aca="false">AG731+AH731+AI731</f>
        <v>0</v>
      </c>
      <c r="AK731" s="21" t="n">
        <f aca="false">IF(OR(AE731="",AE731=0),0,AE731-AJ731)</f>
        <v>0</v>
      </c>
      <c r="AL731" s="19" t="str">
        <f aca="false">IF(AD731="","",AD731-AK731)</f>
        <v/>
      </c>
      <c r="AM731" s="26" t="str">
        <f aca="false">IF(C731="","","Waiting for payment")</f>
        <v/>
      </c>
      <c r="AN731" s="27"/>
      <c r="AO731" s="27"/>
      <c r="AP731" s="35" t="str">
        <f aca="false">IF(OR(C731="",I731="",K731=""),"",IF(K731="Monthly",EDATE(C731,ROUND(I731*SETTINGS!$I$8,0)),WORKDAY(C731,ROUND(I731*SETTINGS!$I$8,0))))</f>
        <v/>
      </c>
      <c r="AQ731" s="26" t="str">
        <f aca="true">IF(C731="","",IF(AND(AP731&lt;&gt;"",TODAY()&gt;=AP731),"Refi Ready",IF(TODAY()-C731&gt;=SETTINGS!$I$11,"Prospecting","Performing")))</f>
        <v/>
      </c>
      <c r="AR731" s="35" t="str">
        <f aca="false">IF(OR(C731="",I731="",K731=""),"",IF(K731="Monthly",EDATE(C731,I731),WORKDAY(C731,I731)))</f>
        <v/>
      </c>
      <c r="AS731" s="28"/>
      <c r="AT731" s="36" t="str">
        <f aca="true">IF(C731="","",IF(AM731="Clawed Back","CLAWED",IF(TODAY()&lt;=C731+SETTINGS!$I$2,"⚠ AT RISK","SAFE")))</f>
        <v/>
      </c>
      <c r="AU731" s="28"/>
      <c r="AW731" s="24" t="n">
        <f aca="false">AW730+IF(AND(C731&lt;&gt;"",AO731&lt;&gt;"",OR('REP COMMISSION'!$B$3="",T731='REP COMMISSION'!$B$3,W731='REP COMMISSION'!$B$3,Z731='REP COMMISSION'!$B$3)),1,0)</f>
        <v>0</v>
      </c>
      <c r="AX731" s="24" t="n">
        <f aca="false">AX730+IF(AND(C731&lt;&gt;"",OR(F731="LOC - INITIAL",F731="CONSOLIDATION - UPFRONT COMM",F731="REVERSE - TOTAL FUNDING")),1,0)</f>
        <v>0</v>
      </c>
    </row>
    <row r="732" customFormat="false" ht="15" hidden="false" customHeight="false" outlineLevel="0" collapsed="false">
      <c r="A732" s="8" t="str">
        <f aca="false">IF(C732&lt;&gt;"","F27-"&amp;COUNT($C$4:C732),"")</f>
        <v/>
      </c>
      <c r="B732" s="9" t="str">
        <f aca="false">IF(OR(F732="LOC - INITIAL",F732="CONSOLIDATION - UPFRONT COMM",F732="REVERSE - TOTAL FUNDING"),A732,"")</f>
        <v/>
      </c>
      <c r="C732" s="10"/>
      <c r="D732" s="11"/>
      <c r="E732" s="11"/>
      <c r="F732" s="11"/>
      <c r="G732" s="12"/>
      <c r="H732" s="13"/>
      <c r="I732" s="11"/>
      <c r="J732" s="14" t="str">
        <f aca="false">IF(AND(G732&lt;&gt;"",H732&lt;&gt;""),G732*H732,"")</f>
        <v/>
      </c>
      <c r="K732" s="11"/>
      <c r="L732" s="15"/>
      <c r="M732" s="15"/>
      <c r="N732" s="14" t="n">
        <f aca="false">IF(OR(G732="",M732=""),0,IF(M732&gt;100,M732,G732*IF(M732&gt;1,M732/100,M732)))</f>
        <v>0</v>
      </c>
      <c r="O732" s="14" t="str">
        <f aca="false">IF(G732="","",G732*IF(L732="",0,IF(L732&gt;1,L732/100,L732))+N732)</f>
        <v/>
      </c>
      <c r="P732" s="11"/>
      <c r="Q732" s="16" t="str">
        <f aca="false">IF(P732="","",IFERROR(VLOOKUP(P732,PARTNERS!$A$2:$B$30,2,0),""))</f>
        <v/>
      </c>
      <c r="R732" s="17" t="str">
        <f aca="false">IF(O732="","",IF(OR(P732="",Q732=""),0,(O732-N732)*IF(Q732&gt;1,Q732/100,Q732)))</f>
        <v/>
      </c>
      <c r="S732" s="14" t="str">
        <f aca="false">IF(O732="","",O732-R732)</f>
        <v/>
      </c>
      <c r="T732" s="11"/>
      <c r="U732" s="18" t="str">
        <f aca="false">IF(T732="","",IFERROR(VLOOKUP(T732,REPS!$A$2:$D$40,2,0),""))</f>
        <v/>
      </c>
      <c r="V732" s="14" t="str">
        <f aca="false">IF(O732="","",IF(U732="",0,O732*IF(U732&gt;1,U732/100,U732)))</f>
        <v/>
      </c>
      <c r="W732" s="11"/>
      <c r="X732" s="18" t="str">
        <f aca="false">IF(W732="","",IFERROR(VLOOKUP(W732,REPS!$A$2:$D$40,3,0),""))</f>
        <v/>
      </c>
      <c r="Y732" s="14" t="str">
        <f aca="false">IF(O732="","",IF(X732="",0,O732*IF(X732&gt;1,X732/100,X732)))</f>
        <v/>
      </c>
      <c r="Z732" s="11"/>
      <c r="AA732" s="18" t="str">
        <f aca="false">IF(Z732="","",IFERROR(VLOOKUP(Z732,REPS!$A$2:$D$40,4,0),""))</f>
        <v/>
      </c>
      <c r="AB732" s="14" t="str">
        <f aca="false">IF(O732="","",IF(AA732="",0,O732*IF(AA732&gt;1,AA732/100,AA732)))</f>
        <v/>
      </c>
      <c r="AC732" s="14" t="str">
        <f aca="false">IF(O732="","",V732+Y732+AB732)</f>
        <v/>
      </c>
      <c r="AD732" s="19" t="str">
        <f aca="false">IF(O732="","",O732-R732-AC732)</f>
        <v/>
      </c>
      <c r="AE732" s="20"/>
      <c r="AF732" s="10"/>
      <c r="AG732" s="21" t="n">
        <f aca="false">IF(OR(AE732="",AE732=0),0,AE732*IF(U732="",0,IF(U732&gt;1,U732/100,U732)))</f>
        <v>0</v>
      </c>
      <c r="AH732" s="21" t="n">
        <f aca="false">IF(OR(AE732="",AE732=0),0,AE732*IF(X732="",0,IF(X732&gt;1,X732/100,X732)))</f>
        <v>0</v>
      </c>
      <c r="AI732" s="21" t="n">
        <f aca="false">IF(OR(AE732="",AE732=0),0,AE732*IF(AA732="",0,IF(AA732&gt;1,AA732/100,AA732)))</f>
        <v>0</v>
      </c>
      <c r="AJ732" s="21" t="n">
        <f aca="false">AG732+AH732+AI732</f>
        <v>0</v>
      </c>
      <c r="AK732" s="21" t="n">
        <f aca="false">IF(OR(AE732="",AE732=0),0,AE732-AJ732)</f>
        <v>0</v>
      </c>
      <c r="AL732" s="19" t="str">
        <f aca="false">IF(AD732="","",AD732-AK732)</f>
        <v/>
      </c>
      <c r="AM732" s="9" t="str">
        <f aca="false">IF(C732="","","Waiting for payment")</f>
        <v/>
      </c>
      <c r="AN732" s="10"/>
      <c r="AO732" s="10"/>
      <c r="AP732" s="22" t="str">
        <f aca="false">IF(OR(C732="",I732="",K732=""),"",IF(K732="Monthly",EDATE(C732,ROUND(I732*SETTINGS!$I$8,0)),WORKDAY(C732,ROUND(I732*SETTINGS!$I$8,0))))</f>
        <v/>
      </c>
      <c r="AQ732" s="9" t="str">
        <f aca="true">IF(C732="","",IF(AND(AP732&lt;&gt;"",TODAY()&gt;=AP732),"Refi Ready",IF(TODAY()-C732&gt;=SETTINGS!$I$11,"Prospecting","Performing")))</f>
        <v/>
      </c>
      <c r="AR732" s="22" t="str">
        <f aca="false">IF(OR(C732="",I732="",K732=""),"",IF(K732="Monthly",EDATE(C732,I732),WORKDAY(C732,I732)))</f>
        <v/>
      </c>
      <c r="AS732" s="11"/>
      <c r="AT732" s="23" t="str">
        <f aca="true">IF(C732="","",IF(AM732="Clawed Back","CLAWED",IF(TODAY()&lt;=C732+SETTINGS!$I$2,"⚠ AT RISK","SAFE")))</f>
        <v/>
      </c>
      <c r="AU732" s="11"/>
      <c r="AW732" s="24" t="n">
        <f aca="false">AW731+IF(AND(C732&lt;&gt;"",AO732&lt;&gt;"",OR('REP COMMISSION'!$B$3="",T732='REP COMMISSION'!$B$3,W732='REP COMMISSION'!$B$3,Z732='REP COMMISSION'!$B$3)),1,0)</f>
        <v>0</v>
      </c>
      <c r="AX732" s="24" t="n">
        <f aca="false">AX731+IF(AND(C732&lt;&gt;"",OR(F732="LOC - INITIAL",F732="CONSOLIDATION - UPFRONT COMM",F732="REVERSE - TOTAL FUNDING")),1,0)</f>
        <v>0</v>
      </c>
    </row>
    <row r="733" customFormat="false" ht="15" hidden="false" customHeight="false" outlineLevel="0" collapsed="false">
      <c r="A733" s="25" t="str">
        <f aca="false">IF(C733&lt;&gt;"","F27-"&amp;COUNT($C$4:C733),"")</f>
        <v/>
      </c>
      <c r="B733" s="26" t="str">
        <f aca="false">IF(OR(F733="LOC - INITIAL",F733="CONSOLIDATION - UPFRONT COMM",F733="REVERSE - TOTAL FUNDING"),A733,"")</f>
        <v/>
      </c>
      <c r="C733" s="27"/>
      <c r="D733" s="28"/>
      <c r="E733" s="28"/>
      <c r="F733" s="28"/>
      <c r="G733" s="29"/>
      <c r="H733" s="30"/>
      <c r="I733" s="28"/>
      <c r="J733" s="31" t="str">
        <f aca="false">IF(AND(G733&lt;&gt;"",H733&lt;&gt;""),G733*H733,"")</f>
        <v/>
      </c>
      <c r="K733" s="28"/>
      <c r="L733" s="32"/>
      <c r="M733" s="32"/>
      <c r="N733" s="31" t="n">
        <f aca="false">IF(OR(G733="",M733=""),0,IF(M733&gt;100,M733,G733*IF(M733&gt;1,M733/100,M733)))</f>
        <v>0</v>
      </c>
      <c r="O733" s="31" t="str">
        <f aca="false">IF(G733="","",G733*IF(L733="",0,IF(L733&gt;1,L733/100,L733))+N733)</f>
        <v/>
      </c>
      <c r="P733" s="28"/>
      <c r="Q733" s="33" t="str">
        <f aca="false">IF(P733="","",IFERROR(VLOOKUP(P733,PARTNERS!$A$2:$B$30,2,0),""))</f>
        <v/>
      </c>
      <c r="R733" s="17" t="str">
        <f aca="false">IF(O733="","",IF(OR(P733="",Q733=""),0,(O733-N733)*IF(Q733&gt;1,Q733/100,Q733)))</f>
        <v/>
      </c>
      <c r="S733" s="31" t="str">
        <f aca="false">IF(O733="","",O733-R733)</f>
        <v/>
      </c>
      <c r="T733" s="28"/>
      <c r="U733" s="34" t="str">
        <f aca="false">IF(T733="","",IFERROR(VLOOKUP(T733,REPS!$A$2:$D$40,2,0),""))</f>
        <v/>
      </c>
      <c r="V733" s="31" t="str">
        <f aca="false">IF(O733="","",IF(U733="",0,O733*IF(U733&gt;1,U733/100,U733)))</f>
        <v/>
      </c>
      <c r="W733" s="28"/>
      <c r="X733" s="34" t="str">
        <f aca="false">IF(W733="","",IFERROR(VLOOKUP(W733,REPS!$A$2:$D$40,3,0),""))</f>
        <v/>
      </c>
      <c r="Y733" s="31" t="str">
        <f aca="false">IF(O733="","",IF(X733="",0,O733*IF(X733&gt;1,X733/100,X733)))</f>
        <v/>
      </c>
      <c r="Z733" s="28"/>
      <c r="AA733" s="34" t="str">
        <f aca="false">IF(Z733="","",IFERROR(VLOOKUP(Z733,REPS!$A$2:$D$40,4,0),""))</f>
        <v/>
      </c>
      <c r="AB733" s="31" t="str">
        <f aca="false">IF(O733="","",IF(AA733="",0,O733*IF(AA733&gt;1,AA733/100,AA733)))</f>
        <v/>
      </c>
      <c r="AC733" s="31" t="str">
        <f aca="false">IF(O733="","",V733+Y733+AB733)</f>
        <v/>
      </c>
      <c r="AD733" s="19" t="str">
        <f aca="false">IF(O733="","",O733-R733-AC733)</f>
        <v/>
      </c>
      <c r="AE733" s="20"/>
      <c r="AF733" s="27"/>
      <c r="AG733" s="21" t="n">
        <f aca="false">IF(OR(AE733="",AE733=0),0,AE733*IF(U733="",0,IF(U733&gt;1,U733/100,U733)))</f>
        <v>0</v>
      </c>
      <c r="AH733" s="21" t="n">
        <f aca="false">IF(OR(AE733="",AE733=0),0,AE733*IF(X733="",0,IF(X733&gt;1,X733/100,X733)))</f>
        <v>0</v>
      </c>
      <c r="AI733" s="21" t="n">
        <f aca="false">IF(OR(AE733="",AE733=0),0,AE733*IF(AA733="",0,IF(AA733&gt;1,AA733/100,AA733)))</f>
        <v>0</v>
      </c>
      <c r="AJ733" s="21" t="n">
        <f aca="false">AG733+AH733+AI733</f>
        <v>0</v>
      </c>
      <c r="AK733" s="21" t="n">
        <f aca="false">IF(OR(AE733="",AE733=0),0,AE733-AJ733)</f>
        <v>0</v>
      </c>
      <c r="AL733" s="19" t="str">
        <f aca="false">IF(AD733="","",AD733-AK733)</f>
        <v/>
      </c>
      <c r="AM733" s="26" t="str">
        <f aca="false">IF(C733="","","Waiting for payment")</f>
        <v/>
      </c>
      <c r="AN733" s="27"/>
      <c r="AO733" s="27"/>
      <c r="AP733" s="35" t="str">
        <f aca="false">IF(OR(C733="",I733="",K733=""),"",IF(K733="Monthly",EDATE(C733,ROUND(I733*SETTINGS!$I$8,0)),WORKDAY(C733,ROUND(I733*SETTINGS!$I$8,0))))</f>
        <v/>
      </c>
      <c r="AQ733" s="26" t="str">
        <f aca="true">IF(C733="","",IF(AND(AP733&lt;&gt;"",TODAY()&gt;=AP733),"Refi Ready",IF(TODAY()-C733&gt;=SETTINGS!$I$11,"Prospecting","Performing")))</f>
        <v/>
      </c>
      <c r="AR733" s="35" t="str">
        <f aca="false">IF(OR(C733="",I733="",K733=""),"",IF(K733="Monthly",EDATE(C733,I733),WORKDAY(C733,I733)))</f>
        <v/>
      </c>
      <c r="AS733" s="28"/>
      <c r="AT733" s="36" t="str">
        <f aca="true">IF(C733="","",IF(AM733="Clawed Back","CLAWED",IF(TODAY()&lt;=C733+SETTINGS!$I$2,"⚠ AT RISK","SAFE")))</f>
        <v/>
      </c>
      <c r="AU733" s="28"/>
      <c r="AW733" s="24" t="n">
        <f aca="false">AW732+IF(AND(C733&lt;&gt;"",AO733&lt;&gt;"",OR('REP COMMISSION'!$B$3="",T733='REP COMMISSION'!$B$3,W733='REP COMMISSION'!$B$3,Z733='REP COMMISSION'!$B$3)),1,0)</f>
        <v>0</v>
      </c>
      <c r="AX733" s="24" t="n">
        <f aca="false">AX732+IF(AND(C733&lt;&gt;"",OR(F733="LOC - INITIAL",F733="CONSOLIDATION - UPFRONT COMM",F733="REVERSE - TOTAL FUNDING")),1,0)</f>
        <v>0</v>
      </c>
    </row>
    <row r="734" customFormat="false" ht="15" hidden="false" customHeight="false" outlineLevel="0" collapsed="false">
      <c r="A734" s="8" t="str">
        <f aca="false">IF(C734&lt;&gt;"","F27-"&amp;COUNT($C$4:C734),"")</f>
        <v/>
      </c>
      <c r="B734" s="9" t="str">
        <f aca="false">IF(OR(F734="LOC - INITIAL",F734="CONSOLIDATION - UPFRONT COMM",F734="REVERSE - TOTAL FUNDING"),A734,"")</f>
        <v/>
      </c>
      <c r="C734" s="10"/>
      <c r="D734" s="11"/>
      <c r="E734" s="11"/>
      <c r="F734" s="11"/>
      <c r="G734" s="12"/>
      <c r="H734" s="13"/>
      <c r="I734" s="11"/>
      <c r="J734" s="14" t="str">
        <f aca="false">IF(AND(G734&lt;&gt;"",H734&lt;&gt;""),G734*H734,"")</f>
        <v/>
      </c>
      <c r="K734" s="11"/>
      <c r="L734" s="15"/>
      <c r="M734" s="15"/>
      <c r="N734" s="14" t="n">
        <f aca="false">IF(OR(G734="",M734=""),0,IF(M734&gt;100,M734,G734*IF(M734&gt;1,M734/100,M734)))</f>
        <v>0</v>
      </c>
      <c r="O734" s="14" t="str">
        <f aca="false">IF(G734="","",G734*IF(L734="",0,IF(L734&gt;1,L734/100,L734))+N734)</f>
        <v/>
      </c>
      <c r="P734" s="11"/>
      <c r="Q734" s="16" t="str">
        <f aca="false">IF(P734="","",IFERROR(VLOOKUP(P734,PARTNERS!$A$2:$B$30,2,0),""))</f>
        <v/>
      </c>
      <c r="R734" s="17" t="str">
        <f aca="false">IF(O734="","",IF(OR(P734="",Q734=""),0,(O734-N734)*IF(Q734&gt;1,Q734/100,Q734)))</f>
        <v/>
      </c>
      <c r="S734" s="14" t="str">
        <f aca="false">IF(O734="","",O734-R734)</f>
        <v/>
      </c>
      <c r="T734" s="11"/>
      <c r="U734" s="18" t="str">
        <f aca="false">IF(T734="","",IFERROR(VLOOKUP(T734,REPS!$A$2:$D$40,2,0),""))</f>
        <v/>
      </c>
      <c r="V734" s="14" t="str">
        <f aca="false">IF(O734="","",IF(U734="",0,O734*IF(U734&gt;1,U734/100,U734)))</f>
        <v/>
      </c>
      <c r="W734" s="11"/>
      <c r="X734" s="18" t="str">
        <f aca="false">IF(W734="","",IFERROR(VLOOKUP(W734,REPS!$A$2:$D$40,3,0),""))</f>
        <v/>
      </c>
      <c r="Y734" s="14" t="str">
        <f aca="false">IF(O734="","",IF(X734="",0,O734*IF(X734&gt;1,X734/100,X734)))</f>
        <v/>
      </c>
      <c r="Z734" s="11"/>
      <c r="AA734" s="18" t="str">
        <f aca="false">IF(Z734="","",IFERROR(VLOOKUP(Z734,REPS!$A$2:$D$40,4,0),""))</f>
        <v/>
      </c>
      <c r="AB734" s="14" t="str">
        <f aca="false">IF(O734="","",IF(AA734="",0,O734*IF(AA734&gt;1,AA734/100,AA734)))</f>
        <v/>
      </c>
      <c r="AC734" s="14" t="str">
        <f aca="false">IF(O734="","",V734+Y734+AB734)</f>
        <v/>
      </c>
      <c r="AD734" s="19" t="str">
        <f aca="false">IF(O734="","",O734-R734-AC734)</f>
        <v/>
      </c>
      <c r="AE734" s="20"/>
      <c r="AF734" s="10"/>
      <c r="AG734" s="21" t="n">
        <f aca="false">IF(OR(AE734="",AE734=0),0,AE734*IF(U734="",0,IF(U734&gt;1,U734/100,U734)))</f>
        <v>0</v>
      </c>
      <c r="AH734" s="21" t="n">
        <f aca="false">IF(OR(AE734="",AE734=0),0,AE734*IF(X734="",0,IF(X734&gt;1,X734/100,X734)))</f>
        <v>0</v>
      </c>
      <c r="AI734" s="21" t="n">
        <f aca="false">IF(OR(AE734="",AE734=0),0,AE734*IF(AA734="",0,IF(AA734&gt;1,AA734/100,AA734)))</f>
        <v>0</v>
      </c>
      <c r="AJ734" s="21" t="n">
        <f aca="false">AG734+AH734+AI734</f>
        <v>0</v>
      </c>
      <c r="AK734" s="21" t="n">
        <f aca="false">IF(OR(AE734="",AE734=0),0,AE734-AJ734)</f>
        <v>0</v>
      </c>
      <c r="AL734" s="19" t="str">
        <f aca="false">IF(AD734="","",AD734-AK734)</f>
        <v/>
      </c>
      <c r="AM734" s="9" t="str">
        <f aca="false">IF(C734="","","Waiting for payment")</f>
        <v/>
      </c>
      <c r="AN734" s="10"/>
      <c r="AO734" s="10"/>
      <c r="AP734" s="22" t="str">
        <f aca="false">IF(OR(C734="",I734="",K734=""),"",IF(K734="Monthly",EDATE(C734,ROUND(I734*SETTINGS!$I$8,0)),WORKDAY(C734,ROUND(I734*SETTINGS!$I$8,0))))</f>
        <v/>
      </c>
      <c r="AQ734" s="9" t="str">
        <f aca="true">IF(C734="","",IF(AND(AP734&lt;&gt;"",TODAY()&gt;=AP734),"Refi Ready",IF(TODAY()-C734&gt;=SETTINGS!$I$11,"Prospecting","Performing")))</f>
        <v/>
      </c>
      <c r="AR734" s="22" t="str">
        <f aca="false">IF(OR(C734="",I734="",K734=""),"",IF(K734="Monthly",EDATE(C734,I734),WORKDAY(C734,I734)))</f>
        <v/>
      </c>
      <c r="AS734" s="11"/>
      <c r="AT734" s="23" t="str">
        <f aca="true">IF(C734="","",IF(AM734="Clawed Back","CLAWED",IF(TODAY()&lt;=C734+SETTINGS!$I$2,"⚠ AT RISK","SAFE")))</f>
        <v/>
      </c>
      <c r="AU734" s="11"/>
      <c r="AW734" s="24" t="n">
        <f aca="false">AW733+IF(AND(C734&lt;&gt;"",AO734&lt;&gt;"",OR('REP COMMISSION'!$B$3="",T734='REP COMMISSION'!$B$3,W734='REP COMMISSION'!$B$3,Z734='REP COMMISSION'!$B$3)),1,0)</f>
        <v>0</v>
      </c>
      <c r="AX734" s="24" t="n">
        <f aca="false">AX733+IF(AND(C734&lt;&gt;"",OR(F734="LOC - INITIAL",F734="CONSOLIDATION - UPFRONT COMM",F734="REVERSE - TOTAL FUNDING")),1,0)</f>
        <v>0</v>
      </c>
    </row>
    <row r="735" customFormat="false" ht="15" hidden="false" customHeight="false" outlineLevel="0" collapsed="false">
      <c r="A735" s="25" t="str">
        <f aca="false">IF(C735&lt;&gt;"","F27-"&amp;COUNT($C$4:C735),"")</f>
        <v/>
      </c>
      <c r="B735" s="26" t="str">
        <f aca="false">IF(OR(F735="LOC - INITIAL",F735="CONSOLIDATION - UPFRONT COMM",F735="REVERSE - TOTAL FUNDING"),A735,"")</f>
        <v/>
      </c>
      <c r="C735" s="27"/>
      <c r="D735" s="28"/>
      <c r="E735" s="28"/>
      <c r="F735" s="28"/>
      <c r="G735" s="29"/>
      <c r="H735" s="30"/>
      <c r="I735" s="28"/>
      <c r="J735" s="31" t="str">
        <f aca="false">IF(AND(G735&lt;&gt;"",H735&lt;&gt;""),G735*H735,"")</f>
        <v/>
      </c>
      <c r="K735" s="28"/>
      <c r="L735" s="32"/>
      <c r="M735" s="32"/>
      <c r="N735" s="31" t="n">
        <f aca="false">IF(OR(G735="",M735=""),0,IF(M735&gt;100,M735,G735*IF(M735&gt;1,M735/100,M735)))</f>
        <v>0</v>
      </c>
      <c r="O735" s="31" t="str">
        <f aca="false">IF(G735="","",G735*IF(L735="",0,IF(L735&gt;1,L735/100,L735))+N735)</f>
        <v/>
      </c>
      <c r="P735" s="28"/>
      <c r="Q735" s="33" t="str">
        <f aca="false">IF(P735="","",IFERROR(VLOOKUP(P735,PARTNERS!$A$2:$B$30,2,0),""))</f>
        <v/>
      </c>
      <c r="R735" s="17" t="str">
        <f aca="false">IF(O735="","",IF(OR(P735="",Q735=""),0,(O735-N735)*IF(Q735&gt;1,Q735/100,Q735)))</f>
        <v/>
      </c>
      <c r="S735" s="31" t="str">
        <f aca="false">IF(O735="","",O735-R735)</f>
        <v/>
      </c>
      <c r="T735" s="28"/>
      <c r="U735" s="34" t="str">
        <f aca="false">IF(T735="","",IFERROR(VLOOKUP(T735,REPS!$A$2:$D$40,2,0),""))</f>
        <v/>
      </c>
      <c r="V735" s="31" t="str">
        <f aca="false">IF(O735="","",IF(U735="",0,O735*IF(U735&gt;1,U735/100,U735)))</f>
        <v/>
      </c>
      <c r="W735" s="28"/>
      <c r="X735" s="34" t="str">
        <f aca="false">IF(W735="","",IFERROR(VLOOKUP(W735,REPS!$A$2:$D$40,3,0),""))</f>
        <v/>
      </c>
      <c r="Y735" s="31" t="str">
        <f aca="false">IF(O735="","",IF(X735="",0,O735*IF(X735&gt;1,X735/100,X735)))</f>
        <v/>
      </c>
      <c r="Z735" s="28"/>
      <c r="AA735" s="34" t="str">
        <f aca="false">IF(Z735="","",IFERROR(VLOOKUP(Z735,REPS!$A$2:$D$40,4,0),""))</f>
        <v/>
      </c>
      <c r="AB735" s="31" t="str">
        <f aca="false">IF(O735="","",IF(AA735="",0,O735*IF(AA735&gt;1,AA735/100,AA735)))</f>
        <v/>
      </c>
      <c r="AC735" s="31" t="str">
        <f aca="false">IF(O735="","",V735+Y735+AB735)</f>
        <v/>
      </c>
      <c r="AD735" s="19" t="str">
        <f aca="false">IF(O735="","",O735-R735-AC735)</f>
        <v/>
      </c>
      <c r="AE735" s="20"/>
      <c r="AF735" s="27"/>
      <c r="AG735" s="21" t="n">
        <f aca="false">IF(OR(AE735="",AE735=0),0,AE735*IF(U735="",0,IF(U735&gt;1,U735/100,U735)))</f>
        <v>0</v>
      </c>
      <c r="AH735" s="21" t="n">
        <f aca="false">IF(OR(AE735="",AE735=0),0,AE735*IF(X735="",0,IF(X735&gt;1,X735/100,X735)))</f>
        <v>0</v>
      </c>
      <c r="AI735" s="21" t="n">
        <f aca="false">IF(OR(AE735="",AE735=0),0,AE735*IF(AA735="",0,IF(AA735&gt;1,AA735/100,AA735)))</f>
        <v>0</v>
      </c>
      <c r="AJ735" s="21" t="n">
        <f aca="false">AG735+AH735+AI735</f>
        <v>0</v>
      </c>
      <c r="AK735" s="21" t="n">
        <f aca="false">IF(OR(AE735="",AE735=0),0,AE735-AJ735)</f>
        <v>0</v>
      </c>
      <c r="AL735" s="19" t="str">
        <f aca="false">IF(AD735="","",AD735-AK735)</f>
        <v/>
      </c>
      <c r="AM735" s="26" t="str">
        <f aca="false">IF(C735="","","Waiting for payment")</f>
        <v/>
      </c>
      <c r="AN735" s="27"/>
      <c r="AO735" s="27"/>
      <c r="AP735" s="35" t="str">
        <f aca="false">IF(OR(C735="",I735="",K735=""),"",IF(K735="Monthly",EDATE(C735,ROUND(I735*SETTINGS!$I$8,0)),WORKDAY(C735,ROUND(I735*SETTINGS!$I$8,0))))</f>
        <v/>
      </c>
      <c r="AQ735" s="26" t="str">
        <f aca="true">IF(C735="","",IF(AND(AP735&lt;&gt;"",TODAY()&gt;=AP735),"Refi Ready",IF(TODAY()-C735&gt;=SETTINGS!$I$11,"Prospecting","Performing")))</f>
        <v/>
      </c>
      <c r="AR735" s="35" t="str">
        <f aca="false">IF(OR(C735="",I735="",K735=""),"",IF(K735="Monthly",EDATE(C735,I735),WORKDAY(C735,I735)))</f>
        <v/>
      </c>
      <c r="AS735" s="28"/>
      <c r="AT735" s="36" t="str">
        <f aca="true">IF(C735="","",IF(AM735="Clawed Back","CLAWED",IF(TODAY()&lt;=C735+SETTINGS!$I$2,"⚠ AT RISK","SAFE")))</f>
        <v/>
      </c>
      <c r="AU735" s="28"/>
      <c r="AW735" s="24" t="n">
        <f aca="false">AW734+IF(AND(C735&lt;&gt;"",AO735&lt;&gt;"",OR('REP COMMISSION'!$B$3="",T735='REP COMMISSION'!$B$3,W735='REP COMMISSION'!$B$3,Z735='REP COMMISSION'!$B$3)),1,0)</f>
        <v>0</v>
      </c>
      <c r="AX735" s="24" t="n">
        <f aca="false">AX734+IF(AND(C735&lt;&gt;"",OR(F735="LOC - INITIAL",F735="CONSOLIDATION - UPFRONT COMM",F735="REVERSE - TOTAL FUNDING")),1,0)</f>
        <v>0</v>
      </c>
    </row>
    <row r="736" customFormat="false" ht="15" hidden="false" customHeight="false" outlineLevel="0" collapsed="false">
      <c r="A736" s="8" t="str">
        <f aca="false">IF(C736&lt;&gt;"","F27-"&amp;COUNT($C$4:C736),"")</f>
        <v/>
      </c>
      <c r="B736" s="9" t="str">
        <f aca="false">IF(OR(F736="LOC - INITIAL",F736="CONSOLIDATION - UPFRONT COMM",F736="REVERSE - TOTAL FUNDING"),A736,"")</f>
        <v/>
      </c>
      <c r="C736" s="10"/>
      <c r="D736" s="11"/>
      <c r="E736" s="11"/>
      <c r="F736" s="11"/>
      <c r="G736" s="12"/>
      <c r="H736" s="13"/>
      <c r="I736" s="11"/>
      <c r="J736" s="14" t="str">
        <f aca="false">IF(AND(G736&lt;&gt;"",H736&lt;&gt;""),G736*H736,"")</f>
        <v/>
      </c>
      <c r="K736" s="11"/>
      <c r="L736" s="15"/>
      <c r="M736" s="15"/>
      <c r="N736" s="14" t="n">
        <f aca="false">IF(OR(G736="",M736=""),0,IF(M736&gt;100,M736,G736*IF(M736&gt;1,M736/100,M736)))</f>
        <v>0</v>
      </c>
      <c r="O736" s="14" t="str">
        <f aca="false">IF(G736="","",G736*IF(L736="",0,IF(L736&gt;1,L736/100,L736))+N736)</f>
        <v/>
      </c>
      <c r="P736" s="11"/>
      <c r="Q736" s="16" t="str">
        <f aca="false">IF(P736="","",IFERROR(VLOOKUP(P736,PARTNERS!$A$2:$B$30,2,0),""))</f>
        <v/>
      </c>
      <c r="R736" s="17" t="str">
        <f aca="false">IF(O736="","",IF(OR(P736="",Q736=""),0,(O736-N736)*IF(Q736&gt;1,Q736/100,Q736)))</f>
        <v/>
      </c>
      <c r="S736" s="14" t="str">
        <f aca="false">IF(O736="","",O736-R736)</f>
        <v/>
      </c>
      <c r="T736" s="11"/>
      <c r="U736" s="18" t="str">
        <f aca="false">IF(T736="","",IFERROR(VLOOKUP(T736,REPS!$A$2:$D$40,2,0),""))</f>
        <v/>
      </c>
      <c r="V736" s="14" t="str">
        <f aca="false">IF(O736="","",IF(U736="",0,O736*IF(U736&gt;1,U736/100,U736)))</f>
        <v/>
      </c>
      <c r="W736" s="11"/>
      <c r="X736" s="18" t="str">
        <f aca="false">IF(W736="","",IFERROR(VLOOKUP(W736,REPS!$A$2:$D$40,3,0),""))</f>
        <v/>
      </c>
      <c r="Y736" s="14" t="str">
        <f aca="false">IF(O736="","",IF(X736="",0,O736*IF(X736&gt;1,X736/100,X736)))</f>
        <v/>
      </c>
      <c r="Z736" s="11"/>
      <c r="AA736" s="18" t="str">
        <f aca="false">IF(Z736="","",IFERROR(VLOOKUP(Z736,REPS!$A$2:$D$40,4,0),""))</f>
        <v/>
      </c>
      <c r="AB736" s="14" t="str">
        <f aca="false">IF(O736="","",IF(AA736="",0,O736*IF(AA736&gt;1,AA736/100,AA736)))</f>
        <v/>
      </c>
      <c r="AC736" s="14" t="str">
        <f aca="false">IF(O736="","",V736+Y736+AB736)</f>
        <v/>
      </c>
      <c r="AD736" s="19" t="str">
        <f aca="false">IF(O736="","",O736-R736-AC736)</f>
        <v/>
      </c>
      <c r="AE736" s="20"/>
      <c r="AF736" s="10"/>
      <c r="AG736" s="21" t="n">
        <f aca="false">IF(OR(AE736="",AE736=0),0,AE736*IF(U736="",0,IF(U736&gt;1,U736/100,U736)))</f>
        <v>0</v>
      </c>
      <c r="AH736" s="21" t="n">
        <f aca="false">IF(OR(AE736="",AE736=0),0,AE736*IF(X736="",0,IF(X736&gt;1,X736/100,X736)))</f>
        <v>0</v>
      </c>
      <c r="AI736" s="21" t="n">
        <f aca="false">IF(OR(AE736="",AE736=0),0,AE736*IF(AA736="",0,IF(AA736&gt;1,AA736/100,AA736)))</f>
        <v>0</v>
      </c>
      <c r="AJ736" s="21" t="n">
        <f aca="false">AG736+AH736+AI736</f>
        <v>0</v>
      </c>
      <c r="AK736" s="21" t="n">
        <f aca="false">IF(OR(AE736="",AE736=0),0,AE736-AJ736)</f>
        <v>0</v>
      </c>
      <c r="AL736" s="19" t="str">
        <f aca="false">IF(AD736="","",AD736-AK736)</f>
        <v/>
      </c>
      <c r="AM736" s="9" t="str">
        <f aca="false">IF(C736="","","Waiting for payment")</f>
        <v/>
      </c>
      <c r="AN736" s="10"/>
      <c r="AO736" s="10"/>
      <c r="AP736" s="22" t="str">
        <f aca="false">IF(OR(C736="",I736="",K736=""),"",IF(K736="Monthly",EDATE(C736,ROUND(I736*SETTINGS!$I$8,0)),WORKDAY(C736,ROUND(I736*SETTINGS!$I$8,0))))</f>
        <v/>
      </c>
      <c r="AQ736" s="9" t="str">
        <f aca="true">IF(C736="","",IF(AND(AP736&lt;&gt;"",TODAY()&gt;=AP736),"Refi Ready",IF(TODAY()-C736&gt;=SETTINGS!$I$11,"Prospecting","Performing")))</f>
        <v/>
      </c>
      <c r="AR736" s="22" t="str">
        <f aca="false">IF(OR(C736="",I736="",K736=""),"",IF(K736="Monthly",EDATE(C736,I736),WORKDAY(C736,I736)))</f>
        <v/>
      </c>
      <c r="AS736" s="11"/>
      <c r="AT736" s="23" t="str">
        <f aca="true">IF(C736="","",IF(AM736="Clawed Back","CLAWED",IF(TODAY()&lt;=C736+SETTINGS!$I$2,"⚠ AT RISK","SAFE")))</f>
        <v/>
      </c>
      <c r="AU736" s="11"/>
      <c r="AW736" s="24" t="n">
        <f aca="false">AW735+IF(AND(C736&lt;&gt;"",AO736&lt;&gt;"",OR('REP COMMISSION'!$B$3="",T736='REP COMMISSION'!$B$3,W736='REP COMMISSION'!$B$3,Z736='REP COMMISSION'!$B$3)),1,0)</f>
        <v>0</v>
      </c>
      <c r="AX736" s="24" t="n">
        <f aca="false">AX735+IF(AND(C736&lt;&gt;"",OR(F736="LOC - INITIAL",F736="CONSOLIDATION - UPFRONT COMM",F736="REVERSE - TOTAL FUNDING")),1,0)</f>
        <v>0</v>
      </c>
    </row>
    <row r="737" customFormat="false" ht="15" hidden="false" customHeight="false" outlineLevel="0" collapsed="false">
      <c r="A737" s="25" t="str">
        <f aca="false">IF(C737&lt;&gt;"","F27-"&amp;COUNT($C$4:C737),"")</f>
        <v/>
      </c>
      <c r="B737" s="26" t="str">
        <f aca="false">IF(OR(F737="LOC - INITIAL",F737="CONSOLIDATION - UPFRONT COMM",F737="REVERSE - TOTAL FUNDING"),A737,"")</f>
        <v/>
      </c>
      <c r="C737" s="27"/>
      <c r="D737" s="28"/>
      <c r="E737" s="28"/>
      <c r="F737" s="28"/>
      <c r="G737" s="29"/>
      <c r="H737" s="30"/>
      <c r="I737" s="28"/>
      <c r="J737" s="31" t="str">
        <f aca="false">IF(AND(G737&lt;&gt;"",H737&lt;&gt;""),G737*H737,"")</f>
        <v/>
      </c>
      <c r="K737" s="28"/>
      <c r="L737" s="32"/>
      <c r="M737" s="32"/>
      <c r="N737" s="31" t="n">
        <f aca="false">IF(OR(G737="",M737=""),0,IF(M737&gt;100,M737,G737*IF(M737&gt;1,M737/100,M737)))</f>
        <v>0</v>
      </c>
      <c r="O737" s="31" t="str">
        <f aca="false">IF(G737="","",G737*IF(L737="",0,IF(L737&gt;1,L737/100,L737))+N737)</f>
        <v/>
      </c>
      <c r="P737" s="28"/>
      <c r="Q737" s="33" t="str">
        <f aca="false">IF(P737="","",IFERROR(VLOOKUP(P737,PARTNERS!$A$2:$B$30,2,0),""))</f>
        <v/>
      </c>
      <c r="R737" s="17" t="str">
        <f aca="false">IF(O737="","",IF(OR(P737="",Q737=""),0,(O737-N737)*IF(Q737&gt;1,Q737/100,Q737)))</f>
        <v/>
      </c>
      <c r="S737" s="31" t="str">
        <f aca="false">IF(O737="","",O737-R737)</f>
        <v/>
      </c>
      <c r="T737" s="28"/>
      <c r="U737" s="34" t="str">
        <f aca="false">IF(T737="","",IFERROR(VLOOKUP(T737,REPS!$A$2:$D$40,2,0),""))</f>
        <v/>
      </c>
      <c r="V737" s="31" t="str">
        <f aca="false">IF(O737="","",IF(U737="",0,O737*IF(U737&gt;1,U737/100,U737)))</f>
        <v/>
      </c>
      <c r="W737" s="28"/>
      <c r="X737" s="34" t="str">
        <f aca="false">IF(W737="","",IFERROR(VLOOKUP(W737,REPS!$A$2:$D$40,3,0),""))</f>
        <v/>
      </c>
      <c r="Y737" s="31" t="str">
        <f aca="false">IF(O737="","",IF(X737="",0,O737*IF(X737&gt;1,X737/100,X737)))</f>
        <v/>
      </c>
      <c r="Z737" s="28"/>
      <c r="AA737" s="34" t="str">
        <f aca="false">IF(Z737="","",IFERROR(VLOOKUP(Z737,REPS!$A$2:$D$40,4,0),""))</f>
        <v/>
      </c>
      <c r="AB737" s="31" t="str">
        <f aca="false">IF(O737="","",IF(AA737="",0,O737*IF(AA737&gt;1,AA737/100,AA737)))</f>
        <v/>
      </c>
      <c r="AC737" s="31" t="str">
        <f aca="false">IF(O737="","",V737+Y737+AB737)</f>
        <v/>
      </c>
      <c r="AD737" s="19" t="str">
        <f aca="false">IF(O737="","",O737-R737-AC737)</f>
        <v/>
      </c>
      <c r="AE737" s="20"/>
      <c r="AF737" s="27"/>
      <c r="AG737" s="21" t="n">
        <f aca="false">IF(OR(AE737="",AE737=0),0,AE737*IF(U737="",0,IF(U737&gt;1,U737/100,U737)))</f>
        <v>0</v>
      </c>
      <c r="AH737" s="21" t="n">
        <f aca="false">IF(OR(AE737="",AE737=0),0,AE737*IF(X737="",0,IF(X737&gt;1,X737/100,X737)))</f>
        <v>0</v>
      </c>
      <c r="AI737" s="21" t="n">
        <f aca="false">IF(OR(AE737="",AE737=0),0,AE737*IF(AA737="",0,IF(AA737&gt;1,AA737/100,AA737)))</f>
        <v>0</v>
      </c>
      <c r="AJ737" s="21" t="n">
        <f aca="false">AG737+AH737+AI737</f>
        <v>0</v>
      </c>
      <c r="AK737" s="21" t="n">
        <f aca="false">IF(OR(AE737="",AE737=0),0,AE737-AJ737)</f>
        <v>0</v>
      </c>
      <c r="AL737" s="19" t="str">
        <f aca="false">IF(AD737="","",AD737-AK737)</f>
        <v/>
      </c>
      <c r="AM737" s="26" t="str">
        <f aca="false">IF(C737="","","Waiting for payment")</f>
        <v/>
      </c>
      <c r="AN737" s="27"/>
      <c r="AO737" s="27"/>
      <c r="AP737" s="35" t="str">
        <f aca="false">IF(OR(C737="",I737="",K737=""),"",IF(K737="Monthly",EDATE(C737,ROUND(I737*SETTINGS!$I$8,0)),WORKDAY(C737,ROUND(I737*SETTINGS!$I$8,0))))</f>
        <v/>
      </c>
      <c r="AQ737" s="26" t="str">
        <f aca="true">IF(C737="","",IF(AND(AP737&lt;&gt;"",TODAY()&gt;=AP737),"Refi Ready",IF(TODAY()-C737&gt;=SETTINGS!$I$11,"Prospecting","Performing")))</f>
        <v/>
      </c>
      <c r="AR737" s="35" t="str">
        <f aca="false">IF(OR(C737="",I737="",K737=""),"",IF(K737="Monthly",EDATE(C737,I737),WORKDAY(C737,I737)))</f>
        <v/>
      </c>
      <c r="AS737" s="28"/>
      <c r="AT737" s="36" t="str">
        <f aca="true">IF(C737="","",IF(AM737="Clawed Back","CLAWED",IF(TODAY()&lt;=C737+SETTINGS!$I$2,"⚠ AT RISK","SAFE")))</f>
        <v/>
      </c>
      <c r="AU737" s="28"/>
      <c r="AW737" s="24" t="n">
        <f aca="false">AW736+IF(AND(C737&lt;&gt;"",AO737&lt;&gt;"",OR('REP COMMISSION'!$B$3="",T737='REP COMMISSION'!$B$3,W737='REP COMMISSION'!$B$3,Z737='REP COMMISSION'!$B$3)),1,0)</f>
        <v>0</v>
      </c>
      <c r="AX737" s="24" t="n">
        <f aca="false">AX736+IF(AND(C737&lt;&gt;"",OR(F737="LOC - INITIAL",F737="CONSOLIDATION - UPFRONT COMM",F737="REVERSE - TOTAL FUNDING")),1,0)</f>
        <v>0</v>
      </c>
    </row>
    <row r="738" customFormat="false" ht="15" hidden="false" customHeight="false" outlineLevel="0" collapsed="false">
      <c r="A738" s="8" t="str">
        <f aca="false">IF(C738&lt;&gt;"","F27-"&amp;COUNT($C$4:C738),"")</f>
        <v/>
      </c>
      <c r="B738" s="9" t="str">
        <f aca="false">IF(OR(F738="LOC - INITIAL",F738="CONSOLIDATION - UPFRONT COMM",F738="REVERSE - TOTAL FUNDING"),A738,"")</f>
        <v/>
      </c>
      <c r="C738" s="10"/>
      <c r="D738" s="11"/>
      <c r="E738" s="11"/>
      <c r="F738" s="11"/>
      <c r="G738" s="12"/>
      <c r="H738" s="13"/>
      <c r="I738" s="11"/>
      <c r="J738" s="14" t="str">
        <f aca="false">IF(AND(G738&lt;&gt;"",H738&lt;&gt;""),G738*H738,"")</f>
        <v/>
      </c>
      <c r="K738" s="11"/>
      <c r="L738" s="15"/>
      <c r="M738" s="15"/>
      <c r="N738" s="14" t="n">
        <f aca="false">IF(OR(G738="",M738=""),0,IF(M738&gt;100,M738,G738*IF(M738&gt;1,M738/100,M738)))</f>
        <v>0</v>
      </c>
      <c r="O738" s="14" t="str">
        <f aca="false">IF(G738="","",G738*IF(L738="",0,IF(L738&gt;1,L738/100,L738))+N738)</f>
        <v/>
      </c>
      <c r="P738" s="11"/>
      <c r="Q738" s="16" t="str">
        <f aca="false">IF(P738="","",IFERROR(VLOOKUP(P738,PARTNERS!$A$2:$B$30,2,0),""))</f>
        <v/>
      </c>
      <c r="R738" s="17" t="str">
        <f aca="false">IF(O738="","",IF(OR(P738="",Q738=""),0,(O738-N738)*IF(Q738&gt;1,Q738/100,Q738)))</f>
        <v/>
      </c>
      <c r="S738" s="14" t="str">
        <f aca="false">IF(O738="","",O738-R738)</f>
        <v/>
      </c>
      <c r="T738" s="11"/>
      <c r="U738" s="18" t="str">
        <f aca="false">IF(T738="","",IFERROR(VLOOKUP(T738,REPS!$A$2:$D$40,2,0),""))</f>
        <v/>
      </c>
      <c r="V738" s="14" t="str">
        <f aca="false">IF(O738="","",IF(U738="",0,O738*IF(U738&gt;1,U738/100,U738)))</f>
        <v/>
      </c>
      <c r="W738" s="11"/>
      <c r="X738" s="18" t="str">
        <f aca="false">IF(W738="","",IFERROR(VLOOKUP(W738,REPS!$A$2:$D$40,3,0),""))</f>
        <v/>
      </c>
      <c r="Y738" s="14" t="str">
        <f aca="false">IF(O738="","",IF(X738="",0,O738*IF(X738&gt;1,X738/100,X738)))</f>
        <v/>
      </c>
      <c r="Z738" s="11"/>
      <c r="AA738" s="18" t="str">
        <f aca="false">IF(Z738="","",IFERROR(VLOOKUP(Z738,REPS!$A$2:$D$40,4,0),""))</f>
        <v/>
      </c>
      <c r="AB738" s="14" t="str">
        <f aca="false">IF(O738="","",IF(AA738="",0,O738*IF(AA738&gt;1,AA738/100,AA738)))</f>
        <v/>
      </c>
      <c r="AC738" s="14" t="str">
        <f aca="false">IF(O738="","",V738+Y738+AB738)</f>
        <v/>
      </c>
      <c r="AD738" s="19" t="str">
        <f aca="false">IF(O738="","",O738-R738-AC738)</f>
        <v/>
      </c>
      <c r="AE738" s="20"/>
      <c r="AF738" s="10"/>
      <c r="AG738" s="21" t="n">
        <f aca="false">IF(OR(AE738="",AE738=0),0,AE738*IF(U738="",0,IF(U738&gt;1,U738/100,U738)))</f>
        <v>0</v>
      </c>
      <c r="AH738" s="21" t="n">
        <f aca="false">IF(OR(AE738="",AE738=0),0,AE738*IF(X738="",0,IF(X738&gt;1,X738/100,X738)))</f>
        <v>0</v>
      </c>
      <c r="AI738" s="21" t="n">
        <f aca="false">IF(OR(AE738="",AE738=0),0,AE738*IF(AA738="",0,IF(AA738&gt;1,AA738/100,AA738)))</f>
        <v>0</v>
      </c>
      <c r="AJ738" s="21" t="n">
        <f aca="false">AG738+AH738+AI738</f>
        <v>0</v>
      </c>
      <c r="AK738" s="21" t="n">
        <f aca="false">IF(OR(AE738="",AE738=0),0,AE738-AJ738)</f>
        <v>0</v>
      </c>
      <c r="AL738" s="19" t="str">
        <f aca="false">IF(AD738="","",AD738-AK738)</f>
        <v/>
      </c>
      <c r="AM738" s="9" t="str">
        <f aca="false">IF(C738="","","Waiting for payment")</f>
        <v/>
      </c>
      <c r="AN738" s="10"/>
      <c r="AO738" s="10"/>
      <c r="AP738" s="22" t="str">
        <f aca="false">IF(OR(C738="",I738="",K738=""),"",IF(K738="Monthly",EDATE(C738,ROUND(I738*SETTINGS!$I$8,0)),WORKDAY(C738,ROUND(I738*SETTINGS!$I$8,0))))</f>
        <v/>
      </c>
      <c r="AQ738" s="9" t="str">
        <f aca="true">IF(C738="","",IF(AND(AP738&lt;&gt;"",TODAY()&gt;=AP738),"Refi Ready",IF(TODAY()-C738&gt;=SETTINGS!$I$11,"Prospecting","Performing")))</f>
        <v/>
      </c>
      <c r="AR738" s="22" t="str">
        <f aca="false">IF(OR(C738="",I738="",K738=""),"",IF(K738="Monthly",EDATE(C738,I738),WORKDAY(C738,I738)))</f>
        <v/>
      </c>
      <c r="AS738" s="11"/>
      <c r="AT738" s="23" t="str">
        <f aca="true">IF(C738="","",IF(AM738="Clawed Back","CLAWED",IF(TODAY()&lt;=C738+SETTINGS!$I$2,"⚠ AT RISK","SAFE")))</f>
        <v/>
      </c>
      <c r="AU738" s="11"/>
      <c r="AW738" s="24" t="n">
        <f aca="false">AW737+IF(AND(C738&lt;&gt;"",AO738&lt;&gt;"",OR('REP COMMISSION'!$B$3="",T738='REP COMMISSION'!$B$3,W738='REP COMMISSION'!$B$3,Z738='REP COMMISSION'!$B$3)),1,0)</f>
        <v>0</v>
      </c>
      <c r="AX738" s="24" t="n">
        <f aca="false">AX737+IF(AND(C738&lt;&gt;"",OR(F738="LOC - INITIAL",F738="CONSOLIDATION - UPFRONT COMM",F738="REVERSE - TOTAL FUNDING")),1,0)</f>
        <v>0</v>
      </c>
    </row>
    <row r="739" customFormat="false" ht="15" hidden="false" customHeight="false" outlineLevel="0" collapsed="false">
      <c r="A739" s="25" t="str">
        <f aca="false">IF(C739&lt;&gt;"","F27-"&amp;COUNT($C$4:C739),"")</f>
        <v/>
      </c>
      <c r="B739" s="26" t="str">
        <f aca="false">IF(OR(F739="LOC - INITIAL",F739="CONSOLIDATION - UPFRONT COMM",F739="REVERSE - TOTAL FUNDING"),A739,"")</f>
        <v/>
      </c>
      <c r="C739" s="27"/>
      <c r="D739" s="28"/>
      <c r="E739" s="28"/>
      <c r="F739" s="28"/>
      <c r="G739" s="29"/>
      <c r="H739" s="30"/>
      <c r="I739" s="28"/>
      <c r="J739" s="31" t="str">
        <f aca="false">IF(AND(G739&lt;&gt;"",H739&lt;&gt;""),G739*H739,"")</f>
        <v/>
      </c>
      <c r="K739" s="28"/>
      <c r="L739" s="32"/>
      <c r="M739" s="32"/>
      <c r="N739" s="31" t="n">
        <f aca="false">IF(OR(G739="",M739=""),0,IF(M739&gt;100,M739,G739*IF(M739&gt;1,M739/100,M739)))</f>
        <v>0</v>
      </c>
      <c r="O739" s="31" t="str">
        <f aca="false">IF(G739="","",G739*IF(L739="",0,IF(L739&gt;1,L739/100,L739))+N739)</f>
        <v/>
      </c>
      <c r="P739" s="28"/>
      <c r="Q739" s="33" t="str">
        <f aca="false">IF(P739="","",IFERROR(VLOOKUP(P739,PARTNERS!$A$2:$B$30,2,0),""))</f>
        <v/>
      </c>
      <c r="R739" s="17" t="str">
        <f aca="false">IF(O739="","",IF(OR(P739="",Q739=""),0,(O739-N739)*IF(Q739&gt;1,Q739/100,Q739)))</f>
        <v/>
      </c>
      <c r="S739" s="31" t="str">
        <f aca="false">IF(O739="","",O739-R739)</f>
        <v/>
      </c>
      <c r="T739" s="28"/>
      <c r="U739" s="34" t="str">
        <f aca="false">IF(T739="","",IFERROR(VLOOKUP(T739,REPS!$A$2:$D$40,2,0),""))</f>
        <v/>
      </c>
      <c r="V739" s="31" t="str">
        <f aca="false">IF(O739="","",IF(U739="",0,O739*IF(U739&gt;1,U739/100,U739)))</f>
        <v/>
      </c>
      <c r="W739" s="28"/>
      <c r="X739" s="34" t="str">
        <f aca="false">IF(W739="","",IFERROR(VLOOKUP(W739,REPS!$A$2:$D$40,3,0),""))</f>
        <v/>
      </c>
      <c r="Y739" s="31" t="str">
        <f aca="false">IF(O739="","",IF(X739="",0,O739*IF(X739&gt;1,X739/100,X739)))</f>
        <v/>
      </c>
      <c r="Z739" s="28"/>
      <c r="AA739" s="34" t="str">
        <f aca="false">IF(Z739="","",IFERROR(VLOOKUP(Z739,REPS!$A$2:$D$40,4,0),""))</f>
        <v/>
      </c>
      <c r="AB739" s="31" t="str">
        <f aca="false">IF(O739="","",IF(AA739="",0,O739*IF(AA739&gt;1,AA739/100,AA739)))</f>
        <v/>
      </c>
      <c r="AC739" s="31" t="str">
        <f aca="false">IF(O739="","",V739+Y739+AB739)</f>
        <v/>
      </c>
      <c r="AD739" s="19" t="str">
        <f aca="false">IF(O739="","",O739-R739-AC739)</f>
        <v/>
      </c>
      <c r="AE739" s="20"/>
      <c r="AF739" s="27"/>
      <c r="AG739" s="21" t="n">
        <f aca="false">IF(OR(AE739="",AE739=0),0,AE739*IF(U739="",0,IF(U739&gt;1,U739/100,U739)))</f>
        <v>0</v>
      </c>
      <c r="AH739" s="21" t="n">
        <f aca="false">IF(OR(AE739="",AE739=0),0,AE739*IF(X739="",0,IF(X739&gt;1,X739/100,X739)))</f>
        <v>0</v>
      </c>
      <c r="AI739" s="21" t="n">
        <f aca="false">IF(OR(AE739="",AE739=0),0,AE739*IF(AA739="",0,IF(AA739&gt;1,AA739/100,AA739)))</f>
        <v>0</v>
      </c>
      <c r="AJ739" s="21" t="n">
        <f aca="false">AG739+AH739+AI739</f>
        <v>0</v>
      </c>
      <c r="AK739" s="21" t="n">
        <f aca="false">IF(OR(AE739="",AE739=0),0,AE739-AJ739)</f>
        <v>0</v>
      </c>
      <c r="AL739" s="19" t="str">
        <f aca="false">IF(AD739="","",AD739-AK739)</f>
        <v/>
      </c>
      <c r="AM739" s="26" t="str">
        <f aca="false">IF(C739="","","Waiting for payment")</f>
        <v/>
      </c>
      <c r="AN739" s="27"/>
      <c r="AO739" s="27"/>
      <c r="AP739" s="35" t="str">
        <f aca="false">IF(OR(C739="",I739="",K739=""),"",IF(K739="Monthly",EDATE(C739,ROUND(I739*SETTINGS!$I$8,0)),WORKDAY(C739,ROUND(I739*SETTINGS!$I$8,0))))</f>
        <v/>
      </c>
      <c r="AQ739" s="26" t="str">
        <f aca="true">IF(C739="","",IF(AND(AP739&lt;&gt;"",TODAY()&gt;=AP739),"Refi Ready",IF(TODAY()-C739&gt;=SETTINGS!$I$11,"Prospecting","Performing")))</f>
        <v/>
      </c>
      <c r="AR739" s="35" t="str">
        <f aca="false">IF(OR(C739="",I739="",K739=""),"",IF(K739="Monthly",EDATE(C739,I739),WORKDAY(C739,I739)))</f>
        <v/>
      </c>
      <c r="AS739" s="28"/>
      <c r="AT739" s="36" t="str">
        <f aca="true">IF(C739="","",IF(AM739="Clawed Back","CLAWED",IF(TODAY()&lt;=C739+SETTINGS!$I$2,"⚠ AT RISK","SAFE")))</f>
        <v/>
      </c>
      <c r="AU739" s="28"/>
      <c r="AW739" s="24" t="n">
        <f aca="false">AW738+IF(AND(C739&lt;&gt;"",AO739&lt;&gt;"",OR('REP COMMISSION'!$B$3="",T739='REP COMMISSION'!$B$3,W739='REP COMMISSION'!$B$3,Z739='REP COMMISSION'!$B$3)),1,0)</f>
        <v>0</v>
      </c>
      <c r="AX739" s="24" t="n">
        <f aca="false">AX738+IF(AND(C739&lt;&gt;"",OR(F739="LOC - INITIAL",F739="CONSOLIDATION - UPFRONT COMM",F739="REVERSE - TOTAL FUNDING")),1,0)</f>
        <v>0</v>
      </c>
    </row>
    <row r="740" customFormat="false" ht="15" hidden="false" customHeight="false" outlineLevel="0" collapsed="false">
      <c r="A740" s="8" t="str">
        <f aca="false">IF(C740&lt;&gt;"","F27-"&amp;COUNT($C$4:C740),"")</f>
        <v/>
      </c>
      <c r="B740" s="9" t="str">
        <f aca="false">IF(OR(F740="LOC - INITIAL",F740="CONSOLIDATION - UPFRONT COMM",F740="REVERSE - TOTAL FUNDING"),A740,"")</f>
        <v/>
      </c>
      <c r="C740" s="10"/>
      <c r="D740" s="11"/>
      <c r="E740" s="11"/>
      <c r="F740" s="11"/>
      <c r="G740" s="12"/>
      <c r="H740" s="13"/>
      <c r="I740" s="11"/>
      <c r="J740" s="14" t="str">
        <f aca="false">IF(AND(G740&lt;&gt;"",H740&lt;&gt;""),G740*H740,"")</f>
        <v/>
      </c>
      <c r="K740" s="11"/>
      <c r="L740" s="15"/>
      <c r="M740" s="15"/>
      <c r="N740" s="14" t="n">
        <f aca="false">IF(OR(G740="",M740=""),0,IF(M740&gt;100,M740,G740*IF(M740&gt;1,M740/100,M740)))</f>
        <v>0</v>
      </c>
      <c r="O740" s="14" t="str">
        <f aca="false">IF(G740="","",G740*IF(L740="",0,IF(L740&gt;1,L740/100,L740))+N740)</f>
        <v/>
      </c>
      <c r="P740" s="11"/>
      <c r="Q740" s="16" t="str">
        <f aca="false">IF(P740="","",IFERROR(VLOOKUP(P740,PARTNERS!$A$2:$B$30,2,0),""))</f>
        <v/>
      </c>
      <c r="R740" s="17" t="str">
        <f aca="false">IF(O740="","",IF(OR(P740="",Q740=""),0,(O740-N740)*IF(Q740&gt;1,Q740/100,Q740)))</f>
        <v/>
      </c>
      <c r="S740" s="14" t="str">
        <f aca="false">IF(O740="","",O740-R740)</f>
        <v/>
      </c>
      <c r="T740" s="11"/>
      <c r="U740" s="18" t="str">
        <f aca="false">IF(T740="","",IFERROR(VLOOKUP(T740,REPS!$A$2:$D$40,2,0),""))</f>
        <v/>
      </c>
      <c r="V740" s="14" t="str">
        <f aca="false">IF(O740="","",IF(U740="",0,O740*IF(U740&gt;1,U740/100,U740)))</f>
        <v/>
      </c>
      <c r="W740" s="11"/>
      <c r="X740" s="18" t="str">
        <f aca="false">IF(W740="","",IFERROR(VLOOKUP(W740,REPS!$A$2:$D$40,3,0),""))</f>
        <v/>
      </c>
      <c r="Y740" s="14" t="str">
        <f aca="false">IF(O740="","",IF(X740="",0,O740*IF(X740&gt;1,X740/100,X740)))</f>
        <v/>
      </c>
      <c r="Z740" s="11"/>
      <c r="AA740" s="18" t="str">
        <f aca="false">IF(Z740="","",IFERROR(VLOOKUP(Z740,REPS!$A$2:$D$40,4,0),""))</f>
        <v/>
      </c>
      <c r="AB740" s="14" t="str">
        <f aca="false">IF(O740="","",IF(AA740="",0,O740*IF(AA740&gt;1,AA740/100,AA740)))</f>
        <v/>
      </c>
      <c r="AC740" s="14" t="str">
        <f aca="false">IF(O740="","",V740+Y740+AB740)</f>
        <v/>
      </c>
      <c r="AD740" s="19" t="str">
        <f aca="false">IF(O740="","",O740-R740-AC740)</f>
        <v/>
      </c>
      <c r="AE740" s="20"/>
      <c r="AF740" s="10"/>
      <c r="AG740" s="21" t="n">
        <f aca="false">IF(OR(AE740="",AE740=0),0,AE740*IF(U740="",0,IF(U740&gt;1,U740/100,U740)))</f>
        <v>0</v>
      </c>
      <c r="AH740" s="21" t="n">
        <f aca="false">IF(OR(AE740="",AE740=0),0,AE740*IF(X740="",0,IF(X740&gt;1,X740/100,X740)))</f>
        <v>0</v>
      </c>
      <c r="AI740" s="21" t="n">
        <f aca="false">IF(OR(AE740="",AE740=0),0,AE740*IF(AA740="",0,IF(AA740&gt;1,AA740/100,AA740)))</f>
        <v>0</v>
      </c>
      <c r="AJ740" s="21" t="n">
        <f aca="false">AG740+AH740+AI740</f>
        <v>0</v>
      </c>
      <c r="AK740" s="21" t="n">
        <f aca="false">IF(OR(AE740="",AE740=0),0,AE740-AJ740)</f>
        <v>0</v>
      </c>
      <c r="AL740" s="19" t="str">
        <f aca="false">IF(AD740="","",AD740-AK740)</f>
        <v/>
      </c>
      <c r="AM740" s="9" t="str">
        <f aca="false">IF(C740="","","Waiting for payment")</f>
        <v/>
      </c>
      <c r="AN740" s="10"/>
      <c r="AO740" s="10"/>
      <c r="AP740" s="22" t="str">
        <f aca="false">IF(OR(C740="",I740="",K740=""),"",IF(K740="Monthly",EDATE(C740,ROUND(I740*SETTINGS!$I$8,0)),WORKDAY(C740,ROUND(I740*SETTINGS!$I$8,0))))</f>
        <v/>
      </c>
      <c r="AQ740" s="9" t="str">
        <f aca="true">IF(C740="","",IF(AND(AP740&lt;&gt;"",TODAY()&gt;=AP740),"Refi Ready",IF(TODAY()-C740&gt;=SETTINGS!$I$11,"Prospecting","Performing")))</f>
        <v/>
      </c>
      <c r="AR740" s="22" t="str">
        <f aca="false">IF(OR(C740="",I740="",K740=""),"",IF(K740="Monthly",EDATE(C740,I740),WORKDAY(C740,I740)))</f>
        <v/>
      </c>
      <c r="AS740" s="11"/>
      <c r="AT740" s="23" t="str">
        <f aca="true">IF(C740="","",IF(AM740="Clawed Back","CLAWED",IF(TODAY()&lt;=C740+SETTINGS!$I$2,"⚠ AT RISK","SAFE")))</f>
        <v/>
      </c>
      <c r="AU740" s="11"/>
      <c r="AW740" s="24" t="n">
        <f aca="false">AW739+IF(AND(C740&lt;&gt;"",AO740&lt;&gt;"",OR('REP COMMISSION'!$B$3="",T740='REP COMMISSION'!$B$3,W740='REP COMMISSION'!$B$3,Z740='REP COMMISSION'!$B$3)),1,0)</f>
        <v>0</v>
      </c>
      <c r="AX740" s="24" t="n">
        <f aca="false">AX739+IF(AND(C740&lt;&gt;"",OR(F740="LOC - INITIAL",F740="CONSOLIDATION - UPFRONT COMM",F740="REVERSE - TOTAL FUNDING")),1,0)</f>
        <v>0</v>
      </c>
    </row>
    <row r="741" customFormat="false" ht="15" hidden="false" customHeight="false" outlineLevel="0" collapsed="false">
      <c r="A741" s="25" t="str">
        <f aca="false">IF(C741&lt;&gt;"","F27-"&amp;COUNT($C$4:C741),"")</f>
        <v/>
      </c>
      <c r="B741" s="26" t="str">
        <f aca="false">IF(OR(F741="LOC - INITIAL",F741="CONSOLIDATION - UPFRONT COMM",F741="REVERSE - TOTAL FUNDING"),A741,"")</f>
        <v/>
      </c>
      <c r="C741" s="27"/>
      <c r="D741" s="28"/>
      <c r="E741" s="28"/>
      <c r="F741" s="28"/>
      <c r="G741" s="29"/>
      <c r="H741" s="30"/>
      <c r="I741" s="28"/>
      <c r="J741" s="31" t="str">
        <f aca="false">IF(AND(G741&lt;&gt;"",H741&lt;&gt;""),G741*H741,"")</f>
        <v/>
      </c>
      <c r="K741" s="28"/>
      <c r="L741" s="32"/>
      <c r="M741" s="32"/>
      <c r="N741" s="31" t="n">
        <f aca="false">IF(OR(G741="",M741=""),0,IF(M741&gt;100,M741,G741*IF(M741&gt;1,M741/100,M741)))</f>
        <v>0</v>
      </c>
      <c r="O741" s="31" t="str">
        <f aca="false">IF(G741="","",G741*IF(L741="",0,IF(L741&gt;1,L741/100,L741))+N741)</f>
        <v/>
      </c>
      <c r="P741" s="28"/>
      <c r="Q741" s="33" t="str">
        <f aca="false">IF(P741="","",IFERROR(VLOOKUP(P741,PARTNERS!$A$2:$B$30,2,0),""))</f>
        <v/>
      </c>
      <c r="R741" s="17" t="str">
        <f aca="false">IF(O741="","",IF(OR(P741="",Q741=""),0,(O741-N741)*IF(Q741&gt;1,Q741/100,Q741)))</f>
        <v/>
      </c>
      <c r="S741" s="31" t="str">
        <f aca="false">IF(O741="","",O741-R741)</f>
        <v/>
      </c>
      <c r="T741" s="28"/>
      <c r="U741" s="34" t="str">
        <f aca="false">IF(T741="","",IFERROR(VLOOKUP(T741,REPS!$A$2:$D$40,2,0),""))</f>
        <v/>
      </c>
      <c r="V741" s="31" t="str">
        <f aca="false">IF(O741="","",IF(U741="",0,O741*IF(U741&gt;1,U741/100,U741)))</f>
        <v/>
      </c>
      <c r="W741" s="28"/>
      <c r="X741" s="34" t="str">
        <f aca="false">IF(W741="","",IFERROR(VLOOKUP(W741,REPS!$A$2:$D$40,3,0),""))</f>
        <v/>
      </c>
      <c r="Y741" s="31" t="str">
        <f aca="false">IF(O741="","",IF(X741="",0,O741*IF(X741&gt;1,X741/100,X741)))</f>
        <v/>
      </c>
      <c r="Z741" s="28"/>
      <c r="AA741" s="34" t="str">
        <f aca="false">IF(Z741="","",IFERROR(VLOOKUP(Z741,REPS!$A$2:$D$40,4,0),""))</f>
        <v/>
      </c>
      <c r="AB741" s="31" t="str">
        <f aca="false">IF(O741="","",IF(AA741="",0,O741*IF(AA741&gt;1,AA741/100,AA741)))</f>
        <v/>
      </c>
      <c r="AC741" s="31" t="str">
        <f aca="false">IF(O741="","",V741+Y741+AB741)</f>
        <v/>
      </c>
      <c r="AD741" s="19" t="str">
        <f aca="false">IF(O741="","",O741-R741-AC741)</f>
        <v/>
      </c>
      <c r="AE741" s="20"/>
      <c r="AF741" s="27"/>
      <c r="AG741" s="21" t="n">
        <f aca="false">IF(OR(AE741="",AE741=0),0,AE741*IF(U741="",0,IF(U741&gt;1,U741/100,U741)))</f>
        <v>0</v>
      </c>
      <c r="AH741" s="21" t="n">
        <f aca="false">IF(OR(AE741="",AE741=0),0,AE741*IF(X741="",0,IF(X741&gt;1,X741/100,X741)))</f>
        <v>0</v>
      </c>
      <c r="AI741" s="21" t="n">
        <f aca="false">IF(OR(AE741="",AE741=0),0,AE741*IF(AA741="",0,IF(AA741&gt;1,AA741/100,AA741)))</f>
        <v>0</v>
      </c>
      <c r="AJ741" s="21" t="n">
        <f aca="false">AG741+AH741+AI741</f>
        <v>0</v>
      </c>
      <c r="AK741" s="21" t="n">
        <f aca="false">IF(OR(AE741="",AE741=0),0,AE741-AJ741)</f>
        <v>0</v>
      </c>
      <c r="AL741" s="19" t="str">
        <f aca="false">IF(AD741="","",AD741-AK741)</f>
        <v/>
      </c>
      <c r="AM741" s="26" t="str">
        <f aca="false">IF(C741="","","Waiting for payment")</f>
        <v/>
      </c>
      <c r="AN741" s="27"/>
      <c r="AO741" s="27"/>
      <c r="AP741" s="35" t="str">
        <f aca="false">IF(OR(C741="",I741="",K741=""),"",IF(K741="Monthly",EDATE(C741,ROUND(I741*SETTINGS!$I$8,0)),WORKDAY(C741,ROUND(I741*SETTINGS!$I$8,0))))</f>
        <v/>
      </c>
      <c r="AQ741" s="26" t="str">
        <f aca="true">IF(C741="","",IF(AND(AP741&lt;&gt;"",TODAY()&gt;=AP741),"Refi Ready",IF(TODAY()-C741&gt;=SETTINGS!$I$11,"Prospecting","Performing")))</f>
        <v/>
      </c>
      <c r="AR741" s="35" t="str">
        <f aca="false">IF(OR(C741="",I741="",K741=""),"",IF(K741="Monthly",EDATE(C741,I741),WORKDAY(C741,I741)))</f>
        <v/>
      </c>
      <c r="AS741" s="28"/>
      <c r="AT741" s="36" t="str">
        <f aca="true">IF(C741="","",IF(AM741="Clawed Back","CLAWED",IF(TODAY()&lt;=C741+SETTINGS!$I$2,"⚠ AT RISK","SAFE")))</f>
        <v/>
      </c>
      <c r="AU741" s="28"/>
      <c r="AW741" s="24" t="n">
        <f aca="false">AW740+IF(AND(C741&lt;&gt;"",AO741&lt;&gt;"",OR('REP COMMISSION'!$B$3="",T741='REP COMMISSION'!$B$3,W741='REP COMMISSION'!$B$3,Z741='REP COMMISSION'!$B$3)),1,0)</f>
        <v>0</v>
      </c>
      <c r="AX741" s="24" t="n">
        <f aca="false">AX740+IF(AND(C741&lt;&gt;"",OR(F741="LOC - INITIAL",F741="CONSOLIDATION - UPFRONT COMM",F741="REVERSE - TOTAL FUNDING")),1,0)</f>
        <v>0</v>
      </c>
    </row>
    <row r="742" customFormat="false" ht="15" hidden="false" customHeight="false" outlineLevel="0" collapsed="false">
      <c r="A742" s="8" t="str">
        <f aca="false">IF(C742&lt;&gt;"","F27-"&amp;COUNT($C$4:C742),"")</f>
        <v/>
      </c>
      <c r="B742" s="9" t="str">
        <f aca="false">IF(OR(F742="LOC - INITIAL",F742="CONSOLIDATION - UPFRONT COMM",F742="REVERSE - TOTAL FUNDING"),A742,"")</f>
        <v/>
      </c>
      <c r="C742" s="10"/>
      <c r="D742" s="11"/>
      <c r="E742" s="11"/>
      <c r="F742" s="11"/>
      <c r="G742" s="12"/>
      <c r="H742" s="13"/>
      <c r="I742" s="11"/>
      <c r="J742" s="14" t="str">
        <f aca="false">IF(AND(G742&lt;&gt;"",H742&lt;&gt;""),G742*H742,"")</f>
        <v/>
      </c>
      <c r="K742" s="11"/>
      <c r="L742" s="15"/>
      <c r="M742" s="15"/>
      <c r="N742" s="14" t="n">
        <f aca="false">IF(OR(G742="",M742=""),0,IF(M742&gt;100,M742,G742*IF(M742&gt;1,M742/100,M742)))</f>
        <v>0</v>
      </c>
      <c r="O742" s="14" t="str">
        <f aca="false">IF(G742="","",G742*IF(L742="",0,IF(L742&gt;1,L742/100,L742))+N742)</f>
        <v/>
      </c>
      <c r="P742" s="11"/>
      <c r="Q742" s="16" t="str">
        <f aca="false">IF(P742="","",IFERROR(VLOOKUP(P742,PARTNERS!$A$2:$B$30,2,0),""))</f>
        <v/>
      </c>
      <c r="R742" s="17" t="str">
        <f aca="false">IF(O742="","",IF(OR(P742="",Q742=""),0,(O742-N742)*IF(Q742&gt;1,Q742/100,Q742)))</f>
        <v/>
      </c>
      <c r="S742" s="14" t="str">
        <f aca="false">IF(O742="","",O742-R742)</f>
        <v/>
      </c>
      <c r="T742" s="11"/>
      <c r="U742" s="18" t="str">
        <f aca="false">IF(T742="","",IFERROR(VLOOKUP(T742,REPS!$A$2:$D$40,2,0),""))</f>
        <v/>
      </c>
      <c r="V742" s="14" t="str">
        <f aca="false">IF(O742="","",IF(U742="",0,O742*IF(U742&gt;1,U742/100,U742)))</f>
        <v/>
      </c>
      <c r="W742" s="11"/>
      <c r="X742" s="18" t="str">
        <f aca="false">IF(W742="","",IFERROR(VLOOKUP(W742,REPS!$A$2:$D$40,3,0),""))</f>
        <v/>
      </c>
      <c r="Y742" s="14" t="str">
        <f aca="false">IF(O742="","",IF(X742="",0,O742*IF(X742&gt;1,X742/100,X742)))</f>
        <v/>
      </c>
      <c r="Z742" s="11"/>
      <c r="AA742" s="18" t="str">
        <f aca="false">IF(Z742="","",IFERROR(VLOOKUP(Z742,REPS!$A$2:$D$40,4,0),""))</f>
        <v/>
      </c>
      <c r="AB742" s="14" t="str">
        <f aca="false">IF(O742="","",IF(AA742="",0,O742*IF(AA742&gt;1,AA742/100,AA742)))</f>
        <v/>
      </c>
      <c r="AC742" s="14" t="str">
        <f aca="false">IF(O742="","",V742+Y742+AB742)</f>
        <v/>
      </c>
      <c r="AD742" s="19" t="str">
        <f aca="false">IF(O742="","",O742-R742-AC742)</f>
        <v/>
      </c>
      <c r="AE742" s="20"/>
      <c r="AF742" s="10"/>
      <c r="AG742" s="21" t="n">
        <f aca="false">IF(OR(AE742="",AE742=0),0,AE742*IF(U742="",0,IF(U742&gt;1,U742/100,U742)))</f>
        <v>0</v>
      </c>
      <c r="AH742" s="21" t="n">
        <f aca="false">IF(OR(AE742="",AE742=0),0,AE742*IF(X742="",0,IF(X742&gt;1,X742/100,X742)))</f>
        <v>0</v>
      </c>
      <c r="AI742" s="21" t="n">
        <f aca="false">IF(OR(AE742="",AE742=0),0,AE742*IF(AA742="",0,IF(AA742&gt;1,AA742/100,AA742)))</f>
        <v>0</v>
      </c>
      <c r="AJ742" s="21" t="n">
        <f aca="false">AG742+AH742+AI742</f>
        <v>0</v>
      </c>
      <c r="AK742" s="21" t="n">
        <f aca="false">IF(OR(AE742="",AE742=0),0,AE742-AJ742)</f>
        <v>0</v>
      </c>
      <c r="AL742" s="19" t="str">
        <f aca="false">IF(AD742="","",AD742-AK742)</f>
        <v/>
      </c>
      <c r="AM742" s="9" t="str">
        <f aca="false">IF(C742="","","Waiting for payment")</f>
        <v/>
      </c>
      <c r="AN742" s="10"/>
      <c r="AO742" s="10"/>
      <c r="AP742" s="22" t="str">
        <f aca="false">IF(OR(C742="",I742="",K742=""),"",IF(K742="Monthly",EDATE(C742,ROUND(I742*SETTINGS!$I$8,0)),WORKDAY(C742,ROUND(I742*SETTINGS!$I$8,0))))</f>
        <v/>
      </c>
      <c r="AQ742" s="9" t="str">
        <f aca="true">IF(C742="","",IF(AND(AP742&lt;&gt;"",TODAY()&gt;=AP742),"Refi Ready",IF(TODAY()-C742&gt;=SETTINGS!$I$11,"Prospecting","Performing")))</f>
        <v/>
      </c>
      <c r="AR742" s="22" t="str">
        <f aca="false">IF(OR(C742="",I742="",K742=""),"",IF(K742="Monthly",EDATE(C742,I742),WORKDAY(C742,I742)))</f>
        <v/>
      </c>
      <c r="AS742" s="11"/>
      <c r="AT742" s="23" t="str">
        <f aca="true">IF(C742="","",IF(AM742="Clawed Back","CLAWED",IF(TODAY()&lt;=C742+SETTINGS!$I$2,"⚠ AT RISK","SAFE")))</f>
        <v/>
      </c>
      <c r="AU742" s="11"/>
      <c r="AW742" s="24" t="n">
        <f aca="false">AW741+IF(AND(C742&lt;&gt;"",AO742&lt;&gt;"",OR('REP COMMISSION'!$B$3="",T742='REP COMMISSION'!$B$3,W742='REP COMMISSION'!$B$3,Z742='REP COMMISSION'!$B$3)),1,0)</f>
        <v>0</v>
      </c>
      <c r="AX742" s="24" t="n">
        <f aca="false">AX741+IF(AND(C742&lt;&gt;"",OR(F742="LOC - INITIAL",F742="CONSOLIDATION - UPFRONT COMM",F742="REVERSE - TOTAL FUNDING")),1,0)</f>
        <v>0</v>
      </c>
    </row>
    <row r="743" customFormat="false" ht="15" hidden="false" customHeight="false" outlineLevel="0" collapsed="false">
      <c r="A743" s="25" t="str">
        <f aca="false">IF(C743&lt;&gt;"","F27-"&amp;COUNT($C$4:C743),"")</f>
        <v/>
      </c>
      <c r="B743" s="26" t="str">
        <f aca="false">IF(OR(F743="LOC - INITIAL",F743="CONSOLIDATION - UPFRONT COMM",F743="REVERSE - TOTAL FUNDING"),A743,"")</f>
        <v/>
      </c>
      <c r="C743" s="27"/>
      <c r="D743" s="28"/>
      <c r="E743" s="28"/>
      <c r="F743" s="28"/>
      <c r="G743" s="29"/>
      <c r="H743" s="30"/>
      <c r="I743" s="28"/>
      <c r="J743" s="31" t="str">
        <f aca="false">IF(AND(G743&lt;&gt;"",H743&lt;&gt;""),G743*H743,"")</f>
        <v/>
      </c>
      <c r="K743" s="28"/>
      <c r="L743" s="32"/>
      <c r="M743" s="32"/>
      <c r="N743" s="31" t="n">
        <f aca="false">IF(OR(G743="",M743=""),0,IF(M743&gt;100,M743,G743*IF(M743&gt;1,M743/100,M743)))</f>
        <v>0</v>
      </c>
      <c r="O743" s="31" t="str">
        <f aca="false">IF(G743="","",G743*IF(L743="",0,IF(L743&gt;1,L743/100,L743))+N743)</f>
        <v/>
      </c>
      <c r="P743" s="28"/>
      <c r="Q743" s="33" t="str">
        <f aca="false">IF(P743="","",IFERROR(VLOOKUP(P743,PARTNERS!$A$2:$B$30,2,0),""))</f>
        <v/>
      </c>
      <c r="R743" s="17" t="str">
        <f aca="false">IF(O743="","",IF(OR(P743="",Q743=""),0,(O743-N743)*IF(Q743&gt;1,Q743/100,Q743)))</f>
        <v/>
      </c>
      <c r="S743" s="31" t="str">
        <f aca="false">IF(O743="","",O743-R743)</f>
        <v/>
      </c>
      <c r="T743" s="28"/>
      <c r="U743" s="34" t="str">
        <f aca="false">IF(T743="","",IFERROR(VLOOKUP(T743,REPS!$A$2:$D$40,2,0),""))</f>
        <v/>
      </c>
      <c r="V743" s="31" t="str">
        <f aca="false">IF(O743="","",IF(U743="",0,O743*IF(U743&gt;1,U743/100,U743)))</f>
        <v/>
      </c>
      <c r="W743" s="28"/>
      <c r="X743" s="34" t="str">
        <f aca="false">IF(W743="","",IFERROR(VLOOKUP(W743,REPS!$A$2:$D$40,3,0),""))</f>
        <v/>
      </c>
      <c r="Y743" s="31" t="str">
        <f aca="false">IF(O743="","",IF(X743="",0,O743*IF(X743&gt;1,X743/100,X743)))</f>
        <v/>
      </c>
      <c r="Z743" s="28"/>
      <c r="AA743" s="34" t="str">
        <f aca="false">IF(Z743="","",IFERROR(VLOOKUP(Z743,REPS!$A$2:$D$40,4,0),""))</f>
        <v/>
      </c>
      <c r="AB743" s="31" t="str">
        <f aca="false">IF(O743="","",IF(AA743="",0,O743*IF(AA743&gt;1,AA743/100,AA743)))</f>
        <v/>
      </c>
      <c r="AC743" s="31" t="str">
        <f aca="false">IF(O743="","",V743+Y743+AB743)</f>
        <v/>
      </c>
      <c r="AD743" s="19" t="str">
        <f aca="false">IF(O743="","",O743-R743-AC743)</f>
        <v/>
      </c>
      <c r="AE743" s="20"/>
      <c r="AF743" s="27"/>
      <c r="AG743" s="21" t="n">
        <f aca="false">IF(OR(AE743="",AE743=0),0,AE743*IF(U743="",0,IF(U743&gt;1,U743/100,U743)))</f>
        <v>0</v>
      </c>
      <c r="AH743" s="21" t="n">
        <f aca="false">IF(OR(AE743="",AE743=0),0,AE743*IF(X743="",0,IF(X743&gt;1,X743/100,X743)))</f>
        <v>0</v>
      </c>
      <c r="AI743" s="21" t="n">
        <f aca="false">IF(OR(AE743="",AE743=0),0,AE743*IF(AA743="",0,IF(AA743&gt;1,AA743/100,AA743)))</f>
        <v>0</v>
      </c>
      <c r="AJ743" s="21" t="n">
        <f aca="false">AG743+AH743+AI743</f>
        <v>0</v>
      </c>
      <c r="AK743" s="21" t="n">
        <f aca="false">IF(OR(AE743="",AE743=0),0,AE743-AJ743)</f>
        <v>0</v>
      </c>
      <c r="AL743" s="19" t="str">
        <f aca="false">IF(AD743="","",AD743-AK743)</f>
        <v/>
      </c>
      <c r="AM743" s="26" t="str">
        <f aca="false">IF(C743="","","Waiting for payment")</f>
        <v/>
      </c>
      <c r="AN743" s="27"/>
      <c r="AO743" s="27"/>
      <c r="AP743" s="35" t="str">
        <f aca="false">IF(OR(C743="",I743="",K743=""),"",IF(K743="Monthly",EDATE(C743,ROUND(I743*SETTINGS!$I$8,0)),WORKDAY(C743,ROUND(I743*SETTINGS!$I$8,0))))</f>
        <v/>
      </c>
      <c r="AQ743" s="26" t="str">
        <f aca="true">IF(C743="","",IF(AND(AP743&lt;&gt;"",TODAY()&gt;=AP743),"Refi Ready",IF(TODAY()-C743&gt;=SETTINGS!$I$11,"Prospecting","Performing")))</f>
        <v/>
      </c>
      <c r="AR743" s="35" t="str">
        <f aca="false">IF(OR(C743="",I743="",K743=""),"",IF(K743="Monthly",EDATE(C743,I743),WORKDAY(C743,I743)))</f>
        <v/>
      </c>
      <c r="AS743" s="28"/>
      <c r="AT743" s="36" t="str">
        <f aca="true">IF(C743="","",IF(AM743="Clawed Back","CLAWED",IF(TODAY()&lt;=C743+SETTINGS!$I$2,"⚠ AT RISK","SAFE")))</f>
        <v/>
      </c>
      <c r="AU743" s="28"/>
      <c r="AW743" s="24" t="n">
        <f aca="false">AW742+IF(AND(C743&lt;&gt;"",AO743&lt;&gt;"",OR('REP COMMISSION'!$B$3="",T743='REP COMMISSION'!$B$3,W743='REP COMMISSION'!$B$3,Z743='REP COMMISSION'!$B$3)),1,0)</f>
        <v>0</v>
      </c>
      <c r="AX743" s="24" t="n">
        <f aca="false">AX742+IF(AND(C743&lt;&gt;"",OR(F743="LOC - INITIAL",F743="CONSOLIDATION - UPFRONT COMM",F743="REVERSE - TOTAL FUNDING")),1,0)</f>
        <v>0</v>
      </c>
    </row>
    <row r="744" customFormat="false" ht="15" hidden="false" customHeight="false" outlineLevel="0" collapsed="false">
      <c r="A744" s="8" t="str">
        <f aca="false">IF(C744&lt;&gt;"","F27-"&amp;COUNT($C$4:C744),"")</f>
        <v/>
      </c>
      <c r="B744" s="9" t="str">
        <f aca="false">IF(OR(F744="LOC - INITIAL",F744="CONSOLIDATION - UPFRONT COMM",F744="REVERSE - TOTAL FUNDING"),A744,"")</f>
        <v/>
      </c>
      <c r="C744" s="10"/>
      <c r="D744" s="11"/>
      <c r="E744" s="11"/>
      <c r="F744" s="11"/>
      <c r="G744" s="12"/>
      <c r="H744" s="13"/>
      <c r="I744" s="11"/>
      <c r="J744" s="14" t="str">
        <f aca="false">IF(AND(G744&lt;&gt;"",H744&lt;&gt;""),G744*H744,"")</f>
        <v/>
      </c>
      <c r="K744" s="11"/>
      <c r="L744" s="15"/>
      <c r="M744" s="15"/>
      <c r="N744" s="14" t="n">
        <f aca="false">IF(OR(G744="",M744=""),0,IF(M744&gt;100,M744,G744*IF(M744&gt;1,M744/100,M744)))</f>
        <v>0</v>
      </c>
      <c r="O744" s="14" t="str">
        <f aca="false">IF(G744="","",G744*IF(L744="",0,IF(L744&gt;1,L744/100,L744))+N744)</f>
        <v/>
      </c>
      <c r="P744" s="11"/>
      <c r="Q744" s="16" t="str">
        <f aca="false">IF(P744="","",IFERROR(VLOOKUP(P744,PARTNERS!$A$2:$B$30,2,0),""))</f>
        <v/>
      </c>
      <c r="R744" s="17" t="str">
        <f aca="false">IF(O744="","",IF(OR(P744="",Q744=""),0,(O744-N744)*IF(Q744&gt;1,Q744/100,Q744)))</f>
        <v/>
      </c>
      <c r="S744" s="14" t="str">
        <f aca="false">IF(O744="","",O744-R744)</f>
        <v/>
      </c>
      <c r="T744" s="11"/>
      <c r="U744" s="18" t="str">
        <f aca="false">IF(T744="","",IFERROR(VLOOKUP(T744,REPS!$A$2:$D$40,2,0),""))</f>
        <v/>
      </c>
      <c r="V744" s="14" t="str">
        <f aca="false">IF(O744="","",IF(U744="",0,O744*IF(U744&gt;1,U744/100,U744)))</f>
        <v/>
      </c>
      <c r="W744" s="11"/>
      <c r="X744" s="18" t="str">
        <f aca="false">IF(W744="","",IFERROR(VLOOKUP(W744,REPS!$A$2:$D$40,3,0),""))</f>
        <v/>
      </c>
      <c r="Y744" s="14" t="str">
        <f aca="false">IF(O744="","",IF(X744="",0,O744*IF(X744&gt;1,X744/100,X744)))</f>
        <v/>
      </c>
      <c r="Z744" s="11"/>
      <c r="AA744" s="18" t="str">
        <f aca="false">IF(Z744="","",IFERROR(VLOOKUP(Z744,REPS!$A$2:$D$40,4,0),""))</f>
        <v/>
      </c>
      <c r="AB744" s="14" t="str">
        <f aca="false">IF(O744="","",IF(AA744="",0,O744*IF(AA744&gt;1,AA744/100,AA744)))</f>
        <v/>
      </c>
      <c r="AC744" s="14" t="str">
        <f aca="false">IF(O744="","",V744+Y744+AB744)</f>
        <v/>
      </c>
      <c r="AD744" s="19" t="str">
        <f aca="false">IF(O744="","",O744-R744-AC744)</f>
        <v/>
      </c>
      <c r="AE744" s="20"/>
      <c r="AF744" s="10"/>
      <c r="AG744" s="21" t="n">
        <f aca="false">IF(OR(AE744="",AE744=0),0,AE744*IF(U744="",0,IF(U744&gt;1,U744/100,U744)))</f>
        <v>0</v>
      </c>
      <c r="AH744" s="21" t="n">
        <f aca="false">IF(OR(AE744="",AE744=0),0,AE744*IF(X744="",0,IF(X744&gt;1,X744/100,X744)))</f>
        <v>0</v>
      </c>
      <c r="AI744" s="21" t="n">
        <f aca="false">IF(OR(AE744="",AE744=0),0,AE744*IF(AA744="",0,IF(AA744&gt;1,AA744/100,AA744)))</f>
        <v>0</v>
      </c>
      <c r="AJ744" s="21" t="n">
        <f aca="false">AG744+AH744+AI744</f>
        <v>0</v>
      </c>
      <c r="AK744" s="21" t="n">
        <f aca="false">IF(OR(AE744="",AE744=0),0,AE744-AJ744)</f>
        <v>0</v>
      </c>
      <c r="AL744" s="19" t="str">
        <f aca="false">IF(AD744="","",AD744-AK744)</f>
        <v/>
      </c>
      <c r="AM744" s="9" t="str">
        <f aca="false">IF(C744="","","Waiting for payment")</f>
        <v/>
      </c>
      <c r="AN744" s="10"/>
      <c r="AO744" s="10"/>
      <c r="AP744" s="22" t="str">
        <f aca="false">IF(OR(C744="",I744="",K744=""),"",IF(K744="Monthly",EDATE(C744,ROUND(I744*SETTINGS!$I$8,0)),WORKDAY(C744,ROUND(I744*SETTINGS!$I$8,0))))</f>
        <v/>
      </c>
      <c r="AQ744" s="9" t="str">
        <f aca="true">IF(C744="","",IF(AND(AP744&lt;&gt;"",TODAY()&gt;=AP744),"Refi Ready",IF(TODAY()-C744&gt;=SETTINGS!$I$11,"Prospecting","Performing")))</f>
        <v/>
      </c>
      <c r="AR744" s="22" t="str">
        <f aca="false">IF(OR(C744="",I744="",K744=""),"",IF(K744="Monthly",EDATE(C744,I744),WORKDAY(C744,I744)))</f>
        <v/>
      </c>
      <c r="AS744" s="11"/>
      <c r="AT744" s="23" t="str">
        <f aca="true">IF(C744="","",IF(AM744="Clawed Back","CLAWED",IF(TODAY()&lt;=C744+SETTINGS!$I$2,"⚠ AT RISK","SAFE")))</f>
        <v/>
      </c>
      <c r="AU744" s="11"/>
      <c r="AW744" s="24" t="n">
        <f aca="false">AW743+IF(AND(C744&lt;&gt;"",AO744&lt;&gt;"",OR('REP COMMISSION'!$B$3="",T744='REP COMMISSION'!$B$3,W744='REP COMMISSION'!$B$3,Z744='REP COMMISSION'!$B$3)),1,0)</f>
        <v>0</v>
      </c>
      <c r="AX744" s="24" t="n">
        <f aca="false">AX743+IF(AND(C744&lt;&gt;"",OR(F744="LOC - INITIAL",F744="CONSOLIDATION - UPFRONT COMM",F744="REVERSE - TOTAL FUNDING")),1,0)</f>
        <v>0</v>
      </c>
    </row>
    <row r="745" customFormat="false" ht="15" hidden="false" customHeight="false" outlineLevel="0" collapsed="false">
      <c r="A745" s="25" t="str">
        <f aca="false">IF(C745&lt;&gt;"","F27-"&amp;COUNT($C$4:C745),"")</f>
        <v/>
      </c>
      <c r="B745" s="26" t="str">
        <f aca="false">IF(OR(F745="LOC - INITIAL",F745="CONSOLIDATION - UPFRONT COMM",F745="REVERSE - TOTAL FUNDING"),A745,"")</f>
        <v/>
      </c>
      <c r="C745" s="27"/>
      <c r="D745" s="28"/>
      <c r="E745" s="28"/>
      <c r="F745" s="28"/>
      <c r="G745" s="29"/>
      <c r="H745" s="30"/>
      <c r="I745" s="28"/>
      <c r="J745" s="31" t="str">
        <f aca="false">IF(AND(G745&lt;&gt;"",H745&lt;&gt;""),G745*H745,"")</f>
        <v/>
      </c>
      <c r="K745" s="28"/>
      <c r="L745" s="32"/>
      <c r="M745" s="32"/>
      <c r="N745" s="31" t="n">
        <f aca="false">IF(OR(G745="",M745=""),0,IF(M745&gt;100,M745,G745*IF(M745&gt;1,M745/100,M745)))</f>
        <v>0</v>
      </c>
      <c r="O745" s="31" t="str">
        <f aca="false">IF(G745="","",G745*IF(L745="",0,IF(L745&gt;1,L745/100,L745))+N745)</f>
        <v/>
      </c>
      <c r="P745" s="28"/>
      <c r="Q745" s="33" t="str">
        <f aca="false">IF(P745="","",IFERROR(VLOOKUP(P745,PARTNERS!$A$2:$B$30,2,0),""))</f>
        <v/>
      </c>
      <c r="R745" s="17" t="str">
        <f aca="false">IF(O745="","",IF(OR(P745="",Q745=""),0,(O745-N745)*IF(Q745&gt;1,Q745/100,Q745)))</f>
        <v/>
      </c>
      <c r="S745" s="31" t="str">
        <f aca="false">IF(O745="","",O745-R745)</f>
        <v/>
      </c>
      <c r="T745" s="28"/>
      <c r="U745" s="34" t="str">
        <f aca="false">IF(T745="","",IFERROR(VLOOKUP(T745,REPS!$A$2:$D$40,2,0),""))</f>
        <v/>
      </c>
      <c r="V745" s="31" t="str">
        <f aca="false">IF(O745="","",IF(U745="",0,O745*IF(U745&gt;1,U745/100,U745)))</f>
        <v/>
      </c>
      <c r="W745" s="28"/>
      <c r="X745" s="34" t="str">
        <f aca="false">IF(W745="","",IFERROR(VLOOKUP(W745,REPS!$A$2:$D$40,3,0),""))</f>
        <v/>
      </c>
      <c r="Y745" s="31" t="str">
        <f aca="false">IF(O745="","",IF(X745="",0,O745*IF(X745&gt;1,X745/100,X745)))</f>
        <v/>
      </c>
      <c r="Z745" s="28"/>
      <c r="AA745" s="34" t="str">
        <f aca="false">IF(Z745="","",IFERROR(VLOOKUP(Z745,REPS!$A$2:$D$40,4,0),""))</f>
        <v/>
      </c>
      <c r="AB745" s="31" t="str">
        <f aca="false">IF(O745="","",IF(AA745="",0,O745*IF(AA745&gt;1,AA745/100,AA745)))</f>
        <v/>
      </c>
      <c r="AC745" s="31" t="str">
        <f aca="false">IF(O745="","",V745+Y745+AB745)</f>
        <v/>
      </c>
      <c r="AD745" s="19" t="str">
        <f aca="false">IF(O745="","",O745-R745-AC745)</f>
        <v/>
      </c>
      <c r="AE745" s="20"/>
      <c r="AF745" s="27"/>
      <c r="AG745" s="21" t="n">
        <f aca="false">IF(OR(AE745="",AE745=0),0,AE745*IF(U745="",0,IF(U745&gt;1,U745/100,U745)))</f>
        <v>0</v>
      </c>
      <c r="AH745" s="21" t="n">
        <f aca="false">IF(OR(AE745="",AE745=0),0,AE745*IF(X745="",0,IF(X745&gt;1,X745/100,X745)))</f>
        <v>0</v>
      </c>
      <c r="AI745" s="21" t="n">
        <f aca="false">IF(OR(AE745="",AE745=0),0,AE745*IF(AA745="",0,IF(AA745&gt;1,AA745/100,AA745)))</f>
        <v>0</v>
      </c>
      <c r="AJ745" s="21" t="n">
        <f aca="false">AG745+AH745+AI745</f>
        <v>0</v>
      </c>
      <c r="AK745" s="21" t="n">
        <f aca="false">IF(OR(AE745="",AE745=0),0,AE745-AJ745)</f>
        <v>0</v>
      </c>
      <c r="AL745" s="19" t="str">
        <f aca="false">IF(AD745="","",AD745-AK745)</f>
        <v/>
      </c>
      <c r="AM745" s="26" t="str">
        <f aca="false">IF(C745="","","Waiting for payment")</f>
        <v/>
      </c>
      <c r="AN745" s="27"/>
      <c r="AO745" s="27"/>
      <c r="AP745" s="35" t="str">
        <f aca="false">IF(OR(C745="",I745="",K745=""),"",IF(K745="Monthly",EDATE(C745,ROUND(I745*SETTINGS!$I$8,0)),WORKDAY(C745,ROUND(I745*SETTINGS!$I$8,0))))</f>
        <v/>
      </c>
      <c r="AQ745" s="26" t="str">
        <f aca="true">IF(C745="","",IF(AND(AP745&lt;&gt;"",TODAY()&gt;=AP745),"Refi Ready",IF(TODAY()-C745&gt;=SETTINGS!$I$11,"Prospecting","Performing")))</f>
        <v/>
      </c>
      <c r="AR745" s="35" t="str">
        <f aca="false">IF(OR(C745="",I745="",K745=""),"",IF(K745="Monthly",EDATE(C745,I745),WORKDAY(C745,I745)))</f>
        <v/>
      </c>
      <c r="AS745" s="28"/>
      <c r="AT745" s="36" t="str">
        <f aca="true">IF(C745="","",IF(AM745="Clawed Back","CLAWED",IF(TODAY()&lt;=C745+SETTINGS!$I$2,"⚠ AT RISK","SAFE")))</f>
        <v/>
      </c>
      <c r="AU745" s="28"/>
      <c r="AW745" s="24" t="n">
        <f aca="false">AW744+IF(AND(C745&lt;&gt;"",AO745&lt;&gt;"",OR('REP COMMISSION'!$B$3="",T745='REP COMMISSION'!$B$3,W745='REP COMMISSION'!$B$3,Z745='REP COMMISSION'!$B$3)),1,0)</f>
        <v>0</v>
      </c>
      <c r="AX745" s="24" t="n">
        <f aca="false">AX744+IF(AND(C745&lt;&gt;"",OR(F745="LOC - INITIAL",F745="CONSOLIDATION - UPFRONT COMM",F745="REVERSE - TOTAL FUNDING")),1,0)</f>
        <v>0</v>
      </c>
    </row>
    <row r="746" customFormat="false" ht="15" hidden="false" customHeight="false" outlineLevel="0" collapsed="false">
      <c r="A746" s="8" t="str">
        <f aca="false">IF(C746&lt;&gt;"","F27-"&amp;COUNT($C$4:C746),"")</f>
        <v/>
      </c>
      <c r="B746" s="9" t="str">
        <f aca="false">IF(OR(F746="LOC - INITIAL",F746="CONSOLIDATION - UPFRONT COMM",F746="REVERSE - TOTAL FUNDING"),A746,"")</f>
        <v/>
      </c>
      <c r="C746" s="10"/>
      <c r="D746" s="11"/>
      <c r="E746" s="11"/>
      <c r="F746" s="11"/>
      <c r="G746" s="12"/>
      <c r="H746" s="13"/>
      <c r="I746" s="11"/>
      <c r="J746" s="14" t="str">
        <f aca="false">IF(AND(G746&lt;&gt;"",H746&lt;&gt;""),G746*H746,"")</f>
        <v/>
      </c>
      <c r="K746" s="11"/>
      <c r="L746" s="15"/>
      <c r="M746" s="15"/>
      <c r="N746" s="14" t="n">
        <f aca="false">IF(OR(G746="",M746=""),0,IF(M746&gt;100,M746,G746*IF(M746&gt;1,M746/100,M746)))</f>
        <v>0</v>
      </c>
      <c r="O746" s="14" t="str">
        <f aca="false">IF(G746="","",G746*IF(L746="",0,IF(L746&gt;1,L746/100,L746))+N746)</f>
        <v/>
      </c>
      <c r="P746" s="11"/>
      <c r="Q746" s="16" t="str">
        <f aca="false">IF(P746="","",IFERROR(VLOOKUP(P746,PARTNERS!$A$2:$B$30,2,0),""))</f>
        <v/>
      </c>
      <c r="R746" s="17" t="str">
        <f aca="false">IF(O746="","",IF(OR(P746="",Q746=""),0,(O746-N746)*IF(Q746&gt;1,Q746/100,Q746)))</f>
        <v/>
      </c>
      <c r="S746" s="14" t="str">
        <f aca="false">IF(O746="","",O746-R746)</f>
        <v/>
      </c>
      <c r="T746" s="11"/>
      <c r="U746" s="18" t="str">
        <f aca="false">IF(T746="","",IFERROR(VLOOKUP(T746,REPS!$A$2:$D$40,2,0),""))</f>
        <v/>
      </c>
      <c r="V746" s="14" t="str">
        <f aca="false">IF(O746="","",IF(U746="",0,O746*IF(U746&gt;1,U746/100,U746)))</f>
        <v/>
      </c>
      <c r="W746" s="11"/>
      <c r="X746" s="18" t="str">
        <f aca="false">IF(W746="","",IFERROR(VLOOKUP(W746,REPS!$A$2:$D$40,3,0),""))</f>
        <v/>
      </c>
      <c r="Y746" s="14" t="str">
        <f aca="false">IF(O746="","",IF(X746="",0,O746*IF(X746&gt;1,X746/100,X746)))</f>
        <v/>
      </c>
      <c r="Z746" s="11"/>
      <c r="AA746" s="18" t="str">
        <f aca="false">IF(Z746="","",IFERROR(VLOOKUP(Z746,REPS!$A$2:$D$40,4,0),""))</f>
        <v/>
      </c>
      <c r="AB746" s="14" t="str">
        <f aca="false">IF(O746="","",IF(AA746="",0,O746*IF(AA746&gt;1,AA746/100,AA746)))</f>
        <v/>
      </c>
      <c r="AC746" s="14" t="str">
        <f aca="false">IF(O746="","",V746+Y746+AB746)</f>
        <v/>
      </c>
      <c r="AD746" s="19" t="str">
        <f aca="false">IF(O746="","",O746-R746-AC746)</f>
        <v/>
      </c>
      <c r="AE746" s="20"/>
      <c r="AF746" s="10"/>
      <c r="AG746" s="21" t="n">
        <f aca="false">IF(OR(AE746="",AE746=0),0,AE746*IF(U746="",0,IF(U746&gt;1,U746/100,U746)))</f>
        <v>0</v>
      </c>
      <c r="AH746" s="21" t="n">
        <f aca="false">IF(OR(AE746="",AE746=0),0,AE746*IF(X746="",0,IF(X746&gt;1,X746/100,X746)))</f>
        <v>0</v>
      </c>
      <c r="AI746" s="21" t="n">
        <f aca="false">IF(OR(AE746="",AE746=0),0,AE746*IF(AA746="",0,IF(AA746&gt;1,AA746/100,AA746)))</f>
        <v>0</v>
      </c>
      <c r="AJ746" s="21" t="n">
        <f aca="false">AG746+AH746+AI746</f>
        <v>0</v>
      </c>
      <c r="AK746" s="21" t="n">
        <f aca="false">IF(OR(AE746="",AE746=0),0,AE746-AJ746)</f>
        <v>0</v>
      </c>
      <c r="AL746" s="19" t="str">
        <f aca="false">IF(AD746="","",AD746-AK746)</f>
        <v/>
      </c>
      <c r="AM746" s="9" t="str">
        <f aca="false">IF(C746="","","Waiting for payment")</f>
        <v/>
      </c>
      <c r="AN746" s="10"/>
      <c r="AO746" s="10"/>
      <c r="AP746" s="22" t="str">
        <f aca="false">IF(OR(C746="",I746="",K746=""),"",IF(K746="Monthly",EDATE(C746,ROUND(I746*SETTINGS!$I$8,0)),WORKDAY(C746,ROUND(I746*SETTINGS!$I$8,0))))</f>
        <v/>
      </c>
      <c r="AQ746" s="9" t="str">
        <f aca="true">IF(C746="","",IF(AND(AP746&lt;&gt;"",TODAY()&gt;=AP746),"Refi Ready",IF(TODAY()-C746&gt;=SETTINGS!$I$11,"Prospecting","Performing")))</f>
        <v/>
      </c>
      <c r="AR746" s="22" t="str">
        <f aca="false">IF(OR(C746="",I746="",K746=""),"",IF(K746="Monthly",EDATE(C746,I746),WORKDAY(C746,I746)))</f>
        <v/>
      </c>
      <c r="AS746" s="11"/>
      <c r="AT746" s="23" t="str">
        <f aca="true">IF(C746="","",IF(AM746="Clawed Back","CLAWED",IF(TODAY()&lt;=C746+SETTINGS!$I$2,"⚠ AT RISK","SAFE")))</f>
        <v/>
      </c>
      <c r="AU746" s="11"/>
      <c r="AW746" s="24" t="n">
        <f aca="false">AW745+IF(AND(C746&lt;&gt;"",AO746&lt;&gt;"",OR('REP COMMISSION'!$B$3="",T746='REP COMMISSION'!$B$3,W746='REP COMMISSION'!$B$3,Z746='REP COMMISSION'!$B$3)),1,0)</f>
        <v>0</v>
      </c>
      <c r="AX746" s="24" t="n">
        <f aca="false">AX745+IF(AND(C746&lt;&gt;"",OR(F746="LOC - INITIAL",F746="CONSOLIDATION - UPFRONT COMM",F746="REVERSE - TOTAL FUNDING")),1,0)</f>
        <v>0</v>
      </c>
    </row>
    <row r="747" customFormat="false" ht="15" hidden="false" customHeight="false" outlineLevel="0" collapsed="false">
      <c r="A747" s="25" t="str">
        <f aca="false">IF(C747&lt;&gt;"","F27-"&amp;COUNT($C$4:C747),"")</f>
        <v/>
      </c>
      <c r="B747" s="26" t="str">
        <f aca="false">IF(OR(F747="LOC - INITIAL",F747="CONSOLIDATION - UPFRONT COMM",F747="REVERSE - TOTAL FUNDING"),A747,"")</f>
        <v/>
      </c>
      <c r="C747" s="27"/>
      <c r="D747" s="28"/>
      <c r="E747" s="28"/>
      <c r="F747" s="28"/>
      <c r="G747" s="29"/>
      <c r="H747" s="30"/>
      <c r="I747" s="28"/>
      <c r="J747" s="31" t="str">
        <f aca="false">IF(AND(G747&lt;&gt;"",H747&lt;&gt;""),G747*H747,"")</f>
        <v/>
      </c>
      <c r="K747" s="28"/>
      <c r="L747" s="32"/>
      <c r="M747" s="32"/>
      <c r="N747" s="31" t="n">
        <f aca="false">IF(OR(G747="",M747=""),0,IF(M747&gt;100,M747,G747*IF(M747&gt;1,M747/100,M747)))</f>
        <v>0</v>
      </c>
      <c r="O747" s="31" t="str">
        <f aca="false">IF(G747="","",G747*IF(L747="",0,IF(L747&gt;1,L747/100,L747))+N747)</f>
        <v/>
      </c>
      <c r="P747" s="28"/>
      <c r="Q747" s="33" t="str">
        <f aca="false">IF(P747="","",IFERROR(VLOOKUP(P747,PARTNERS!$A$2:$B$30,2,0),""))</f>
        <v/>
      </c>
      <c r="R747" s="17" t="str">
        <f aca="false">IF(O747="","",IF(OR(P747="",Q747=""),0,(O747-N747)*IF(Q747&gt;1,Q747/100,Q747)))</f>
        <v/>
      </c>
      <c r="S747" s="31" t="str">
        <f aca="false">IF(O747="","",O747-R747)</f>
        <v/>
      </c>
      <c r="T747" s="28"/>
      <c r="U747" s="34" t="str">
        <f aca="false">IF(T747="","",IFERROR(VLOOKUP(T747,REPS!$A$2:$D$40,2,0),""))</f>
        <v/>
      </c>
      <c r="V747" s="31" t="str">
        <f aca="false">IF(O747="","",IF(U747="",0,O747*IF(U747&gt;1,U747/100,U747)))</f>
        <v/>
      </c>
      <c r="W747" s="28"/>
      <c r="X747" s="34" t="str">
        <f aca="false">IF(W747="","",IFERROR(VLOOKUP(W747,REPS!$A$2:$D$40,3,0),""))</f>
        <v/>
      </c>
      <c r="Y747" s="31" t="str">
        <f aca="false">IF(O747="","",IF(X747="",0,O747*IF(X747&gt;1,X747/100,X747)))</f>
        <v/>
      </c>
      <c r="Z747" s="28"/>
      <c r="AA747" s="34" t="str">
        <f aca="false">IF(Z747="","",IFERROR(VLOOKUP(Z747,REPS!$A$2:$D$40,4,0),""))</f>
        <v/>
      </c>
      <c r="AB747" s="31" t="str">
        <f aca="false">IF(O747="","",IF(AA747="",0,O747*IF(AA747&gt;1,AA747/100,AA747)))</f>
        <v/>
      </c>
      <c r="AC747" s="31" t="str">
        <f aca="false">IF(O747="","",V747+Y747+AB747)</f>
        <v/>
      </c>
      <c r="AD747" s="19" t="str">
        <f aca="false">IF(O747="","",O747-R747-AC747)</f>
        <v/>
      </c>
      <c r="AE747" s="20"/>
      <c r="AF747" s="27"/>
      <c r="AG747" s="21" t="n">
        <f aca="false">IF(OR(AE747="",AE747=0),0,AE747*IF(U747="",0,IF(U747&gt;1,U747/100,U747)))</f>
        <v>0</v>
      </c>
      <c r="AH747" s="21" t="n">
        <f aca="false">IF(OR(AE747="",AE747=0),0,AE747*IF(X747="",0,IF(X747&gt;1,X747/100,X747)))</f>
        <v>0</v>
      </c>
      <c r="AI747" s="21" t="n">
        <f aca="false">IF(OR(AE747="",AE747=0),0,AE747*IF(AA747="",0,IF(AA747&gt;1,AA747/100,AA747)))</f>
        <v>0</v>
      </c>
      <c r="AJ747" s="21" t="n">
        <f aca="false">AG747+AH747+AI747</f>
        <v>0</v>
      </c>
      <c r="AK747" s="21" t="n">
        <f aca="false">IF(OR(AE747="",AE747=0),0,AE747-AJ747)</f>
        <v>0</v>
      </c>
      <c r="AL747" s="19" t="str">
        <f aca="false">IF(AD747="","",AD747-AK747)</f>
        <v/>
      </c>
      <c r="AM747" s="26" t="str">
        <f aca="false">IF(C747="","","Waiting for payment")</f>
        <v/>
      </c>
      <c r="AN747" s="27"/>
      <c r="AO747" s="27"/>
      <c r="AP747" s="35" t="str">
        <f aca="false">IF(OR(C747="",I747="",K747=""),"",IF(K747="Monthly",EDATE(C747,ROUND(I747*SETTINGS!$I$8,0)),WORKDAY(C747,ROUND(I747*SETTINGS!$I$8,0))))</f>
        <v/>
      </c>
      <c r="AQ747" s="26" t="str">
        <f aca="true">IF(C747="","",IF(AND(AP747&lt;&gt;"",TODAY()&gt;=AP747),"Refi Ready",IF(TODAY()-C747&gt;=SETTINGS!$I$11,"Prospecting","Performing")))</f>
        <v/>
      </c>
      <c r="AR747" s="35" t="str">
        <f aca="false">IF(OR(C747="",I747="",K747=""),"",IF(K747="Monthly",EDATE(C747,I747),WORKDAY(C747,I747)))</f>
        <v/>
      </c>
      <c r="AS747" s="28"/>
      <c r="AT747" s="36" t="str">
        <f aca="true">IF(C747="","",IF(AM747="Clawed Back","CLAWED",IF(TODAY()&lt;=C747+SETTINGS!$I$2,"⚠ AT RISK","SAFE")))</f>
        <v/>
      </c>
      <c r="AU747" s="28"/>
      <c r="AW747" s="24" t="n">
        <f aca="false">AW746+IF(AND(C747&lt;&gt;"",AO747&lt;&gt;"",OR('REP COMMISSION'!$B$3="",T747='REP COMMISSION'!$B$3,W747='REP COMMISSION'!$B$3,Z747='REP COMMISSION'!$B$3)),1,0)</f>
        <v>0</v>
      </c>
      <c r="AX747" s="24" t="n">
        <f aca="false">AX746+IF(AND(C747&lt;&gt;"",OR(F747="LOC - INITIAL",F747="CONSOLIDATION - UPFRONT COMM",F747="REVERSE - TOTAL FUNDING")),1,0)</f>
        <v>0</v>
      </c>
    </row>
    <row r="748" customFormat="false" ht="15" hidden="false" customHeight="false" outlineLevel="0" collapsed="false">
      <c r="A748" s="8" t="str">
        <f aca="false">IF(C748&lt;&gt;"","F27-"&amp;COUNT($C$4:C748),"")</f>
        <v/>
      </c>
      <c r="B748" s="9" t="str">
        <f aca="false">IF(OR(F748="LOC - INITIAL",F748="CONSOLIDATION - UPFRONT COMM",F748="REVERSE - TOTAL FUNDING"),A748,"")</f>
        <v/>
      </c>
      <c r="C748" s="10"/>
      <c r="D748" s="11"/>
      <c r="E748" s="11"/>
      <c r="F748" s="11"/>
      <c r="G748" s="12"/>
      <c r="H748" s="13"/>
      <c r="I748" s="11"/>
      <c r="J748" s="14" t="str">
        <f aca="false">IF(AND(G748&lt;&gt;"",H748&lt;&gt;""),G748*H748,"")</f>
        <v/>
      </c>
      <c r="K748" s="11"/>
      <c r="L748" s="15"/>
      <c r="M748" s="15"/>
      <c r="N748" s="14" t="n">
        <f aca="false">IF(OR(G748="",M748=""),0,IF(M748&gt;100,M748,G748*IF(M748&gt;1,M748/100,M748)))</f>
        <v>0</v>
      </c>
      <c r="O748" s="14" t="str">
        <f aca="false">IF(G748="","",G748*IF(L748="",0,IF(L748&gt;1,L748/100,L748))+N748)</f>
        <v/>
      </c>
      <c r="P748" s="11"/>
      <c r="Q748" s="16" t="str">
        <f aca="false">IF(P748="","",IFERROR(VLOOKUP(P748,PARTNERS!$A$2:$B$30,2,0),""))</f>
        <v/>
      </c>
      <c r="R748" s="17" t="str">
        <f aca="false">IF(O748="","",IF(OR(P748="",Q748=""),0,(O748-N748)*IF(Q748&gt;1,Q748/100,Q748)))</f>
        <v/>
      </c>
      <c r="S748" s="14" t="str">
        <f aca="false">IF(O748="","",O748-R748)</f>
        <v/>
      </c>
      <c r="T748" s="11"/>
      <c r="U748" s="18" t="str">
        <f aca="false">IF(T748="","",IFERROR(VLOOKUP(T748,REPS!$A$2:$D$40,2,0),""))</f>
        <v/>
      </c>
      <c r="V748" s="14" t="str">
        <f aca="false">IF(O748="","",IF(U748="",0,O748*IF(U748&gt;1,U748/100,U748)))</f>
        <v/>
      </c>
      <c r="W748" s="11"/>
      <c r="X748" s="18" t="str">
        <f aca="false">IF(W748="","",IFERROR(VLOOKUP(W748,REPS!$A$2:$D$40,3,0),""))</f>
        <v/>
      </c>
      <c r="Y748" s="14" t="str">
        <f aca="false">IF(O748="","",IF(X748="",0,O748*IF(X748&gt;1,X748/100,X748)))</f>
        <v/>
      </c>
      <c r="Z748" s="11"/>
      <c r="AA748" s="18" t="str">
        <f aca="false">IF(Z748="","",IFERROR(VLOOKUP(Z748,REPS!$A$2:$D$40,4,0),""))</f>
        <v/>
      </c>
      <c r="AB748" s="14" t="str">
        <f aca="false">IF(O748="","",IF(AA748="",0,O748*IF(AA748&gt;1,AA748/100,AA748)))</f>
        <v/>
      </c>
      <c r="AC748" s="14" t="str">
        <f aca="false">IF(O748="","",V748+Y748+AB748)</f>
        <v/>
      </c>
      <c r="AD748" s="19" t="str">
        <f aca="false">IF(O748="","",O748-R748-AC748)</f>
        <v/>
      </c>
      <c r="AE748" s="20"/>
      <c r="AF748" s="10"/>
      <c r="AG748" s="21" t="n">
        <f aca="false">IF(OR(AE748="",AE748=0),0,AE748*IF(U748="",0,IF(U748&gt;1,U748/100,U748)))</f>
        <v>0</v>
      </c>
      <c r="AH748" s="21" t="n">
        <f aca="false">IF(OR(AE748="",AE748=0),0,AE748*IF(X748="",0,IF(X748&gt;1,X748/100,X748)))</f>
        <v>0</v>
      </c>
      <c r="AI748" s="21" t="n">
        <f aca="false">IF(OR(AE748="",AE748=0),0,AE748*IF(AA748="",0,IF(AA748&gt;1,AA748/100,AA748)))</f>
        <v>0</v>
      </c>
      <c r="AJ748" s="21" t="n">
        <f aca="false">AG748+AH748+AI748</f>
        <v>0</v>
      </c>
      <c r="AK748" s="21" t="n">
        <f aca="false">IF(OR(AE748="",AE748=0),0,AE748-AJ748)</f>
        <v>0</v>
      </c>
      <c r="AL748" s="19" t="str">
        <f aca="false">IF(AD748="","",AD748-AK748)</f>
        <v/>
      </c>
      <c r="AM748" s="9" t="str">
        <f aca="false">IF(C748="","","Waiting for payment")</f>
        <v/>
      </c>
      <c r="AN748" s="10"/>
      <c r="AO748" s="10"/>
      <c r="AP748" s="22" t="str">
        <f aca="false">IF(OR(C748="",I748="",K748=""),"",IF(K748="Monthly",EDATE(C748,ROUND(I748*SETTINGS!$I$8,0)),WORKDAY(C748,ROUND(I748*SETTINGS!$I$8,0))))</f>
        <v/>
      </c>
      <c r="AQ748" s="9" t="str">
        <f aca="true">IF(C748="","",IF(AND(AP748&lt;&gt;"",TODAY()&gt;=AP748),"Refi Ready",IF(TODAY()-C748&gt;=SETTINGS!$I$11,"Prospecting","Performing")))</f>
        <v/>
      </c>
      <c r="AR748" s="22" t="str">
        <f aca="false">IF(OR(C748="",I748="",K748=""),"",IF(K748="Monthly",EDATE(C748,I748),WORKDAY(C748,I748)))</f>
        <v/>
      </c>
      <c r="AS748" s="11"/>
      <c r="AT748" s="23" t="str">
        <f aca="true">IF(C748="","",IF(AM748="Clawed Back","CLAWED",IF(TODAY()&lt;=C748+SETTINGS!$I$2,"⚠ AT RISK","SAFE")))</f>
        <v/>
      </c>
      <c r="AU748" s="11"/>
      <c r="AW748" s="24" t="n">
        <f aca="false">AW747+IF(AND(C748&lt;&gt;"",AO748&lt;&gt;"",OR('REP COMMISSION'!$B$3="",T748='REP COMMISSION'!$B$3,W748='REP COMMISSION'!$B$3,Z748='REP COMMISSION'!$B$3)),1,0)</f>
        <v>0</v>
      </c>
      <c r="AX748" s="24" t="n">
        <f aca="false">AX747+IF(AND(C748&lt;&gt;"",OR(F748="LOC - INITIAL",F748="CONSOLIDATION - UPFRONT COMM",F748="REVERSE - TOTAL FUNDING")),1,0)</f>
        <v>0</v>
      </c>
    </row>
    <row r="749" customFormat="false" ht="15" hidden="false" customHeight="false" outlineLevel="0" collapsed="false">
      <c r="A749" s="25" t="str">
        <f aca="false">IF(C749&lt;&gt;"","F27-"&amp;COUNT($C$4:C749),"")</f>
        <v/>
      </c>
      <c r="B749" s="26" t="str">
        <f aca="false">IF(OR(F749="LOC - INITIAL",F749="CONSOLIDATION - UPFRONT COMM",F749="REVERSE - TOTAL FUNDING"),A749,"")</f>
        <v/>
      </c>
      <c r="C749" s="27"/>
      <c r="D749" s="28"/>
      <c r="E749" s="28"/>
      <c r="F749" s="28"/>
      <c r="G749" s="29"/>
      <c r="H749" s="30"/>
      <c r="I749" s="28"/>
      <c r="J749" s="31" t="str">
        <f aca="false">IF(AND(G749&lt;&gt;"",H749&lt;&gt;""),G749*H749,"")</f>
        <v/>
      </c>
      <c r="K749" s="28"/>
      <c r="L749" s="32"/>
      <c r="M749" s="32"/>
      <c r="N749" s="31" t="n">
        <f aca="false">IF(OR(G749="",M749=""),0,IF(M749&gt;100,M749,G749*IF(M749&gt;1,M749/100,M749)))</f>
        <v>0</v>
      </c>
      <c r="O749" s="31" t="str">
        <f aca="false">IF(G749="","",G749*IF(L749="",0,IF(L749&gt;1,L749/100,L749))+N749)</f>
        <v/>
      </c>
      <c r="P749" s="28"/>
      <c r="Q749" s="33" t="str">
        <f aca="false">IF(P749="","",IFERROR(VLOOKUP(P749,PARTNERS!$A$2:$B$30,2,0),""))</f>
        <v/>
      </c>
      <c r="R749" s="17" t="str">
        <f aca="false">IF(O749="","",IF(OR(P749="",Q749=""),0,(O749-N749)*IF(Q749&gt;1,Q749/100,Q749)))</f>
        <v/>
      </c>
      <c r="S749" s="31" t="str">
        <f aca="false">IF(O749="","",O749-R749)</f>
        <v/>
      </c>
      <c r="T749" s="28"/>
      <c r="U749" s="34" t="str">
        <f aca="false">IF(T749="","",IFERROR(VLOOKUP(T749,REPS!$A$2:$D$40,2,0),""))</f>
        <v/>
      </c>
      <c r="V749" s="31" t="str">
        <f aca="false">IF(O749="","",IF(U749="",0,O749*IF(U749&gt;1,U749/100,U749)))</f>
        <v/>
      </c>
      <c r="W749" s="28"/>
      <c r="X749" s="34" t="str">
        <f aca="false">IF(W749="","",IFERROR(VLOOKUP(W749,REPS!$A$2:$D$40,3,0),""))</f>
        <v/>
      </c>
      <c r="Y749" s="31" t="str">
        <f aca="false">IF(O749="","",IF(X749="",0,O749*IF(X749&gt;1,X749/100,X749)))</f>
        <v/>
      </c>
      <c r="Z749" s="28"/>
      <c r="AA749" s="34" t="str">
        <f aca="false">IF(Z749="","",IFERROR(VLOOKUP(Z749,REPS!$A$2:$D$40,4,0),""))</f>
        <v/>
      </c>
      <c r="AB749" s="31" t="str">
        <f aca="false">IF(O749="","",IF(AA749="",0,O749*IF(AA749&gt;1,AA749/100,AA749)))</f>
        <v/>
      </c>
      <c r="AC749" s="31" t="str">
        <f aca="false">IF(O749="","",V749+Y749+AB749)</f>
        <v/>
      </c>
      <c r="AD749" s="19" t="str">
        <f aca="false">IF(O749="","",O749-R749-AC749)</f>
        <v/>
      </c>
      <c r="AE749" s="20"/>
      <c r="AF749" s="27"/>
      <c r="AG749" s="21" t="n">
        <f aca="false">IF(OR(AE749="",AE749=0),0,AE749*IF(U749="",0,IF(U749&gt;1,U749/100,U749)))</f>
        <v>0</v>
      </c>
      <c r="AH749" s="21" t="n">
        <f aca="false">IF(OR(AE749="",AE749=0),0,AE749*IF(X749="",0,IF(X749&gt;1,X749/100,X749)))</f>
        <v>0</v>
      </c>
      <c r="AI749" s="21" t="n">
        <f aca="false">IF(OR(AE749="",AE749=0),0,AE749*IF(AA749="",0,IF(AA749&gt;1,AA749/100,AA749)))</f>
        <v>0</v>
      </c>
      <c r="AJ749" s="21" t="n">
        <f aca="false">AG749+AH749+AI749</f>
        <v>0</v>
      </c>
      <c r="AK749" s="21" t="n">
        <f aca="false">IF(OR(AE749="",AE749=0),0,AE749-AJ749)</f>
        <v>0</v>
      </c>
      <c r="AL749" s="19" t="str">
        <f aca="false">IF(AD749="","",AD749-AK749)</f>
        <v/>
      </c>
      <c r="AM749" s="26" t="str">
        <f aca="false">IF(C749="","","Waiting for payment")</f>
        <v/>
      </c>
      <c r="AN749" s="27"/>
      <c r="AO749" s="27"/>
      <c r="AP749" s="35" t="str">
        <f aca="false">IF(OR(C749="",I749="",K749=""),"",IF(K749="Monthly",EDATE(C749,ROUND(I749*SETTINGS!$I$8,0)),WORKDAY(C749,ROUND(I749*SETTINGS!$I$8,0))))</f>
        <v/>
      </c>
      <c r="AQ749" s="26" t="str">
        <f aca="true">IF(C749="","",IF(AND(AP749&lt;&gt;"",TODAY()&gt;=AP749),"Refi Ready",IF(TODAY()-C749&gt;=SETTINGS!$I$11,"Prospecting","Performing")))</f>
        <v/>
      </c>
      <c r="AR749" s="35" t="str">
        <f aca="false">IF(OR(C749="",I749="",K749=""),"",IF(K749="Monthly",EDATE(C749,I749),WORKDAY(C749,I749)))</f>
        <v/>
      </c>
      <c r="AS749" s="28"/>
      <c r="AT749" s="36" t="str">
        <f aca="true">IF(C749="","",IF(AM749="Clawed Back","CLAWED",IF(TODAY()&lt;=C749+SETTINGS!$I$2,"⚠ AT RISK","SAFE")))</f>
        <v/>
      </c>
      <c r="AU749" s="28"/>
      <c r="AW749" s="24" t="n">
        <f aca="false">AW748+IF(AND(C749&lt;&gt;"",AO749&lt;&gt;"",OR('REP COMMISSION'!$B$3="",T749='REP COMMISSION'!$B$3,W749='REP COMMISSION'!$B$3,Z749='REP COMMISSION'!$B$3)),1,0)</f>
        <v>0</v>
      </c>
      <c r="AX749" s="24" t="n">
        <f aca="false">AX748+IF(AND(C749&lt;&gt;"",OR(F749="LOC - INITIAL",F749="CONSOLIDATION - UPFRONT COMM",F749="REVERSE - TOTAL FUNDING")),1,0)</f>
        <v>0</v>
      </c>
    </row>
    <row r="750" customFormat="false" ht="15" hidden="false" customHeight="false" outlineLevel="0" collapsed="false">
      <c r="A750" s="8" t="str">
        <f aca="false">IF(C750&lt;&gt;"","F27-"&amp;COUNT($C$4:C750),"")</f>
        <v/>
      </c>
      <c r="B750" s="9" t="str">
        <f aca="false">IF(OR(F750="LOC - INITIAL",F750="CONSOLIDATION - UPFRONT COMM",F750="REVERSE - TOTAL FUNDING"),A750,"")</f>
        <v/>
      </c>
      <c r="C750" s="10"/>
      <c r="D750" s="11"/>
      <c r="E750" s="11"/>
      <c r="F750" s="11"/>
      <c r="G750" s="12"/>
      <c r="H750" s="13"/>
      <c r="I750" s="11"/>
      <c r="J750" s="14" t="str">
        <f aca="false">IF(AND(G750&lt;&gt;"",H750&lt;&gt;""),G750*H750,"")</f>
        <v/>
      </c>
      <c r="K750" s="11"/>
      <c r="L750" s="15"/>
      <c r="M750" s="15"/>
      <c r="N750" s="14" t="n">
        <f aca="false">IF(OR(G750="",M750=""),0,IF(M750&gt;100,M750,G750*IF(M750&gt;1,M750/100,M750)))</f>
        <v>0</v>
      </c>
      <c r="O750" s="14" t="str">
        <f aca="false">IF(G750="","",G750*IF(L750="",0,IF(L750&gt;1,L750/100,L750))+N750)</f>
        <v/>
      </c>
      <c r="P750" s="11"/>
      <c r="Q750" s="16" t="str">
        <f aca="false">IF(P750="","",IFERROR(VLOOKUP(P750,PARTNERS!$A$2:$B$30,2,0),""))</f>
        <v/>
      </c>
      <c r="R750" s="17" t="str">
        <f aca="false">IF(O750="","",IF(OR(P750="",Q750=""),0,(O750-N750)*IF(Q750&gt;1,Q750/100,Q750)))</f>
        <v/>
      </c>
      <c r="S750" s="14" t="str">
        <f aca="false">IF(O750="","",O750-R750)</f>
        <v/>
      </c>
      <c r="T750" s="11"/>
      <c r="U750" s="18" t="str">
        <f aca="false">IF(T750="","",IFERROR(VLOOKUP(T750,REPS!$A$2:$D$40,2,0),""))</f>
        <v/>
      </c>
      <c r="V750" s="14" t="str">
        <f aca="false">IF(O750="","",IF(U750="",0,O750*IF(U750&gt;1,U750/100,U750)))</f>
        <v/>
      </c>
      <c r="W750" s="11"/>
      <c r="X750" s="18" t="str">
        <f aca="false">IF(W750="","",IFERROR(VLOOKUP(W750,REPS!$A$2:$D$40,3,0),""))</f>
        <v/>
      </c>
      <c r="Y750" s="14" t="str">
        <f aca="false">IF(O750="","",IF(X750="",0,O750*IF(X750&gt;1,X750/100,X750)))</f>
        <v/>
      </c>
      <c r="Z750" s="11"/>
      <c r="AA750" s="18" t="str">
        <f aca="false">IF(Z750="","",IFERROR(VLOOKUP(Z750,REPS!$A$2:$D$40,4,0),""))</f>
        <v/>
      </c>
      <c r="AB750" s="14" t="str">
        <f aca="false">IF(O750="","",IF(AA750="",0,O750*IF(AA750&gt;1,AA750/100,AA750)))</f>
        <v/>
      </c>
      <c r="AC750" s="14" t="str">
        <f aca="false">IF(O750="","",V750+Y750+AB750)</f>
        <v/>
      </c>
      <c r="AD750" s="19" t="str">
        <f aca="false">IF(O750="","",O750-R750-AC750)</f>
        <v/>
      </c>
      <c r="AE750" s="20"/>
      <c r="AF750" s="10"/>
      <c r="AG750" s="21" t="n">
        <f aca="false">IF(OR(AE750="",AE750=0),0,AE750*IF(U750="",0,IF(U750&gt;1,U750/100,U750)))</f>
        <v>0</v>
      </c>
      <c r="AH750" s="21" t="n">
        <f aca="false">IF(OR(AE750="",AE750=0),0,AE750*IF(X750="",0,IF(X750&gt;1,X750/100,X750)))</f>
        <v>0</v>
      </c>
      <c r="AI750" s="21" t="n">
        <f aca="false">IF(OR(AE750="",AE750=0),0,AE750*IF(AA750="",0,IF(AA750&gt;1,AA750/100,AA750)))</f>
        <v>0</v>
      </c>
      <c r="AJ750" s="21" t="n">
        <f aca="false">AG750+AH750+AI750</f>
        <v>0</v>
      </c>
      <c r="AK750" s="21" t="n">
        <f aca="false">IF(OR(AE750="",AE750=0),0,AE750-AJ750)</f>
        <v>0</v>
      </c>
      <c r="AL750" s="19" t="str">
        <f aca="false">IF(AD750="","",AD750-AK750)</f>
        <v/>
      </c>
      <c r="AM750" s="9" t="str">
        <f aca="false">IF(C750="","","Waiting for payment")</f>
        <v/>
      </c>
      <c r="AN750" s="10"/>
      <c r="AO750" s="10"/>
      <c r="AP750" s="22" t="str">
        <f aca="false">IF(OR(C750="",I750="",K750=""),"",IF(K750="Monthly",EDATE(C750,ROUND(I750*SETTINGS!$I$8,0)),WORKDAY(C750,ROUND(I750*SETTINGS!$I$8,0))))</f>
        <v/>
      </c>
      <c r="AQ750" s="9" t="str">
        <f aca="true">IF(C750="","",IF(AND(AP750&lt;&gt;"",TODAY()&gt;=AP750),"Refi Ready",IF(TODAY()-C750&gt;=SETTINGS!$I$11,"Prospecting","Performing")))</f>
        <v/>
      </c>
      <c r="AR750" s="22" t="str">
        <f aca="false">IF(OR(C750="",I750="",K750=""),"",IF(K750="Monthly",EDATE(C750,I750),WORKDAY(C750,I750)))</f>
        <v/>
      </c>
      <c r="AS750" s="11"/>
      <c r="AT750" s="23" t="str">
        <f aca="true">IF(C750="","",IF(AM750="Clawed Back","CLAWED",IF(TODAY()&lt;=C750+SETTINGS!$I$2,"⚠ AT RISK","SAFE")))</f>
        <v/>
      </c>
      <c r="AU750" s="11"/>
      <c r="AW750" s="24" t="n">
        <f aca="false">AW749+IF(AND(C750&lt;&gt;"",AO750&lt;&gt;"",OR('REP COMMISSION'!$B$3="",T750='REP COMMISSION'!$B$3,W750='REP COMMISSION'!$B$3,Z750='REP COMMISSION'!$B$3)),1,0)</f>
        <v>0</v>
      </c>
      <c r="AX750" s="24" t="n">
        <f aca="false">AX749+IF(AND(C750&lt;&gt;"",OR(F750="LOC - INITIAL",F750="CONSOLIDATION - UPFRONT COMM",F750="REVERSE - TOTAL FUNDING")),1,0)</f>
        <v>0</v>
      </c>
    </row>
    <row r="751" customFormat="false" ht="15" hidden="false" customHeight="false" outlineLevel="0" collapsed="false">
      <c r="A751" s="25" t="str">
        <f aca="false">IF(C751&lt;&gt;"","F27-"&amp;COUNT($C$4:C751),"")</f>
        <v/>
      </c>
      <c r="B751" s="26" t="str">
        <f aca="false">IF(OR(F751="LOC - INITIAL",F751="CONSOLIDATION - UPFRONT COMM",F751="REVERSE - TOTAL FUNDING"),A751,"")</f>
        <v/>
      </c>
      <c r="C751" s="27"/>
      <c r="D751" s="28"/>
      <c r="E751" s="28"/>
      <c r="F751" s="28"/>
      <c r="G751" s="29"/>
      <c r="H751" s="30"/>
      <c r="I751" s="28"/>
      <c r="J751" s="31" t="str">
        <f aca="false">IF(AND(G751&lt;&gt;"",H751&lt;&gt;""),G751*H751,"")</f>
        <v/>
      </c>
      <c r="K751" s="28"/>
      <c r="L751" s="32"/>
      <c r="M751" s="32"/>
      <c r="N751" s="31" t="n">
        <f aca="false">IF(OR(G751="",M751=""),0,IF(M751&gt;100,M751,G751*IF(M751&gt;1,M751/100,M751)))</f>
        <v>0</v>
      </c>
      <c r="O751" s="31" t="str">
        <f aca="false">IF(G751="","",G751*IF(L751="",0,IF(L751&gt;1,L751/100,L751))+N751)</f>
        <v/>
      </c>
      <c r="P751" s="28"/>
      <c r="Q751" s="33" t="str">
        <f aca="false">IF(P751="","",IFERROR(VLOOKUP(P751,PARTNERS!$A$2:$B$30,2,0),""))</f>
        <v/>
      </c>
      <c r="R751" s="17" t="str">
        <f aca="false">IF(O751="","",IF(OR(P751="",Q751=""),0,(O751-N751)*IF(Q751&gt;1,Q751/100,Q751)))</f>
        <v/>
      </c>
      <c r="S751" s="31" t="str">
        <f aca="false">IF(O751="","",O751-R751)</f>
        <v/>
      </c>
      <c r="T751" s="28"/>
      <c r="U751" s="34" t="str">
        <f aca="false">IF(T751="","",IFERROR(VLOOKUP(T751,REPS!$A$2:$D$40,2,0),""))</f>
        <v/>
      </c>
      <c r="V751" s="31" t="str">
        <f aca="false">IF(O751="","",IF(U751="",0,O751*IF(U751&gt;1,U751/100,U751)))</f>
        <v/>
      </c>
      <c r="W751" s="28"/>
      <c r="X751" s="34" t="str">
        <f aca="false">IF(W751="","",IFERROR(VLOOKUP(W751,REPS!$A$2:$D$40,3,0),""))</f>
        <v/>
      </c>
      <c r="Y751" s="31" t="str">
        <f aca="false">IF(O751="","",IF(X751="",0,O751*IF(X751&gt;1,X751/100,X751)))</f>
        <v/>
      </c>
      <c r="Z751" s="28"/>
      <c r="AA751" s="34" t="str">
        <f aca="false">IF(Z751="","",IFERROR(VLOOKUP(Z751,REPS!$A$2:$D$40,4,0),""))</f>
        <v/>
      </c>
      <c r="AB751" s="31" t="str">
        <f aca="false">IF(O751="","",IF(AA751="",0,O751*IF(AA751&gt;1,AA751/100,AA751)))</f>
        <v/>
      </c>
      <c r="AC751" s="31" t="str">
        <f aca="false">IF(O751="","",V751+Y751+AB751)</f>
        <v/>
      </c>
      <c r="AD751" s="19" t="str">
        <f aca="false">IF(O751="","",O751-R751-AC751)</f>
        <v/>
      </c>
      <c r="AE751" s="20"/>
      <c r="AF751" s="27"/>
      <c r="AG751" s="21" t="n">
        <f aca="false">IF(OR(AE751="",AE751=0),0,AE751*IF(U751="",0,IF(U751&gt;1,U751/100,U751)))</f>
        <v>0</v>
      </c>
      <c r="AH751" s="21" t="n">
        <f aca="false">IF(OR(AE751="",AE751=0),0,AE751*IF(X751="",0,IF(X751&gt;1,X751/100,X751)))</f>
        <v>0</v>
      </c>
      <c r="AI751" s="21" t="n">
        <f aca="false">IF(OR(AE751="",AE751=0),0,AE751*IF(AA751="",0,IF(AA751&gt;1,AA751/100,AA751)))</f>
        <v>0</v>
      </c>
      <c r="AJ751" s="21" t="n">
        <f aca="false">AG751+AH751+AI751</f>
        <v>0</v>
      </c>
      <c r="AK751" s="21" t="n">
        <f aca="false">IF(OR(AE751="",AE751=0),0,AE751-AJ751)</f>
        <v>0</v>
      </c>
      <c r="AL751" s="19" t="str">
        <f aca="false">IF(AD751="","",AD751-AK751)</f>
        <v/>
      </c>
      <c r="AM751" s="26" t="str">
        <f aca="false">IF(C751="","","Waiting for payment")</f>
        <v/>
      </c>
      <c r="AN751" s="27"/>
      <c r="AO751" s="27"/>
      <c r="AP751" s="35" t="str">
        <f aca="false">IF(OR(C751="",I751="",K751=""),"",IF(K751="Monthly",EDATE(C751,ROUND(I751*SETTINGS!$I$8,0)),WORKDAY(C751,ROUND(I751*SETTINGS!$I$8,0))))</f>
        <v/>
      </c>
      <c r="AQ751" s="26" t="str">
        <f aca="true">IF(C751="","",IF(AND(AP751&lt;&gt;"",TODAY()&gt;=AP751),"Refi Ready",IF(TODAY()-C751&gt;=SETTINGS!$I$11,"Prospecting","Performing")))</f>
        <v/>
      </c>
      <c r="AR751" s="35" t="str">
        <f aca="false">IF(OR(C751="",I751="",K751=""),"",IF(K751="Monthly",EDATE(C751,I751),WORKDAY(C751,I751)))</f>
        <v/>
      </c>
      <c r="AS751" s="28"/>
      <c r="AT751" s="36" t="str">
        <f aca="true">IF(C751="","",IF(AM751="Clawed Back","CLAWED",IF(TODAY()&lt;=C751+SETTINGS!$I$2,"⚠ AT RISK","SAFE")))</f>
        <v/>
      </c>
      <c r="AU751" s="28"/>
      <c r="AW751" s="24" t="n">
        <f aca="false">AW750+IF(AND(C751&lt;&gt;"",AO751&lt;&gt;"",OR('REP COMMISSION'!$B$3="",T751='REP COMMISSION'!$B$3,W751='REP COMMISSION'!$B$3,Z751='REP COMMISSION'!$B$3)),1,0)</f>
        <v>0</v>
      </c>
      <c r="AX751" s="24" t="n">
        <f aca="false">AX750+IF(AND(C751&lt;&gt;"",OR(F751="LOC - INITIAL",F751="CONSOLIDATION - UPFRONT COMM",F751="REVERSE - TOTAL FUNDING")),1,0)</f>
        <v>0</v>
      </c>
    </row>
    <row r="752" customFormat="false" ht="15" hidden="false" customHeight="false" outlineLevel="0" collapsed="false">
      <c r="A752" s="8" t="str">
        <f aca="false">IF(C752&lt;&gt;"","F27-"&amp;COUNT($C$4:C752),"")</f>
        <v/>
      </c>
      <c r="B752" s="9" t="str">
        <f aca="false">IF(OR(F752="LOC - INITIAL",F752="CONSOLIDATION - UPFRONT COMM",F752="REVERSE - TOTAL FUNDING"),A752,"")</f>
        <v/>
      </c>
      <c r="C752" s="10"/>
      <c r="D752" s="11"/>
      <c r="E752" s="11"/>
      <c r="F752" s="11"/>
      <c r="G752" s="12"/>
      <c r="H752" s="13"/>
      <c r="I752" s="11"/>
      <c r="J752" s="14" t="str">
        <f aca="false">IF(AND(G752&lt;&gt;"",H752&lt;&gt;""),G752*H752,"")</f>
        <v/>
      </c>
      <c r="K752" s="11"/>
      <c r="L752" s="15"/>
      <c r="M752" s="15"/>
      <c r="N752" s="14" t="n">
        <f aca="false">IF(OR(G752="",M752=""),0,IF(M752&gt;100,M752,G752*IF(M752&gt;1,M752/100,M752)))</f>
        <v>0</v>
      </c>
      <c r="O752" s="14" t="str">
        <f aca="false">IF(G752="","",G752*IF(L752="",0,IF(L752&gt;1,L752/100,L752))+N752)</f>
        <v/>
      </c>
      <c r="P752" s="11"/>
      <c r="Q752" s="16" t="str">
        <f aca="false">IF(P752="","",IFERROR(VLOOKUP(P752,PARTNERS!$A$2:$B$30,2,0),""))</f>
        <v/>
      </c>
      <c r="R752" s="17" t="str">
        <f aca="false">IF(O752="","",IF(OR(P752="",Q752=""),0,(O752-N752)*IF(Q752&gt;1,Q752/100,Q752)))</f>
        <v/>
      </c>
      <c r="S752" s="14" t="str">
        <f aca="false">IF(O752="","",O752-R752)</f>
        <v/>
      </c>
      <c r="T752" s="11"/>
      <c r="U752" s="18" t="str">
        <f aca="false">IF(T752="","",IFERROR(VLOOKUP(T752,REPS!$A$2:$D$40,2,0),""))</f>
        <v/>
      </c>
      <c r="V752" s="14" t="str">
        <f aca="false">IF(O752="","",IF(U752="",0,O752*IF(U752&gt;1,U752/100,U752)))</f>
        <v/>
      </c>
      <c r="W752" s="11"/>
      <c r="X752" s="18" t="str">
        <f aca="false">IF(W752="","",IFERROR(VLOOKUP(W752,REPS!$A$2:$D$40,3,0),""))</f>
        <v/>
      </c>
      <c r="Y752" s="14" t="str">
        <f aca="false">IF(O752="","",IF(X752="",0,O752*IF(X752&gt;1,X752/100,X752)))</f>
        <v/>
      </c>
      <c r="Z752" s="11"/>
      <c r="AA752" s="18" t="str">
        <f aca="false">IF(Z752="","",IFERROR(VLOOKUP(Z752,REPS!$A$2:$D$40,4,0),""))</f>
        <v/>
      </c>
      <c r="AB752" s="14" t="str">
        <f aca="false">IF(O752="","",IF(AA752="",0,O752*IF(AA752&gt;1,AA752/100,AA752)))</f>
        <v/>
      </c>
      <c r="AC752" s="14" t="str">
        <f aca="false">IF(O752="","",V752+Y752+AB752)</f>
        <v/>
      </c>
      <c r="AD752" s="19" t="str">
        <f aca="false">IF(O752="","",O752-R752-AC752)</f>
        <v/>
      </c>
      <c r="AE752" s="20"/>
      <c r="AF752" s="10"/>
      <c r="AG752" s="21" t="n">
        <f aca="false">IF(OR(AE752="",AE752=0),0,AE752*IF(U752="",0,IF(U752&gt;1,U752/100,U752)))</f>
        <v>0</v>
      </c>
      <c r="AH752" s="21" t="n">
        <f aca="false">IF(OR(AE752="",AE752=0),0,AE752*IF(X752="",0,IF(X752&gt;1,X752/100,X752)))</f>
        <v>0</v>
      </c>
      <c r="AI752" s="21" t="n">
        <f aca="false">IF(OR(AE752="",AE752=0),0,AE752*IF(AA752="",0,IF(AA752&gt;1,AA752/100,AA752)))</f>
        <v>0</v>
      </c>
      <c r="AJ752" s="21" t="n">
        <f aca="false">AG752+AH752+AI752</f>
        <v>0</v>
      </c>
      <c r="AK752" s="21" t="n">
        <f aca="false">IF(OR(AE752="",AE752=0),0,AE752-AJ752)</f>
        <v>0</v>
      </c>
      <c r="AL752" s="19" t="str">
        <f aca="false">IF(AD752="","",AD752-AK752)</f>
        <v/>
      </c>
      <c r="AM752" s="9" t="str">
        <f aca="false">IF(C752="","","Waiting for payment")</f>
        <v/>
      </c>
      <c r="AN752" s="10"/>
      <c r="AO752" s="10"/>
      <c r="AP752" s="22" t="str">
        <f aca="false">IF(OR(C752="",I752="",K752=""),"",IF(K752="Monthly",EDATE(C752,ROUND(I752*SETTINGS!$I$8,0)),WORKDAY(C752,ROUND(I752*SETTINGS!$I$8,0))))</f>
        <v/>
      </c>
      <c r="AQ752" s="9" t="str">
        <f aca="true">IF(C752="","",IF(AND(AP752&lt;&gt;"",TODAY()&gt;=AP752),"Refi Ready",IF(TODAY()-C752&gt;=SETTINGS!$I$11,"Prospecting","Performing")))</f>
        <v/>
      </c>
      <c r="AR752" s="22" t="str">
        <f aca="false">IF(OR(C752="",I752="",K752=""),"",IF(K752="Monthly",EDATE(C752,I752),WORKDAY(C752,I752)))</f>
        <v/>
      </c>
      <c r="AS752" s="11"/>
      <c r="AT752" s="23" t="str">
        <f aca="true">IF(C752="","",IF(AM752="Clawed Back","CLAWED",IF(TODAY()&lt;=C752+SETTINGS!$I$2,"⚠ AT RISK","SAFE")))</f>
        <v/>
      </c>
      <c r="AU752" s="11"/>
      <c r="AW752" s="24" t="n">
        <f aca="false">AW751+IF(AND(C752&lt;&gt;"",AO752&lt;&gt;"",OR('REP COMMISSION'!$B$3="",T752='REP COMMISSION'!$B$3,W752='REP COMMISSION'!$B$3,Z752='REP COMMISSION'!$B$3)),1,0)</f>
        <v>0</v>
      </c>
      <c r="AX752" s="24" t="n">
        <f aca="false">AX751+IF(AND(C752&lt;&gt;"",OR(F752="LOC - INITIAL",F752="CONSOLIDATION - UPFRONT COMM",F752="REVERSE - TOTAL FUNDING")),1,0)</f>
        <v>0</v>
      </c>
    </row>
    <row r="753" customFormat="false" ht="15" hidden="false" customHeight="false" outlineLevel="0" collapsed="false">
      <c r="A753" s="25" t="str">
        <f aca="false">IF(C753&lt;&gt;"","F27-"&amp;COUNT($C$4:C753),"")</f>
        <v/>
      </c>
      <c r="B753" s="26" t="str">
        <f aca="false">IF(OR(F753="LOC - INITIAL",F753="CONSOLIDATION - UPFRONT COMM",F753="REVERSE - TOTAL FUNDING"),A753,"")</f>
        <v/>
      </c>
      <c r="C753" s="27"/>
      <c r="D753" s="28"/>
      <c r="E753" s="28"/>
      <c r="F753" s="28"/>
      <c r="G753" s="29"/>
      <c r="H753" s="30"/>
      <c r="I753" s="28"/>
      <c r="J753" s="31" t="str">
        <f aca="false">IF(AND(G753&lt;&gt;"",H753&lt;&gt;""),G753*H753,"")</f>
        <v/>
      </c>
      <c r="K753" s="28"/>
      <c r="L753" s="32"/>
      <c r="M753" s="32"/>
      <c r="N753" s="31" t="n">
        <f aca="false">IF(OR(G753="",M753=""),0,IF(M753&gt;100,M753,G753*IF(M753&gt;1,M753/100,M753)))</f>
        <v>0</v>
      </c>
      <c r="O753" s="31" t="str">
        <f aca="false">IF(G753="","",G753*IF(L753="",0,IF(L753&gt;1,L753/100,L753))+N753)</f>
        <v/>
      </c>
      <c r="P753" s="28"/>
      <c r="Q753" s="33" t="str">
        <f aca="false">IF(P753="","",IFERROR(VLOOKUP(P753,PARTNERS!$A$2:$B$30,2,0),""))</f>
        <v/>
      </c>
      <c r="R753" s="17" t="str">
        <f aca="false">IF(O753="","",IF(OR(P753="",Q753=""),0,(O753-N753)*IF(Q753&gt;1,Q753/100,Q753)))</f>
        <v/>
      </c>
      <c r="S753" s="31" t="str">
        <f aca="false">IF(O753="","",O753-R753)</f>
        <v/>
      </c>
      <c r="T753" s="28"/>
      <c r="U753" s="34" t="str">
        <f aca="false">IF(T753="","",IFERROR(VLOOKUP(T753,REPS!$A$2:$D$40,2,0),""))</f>
        <v/>
      </c>
      <c r="V753" s="31" t="str">
        <f aca="false">IF(O753="","",IF(U753="",0,O753*IF(U753&gt;1,U753/100,U753)))</f>
        <v/>
      </c>
      <c r="W753" s="28"/>
      <c r="X753" s="34" t="str">
        <f aca="false">IF(W753="","",IFERROR(VLOOKUP(W753,REPS!$A$2:$D$40,3,0),""))</f>
        <v/>
      </c>
      <c r="Y753" s="31" t="str">
        <f aca="false">IF(O753="","",IF(X753="",0,O753*IF(X753&gt;1,X753/100,X753)))</f>
        <v/>
      </c>
      <c r="Z753" s="28"/>
      <c r="AA753" s="34" t="str">
        <f aca="false">IF(Z753="","",IFERROR(VLOOKUP(Z753,REPS!$A$2:$D$40,4,0),""))</f>
        <v/>
      </c>
      <c r="AB753" s="31" t="str">
        <f aca="false">IF(O753="","",IF(AA753="",0,O753*IF(AA753&gt;1,AA753/100,AA753)))</f>
        <v/>
      </c>
      <c r="AC753" s="31" t="str">
        <f aca="false">IF(O753="","",V753+Y753+AB753)</f>
        <v/>
      </c>
      <c r="AD753" s="19" t="str">
        <f aca="false">IF(O753="","",O753-R753-AC753)</f>
        <v/>
      </c>
      <c r="AE753" s="20"/>
      <c r="AF753" s="27"/>
      <c r="AG753" s="21" t="n">
        <f aca="false">IF(OR(AE753="",AE753=0),0,AE753*IF(U753="",0,IF(U753&gt;1,U753/100,U753)))</f>
        <v>0</v>
      </c>
      <c r="AH753" s="21" t="n">
        <f aca="false">IF(OR(AE753="",AE753=0),0,AE753*IF(X753="",0,IF(X753&gt;1,X753/100,X753)))</f>
        <v>0</v>
      </c>
      <c r="AI753" s="21" t="n">
        <f aca="false">IF(OR(AE753="",AE753=0),0,AE753*IF(AA753="",0,IF(AA753&gt;1,AA753/100,AA753)))</f>
        <v>0</v>
      </c>
      <c r="AJ753" s="21" t="n">
        <f aca="false">AG753+AH753+AI753</f>
        <v>0</v>
      </c>
      <c r="AK753" s="21" t="n">
        <f aca="false">IF(OR(AE753="",AE753=0),0,AE753-AJ753)</f>
        <v>0</v>
      </c>
      <c r="AL753" s="19" t="str">
        <f aca="false">IF(AD753="","",AD753-AK753)</f>
        <v/>
      </c>
      <c r="AM753" s="26" t="str">
        <f aca="false">IF(C753="","","Waiting for payment")</f>
        <v/>
      </c>
      <c r="AN753" s="27"/>
      <c r="AO753" s="27"/>
      <c r="AP753" s="35" t="str">
        <f aca="false">IF(OR(C753="",I753="",K753=""),"",IF(K753="Monthly",EDATE(C753,ROUND(I753*SETTINGS!$I$8,0)),WORKDAY(C753,ROUND(I753*SETTINGS!$I$8,0))))</f>
        <v/>
      </c>
      <c r="AQ753" s="26" t="str">
        <f aca="true">IF(C753="","",IF(AND(AP753&lt;&gt;"",TODAY()&gt;=AP753),"Refi Ready",IF(TODAY()-C753&gt;=SETTINGS!$I$11,"Prospecting","Performing")))</f>
        <v/>
      </c>
      <c r="AR753" s="35" t="str">
        <f aca="false">IF(OR(C753="",I753="",K753=""),"",IF(K753="Monthly",EDATE(C753,I753),WORKDAY(C753,I753)))</f>
        <v/>
      </c>
      <c r="AS753" s="28"/>
      <c r="AT753" s="36" t="str">
        <f aca="true">IF(C753="","",IF(AM753="Clawed Back","CLAWED",IF(TODAY()&lt;=C753+SETTINGS!$I$2,"⚠ AT RISK","SAFE")))</f>
        <v/>
      </c>
      <c r="AU753" s="28"/>
      <c r="AW753" s="24" t="n">
        <f aca="false">AW752+IF(AND(C753&lt;&gt;"",AO753&lt;&gt;"",OR('REP COMMISSION'!$B$3="",T753='REP COMMISSION'!$B$3,W753='REP COMMISSION'!$B$3,Z753='REP COMMISSION'!$B$3)),1,0)</f>
        <v>0</v>
      </c>
      <c r="AX753" s="24" t="n">
        <f aca="false">AX752+IF(AND(C753&lt;&gt;"",OR(F753="LOC - INITIAL",F753="CONSOLIDATION - UPFRONT COMM",F753="REVERSE - TOTAL FUNDING")),1,0)</f>
        <v>0</v>
      </c>
    </row>
    <row r="754" customFormat="false" ht="15" hidden="false" customHeight="false" outlineLevel="0" collapsed="false">
      <c r="A754" s="8" t="str">
        <f aca="false">IF(C754&lt;&gt;"","F27-"&amp;COUNT($C$4:C754),"")</f>
        <v/>
      </c>
      <c r="B754" s="9" t="str">
        <f aca="false">IF(OR(F754="LOC - INITIAL",F754="CONSOLIDATION - UPFRONT COMM",F754="REVERSE - TOTAL FUNDING"),A754,"")</f>
        <v/>
      </c>
      <c r="C754" s="10"/>
      <c r="D754" s="11"/>
      <c r="E754" s="11"/>
      <c r="F754" s="11"/>
      <c r="G754" s="12"/>
      <c r="H754" s="13"/>
      <c r="I754" s="11"/>
      <c r="J754" s="14" t="str">
        <f aca="false">IF(AND(G754&lt;&gt;"",H754&lt;&gt;""),G754*H754,"")</f>
        <v/>
      </c>
      <c r="K754" s="11"/>
      <c r="L754" s="15"/>
      <c r="M754" s="15"/>
      <c r="N754" s="14" t="n">
        <f aca="false">IF(OR(G754="",M754=""),0,IF(M754&gt;100,M754,G754*IF(M754&gt;1,M754/100,M754)))</f>
        <v>0</v>
      </c>
      <c r="O754" s="14" t="str">
        <f aca="false">IF(G754="","",G754*IF(L754="",0,IF(L754&gt;1,L754/100,L754))+N754)</f>
        <v/>
      </c>
      <c r="P754" s="11"/>
      <c r="Q754" s="16" t="str">
        <f aca="false">IF(P754="","",IFERROR(VLOOKUP(P754,PARTNERS!$A$2:$B$30,2,0),""))</f>
        <v/>
      </c>
      <c r="R754" s="17" t="str">
        <f aca="false">IF(O754="","",IF(OR(P754="",Q754=""),0,(O754-N754)*IF(Q754&gt;1,Q754/100,Q754)))</f>
        <v/>
      </c>
      <c r="S754" s="14" t="str">
        <f aca="false">IF(O754="","",O754-R754)</f>
        <v/>
      </c>
      <c r="T754" s="11"/>
      <c r="U754" s="18" t="str">
        <f aca="false">IF(T754="","",IFERROR(VLOOKUP(T754,REPS!$A$2:$D$40,2,0),""))</f>
        <v/>
      </c>
      <c r="V754" s="14" t="str">
        <f aca="false">IF(O754="","",IF(U754="",0,O754*IF(U754&gt;1,U754/100,U754)))</f>
        <v/>
      </c>
      <c r="W754" s="11"/>
      <c r="X754" s="18" t="str">
        <f aca="false">IF(W754="","",IFERROR(VLOOKUP(W754,REPS!$A$2:$D$40,3,0),""))</f>
        <v/>
      </c>
      <c r="Y754" s="14" t="str">
        <f aca="false">IF(O754="","",IF(X754="",0,O754*IF(X754&gt;1,X754/100,X754)))</f>
        <v/>
      </c>
      <c r="Z754" s="11"/>
      <c r="AA754" s="18" t="str">
        <f aca="false">IF(Z754="","",IFERROR(VLOOKUP(Z754,REPS!$A$2:$D$40,4,0),""))</f>
        <v/>
      </c>
      <c r="AB754" s="14" t="str">
        <f aca="false">IF(O754="","",IF(AA754="",0,O754*IF(AA754&gt;1,AA754/100,AA754)))</f>
        <v/>
      </c>
      <c r="AC754" s="14" t="str">
        <f aca="false">IF(O754="","",V754+Y754+AB754)</f>
        <v/>
      </c>
      <c r="AD754" s="19" t="str">
        <f aca="false">IF(O754="","",O754-R754-AC754)</f>
        <v/>
      </c>
      <c r="AE754" s="20"/>
      <c r="AF754" s="10"/>
      <c r="AG754" s="21" t="n">
        <f aca="false">IF(OR(AE754="",AE754=0),0,AE754*IF(U754="",0,IF(U754&gt;1,U754/100,U754)))</f>
        <v>0</v>
      </c>
      <c r="AH754" s="21" t="n">
        <f aca="false">IF(OR(AE754="",AE754=0),0,AE754*IF(X754="",0,IF(X754&gt;1,X754/100,X754)))</f>
        <v>0</v>
      </c>
      <c r="AI754" s="21" t="n">
        <f aca="false">IF(OR(AE754="",AE754=0),0,AE754*IF(AA754="",0,IF(AA754&gt;1,AA754/100,AA754)))</f>
        <v>0</v>
      </c>
      <c r="AJ754" s="21" t="n">
        <f aca="false">AG754+AH754+AI754</f>
        <v>0</v>
      </c>
      <c r="AK754" s="21" t="n">
        <f aca="false">IF(OR(AE754="",AE754=0),0,AE754-AJ754)</f>
        <v>0</v>
      </c>
      <c r="AL754" s="19" t="str">
        <f aca="false">IF(AD754="","",AD754-AK754)</f>
        <v/>
      </c>
      <c r="AM754" s="9" t="str">
        <f aca="false">IF(C754="","","Waiting for payment")</f>
        <v/>
      </c>
      <c r="AN754" s="10"/>
      <c r="AO754" s="10"/>
      <c r="AP754" s="22" t="str">
        <f aca="false">IF(OR(C754="",I754="",K754=""),"",IF(K754="Monthly",EDATE(C754,ROUND(I754*SETTINGS!$I$8,0)),WORKDAY(C754,ROUND(I754*SETTINGS!$I$8,0))))</f>
        <v/>
      </c>
      <c r="AQ754" s="9" t="str">
        <f aca="true">IF(C754="","",IF(AND(AP754&lt;&gt;"",TODAY()&gt;=AP754),"Refi Ready",IF(TODAY()-C754&gt;=SETTINGS!$I$11,"Prospecting","Performing")))</f>
        <v/>
      </c>
      <c r="AR754" s="22" t="str">
        <f aca="false">IF(OR(C754="",I754="",K754=""),"",IF(K754="Monthly",EDATE(C754,I754),WORKDAY(C754,I754)))</f>
        <v/>
      </c>
      <c r="AS754" s="11"/>
      <c r="AT754" s="23" t="str">
        <f aca="true">IF(C754="","",IF(AM754="Clawed Back","CLAWED",IF(TODAY()&lt;=C754+SETTINGS!$I$2,"⚠ AT RISK","SAFE")))</f>
        <v/>
      </c>
      <c r="AU754" s="11"/>
      <c r="AW754" s="24" t="n">
        <f aca="false">AW753+IF(AND(C754&lt;&gt;"",AO754&lt;&gt;"",OR('REP COMMISSION'!$B$3="",T754='REP COMMISSION'!$B$3,W754='REP COMMISSION'!$B$3,Z754='REP COMMISSION'!$B$3)),1,0)</f>
        <v>0</v>
      </c>
      <c r="AX754" s="24" t="n">
        <f aca="false">AX753+IF(AND(C754&lt;&gt;"",OR(F754="LOC - INITIAL",F754="CONSOLIDATION - UPFRONT COMM",F754="REVERSE - TOTAL FUNDING")),1,0)</f>
        <v>0</v>
      </c>
    </row>
    <row r="755" customFormat="false" ht="15" hidden="false" customHeight="false" outlineLevel="0" collapsed="false">
      <c r="A755" s="25" t="str">
        <f aca="false">IF(C755&lt;&gt;"","F27-"&amp;COUNT($C$4:C755),"")</f>
        <v/>
      </c>
      <c r="B755" s="26" t="str">
        <f aca="false">IF(OR(F755="LOC - INITIAL",F755="CONSOLIDATION - UPFRONT COMM",F755="REVERSE - TOTAL FUNDING"),A755,"")</f>
        <v/>
      </c>
      <c r="C755" s="27"/>
      <c r="D755" s="28"/>
      <c r="E755" s="28"/>
      <c r="F755" s="28"/>
      <c r="G755" s="29"/>
      <c r="H755" s="30"/>
      <c r="I755" s="28"/>
      <c r="J755" s="31" t="str">
        <f aca="false">IF(AND(G755&lt;&gt;"",H755&lt;&gt;""),G755*H755,"")</f>
        <v/>
      </c>
      <c r="K755" s="28"/>
      <c r="L755" s="32"/>
      <c r="M755" s="32"/>
      <c r="N755" s="31" t="n">
        <f aca="false">IF(OR(G755="",M755=""),0,IF(M755&gt;100,M755,G755*IF(M755&gt;1,M755/100,M755)))</f>
        <v>0</v>
      </c>
      <c r="O755" s="31" t="str">
        <f aca="false">IF(G755="","",G755*IF(L755="",0,IF(L755&gt;1,L755/100,L755))+N755)</f>
        <v/>
      </c>
      <c r="P755" s="28"/>
      <c r="Q755" s="33" t="str">
        <f aca="false">IF(P755="","",IFERROR(VLOOKUP(P755,PARTNERS!$A$2:$B$30,2,0),""))</f>
        <v/>
      </c>
      <c r="R755" s="17" t="str">
        <f aca="false">IF(O755="","",IF(OR(P755="",Q755=""),0,(O755-N755)*IF(Q755&gt;1,Q755/100,Q755)))</f>
        <v/>
      </c>
      <c r="S755" s="31" t="str">
        <f aca="false">IF(O755="","",O755-R755)</f>
        <v/>
      </c>
      <c r="T755" s="28"/>
      <c r="U755" s="34" t="str">
        <f aca="false">IF(T755="","",IFERROR(VLOOKUP(T755,REPS!$A$2:$D$40,2,0),""))</f>
        <v/>
      </c>
      <c r="V755" s="31" t="str">
        <f aca="false">IF(O755="","",IF(U755="",0,O755*IF(U755&gt;1,U755/100,U755)))</f>
        <v/>
      </c>
      <c r="W755" s="28"/>
      <c r="X755" s="34" t="str">
        <f aca="false">IF(W755="","",IFERROR(VLOOKUP(W755,REPS!$A$2:$D$40,3,0),""))</f>
        <v/>
      </c>
      <c r="Y755" s="31" t="str">
        <f aca="false">IF(O755="","",IF(X755="",0,O755*IF(X755&gt;1,X755/100,X755)))</f>
        <v/>
      </c>
      <c r="Z755" s="28"/>
      <c r="AA755" s="34" t="str">
        <f aca="false">IF(Z755="","",IFERROR(VLOOKUP(Z755,REPS!$A$2:$D$40,4,0),""))</f>
        <v/>
      </c>
      <c r="AB755" s="31" t="str">
        <f aca="false">IF(O755="","",IF(AA755="",0,O755*IF(AA755&gt;1,AA755/100,AA755)))</f>
        <v/>
      </c>
      <c r="AC755" s="31" t="str">
        <f aca="false">IF(O755="","",V755+Y755+AB755)</f>
        <v/>
      </c>
      <c r="AD755" s="19" t="str">
        <f aca="false">IF(O755="","",O755-R755-AC755)</f>
        <v/>
      </c>
      <c r="AE755" s="20"/>
      <c r="AF755" s="27"/>
      <c r="AG755" s="21" t="n">
        <f aca="false">IF(OR(AE755="",AE755=0),0,AE755*IF(U755="",0,IF(U755&gt;1,U755/100,U755)))</f>
        <v>0</v>
      </c>
      <c r="AH755" s="21" t="n">
        <f aca="false">IF(OR(AE755="",AE755=0),0,AE755*IF(X755="",0,IF(X755&gt;1,X755/100,X755)))</f>
        <v>0</v>
      </c>
      <c r="AI755" s="21" t="n">
        <f aca="false">IF(OR(AE755="",AE755=0),0,AE755*IF(AA755="",0,IF(AA755&gt;1,AA755/100,AA755)))</f>
        <v>0</v>
      </c>
      <c r="AJ755" s="21" t="n">
        <f aca="false">AG755+AH755+AI755</f>
        <v>0</v>
      </c>
      <c r="AK755" s="21" t="n">
        <f aca="false">IF(OR(AE755="",AE755=0),0,AE755-AJ755)</f>
        <v>0</v>
      </c>
      <c r="AL755" s="19" t="str">
        <f aca="false">IF(AD755="","",AD755-AK755)</f>
        <v/>
      </c>
      <c r="AM755" s="26" t="str">
        <f aca="false">IF(C755="","","Waiting for payment")</f>
        <v/>
      </c>
      <c r="AN755" s="27"/>
      <c r="AO755" s="27"/>
      <c r="AP755" s="35" t="str">
        <f aca="false">IF(OR(C755="",I755="",K755=""),"",IF(K755="Monthly",EDATE(C755,ROUND(I755*SETTINGS!$I$8,0)),WORKDAY(C755,ROUND(I755*SETTINGS!$I$8,0))))</f>
        <v/>
      </c>
      <c r="AQ755" s="26" t="str">
        <f aca="true">IF(C755="","",IF(AND(AP755&lt;&gt;"",TODAY()&gt;=AP755),"Refi Ready",IF(TODAY()-C755&gt;=SETTINGS!$I$11,"Prospecting","Performing")))</f>
        <v/>
      </c>
      <c r="AR755" s="35" t="str">
        <f aca="false">IF(OR(C755="",I755="",K755=""),"",IF(K755="Monthly",EDATE(C755,I755),WORKDAY(C755,I755)))</f>
        <v/>
      </c>
      <c r="AS755" s="28"/>
      <c r="AT755" s="36" t="str">
        <f aca="true">IF(C755="","",IF(AM755="Clawed Back","CLAWED",IF(TODAY()&lt;=C755+SETTINGS!$I$2,"⚠ AT RISK","SAFE")))</f>
        <v/>
      </c>
      <c r="AU755" s="28"/>
      <c r="AW755" s="24" t="n">
        <f aca="false">AW754+IF(AND(C755&lt;&gt;"",AO755&lt;&gt;"",OR('REP COMMISSION'!$B$3="",T755='REP COMMISSION'!$B$3,W755='REP COMMISSION'!$B$3,Z755='REP COMMISSION'!$B$3)),1,0)</f>
        <v>0</v>
      </c>
      <c r="AX755" s="24" t="n">
        <f aca="false">AX754+IF(AND(C755&lt;&gt;"",OR(F755="LOC - INITIAL",F755="CONSOLIDATION - UPFRONT COMM",F755="REVERSE - TOTAL FUNDING")),1,0)</f>
        <v>0</v>
      </c>
    </row>
    <row r="756" customFormat="false" ht="15" hidden="false" customHeight="false" outlineLevel="0" collapsed="false">
      <c r="A756" s="8" t="str">
        <f aca="false">IF(C756&lt;&gt;"","F27-"&amp;COUNT($C$4:C756),"")</f>
        <v/>
      </c>
      <c r="B756" s="9" t="str">
        <f aca="false">IF(OR(F756="LOC - INITIAL",F756="CONSOLIDATION - UPFRONT COMM",F756="REVERSE - TOTAL FUNDING"),A756,"")</f>
        <v/>
      </c>
      <c r="C756" s="10"/>
      <c r="D756" s="11"/>
      <c r="E756" s="11"/>
      <c r="F756" s="11"/>
      <c r="G756" s="12"/>
      <c r="H756" s="13"/>
      <c r="I756" s="11"/>
      <c r="J756" s="14" t="str">
        <f aca="false">IF(AND(G756&lt;&gt;"",H756&lt;&gt;""),G756*H756,"")</f>
        <v/>
      </c>
      <c r="K756" s="11"/>
      <c r="L756" s="15"/>
      <c r="M756" s="15"/>
      <c r="N756" s="14" t="n">
        <f aca="false">IF(OR(G756="",M756=""),0,IF(M756&gt;100,M756,G756*IF(M756&gt;1,M756/100,M756)))</f>
        <v>0</v>
      </c>
      <c r="O756" s="14" t="str">
        <f aca="false">IF(G756="","",G756*IF(L756="",0,IF(L756&gt;1,L756/100,L756))+N756)</f>
        <v/>
      </c>
      <c r="P756" s="11"/>
      <c r="Q756" s="16" t="str">
        <f aca="false">IF(P756="","",IFERROR(VLOOKUP(P756,PARTNERS!$A$2:$B$30,2,0),""))</f>
        <v/>
      </c>
      <c r="R756" s="17" t="str">
        <f aca="false">IF(O756="","",IF(OR(P756="",Q756=""),0,(O756-N756)*IF(Q756&gt;1,Q756/100,Q756)))</f>
        <v/>
      </c>
      <c r="S756" s="14" t="str">
        <f aca="false">IF(O756="","",O756-R756)</f>
        <v/>
      </c>
      <c r="T756" s="11"/>
      <c r="U756" s="18" t="str">
        <f aca="false">IF(T756="","",IFERROR(VLOOKUP(T756,REPS!$A$2:$D$40,2,0),""))</f>
        <v/>
      </c>
      <c r="V756" s="14" t="str">
        <f aca="false">IF(O756="","",IF(U756="",0,O756*IF(U756&gt;1,U756/100,U756)))</f>
        <v/>
      </c>
      <c r="W756" s="11"/>
      <c r="X756" s="18" t="str">
        <f aca="false">IF(W756="","",IFERROR(VLOOKUP(W756,REPS!$A$2:$D$40,3,0),""))</f>
        <v/>
      </c>
      <c r="Y756" s="14" t="str">
        <f aca="false">IF(O756="","",IF(X756="",0,O756*IF(X756&gt;1,X756/100,X756)))</f>
        <v/>
      </c>
      <c r="Z756" s="11"/>
      <c r="AA756" s="18" t="str">
        <f aca="false">IF(Z756="","",IFERROR(VLOOKUP(Z756,REPS!$A$2:$D$40,4,0),""))</f>
        <v/>
      </c>
      <c r="AB756" s="14" t="str">
        <f aca="false">IF(O756="","",IF(AA756="",0,O756*IF(AA756&gt;1,AA756/100,AA756)))</f>
        <v/>
      </c>
      <c r="AC756" s="14" t="str">
        <f aca="false">IF(O756="","",V756+Y756+AB756)</f>
        <v/>
      </c>
      <c r="AD756" s="19" t="str">
        <f aca="false">IF(O756="","",O756-R756-AC756)</f>
        <v/>
      </c>
      <c r="AE756" s="20"/>
      <c r="AF756" s="10"/>
      <c r="AG756" s="21" t="n">
        <f aca="false">IF(OR(AE756="",AE756=0),0,AE756*IF(U756="",0,IF(U756&gt;1,U756/100,U756)))</f>
        <v>0</v>
      </c>
      <c r="AH756" s="21" t="n">
        <f aca="false">IF(OR(AE756="",AE756=0),0,AE756*IF(X756="",0,IF(X756&gt;1,X756/100,X756)))</f>
        <v>0</v>
      </c>
      <c r="AI756" s="21" t="n">
        <f aca="false">IF(OR(AE756="",AE756=0),0,AE756*IF(AA756="",0,IF(AA756&gt;1,AA756/100,AA756)))</f>
        <v>0</v>
      </c>
      <c r="AJ756" s="21" t="n">
        <f aca="false">AG756+AH756+AI756</f>
        <v>0</v>
      </c>
      <c r="AK756" s="21" t="n">
        <f aca="false">IF(OR(AE756="",AE756=0),0,AE756-AJ756)</f>
        <v>0</v>
      </c>
      <c r="AL756" s="19" t="str">
        <f aca="false">IF(AD756="","",AD756-AK756)</f>
        <v/>
      </c>
      <c r="AM756" s="9" t="str">
        <f aca="false">IF(C756="","","Waiting for payment")</f>
        <v/>
      </c>
      <c r="AN756" s="10"/>
      <c r="AO756" s="10"/>
      <c r="AP756" s="22" t="str">
        <f aca="false">IF(OR(C756="",I756="",K756=""),"",IF(K756="Monthly",EDATE(C756,ROUND(I756*SETTINGS!$I$8,0)),WORKDAY(C756,ROUND(I756*SETTINGS!$I$8,0))))</f>
        <v/>
      </c>
      <c r="AQ756" s="9" t="str">
        <f aca="true">IF(C756="","",IF(AND(AP756&lt;&gt;"",TODAY()&gt;=AP756),"Refi Ready",IF(TODAY()-C756&gt;=SETTINGS!$I$11,"Prospecting","Performing")))</f>
        <v/>
      </c>
      <c r="AR756" s="22" t="str">
        <f aca="false">IF(OR(C756="",I756="",K756=""),"",IF(K756="Monthly",EDATE(C756,I756),WORKDAY(C756,I756)))</f>
        <v/>
      </c>
      <c r="AS756" s="11"/>
      <c r="AT756" s="23" t="str">
        <f aca="true">IF(C756="","",IF(AM756="Clawed Back","CLAWED",IF(TODAY()&lt;=C756+SETTINGS!$I$2,"⚠ AT RISK","SAFE")))</f>
        <v/>
      </c>
      <c r="AU756" s="11"/>
      <c r="AW756" s="24" t="n">
        <f aca="false">AW755+IF(AND(C756&lt;&gt;"",AO756&lt;&gt;"",OR('REP COMMISSION'!$B$3="",T756='REP COMMISSION'!$B$3,W756='REP COMMISSION'!$B$3,Z756='REP COMMISSION'!$B$3)),1,0)</f>
        <v>0</v>
      </c>
      <c r="AX756" s="24" t="n">
        <f aca="false">AX755+IF(AND(C756&lt;&gt;"",OR(F756="LOC - INITIAL",F756="CONSOLIDATION - UPFRONT COMM",F756="REVERSE - TOTAL FUNDING")),1,0)</f>
        <v>0</v>
      </c>
    </row>
    <row r="757" customFormat="false" ht="15" hidden="false" customHeight="false" outlineLevel="0" collapsed="false">
      <c r="A757" s="25" t="str">
        <f aca="false">IF(C757&lt;&gt;"","F27-"&amp;COUNT($C$4:C757),"")</f>
        <v/>
      </c>
      <c r="B757" s="26" t="str">
        <f aca="false">IF(OR(F757="LOC - INITIAL",F757="CONSOLIDATION - UPFRONT COMM",F757="REVERSE - TOTAL FUNDING"),A757,"")</f>
        <v/>
      </c>
      <c r="C757" s="27"/>
      <c r="D757" s="28"/>
      <c r="E757" s="28"/>
      <c r="F757" s="28"/>
      <c r="G757" s="29"/>
      <c r="H757" s="30"/>
      <c r="I757" s="28"/>
      <c r="J757" s="31" t="str">
        <f aca="false">IF(AND(G757&lt;&gt;"",H757&lt;&gt;""),G757*H757,"")</f>
        <v/>
      </c>
      <c r="K757" s="28"/>
      <c r="L757" s="32"/>
      <c r="M757" s="32"/>
      <c r="N757" s="31" t="n">
        <f aca="false">IF(OR(G757="",M757=""),0,IF(M757&gt;100,M757,G757*IF(M757&gt;1,M757/100,M757)))</f>
        <v>0</v>
      </c>
      <c r="O757" s="31" t="str">
        <f aca="false">IF(G757="","",G757*IF(L757="",0,IF(L757&gt;1,L757/100,L757))+N757)</f>
        <v/>
      </c>
      <c r="P757" s="28"/>
      <c r="Q757" s="33" t="str">
        <f aca="false">IF(P757="","",IFERROR(VLOOKUP(P757,PARTNERS!$A$2:$B$30,2,0),""))</f>
        <v/>
      </c>
      <c r="R757" s="17" t="str">
        <f aca="false">IF(O757="","",IF(OR(P757="",Q757=""),0,(O757-N757)*IF(Q757&gt;1,Q757/100,Q757)))</f>
        <v/>
      </c>
      <c r="S757" s="31" t="str">
        <f aca="false">IF(O757="","",O757-R757)</f>
        <v/>
      </c>
      <c r="T757" s="28"/>
      <c r="U757" s="34" t="str">
        <f aca="false">IF(T757="","",IFERROR(VLOOKUP(T757,REPS!$A$2:$D$40,2,0),""))</f>
        <v/>
      </c>
      <c r="V757" s="31" t="str">
        <f aca="false">IF(O757="","",IF(U757="",0,O757*IF(U757&gt;1,U757/100,U757)))</f>
        <v/>
      </c>
      <c r="W757" s="28"/>
      <c r="X757" s="34" t="str">
        <f aca="false">IF(W757="","",IFERROR(VLOOKUP(W757,REPS!$A$2:$D$40,3,0),""))</f>
        <v/>
      </c>
      <c r="Y757" s="31" t="str">
        <f aca="false">IF(O757="","",IF(X757="",0,O757*IF(X757&gt;1,X757/100,X757)))</f>
        <v/>
      </c>
      <c r="Z757" s="28"/>
      <c r="AA757" s="34" t="str">
        <f aca="false">IF(Z757="","",IFERROR(VLOOKUP(Z757,REPS!$A$2:$D$40,4,0),""))</f>
        <v/>
      </c>
      <c r="AB757" s="31" t="str">
        <f aca="false">IF(O757="","",IF(AA757="",0,O757*IF(AA757&gt;1,AA757/100,AA757)))</f>
        <v/>
      </c>
      <c r="AC757" s="31" t="str">
        <f aca="false">IF(O757="","",V757+Y757+AB757)</f>
        <v/>
      </c>
      <c r="AD757" s="19" t="str">
        <f aca="false">IF(O757="","",O757-R757-AC757)</f>
        <v/>
      </c>
      <c r="AE757" s="20"/>
      <c r="AF757" s="27"/>
      <c r="AG757" s="21" t="n">
        <f aca="false">IF(OR(AE757="",AE757=0),0,AE757*IF(U757="",0,IF(U757&gt;1,U757/100,U757)))</f>
        <v>0</v>
      </c>
      <c r="AH757" s="21" t="n">
        <f aca="false">IF(OR(AE757="",AE757=0),0,AE757*IF(X757="",0,IF(X757&gt;1,X757/100,X757)))</f>
        <v>0</v>
      </c>
      <c r="AI757" s="21" t="n">
        <f aca="false">IF(OR(AE757="",AE757=0),0,AE757*IF(AA757="",0,IF(AA757&gt;1,AA757/100,AA757)))</f>
        <v>0</v>
      </c>
      <c r="AJ757" s="21" t="n">
        <f aca="false">AG757+AH757+AI757</f>
        <v>0</v>
      </c>
      <c r="AK757" s="21" t="n">
        <f aca="false">IF(OR(AE757="",AE757=0),0,AE757-AJ757)</f>
        <v>0</v>
      </c>
      <c r="AL757" s="19" t="str">
        <f aca="false">IF(AD757="","",AD757-AK757)</f>
        <v/>
      </c>
      <c r="AM757" s="26" t="str">
        <f aca="false">IF(C757="","","Waiting for payment")</f>
        <v/>
      </c>
      <c r="AN757" s="27"/>
      <c r="AO757" s="27"/>
      <c r="AP757" s="35" t="str">
        <f aca="false">IF(OR(C757="",I757="",K757=""),"",IF(K757="Monthly",EDATE(C757,ROUND(I757*SETTINGS!$I$8,0)),WORKDAY(C757,ROUND(I757*SETTINGS!$I$8,0))))</f>
        <v/>
      </c>
      <c r="AQ757" s="26" t="str">
        <f aca="true">IF(C757="","",IF(AND(AP757&lt;&gt;"",TODAY()&gt;=AP757),"Refi Ready",IF(TODAY()-C757&gt;=SETTINGS!$I$11,"Prospecting","Performing")))</f>
        <v/>
      </c>
      <c r="AR757" s="35" t="str">
        <f aca="false">IF(OR(C757="",I757="",K757=""),"",IF(K757="Monthly",EDATE(C757,I757),WORKDAY(C757,I757)))</f>
        <v/>
      </c>
      <c r="AS757" s="28"/>
      <c r="AT757" s="36" t="str">
        <f aca="true">IF(C757="","",IF(AM757="Clawed Back","CLAWED",IF(TODAY()&lt;=C757+SETTINGS!$I$2,"⚠ AT RISK","SAFE")))</f>
        <v/>
      </c>
      <c r="AU757" s="28"/>
      <c r="AW757" s="24" t="n">
        <f aca="false">AW756+IF(AND(C757&lt;&gt;"",AO757&lt;&gt;"",OR('REP COMMISSION'!$B$3="",T757='REP COMMISSION'!$B$3,W757='REP COMMISSION'!$B$3,Z757='REP COMMISSION'!$B$3)),1,0)</f>
        <v>0</v>
      </c>
      <c r="AX757" s="24" t="n">
        <f aca="false">AX756+IF(AND(C757&lt;&gt;"",OR(F757="LOC - INITIAL",F757="CONSOLIDATION - UPFRONT COMM",F757="REVERSE - TOTAL FUNDING")),1,0)</f>
        <v>0</v>
      </c>
    </row>
    <row r="758" customFormat="false" ht="15" hidden="false" customHeight="false" outlineLevel="0" collapsed="false">
      <c r="A758" s="8" t="str">
        <f aca="false">IF(C758&lt;&gt;"","F27-"&amp;COUNT($C$4:C758),"")</f>
        <v/>
      </c>
      <c r="B758" s="9" t="str">
        <f aca="false">IF(OR(F758="LOC - INITIAL",F758="CONSOLIDATION - UPFRONT COMM",F758="REVERSE - TOTAL FUNDING"),A758,"")</f>
        <v/>
      </c>
      <c r="C758" s="10"/>
      <c r="D758" s="11"/>
      <c r="E758" s="11"/>
      <c r="F758" s="11"/>
      <c r="G758" s="12"/>
      <c r="H758" s="13"/>
      <c r="I758" s="11"/>
      <c r="J758" s="14" t="str">
        <f aca="false">IF(AND(G758&lt;&gt;"",H758&lt;&gt;""),G758*H758,"")</f>
        <v/>
      </c>
      <c r="K758" s="11"/>
      <c r="L758" s="15"/>
      <c r="M758" s="15"/>
      <c r="N758" s="14" t="n">
        <f aca="false">IF(OR(G758="",M758=""),0,IF(M758&gt;100,M758,G758*IF(M758&gt;1,M758/100,M758)))</f>
        <v>0</v>
      </c>
      <c r="O758" s="14" t="str">
        <f aca="false">IF(G758="","",G758*IF(L758="",0,IF(L758&gt;1,L758/100,L758))+N758)</f>
        <v/>
      </c>
      <c r="P758" s="11"/>
      <c r="Q758" s="16" t="str">
        <f aca="false">IF(P758="","",IFERROR(VLOOKUP(P758,PARTNERS!$A$2:$B$30,2,0),""))</f>
        <v/>
      </c>
      <c r="R758" s="17" t="str">
        <f aca="false">IF(O758="","",IF(OR(P758="",Q758=""),0,(O758-N758)*IF(Q758&gt;1,Q758/100,Q758)))</f>
        <v/>
      </c>
      <c r="S758" s="14" t="str">
        <f aca="false">IF(O758="","",O758-R758)</f>
        <v/>
      </c>
      <c r="T758" s="11"/>
      <c r="U758" s="18" t="str">
        <f aca="false">IF(T758="","",IFERROR(VLOOKUP(T758,REPS!$A$2:$D$40,2,0),""))</f>
        <v/>
      </c>
      <c r="V758" s="14" t="str">
        <f aca="false">IF(O758="","",IF(U758="",0,O758*IF(U758&gt;1,U758/100,U758)))</f>
        <v/>
      </c>
      <c r="W758" s="11"/>
      <c r="X758" s="18" t="str">
        <f aca="false">IF(W758="","",IFERROR(VLOOKUP(W758,REPS!$A$2:$D$40,3,0),""))</f>
        <v/>
      </c>
      <c r="Y758" s="14" t="str">
        <f aca="false">IF(O758="","",IF(X758="",0,O758*IF(X758&gt;1,X758/100,X758)))</f>
        <v/>
      </c>
      <c r="Z758" s="11"/>
      <c r="AA758" s="18" t="str">
        <f aca="false">IF(Z758="","",IFERROR(VLOOKUP(Z758,REPS!$A$2:$D$40,4,0),""))</f>
        <v/>
      </c>
      <c r="AB758" s="14" t="str">
        <f aca="false">IF(O758="","",IF(AA758="",0,O758*IF(AA758&gt;1,AA758/100,AA758)))</f>
        <v/>
      </c>
      <c r="AC758" s="14" t="str">
        <f aca="false">IF(O758="","",V758+Y758+AB758)</f>
        <v/>
      </c>
      <c r="AD758" s="19" t="str">
        <f aca="false">IF(O758="","",O758-R758-AC758)</f>
        <v/>
      </c>
      <c r="AE758" s="20"/>
      <c r="AF758" s="10"/>
      <c r="AG758" s="21" t="n">
        <f aca="false">IF(OR(AE758="",AE758=0),0,AE758*IF(U758="",0,IF(U758&gt;1,U758/100,U758)))</f>
        <v>0</v>
      </c>
      <c r="AH758" s="21" t="n">
        <f aca="false">IF(OR(AE758="",AE758=0),0,AE758*IF(X758="",0,IF(X758&gt;1,X758/100,X758)))</f>
        <v>0</v>
      </c>
      <c r="AI758" s="21" t="n">
        <f aca="false">IF(OR(AE758="",AE758=0),0,AE758*IF(AA758="",0,IF(AA758&gt;1,AA758/100,AA758)))</f>
        <v>0</v>
      </c>
      <c r="AJ758" s="21" t="n">
        <f aca="false">AG758+AH758+AI758</f>
        <v>0</v>
      </c>
      <c r="AK758" s="21" t="n">
        <f aca="false">IF(OR(AE758="",AE758=0),0,AE758-AJ758)</f>
        <v>0</v>
      </c>
      <c r="AL758" s="19" t="str">
        <f aca="false">IF(AD758="","",AD758-AK758)</f>
        <v/>
      </c>
      <c r="AM758" s="9" t="str">
        <f aca="false">IF(C758="","","Waiting for payment")</f>
        <v/>
      </c>
      <c r="AN758" s="10"/>
      <c r="AO758" s="10"/>
      <c r="AP758" s="22" t="str">
        <f aca="false">IF(OR(C758="",I758="",K758=""),"",IF(K758="Monthly",EDATE(C758,ROUND(I758*SETTINGS!$I$8,0)),WORKDAY(C758,ROUND(I758*SETTINGS!$I$8,0))))</f>
        <v/>
      </c>
      <c r="AQ758" s="9" t="str">
        <f aca="true">IF(C758="","",IF(AND(AP758&lt;&gt;"",TODAY()&gt;=AP758),"Refi Ready",IF(TODAY()-C758&gt;=SETTINGS!$I$11,"Prospecting","Performing")))</f>
        <v/>
      </c>
      <c r="AR758" s="22" t="str">
        <f aca="false">IF(OR(C758="",I758="",K758=""),"",IF(K758="Monthly",EDATE(C758,I758),WORKDAY(C758,I758)))</f>
        <v/>
      </c>
      <c r="AS758" s="11"/>
      <c r="AT758" s="23" t="str">
        <f aca="true">IF(C758="","",IF(AM758="Clawed Back","CLAWED",IF(TODAY()&lt;=C758+SETTINGS!$I$2,"⚠ AT RISK","SAFE")))</f>
        <v/>
      </c>
      <c r="AU758" s="11"/>
      <c r="AW758" s="24" t="n">
        <f aca="false">AW757+IF(AND(C758&lt;&gt;"",AO758&lt;&gt;"",OR('REP COMMISSION'!$B$3="",T758='REP COMMISSION'!$B$3,W758='REP COMMISSION'!$B$3,Z758='REP COMMISSION'!$B$3)),1,0)</f>
        <v>0</v>
      </c>
      <c r="AX758" s="24" t="n">
        <f aca="false">AX757+IF(AND(C758&lt;&gt;"",OR(F758="LOC - INITIAL",F758="CONSOLIDATION - UPFRONT COMM",F758="REVERSE - TOTAL FUNDING")),1,0)</f>
        <v>0</v>
      </c>
    </row>
    <row r="759" customFormat="false" ht="15" hidden="false" customHeight="false" outlineLevel="0" collapsed="false">
      <c r="A759" s="25" t="str">
        <f aca="false">IF(C759&lt;&gt;"","F27-"&amp;COUNT($C$4:C759),"")</f>
        <v/>
      </c>
      <c r="B759" s="26" t="str">
        <f aca="false">IF(OR(F759="LOC - INITIAL",F759="CONSOLIDATION - UPFRONT COMM",F759="REVERSE - TOTAL FUNDING"),A759,"")</f>
        <v/>
      </c>
      <c r="C759" s="27"/>
      <c r="D759" s="28"/>
      <c r="E759" s="28"/>
      <c r="F759" s="28"/>
      <c r="G759" s="29"/>
      <c r="H759" s="30"/>
      <c r="I759" s="28"/>
      <c r="J759" s="31" t="str">
        <f aca="false">IF(AND(G759&lt;&gt;"",H759&lt;&gt;""),G759*H759,"")</f>
        <v/>
      </c>
      <c r="K759" s="28"/>
      <c r="L759" s="32"/>
      <c r="M759" s="32"/>
      <c r="N759" s="31" t="n">
        <f aca="false">IF(OR(G759="",M759=""),0,IF(M759&gt;100,M759,G759*IF(M759&gt;1,M759/100,M759)))</f>
        <v>0</v>
      </c>
      <c r="O759" s="31" t="str">
        <f aca="false">IF(G759="","",G759*IF(L759="",0,IF(L759&gt;1,L759/100,L759))+N759)</f>
        <v/>
      </c>
      <c r="P759" s="28"/>
      <c r="Q759" s="33" t="str">
        <f aca="false">IF(P759="","",IFERROR(VLOOKUP(P759,PARTNERS!$A$2:$B$30,2,0),""))</f>
        <v/>
      </c>
      <c r="R759" s="17" t="str">
        <f aca="false">IF(O759="","",IF(OR(P759="",Q759=""),0,(O759-N759)*IF(Q759&gt;1,Q759/100,Q759)))</f>
        <v/>
      </c>
      <c r="S759" s="31" t="str">
        <f aca="false">IF(O759="","",O759-R759)</f>
        <v/>
      </c>
      <c r="T759" s="28"/>
      <c r="U759" s="34" t="str">
        <f aca="false">IF(T759="","",IFERROR(VLOOKUP(T759,REPS!$A$2:$D$40,2,0),""))</f>
        <v/>
      </c>
      <c r="V759" s="31" t="str">
        <f aca="false">IF(O759="","",IF(U759="",0,O759*IF(U759&gt;1,U759/100,U759)))</f>
        <v/>
      </c>
      <c r="W759" s="28"/>
      <c r="X759" s="34" t="str">
        <f aca="false">IF(W759="","",IFERROR(VLOOKUP(W759,REPS!$A$2:$D$40,3,0),""))</f>
        <v/>
      </c>
      <c r="Y759" s="31" t="str">
        <f aca="false">IF(O759="","",IF(X759="",0,O759*IF(X759&gt;1,X759/100,X759)))</f>
        <v/>
      </c>
      <c r="Z759" s="28"/>
      <c r="AA759" s="34" t="str">
        <f aca="false">IF(Z759="","",IFERROR(VLOOKUP(Z759,REPS!$A$2:$D$40,4,0),""))</f>
        <v/>
      </c>
      <c r="AB759" s="31" t="str">
        <f aca="false">IF(O759="","",IF(AA759="",0,O759*IF(AA759&gt;1,AA759/100,AA759)))</f>
        <v/>
      </c>
      <c r="AC759" s="31" t="str">
        <f aca="false">IF(O759="","",V759+Y759+AB759)</f>
        <v/>
      </c>
      <c r="AD759" s="19" t="str">
        <f aca="false">IF(O759="","",O759-R759-AC759)</f>
        <v/>
      </c>
      <c r="AE759" s="20"/>
      <c r="AF759" s="27"/>
      <c r="AG759" s="21" t="n">
        <f aca="false">IF(OR(AE759="",AE759=0),0,AE759*IF(U759="",0,IF(U759&gt;1,U759/100,U759)))</f>
        <v>0</v>
      </c>
      <c r="AH759" s="21" t="n">
        <f aca="false">IF(OR(AE759="",AE759=0),0,AE759*IF(X759="",0,IF(X759&gt;1,X759/100,X759)))</f>
        <v>0</v>
      </c>
      <c r="AI759" s="21" t="n">
        <f aca="false">IF(OR(AE759="",AE759=0),0,AE759*IF(AA759="",0,IF(AA759&gt;1,AA759/100,AA759)))</f>
        <v>0</v>
      </c>
      <c r="AJ759" s="21" t="n">
        <f aca="false">AG759+AH759+AI759</f>
        <v>0</v>
      </c>
      <c r="AK759" s="21" t="n">
        <f aca="false">IF(OR(AE759="",AE759=0),0,AE759-AJ759)</f>
        <v>0</v>
      </c>
      <c r="AL759" s="19" t="str">
        <f aca="false">IF(AD759="","",AD759-AK759)</f>
        <v/>
      </c>
      <c r="AM759" s="26" t="str">
        <f aca="false">IF(C759="","","Waiting for payment")</f>
        <v/>
      </c>
      <c r="AN759" s="27"/>
      <c r="AO759" s="27"/>
      <c r="AP759" s="35" t="str">
        <f aca="false">IF(OR(C759="",I759="",K759=""),"",IF(K759="Monthly",EDATE(C759,ROUND(I759*SETTINGS!$I$8,0)),WORKDAY(C759,ROUND(I759*SETTINGS!$I$8,0))))</f>
        <v/>
      </c>
      <c r="AQ759" s="26" t="str">
        <f aca="true">IF(C759="","",IF(AND(AP759&lt;&gt;"",TODAY()&gt;=AP759),"Refi Ready",IF(TODAY()-C759&gt;=SETTINGS!$I$11,"Prospecting","Performing")))</f>
        <v/>
      </c>
      <c r="AR759" s="35" t="str">
        <f aca="false">IF(OR(C759="",I759="",K759=""),"",IF(K759="Monthly",EDATE(C759,I759),WORKDAY(C759,I759)))</f>
        <v/>
      </c>
      <c r="AS759" s="28"/>
      <c r="AT759" s="36" t="str">
        <f aca="true">IF(C759="","",IF(AM759="Clawed Back","CLAWED",IF(TODAY()&lt;=C759+SETTINGS!$I$2,"⚠ AT RISK","SAFE")))</f>
        <v/>
      </c>
      <c r="AU759" s="28"/>
      <c r="AW759" s="24" t="n">
        <f aca="false">AW758+IF(AND(C759&lt;&gt;"",AO759&lt;&gt;"",OR('REP COMMISSION'!$B$3="",T759='REP COMMISSION'!$B$3,W759='REP COMMISSION'!$B$3,Z759='REP COMMISSION'!$B$3)),1,0)</f>
        <v>0</v>
      </c>
      <c r="AX759" s="24" t="n">
        <f aca="false">AX758+IF(AND(C759&lt;&gt;"",OR(F759="LOC - INITIAL",F759="CONSOLIDATION - UPFRONT COMM",F759="REVERSE - TOTAL FUNDING")),1,0)</f>
        <v>0</v>
      </c>
    </row>
    <row r="760" customFormat="false" ht="15" hidden="false" customHeight="false" outlineLevel="0" collapsed="false">
      <c r="A760" s="8" t="str">
        <f aca="false">IF(C760&lt;&gt;"","F27-"&amp;COUNT($C$4:C760),"")</f>
        <v/>
      </c>
      <c r="B760" s="9" t="str">
        <f aca="false">IF(OR(F760="LOC - INITIAL",F760="CONSOLIDATION - UPFRONT COMM",F760="REVERSE - TOTAL FUNDING"),A760,"")</f>
        <v/>
      </c>
      <c r="C760" s="10"/>
      <c r="D760" s="11"/>
      <c r="E760" s="11"/>
      <c r="F760" s="11"/>
      <c r="G760" s="12"/>
      <c r="H760" s="13"/>
      <c r="I760" s="11"/>
      <c r="J760" s="14" t="str">
        <f aca="false">IF(AND(G760&lt;&gt;"",H760&lt;&gt;""),G760*H760,"")</f>
        <v/>
      </c>
      <c r="K760" s="11"/>
      <c r="L760" s="15"/>
      <c r="M760" s="15"/>
      <c r="N760" s="14" t="n">
        <f aca="false">IF(OR(G760="",M760=""),0,IF(M760&gt;100,M760,G760*IF(M760&gt;1,M760/100,M760)))</f>
        <v>0</v>
      </c>
      <c r="O760" s="14" t="str">
        <f aca="false">IF(G760="","",G760*IF(L760="",0,IF(L760&gt;1,L760/100,L760))+N760)</f>
        <v/>
      </c>
      <c r="P760" s="11"/>
      <c r="Q760" s="16" t="str">
        <f aca="false">IF(P760="","",IFERROR(VLOOKUP(P760,PARTNERS!$A$2:$B$30,2,0),""))</f>
        <v/>
      </c>
      <c r="R760" s="17" t="str">
        <f aca="false">IF(O760="","",IF(OR(P760="",Q760=""),0,(O760-N760)*IF(Q760&gt;1,Q760/100,Q760)))</f>
        <v/>
      </c>
      <c r="S760" s="14" t="str">
        <f aca="false">IF(O760="","",O760-R760)</f>
        <v/>
      </c>
      <c r="T760" s="11"/>
      <c r="U760" s="18" t="str">
        <f aca="false">IF(T760="","",IFERROR(VLOOKUP(T760,REPS!$A$2:$D$40,2,0),""))</f>
        <v/>
      </c>
      <c r="V760" s="14" t="str">
        <f aca="false">IF(O760="","",IF(U760="",0,O760*IF(U760&gt;1,U760/100,U760)))</f>
        <v/>
      </c>
      <c r="W760" s="11"/>
      <c r="X760" s="18" t="str">
        <f aca="false">IF(W760="","",IFERROR(VLOOKUP(W760,REPS!$A$2:$D$40,3,0),""))</f>
        <v/>
      </c>
      <c r="Y760" s="14" t="str">
        <f aca="false">IF(O760="","",IF(X760="",0,O760*IF(X760&gt;1,X760/100,X760)))</f>
        <v/>
      </c>
      <c r="Z760" s="11"/>
      <c r="AA760" s="18" t="str">
        <f aca="false">IF(Z760="","",IFERROR(VLOOKUP(Z760,REPS!$A$2:$D$40,4,0),""))</f>
        <v/>
      </c>
      <c r="AB760" s="14" t="str">
        <f aca="false">IF(O760="","",IF(AA760="",0,O760*IF(AA760&gt;1,AA760/100,AA760)))</f>
        <v/>
      </c>
      <c r="AC760" s="14" t="str">
        <f aca="false">IF(O760="","",V760+Y760+AB760)</f>
        <v/>
      </c>
      <c r="AD760" s="19" t="str">
        <f aca="false">IF(O760="","",O760-R760-AC760)</f>
        <v/>
      </c>
      <c r="AE760" s="20"/>
      <c r="AF760" s="10"/>
      <c r="AG760" s="21" t="n">
        <f aca="false">IF(OR(AE760="",AE760=0),0,AE760*IF(U760="",0,IF(U760&gt;1,U760/100,U760)))</f>
        <v>0</v>
      </c>
      <c r="AH760" s="21" t="n">
        <f aca="false">IF(OR(AE760="",AE760=0),0,AE760*IF(X760="",0,IF(X760&gt;1,X760/100,X760)))</f>
        <v>0</v>
      </c>
      <c r="AI760" s="21" t="n">
        <f aca="false">IF(OR(AE760="",AE760=0),0,AE760*IF(AA760="",0,IF(AA760&gt;1,AA760/100,AA760)))</f>
        <v>0</v>
      </c>
      <c r="AJ760" s="21" t="n">
        <f aca="false">AG760+AH760+AI760</f>
        <v>0</v>
      </c>
      <c r="AK760" s="21" t="n">
        <f aca="false">IF(OR(AE760="",AE760=0),0,AE760-AJ760)</f>
        <v>0</v>
      </c>
      <c r="AL760" s="19" t="str">
        <f aca="false">IF(AD760="","",AD760-AK760)</f>
        <v/>
      </c>
      <c r="AM760" s="9" t="str">
        <f aca="false">IF(C760="","","Waiting for payment")</f>
        <v/>
      </c>
      <c r="AN760" s="10"/>
      <c r="AO760" s="10"/>
      <c r="AP760" s="22" t="str">
        <f aca="false">IF(OR(C760="",I760="",K760=""),"",IF(K760="Monthly",EDATE(C760,ROUND(I760*SETTINGS!$I$8,0)),WORKDAY(C760,ROUND(I760*SETTINGS!$I$8,0))))</f>
        <v/>
      </c>
      <c r="AQ760" s="9" t="str">
        <f aca="true">IF(C760="","",IF(AND(AP760&lt;&gt;"",TODAY()&gt;=AP760),"Refi Ready",IF(TODAY()-C760&gt;=SETTINGS!$I$11,"Prospecting","Performing")))</f>
        <v/>
      </c>
      <c r="AR760" s="22" t="str">
        <f aca="false">IF(OR(C760="",I760="",K760=""),"",IF(K760="Monthly",EDATE(C760,I760),WORKDAY(C760,I760)))</f>
        <v/>
      </c>
      <c r="AS760" s="11"/>
      <c r="AT760" s="23" t="str">
        <f aca="true">IF(C760="","",IF(AM760="Clawed Back","CLAWED",IF(TODAY()&lt;=C760+SETTINGS!$I$2,"⚠ AT RISK","SAFE")))</f>
        <v/>
      </c>
      <c r="AU760" s="11"/>
      <c r="AW760" s="24" t="n">
        <f aca="false">AW759+IF(AND(C760&lt;&gt;"",AO760&lt;&gt;"",OR('REP COMMISSION'!$B$3="",T760='REP COMMISSION'!$B$3,W760='REP COMMISSION'!$B$3,Z760='REP COMMISSION'!$B$3)),1,0)</f>
        <v>0</v>
      </c>
      <c r="AX760" s="24" t="n">
        <f aca="false">AX759+IF(AND(C760&lt;&gt;"",OR(F760="LOC - INITIAL",F760="CONSOLIDATION - UPFRONT COMM",F760="REVERSE - TOTAL FUNDING")),1,0)</f>
        <v>0</v>
      </c>
    </row>
    <row r="761" customFormat="false" ht="15" hidden="false" customHeight="false" outlineLevel="0" collapsed="false">
      <c r="A761" s="25" t="str">
        <f aca="false">IF(C761&lt;&gt;"","F27-"&amp;COUNT($C$4:C761),"")</f>
        <v/>
      </c>
      <c r="B761" s="26" t="str">
        <f aca="false">IF(OR(F761="LOC - INITIAL",F761="CONSOLIDATION - UPFRONT COMM",F761="REVERSE - TOTAL FUNDING"),A761,"")</f>
        <v/>
      </c>
      <c r="C761" s="27"/>
      <c r="D761" s="28"/>
      <c r="E761" s="28"/>
      <c r="F761" s="28"/>
      <c r="G761" s="29"/>
      <c r="H761" s="30"/>
      <c r="I761" s="28"/>
      <c r="J761" s="31" t="str">
        <f aca="false">IF(AND(G761&lt;&gt;"",H761&lt;&gt;""),G761*H761,"")</f>
        <v/>
      </c>
      <c r="K761" s="28"/>
      <c r="L761" s="32"/>
      <c r="M761" s="32"/>
      <c r="N761" s="31" t="n">
        <f aca="false">IF(OR(G761="",M761=""),0,IF(M761&gt;100,M761,G761*IF(M761&gt;1,M761/100,M761)))</f>
        <v>0</v>
      </c>
      <c r="O761" s="31" t="str">
        <f aca="false">IF(G761="","",G761*IF(L761="",0,IF(L761&gt;1,L761/100,L761))+N761)</f>
        <v/>
      </c>
      <c r="P761" s="28"/>
      <c r="Q761" s="33" t="str">
        <f aca="false">IF(P761="","",IFERROR(VLOOKUP(P761,PARTNERS!$A$2:$B$30,2,0),""))</f>
        <v/>
      </c>
      <c r="R761" s="17" t="str">
        <f aca="false">IF(O761="","",IF(OR(P761="",Q761=""),0,(O761-N761)*IF(Q761&gt;1,Q761/100,Q761)))</f>
        <v/>
      </c>
      <c r="S761" s="31" t="str">
        <f aca="false">IF(O761="","",O761-R761)</f>
        <v/>
      </c>
      <c r="T761" s="28"/>
      <c r="U761" s="34" t="str">
        <f aca="false">IF(T761="","",IFERROR(VLOOKUP(T761,REPS!$A$2:$D$40,2,0),""))</f>
        <v/>
      </c>
      <c r="V761" s="31" t="str">
        <f aca="false">IF(O761="","",IF(U761="",0,O761*IF(U761&gt;1,U761/100,U761)))</f>
        <v/>
      </c>
      <c r="W761" s="28"/>
      <c r="X761" s="34" t="str">
        <f aca="false">IF(W761="","",IFERROR(VLOOKUP(W761,REPS!$A$2:$D$40,3,0),""))</f>
        <v/>
      </c>
      <c r="Y761" s="31" t="str">
        <f aca="false">IF(O761="","",IF(X761="",0,O761*IF(X761&gt;1,X761/100,X761)))</f>
        <v/>
      </c>
      <c r="Z761" s="28"/>
      <c r="AA761" s="34" t="str">
        <f aca="false">IF(Z761="","",IFERROR(VLOOKUP(Z761,REPS!$A$2:$D$40,4,0),""))</f>
        <v/>
      </c>
      <c r="AB761" s="31" t="str">
        <f aca="false">IF(O761="","",IF(AA761="",0,O761*IF(AA761&gt;1,AA761/100,AA761)))</f>
        <v/>
      </c>
      <c r="AC761" s="31" t="str">
        <f aca="false">IF(O761="","",V761+Y761+AB761)</f>
        <v/>
      </c>
      <c r="AD761" s="19" t="str">
        <f aca="false">IF(O761="","",O761-R761-AC761)</f>
        <v/>
      </c>
      <c r="AE761" s="20"/>
      <c r="AF761" s="27"/>
      <c r="AG761" s="21" t="n">
        <f aca="false">IF(OR(AE761="",AE761=0),0,AE761*IF(U761="",0,IF(U761&gt;1,U761/100,U761)))</f>
        <v>0</v>
      </c>
      <c r="AH761" s="21" t="n">
        <f aca="false">IF(OR(AE761="",AE761=0),0,AE761*IF(X761="",0,IF(X761&gt;1,X761/100,X761)))</f>
        <v>0</v>
      </c>
      <c r="AI761" s="21" t="n">
        <f aca="false">IF(OR(AE761="",AE761=0),0,AE761*IF(AA761="",0,IF(AA761&gt;1,AA761/100,AA761)))</f>
        <v>0</v>
      </c>
      <c r="AJ761" s="21" t="n">
        <f aca="false">AG761+AH761+AI761</f>
        <v>0</v>
      </c>
      <c r="AK761" s="21" t="n">
        <f aca="false">IF(OR(AE761="",AE761=0),0,AE761-AJ761)</f>
        <v>0</v>
      </c>
      <c r="AL761" s="19" t="str">
        <f aca="false">IF(AD761="","",AD761-AK761)</f>
        <v/>
      </c>
      <c r="AM761" s="26" t="str">
        <f aca="false">IF(C761="","","Waiting for payment")</f>
        <v/>
      </c>
      <c r="AN761" s="27"/>
      <c r="AO761" s="27"/>
      <c r="AP761" s="35" t="str">
        <f aca="false">IF(OR(C761="",I761="",K761=""),"",IF(K761="Monthly",EDATE(C761,ROUND(I761*SETTINGS!$I$8,0)),WORKDAY(C761,ROUND(I761*SETTINGS!$I$8,0))))</f>
        <v/>
      </c>
      <c r="AQ761" s="26" t="str">
        <f aca="true">IF(C761="","",IF(AND(AP761&lt;&gt;"",TODAY()&gt;=AP761),"Refi Ready",IF(TODAY()-C761&gt;=SETTINGS!$I$11,"Prospecting","Performing")))</f>
        <v/>
      </c>
      <c r="AR761" s="35" t="str">
        <f aca="false">IF(OR(C761="",I761="",K761=""),"",IF(K761="Monthly",EDATE(C761,I761),WORKDAY(C761,I761)))</f>
        <v/>
      </c>
      <c r="AS761" s="28"/>
      <c r="AT761" s="36" t="str">
        <f aca="true">IF(C761="","",IF(AM761="Clawed Back","CLAWED",IF(TODAY()&lt;=C761+SETTINGS!$I$2,"⚠ AT RISK","SAFE")))</f>
        <v/>
      </c>
      <c r="AU761" s="28"/>
      <c r="AW761" s="24" t="n">
        <f aca="false">AW760+IF(AND(C761&lt;&gt;"",AO761&lt;&gt;"",OR('REP COMMISSION'!$B$3="",T761='REP COMMISSION'!$B$3,W761='REP COMMISSION'!$B$3,Z761='REP COMMISSION'!$B$3)),1,0)</f>
        <v>0</v>
      </c>
      <c r="AX761" s="24" t="n">
        <f aca="false">AX760+IF(AND(C761&lt;&gt;"",OR(F761="LOC - INITIAL",F761="CONSOLIDATION - UPFRONT COMM",F761="REVERSE - TOTAL FUNDING")),1,0)</f>
        <v>0</v>
      </c>
    </row>
    <row r="762" customFormat="false" ht="15" hidden="false" customHeight="false" outlineLevel="0" collapsed="false">
      <c r="A762" s="8" t="str">
        <f aca="false">IF(C762&lt;&gt;"","F27-"&amp;COUNT($C$4:C762),"")</f>
        <v/>
      </c>
      <c r="B762" s="9" t="str">
        <f aca="false">IF(OR(F762="LOC - INITIAL",F762="CONSOLIDATION - UPFRONT COMM",F762="REVERSE - TOTAL FUNDING"),A762,"")</f>
        <v/>
      </c>
      <c r="C762" s="10"/>
      <c r="D762" s="11"/>
      <c r="E762" s="11"/>
      <c r="F762" s="11"/>
      <c r="G762" s="12"/>
      <c r="H762" s="13"/>
      <c r="I762" s="11"/>
      <c r="J762" s="14" t="str">
        <f aca="false">IF(AND(G762&lt;&gt;"",H762&lt;&gt;""),G762*H762,"")</f>
        <v/>
      </c>
      <c r="K762" s="11"/>
      <c r="L762" s="15"/>
      <c r="M762" s="15"/>
      <c r="N762" s="14" t="n">
        <f aca="false">IF(OR(G762="",M762=""),0,IF(M762&gt;100,M762,G762*IF(M762&gt;1,M762/100,M762)))</f>
        <v>0</v>
      </c>
      <c r="O762" s="14" t="str">
        <f aca="false">IF(G762="","",G762*IF(L762="",0,IF(L762&gt;1,L762/100,L762))+N762)</f>
        <v/>
      </c>
      <c r="P762" s="11"/>
      <c r="Q762" s="16" t="str">
        <f aca="false">IF(P762="","",IFERROR(VLOOKUP(P762,PARTNERS!$A$2:$B$30,2,0),""))</f>
        <v/>
      </c>
      <c r="R762" s="17" t="str">
        <f aca="false">IF(O762="","",IF(OR(P762="",Q762=""),0,(O762-N762)*IF(Q762&gt;1,Q762/100,Q762)))</f>
        <v/>
      </c>
      <c r="S762" s="14" t="str">
        <f aca="false">IF(O762="","",O762-R762)</f>
        <v/>
      </c>
      <c r="T762" s="11"/>
      <c r="U762" s="18" t="str">
        <f aca="false">IF(T762="","",IFERROR(VLOOKUP(T762,REPS!$A$2:$D$40,2,0),""))</f>
        <v/>
      </c>
      <c r="V762" s="14" t="str">
        <f aca="false">IF(O762="","",IF(U762="",0,O762*IF(U762&gt;1,U762/100,U762)))</f>
        <v/>
      </c>
      <c r="W762" s="11"/>
      <c r="X762" s="18" t="str">
        <f aca="false">IF(W762="","",IFERROR(VLOOKUP(W762,REPS!$A$2:$D$40,3,0),""))</f>
        <v/>
      </c>
      <c r="Y762" s="14" t="str">
        <f aca="false">IF(O762="","",IF(X762="",0,O762*IF(X762&gt;1,X762/100,X762)))</f>
        <v/>
      </c>
      <c r="Z762" s="11"/>
      <c r="AA762" s="18" t="str">
        <f aca="false">IF(Z762="","",IFERROR(VLOOKUP(Z762,REPS!$A$2:$D$40,4,0),""))</f>
        <v/>
      </c>
      <c r="AB762" s="14" t="str">
        <f aca="false">IF(O762="","",IF(AA762="",0,O762*IF(AA762&gt;1,AA762/100,AA762)))</f>
        <v/>
      </c>
      <c r="AC762" s="14" t="str">
        <f aca="false">IF(O762="","",V762+Y762+AB762)</f>
        <v/>
      </c>
      <c r="AD762" s="19" t="str">
        <f aca="false">IF(O762="","",O762-R762-AC762)</f>
        <v/>
      </c>
      <c r="AE762" s="20"/>
      <c r="AF762" s="10"/>
      <c r="AG762" s="21" t="n">
        <f aca="false">IF(OR(AE762="",AE762=0),0,AE762*IF(U762="",0,IF(U762&gt;1,U762/100,U762)))</f>
        <v>0</v>
      </c>
      <c r="AH762" s="21" t="n">
        <f aca="false">IF(OR(AE762="",AE762=0),0,AE762*IF(X762="",0,IF(X762&gt;1,X762/100,X762)))</f>
        <v>0</v>
      </c>
      <c r="AI762" s="21" t="n">
        <f aca="false">IF(OR(AE762="",AE762=0),0,AE762*IF(AA762="",0,IF(AA762&gt;1,AA762/100,AA762)))</f>
        <v>0</v>
      </c>
      <c r="AJ762" s="21" t="n">
        <f aca="false">AG762+AH762+AI762</f>
        <v>0</v>
      </c>
      <c r="AK762" s="21" t="n">
        <f aca="false">IF(OR(AE762="",AE762=0),0,AE762-AJ762)</f>
        <v>0</v>
      </c>
      <c r="AL762" s="19" t="str">
        <f aca="false">IF(AD762="","",AD762-AK762)</f>
        <v/>
      </c>
      <c r="AM762" s="9" t="str">
        <f aca="false">IF(C762="","","Waiting for payment")</f>
        <v/>
      </c>
      <c r="AN762" s="10"/>
      <c r="AO762" s="10"/>
      <c r="AP762" s="22" t="str">
        <f aca="false">IF(OR(C762="",I762="",K762=""),"",IF(K762="Monthly",EDATE(C762,ROUND(I762*SETTINGS!$I$8,0)),WORKDAY(C762,ROUND(I762*SETTINGS!$I$8,0))))</f>
        <v/>
      </c>
      <c r="AQ762" s="9" t="str">
        <f aca="true">IF(C762="","",IF(AND(AP762&lt;&gt;"",TODAY()&gt;=AP762),"Refi Ready",IF(TODAY()-C762&gt;=SETTINGS!$I$11,"Prospecting","Performing")))</f>
        <v/>
      </c>
      <c r="AR762" s="22" t="str">
        <f aca="false">IF(OR(C762="",I762="",K762=""),"",IF(K762="Monthly",EDATE(C762,I762),WORKDAY(C762,I762)))</f>
        <v/>
      </c>
      <c r="AS762" s="11"/>
      <c r="AT762" s="23" t="str">
        <f aca="true">IF(C762="","",IF(AM762="Clawed Back","CLAWED",IF(TODAY()&lt;=C762+SETTINGS!$I$2,"⚠ AT RISK","SAFE")))</f>
        <v/>
      </c>
      <c r="AU762" s="11"/>
      <c r="AW762" s="24" t="n">
        <f aca="false">AW761+IF(AND(C762&lt;&gt;"",AO762&lt;&gt;"",OR('REP COMMISSION'!$B$3="",T762='REP COMMISSION'!$B$3,W762='REP COMMISSION'!$B$3,Z762='REP COMMISSION'!$B$3)),1,0)</f>
        <v>0</v>
      </c>
      <c r="AX762" s="24" t="n">
        <f aca="false">AX761+IF(AND(C762&lt;&gt;"",OR(F762="LOC - INITIAL",F762="CONSOLIDATION - UPFRONT COMM",F762="REVERSE - TOTAL FUNDING")),1,0)</f>
        <v>0</v>
      </c>
    </row>
    <row r="763" customFormat="false" ht="15" hidden="false" customHeight="false" outlineLevel="0" collapsed="false">
      <c r="A763" s="25" t="str">
        <f aca="false">IF(C763&lt;&gt;"","F27-"&amp;COUNT($C$4:C763),"")</f>
        <v/>
      </c>
      <c r="B763" s="26" t="str">
        <f aca="false">IF(OR(F763="LOC - INITIAL",F763="CONSOLIDATION - UPFRONT COMM",F763="REVERSE - TOTAL FUNDING"),A763,"")</f>
        <v/>
      </c>
      <c r="C763" s="27"/>
      <c r="D763" s="28"/>
      <c r="E763" s="28"/>
      <c r="F763" s="28"/>
      <c r="G763" s="29"/>
      <c r="H763" s="30"/>
      <c r="I763" s="28"/>
      <c r="J763" s="31" t="str">
        <f aca="false">IF(AND(G763&lt;&gt;"",H763&lt;&gt;""),G763*H763,"")</f>
        <v/>
      </c>
      <c r="K763" s="28"/>
      <c r="L763" s="32"/>
      <c r="M763" s="32"/>
      <c r="N763" s="31" t="n">
        <f aca="false">IF(OR(G763="",M763=""),0,IF(M763&gt;100,M763,G763*IF(M763&gt;1,M763/100,M763)))</f>
        <v>0</v>
      </c>
      <c r="O763" s="31" t="str">
        <f aca="false">IF(G763="","",G763*IF(L763="",0,IF(L763&gt;1,L763/100,L763))+N763)</f>
        <v/>
      </c>
      <c r="P763" s="28"/>
      <c r="Q763" s="33" t="str">
        <f aca="false">IF(P763="","",IFERROR(VLOOKUP(P763,PARTNERS!$A$2:$B$30,2,0),""))</f>
        <v/>
      </c>
      <c r="R763" s="17" t="str">
        <f aca="false">IF(O763="","",IF(OR(P763="",Q763=""),0,(O763-N763)*IF(Q763&gt;1,Q763/100,Q763)))</f>
        <v/>
      </c>
      <c r="S763" s="31" t="str">
        <f aca="false">IF(O763="","",O763-R763)</f>
        <v/>
      </c>
      <c r="T763" s="28"/>
      <c r="U763" s="34" t="str">
        <f aca="false">IF(T763="","",IFERROR(VLOOKUP(T763,REPS!$A$2:$D$40,2,0),""))</f>
        <v/>
      </c>
      <c r="V763" s="31" t="str">
        <f aca="false">IF(O763="","",IF(U763="",0,O763*IF(U763&gt;1,U763/100,U763)))</f>
        <v/>
      </c>
      <c r="W763" s="28"/>
      <c r="X763" s="34" t="str">
        <f aca="false">IF(W763="","",IFERROR(VLOOKUP(W763,REPS!$A$2:$D$40,3,0),""))</f>
        <v/>
      </c>
      <c r="Y763" s="31" t="str">
        <f aca="false">IF(O763="","",IF(X763="",0,O763*IF(X763&gt;1,X763/100,X763)))</f>
        <v/>
      </c>
      <c r="Z763" s="28"/>
      <c r="AA763" s="34" t="str">
        <f aca="false">IF(Z763="","",IFERROR(VLOOKUP(Z763,REPS!$A$2:$D$40,4,0),""))</f>
        <v/>
      </c>
      <c r="AB763" s="31" t="str">
        <f aca="false">IF(O763="","",IF(AA763="",0,O763*IF(AA763&gt;1,AA763/100,AA763)))</f>
        <v/>
      </c>
      <c r="AC763" s="31" t="str">
        <f aca="false">IF(O763="","",V763+Y763+AB763)</f>
        <v/>
      </c>
      <c r="AD763" s="19" t="str">
        <f aca="false">IF(O763="","",O763-R763-AC763)</f>
        <v/>
      </c>
      <c r="AE763" s="20"/>
      <c r="AF763" s="27"/>
      <c r="AG763" s="21" t="n">
        <f aca="false">IF(OR(AE763="",AE763=0),0,AE763*IF(U763="",0,IF(U763&gt;1,U763/100,U763)))</f>
        <v>0</v>
      </c>
      <c r="AH763" s="21" t="n">
        <f aca="false">IF(OR(AE763="",AE763=0),0,AE763*IF(X763="",0,IF(X763&gt;1,X763/100,X763)))</f>
        <v>0</v>
      </c>
      <c r="AI763" s="21" t="n">
        <f aca="false">IF(OR(AE763="",AE763=0),0,AE763*IF(AA763="",0,IF(AA763&gt;1,AA763/100,AA763)))</f>
        <v>0</v>
      </c>
      <c r="AJ763" s="21" t="n">
        <f aca="false">AG763+AH763+AI763</f>
        <v>0</v>
      </c>
      <c r="AK763" s="21" t="n">
        <f aca="false">IF(OR(AE763="",AE763=0),0,AE763-AJ763)</f>
        <v>0</v>
      </c>
      <c r="AL763" s="19" t="str">
        <f aca="false">IF(AD763="","",AD763-AK763)</f>
        <v/>
      </c>
      <c r="AM763" s="26" t="str">
        <f aca="false">IF(C763="","","Waiting for payment")</f>
        <v/>
      </c>
      <c r="AN763" s="27"/>
      <c r="AO763" s="27"/>
      <c r="AP763" s="35" t="str">
        <f aca="false">IF(OR(C763="",I763="",K763=""),"",IF(K763="Monthly",EDATE(C763,ROUND(I763*SETTINGS!$I$8,0)),WORKDAY(C763,ROUND(I763*SETTINGS!$I$8,0))))</f>
        <v/>
      </c>
      <c r="AQ763" s="26" t="str">
        <f aca="true">IF(C763="","",IF(AND(AP763&lt;&gt;"",TODAY()&gt;=AP763),"Refi Ready",IF(TODAY()-C763&gt;=SETTINGS!$I$11,"Prospecting","Performing")))</f>
        <v/>
      </c>
      <c r="AR763" s="35" t="str">
        <f aca="false">IF(OR(C763="",I763="",K763=""),"",IF(K763="Monthly",EDATE(C763,I763),WORKDAY(C763,I763)))</f>
        <v/>
      </c>
      <c r="AS763" s="28"/>
      <c r="AT763" s="36" t="str">
        <f aca="true">IF(C763="","",IF(AM763="Clawed Back","CLAWED",IF(TODAY()&lt;=C763+SETTINGS!$I$2,"⚠ AT RISK","SAFE")))</f>
        <v/>
      </c>
      <c r="AU763" s="28"/>
      <c r="AW763" s="24" t="n">
        <f aca="false">AW762+IF(AND(C763&lt;&gt;"",AO763&lt;&gt;"",OR('REP COMMISSION'!$B$3="",T763='REP COMMISSION'!$B$3,W763='REP COMMISSION'!$B$3,Z763='REP COMMISSION'!$B$3)),1,0)</f>
        <v>0</v>
      </c>
      <c r="AX763" s="24" t="n">
        <f aca="false">AX762+IF(AND(C763&lt;&gt;"",OR(F763="LOC - INITIAL",F763="CONSOLIDATION - UPFRONT COMM",F763="REVERSE - TOTAL FUNDING")),1,0)</f>
        <v>0</v>
      </c>
    </row>
    <row r="764" customFormat="false" ht="15" hidden="false" customHeight="false" outlineLevel="0" collapsed="false">
      <c r="A764" s="8" t="str">
        <f aca="false">IF(C764&lt;&gt;"","F27-"&amp;COUNT($C$4:C764),"")</f>
        <v/>
      </c>
      <c r="B764" s="9" t="str">
        <f aca="false">IF(OR(F764="LOC - INITIAL",F764="CONSOLIDATION - UPFRONT COMM",F764="REVERSE - TOTAL FUNDING"),A764,"")</f>
        <v/>
      </c>
      <c r="C764" s="10"/>
      <c r="D764" s="11"/>
      <c r="E764" s="11"/>
      <c r="F764" s="11"/>
      <c r="G764" s="12"/>
      <c r="H764" s="13"/>
      <c r="I764" s="11"/>
      <c r="J764" s="14" t="str">
        <f aca="false">IF(AND(G764&lt;&gt;"",H764&lt;&gt;""),G764*H764,"")</f>
        <v/>
      </c>
      <c r="K764" s="11"/>
      <c r="L764" s="15"/>
      <c r="M764" s="15"/>
      <c r="N764" s="14" t="n">
        <f aca="false">IF(OR(G764="",M764=""),0,IF(M764&gt;100,M764,G764*IF(M764&gt;1,M764/100,M764)))</f>
        <v>0</v>
      </c>
      <c r="O764" s="14" t="str">
        <f aca="false">IF(G764="","",G764*IF(L764="",0,IF(L764&gt;1,L764/100,L764))+N764)</f>
        <v/>
      </c>
      <c r="P764" s="11"/>
      <c r="Q764" s="16" t="str">
        <f aca="false">IF(P764="","",IFERROR(VLOOKUP(P764,PARTNERS!$A$2:$B$30,2,0),""))</f>
        <v/>
      </c>
      <c r="R764" s="17" t="str">
        <f aca="false">IF(O764="","",IF(OR(P764="",Q764=""),0,(O764-N764)*IF(Q764&gt;1,Q764/100,Q764)))</f>
        <v/>
      </c>
      <c r="S764" s="14" t="str">
        <f aca="false">IF(O764="","",O764-R764)</f>
        <v/>
      </c>
      <c r="T764" s="11"/>
      <c r="U764" s="18" t="str">
        <f aca="false">IF(T764="","",IFERROR(VLOOKUP(T764,REPS!$A$2:$D$40,2,0),""))</f>
        <v/>
      </c>
      <c r="V764" s="14" t="str">
        <f aca="false">IF(O764="","",IF(U764="",0,O764*IF(U764&gt;1,U764/100,U764)))</f>
        <v/>
      </c>
      <c r="W764" s="11"/>
      <c r="X764" s="18" t="str">
        <f aca="false">IF(W764="","",IFERROR(VLOOKUP(W764,REPS!$A$2:$D$40,3,0),""))</f>
        <v/>
      </c>
      <c r="Y764" s="14" t="str">
        <f aca="false">IF(O764="","",IF(X764="",0,O764*IF(X764&gt;1,X764/100,X764)))</f>
        <v/>
      </c>
      <c r="Z764" s="11"/>
      <c r="AA764" s="18" t="str">
        <f aca="false">IF(Z764="","",IFERROR(VLOOKUP(Z764,REPS!$A$2:$D$40,4,0),""))</f>
        <v/>
      </c>
      <c r="AB764" s="14" t="str">
        <f aca="false">IF(O764="","",IF(AA764="",0,O764*IF(AA764&gt;1,AA764/100,AA764)))</f>
        <v/>
      </c>
      <c r="AC764" s="14" t="str">
        <f aca="false">IF(O764="","",V764+Y764+AB764)</f>
        <v/>
      </c>
      <c r="AD764" s="19" t="str">
        <f aca="false">IF(O764="","",O764-R764-AC764)</f>
        <v/>
      </c>
      <c r="AE764" s="20"/>
      <c r="AF764" s="10"/>
      <c r="AG764" s="21" t="n">
        <f aca="false">IF(OR(AE764="",AE764=0),0,AE764*IF(U764="",0,IF(U764&gt;1,U764/100,U764)))</f>
        <v>0</v>
      </c>
      <c r="AH764" s="21" t="n">
        <f aca="false">IF(OR(AE764="",AE764=0),0,AE764*IF(X764="",0,IF(X764&gt;1,X764/100,X764)))</f>
        <v>0</v>
      </c>
      <c r="AI764" s="21" t="n">
        <f aca="false">IF(OR(AE764="",AE764=0),0,AE764*IF(AA764="",0,IF(AA764&gt;1,AA764/100,AA764)))</f>
        <v>0</v>
      </c>
      <c r="AJ764" s="21" t="n">
        <f aca="false">AG764+AH764+AI764</f>
        <v>0</v>
      </c>
      <c r="AK764" s="21" t="n">
        <f aca="false">IF(OR(AE764="",AE764=0),0,AE764-AJ764)</f>
        <v>0</v>
      </c>
      <c r="AL764" s="19" t="str">
        <f aca="false">IF(AD764="","",AD764-AK764)</f>
        <v/>
      </c>
      <c r="AM764" s="9" t="str">
        <f aca="false">IF(C764="","","Waiting for payment")</f>
        <v/>
      </c>
      <c r="AN764" s="10"/>
      <c r="AO764" s="10"/>
      <c r="AP764" s="22" t="str">
        <f aca="false">IF(OR(C764="",I764="",K764=""),"",IF(K764="Monthly",EDATE(C764,ROUND(I764*SETTINGS!$I$8,0)),WORKDAY(C764,ROUND(I764*SETTINGS!$I$8,0))))</f>
        <v/>
      </c>
      <c r="AQ764" s="9" t="str">
        <f aca="true">IF(C764="","",IF(AND(AP764&lt;&gt;"",TODAY()&gt;=AP764),"Refi Ready",IF(TODAY()-C764&gt;=SETTINGS!$I$11,"Prospecting","Performing")))</f>
        <v/>
      </c>
      <c r="AR764" s="22" t="str">
        <f aca="false">IF(OR(C764="",I764="",K764=""),"",IF(K764="Monthly",EDATE(C764,I764),WORKDAY(C764,I764)))</f>
        <v/>
      </c>
      <c r="AS764" s="11"/>
      <c r="AT764" s="23" t="str">
        <f aca="true">IF(C764="","",IF(AM764="Clawed Back","CLAWED",IF(TODAY()&lt;=C764+SETTINGS!$I$2,"⚠ AT RISK","SAFE")))</f>
        <v/>
      </c>
      <c r="AU764" s="11"/>
      <c r="AW764" s="24" t="n">
        <f aca="false">AW763+IF(AND(C764&lt;&gt;"",AO764&lt;&gt;"",OR('REP COMMISSION'!$B$3="",T764='REP COMMISSION'!$B$3,W764='REP COMMISSION'!$B$3,Z764='REP COMMISSION'!$B$3)),1,0)</f>
        <v>0</v>
      </c>
      <c r="AX764" s="24" t="n">
        <f aca="false">AX763+IF(AND(C764&lt;&gt;"",OR(F764="LOC - INITIAL",F764="CONSOLIDATION - UPFRONT COMM",F764="REVERSE - TOTAL FUNDING")),1,0)</f>
        <v>0</v>
      </c>
    </row>
    <row r="765" customFormat="false" ht="15" hidden="false" customHeight="false" outlineLevel="0" collapsed="false">
      <c r="A765" s="25" t="str">
        <f aca="false">IF(C765&lt;&gt;"","F27-"&amp;COUNT($C$4:C765),"")</f>
        <v/>
      </c>
      <c r="B765" s="26" t="str">
        <f aca="false">IF(OR(F765="LOC - INITIAL",F765="CONSOLIDATION - UPFRONT COMM",F765="REVERSE - TOTAL FUNDING"),A765,"")</f>
        <v/>
      </c>
      <c r="C765" s="27"/>
      <c r="D765" s="28"/>
      <c r="E765" s="28"/>
      <c r="F765" s="28"/>
      <c r="G765" s="29"/>
      <c r="H765" s="30"/>
      <c r="I765" s="28"/>
      <c r="J765" s="31" t="str">
        <f aca="false">IF(AND(G765&lt;&gt;"",H765&lt;&gt;""),G765*H765,"")</f>
        <v/>
      </c>
      <c r="K765" s="28"/>
      <c r="L765" s="32"/>
      <c r="M765" s="32"/>
      <c r="N765" s="31" t="n">
        <f aca="false">IF(OR(G765="",M765=""),0,IF(M765&gt;100,M765,G765*IF(M765&gt;1,M765/100,M765)))</f>
        <v>0</v>
      </c>
      <c r="O765" s="31" t="str">
        <f aca="false">IF(G765="","",G765*IF(L765="",0,IF(L765&gt;1,L765/100,L765))+N765)</f>
        <v/>
      </c>
      <c r="P765" s="28"/>
      <c r="Q765" s="33" t="str">
        <f aca="false">IF(P765="","",IFERROR(VLOOKUP(P765,PARTNERS!$A$2:$B$30,2,0),""))</f>
        <v/>
      </c>
      <c r="R765" s="17" t="str">
        <f aca="false">IF(O765="","",IF(OR(P765="",Q765=""),0,(O765-N765)*IF(Q765&gt;1,Q765/100,Q765)))</f>
        <v/>
      </c>
      <c r="S765" s="31" t="str">
        <f aca="false">IF(O765="","",O765-R765)</f>
        <v/>
      </c>
      <c r="T765" s="28"/>
      <c r="U765" s="34" t="str">
        <f aca="false">IF(T765="","",IFERROR(VLOOKUP(T765,REPS!$A$2:$D$40,2,0),""))</f>
        <v/>
      </c>
      <c r="V765" s="31" t="str">
        <f aca="false">IF(O765="","",IF(U765="",0,O765*IF(U765&gt;1,U765/100,U765)))</f>
        <v/>
      </c>
      <c r="W765" s="28"/>
      <c r="X765" s="34" t="str">
        <f aca="false">IF(W765="","",IFERROR(VLOOKUP(W765,REPS!$A$2:$D$40,3,0),""))</f>
        <v/>
      </c>
      <c r="Y765" s="31" t="str">
        <f aca="false">IF(O765="","",IF(X765="",0,O765*IF(X765&gt;1,X765/100,X765)))</f>
        <v/>
      </c>
      <c r="Z765" s="28"/>
      <c r="AA765" s="34" t="str">
        <f aca="false">IF(Z765="","",IFERROR(VLOOKUP(Z765,REPS!$A$2:$D$40,4,0),""))</f>
        <v/>
      </c>
      <c r="AB765" s="31" t="str">
        <f aca="false">IF(O765="","",IF(AA765="",0,O765*IF(AA765&gt;1,AA765/100,AA765)))</f>
        <v/>
      </c>
      <c r="AC765" s="31" t="str">
        <f aca="false">IF(O765="","",V765+Y765+AB765)</f>
        <v/>
      </c>
      <c r="AD765" s="19" t="str">
        <f aca="false">IF(O765="","",O765-R765-AC765)</f>
        <v/>
      </c>
      <c r="AE765" s="20"/>
      <c r="AF765" s="27"/>
      <c r="AG765" s="21" t="n">
        <f aca="false">IF(OR(AE765="",AE765=0),0,AE765*IF(U765="",0,IF(U765&gt;1,U765/100,U765)))</f>
        <v>0</v>
      </c>
      <c r="AH765" s="21" t="n">
        <f aca="false">IF(OR(AE765="",AE765=0),0,AE765*IF(X765="",0,IF(X765&gt;1,X765/100,X765)))</f>
        <v>0</v>
      </c>
      <c r="AI765" s="21" t="n">
        <f aca="false">IF(OR(AE765="",AE765=0),0,AE765*IF(AA765="",0,IF(AA765&gt;1,AA765/100,AA765)))</f>
        <v>0</v>
      </c>
      <c r="AJ765" s="21" t="n">
        <f aca="false">AG765+AH765+AI765</f>
        <v>0</v>
      </c>
      <c r="AK765" s="21" t="n">
        <f aca="false">IF(OR(AE765="",AE765=0),0,AE765-AJ765)</f>
        <v>0</v>
      </c>
      <c r="AL765" s="19" t="str">
        <f aca="false">IF(AD765="","",AD765-AK765)</f>
        <v/>
      </c>
      <c r="AM765" s="26" t="str">
        <f aca="false">IF(C765="","","Waiting for payment")</f>
        <v/>
      </c>
      <c r="AN765" s="27"/>
      <c r="AO765" s="27"/>
      <c r="AP765" s="35" t="str">
        <f aca="false">IF(OR(C765="",I765="",K765=""),"",IF(K765="Monthly",EDATE(C765,ROUND(I765*SETTINGS!$I$8,0)),WORKDAY(C765,ROUND(I765*SETTINGS!$I$8,0))))</f>
        <v/>
      </c>
      <c r="AQ765" s="26" t="str">
        <f aca="true">IF(C765="","",IF(AND(AP765&lt;&gt;"",TODAY()&gt;=AP765),"Refi Ready",IF(TODAY()-C765&gt;=SETTINGS!$I$11,"Prospecting","Performing")))</f>
        <v/>
      </c>
      <c r="AR765" s="35" t="str">
        <f aca="false">IF(OR(C765="",I765="",K765=""),"",IF(K765="Monthly",EDATE(C765,I765),WORKDAY(C765,I765)))</f>
        <v/>
      </c>
      <c r="AS765" s="28"/>
      <c r="AT765" s="36" t="str">
        <f aca="true">IF(C765="","",IF(AM765="Clawed Back","CLAWED",IF(TODAY()&lt;=C765+SETTINGS!$I$2,"⚠ AT RISK","SAFE")))</f>
        <v/>
      </c>
      <c r="AU765" s="28"/>
      <c r="AW765" s="24" t="n">
        <f aca="false">AW764+IF(AND(C765&lt;&gt;"",AO765&lt;&gt;"",OR('REP COMMISSION'!$B$3="",T765='REP COMMISSION'!$B$3,W765='REP COMMISSION'!$B$3,Z765='REP COMMISSION'!$B$3)),1,0)</f>
        <v>0</v>
      </c>
      <c r="AX765" s="24" t="n">
        <f aca="false">AX764+IF(AND(C765&lt;&gt;"",OR(F765="LOC - INITIAL",F765="CONSOLIDATION - UPFRONT COMM",F765="REVERSE - TOTAL FUNDING")),1,0)</f>
        <v>0</v>
      </c>
    </row>
    <row r="766" customFormat="false" ht="15" hidden="false" customHeight="false" outlineLevel="0" collapsed="false">
      <c r="A766" s="8" t="str">
        <f aca="false">IF(C766&lt;&gt;"","F27-"&amp;COUNT($C$4:C766),"")</f>
        <v/>
      </c>
      <c r="B766" s="9" t="str">
        <f aca="false">IF(OR(F766="LOC - INITIAL",F766="CONSOLIDATION - UPFRONT COMM",F766="REVERSE - TOTAL FUNDING"),A766,"")</f>
        <v/>
      </c>
      <c r="C766" s="10"/>
      <c r="D766" s="11"/>
      <c r="E766" s="11"/>
      <c r="F766" s="11"/>
      <c r="G766" s="12"/>
      <c r="H766" s="13"/>
      <c r="I766" s="11"/>
      <c r="J766" s="14" t="str">
        <f aca="false">IF(AND(G766&lt;&gt;"",H766&lt;&gt;""),G766*H766,"")</f>
        <v/>
      </c>
      <c r="K766" s="11"/>
      <c r="L766" s="15"/>
      <c r="M766" s="15"/>
      <c r="N766" s="14" t="n">
        <f aca="false">IF(OR(G766="",M766=""),0,IF(M766&gt;100,M766,G766*IF(M766&gt;1,M766/100,M766)))</f>
        <v>0</v>
      </c>
      <c r="O766" s="14" t="str">
        <f aca="false">IF(G766="","",G766*IF(L766="",0,IF(L766&gt;1,L766/100,L766))+N766)</f>
        <v/>
      </c>
      <c r="P766" s="11"/>
      <c r="Q766" s="16" t="str">
        <f aca="false">IF(P766="","",IFERROR(VLOOKUP(P766,PARTNERS!$A$2:$B$30,2,0),""))</f>
        <v/>
      </c>
      <c r="R766" s="17" t="str">
        <f aca="false">IF(O766="","",IF(OR(P766="",Q766=""),0,(O766-N766)*IF(Q766&gt;1,Q766/100,Q766)))</f>
        <v/>
      </c>
      <c r="S766" s="14" t="str">
        <f aca="false">IF(O766="","",O766-R766)</f>
        <v/>
      </c>
      <c r="T766" s="11"/>
      <c r="U766" s="18" t="str">
        <f aca="false">IF(T766="","",IFERROR(VLOOKUP(T766,REPS!$A$2:$D$40,2,0),""))</f>
        <v/>
      </c>
      <c r="V766" s="14" t="str">
        <f aca="false">IF(O766="","",IF(U766="",0,O766*IF(U766&gt;1,U766/100,U766)))</f>
        <v/>
      </c>
      <c r="W766" s="11"/>
      <c r="X766" s="18" t="str">
        <f aca="false">IF(W766="","",IFERROR(VLOOKUP(W766,REPS!$A$2:$D$40,3,0),""))</f>
        <v/>
      </c>
      <c r="Y766" s="14" t="str">
        <f aca="false">IF(O766="","",IF(X766="",0,O766*IF(X766&gt;1,X766/100,X766)))</f>
        <v/>
      </c>
      <c r="Z766" s="11"/>
      <c r="AA766" s="18" t="str">
        <f aca="false">IF(Z766="","",IFERROR(VLOOKUP(Z766,REPS!$A$2:$D$40,4,0),""))</f>
        <v/>
      </c>
      <c r="AB766" s="14" t="str">
        <f aca="false">IF(O766="","",IF(AA766="",0,O766*IF(AA766&gt;1,AA766/100,AA766)))</f>
        <v/>
      </c>
      <c r="AC766" s="14" t="str">
        <f aca="false">IF(O766="","",V766+Y766+AB766)</f>
        <v/>
      </c>
      <c r="AD766" s="19" t="str">
        <f aca="false">IF(O766="","",O766-R766-AC766)</f>
        <v/>
      </c>
      <c r="AE766" s="20"/>
      <c r="AF766" s="10"/>
      <c r="AG766" s="21" t="n">
        <f aca="false">IF(OR(AE766="",AE766=0),0,AE766*IF(U766="",0,IF(U766&gt;1,U766/100,U766)))</f>
        <v>0</v>
      </c>
      <c r="AH766" s="21" t="n">
        <f aca="false">IF(OR(AE766="",AE766=0),0,AE766*IF(X766="",0,IF(X766&gt;1,X766/100,X766)))</f>
        <v>0</v>
      </c>
      <c r="AI766" s="21" t="n">
        <f aca="false">IF(OR(AE766="",AE766=0),0,AE766*IF(AA766="",0,IF(AA766&gt;1,AA766/100,AA766)))</f>
        <v>0</v>
      </c>
      <c r="AJ766" s="21" t="n">
        <f aca="false">AG766+AH766+AI766</f>
        <v>0</v>
      </c>
      <c r="AK766" s="21" t="n">
        <f aca="false">IF(OR(AE766="",AE766=0),0,AE766-AJ766)</f>
        <v>0</v>
      </c>
      <c r="AL766" s="19" t="str">
        <f aca="false">IF(AD766="","",AD766-AK766)</f>
        <v/>
      </c>
      <c r="AM766" s="9" t="str">
        <f aca="false">IF(C766="","","Waiting for payment")</f>
        <v/>
      </c>
      <c r="AN766" s="10"/>
      <c r="AO766" s="10"/>
      <c r="AP766" s="22" t="str">
        <f aca="false">IF(OR(C766="",I766="",K766=""),"",IF(K766="Monthly",EDATE(C766,ROUND(I766*SETTINGS!$I$8,0)),WORKDAY(C766,ROUND(I766*SETTINGS!$I$8,0))))</f>
        <v/>
      </c>
      <c r="AQ766" s="9" t="str">
        <f aca="true">IF(C766="","",IF(AND(AP766&lt;&gt;"",TODAY()&gt;=AP766),"Refi Ready",IF(TODAY()-C766&gt;=SETTINGS!$I$11,"Prospecting","Performing")))</f>
        <v/>
      </c>
      <c r="AR766" s="22" t="str">
        <f aca="false">IF(OR(C766="",I766="",K766=""),"",IF(K766="Monthly",EDATE(C766,I766),WORKDAY(C766,I766)))</f>
        <v/>
      </c>
      <c r="AS766" s="11"/>
      <c r="AT766" s="23" t="str">
        <f aca="true">IF(C766="","",IF(AM766="Clawed Back","CLAWED",IF(TODAY()&lt;=C766+SETTINGS!$I$2,"⚠ AT RISK","SAFE")))</f>
        <v/>
      </c>
      <c r="AU766" s="11"/>
      <c r="AW766" s="24" t="n">
        <f aca="false">AW765+IF(AND(C766&lt;&gt;"",AO766&lt;&gt;"",OR('REP COMMISSION'!$B$3="",T766='REP COMMISSION'!$B$3,W766='REP COMMISSION'!$B$3,Z766='REP COMMISSION'!$B$3)),1,0)</f>
        <v>0</v>
      </c>
      <c r="AX766" s="24" t="n">
        <f aca="false">AX765+IF(AND(C766&lt;&gt;"",OR(F766="LOC - INITIAL",F766="CONSOLIDATION - UPFRONT COMM",F766="REVERSE - TOTAL FUNDING")),1,0)</f>
        <v>0</v>
      </c>
    </row>
    <row r="767" customFormat="false" ht="15" hidden="false" customHeight="false" outlineLevel="0" collapsed="false">
      <c r="A767" s="25" t="str">
        <f aca="false">IF(C767&lt;&gt;"","F27-"&amp;COUNT($C$4:C767),"")</f>
        <v/>
      </c>
      <c r="B767" s="26" t="str">
        <f aca="false">IF(OR(F767="LOC - INITIAL",F767="CONSOLIDATION - UPFRONT COMM",F767="REVERSE - TOTAL FUNDING"),A767,"")</f>
        <v/>
      </c>
      <c r="C767" s="27"/>
      <c r="D767" s="28"/>
      <c r="E767" s="28"/>
      <c r="F767" s="28"/>
      <c r="G767" s="29"/>
      <c r="H767" s="30"/>
      <c r="I767" s="28"/>
      <c r="J767" s="31" t="str">
        <f aca="false">IF(AND(G767&lt;&gt;"",H767&lt;&gt;""),G767*H767,"")</f>
        <v/>
      </c>
      <c r="K767" s="28"/>
      <c r="L767" s="32"/>
      <c r="M767" s="32"/>
      <c r="N767" s="31" t="n">
        <f aca="false">IF(OR(G767="",M767=""),0,IF(M767&gt;100,M767,G767*IF(M767&gt;1,M767/100,M767)))</f>
        <v>0</v>
      </c>
      <c r="O767" s="31" t="str">
        <f aca="false">IF(G767="","",G767*IF(L767="",0,IF(L767&gt;1,L767/100,L767))+N767)</f>
        <v/>
      </c>
      <c r="P767" s="28"/>
      <c r="Q767" s="33" t="str">
        <f aca="false">IF(P767="","",IFERROR(VLOOKUP(P767,PARTNERS!$A$2:$B$30,2,0),""))</f>
        <v/>
      </c>
      <c r="R767" s="17" t="str">
        <f aca="false">IF(O767="","",IF(OR(P767="",Q767=""),0,(O767-N767)*IF(Q767&gt;1,Q767/100,Q767)))</f>
        <v/>
      </c>
      <c r="S767" s="31" t="str">
        <f aca="false">IF(O767="","",O767-R767)</f>
        <v/>
      </c>
      <c r="T767" s="28"/>
      <c r="U767" s="34" t="str">
        <f aca="false">IF(T767="","",IFERROR(VLOOKUP(T767,REPS!$A$2:$D$40,2,0),""))</f>
        <v/>
      </c>
      <c r="V767" s="31" t="str">
        <f aca="false">IF(O767="","",IF(U767="",0,O767*IF(U767&gt;1,U767/100,U767)))</f>
        <v/>
      </c>
      <c r="W767" s="28"/>
      <c r="X767" s="34" t="str">
        <f aca="false">IF(W767="","",IFERROR(VLOOKUP(W767,REPS!$A$2:$D$40,3,0),""))</f>
        <v/>
      </c>
      <c r="Y767" s="31" t="str">
        <f aca="false">IF(O767="","",IF(X767="",0,O767*IF(X767&gt;1,X767/100,X767)))</f>
        <v/>
      </c>
      <c r="Z767" s="28"/>
      <c r="AA767" s="34" t="str">
        <f aca="false">IF(Z767="","",IFERROR(VLOOKUP(Z767,REPS!$A$2:$D$40,4,0),""))</f>
        <v/>
      </c>
      <c r="AB767" s="31" t="str">
        <f aca="false">IF(O767="","",IF(AA767="",0,O767*IF(AA767&gt;1,AA767/100,AA767)))</f>
        <v/>
      </c>
      <c r="AC767" s="31" t="str">
        <f aca="false">IF(O767="","",V767+Y767+AB767)</f>
        <v/>
      </c>
      <c r="AD767" s="19" t="str">
        <f aca="false">IF(O767="","",O767-R767-AC767)</f>
        <v/>
      </c>
      <c r="AE767" s="20"/>
      <c r="AF767" s="27"/>
      <c r="AG767" s="21" t="n">
        <f aca="false">IF(OR(AE767="",AE767=0),0,AE767*IF(U767="",0,IF(U767&gt;1,U767/100,U767)))</f>
        <v>0</v>
      </c>
      <c r="AH767" s="21" t="n">
        <f aca="false">IF(OR(AE767="",AE767=0),0,AE767*IF(X767="",0,IF(X767&gt;1,X767/100,X767)))</f>
        <v>0</v>
      </c>
      <c r="AI767" s="21" t="n">
        <f aca="false">IF(OR(AE767="",AE767=0),0,AE767*IF(AA767="",0,IF(AA767&gt;1,AA767/100,AA767)))</f>
        <v>0</v>
      </c>
      <c r="AJ767" s="21" t="n">
        <f aca="false">AG767+AH767+AI767</f>
        <v>0</v>
      </c>
      <c r="AK767" s="21" t="n">
        <f aca="false">IF(OR(AE767="",AE767=0),0,AE767-AJ767)</f>
        <v>0</v>
      </c>
      <c r="AL767" s="19" t="str">
        <f aca="false">IF(AD767="","",AD767-AK767)</f>
        <v/>
      </c>
      <c r="AM767" s="26" t="str">
        <f aca="false">IF(C767="","","Waiting for payment")</f>
        <v/>
      </c>
      <c r="AN767" s="27"/>
      <c r="AO767" s="27"/>
      <c r="AP767" s="35" t="str">
        <f aca="false">IF(OR(C767="",I767="",K767=""),"",IF(K767="Monthly",EDATE(C767,ROUND(I767*SETTINGS!$I$8,0)),WORKDAY(C767,ROUND(I767*SETTINGS!$I$8,0))))</f>
        <v/>
      </c>
      <c r="AQ767" s="26" t="str">
        <f aca="true">IF(C767="","",IF(AND(AP767&lt;&gt;"",TODAY()&gt;=AP767),"Refi Ready",IF(TODAY()-C767&gt;=SETTINGS!$I$11,"Prospecting","Performing")))</f>
        <v/>
      </c>
      <c r="AR767" s="35" t="str">
        <f aca="false">IF(OR(C767="",I767="",K767=""),"",IF(K767="Monthly",EDATE(C767,I767),WORKDAY(C767,I767)))</f>
        <v/>
      </c>
      <c r="AS767" s="28"/>
      <c r="AT767" s="36" t="str">
        <f aca="true">IF(C767="","",IF(AM767="Clawed Back","CLAWED",IF(TODAY()&lt;=C767+SETTINGS!$I$2,"⚠ AT RISK","SAFE")))</f>
        <v/>
      </c>
      <c r="AU767" s="28"/>
      <c r="AW767" s="24" t="n">
        <f aca="false">AW766+IF(AND(C767&lt;&gt;"",AO767&lt;&gt;"",OR('REP COMMISSION'!$B$3="",T767='REP COMMISSION'!$B$3,W767='REP COMMISSION'!$B$3,Z767='REP COMMISSION'!$B$3)),1,0)</f>
        <v>0</v>
      </c>
      <c r="AX767" s="24" t="n">
        <f aca="false">AX766+IF(AND(C767&lt;&gt;"",OR(F767="LOC - INITIAL",F767="CONSOLIDATION - UPFRONT COMM",F767="REVERSE - TOTAL FUNDING")),1,0)</f>
        <v>0</v>
      </c>
    </row>
    <row r="768" customFormat="false" ht="15" hidden="false" customHeight="false" outlineLevel="0" collapsed="false">
      <c r="A768" s="8" t="str">
        <f aca="false">IF(C768&lt;&gt;"","F27-"&amp;COUNT($C$4:C768),"")</f>
        <v/>
      </c>
      <c r="B768" s="9" t="str">
        <f aca="false">IF(OR(F768="LOC - INITIAL",F768="CONSOLIDATION - UPFRONT COMM",F768="REVERSE - TOTAL FUNDING"),A768,"")</f>
        <v/>
      </c>
      <c r="C768" s="10"/>
      <c r="D768" s="11"/>
      <c r="E768" s="11"/>
      <c r="F768" s="11"/>
      <c r="G768" s="12"/>
      <c r="H768" s="13"/>
      <c r="I768" s="11"/>
      <c r="J768" s="14" t="str">
        <f aca="false">IF(AND(G768&lt;&gt;"",H768&lt;&gt;""),G768*H768,"")</f>
        <v/>
      </c>
      <c r="K768" s="11"/>
      <c r="L768" s="15"/>
      <c r="M768" s="15"/>
      <c r="N768" s="14" t="n">
        <f aca="false">IF(OR(G768="",M768=""),0,IF(M768&gt;100,M768,G768*IF(M768&gt;1,M768/100,M768)))</f>
        <v>0</v>
      </c>
      <c r="O768" s="14" t="str">
        <f aca="false">IF(G768="","",G768*IF(L768="",0,IF(L768&gt;1,L768/100,L768))+N768)</f>
        <v/>
      </c>
      <c r="P768" s="11"/>
      <c r="Q768" s="16" t="str">
        <f aca="false">IF(P768="","",IFERROR(VLOOKUP(P768,PARTNERS!$A$2:$B$30,2,0),""))</f>
        <v/>
      </c>
      <c r="R768" s="17" t="str">
        <f aca="false">IF(O768="","",IF(OR(P768="",Q768=""),0,(O768-N768)*IF(Q768&gt;1,Q768/100,Q768)))</f>
        <v/>
      </c>
      <c r="S768" s="14" t="str">
        <f aca="false">IF(O768="","",O768-R768)</f>
        <v/>
      </c>
      <c r="T768" s="11"/>
      <c r="U768" s="18" t="str">
        <f aca="false">IF(T768="","",IFERROR(VLOOKUP(T768,REPS!$A$2:$D$40,2,0),""))</f>
        <v/>
      </c>
      <c r="V768" s="14" t="str">
        <f aca="false">IF(O768="","",IF(U768="",0,O768*IF(U768&gt;1,U768/100,U768)))</f>
        <v/>
      </c>
      <c r="W768" s="11"/>
      <c r="X768" s="18" t="str">
        <f aca="false">IF(W768="","",IFERROR(VLOOKUP(W768,REPS!$A$2:$D$40,3,0),""))</f>
        <v/>
      </c>
      <c r="Y768" s="14" t="str">
        <f aca="false">IF(O768="","",IF(X768="",0,O768*IF(X768&gt;1,X768/100,X768)))</f>
        <v/>
      </c>
      <c r="Z768" s="11"/>
      <c r="AA768" s="18" t="str">
        <f aca="false">IF(Z768="","",IFERROR(VLOOKUP(Z768,REPS!$A$2:$D$40,4,0),""))</f>
        <v/>
      </c>
      <c r="AB768" s="14" t="str">
        <f aca="false">IF(O768="","",IF(AA768="",0,O768*IF(AA768&gt;1,AA768/100,AA768)))</f>
        <v/>
      </c>
      <c r="AC768" s="14" t="str">
        <f aca="false">IF(O768="","",V768+Y768+AB768)</f>
        <v/>
      </c>
      <c r="AD768" s="19" t="str">
        <f aca="false">IF(O768="","",O768-R768-AC768)</f>
        <v/>
      </c>
      <c r="AE768" s="20"/>
      <c r="AF768" s="10"/>
      <c r="AG768" s="21" t="n">
        <f aca="false">IF(OR(AE768="",AE768=0),0,AE768*IF(U768="",0,IF(U768&gt;1,U768/100,U768)))</f>
        <v>0</v>
      </c>
      <c r="AH768" s="21" t="n">
        <f aca="false">IF(OR(AE768="",AE768=0),0,AE768*IF(X768="",0,IF(X768&gt;1,X768/100,X768)))</f>
        <v>0</v>
      </c>
      <c r="AI768" s="21" t="n">
        <f aca="false">IF(OR(AE768="",AE768=0),0,AE768*IF(AA768="",0,IF(AA768&gt;1,AA768/100,AA768)))</f>
        <v>0</v>
      </c>
      <c r="AJ768" s="21" t="n">
        <f aca="false">AG768+AH768+AI768</f>
        <v>0</v>
      </c>
      <c r="AK768" s="21" t="n">
        <f aca="false">IF(OR(AE768="",AE768=0),0,AE768-AJ768)</f>
        <v>0</v>
      </c>
      <c r="AL768" s="19" t="str">
        <f aca="false">IF(AD768="","",AD768-AK768)</f>
        <v/>
      </c>
      <c r="AM768" s="9" t="str">
        <f aca="false">IF(C768="","","Waiting for payment")</f>
        <v/>
      </c>
      <c r="AN768" s="10"/>
      <c r="AO768" s="10"/>
      <c r="AP768" s="22" t="str">
        <f aca="false">IF(OR(C768="",I768="",K768=""),"",IF(K768="Monthly",EDATE(C768,ROUND(I768*SETTINGS!$I$8,0)),WORKDAY(C768,ROUND(I768*SETTINGS!$I$8,0))))</f>
        <v/>
      </c>
      <c r="AQ768" s="9" t="str">
        <f aca="true">IF(C768="","",IF(AND(AP768&lt;&gt;"",TODAY()&gt;=AP768),"Refi Ready",IF(TODAY()-C768&gt;=SETTINGS!$I$11,"Prospecting","Performing")))</f>
        <v/>
      </c>
      <c r="AR768" s="22" t="str">
        <f aca="false">IF(OR(C768="",I768="",K768=""),"",IF(K768="Monthly",EDATE(C768,I768),WORKDAY(C768,I768)))</f>
        <v/>
      </c>
      <c r="AS768" s="11"/>
      <c r="AT768" s="23" t="str">
        <f aca="true">IF(C768="","",IF(AM768="Clawed Back","CLAWED",IF(TODAY()&lt;=C768+SETTINGS!$I$2,"⚠ AT RISK","SAFE")))</f>
        <v/>
      </c>
      <c r="AU768" s="11"/>
      <c r="AW768" s="24" t="n">
        <f aca="false">AW767+IF(AND(C768&lt;&gt;"",AO768&lt;&gt;"",OR('REP COMMISSION'!$B$3="",T768='REP COMMISSION'!$B$3,W768='REP COMMISSION'!$B$3,Z768='REP COMMISSION'!$B$3)),1,0)</f>
        <v>0</v>
      </c>
      <c r="AX768" s="24" t="n">
        <f aca="false">AX767+IF(AND(C768&lt;&gt;"",OR(F768="LOC - INITIAL",F768="CONSOLIDATION - UPFRONT COMM",F768="REVERSE - TOTAL FUNDING")),1,0)</f>
        <v>0</v>
      </c>
    </row>
    <row r="769" customFormat="false" ht="15" hidden="false" customHeight="false" outlineLevel="0" collapsed="false">
      <c r="A769" s="25" t="str">
        <f aca="false">IF(C769&lt;&gt;"","F27-"&amp;COUNT($C$4:C769),"")</f>
        <v/>
      </c>
      <c r="B769" s="26" t="str">
        <f aca="false">IF(OR(F769="LOC - INITIAL",F769="CONSOLIDATION - UPFRONT COMM",F769="REVERSE - TOTAL FUNDING"),A769,"")</f>
        <v/>
      </c>
      <c r="C769" s="27"/>
      <c r="D769" s="28"/>
      <c r="E769" s="28"/>
      <c r="F769" s="28"/>
      <c r="G769" s="29"/>
      <c r="H769" s="30"/>
      <c r="I769" s="28"/>
      <c r="J769" s="31" t="str">
        <f aca="false">IF(AND(G769&lt;&gt;"",H769&lt;&gt;""),G769*H769,"")</f>
        <v/>
      </c>
      <c r="K769" s="28"/>
      <c r="L769" s="32"/>
      <c r="M769" s="32"/>
      <c r="N769" s="31" t="n">
        <f aca="false">IF(OR(G769="",M769=""),0,IF(M769&gt;100,M769,G769*IF(M769&gt;1,M769/100,M769)))</f>
        <v>0</v>
      </c>
      <c r="O769" s="31" t="str">
        <f aca="false">IF(G769="","",G769*IF(L769="",0,IF(L769&gt;1,L769/100,L769))+N769)</f>
        <v/>
      </c>
      <c r="P769" s="28"/>
      <c r="Q769" s="33" t="str">
        <f aca="false">IF(P769="","",IFERROR(VLOOKUP(P769,PARTNERS!$A$2:$B$30,2,0),""))</f>
        <v/>
      </c>
      <c r="R769" s="17" t="str">
        <f aca="false">IF(O769="","",IF(OR(P769="",Q769=""),0,(O769-N769)*IF(Q769&gt;1,Q769/100,Q769)))</f>
        <v/>
      </c>
      <c r="S769" s="31" t="str">
        <f aca="false">IF(O769="","",O769-R769)</f>
        <v/>
      </c>
      <c r="T769" s="28"/>
      <c r="U769" s="34" t="str">
        <f aca="false">IF(T769="","",IFERROR(VLOOKUP(T769,REPS!$A$2:$D$40,2,0),""))</f>
        <v/>
      </c>
      <c r="V769" s="31" t="str">
        <f aca="false">IF(O769="","",IF(U769="",0,O769*IF(U769&gt;1,U769/100,U769)))</f>
        <v/>
      </c>
      <c r="W769" s="28"/>
      <c r="X769" s="34" t="str">
        <f aca="false">IF(W769="","",IFERROR(VLOOKUP(W769,REPS!$A$2:$D$40,3,0),""))</f>
        <v/>
      </c>
      <c r="Y769" s="31" t="str">
        <f aca="false">IF(O769="","",IF(X769="",0,O769*IF(X769&gt;1,X769/100,X769)))</f>
        <v/>
      </c>
      <c r="Z769" s="28"/>
      <c r="AA769" s="34" t="str">
        <f aca="false">IF(Z769="","",IFERROR(VLOOKUP(Z769,REPS!$A$2:$D$40,4,0),""))</f>
        <v/>
      </c>
      <c r="AB769" s="31" t="str">
        <f aca="false">IF(O769="","",IF(AA769="",0,O769*IF(AA769&gt;1,AA769/100,AA769)))</f>
        <v/>
      </c>
      <c r="AC769" s="31" t="str">
        <f aca="false">IF(O769="","",V769+Y769+AB769)</f>
        <v/>
      </c>
      <c r="AD769" s="19" t="str">
        <f aca="false">IF(O769="","",O769-R769-AC769)</f>
        <v/>
      </c>
      <c r="AE769" s="20"/>
      <c r="AF769" s="27"/>
      <c r="AG769" s="21" t="n">
        <f aca="false">IF(OR(AE769="",AE769=0),0,AE769*IF(U769="",0,IF(U769&gt;1,U769/100,U769)))</f>
        <v>0</v>
      </c>
      <c r="AH769" s="21" t="n">
        <f aca="false">IF(OR(AE769="",AE769=0),0,AE769*IF(X769="",0,IF(X769&gt;1,X769/100,X769)))</f>
        <v>0</v>
      </c>
      <c r="AI769" s="21" t="n">
        <f aca="false">IF(OR(AE769="",AE769=0),0,AE769*IF(AA769="",0,IF(AA769&gt;1,AA769/100,AA769)))</f>
        <v>0</v>
      </c>
      <c r="AJ769" s="21" t="n">
        <f aca="false">AG769+AH769+AI769</f>
        <v>0</v>
      </c>
      <c r="AK769" s="21" t="n">
        <f aca="false">IF(OR(AE769="",AE769=0),0,AE769-AJ769)</f>
        <v>0</v>
      </c>
      <c r="AL769" s="19" t="str">
        <f aca="false">IF(AD769="","",AD769-AK769)</f>
        <v/>
      </c>
      <c r="AM769" s="26" t="str">
        <f aca="false">IF(C769="","","Waiting for payment")</f>
        <v/>
      </c>
      <c r="AN769" s="27"/>
      <c r="AO769" s="27"/>
      <c r="AP769" s="35" t="str">
        <f aca="false">IF(OR(C769="",I769="",K769=""),"",IF(K769="Monthly",EDATE(C769,ROUND(I769*SETTINGS!$I$8,0)),WORKDAY(C769,ROUND(I769*SETTINGS!$I$8,0))))</f>
        <v/>
      </c>
      <c r="AQ769" s="26" t="str">
        <f aca="true">IF(C769="","",IF(AND(AP769&lt;&gt;"",TODAY()&gt;=AP769),"Refi Ready",IF(TODAY()-C769&gt;=SETTINGS!$I$11,"Prospecting","Performing")))</f>
        <v/>
      </c>
      <c r="AR769" s="35" t="str">
        <f aca="false">IF(OR(C769="",I769="",K769=""),"",IF(K769="Monthly",EDATE(C769,I769),WORKDAY(C769,I769)))</f>
        <v/>
      </c>
      <c r="AS769" s="28"/>
      <c r="AT769" s="36" t="str">
        <f aca="true">IF(C769="","",IF(AM769="Clawed Back","CLAWED",IF(TODAY()&lt;=C769+SETTINGS!$I$2,"⚠ AT RISK","SAFE")))</f>
        <v/>
      </c>
      <c r="AU769" s="28"/>
      <c r="AW769" s="24" t="n">
        <f aca="false">AW768+IF(AND(C769&lt;&gt;"",AO769&lt;&gt;"",OR('REP COMMISSION'!$B$3="",T769='REP COMMISSION'!$B$3,W769='REP COMMISSION'!$B$3,Z769='REP COMMISSION'!$B$3)),1,0)</f>
        <v>0</v>
      </c>
      <c r="AX769" s="24" t="n">
        <f aca="false">AX768+IF(AND(C769&lt;&gt;"",OR(F769="LOC - INITIAL",F769="CONSOLIDATION - UPFRONT COMM",F769="REVERSE - TOTAL FUNDING")),1,0)</f>
        <v>0</v>
      </c>
    </row>
    <row r="770" customFormat="false" ht="15" hidden="false" customHeight="false" outlineLevel="0" collapsed="false">
      <c r="A770" s="8" t="str">
        <f aca="false">IF(C770&lt;&gt;"","F27-"&amp;COUNT($C$4:C770),"")</f>
        <v/>
      </c>
      <c r="B770" s="9" t="str">
        <f aca="false">IF(OR(F770="LOC - INITIAL",F770="CONSOLIDATION - UPFRONT COMM",F770="REVERSE - TOTAL FUNDING"),A770,"")</f>
        <v/>
      </c>
      <c r="C770" s="10"/>
      <c r="D770" s="11"/>
      <c r="E770" s="11"/>
      <c r="F770" s="11"/>
      <c r="G770" s="12"/>
      <c r="H770" s="13"/>
      <c r="I770" s="11"/>
      <c r="J770" s="14" t="str">
        <f aca="false">IF(AND(G770&lt;&gt;"",H770&lt;&gt;""),G770*H770,"")</f>
        <v/>
      </c>
      <c r="K770" s="11"/>
      <c r="L770" s="15"/>
      <c r="M770" s="15"/>
      <c r="N770" s="14" t="n">
        <f aca="false">IF(OR(G770="",M770=""),0,IF(M770&gt;100,M770,G770*IF(M770&gt;1,M770/100,M770)))</f>
        <v>0</v>
      </c>
      <c r="O770" s="14" t="str">
        <f aca="false">IF(G770="","",G770*IF(L770="",0,IF(L770&gt;1,L770/100,L770))+N770)</f>
        <v/>
      </c>
      <c r="P770" s="11"/>
      <c r="Q770" s="16" t="str">
        <f aca="false">IF(P770="","",IFERROR(VLOOKUP(P770,PARTNERS!$A$2:$B$30,2,0),""))</f>
        <v/>
      </c>
      <c r="R770" s="17" t="str">
        <f aca="false">IF(O770="","",IF(OR(P770="",Q770=""),0,(O770-N770)*IF(Q770&gt;1,Q770/100,Q770)))</f>
        <v/>
      </c>
      <c r="S770" s="14" t="str">
        <f aca="false">IF(O770="","",O770-R770)</f>
        <v/>
      </c>
      <c r="T770" s="11"/>
      <c r="U770" s="18" t="str">
        <f aca="false">IF(T770="","",IFERROR(VLOOKUP(T770,REPS!$A$2:$D$40,2,0),""))</f>
        <v/>
      </c>
      <c r="V770" s="14" t="str">
        <f aca="false">IF(O770="","",IF(U770="",0,O770*IF(U770&gt;1,U770/100,U770)))</f>
        <v/>
      </c>
      <c r="W770" s="11"/>
      <c r="X770" s="18" t="str">
        <f aca="false">IF(W770="","",IFERROR(VLOOKUP(W770,REPS!$A$2:$D$40,3,0),""))</f>
        <v/>
      </c>
      <c r="Y770" s="14" t="str">
        <f aca="false">IF(O770="","",IF(X770="",0,O770*IF(X770&gt;1,X770/100,X770)))</f>
        <v/>
      </c>
      <c r="Z770" s="11"/>
      <c r="AA770" s="18" t="str">
        <f aca="false">IF(Z770="","",IFERROR(VLOOKUP(Z770,REPS!$A$2:$D$40,4,0),""))</f>
        <v/>
      </c>
      <c r="AB770" s="14" t="str">
        <f aca="false">IF(O770="","",IF(AA770="",0,O770*IF(AA770&gt;1,AA770/100,AA770)))</f>
        <v/>
      </c>
      <c r="AC770" s="14" t="str">
        <f aca="false">IF(O770="","",V770+Y770+AB770)</f>
        <v/>
      </c>
      <c r="AD770" s="19" t="str">
        <f aca="false">IF(O770="","",O770-R770-AC770)</f>
        <v/>
      </c>
      <c r="AE770" s="20"/>
      <c r="AF770" s="10"/>
      <c r="AG770" s="21" t="n">
        <f aca="false">IF(OR(AE770="",AE770=0),0,AE770*IF(U770="",0,IF(U770&gt;1,U770/100,U770)))</f>
        <v>0</v>
      </c>
      <c r="AH770" s="21" t="n">
        <f aca="false">IF(OR(AE770="",AE770=0),0,AE770*IF(X770="",0,IF(X770&gt;1,X770/100,X770)))</f>
        <v>0</v>
      </c>
      <c r="AI770" s="21" t="n">
        <f aca="false">IF(OR(AE770="",AE770=0),0,AE770*IF(AA770="",0,IF(AA770&gt;1,AA770/100,AA770)))</f>
        <v>0</v>
      </c>
      <c r="AJ770" s="21" t="n">
        <f aca="false">AG770+AH770+AI770</f>
        <v>0</v>
      </c>
      <c r="AK770" s="21" t="n">
        <f aca="false">IF(OR(AE770="",AE770=0),0,AE770-AJ770)</f>
        <v>0</v>
      </c>
      <c r="AL770" s="19" t="str">
        <f aca="false">IF(AD770="","",AD770-AK770)</f>
        <v/>
      </c>
      <c r="AM770" s="9" t="str">
        <f aca="false">IF(C770="","","Waiting for payment")</f>
        <v/>
      </c>
      <c r="AN770" s="10"/>
      <c r="AO770" s="10"/>
      <c r="AP770" s="22" t="str">
        <f aca="false">IF(OR(C770="",I770="",K770=""),"",IF(K770="Monthly",EDATE(C770,ROUND(I770*SETTINGS!$I$8,0)),WORKDAY(C770,ROUND(I770*SETTINGS!$I$8,0))))</f>
        <v/>
      </c>
      <c r="AQ770" s="9" t="str">
        <f aca="true">IF(C770="","",IF(AND(AP770&lt;&gt;"",TODAY()&gt;=AP770),"Refi Ready",IF(TODAY()-C770&gt;=SETTINGS!$I$11,"Prospecting","Performing")))</f>
        <v/>
      </c>
      <c r="AR770" s="22" t="str">
        <f aca="false">IF(OR(C770="",I770="",K770=""),"",IF(K770="Monthly",EDATE(C770,I770),WORKDAY(C770,I770)))</f>
        <v/>
      </c>
      <c r="AS770" s="11"/>
      <c r="AT770" s="23" t="str">
        <f aca="true">IF(C770="","",IF(AM770="Clawed Back","CLAWED",IF(TODAY()&lt;=C770+SETTINGS!$I$2,"⚠ AT RISK","SAFE")))</f>
        <v/>
      </c>
      <c r="AU770" s="11"/>
      <c r="AW770" s="24" t="n">
        <f aca="false">AW769+IF(AND(C770&lt;&gt;"",AO770&lt;&gt;"",OR('REP COMMISSION'!$B$3="",T770='REP COMMISSION'!$B$3,W770='REP COMMISSION'!$B$3,Z770='REP COMMISSION'!$B$3)),1,0)</f>
        <v>0</v>
      </c>
      <c r="AX770" s="24" t="n">
        <f aca="false">AX769+IF(AND(C770&lt;&gt;"",OR(F770="LOC - INITIAL",F770="CONSOLIDATION - UPFRONT COMM",F770="REVERSE - TOTAL FUNDING")),1,0)</f>
        <v>0</v>
      </c>
    </row>
    <row r="771" customFormat="false" ht="15" hidden="false" customHeight="false" outlineLevel="0" collapsed="false">
      <c r="A771" s="25" t="str">
        <f aca="false">IF(C771&lt;&gt;"","F27-"&amp;COUNT($C$4:C771),"")</f>
        <v/>
      </c>
      <c r="B771" s="26" t="str">
        <f aca="false">IF(OR(F771="LOC - INITIAL",F771="CONSOLIDATION - UPFRONT COMM",F771="REVERSE - TOTAL FUNDING"),A771,"")</f>
        <v/>
      </c>
      <c r="C771" s="27"/>
      <c r="D771" s="28"/>
      <c r="E771" s="28"/>
      <c r="F771" s="28"/>
      <c r="G771" s="29"/>
      <c r="H771" s="30"/>
      <c r="I771" s="28"/>
      <c r="J771" s="31" t="str">
        <f aca="false">IF(AND(G771&lt;&gt;"",H771&lt;&gt;""),G771*H771,"")</f>
        <v/>
      </c>
      <c r="K771" s="28"/>
      <c r="L771" s="32"/>
      <c r="M771" s="32"/>
      <c r="N771" s="31" t="n">
        <f aca="false">IF(OR(G771="",M771=""),0,IF(M771&gt;100,M771,G771*IF(M771&gt;1,M771/100,M771)))</f>
        <v>0</v>
      </c>
      <c r="O771" s="31" t="str">
        <f aca="false">IF(G771="","",G771*IF(L771="",0,IF(L771&gt;1,L771/100,L771))+N771)</f>
        <v/>
      </c>
      <c r="P771" s="28"/>
      <c r="Q771" s="33" t="str">
        <f aca="false">IF(P771="","",IFERROR(VLOOKUP(P771,PARTNERS!$A$2:$B$30,2,0),""))</f>
        <v/>
      </c>
      <c r="R771" s="17" t="str">
        <f aca="false">IF(O771="","",IF(OR(P771="",Q771=""),0,(O771-N771)*IF(Q771&gt;1,Q771/100,Q771)))</f>
        <v/>
      </c>
      <c r="S771" s="31" t="str">
        <f aca="false">IF(O771="","",O771-R771)</f>
        <v/>
      </c>
      <c r="T771" s="28"/>
      <c r="U771" s="34" t="str">
        <f aca="false">IF(T771="","",IFERROR(VLOOKUP(T771,REPS!$A$2:$D$40,2,0),""))</f>
        <v/>
      </c>
      <c r="V771" s="31" t="str">
        <f aca="false">IF(O771="","",IF(U771="",0,O771*IF(U771&gt;1,U771/100,U771)))</f>
        <v/>
      </c>
      <c r="W771" s="28"/>
      <c r="X771" s="34" t="str">
        <f aca="false">IF(W771="","",IFERROR(VLOOKUP(W771,REPS!$A$2:$D$40,3,0),""))</f>
        <v/>
      </c>
      <c r="Y771" s="31" t="str">
        <f aca="false">IF(O771="","",IF(X771="",0,O771*IF(X771&gt;1,X771/100,X771)))</f>
        <v/>
      </c>
      <c r="Z771" s="28"/>
      <c r="AA771" s="34" t="str">
        <f aca="false">IF(Z771="","",IFERROR(VLOOKUP(Z771,REPS!$A$2:$D$40,4,0),""))</f>
        <v/>
      </c>
      <c r="AB771" s="31" t="str">
        <f aca="false">IF(O771="","",IF(AA771="",0,O771*IF(AA771&gt;1,AA771/100,AA771)))</f>
        <v/>
      </c>
      <c r="AC771" s="31" t="str">
        <f aca="false">IF(O771="","",V771+Y771+AB771)</f>
        <v/>
      </c>
      <c r="AD771" s="19" t="str">
        <f aca="false">IF(O771="","",O771-R771-AC771)</f>
        <v/>
      </c>
      <c r="AE771" s="20"/>
      <c r="AF771" s="27"/>
      <c r="AG771" s="21" t="n">
        <f aca="false">IF(OR(AE771="",AE771=0),0,AE771*IF(U771="",0,IF(U771&gt;1,U771/100,U771)))</f>
        <v>0</v>
      </c>
      <c r="AH771" s="21" t="n">
        <f aca="false">IF(OR(AE771="",AE771=0),0,AE771*IF(X771="",0,IF(X771&gt;1,X771/100,X771)))</f>
        <v>0</v>
      </c>
      <c r="AI771" s="21" t="n">
        <f aca="false">IF(OR(AE771="",AE771=0),0,AE771*IF(AA771="",0,IF(AA771&gt;1,AA771/100,AA771)))</f>
        <v>0</v>
      </c>
      <c r="AJ771" s="21" t="n">
        <f aca="false">AG771+AH771+AI771</f>
        <v>0</v>
      </c>
      <c r="AK771" s="21" t="n">
        <f aca="false">IF(OR(AE771="",AE771=0),0,AE771-AJ771)</f>
        <v>0</v>
      </c>
      <c r="AL771" s="19" t="str">
        <f aca="false">IF(AD771="","",AD771-AK771)</f>
        <v/>
      </c>
      <c r="AM771" s="26" t="str">
        <f aca="false">IF(C771="","","Waiting for payment")</f>
        <v/>
      </c>
      <c r="AN771" s="27"/>
      <c r="AO771" s="27"/>
      <c r="AP771" s="35" t="str">
        <f aca="false">IF(OR(C771="",I771="",K771=""),"",IF(K771="Monthly",EDATE(C771,ROUND(I771*SETTINGS!$I$8,0)),WORKDAY(C771,ROUND(I771*SETTINGS!$I$8,0))))</f>
        <v/>
      </c>
      <c r="AQ771" s="26" t="str">
        <f aca="true">IF(C771="","",IF(AND(AP771&lt;&gt;"",TODAY()&gt;=AP771),"Refi Ready",IF(TODAY()-C771&gt;=SETTINGS!$I$11,"Prospecting","Performing")))</f>
        <v/>
      </c>
      <c r="AR771" s="35" t="str">
        <f aca="false">IF(OR(C771="",I771="",K771=""),"",IF(K771="Monthly",EDATE(C771,I771),WORKDAY(C771,I771)))</f>
        <v/>
      </c>
      <c r="AS771" s="28"/>
      <c r="AT771" s="36" t="str">
        <f aca="true">IF(C771="","",IF(AM771="Clawed Back","CLAWED",IF(TODAY()&lt;=C771+SETTINGS!$I$2,"⚠ AT RISK","SAFE")))</f>
        <v/>
      </c>
      <c r="AU771" s="28"/>
      <c r="AW771" s="24" t="n">
        <f aca="false">AW770+IF(AND(C771&lt;&gt;"",AO771&lt;&gt;"",OR('REP COMMISSION'!$B$3="",T771='REP COMMISSION'!$B$3,W771='REP COMMISSION'!$B$3,Z771='REP COMMISSION'!$B$3)),1,0)</f>
        <v>0</v>
      </c>
      <c r="AX771" s="24" t="n">
        <f aca="false">AX770+IF(AND(C771&lt;&gt;"",OR(F771="LOC - INITIAL",F771="CONSOLIDATION - UPFRONT COMM",F771="REVERSE - TOTAL FUNDING")),1,0)</f>
        <v>0</v>
      </c>
    </row>
    <row r="772" customFormat="false" ht="15" hidden="false" customHeight="false" outlineLevel="0" collapsed="false">
      <c r="A772" s="8" t="str">
        <f aca="false">IF(C772&lt;&gt;"","F27-"&amp;COUNT($C$4:C772),"")</f>
        <v/>
      </c>
      <c r="B772" s="9" t="str">
        <f aca="false">IF(OR(F772="LOC - INITIAL",F772="CONSOLIDATION - UPFRONT COMM",F772="REVERSE - TOTAL FUNDING"),A772,"")</f>
        <v/>
      </c>
      <c r="C772" s="10"/>
      <c r="D772" s="11"/>
      <c r="E772" s="11"/>
      <c r="F772" s="11"/>
      <c r="G772" s="12"/>
      <c r="H772" s="13"/>
      <c r="I772" s="11"/>
      <c r="J772" s="14" t="str">
        <f aca="false">IF(AND(G772&lt;&gt;"",H772&lt;&gt;""),G772*H772,"")</f>
        <v/>
      </c>
      <c r="K772" s="11"/>
      <c r="L772" s="15"/>
      <c r="M772" s="15"/>
      <c r="N772" s="14" t="n">
        <f aca="false">IF(OR(G772="",M772=""),0,IF(M772&gt;100,M772,G772*IF(M772&gt;1,M772/100,M772)))</f>
        <v>0</v>
      </c>
      <c r="O772" s="14" t="str">
        <f aca="false">IF(G772="","",G772*IF(L772="",0,IF(L772&gt;1,L772/100,L772))+N772)</f>
        <v/>
      </c>
      <c r="P772" s="11"/>
      <c r="Q772" s="16" t="str">
        <f aca="false">IF(P772="","",IFERROR(VLOOKUP(P772,PARTNERS!$A$2:$B$30,2,0),""))</f>
        <v/>
      </c>
      <c r="R772" s="17" t="str">
        <f aca="false">IF(O772="","",IF(OR(P772="",Q772=""),0,(O772-N772)*IF(Q772&gt;1,Q772/100,Q772)))</f>
        <v/>
      </c>
      <c r="S772" s="14" t="str">
        <f aca="false">IF(O772="","",O772-R772)</f>
        <v/>
      </c>
      <c r="T772" s="11"/>
      <c r="U772" s="18" t="str">
        <f aca="false">IF(T772="","",IFERROR(VLOOKUP(T772,REPS!$A$2:$D$40,2,0),""))</f>
        <v/>
      </c>
      <c r="V772" s="14" t="str">
        <f aca="false">IF(O772="","",IF(U772="",0,O772*IF(U772&gt;1,U772/100,U772)))</f>
        <v/>
      </c>
      <c r="W772" s="11"/>
      <c r="X772" s="18" t="str">
        <f aca="false">IF(W772="","",IFERROR(VLOOKUP(W772,REPS!$A$2:$D$40,3,0),""))</f>
        <v/>
      </c>
      <c r="Y772" s="14" t="str">
        <f aca="false">IF(O772="","",IF(X772="",0,O772*IF(X772&gt;1,X772/100,X772)))</f>
        <v/>
      </c>
      <c r="Z772" s="11"/>
      <c r="AA772" s="18" t="str">
        <f aca="false">IF(Z772="","",IFERROR(VLOOKUP(Z772,REPS!$A$2:$D$40,4,0),""))</f>
        <v/>
      </c>
      <c r="AB772" s="14" t="str">
        <f aca="false">IF(O772="","",IF(AA772="",0,O772*IF(AA772&gt;1,AA772/100,AA772)))</f>
        <v/>
      </c>
      <c r="AC772" s="14" t="str">
        <f aca="false">IF(O772="","",V772+Y772+AB772)</f>
        <v/>
      </c>
      <c r="AD772" s="19" t="str">
        <f aca="false">IF(O772="","",O772-R772-AC772)</f>
        <v/>
      </c>
      <c r="AE772" s="20"/>
      <c r="AF772" s="10"/>
      <c r="AG772" s="21" t="n">
        <f aca="false">IF(OR(AE772="",AE772=0),0,AE772*IF(U772="",0,IF(U772&gt;1,U772/100,U772)))</f>
        <v>0</v>
      </c>
      <c r="AH772" s="21" t="n">
        <f aca="false">IF(OR(AE772="",AE772=0),0,AE772*IF(X772="",0,IF(X772&gt;1,X772/100,X772)))</f>
        <v>0</v>
      </c>
      <c r="AI772" s="21" t="n">
        <f aca="false">IF(OR(AE772="",AE772=0),0,AE772*IF(AA772="",0,IF(AA772&gt;1,AA772/100,AA772)))</f>
        <v>0</v>
      </c>
      <c r="AJ772" s="21" t="n">
        <f aca="false">AG772+AH772+AI772</f>
        <v>0</v>
      </c>
      <c r="AK772" s="21" t="n">
        <f aca="false">IF(OR(AE772="",AE772=0),0,AE772-AJ772)</f>
        <v>0</v>
      </c>
      <c r="AL772" s="19" t="str">
        <f aca="false">IF(AD772="","",AD772-AK772)</f>
        <v/>
      </c>
      <c r="AM772" s="9" t="str">
        <f aca="false">IF(C772="","","Waiting for payment")</f>
        <v/>
      </c>
      <c r="AN772" s="10"/>
      <c r="AO772" s="10"/>
      <c r="AP772" s="22" t="str">
        <f aca="false">IF(OR(C772="",I772="",K772=""),"",IF(K772="Monthly",EDATE(C772,ROUND(I772*SETTINGS!$I$8,0)),WORKDAY(C772,ROUND(I772*SETTINGS!$I$8,0))))</f>
        <v/>
      </c>
      <c r="AQ772" s="9" t="str">
        <f aca="true">IF(C772="","",IF(AND(AP772&lt;&gt;"",TODAY()&gt;=AP772),"Refi Ready",IF(TODAY()-C772&gt;=SETTINGS!$I$11,"Prospecting","Performing")))</f>
        <v/>
      </c>
      <c r="AR772" s="22" t="str">
        <f aca="false">IF(OR(C772="",I772="",K772=""),"",IF(K772="Monthly",EDATE(C772,I772),WORKDAY(C772,I772)))</f>
        <v/>
      </c>
      <c r="AS772" s="11"/>
      <c r="AT772" s="23" t="str">
        <f aca="true">IF(C772="","",IF(AM772="Clawed Back","CLAWED",IF(TODAY()&lt;=C772+SETTINGS!$I$2,"⚠ AT RISK","SAFE")))</f>
        <v/>
      </c>
      <c r="AU772" s="11"/>
      <c r="AW772" s="24" t="n">
        <f aca="false">AW771+IF(AND(C772&lt;&gt;"",AO772&lt;&gt;"",OR('REP COMMISSION'!$B$3="",T772='REP COMMISSION'!$B$3,W772='REP COMMISSION'!$B$3,Z772='REP COMMISSION'!$B$3)),1,0)</f>
        <v>0</v>
      </c>
      <c r="AX772" s="24" t="n">
        <f aca="false">AX771+IF(AND(C772&lt;&gt;"",OR(F772="LOC - INITIAL",F772="CONSOLIDATION - UPFRONT COMM",F772="REVERSE - TOTAL FUNDING")),1,0)</f>
        <v>0</v>
      </c>
    </row>
    <row r="773" customFormat="false" ht="15" hidden="false" customHeight="false" outlineLevel="0" collapsed="false">
      <c r="A773" s="25" t="str">
        <f aca="false">IF(C773&lt;&gt;"","F27-"&amp;COUNT($C$4:C773),"")</f>
        <v/>
      </c>
      <c r="B773" s="26" t="str">
        <f aca="false">IF(OR(F773="LOC - INITIAL",F773="CONSOLIDATION - UPFRONT COMM",F773="REVERSE - TOTAL FUNDING"),A773,"")</f>
        <v/>
      </c>
      <c r="C773" s="27"/>
      <c r="D773" s="28"/>
      <c r="E773" s="28"/>
      <c r="F773" s="28"/>
      <c r="G773" s="29"/>
      <c r="H773" s="30"/>
      <c r="I773" s="28"/>
      <c r="J773" s="31" t="str">
        <f aca="false">IF(AND(G773&lt;&gt;"",H773&lt;&gt;""),G773*H773,"")</f>
        <v/>
      </c>
      <c r="K773" s="28"/>
      <c r="L773" s="32"/>
      <c r="M773" s="32"/>
      <c r="N773" s="31" t="n">
        <f aca="false">IF(OR(G773="",M773=""),0,IF(M773&gt;100,M773,G773*IF(M773&gt;1,M773/100,M773)))</f>
        <v>0</v>
      </c>
      <c r="O773" s="31" t="str">
        <f aca="false">IF(G773="","",G773*IF(L773="",0,IF(L773&gt;1,L773/100,L773))+N773)</f>
        <v/>
      </c>
      <c r="P773" s="28"/>
      <c r="Q773" s="33" t="str">
        <f aca="false">IF(P773="","",IFERROR(VLOOKUP(P773,PARTNERS!$A$2:$B$30,2,0),""))</f>
        <v/>
      </c>
      <c r="R773" s="17" t="str">
        <f aca="false">IF(O773="","",IF(OR(P773="",Q773=""),0,(O773-N773)*IF(Q773&gt;1,Q773/100,Q773)))</f>
        <v/>
      </c>
      <c r="S773" s="31" t="str">
        <f aca="false">IF(O773="","",O773-R773)</f>
        <v/>
      </c>
      <c r="T773" s="28"/>
      <c r="U773" s="34" t="str">
        <f aca="false">IF(T773="","",IFERROR(VLOOKUP(T773,REPS!$A$2:$D$40,2,0),""))</f>
        <v/>
      </c>
      <c r="V773" s="31" t="str">
        <f aca="false">IF(O773="","",IF(U773="",0,O773*IF(U773&gt;1,U773/100,U773)))</f>
        <v/>
      </c>
      <c r="W773" s="28"/>
      <c r="X773" s="34" t="str">
        <f aca="false">IF(W773="","",IFERROR(VLOOKUP(W773,REPS!$A$2:$D$40,3,0),""))</f>
        <v/>
      </c>
      <c r="Y773" s="31" t="str">
        <f aca="false">IF(O773="","",IF(X773="",0,O773*IF(X773&gt;1,X773/100,X773)))</f>
        <v/>
      </c>
      <c r="Z773" s="28"/>
      <c r="AA773" s="34" t="str">
        <f aca="false">IF(Z773="","",IFERROR(VLOOKUP(Z773,REPS!$A$2:$D$40,4,0),""))</f>
        <v/>
      </c>
      <c r="AB773" s="31" t="str">
        <f aca="false">IF(O773="","",IF(AA773="",0,O773*IF(AA773&gt;1,AA773/100,AA773)))</f>
        <v/>
      </c>
      <c r="AC773" s="31" t="str">
        <f aca="false">IF(O773="","",V773+Y773+AB773)</f>
        <v/>
      </c>
      <c r="AD773" s="19" t="str">
        <f aca="false">IF(O773="","",O773-R773-AC773)</f>
        <v/>
      </c>
      <c r="AE773" s="20"/>
      <c r="AF773" s="27"/>
      <c r="AG773" s="21" t="n">
        <f aca="false">IF(OR(AE773="",AE773=0),0,AE773*IF(U773="",0,IF(U773&gt;1,U773/100,U773)))</f>
        <v>0</v>
      </c>
      <c r="AH773" s="21" t="n">
        <f aca="false">IF(OR(AE773="",AE773=0),0,AE773*IF(X773="",0,IF(X773&gt;1,X773/100,X773)))</f>
        <v>0</v>
      </c>
      <c r="AI773" s="21" t="n">
        <f aca="false">IF(OR(AE773="",AE773=0),0,AE773*IF(AA773="",0,IF(AA773&gt;1,AA773/100,AA773)))</f>
        <v>0</v>
      </c>
      <c r="AJ773" s="21" t="n">
        <f aca="false">AG773+AH773+AI773</f>
        <v>0</v>
      </c>
      <c r="AK773" s="21" t="n">
        <f aca="false">IF(OR(AE773="",AE773=0),0,AE773-AJ773)</f>
        <v>0</v>
      </c>
      <c r="AL773" s="19" t="str">
        <f aca="false">IF(AD773="","",AD773-AK773)</f>
        <v/>
      </c>
      <c r="AM773" s="26" t="str">
        <f aca="false">IF(C773="","","Waiting for payment")</f>
        <v/>
      </c>
      <c r="AN773" s="27"/>
      <c r="AO773" s="27"/>
      <c r="AP773" s="35" t="str">
        <f aca="false">IF(OR(C773="",I773="",K773=""),"",IF(K773="Monthly",EDATE(C773,ROUND(I773*SETTINGS!$I$8,0)),WORKDAY(C773,ROUND(I773*SETTINGS!$I$8,0))))</f>
        <v/>
      </c>
      <c r="AQ773" s="26" t="str">
        <f aca="true">IF(C773="","",IF(AND(AP773&lt;&gt;"",TODAY()&gt;=AP773),"Refi Ready",IF(TODAY()-C773&gt;=SETTINGS!$I$11,"Prospecting","Performing")))</f>
        <v/>
      </c>
      <c r="AR773" s="35" t="str">
        <f aca="false">IF(OR(C773="",I773="",K773=""),"",IF(K773="Monthly",EDATE(C773,I773),WORKDAY(C773,I773)))</f>
        <v/>
      </c>
      <c r="AS773" s="28"/>
      <c r="AT773" s="36" t="str">
        <f aca="true">IF(C773="","",IF(AM773="Clawed Back","CLAWED",IF(TODAY()&lt;=C773+SETTINGS!$I$2,"⚠ AT RISK","SAFE")))</f>
        <v/>
      </c>
      <c r="AU773" s="28"/>
      <c r="AW773" s="24" t="n">
        <f aca="false">AW772+IF(AND(C773&lt;&gt;"",AO773&lt;&gt;"",OR('REP COMMISSION'!$B$3="",T773='REP COMMISSION'!$B$3,W773='REP COMMISSION'!$B$3,Z773='REP COMMISSION'!$B$3)),1,0)</f>
        <v>0</v>
      </c>
      <c r="AX773" s="24" t="n">
        <f aca="false">AX772+IF(AND(C773&lt;&gt;"",OR(F773="LOC - INITIAL",F773="CONSOLIDATION - UPFRONT COMM",F773="REVERSE - TOTAL FUNDING")),1,0)</f>
        <v>0</v>
      </c>
    </row>
    <row r="774" customFormat="false" ht="15" hidden="false" customHeight="false" outlineLevel="0" collapsed="false">
      <c r="A774" s="8" t="str">
        <f aca="false">IF(C774&lt;&gt;"","F27-"&amp;COUNT($C$4:C774),"")</f>
        <v/>
      </c>
      <c r="B774" s="9" t="str">
        <f aca="false">IF(OR(F774="LOC - INITIAL",F774="CONSOLIDATION - UPFRONT COMM",F774="REVERSE - TOTAL FUNDING"),A774,"")</f>
        <v/>
      </c>
      <c r="C774" s="10"/>
      <c r="D774" s="11"/>
      <c r="E774" s="11"/>
      <c r="F774" s="11"/>
      <c r="G774" s="12"/>
      <c r="H774" s="13"/>
      <c r="I774" s="11"/>
      <c r="J774" s="14" t="str">
        <f aca="false">IF(AND(G774&lt;&gt;"",H774&lt;&gt;""),G774*H774,"")</f>
        <v/>
      </c>
      <c r="K774" s="11"/>
      <c r="L774" s="15"/>
      <c r="M774" s="15"/>
      <c r="N774" s="14" t="n">
        <f aca="false">IF(OR(G774="",M774=""),0,IF(M774&gt;100,M774,G774*IF(M774&gt;1,M774/100,M774)))</f>
        <v>0</v>
      </c>
      <c r="O774" s="14" t="str">
        <f aca="false">IF(G774="","",G774*IF(L774="",0,IF(L774&gt;1,L774/100,L774))+N774)</f>
        <v/>
      </c>
      <c r="P774" s="11"/>
      <c r="Q774" s="16" t="str">
        <f aca="false">IF(P774="","",IFERROR(VLOOKUP(P774,PARTNERS!$A$2:$B$30,2,0),""))</f>
        <v/>
      </c>
      <c r="R774" s="17" t="str">
        <f aca="false">IF(O774="","",IF(OR(P774="",Q774=""),0,(O774-N774)*IF(Q774&gt;1,Q774/100,Q774)))</f>
        <v/>
      </c>
      <c r="S774" s="14" t="str">
        <f aca="false">IF(O774="","",O774-R774)</f>
        <v/>
      </c>
      <c r="T774" s="11"/>
      <c r="U774" s="18" t="str">
        <f aca="false">IF(T774="","",IFERROR(VLOOKUP(T774,REPS!$A$2:$D$40,2,0),""))</f>
        <v/>
      </c>
      <c r="V774" s="14" t="str">
        <f aca="false">IF(O774="","",IF(U774="",0,O774*IF(U774&gt;1,U774/100,U774)))</f>
        <v/>
      </c>
      <c r="W774" s="11"/>
      <c r="X774" s="18" t="str">
        <f aca="false">IF(W774="","",IFERROR(VLOOKUP(W774,REPS!$A$2:$D$40,3,0),""))</f>
        <v/>
      </c>
      <c r="Y774" s="14" t="str">
        <f aca="false">IF(O774="","",IF(X774="",0,O774*IF(X774&gt;1,X774/100,X774)))</f>
        <v/>
      </c>
      <c r="Z774" s="11"/>
      <c r="AA774" s="18" t="str">
        <f aca="false">IF(Z774="","",IFERROR(VLOOKUP(Z774,REPS!$A$2:$D$40,4,0),""))</f>
        <v/>
      </c>
      <c r="AB774" s="14" t="str">
        <f aca="false">IF(O774="","",IF(AA774="",0,O774*IF(AA774&gt;1,AA774/100,AA774)))</f>
        <v/>
      </c>
      <c r="AC774" s="14" t="str">
        <f aca="false">IF(O774="","",V774+Y774+AB774)</f>
        <v/>
      </c>
      <c r="AD774" s="19" t="str">
        <f aca="false">IF(O774="","",O774-R774-AC774)</f>
        <v/>
      </c>
      <c r="AE774" s="20"/>
      <c r="AF774" s="10"/>
      <c r="AG774" s="21" t="n">
        <f aca="false">IF(OR(AE774="",AE774=0),0,AE774*IF(U774="",0,IF(U774&gt;1,U774/100,U774)))</f>
        <v>0</v>
      </c>
      <c r="AH774" s="21" t="n">
        <f aca="false">IF(OR(AE774="",AE774=0),0,AE774*IF(X774="",0,IF(X774&gt;1,X774/100,X774)))</f>
        <v>0</v>
      </c>
      <c r="AI774" s="21" t="n">
        <f aca="false">IF(OR(AE774="",AE774=0),0,AE774*IF(AA774="",0,IF(AA774&gt;1,AA774/100,AA774)))</f>
        <v>0</v>
      </c>
      <c r="AJ774" s="21" t="n">
        <f aca="false">AG774+AH774+AI774</f>
        <v>0</v>
      </c>
      <c r="AK774" s="21" t="n">
        <f aca="false">IF(OR(AE774="",AE774=0),0,AE774-AJ774)</f>
        <v>0</v>
      </c>
      <c r="AL774" s="19" t="str">
        <f aca="false">IF(AD774="","",AD774-AK774)</f>
        <v/>
      </c>
      <c r="AM774" s="9" t="str">
        <f aca="false">IF(C774="","","Waiting for payment")</f>
        <v/>
      </c>
      <c r="AN774" s="10"/>
      <c r="AO774" s="10"/>
      <c r="AP774" s="22" t="str">
        <f aca="false">IF(OR(C774="",I774="",K774=""),"",IF(K774="Monthly",EDATE(C774,ROUND(I774*SETTINGS!$I$8,0)),WORKDAY(C774,ROUND(I774*SETTINGS!$I$8,0))))</f>
        <v/>
      </c>
      <c r="AQ774" s="9" t="str">
        <f aca="true">IF(C774="","",IF(AND(AP774&lt;&gt;"",TODAY()&gt;=AP774),"Refi Ready",IF(TODAY()-C774&gt;=SETTINGS!$I$11,"Prospecting","Performing")))</f>
        <v/>
      </c>
      <c r="AR774" s="22" t="str">
        <f aca="false">IF(OR(C774="",I774="",K774=""),"",IF(K774="Monthly",EDATE(C774,I774),WORKDAY(C774,I774)))</f>
        <v/>
      </c>
      <c r="AS774" s="11"/>
      <c r="AT774" s="23" t="str">
        <f aca="true">IF(C774="","",IF(AM774="Clawed Back","CLAWED",IF(TODAY()&lt;=C774+SETTINGS!$I$2,"⚠ AT RISK","SAFE")))</f>
        <v/>
      </c>
      <c r="AU774" s="11"/>
      <c r="AW774" s="24" t="n">
        <f aca="false">AW773+IF(AND(C774&lt;&gt;"",AO774&lt;&gt;"",OR('REP COMMISSION'!$B$3="",T774='REP COMMISSION'!$B$3,W774='REP COMMISSION'!$B$3,Z774='REP COMMISSION'!$B$3)),1,0)</f>
        <v>0</v>
      </c>
      <c r="AX774" s="24" t="n">
        <f aca="false">AX773+IF(AND(C774&lt;&gt;"",OR(F774="LOC - INITIAL",F774="CONSOLIDATION - UPFRONT COMM",F774="REVERSE - TOTAL FUNDING")),1,0)</f>
        <v>0</v>
      </c>
    </row>
    <row r="775" customFormat="false" ht="15" hidden="false" customHeight="false" outlineLevel="0" collapsed="false">
      <c r="A775" s="25" t="str">
        <f aca="false">IF(C775&lt;&gt;"","F27-"&amp;COUNT($C$4:C775),"")</f>
        <v/>
      </c>
      <c r="B775" s="26" t="str">
        <f aca="false">IF(OR(F775="LOC - INITIAL",F775="CONSOLIDATION - UPFRONT COMM",F775="REVERSE - TOTAL FUNDING"),A775,"")</f>
        <v/>
      </c>
      <c r="C775" s="27"/>
      <c r="D775" s="28"/>
      <c r="E775" s="28"/>
      <c r="F775" s="28"/>
      <c r="G775" s="29"/>
      <c r="H775" s="30"/>
      <c r="I775" s="28"/>
      <c r="J775" s="31" t="str">
        <f aca="false">IF(AND(G775&lt;&gt;"",H775&lt;&gt;""),G775*H775,"")</f>
        <v/>
      </c>
      <c r="K775" s="28"/>
      <c r="L775" s="32"/>
      <c r="M775" s="32"/>
      <c r="N775" s="31" t="n">
        <f aca="false">IF(OR(G775="",M775=""),0,IF(M775&gt;100,M775,G775*IF(M775&gt;1,M775/100,M775)))</f>
        <v>0</v>
      </c>
      <c r="O775" s="31" t="str">
        <f aca="false">IF(G775="","",G775*IF(L775="",0,IF(L775&gt;1,L775/100,L775))+N775)</f>
        <v/>
      </c>
      <c r="P775" s="28"/>
      <c r="Q775" s="33" t="str">
        <f aca="false">IF(P775="","",IFERROR(VLOOKUP(P775,PARTNERS!$A$2:$B$30,2,0),""))</f>
        <v/>
      </c>
      <c r="R775" s="17" t="str">
        <f aca="false">IF(O775="","",IF(OR(P775="",Q775=""),0,(O775-N775)*IF(Q775&gt;1,Q775/100,Q775)))</f>
        <v/>
      </c>
      <c r="S775" s="31" t="str">
        <f aca="false">IF(O775="","",O775-R775)</f>
        <v/>
      </c>
      <c r="T775" s="28"/>
      <c r="U775" s="34" t="str">
        <f aca="false">IF(T775="","",IFERROR(VLOOKUP(T775,REPS!$A$2:$D$40,2,0),""))</f>
        <v/>
      </c>
      <c r="V775" s="31" t="str">
        <f aca="false">IF(O775="","",IF(U775="",0,O775*IF(U775&gt;1,U775/100,U775)))</f>
        <v/>
      </c>
      <c r="W775" s="28"/>
      <c r="X775" s="34" t="str">
        <f aca="false">IF(W775="","",IFERROR(VLOOKUP(W775,REPS!$A$2:$D$40,3,0),""))</f>
        <v/>
      </c>
      <c r="Y775" s="31" t="str">
        <f aca="false">IF(O775="","",IF(X775="",0,O775*IF(X775&gt;1,X775/100,X775)))</f>
        <v/>
      </c>
      <c r="Z775" s="28"/>
      <c r="AA775" s="34" t="str">
        <f aca="false">IF(Z775="","",IFERROR(VLOOKUP(Z775,REPS!$A$2:$D$40,4,0),""))</f>
        <v/>
      </c>
      <c r="AB775" s="31" t="str">
        <f aca="false">IF(O775="","",IF(AA775="",0,O775*IF(AA775&gt;1,AA775/100,AA775)))</f>
        <v/>
      </c>
      <c r="AC775" s="31" t="str">
        <f aca="false">IF(O775="","",V775+Y775+AB775)</f>
        <v/>
      </c>
      <c r="AD775" s="19" t="str">
        <f aca="false">IF(O775="","",O775-R775-AC775)</f>
        <v/>
      </c>
      <c r="AE775" s="20"/>
      <c r="AF775" s="27"/>
      <c r="AG775" s="21" t="n">
        <f aca="false">IF(OR(AE775="",AE775=0),0,AE775*IF(U775="",0,IF(U775&gt;1,U775/100,U775)))</f>
        <v>0</v>
      </c>
      <c r="AH775" s="21" t="n">
        <f aca="false">IF(OR(AE775="",AE775=0),0,AE775*IF(X775="",0,IF(X775&gt;1,X775/100,X775)))</f>
        <v>0</v>
      </c>
      <c r="AI775" s="21" t="n">
        <f aca="false">IF(OR(AE775="",AE775=0),0,AE775*IF(AA775="",0,IF(AA775&gt;1,AA775/100,AA775)))</f>
        <v>0</v>
      </c>
      <c r="AJ775" s="21" t="n">
        <f aca="false">AG775+AH775+AI775</f>
        <v>0</v>
      </c>
      <c r="AK775" s="21" t="n">
        <f aca="false">IF(OR(AE775="",AE775=0),0,AE775-AJ775)</f>
        <v>0</v>
      </c>
      <c r="AL775" s="19" t="str">
        <f aca="false">IF(AD775="","",AD775-AK775)</f>
        <v/>
      </c>
      <c r="AM775" s="26" t="str">
        <f aca="false">IF(C775="","","Waiting for payment")</f>
        <v/>
      </c>
      <c r="AN775" s="27"/>
      <c r="AO775" s="27"/>
      <c r="AP775" s="35" t="str">
        <f aca="false">IF(OR(C775="",I775="",K775=""),"",IF(K775="Monthly",EDATE(C775,ROUND(I775*SETTINGS!$I$8,0)),WORKDAY(C775,ROUND(I775*SETTINGS!$I$8,0))))</f>
        <v/>
      </c>
      <c r="AQ775" s="26" t="str">
        <f aca="true">IF(C775="","",IF(AND(AP775&lt;&gt;"",TODAY()&gt;=AP775),"Refi Ready",IF(TODAY()-C775&gt;=SETTINGS!$I$11,"Prospecting","Performing")))</f>
        <v/>
      </c>
      <c r="AR775" s="35" t="str">
        <f aca="false">IF(OR(C775="",I775="",K775=""),"",IF(K775="Monthly",EDATE(C775,I775),WORKDAY(C775,I775)))</f>
        <v/>
      </c>
      <c r="AS775" s="28"/>
      <c r="AT775" s="36" t="str">
        <f aca="true">IF(C775="","",IF(AM775="Clawed Back","CLAWED",IF(TODAY()&lt;=C775+SETTINGS!$I$2,"⚠ AT RISK","SAFE")))</f>
        <v/>
      </c>
      <c r="AU775" s="28"/>
      <c r="AW775" s="24" t="n">
        <f aca="false">AW774+IF(AND(C775&lt;&gt;"",AO775&lt;&gt;"",OR('REP COMMISSION'!$B$3="",T775='REP COMMISSION'!$B$3,W775='REP COMMISSION'!$B$3,Z775='REP COMMISSION'!$B$3)),1,0)</f>
        <v>0</v>
      </c>
      <c r="AX775" s="24" t="n">
        <f aca="false">AX774+IF(AND(C775&lt;&gt;"",OR(F775="LOC - INITIAL",F775="CONSOLIDATION - UPFRONT COMM",F775="REVERSE - TOTAL FUNDING")),1,0)</f>
        <v>0</v>
      </c>
    </row>
    <row r="776" customFormat="false" ht="15" hidden="false" customHeight="false" outlineLevel="0" collapsed="false">
      <c r="A776" s="8" t="str">
        <f aca="false">IF(C776&lt;&gt;"","F27-"&amp;COUNT($C$4:C776),"")</f>
        <v/>
      </c>
      <c r="B776" s="9" t="str">
        <f aca="false">IF(OR(F776="LOC - INITIAL",F776="CONSOLIDATION - UPFRONT COMM",F776="REVERSE - TOTAL FUNDING"),A776,"")</f>
        <v/>
      </c>
      <c r="C776" s="10"/>
      <c r="D776" s="11"/>
      <c r="E776" s="11"/>
      <c r="F776" s="11"/>
      <c r="G776" s="12"/>
      <c r="H776" s="13"/>
      <c r="I776" s="11"/>
      <c r="J776" s="14" t="str">
        <f aca="false">IF(AND(G776&lt;&gt;"",H776&lt;&gt;""),G776*H776,"")</f>
        <v/>
      </c>
      <c r="K776" s="11"/>
      <c r="L776" s="15"/>
      <c r="M776" s="15"/>
      <c r="N776" s="14" t="n">
        <f aca="false">IF(OR(G776="",M776=""),0,IF(M776&gt;100,M776,G776*IF(M776&gt;1,M776/100,M776)))</f>
        <v>0</v>
      </c>
      <c r="O776" s="14" t="str">
        <f aca="false">IF(G776="","",G776*IF(L776="",0,IF(L776&gt;1,L776/100,L776))+N776)</f>
        <v/>
      </c>
      <c r="P776" s="11"/>
      <c r="Q776" s="16" t="str">
        <f aca="false">IF(P776="","",IFERROR(VLOOKUP(P776,PARTNERS!$A$2:$B$30,2,0),""))</f>
        <v/>
      </c>
      <c r="R776" s="17" t="str">
        <f aca="false">IF(O776="","",IF(OR(P776="",Q776=""),0,(O776-N776)*IF(Q776&gt;1,Q776/100,Q776)))</f>
        <v/>
      </c>
      <c r="S776" s="14" t="str">
        <f aca="false">IF(O776="","",O776-R776)</f>
        <v/>
      </c>
      <c r="T776" s="11"/>
      <c r="U776" s="18" t="str">
        <f aca="false">IF(T776="","",IFERROR(VLOOKUP(T776,REPS!$A$2:$D$40,2,0),""))</f>
        <v/>
      </c>
      <c r="V776" s="14" t="str">
        <f aca="false">IF(O776="","",IF(U776="",0,O776*IF(U776&gt;1,U776/100,U776)))</f>
        <v/>
      </c>
      <c r="W776" s="11"/>
      <c r="X776" s="18" t="str">
        <f aca="false">IF(W776="","",IFERROR(VLOOKUP(W776,REPS!$A$2:$D$40,3,0),""))</f>
        <v/>
      </c>
      <c r="Y776" s="14" t="str">
        <f aca="false">IF(O776="","",IF(X776="",0,O776*IF(X776&gt;1,X776/100,X776)))</f>
        <v/>
      </c>
      <c r="Z776" s="11"/>
      <c r="AA776" s="18" t="str">
        <f aca="false">IF(Z776="","",IFERROR(VLOOKUP(Z776,REPS!$A$2:$D$40,4,0),""))</f>
        <v/>
      </c>
      <c r="AB776" s="14" t="str">
        <f aca="false">IF(O776="","",IF(AA776="",0,O776*IF(AA776&gt;1,AA776/100,AA776)))</f>
        <v/>
      </c>
      <c r="AC776" s="14" t="str">
        <f aca="false">IF(O776="","",V776+Y776+AB776)</f>
        <v/>
      </c>
      <c r="AD776" s="19" t="str">
        <f aca="false">IF(O776="","",O776-R776-AC776)</f>
        <v/>
      </c>
      <c r="AE776" s="20"/>
      <c r="AF776" s="10"/>
      <c r="AG776" s="21" t="n">
        <f aca="false">IF(OR(AE776="",AE776=0),0,AE776*IF(U776="",0,IF(U776&gt;1,U776/100,U776)))</f>
        <v>0</v>
      </c>
      <c r="AH776" s="21" t="n">
        <f aca="false">IF(OR(AE776="",AE776=0),0,AE776*IF(X776="",0,IF(X776&gt;1,X776/100,X776)))</f>
        <v>0</v>
      </c>
      <c r="AI776" s="21" t="n">
        <f aca="false">IF(OR(AE776="",AE776=0),0,AE776*IF(AA776="",0,IF(AA776&gt;1,AA776/100,AA776)))</f>
        <v>0</v>
      </c>
      <c r="AJ776" s="21" t="n">
        <f aca="false">AG776+AH776+AI776</f>
        <v>0</v>
      </c>
      <c r="AK776" s="21" t="n">
        <f aca="false">IF(OR(AE776="",AE776=0),0,AE776-AJ776)</f>
        <v>0</v>
      </c>
      <c r="AL776" s="19" t="str">
        <f aca="false">IF(AD776="","",AD776-AK776)</f>
        <v/>
      </c>
      <c r="AM776" s="9" t="str">
        <f aca="false">IF(C776="","","Waiting for payment")</f>
        <v/>
      </c>
      <c r="AN776" s="10"/>
      <c r="AO776" s="10"/>
      <c r="AP776" s="22" t="str">
        <f aca="false">IF(OR(C776="",I776="",K776=""),"",IF(K776="Monthly",EDATE(C776,ROUND(I776*SETTINGS!$I$8,0)),WORKDAY(C776,ROUND(I776*SETTINGS!$I$8,0))))</f>
        <v/>
      </c>
      <c r="AQ776" s="9" t="str">
        <f aca="true">IF(C776="","",IF(AND(AP776&lt;&gt;"",TODAY()&gt;=AP776),"Refi Ready",IF(TODAY()-C776&gt;=SETTINGS!$I$11,"Prospecting","Performing")))</f>
        <v/>
      </c>
      <c r="AR776" s="22" t="str">
        <f aca="false">IF(OR(C776="",I776="",K776=""),"",IF(K776="Monthly",EDATE(C776,I776),WORKDAY(C776,I776)))</f>
        <v/>
      </c>
      <c r="AS776" s="11"/>
      <c r="AT776" s="23" t="str">
        <f aca="true">IF(C776="","",IF(AM776="Clawed Back","CLAWED",IF(TODAY()&lt;=C776+SETTINGS!$I$2,"⚠ AT RISK","SAFE")))</f>
        <v/>
      </c>
      <c r="AU776" s="11"/>
      <c r="AW776" s="24" t="n">
        <f aca="false">AW775+IF(AND(C776&lt;&gt;"",AO776&lt;&gt;"",OR('REP COMMISSION'!$B$3="",T776='REP COMMISSION'!$B$3,W776='REP COMMISSION'!$B$3,Z776='REP COMMISSION'!$B$3)),1,0)</f>
        <v>0</v>
      </c>
      <c r="AX776" s="24" t="n">
        <f aca="false">AX775+IF(AND(C776&lt;&gt;"",OR(F776="LOC - INITIAL",F776="CONSOLIDATION - UPFRONT COMM",F776="REVERSE - TOTAL FUNDING")),1,0)</f>
        <v>0</v>
      </c>
    </row>
    <row r="777" customFormat="false" ht="15" hidden="false" customHeight="false" outlineLevel="0" collapsed="false">
      <c r="A777" s="25" t="str">
        <f aca="false">IF(C777&lt;&gt;"","F27-"&amp;COUNT($C$4:C777),"")</f>
        <v/>
      </c>
      <c r="B777" s="26" t="str">
        <f aca="false">IF(OR(F777="LOC - INITIAL",F777="CONSOLIDATION - UPFRONT COMM",F777="REVERSE - TOTAL FUNDING"),A777,"")</f>
        <v/>
      </c>
      <c r="C777" s="27"/>
      <c r="D777" s="28"/>
      <c r="E777" s="28"/>
      <c r="F777" s="28"/>
      <c r="G777" s="29"/>
      <c r="H777" s="30"/>
      <c r="I777" s="28"/>
      <c r="J777" s="31" t="str">
        <f aca="false">IF(AND(G777&lt;&gt;"",H777&lt;&gt;""),G777*H777,"")</f>
        <v/>
      </c>
      <c r="K777" s="28"/>
      <c r="L777" s="32"/>
      <c r="M777" s="32"/>
      <c r="N777" s="31" t="n">
        <f aca="false">IF(OR(G777="",M777=""),0,IF(M777&gt;100,M777,G777*IF(M777&gt;1,M777/100,M777)))</f>
        <v>0</v>
      </c>
      <c r="O777" s="31" t="str">
        <f aca="false">IF(G777="","",G777*IF(L777="",0,IF(L777&gt;1,L777/100,L777))+N777)</f>
        <v/>
      </c>
      <c r="P777" s="28"/>
      <c r="Q777" s="33" t="str">
        <f aca="false">IF(P777="","",IFERROR(VLOOKUP(P777,PARTNERS!$A$2:$B$30,2,0),""))</f>
        <v/>
      </c>
      <c r="R777" s="17" t="str">
        <f aca="false">IF(O777="","",IF(OR(P777="",Q777=""),0,(O777-N777)*IF(Q777&gt;1,Q777/100,Q777)))</f>
        <v/>
      </c>
      <c r="S777" s="31" t="str">
        <f aca="false">IF(O777="","",O777-R777)</f>
        <v/>
      </c>
      <c r="T777" s="28"/>
      <c r="U777" s="34" t="str">
        <f aca="false">IF(T777="","",IFERROR(VLOOKUP(T777,REPS!$A$2:$D$40,2,0),""))</f>
        <v/>
      </c>
      <c r="V777" s="31" t="str">
        <f aca="false">IF(O777="","",IF(U777="",0,O777*IF(U777&gt;1,U777/100,U777)))</f>
        <v/>
      </c>
      <c r="W777" s="28"/>
      <c r="X777" s="34" t="str">
        <f aca="false">IF(W777="","",IFERROR(VLOOKUP(W777,REPS!$A$2:$D$40,3,0),""))</f>
        <v/>
      </c>
      <c r="Y777" s="31" t="str">
        <f aca="false">IF(O777="","",IF(X777="",0,O777*IF(X777&gt;1,X777/100,X777)))</f>
        <v/>
      </c>
      <c r="Z777" s="28"/>
      <c r="AA777" s="34" t="str">
        <f aca="false">IF(Z777="","",IFERROR(VLOOKUP(Z777,REPS!$A$2:$D$40,4,0),""))</f>
        <v/>
      </c>
      <c r="AB777" s="31" t="str">
        <f aca="false">IF(O777="","",IF(AA777="",0,O777*IF(AA777&gt;1,AA777/100,AA777)))</f>
        <v/>
      </c>
      <c r="AC777" s="31" t="str">
        <f aca="false">IF(O777="","",V777+Y777+AB777)</f>
        <v/>
      </c>
      <c r="AD777" s="19" t="str">
        <f aca="false">IF(O777="","",O777-R777-AC777)</f>
        <v/>
      </c>
      <c r="AE777" s="20"/>
      <c r="AF777" s="27"/>
      <c r="AG777" s="21" t="n">
        <f aca="false">IF(OR(AE777="",AE777=0),0,AE777*IF(U777="",0,IF(U777&gt;1,U777/100,U777)))</f>
        <v>0</v>
      </c>
      <c r="AH777" s="21" t="n">
        <f aca="false">IF(OR(AE777="",AE777=0),0,AE777*IF(X777="",0,IF(X777&gt;1,X777/100,X777)))</f>
        <v>0</v>
      </c>
      <c r="AI777" s="21" t="n">
        <f aca="false">IF(OR(AE777="",AE777=0),0,AE777*IF(AA777="",0,IF(AA777&gt;1,AA777/100,AA777)))</f>
        <v>0</v>
      </c>
      <c r="AJ777" s="21" t="n">
        <f aca="false">AG777+AH777+AI777</f>
        <v>0</v>
      </c>
      <c r="AK777" s="21" t="n">
        <f aca="false">IF(OR(AE777="",AE777=0),0,AE777-AJ777)</f>
        <v>0</v>
      </c>
      <c r="AL777" s="19" t="str">
        <f aca="false">IF(AD777="","",AD777-AK777)</f>
        <v/>
      </c>
      <c r="AM777" s="26" t="str">
        <f aca="false">IF(C777="","","Waiting for payment")</f>
        <v/>
      </c>
      <c r="AN777" s="27"/>
      <c r="AO777" s="27"/>
      <c r="AP777" s="35" t="str">
        <f aca="false">IF(OR(C777="",I777="",K777=""),"",IF(K777="Monthly",EDATE(C777,ROUND(I777*SETTINGS!$I$8,0)),WORKDAY(C777,ROUND(I777*SETTINGS!$I$8,0))))</f>
        <v/>
      </c>
      <c r="AQ777" s="26" t="str">
        <f aca="true">IF(C777="","",IF(AND(AP777&lt;&gt;"",TODAY()&gt;=AP777),"Refi Ready",IF(TODAY()-C777&gt;=SETTINGS!$I$11,"Prospecting","Performing")))</f>
        <v/>
      </c>
      <c r="AR777" s="35" t="str">
        <f aca="false">IF(OR(C777="",I777="",K777=""),"",IF(K777="Monthly",EDATE(C777,I777),WORKDAY(C777,I777)))</f>
        <v/>
      </c>
      <c r="AS777" s="28"/>
      <c r="AT777" s="36" t="str">
        <f aca="true">IF(C777="","",IF(AM777="Clawed Back","CLAWED",IF(TODAY()&lt;=C777+SETTINGS!$I$2,"⚠ AT RISK","SAFE")))</f>
        <v/>
      </c>
      <c r="AU777" s="28"/>
      <c r="AW777" s="24" t="n">
        <f aca="false">AW776+IF(AND(C777&lt;&gt;"",AO777&lt;&gt;"",OR('REP COMMISSION'!$B$3="",T777='REP COMMISSION'!$B$3,W777='REP COMMISSION'!$B$3,Z777='REP COMMISSION'!$B$3)),1,0)</f>
        <v>0</v>
      </c>
      <c r="AX777" s="24" t="n">
        <f aca="false">AX776+IF(AND(C777&lt;&gt;"",OR(F777="LOC - INITIAL",F777="CONSOLIDATION - UPFRONT COMM",F777="REVERSE - TOTAL FUNDING")),1,0)</f>
        <v>0</v>
      </c>
    </row>
    <row r="778" customFormat="false" ht="15" hidden="false" customHeight="false" outlineLevel="0" collapsed="false">
      <c r="A778" s="8" t="str">
        <f aca="false">IF(C778&lt;&gt;"","F27-"&amp;COUNT($C$4:C778),"")</f>
        <v/>
      </c>
      <c r="B778" s="9" t="str">
        <f aca="false">IF(OR(F778="LOC - INITIAL",F778="CONSOLIDATION - UPFRONT COMM",F778="REVERSE - TOTAL FUNDING"),A778,"")</f>
        <v/>
      </c>
      <c r="C778" s="10"/>
      <c r="D778" s="11"/>
      <c r="E778" s="11"/>
      <c r="F778" s="11"/>
      <c r="G778" s="12"/>
      <c r="H778" s="13"/>
      <c r="I778" s="11"/>
      <c r="J778" s="14" t="str">
        <f aca="false">IF(AND(G778&lt;&gt;"",H778&lt;&gt;""),G778*H778,"")</f>
        <v/>
      </c>
      <c r="K778" s="11"/>
      <c r="L778" s="15"/>
      <c r="M778" s="15"/>
      <c r="N778" s="14" t="n">
        <f aca="false">IF(OR(G778="",M778=""),0,IF(M778&gt;100,M778,G778*IF(M778&gt;1,M778/100,M778)))</f>
        <v>0</v>
      </c>
      <c r="O778" s="14" t="str">
        <f aca="false">IF(G778="","",G778*IF(L778="",0,IF(L778&gt;1,L778/100,L778))+N778)</f>
        <v/>
      </c>
      <c r="P778" s="11"/>
      <c r="Q778" s="16" t="str">
        <f aca="false">IF(P778="","",IFERROR(VLOOKUP(P778,PARTNERS!$A$2:$B$30,2,0),""))</f>
        <v/>
      </c>
      <c r="R778" s="17" t="str">
        <f aca="false">IF(O778="","",IF(OR(P778="",Q778=""),0,(O778-N778)*IF(Q778&gt;1,Q778/100,Q778)))</f>
        <v/>
      </c>
      <c r="S778" s="14" t="str">
        <f aca="false">IF(O778="","",O778-R778)</f>
        <v/>
      </c>
      <c r="T778" s="11"/>
      <c r="U778" s="18" t="str">
        <f aca="false">IF(T778="","",IFERROR(VLOOKUP(T778,REPS!$A$2:$D$40,2,0),""))</f>
        <v/>
      </c>
      <c r="V778" s="14" t="str">
        <f aca="false">IF(O778="","",IF(U778="",0,O778*IF(U778&gt;1,U778/100,U778)))</f>
        <v/>
      </c>
      <c r="W778" s="11"/>
      <c r="X778" s="18" t="str">
        <f aca="false">IF(W778="","",IFERROR(VLOOKUP(W778,REPS!$A$2:$D$40,3,0),""))</f>
        <v/>
      </c>
      <c r="Y778" s="14" t="str">
        <f aca="false">IF(O778="","",IF(X778="",0,O778*IF(X778&gt;1,X778/100,X778)))</f>
        <v/>
      </c>
      <c r="Z778" s="11"/>
      <c r="AA778" s="18" t="str">
        <f aca="false">IF(Z778="","",IFERROR(VLOOKUP(Z778,REPS!$A$2:$D$40,4,0),""))</f>
        <v/>
      </c>
      <c r="AB778" s="14" t="str">
        <f aca="false">IF(O778="","",IF(AA778="",0,O778*IF(AA778&gt;1,AA778/100,AA778)))</f>
        <v/>
      </c>
      <c r="AC778" s="14" t="str">
        <f aca="false">IF(O778="","",V778+Y778+AB778)</f>
        <v/>
      </c>
      <c r="AD778" s="19" t="str">
        <f aca="false">IF(O778="","",O778-R778-AC778)</f>
        <v/>
      </c>
      <c r="AE778" s="20"/>
      <c r="AF778" s="10"/>
      <c r="AG778" s="21" t="n">
        <f aca="false">IF(OR(AE778="",AE778=0),0,AE778*IF(U778="",0,IF(U778&gt;1,U778/100,U778)))</f>
        <v>0</v>
      </c>
      <c r="AH778" s="21" t="n">
        <f aca="false">IF(OR(AE778="",AE778=0),0,AE778*IF(X778="",0,IF(X778&gt;1,X778/100,X778)))</f>
        <v>0</v>
      </c>
      <c r="AI778" s="21" t="n">
        <f aca="false">IF(OR(AE778="",AE778=0),0,AE778*IF(AA778="",0,IF(AA778&gt;1,AA778/100,AA778)))</f>
        <v>0</v>
      </c>
      <c r="AJ778" s="21" t="n">
        <f aca="false">AG778+AH778+AI778</f>
        <v>0</v>
      </c>
      <c r="AK778" s="21" t="n">
        <f aca="false">IF(OR(AE778="",AE778=0),0,AE778-AJ778)</f>
        <v>0</v>
      </c>
      <c r="AL778" s="19" t="str">
        <f aca="false">IF(AD778="","",AD778-AK778)</f>
        <v/>
      </c>
      <c r="AM778" s="9" t="str">
        <f aca="false">IF(C778="","","Waiting for payment")</f>
        <v/>
      </c>
      <c r="AN778" s="10"/>
      <c r="AO778" s="10"/>
      <c r="AP778" s="22" t="str">
        <f aca="false">IF(OR(C778="",I778="",K778=""),"",IF(K778="Monthly",EDATE(C778,ROUND(I778*SETTINGS!$I$8,0)),WORKDAY(C778,ROUND(I778*SETTINGS!$I$8,0))))</f>
        <v/>
      </c>
      <c r="AQ778" s="9" t="str">
        <f aca="true">IF(C778="","",IF(AND(AP778&lt;&gt;"",TODAY()&gt;=AP778),"Refi Ready",IF(TODAY()-C778&gt;=SETTINGS!$I$11,"Prospecting","Performing")))</f>
        <v/>
      </c>
      <c r="AR778" s="22" t="str">
        <f aca="false">IF(OR(C778="",I778="",K778=""),"",IF(K778="Monthly",EDATE(C778,I778),WORKDAY(C778,I778)))</f>
        <v/>
      </c>
      <c r="AS778" s="11"/>
      <c r="AT778" s="23" t="str">
        <f aca="true">IF(C778="","",IF(AM778="Clawed Back","CLAWED",IF(TODAY()&lt;=C778+SETTINGS!$I$2,"⚠ AT RISK","SAFE")))</f>
        <v/>
      </c>
      <c r="AU778" s="11"/>
      <c r="AW778" s="24" t="n">
        <f aca="false">AW777+IF(AND(C778&lt;&gt;"",AO778&lt;&gt;"",OR('REP COMMISSION'!$B$3="",T778='REP COMMISSION'!$B$3,W778='REP COMMISSION'!$B$3,Z778='REP COMMISSION'!$B$3)),1,0)</f>
        <v>0</v>
      </c>
      <c r="AX778" s="24" t="n">
        <f aca="false">AX777+IF(AND(C778&lt;&gt;"",OR(F778="LOC - INITIAL",F778="CONSOLIDATION - UPFRONT COMM",F778="REVERSE - TOTAL FUNDING")),1,0)</f>
        <v>0</v>
      </c>
    </row>
    <row r="779" customFormat="false" ht="15" hidden="false" customHeight="false" outlineLevel="0" collapsed="false">
      <c r="A779" s="25" t="str">
        <f aca="false">IF(C779&lt;&gt;"","F27-"&amp;COUNT($C$4:C779),"")</f>
        <v/>
      </c>
      <c r="B779" s="26" t="str">
        <f aca="false">IF(OR(F779="LOC - INITIAL",F779="CONSOLIDATION - UPFRONT COMM",F779="REVERSE - TOTAL FUNDING"),A779,"")</f>
        <v/>
      </c>
      <c r="C779" s="27"/>
      <c r="D779" s="28"/>
      <c r="E779" s="28"/>
      <c r="F779" s="28"/>
      <c r="G779" s="29"/>
      <c r="H779" s="30"/>
      <c r="I779" s="28"/>
      <c r="J779" s="31" t="str">
        <f aca="false">IF(AND(G779&lt;&gt;"",H779&lt;&gt;""),G779*H779,"")</f>
        <v/>
      </c>
      <c r="K779" s="28"/>
      <c r="L779" s="32"/>
      <c r="M779" s="32"/>
      <c r="N779" s="31" t="n">
        <f aca="false">IF(OR(G779="",M779=""),0,IF(M779&gt;100,M779,G779*IF(M779&gt;1,M779/100,M779)))</f>
        <v>0</v>
      </c>
      <c r="O779" s="31" t="str">
        <f aca="false">IF(G779="","",G779*IF(L779="",0,IF(L779&gt;1,L779/100,L779))+N779)</f>
        <v/>
      </c>
      <c r="P779" s="28"/>
      <c r="Q779" s="33" t="str">
        <f aca="false">IF(P779="","",IFERROR(VLOOKUP(P779,PARTNERS!$A$2:$B$30,2,0),""))</f>
        <v/>
      </c>
      <c r="R779" s="17" t="str">
        <f aca="false">IF(O779="","",IF(OR(P779="",Q779=""),0,(O779-N779)*IF(Q779&gt;1,Q779/100,Q779)))</f>
        <v/>
      </c>
      <c r="S779" s="31" t="str">
        <f aca="false">IF(O779="","",O779-R779)</f>
        <v/>
      </c>
      <c r="T779" s="28"/>
      <c r="U779" s="34" t="str">
        <f aca="false">IF(T779="","",IFERROR(VLOOKUP(T779,REPS!$A$2:$D$40,2,0),""))</f>
        <v/>
      </c>
      <c r="V779" s="31" t="str">
        <f aca="false">IF(O779="","",IF(U779="",0,O779*IF(U779&gt;1,U779/100,U779)))</f>
        <v/>
      </c>
      <c r="W779" s="28"/>
      <c r="X779" s="34" t="str">
        <f aca="false">IF(W779="","",IFERROR(VLOOKUP(W779,REPS!$A$2:$D$40,3,0),""))</f>
        <v/>
      </c>
      <c r="Y779" s="31" t="str">
        <f aca="false">IF(O779="","",IF(X779="",0,O779*IF(X779&gt;1,X779/100,X779)))</f>
        <v/>
      </c>
      <c r="Z779" s="28"/>
      <c r="AA779" s="34" t="str">
        <f aca="false">IF(Z779="","",IFERROR(VLOOKUP(Z779,REPS!$A$2:$D$40,4,0),""))</f>
        <v/>
      </c>
      <c r="AB779" s="31" t="str">
        <f aca="false">IF(O779="","",IF(AA779="",0,O779*IF(AA779&gt;1,AA779/100,AA779)))</f>
        <v/>
      </c>
      <c r="AC779" s="31" t="str">
        <f aca="false">IF(O779="","",V779+Y779+AB779)</f>
        <v/>
      </c>
      <c r="AD779" s="19" t="str">
        <f aca="false">IF(O779="","",O779-R779-AC779)</f>
        <v/>
      </c>
      <c r="AE779" s="20"/>
      <c r="AF779" s="27"/>
      <c r="AG779" s="21" t="n">
        <f aca="false">IF(OR(AE779="",AE779=0),0,AE779*IF(U779="",0,IF(U779&gt;1,U779/100,U779)))</f>
        <v>0</v>
      </c>
      <c r="AH779" s="21" t="n">
        <f aca="false">IF(OR(AE779="",AE779=0),0,AE779*IF(X779="",0,IF(X779&gt;1,X779/100,X779)))</f>
        <v>0</v>
      </c>
      <c r="AI779" s="21" t="n">
        <f aca="false">IF(OR(AE779="",AE779=0),0,AE779*IF(AA779="",0,IF(AA779&gt;1,AA779/100,AA779)))</f>
        <v>0</v>
      </c>
      <c r="AJ779" s="21" t="n">
        <f aca="false">AG779+AH779+AI779</f>
        <v>0</v>
      </c>
      <c r="AK779" s="21" t="n">
        <f aca="false">IF(OR(AE779="",AE779=0),0,AE779-AJ779)</f>
        <v>0</v>
      </c>
      <c r="AL779" s="19" t="str">
        <f aca="false">IF(AD779="","",AD779-AK779)</f>
        <v/>
      </c>
      <c r="AM779" s="26" t="str">
        <f aca="false">IF(C779="","","Waiting for payment")</f>
        <v/>
      </c>
      <c r="AN779" s="27"/>
      <c r="AO779" s="27"/>
      <c r="AP779" s="35" t="str">
        <f aca="false">IF(OR(C779="",I779="",K779=""),"",IF(K779="Monthly",EDATE(C779,ROUND(I779*SETTINGS!$I$8,0)),WORKDAY(C779,ROUND(I779*SETTINGS!$I$8,0))))</f>
        <v/>
      </c>
      <c r="AQ779" s="26" t="str">
        <f aca="true">IF(C779="","",IF(AND(AP779&lt;&gt;"",TODAY()&gt;=AP779),"Refi Ready",IF(TODAY()-C779&gt;=SETTINGS!$I$11,"Prospecting","Performing")))</f>
        <v/>
      </c>
      <c r="AR779" s="35" t="str">
        <f aca="false">IF(OR(C779="",I779="",K779=""),"",IF(K779="Monthly",EDATE(C779,I779),WORKDAY(C779,I779)))</f>
        <v/>
      </c>
      <c r="AS779" s="28"/>
      <c r="AT779" s="36" t="str">
        <f aca="true">IF(C779="","",IF(AM779="Clawed Back","CLAWED",IF(TODAY()&lt;=C779+SETTINGS!$I$2,"⚠ AT RISK","SAFE")))</f>
        <v/>
      </c>
      <c r="AU779" s="28"/>
      <c r="AW779" s="24" t="n">
        <f aca="false">AW778+IF(AND(C779&lt;&gt;"",AO779&lt;&gt;"",OR('REP COMMISSION'!$B$3="",T779='REP COMMISSION'!$B$3,W779='REP COMMISSION'!$B$3,Z779='REP COMMISSION'!$B$3)),1,0)</f>
        <v>0</v>
      </c>
      <c r="AX779" s="24" t="n">
        <f aca="false">AX778+IF(AND(C779&lt;&gt;"",OR(F779="LOC - INITIAL",F779="CONSOLIDATION - UPFRONT COMM",F779="REVERSE - TOTAL FUNDING")),1,0)</f>
        <v>0</v>
      </c>
    </row>
    <row r="780" customFormat="false" ht="15" hidden="false" customHeight="false" outlineLevel="0" collapsed="false">
      <c r="A780" s="8" t="str">
        <f aca="false">IF(C780&lt;&gt;"","F27-"&amp;COUNT($C$4:C780),"")</f>
        <v/>
      </c>
      <c r="B780" s="9" t="str">
        <f aca="false">IF(OR(F780="LOC - INITIAL",F780="CONSOLIDATION - UPFRONT COMM",F780="REVERSE - TOTAL FUNDING"),A780,"")</f>
        <v/>
      </c>
      <c r="C780" s="10"/>
      <c r="D780" s="11"/>
      <c r="E780" s="11"/>
      <c r="F780" s="11"/>
      <c r="G780" s="12"/>
      <c r="H780" s="13"/>
      <c r="I780" s="11"/>
      <c r="J780" s="14" t="str">
        <f aca="false">IF(AND(G780&lt;&gt;"",H780&lt;&gt;""),G780*H780,"")</f>
        <v/>
      </c>
      <c r="K780" s="11"/>
      <c r="L780" s="15"/>
      <c r="M780" s="15"/>
      <c r="N780" s="14" t="n">
        <f aca="false">IF(OR(G780="",M780=""),0,IF(M780&gt;100,M780,G780*IF(M780&gt;1,M780/100,M780)))</f>
        <v>0</v>
      </c>
      <c r="O780" s="14" t="str">
        <f aca="false">IF(G780="","",G780*IF(L780="",0,IF(L780&gt;1,L780/100,L780))+N780)</f>
        <v/>
      </c>
      <c r="P780" s="11"/>
      <c r="Q780" s="16" t="str">
        <f aca="false">IF(P780="","",IFERROR(VLOOKUP(P780,PARTNERS!$A$2:$B$30,2,0),""))</f>
        <v/>
      </c>
      <c r="R780" s="17" t="str">
        <f aca="false">IF(O780="","",IF(OR(P780="",Q780=""),0,(O780-N780)*IF(Q780&gt;1,Q780/100,Q780)))</f>
        <v/>
      </c>
      <c r="S780" s="14" t="str">
        <f aca="false">IF(O780="","",O780-R780)</f>
        <v/>
      </c>
      <c r="T780" s="11"/>
      <c r="U780" s="18" t="str">
        <f aca="false">IF(T780="","",IFERROR(VLOOKUP(T780,REPS!$A$2:$D$40,2,0),""))</f>
        <v/>
      </c>
      <c r="V780" s="14" t="str">
        <f aca="false">IF(O780="","",IF(U780="",0,O780*IF(U780&gt;1,U780/100,U780)))</f>
        <v/>
      </c>
      <c r="W780" s="11"/>
      <c r="X780" s="18" t="str">
        <f aca="false">IF(W780="","",IFERROR(VLOOKUP(W780,REPS!$A$2:$D$40,3,0),""))</f>
        <v/>
      </c>
      <c r="Y780" s="14" t="str">
        <f aca="false">IF(O780="","",IF(X780="",0,O780*IF(X780&gt;1,X780/100,X780)))</f>
        <v/>
      </c>
      <c r="Z780" s="11"/>
      <c r="AA780" s="18" t="str">
        <f aca="false">IF(Z780="","",IFERROR(VLOOKUP(Z780,REPS!$A$2:$D$40,4,0),""))</f>
        <v/>
      </c>
      <c r="AB780" s="14" t="str">
        <f aca="false">IF(O780="","",IF(AA780="",0,O780*IF(AA780&gt;1,AA780/100,AA780)))</f>
        <v/>
      </c>
      <c r="AC780" s="14" t="str">
        <f aca="false">IF(O780="","",V780+Y780+AB780)</f>
        <v/>
      </c>
      <c r="AD780" s="19" t="str">
        <f aca="false">IF(O780="","",O780-R780-AC780)</f>
        <v/>
      </c>
      <c r="AE780" s="20"/>
      <c r="AF780" s="10"/>
      <c r="AG780" s="21" t="n">
        <f aca="false">IF(OR(AE780="",AE780=0),0,AE780*IF(U780="",0,IF(U780&gt;1,U780/100,U780)))</f>
        <v>0</v>
      </c>
      <c r="AH780" s="21" t="n">
        <f aca="false">IF(OR(AE780="",AE780=0),0,AE780*IF(X780="",0,IF(X780&gt;1,X780/100,X780)))</f>
        <v>0</v>
      </c>
      <c r="AI780" s="21" t="n">
        <f aca="false">IF(OR(AE780="",AE780=0),0,AE780*IF(AA780="",0,IF(AA780&gt;1,AA780/100,AA780)))</f>
        <v>0</v>
      </c>
      <c r="AJ780" s="21" t="n">
        <f aca="false">AG780+AH780+AI780</f>
        <v>0</v>
      </c>
      <c r="AK780" s="21" t="n">
        <f aca="false">IF(OR(AE780="",AE780=0),0,AE780-AJ780)</f>
        <v>0</v>
      </c>
      <c r="AL780" s="19" t="str">
        <f aca="false">IF(AD780="","",AD780-AK780)</f>
        <v/>
      </c>
      <c r="AM780" s="9" t="str">
        <f aca="false">IF(C780="","","Waiting for payment")</f>
        <v/>
      </c>
      <c r="AN780" s="10"/>
      <c r="AO780" s="10"/>
      <c r="AP780" s="22" t="str">
        <f aca="false">IF(OR(C780="",I780="",K780=""),"",IF(K780="Monthly",EDATE(C780,ROUND(I780*SETTINGS!$I$8,0)),WORKDAY(C780,ROUND(I780*SETTINGS!$I$8,0))))</f>
        <v/>
      </c>
      <c r="AQ780" s="9" t="str">
        <f aca="true">IF(C780="","",IF(AND(AP780&lt;&gt;"",TODAY()&gt;=AP780),"Refi Ready",IF(TODAY()-C780&gt;=SETTINGS!$I$11,"Prospecting","Performing")))</f>
        <v/>
      </c>
      <c r="AR780" s="22" t="str">
        <f aca="false">IF(OR(C780="",I780="",K780=""),"",IF(K780="Monthly",EDATE(C780,I780),WORKDAY(C780,I780)))</f>
        <v/>
      </c>
      <c r="AS780" s="11"/>
      <c r="AT780" s="23" t="str">
        <f aca="true">IF(C780="","",IF(AM780="Clawed Back","CLAWED",IF(TODAY()&lt;=C780+SETTINGS!$I$2,"⚠ AT RISK","SAFE")))</f>
        <v/>
      </c>
      <c r="AU780" s="11"/>
      <c r="AW780" s="24" t="n">
        <f aca="false">AW779+IF(AND(C780&lt;&gt;"",AO780&lt;&gt;"",OR('REP COMMISSION'!$B$3="",T780='REP COMMISSION'!$B$3,W780='REP COMMISSION'!$B$3,Z780='REP COMMISSION'!$B$3)),1,0)</f>
        <v>0</v>
      </c>
      <c r="AX780" s="24" t="n">
        <f aca="false">AX779+IF(AND(C780&lt;&gt;"",OR(F780="LOC - INITIAL",F780="CONSOLIDATION - UPFRONT COMM",F780="REVERSE - TOTAL FUNDING")),1,0)</f>
        <v>0</v>
      </c>
    </row>
    <row r="781" customFormat="false" ht="15" hidden="false" customHeight="false" outlineLevel="0" collapsed="false">
      <c r="A781" s="25" t="str">
        <f aca="false">IF(C781&lt;&gt;"","F27-"&amp;COUNT($C$4:C781),"")</f>
        <v/>
      </c>
      <c r="B781" s="26" t="str">
        <f aca="false">IF(OR(F781="LOC - INITIAL",F781="CONSOLIDATION - UPFRONT COMM",F781="REVERSE - TOTAL FUNDING"),A781,"")</f>
        <v/>
      </c>
      <c r="C781" s="27"/>
      <c r="D781" s="28"/>
      <c r="E781" s="28"/>
      <c r="F781" s="28"/>
      <c r="G781" s="29"/>
      <c r="H781" s="30"/>
      <c r="I781" s="28"/>
      <c r="J781" s="31" t="str">
        <f aca="false">IF(AND(G781&lt;&gt;"",H781&lt;&gt;""),G781*H781,"")</f>
        <v/>
      </c>
      <c r="K781" s="28"/>
      <c r="L781" s="32"/>
      <c r="M781" s="32"/>
      <c r="N781" s="31" t="n">
        <f aca="false">IF(OR(G781="",M781=""),0,IF(M781&gt;100,M781,G781*IF(M781&gt;1,M781/100,M781)))</f>
        <v>0</v>
      </c>
      <c r="O781" s="31" t="str">
        <f aca="false">IF(G781="","",G781*IF(L781="",0,IF(L781&gt;1,L781/100,L781))+N781)</f>
        <v/>
      </c>
      <c r="P781" s="28"/>
      <c r="Q781" s="33" t="str">
        <f aca="false">IF(P781="","",IFERROR(VLOOKUP(P781,PARTNERS!$A$2:$B$30,2,0),""))</f>
        <v/>
      </c>
      <c r="R781" s="17" t="str">
        <f aca="false">IF(O781="","",IF(OR(P781="",Q781=""),0,(O781-N781)*IF(Q781&gt;1,Q781/100,Q781)))</f>
        <v/>
      </c>
      <c r="S781" s="31" t="str">
        <f aca="false">IF(O781="","",O781-R781)</f>
        <v/>
      </c>
      <c r="T781" s="28"/>
      <c r="U781" s="34" t="str">
        <f aca="false">IF(T781="","",IFERROR(VLOOKUP(T781,REPS!$A$2:$D$40,2,0),""))</f>
        <v/>
      </c>
      <c r="V781" s="31" t="str">
        <f aca="false">IF(O781="","",IF(U781="",0,O781*IF(U781&gt;1,U781/100,U781)))</f>
        <v/>
      </c>
      <c r="W781" s="28"/>
      <c r="X781" s="34" t="str">
        <f aca="false">IF(W781="","",IFERROR(VLOOKUP(W781,REPS!$A$2:$D$40,3,0),""))</f>
        <v/>
      </c>
      <c r="Y781" s="31" t="str">
        <f aca="false">IF(O781="","",IF(X781="",0,O781*IF(X781&gt;1,X781/100,X781)))</f>
        <v/>
      </c>
      <c r="Z781" s="28"/>
      <c r="AA781" s="34" t="str">
        <f aca="false">IF(Z781="","",IFERROR(VLOOKUP(Z781,REPS!$A$2:$D$40,4,0),""))</f>
        <v/>
      </c>
      <c r="AB781" s="31" t="str">
        <f aca="false">IF(O781="","",IF(AA781="",0,O781*IF(AA781&gt;1,AA781/100,AA781)))</f>
        <v/>
      </c>
      <c r="AC781" s="31" t="str">
        <f aca="false">IF(O781="","",V781+Y781+AB781)</f>
        <v/>
      </c>
      <c r="AD781" s="19" t="str">
        <f aca="false">IF(O781="","",O781-R781-AC781)</f>
        <v/>
      </c>
      <c r="AE781" s="20"/>
      <c r="AF781" s="27"/>
      <c r="AG781" s="21" t="n">
        <f aca="false">IF(OR(AE781="",AE781=0),0,AE781*IF(U781="",0,IF(U781&gt;1,U781/100,U781)))</f>
        <v>0</v>
      </c>
      <c r="AH781" s="21" t="n">
        <f aca="false">IF(OR(AE781="",AE781=0),0,AE781*IF(X781="",0,IF(X781&gt;1,X781/100,X781)))</f>
        <v>0</v>
      </c>
      <c r="AI781" s="21" t="n">
        <f aca="false">IF(OR(AE781="",AE781=0),0,AE781*IF(AA781="",0,IF(AA781&gt;1,AA781/100,AA781)))</f>
        <v>0</v>
      </c>
      <c r="AJ781" s="21" t="n">
        <f aca="false">AG781+AH781+AI781</f>
        <v>0</v>
      </c>
      <c r="AK781" s="21" t="n">
        <f aca="false">IF(OR(AE781="",AE781=0),0,AE781-AJ781)</f>
        <v>0</v>
      </c>
      <c r="AL781" s="19" t="str">
        <f aca="false">IF(AD781="","",AD781-AK781)</f>
        <v/>
      </c>
      <c r="AM781" s="26" t="str">
        <f aca="false">IF(C781="","","Waiting for payment")</f>
        <v/>
      </c>
      <c r="AN781" s="27"/>
      <c r="AO781" s="27"/>
      <c r="AP781" s="35" t="str">
        <f aca="false">IF(OR(C781="",I781="",K781=""),"",IF(K781="Monthly",EDATE(C781,ROUND(I781*SETTINGS!$I$8,0)),WORKDAY(C781,ROUND(I781*SETTINGS!$I$8,0))))</f>
        <v/>
      </c>
      <c r="AQ781" s="26" t="str">
        <f aca="true">IF(C781="","",IF(AND(AP781&lt;&gt;"",TODAY()&gt;=AP781),"Refi Ready",IF(TODAY()-C781&gt;=SETTINGS!$I$11,"Prospecting","Performing")))</f>
        <v/>
      </c>
      <c r="AR781" s="35" t="str">
        <f aca="false">IF(OR(C781="",I781="",K781=""),"",IF(K781="Monthly",EDATE(C781,I781),WORKDAY(C781,I781)))</f>
        <v/>
      </c>
      <c r="AS781" s="28"/>
      <c r="AT781" s="36" t="str">
        <f aca="true">IF(C781="","",IF(AM781="Clawed Back","CLAWED",IF(TODAY()&lt;=C781+SETTINGS!$I$2,"⚠ AT RISK","SAFE")))</f>
        <v/>
      </c>
      <c r="AU781" s="28"/>
      <c r="AW781" s="24" t="n">
        <f aca="false">AW780+IF(AND(C781&lt;&gt;"",AO781&lt;&gt;"",OR('REP COMMISSION'!$B$3="",T781='REP COMMISSION'!$B$3,W781='REP COMMISSION'!$B$3,Z781='REP COMMISSION'!$B$3)),1,0)</f>
        <v>0</v>
      </c>
      <c r="AX781" s="24" t="n">
        <f aca="false">AX780+IF(AND(C781&lt;&gt;"",OR(F781="LOC - INITIAL",F781="CONSOLIDATION - UPFRONT COMM",F781="REVERSE - TOTAL FUNDING")),1,0)</f>
        <v>0</v>
      </c>
    </row>
    <row r="782" customFormat="false" ht="15" hidden="false" customHeight="false" outlineLevel="0" collapsed="false">
      <c r="A782" s="8" t="str">
        <f aca="false">IF(C782&lt;&gt;"","F27-"&amp;COUNT($C$4:C782),"")</f>
        <v/>
      </c>
      <c r="B782" s="9" t="str">
        <f aca="false">IF(OR(F782="LOC - INITIAL",F782="CONSOLIDATION - UPFRONT COMM",F782="REVERSE - TOTAL FUNDING"),A782,"")</f>
        <v/>
      </c>
      <c r="C782" s="10"/>
      <c r="D782" s="11"/>
      <c r="E782" s="11"/>
      <c r="F782" s="11"/>
      <c r="G782" s="12"/>
      <c r="H782" s="13"/>
      <c r="I782" s="11"/>
      <c r="J782" s="14" t="str">
        <f aca="false">IF(AND(G782&lt;&gt;"",H782&lt;&gt;""),G782*H782,"")</f>
        <v/>
      </c>
      <c r="K782" s="11"/>
      <c r="L782" s="15"/>
      <c r="M782" s="15"/>
      <c r="N782" s="14" t="n">
        <f aca="false">IF(OR(G782="",M782=""),0,IF(M782&gt;100,M782,G782*IF(M782&gt;1,M782/100,M782)))</f>
        <v>0</v>
      </c>
      <c r="O782" s="14" t="str">
        <f aca="false">IF(G782="","",G782*IF(L782="",0,IF(L782&gt;1,L782/100,L782))+N782)</f>
        <v/>
      </c>
      <c r="P782" s="11"/>
      <c r="Q782" s="16" t="str">
        <f aca="false">IF(P782="","",IFERROR(VLOOKUP(P782,PARTNERS!$A$2:$B$30,2,0),""))</f>
        <v/>
      </c>
      <c r="R782" s="17" t="str">
        <f aca="false">IF(O782="","",IF(OR(P782="",Q782=""),0,(O782-N782)*IF(Q782&gt;1,Q782/100,Q782)))</f>
        <v/>
      </c>
      <c r="S782" s="14" t="str">
        <f aca="false">IF(O782="","",O782-R782)</f>
        <v/>
      </c>
      <c r="T782" s="11"/>
      <c r="U782" s="18" t="str">
        <f aca="false">IF(T782="","",IFERROR(VLOOKUP(T782,REPS!$A$2:$D$40,2,0),""))</f>
        <v/>
      </c>
      <c r="V782" s="14" t="str">
        <f aca="false">IF(O782="","",IF(U782="",0,O782*IF(U782&gt;1,U782/100,U782)))</f>
        <v/>
      </c>
      <c r="W782" s="11"/>
      <c r="X782" s="18" t="str">
        <f aca="false">IF(W782="","",IFERROR(VLOOKUP(W782,REPS!$A$2:$D$40,3,0),""))</f>
        <v/>
      </c>
      <c r="Y782" s="14" t="str">
        <f aca="false">IF(O782="","",IF(X782="",0,O782*IF(X782&gt;1,X782/100,X782)))</f>
        <v/>
      </c>
      <c r="Z782" s="11"/>
      <c r="AA782" s="18" t="str">
        <f aca="false">IF(Z782="","",IFERROR(VLOOKUP(Z782,REPS!$A$2:$D$40,4,0),""))</f>
        <v/>
      </c>
      <c r="AB782" s="14" t="str">
        <f aca="false">IF(O782="","",IF(AA782="",0,O782*IF(AA782&gt;1,AA782/100,AA782)))</f>
        <v/>
      </c>
      <c r="AC782" s="14" t="str">
        <f aca="false">IF(O782="","",V782+Y782+AB782)</f>
        <v/>
      </c>
      <c r="AD782" s="19" t="str">
        <f aca="false">IF(O782="","",O782-R782-AC782)</f>
        <v/>
      </c>
      <c r="AE782" s="20"/>
      <c r="AF782" s="10"/>
      <c r="AG782" s="21" t="n">
        <f aca="false">IF(OR(AE782="",AE782=0),0,AE782*IF(U782="",0,IF(U782&gt;1,U782/100,U782)))</f>
        <v>0</v>
      </c>
      <c r="AH782" s="21" t="n">
        <f aca="false">IF(OR(AE782="",AE782=0),0,AE782*IF(X782="",0,IF(X782&gt;1,X782/100,X782)))</f>
        <v>0</v>
      </c>
      <c r="AI782" s="21" t="n">
        <f aca="false">IF(OR(AE782="",AE782=0),0,AE782*IF(AA782="",0,IF(AA782&gt;1,AA782/100,AA782)))</f>
        <v>0</v>
      </c>
      <c r="AJ782" s="21" t="n">
        <f aca="false">AG782+AH782+AI782</f>
        <v>0</v>
      </c>
      <c r="AK782" s="21" t="n">
        <f aca="false">IF(OR(AE782="",AE782=0),0,AE782-AJ782)</f>
        <v>0</v>
      </c>
      <c r="AL782" s="19" t="str">
        <f aca="false">IF(AD782="","",AD782-AK782)</f>
        <v/>
      </c>
      <c r="AM782" s="9" t="str">
        <f aca="false">IF(C782="","","Waiting for payment")</f>
        <v/>
      </c>
      <c r="AN782" s="10"/>
      <c r="AO782" s="10"/>
      <c r="AP782" s="22" t="str">
        <f aca="false">IF(OR(C782="",I782="",K782=""),"",IF(K782="Monthly",EDATE(C782,ROUND(I782*SETTINGS!$I$8,0)),WORKDAY(C782,ROUND(I782*SETTINGS!$I$8,0))))</f>
        <v/>
      </c>
      <c r="AQ782" s="9" t="str">
        <f aca="true">IF(C782="","",IF(AND(AP782&lt;&gt;"",TODAY()&gt;=AP782),"Refi Ready",IF(TODAY()-C782&gt;=SETTINGS!$I$11,"Prospecting","Performing")))</f>
        <v/>
      </c>
      <c r="AR782" s="22" t="str">
        <f aca="false">IF(OR(C782="",I782="",K782=""),"",IF(K782="Monthly",EDATE(C782,I782),WORKDAY(C782,I782)))</f>
        <v/>
      </c>
      <c r="AS782" s="11"/>
      <c r="AT782" s="23" t="str">
        <f aca="true">IF(C782="","",IF(AM782="Clawed Back","CLAWED",IF(TODAY()&lt;=C782+SETTINGS!$I$2,"⚠ AT RISK","SAFE")))</f>
        <v/>
      </c>
      <c r="AU782" s="11"/>
      <c r="AW782" s="24" t="n">
        <f aca="false">AW781+IF(AND(C782&lt;&gt;"",AO782&lt;&gt;"",OR('REP COMMISSION'!$B$3="",T782='REP COMMISSION'!$B$3,W782='REP COMMISSION'!$B$3,Z782='REP COMMISSION'!$B$3)),1,0)</f>
        <v>0</v>
      </c>
      <c r="AX782" s="24" t="n">
        <f aca="false">AX781+IF(AND(C782&lt;&gt;"",OR(F782="LOC - INITIAL",F782="CONSOLIDATION - UPFRONT COMM",F782="REVERSE - TOTAL FUNDING")),1,0)</f>
        <v>0</v>
      </c>
    </row>
    <row r="783" customFormat="false" ht="15" hidden="false" customHeight="false" outlineLevel="0" collapsed="false">
      <c r="A783" s="25" t="str">
        <f aca="false">IF(C783&lt;&gt;"","F27-"&amp;COUNT($C$4:C783),"")</f>
        <v/>
      </c>
      <c r="B783" s="26" t="str">
        <f aca="false">IF(OR(F783="LOC - INITIAL",F783="CONSOLIDATION - UPFRONT COMM",F783="REVERSE - TOTAL FUNDING"),A783,"")</f>
        <v/>
      </c>
      <c r="C783" s="27"/>
      <c r="D783" s="28"/>
      <c r="E783" s="28"/>
      <c r="F783" s="28"/>
      <c r="G783" s="29"/>
      <c r="H783" s="30"/>
      <c r="I783" s="28"/>
      <c r="J783" s="31" t="str">
        <f aca="false">IF(AND(G783&lt;&gt;"",H783&lt;&gt;""),G783*H783,"")</f>
        <v/>
      </c>
      <c r="K783" s="28"/>
      <c r="L783" s="32"/>
      <c r="M783" s="32"/>
      <c r="N783" s="31" t="n">
        <f aca="false">IF(OR(G783="",M783=""),0,IF(M783&gt;100,M783,G783*IF(M783&gt;1,M783/100,M783)))</f>
        <v>0</v>
      </c>
      <c r="O783" s="31" t="str">
        <f aca="false">IF(G783="","",G783*IF(L783="",0,IF(L783&gt;1,L783/100,L783))+N783)</f>
        <v/>
      </c>
      <c r="P783" s="28"/>
      <c r="Q783" s="33" t="str">
        <f aca="false">IF(P783="","",IFERROR(VLOOKUP(P783,PARTNERS!$A$2:$B$30,2,0),""))</f>
        <v/>
      </c>
      <c r="R783" s="17" t="str">
        <f aca="false">IF(O783="","",IF(OR(P783="",Q783=""),0,(O783-N783)*IF(Q783&gt;1,Q783/100,Q783)))</f>
        <v/>
      </c>
      <c r="S783" s="31" t="str">
        <f aca="false">IF(O783="","",O783-R783)</f>
        <v/>
      </c>
      <c r="T783" s="28"/>
      <c r="U783" s="34" t="str">
        <f aca="false">IF(T783="","",IFERROR(VLOOKUP(T783,REPS!$A$2:$D$40,2,0),""))</f>
        <v/>
      </c>
      <c r="V783" s="31" t="str">
        <f aca="false">IF(O783="","",IF(U783="",0,O783*IF(U783&gt;1,U783/100,U783)))</f>
        <v/>
      </c>
      <c r="W783" s="28"/>
      <c r="X783" s="34" t="str">
        <f aca="false">IF(W783="","",IFERROR(VLOOKUP(W783,REPS!$A$2:$D$40,3,0),""))</f>
        <v/>
      </c>
      <c r="Y783" s="31" t="str">
        <f aca="false">IF(O783="","",IF(X783="",0,O783*IF(X783&gt;1,X783/100,X783)))</f>
        <v/>
      </c>
      <c r="Z783" s="28"/>
      <c r="AA783" s="34" t="str">
        <f aca="false">IF(Z783="","",IFERROR(VLOOKUP(Z783,REPS!$A$2:$D$40,4,0),""))</f>
        <v/>
      </c>
      <c r="AB783" s="31" t="str">
        <f aca="false">IF(O783="","",IF(AA783="",0,O783*IF(AA783&gt;1,AA783/100,AA783)))</f>
        <v/>
      </c>
      <c r="AC783" s="31" t="str">
        <f aca="false">IF(O783="","",V783+Y783+AB783)</f>
        <v/>
      </c>
      <c r="AD783" s="19" t="str">
        <f aca="false">IF(O783="","",O783-R783-AC783)</f>
        <v/>
      </c>
      <c r="AE783" s="20"/>
      <c r="AF783" s="27"/>
      <c r="AG783" s="21" t="n">
        <f aca="false">IF(OR(AE783="",AE783=0),0,AE783*IF(U783="",0,IF(U783&gt;1,U783/100,U783)))</f>
        <v>0</v>
      </c>
      <c r="AH783" s="21" t="n">
        <f aca="false">IF(OR(AE783="",AE783=0),0,AE783*IF(X783="",0,IF(X783&gt;1,X783/100,X783)))</f>
        <v>0</v>
      </c>
      <c r="AI783" s="21" t="n">
        <f aca="false">IF(OR(AE783="",AE783=0),0,AE783*IF(AA783="",0,IF(AA783&gt;1,AA783/100,AA783)))</f>
        <v>0</v>
      </c>
      <c r="AJ783" s="21" t="n">
        <f aca="false">AG783+AH783+AI783</f>
        <v>0</v>
      </c>
      <c r="AK783" s="21" t="n">
        <f aca="false">IF(OR(AE783="",AE783=0),0,AE783-AJ783)</f>
        <v>0</v>
      </c>
      <c r="AL783" s="19" t="str">
        <f aca="false">IF(AD783="","",AD783-AK783)</f>
        <v/>
      </c>
      <c r="AM783" s="26" t="str">
        <f aca="false">IF(C783="","","Waiting for payment")</f>
        <v/>
      </c>
      <c r="AN783" s="27"/>
      <c r="AO783" s="27"/>
      <c r="AP783" s="35" t="str">
        <f aca="false">IF(OR(C783="",I783="",K783=""),"",IF(K783="Monthly",EDATE(C783,ROUND(I783*SETTINGS!$I$8,0)),WORKDAY(C783,ROUND(I783*SETTINGS!$I$8,0))))</f>
        <v/>
      </c>
      <c r="AQ783" s="26" t="str">
        <f aca="true">IF(C783="","",IF(AND(AP783&lt;&gt;"",TODAY()&gt;=AP783),"Refi Ready",IF(TODAY()-C783&gt;=SETTINGS!$I$11,"Prospecting","Performing")))</f>
        <v/>
      </c>
      <c r="AR783" s="35" t="str">
        <f aca="false">IF(OR(C783="",I783="",K783=""),"",IF(K783="Monthly",EDATE(C783,I783),WORKDAY(C783,I783)))</f>
        <v/>
      </c>
      <c r="AS783" s="28"/>
      <c r="AT783" s="36" t="str">
        <f aca="true">IF(C783="","",IF(AM783="Clawed Back","CLAWED",IF(TODAY()&lt;=C783+SETTINGS!$I$2,"⚠ AT RISK","SAFE")))</f>
        <v/>
      </c>
      <c r="AU783" s="28"/>
      <c r="AW783" s="24" t="n">
        <f aca="false">AW782+IF(AND(C783&lt;&gt;"",AO783&lt;&gt;"",OR('REP COMMISSION'!$B$3="",T783='REP COMMISSION'!$B$3,W783='REP COMMISSION'!$B$3,Z783='REP COMMISSION'!$B$3)),1,0)</f>
        <v>0</v>
      </c>
      <c r="AX783" s="24" t="n">
        <f aca="false">AX782+IF(AND(C783&lt;&gt;"",OR(F783="LOC - INITIAL",F783="CONSOLIDATION - UPFRONT COMM",F783="REVERSE - TOTAL FUNDING")),1,0)</f>
        <v>0</v>
      </c>
    </row>
    <row r="784" customFormat="false" ht="15" hidden="false" customHeight="false" outlineLevel="0" collapsed="false">
      <c r="A784" s="8" t="str">
        <f aca="false">IF(C784&lt;&gt;"","F27-"&amp;COUNT($C$4:C784),"")</f>
        <v/>
      </c>
      <c r="B784" s="9" t="str">
        <f aca="false">IF(OR(F784="LOC - INITIAL",F784="CONSOLIDATION - UPFRONT COMM",F784="REVERSE - TOTAL FUNDING"),A784,"")</f>
        <v/>
      </c>
      <c r="C784" s="10"/>
      <c r="D784" s="11"/>
      <c r="E784" s="11"/>
      <c r="F784" s="11"/>
      <c r="G784" s="12"/>
      <c r="H784" s="13"/>
      <c r="I784" s="11"/>
      <c r="J784" s="14" t="str">
        <f aca="false">IF(AND(G784&lt;&gt;"",H784&lt;&gt;""),G784*H784,"")</f>
        <v/>
      </c>
      <c r="K784" s="11"/>
      <c r="L784" s="15"/>
      <c r="M784" s="15"/>
      <c r="N784" s="14" t="n">
        <f aca="false">IF(OR(G784="",M784=""),0,IF(M784&gt;100,M784,G784*IF(M784&gt;1,M784/100,M784)))</f>
        <v>0</v>
      </c>
      <c r="O784" s="14" t="str">
        <f aca="false">IF(G784="","",G784*IF(L784="",0,IF(L784&gt;1,L784/100,L784))+N784)</f>
        <v/>
      </c>
      <c r="P784" s="11"/>
      <c r="Q784" s="16" t="str">
        <f aca="false">IF(P784="","",IFERROR(VLOOKUP(P784,PARTNERS!$A$2:$B$30,2,0),""))</f>
        <v/>
      </c>
      <c r="R784" s="17" t="str">
        <f aca="false">IF(O784="","",IF(OR(P784="",Q784=""),0,(O784-N784)*IF(Q784&gt;1,Q784/100,Q784)))</f>
        <v/>
      </c>
      <c r="S784" s="14" t="str">
        <f aca="false">IF(O784="","",O784-R784)</f>
        <v/>
      </c>
      <c r="T784" s="11"/>
      <c r="U784" s="18" t="str">
        <f aca="false">IF(T784="","",IFERROR(VLOOKUP(T784,REPS!$A$2:$D$40,2,0),""))</f>
        <v/>
      </c>
      <c r="V784" s="14" t="str">
        <f aca="false">IF(O784="","",IF(U784="",0,O784*IF(U784&gt;1,U784/100,U784)))</f>
        <v/>
      </c>
      <c r="W784" s="11"/>
      <c r="X784" s="18" t="str">
        <f aca="false">IF(W784="","",IFERROR(VLOOKUP(W784,REPS!$A$2:$D$40,3,0),""))</f>
        <v/>
      </c>
      <c r="Y784" s="14" t="str">
        <f aca="false">IF(O784="","",IF(X784="",0,O784*IF(X784&gt;1,X784/100,X784)))</f>
        <v/>
      </c>
      <c r="Z784" s="11"/>
      <c r="AA784" s="18" t="str">
        <f aca="false">IF(Z784="","",IFERROR(VLOOKUP(Z784,REPS!$A$2:$D$40,4,0),""))</f>
        <v/>
      </c>
      <c r="AB784" s="14" t="str">
        <f aca="false">IF(O784="","",IF(AA784="",0,O784*IF(AA784&gt;1,AA784/100,AA784)))</f>
        <v/>
      </c>
      <c r="AC784" s="14" t="str">
        <f aca="false">IF(O784="","",V784+Y784+AB784)</f>
        <v/>
      </c>
      <c r="AD784" s="19" t="str">
        <f aca="false">IF(O784="","",O784-R784-AC784)</f>
        <v/>
      </c>
      <c r="AE784" s="20"/>
      <c r="AF784" s="10"/>
      <c r="AG784" s="21" t="n">
        <f aca="false">IF(OR(AE784="",AE784=0),0,AE784*IF(U784="",0,IF(U784&gt;1,U784/100,U784)))</f>
        <v>0</v>
      </c>
      <c r="AH784" s="21" t="n">
        <f aca="false">IF(OR(AE784="",AE784=0),0,AE784*IF(X784="",0,IF(X784&gt;1,X784/100,X784)))</f>
        <v>0</v>
      </c>
      <c r="AI784" s="21" t="n">
        <f aca="false">IF(OR(AE784="",AE784=0),0,AE784*IF(AA784="",0,IF(AA784&gt;1,AA784/100,AA784)))</f>
        <v>0</v>
      </c>
      <c r="AJ784" s="21" t="n">
        <f aca="false">AG784+AH784+AI784</f>
        <v>0</v>
      </c>
      <c r="AK784" s="21" t="n">
        <f aca="false">IF(OR(AE784="",AE784=0),0,AE784-AJ784)</f>
        <v>0</v>
      </c>
      <c r="AL784" s="19" t="str">
        <f aca="false">IF(AD784="","",AD784-AK784)</f>
        <v/>
      </c>
      <c r="AM784" s="9" t="str">
        <f aca="false">IF(C784="","","Waiting for payment")</f>
        <v/>
      </c>
      <c r="AN784" s="10"/>
      <c r="AO784" s="10"/>
      <c r="AP784" s="22" t="str">
        <f aca="false">IF(OR(C784="",I784="",K784=""),"",IF(K784="Monthly",EDATE(C784,ROUND(I784*SETTINGS!$I$8,0)),WORKDAY(C784,ROUND(I784*SETTINGS!$I$8,0))))</f>
        <v/>
      </c>
      <c r="AQ784" s="9" t="str">
        <f aca="true">IF(C784="","",IF(AND(AP784&lt;&gt;"",TODAY()&gt;=AP784),"Refi Ready",IF(TODAY()-C784&gt;=SETTINGS!$I$11,"Prospecting","Performing")))</f>
        <v/>
      </c>
      <c r="AR784" s="22" t="str">
        <f aca="false">IF(OR(C784="",I784="",K784=""),"",IF(K784="Monthly",EDATE(C784,I784),WORKDAY(C784,I784)))</f>
        <v/>
      </c>
      <c r="AS784" s="11"/>
      <c r="AT784" s="23" t="str">
        <f aca="true">IF(C784="","",IF(AM784="Clawed Back","CLAWED",IF(TODAY()&lt;=C784+SETTINGS!$I$2,"⚠ AT RISK","SAFE")))</f>
        <v/>
      </c>
      <c r="AU784" s="11"/>
      <c r="AW784" s="24" t="n">
        <f aca="false">AW783+IF(AND(C784&lt;&gt;"",AO784&lt;&gt;"",OR('REP COMMISSION'!$B$3="",T784='REP COMMISSION'!$B$3,W784='REP COMMISSION'!$B$3,Z784='REP COMMISSION'!$B$3)),1,0)</f>
        <v>0</v>
      </c>
      <c r="AX784" s="24" t="n">
        <f aca="false">AX783+IF(AND(C784&lt;&gt;"",OR(F784="LOC - INITIAL",F784="CONSOLIDATION - UPFRONT COMM",F784="REVERSE - TOTAL FUNDING")),1,0)</f>
        <v>0</v>
      </c>
    </row>
    <row r="785" customFormat="false" ht="15" hidden="false" customHeight="false" outlineLevel="0" collapsed="false">
      <c r="A785" s="25" t="str">
        <f aca="false">IF(C785&lt;&gt;"","F27-"&amp;COUNT($C$4:C785),"")</f>
        <v/>
      </c>
      <c r="B785" s="26" t="str">
        <f aca="false">IF(OR(F785="LOC - INITIAL",F785="CONSOLIDATION - UPFRONT COMM",F785="REVERSE - TOTAL FUNDING"),A785,"")</f>
        <v/>
      </c>
      <c r="C785" s="27"/>
      <c r="D785" s="28"/>
      <c r="E785" s="28"/>
      <c r="F785" s="28"/>
      <c r="G785" s="29"/>
      <c r="H785" s="30"/>
      <c r="I785" s="28"/>
      <c r="J785" s="31" t="str">
        <f aca="false">IF(AND(G785&lt;&gt;"",H785&lt;&gt;""),G785*H785,"")</f>
        <v/>
      </c>
      <c r="K785" s="28"/>
      <c r="L785" s="32"/>
      <c r="M785" s="32"/>
      <c r="N785" s="31" t="n">
        <f aca="false">IF(OR(G785="",M785=""),0,IF(M785&gt;100,M785,G785*IF(M785&gt;1,M785/100,M785)))</f>
        <v>0</v>
      </c>
      <c r="O785" s="31" t="str">
        <f aca="false">IF(G785="","",G785*IF(L785="",0,IF(L785&gt;1,L785/100,L785))+N785)</f>
        <v/>
      </c>
      <c r="P785" s="28"/>
      <c r="Q785" s="33" t="str">
        <f aca="false">IF(P785="","",IFERROR(VLOOKUP(P785,PARTNERS!$A$2:$B$30,2,0),""))</f>
        <v/>
      </c>
      <c r="R785" s="17" t="str">
        <f aca="false">IF(O785="","",IF(OR(P785="",Q785=""),0,(O785-N785)*IF(Q785&gt;1,Q785/100,Q785)))</f>
        <v/>
      </c>
      <c r="S785" s="31" t="str">
        <f aca="false">IF(O785="","",O785-R785)</f>
        <v/>
      </c>
      <c r="T785" s="28"/>
      <c r="U785" s="34" t="str">
        <f aca="false">IF(T785="","",IFERROR(VLOOKUP(T785,REPS!$A$2:$D$40,2,0),""))</f>
        <v/>
      </c>
      <c r="V785" s="31" t="str">
        <f aca="false">IF(O785="","",IF(U785="",0,O785*IF(U785&gt;1,U785/100,U785)))</f>
        <v/>
      </c>
      <c r="W785" s="28"/>
      <c r="X785" s="34" t="str">
        <f aca="false">IF(W785="","",IFERROR(VLOOKUP(W785,REPS!$A$2:$D$40,3,0),""))</f>
        <v/>
      </c>
      <c r="Y785" s="31" t="str">
        <f aca="false">IF(O785="","",IF(X785="",0,O785*IF(X785&gt;1,X785/100,X785)))</f>
        <v/>
      </c>
      <c r="Z785" s="28"/>
      <c r="AA785" s="34" t="str">
        <f aca="false">IF(Z785="","",IFERROR(VLOOKUP(Z785,REPS!$A$2:$D$40,4,0),""))</f>
        <v/>
      </c>
      <c r="AB785" s="31" t="str">
        <f aca="false">IF(O785="","",IF(AA785="",0,O785*IF(AA785&gt;1,AA785/100,AA785)))</f>
        <v/>
      </c>
      <c r="AC785" s="31" t="str">
        <f aca="false">IF(O785="","",V785+Y785+AB785)</f>
        <v/>
      </c>
      <c r="AD785" s="19" t="str">
        <f aca="false">IF(O785="","",O785-R785-AC785)</f>
        <v/>
      </c>
      <c r="AE785" s="20"/>
      <c r="AF785" s="27"/>
      <c r="AG785" s="21" t="n">
        <f aca="false">IF(OR(AE785="",AE785=0),0,AE785*IF(U785="",0,IF(U785&gt;1,U785/100,U785)))</f>
        <v>0</v>
      </c>
      <c r="AH785" s="21" t="n">
        <f aca="false">IF(OR(AE785="",AE785=0),0,AE785*IF(X785="",0,IF(X785&gt;1,X785/100,X785)))</f>
        <v>0</v>
      </c>
      <c r="AI785" s="21" t="n">
        <f aca="false">IF(OR(AE785="",AE785=0),0,AE785*IF(AA785="",0,IF(AA785&gt;1,AA785/100,AA785)))</f>
        <v>0</v>
      </c>
      <c r="AJ785" s="21" t="n">
        <f aca="false">AG785+AH785+AI785</f>
        <v>0</v>
      </c>
      <c r="AK785" s="21" t="n">
        <f aca="false">IF(OR(AE785="",AE785=0),0,AE785-AJ785)</f>
        <v>0</v>
      </c>
      <c r="AL785" s="19" t="str">
        <f aca="false">IF(AD785="","",AD785-AK785)</f>
        <v/>
      </c>
      <c r="AM785" s="26" t="str">
        <f aca="false">IF(C785="","","Waiting for payment")</f>
        <v/>
      </c>
      <c r="AN785" s="27"/>
      <c r="AO785" s="27"/>
      <c r="AP785" s="35" t="str">
        <f aca="false">IF(OR(C785="",I785="",K785=""),"",IF(K785="Monthly",EDATE(C785,ROUND(I785*SETTINGS!$I$8,0)),WORKDAY(C785,ROUND(I785*SETTINGS!$I$8,0))))</f>
        <v/>
      </c>
      <c r="AQ785" s="26" t="str">
        <f aca="true">IF(C785="","",IF(AND(AP785&lt;&gt;"",TODAY()&gt;=AP785),"Refi Ready",IF(TODAY()-C785&gt;=SETTINGS!$I$11,"Prospecting","Performing")))</f>
        <v/>
      </c>
      <c r="AR785" s="35" t="str">
        <f aca="false">IF(OR(C785="",I785="",K785=""),"",IF(K785="Monthly",EDATE(C785,I785),WORKDAY(C785,I785)))</f>
        <v/>
      </c>
      <c r="AS785" s="28"/>
      <c r="AT785" s="36" t="str">
        <f aca="true">IF(C785="","",IF(AM785="Clawed Back","CLAWED",IF(TODAY()&lt;=C785+SETTINGS!$I$2,"⚠ AT RISK","SAFE")))</f>
        <v/>
      </c>
      <c r="AU785" s="28"/>
      <c r="AW785" s="24" t="n">
        <f aca="false">AW784+IF(AND(C785&lt;&gt;"",AO785&lt;&gt;"",OR('REP COMMISSION'!$B$3="",T785='REP COMMISSION'!$B$3,W785='REP COMMISSION'!$B$3,Z785='REP COMMISSION'!$B$3)),1,0)</f>
        <v>0</v>
      </c>
      <c r="AX785" s="24" t="n">
        <f aca="false">AX784+IF(AND(C785&lt;&gt;"",OR(F785="LOC - INITIAL",F785="CONSOLIDATION - UPFRONT COMM",F785="REVERSE - TOTAL FUNDING")),1,0)</f>
        <v>0</v>
      </c>
    </row>
    <row r="786" customFormat="false" ht="15" hidden="false" customHeight="false" outlineLevel="0" collapsed="false">
      <c r="A786" s="8" t="str">
        <f aca="false">IF(C786&lt;&gt;"","F27-"&amp;COUNT($C$4:C786),"")</f>
        <v/>
      </c>
      <c r="B786" s="9" t="str">
        <f aca="false">IF(OR(F786="LOC - INITIAL",F786="CONSOLIDATION - UPFRONT COMM",F786="REVERSE - TOTAL FUNDING"),A786,"")</f>
        <v/>
      </c>
      <c r="C786" s="10"/>
      <c r="D786" s="11"/>
      <c r="E786" s="11"/>
      <c r="F786" s="11"/>
      <c r="G786" s="12"/>
      <c r="H786" s="13"/>
      <c r="I786" s="11"/>
      <c r="J786" s="14" t="str">
        <f aca="false">IF(AND(G786&lt;&gt;"",H786&lt;&gt;""),G786*H786,"")</f>
        <v/>
      </c>
      <c r="K786" s="11"/>
      <c r="L786" s="15"/>
      <c r="M786" s="15"/>
      <c r="N786" s="14" t="n">
        <f aca="false">IF(OR(G786="",M786=""),0,IF(M786&gt;100,M786,G786*IF(M786&gt;1,M786/100,M786)))</f>
        <v>0</v>
      </c>
      <c r="O786" s="14" t="str">
        <f aca="false">IF(G786="","",G786*IF(L786="",0,IF(L786&gt;1,L786/100,L786))+N786)</f>
        <v/>
      </c>
      <c r="P786" s="11"/>
      <c r="Q786" s="16" t="str">
        <f aca="false">IF(P786="","",IFERROR(VLOOKUP(P786,PARTNERS!$A$2:$B$30,2,0),""))</f>
        <v/>
      </c>
      <c r="R786" s="17" t="str">
        <f aca="false">IF(O786="","",IF(OR(P786="",Q786=""),0,(O786-N786)*IF(Q786&gt;1,Q786/100,Q786)))</f>
        <v/>
      </c>
      <c r="S786" s="14" t="str">
        <f aca="false">IF(O786="","",O786-R786)</f>
        <v/>
      </c>
      <c r="T786" s="11"/>
      <c r="U786" s="18" t="str">
        <f aca="false">IF(T786="","",IFERROR(VLOOKUP(T786,REPS!$A$2:$D$40,2,0),""))</f>
        <v/>
      </c>
      <c r="V786" s="14" t="str">
        <f aca="false">IF(O786="","",IF(U786="",0,O786*IF(U786&gt;1,U786/100,U786)))</f>
        <v/>
      </c>
      <c r="W786" s="11"/>
      <c r="X786" s="18" t="str">
        <f aca="false">IF(W786="","",IFERROR(VLOOKUP(W786,REPS!$A$2:$D$40,3,0),""))</f>
        <v/>
      </c>
      <c r="Y786" s="14" t="str">
        <f aca="false">IF(O786="","",IF(X786="",0,O786*IF(X786&gt;1,X786/100,X786)))</f>
        <v/>
      </c>
      <c r="Z786" s="11"/>
      <c r="AA786" s="18" t="str">
        <f aca="false">IF(Z786="","",IFERROR(VLOOKUP(Z786,REPS!$A$2:$D$40,4,0),""))</f>
        <v/>
      </c>
      <c r="AB786" s="14" t="str">
        <f aca="false">IF(O786="","",IF(AA786="",0,O786*IF(AA786&gt;1,AA786/100,AA786)))</f>
        <v/>
      </c>
      <c r="AC786" s="14" t="str">
        <f aca="false">IF(O786="","",V786+Y786+AB786)</f>
        <v/>
      </c>
      <c r="AD786" s="19" t="str">
        <f aca="false">IF(O786="","",O786-R786-AC786)</f>
        <v/>
      </c>
      <c r="AE786" s="20"/>
      <c r="AF786" s="10"/>
      <c r="AG786" s="21" t="n">
        <f aca="false">IF(OR(AE786="",AE786=0),0,AE786*IF(U786="",0,IF(U786&gt;1,U786/100,U786)))</f>
        <v>0</v>
      </c>
      <c r="AH786" s="21" t="n">
        <f aca="false">IF(OR(AE786="",AE786=0),0,AE786*IF(X786="",0,IF(X786&gt;1,X786/100,X786)))</f>
        <v>0</v>
      </c>
      <c r="AI786" s="21" t="n">
        <f aca="false">IF(OR(AE786="",AE786=0),0,AE786*IF(AA786="",0,IF(AA786&gt;1,AA786/100,AA786)))</f>
        <v>0</v>
      </c>
      <c r="AJ786" s="21" t="n">
        <f aca="false">AG786+AH786+AI786</f>
        <v>0</v>
      </c>
      <c r="AK786" s="21" t="n">
        <f aca="false">IF(OR(AE786="",AE786=0),0,AE786-AJ786)</f>
        <v>0</v>
      </c>
      <c r="AL786" s="19" t="str">
        <f aca="false">IF(AD786="","",AD786-AK786)</f>
        <v/>
      </c>
      <c r="AM786" s="9" t="str">
        <f aca="false">IF(C786="","","Waiting for payment")</f>
        <v/>
      </c>
      <c r="AN786" s="10"/>
      <c r="AO786" s="10"/>
      <c r="AP786" s="22" t="str">
        <f aca="false">IF(OR(C786="",I786="",K786=""),"",IF(K786="Monthly",EDATE(C786,ROUND(I786*SETTINGS!$I$8,0)),WORKDAY(C786,ROUND(I786*SETTINGS!$I$8,0))))</f>
        <v/>
      </c>
      <c r="AQ786" s="9" t="str">
        <f aca="true">IF(C786="","",IF(AND(AP786&lt;&gt;"",TODAY()&gt;=AP786),"Refi Ready",IF(TODAY()-C786&gt;=SETTINGS!$I$11,"Prospecting","Performing")))</f>
        <v/>
      </c>
      <c r="AR786" s="22" t="str">
        <f aca="false">IF(OR(C786="",I786="",K786=""),"",IF(K786="Monthly",EDATE(C786,I786),WORKDAY(C786,I786)))</f>
        <v/>
      </c>
      <c r="AS786" s="11"/>
      <c r="AT786" s="23" t="str">
        <f aca="true">IF(C786="","",IF(AM786="Clawed Back","CLAWED",IF(TODAY()&lt;=C786+SETTINGS!$I$2,"⚠ AT RISK","SAFE")))</f>
        <v/>
      </c>
      <c r="AU786" s="11"/>
      <c r="AW786" s="24" t="n">
        <f aca="false">AW785+IF(AND(C786&lt;&gt;"",AO786&lt;&gt;"",OR('REP COMMISSION'!$B$3="",T786='REP COMMISSION'!$B$3,W786='REP COMMISSION'!$B$3,Z786='REP COMMISSION'!$B$3)),1,0)</f>
        <v>0</v>
      </c>
      <c r="AX786" s="24" t="n">
        <f aca="false">AX785+IF(AND(C786&lt;&gt;"",OR(F786="LOC - INITIAL",F786="CONSOLIDATION - UPFRONT COMM",F786="REVERSE - TOTAL FUNDING")),1,0)</f>
        <v>0</v>
      </c>
    </row>
    <row r="787" customFormat="false" ht="15" hidden="false" customHeight="false" outlineLevel="0" collapsed="false">
      <c r="A787" s="25" t="str">
        <f aca="false">IF(C787&lt;&gt;"","F27-"&amp;COUNT($C$4:C787),"")</f>
        <v/>
      </c>
      <c r="B787" s="26" t="str">
        <f aca="false">IF(OR(F787="LOC - INITIAL",F787="CONSOLIDATION - UPFRONT COMM",F787="REVERSE - TOTAL FUNDING"),A787,"")</f>
        <v/>
      </c>
      <c r="C787" s="27"/>
      <c r="D787" s="28"/>
      <c r="E787" s="28"/>
      <c r="F787" s="28"/>
      <c r="G787" s="29"/>
      <c r="H787" s="30"/>
      <c r="I787" s="28"/>
      <c r="J787" s="31" t="str">
        <f aca="false">IF(AND(G787&lt;&gt;"",H787&lt;&gt;""),G787*H787,"")</f>
        <v/>
      </c>
      <c r="K787" s="28"/>
      <c r="L787" s="32"/>
      <c r="M787" s="32"/>
      <c r="N787" s="31" t="n">
        <f aca="false">IF(OR(G787="",M787=""),0,IF(M787&gt;100,M787,G787*IF(M787&gt;1,M787/100,M787)))</f>
        <v>0</v>
      </c>
      <c r="O787" s="31" t="str">
        <f aca="false">IF(G787="","",G787*IF(L787="",0,IF(L787&gt;1,L787/100,L787))+N787)</f>
        <v/>
      </c>
      <c r="P787" s="28"/>
      <c r="Q787" s="33" t="str">
        <f aca="false">IF(P787="","",IFERROR(VLOOKUP(P787,PARTNERS!$A$2:$B$30,2,0),""))</f>
        <v/>
      </c>
      <c r="R787" s="17" t="str">
        <f aca="false">IF(O787="","",IF(OR(P787="",Q787=""),0,(O787-N787)*IF(Q787&gt;1,Q787/100,Q787)))</f>
        <v/>
      </c>
      <c r="S787" s="31" t="str">
        <f aca="false">IF(O787="","",O787-R787)</f>
        <v/>
      </c>
      <c r="T787" s="28"/>
      <c r="U787" s="34" t="str">
        <f aca="false">IF(T787="","",IFERROR(VLOOKUP(T787,REPS!$A$2:$D$40,2,0),""))</f>
        <v/>
      </c>
      <c r="V787" s="31" t="str">
        <f aca="false">IF(O787="","",IF(U787="",0,O787*IF(U787&gt;1,U787/100,U787)))</f>
        <v/>
      </c>
      <c r="W787" s="28"/>
      <c r="X787" s="34" t="str">
        <f aca="false">IF(W787="","",IFERROR(VLOOKUP(W787,REPS!$A$2:$D$40,3,0),""))</f>
        <v/>
      </c>
      <c r="Y787" s="31" t="str">
        <f aca="false">IF(O787="","",IF(X787="",0,O787*IF(X787&gt;1,X787/100,X787)))</f>
        <v/>
      </c>
      <c r="Z787" s="28"/>
      <c r="AA787" s="34" t="str">
        <f aca="false">IF(Z787="","",IFERROR(VLOOKUP(Z787,REPS!$A$2:$D$40,4,0),""))</f>
        <v/>
      </c>
      <c r="AB787" s="31" t="str">
        <f aca="false">IF(O787="","",IF(AA787="",0,O787*IF(AA787&gt;1,AA787/100,AA787)))</f>
        <v/>
      </c>
      <c r="AC787" s="31" t="str">
        <f aca="false">IF(O787="","",V787+Y787+AB787)</f>
        <v/>
      </c>
      <c r="AD787" s="19" t="str">
        <f aca="false">IF(O787="","",O787-R787-AC787)</f>
        <v/>
      </c>
      <c r="AE787" s="20"/>
      <c r="AF787" s="27"/>
      <c r="AG787" s="21" t="n">
        <f aca="false">IF(OR(AE787="",AE787=0),0,AE787*IF(U787="",0,IF(U787&gt;1,U787/100,U787)))</f>
        <v>0</v>
      </c>
      <c r="AH787" s="21" t="n">
        <f aca="false">IF(OR(AE787="",AE787=0),0,AE787*IF(X787="",0,IF(X787&gt;1,X787/100,X787)))</f>
        <v>0</v>
      </c>
      <c r="AI787" s="21" t="n">
        <f aca="false">IF(OR(AE787="",AE787=0),0,AE787*IF(AA787="",0,IF(AA787&gt;1,AA787/100,AA787)))</f>
        <v>0</v>
      </c>
      <c r="AJ787" s="21" t="n">
        <f aca="false">AG787+AH787+AI787</f>
        <v>0</v>
      </c>
      <c r="AK787" s="21" t="n">
        <f aca="false">IF(OR(AE787="",AE787=0),0,AE787-AJ787)</f>
        <v>0</v>
      </c>
      <c r="AL787" s="19" t="str">
        <f aca="false">IF(AD787="","",AD787-AK787)</f>
        <v/>
      </c>
      <c r="AM787" s="26" t="str">
        <f aca="false">IF(C787="","","Waiting for payment")</f>
        <v/>
      </c>
      <c r="AN787" s="27"/>
      <c r="AO787" s="27"/>
      <c r="AP787" s="35" t="str">
        <f aca="false">IF(OR(C787="",I787="",K787=""),"",IF(K787="Monthly",EDATE(C787,ROUND(I787*SETTINGS!$I$8,0)),WORKDAY(C787,ROUND(I787*SETTINGS!$I$8,0))))</f>
        <v/>
      </c>
      <c r="AQ787" s="26" t="str">
        <f aca="true">IF(C787="","",IF(AND(AP787&lt;&gt;"",TODAY()&gt;=AP787),"Refi Ready",IF(TODAY()-C787&gt;=SETTINGS!$I$11,"Prospecting","Performing")))</f>
        <v/>
      </c>
      <c r="AR787" s="35" t="str">
        <f aca="false">IF(OR(C787="",I787="",K787=""),"",IF(K787="Monthly",EDATE(C787,I787),WORKDAY(C787,I787)))</f>
        <v/>
      </c>
      <c r="AS787" s="28"/>
      <c r="AT787" s="36" t="str">
        <f aca="true">IF(C787="","",IF(AM787="Clawed Back","CLAWED",IF(TODAY()&lt;=C787+SETTINGS!$I$2,"⚠ AT RISK","SAFE")))</f>
        <v/>
      </c>
      <c r="AU787" s="28"/>
      <c r="AW787" s="24" t="n">
        <f aca="false">AW786+IF(AND(C787&lt;&gt;"",AO787&lt;&gt;"",OR('REP COMMISSION'!$B$3="",T787='REP COMMISSION'!$B$3,W787='REP COMMISSION'!$B$3,Z787='REP COMMISSION'!$B$3)),1,0)</f>
        <v>0</v>
      </c>
      <c r="AX787" s="24" t="n">
        <f aca="false">AX786+IF(AND(C787&lt;&gt;"",OR(F787="LOC - INITIAL",F787="CONSOLIDATION - UPFRONT COMM",F787="REVERSE - TOTAL FUNDING")),1,0)</f>
        <v>0</v>
      </c>
    </row>
    <row r="788" customFormat="false" ht="15" hidden="false" customHeight="false" outlineLevel="0" collapsed="false">
      <c r="A788" s="8" t="str">
        <f aca="false">IF(C788&lt;&gt;"","F27-"&amp;COUNT($C$4:C788),"")</f>
        <v/>
      </c>
      <c r="B788" s="9" t="str">
        <f aca="false">IF(OR(F788="LOC - INITIAL",F788="CONSOLIDATION - UPFRONT COMM",F788="REVERSE - TOTAL FUNDING"),A788,"")</f>
        <v/>
      </c>
      <c r="C788" s="10"/>
      <c r="D788" s="11"/>
      <c r="E788" s="11"/>
      <c r="F788" s="11"/>
      <c r="G788" s="12"/>
      <c r="H788" s="13"/>
      <c r="I788" s="11"/>
      <c r="J788" s="14" t="str">
        <f aca="false">IF(AND(G788&lt;&gt;"",H788&lt;&gt;""),G788*H788,"")</f>
        <v/>
      </c>
      <c r="K788" s="11"/>
      <c r="L788" s="15"/>
      <c r="M788" s="15"/>
      <c r="N788" s="14" t="n">
        <f aca="false">IF(OR(G788="",M788=""),0,IF(M788&gt;100,M788,G788*IF(M788&gt;1,M788/100,M788)))</f>
        <v>0</v>
      </c>
      <c r="O788" s="14" t="str">
        <f aca="false">IF(G788="","",G788*IF(L788="",0,IF(L788&gt;1,L788/100,L788))+N788)</f>
        <v/>
      </c>
      <c r="P788" s="11"/>
      <c r="Q788" s="16" t="str">
        <f aca="false">IF(P788="","",IFERROR(VLOOKUP(P788,PARTNERS!$A$2:$B$30,2,0),""))</f>
        <v/>
      </c>
      <c r="R788" s="17" t="str">
        <f aca="false">IF(O788="","",IF(OR(P788="",Q788=""),0,(O788-N788)*IF(Q788&gt;1,Q788/100,Q788)))</f>
        <v/>
      </c>
      <c r="S788" s="14" t="str">
        <f aca="false">IF(O788="","",O788-R788)</f>
        <v/>
      </c>
      <c r="T788" s="11"/>
      <c r="U788" s="18" t="str">
        <f aca="false">IF(T788="","",IFERROR(VLOOKUP(T788,REPS!$A$2:$D$40,2,0),""))</f>
        <v/>
      </c>
      <c r="V788" s="14" t="str">
        <f aca="false">IF(O788="","",IF(U788="",0,O788*IF(U788&gt;1,U788/100,U788)))</f>
        <v/>
      </c>
      <c r="W788" s="11"/>
      <c r="X788" s="18" t="str">
        <f aca="false">IF(W788="","",IFERROR(VLOOKUP(W788,REPS!$A$2:$D$40,3,0),""))</f>
        <v/>
      </c>
      <c r="Y788" s="14" t="str">
        <f aca="false">IF(O788="","",IF(X788="",0,O788*IF(X788&gt;1,X788/100,X788)))</f>
        <v/>
      </c>
      <c r="Z788" s="11"/>
      <c r="AA788" s="18" t="str">
        <f aca="false">IF(Z788="","",IFERROR(VLOOKUP(Z788,REPS!$A$2:$D$40,4,0),""))</f>
        <v/>
      </c>
      <c r="AB788" s="14" t="str">
        <f aca="false">IF(O788="","",IF(AA788="",0,O788*IF(AA788&gt;1,AA788/100,AA788)))</f>
        <v/>
      </c>
      <c r="AC788" s="14" t="str">
        <f aca="false">IF(O788="","",V788+Y788+AB788)</f>
        <v/>
      </c>
      <c r="AD788" s="19" t="str">
        <f aca="false">IF(O788="","",O788-R788-AC788)</f>
        <v/>
      </c>
      <c r="AE788" s="20"/>
      <c r="AF788" s="10"/>
      <c r="AG788" s="21" t="n">
        <f aca="false">IF(OR(AE788="",AE788=0),0,AE788*IF(U788="",0,IF(U788&gt;1,U788/100,U788)))</f>
        <v>0</v>
      </c>
      <c r="AH788" s="21" t="n">
        <f aca="false">IF(OR(AE788="",AE788=0),0,AE788*IF(X788="",0,IF(X788&gt;1,X788/100,X788)))</f>
        <v>0</v>
      </c>
      <c r="AI788" s="21" t="n">
        <f aca="false">IF(OR(AE788="",AE788=0),0,AE788*IF(AA788="",0,IF(AA788&gt;1,AA788/100,AA788)))</f>
        <v>0</v>
      </c>
      <c r="AJ788" s="21" t="n">
        <f aca="false">AG788+AH788+AI788</f>
        <v>0</v>
      </c>
      <c r="AK788" s="21" t="n">
        <f aca="false">IF(OR(AE788="",AE788=0),0,AE788-AJ788)</f>
        <v>0</v>
      </c>
      <c r="AL788" s="19" t="str">
        <f aca="false">IF(AD788="","",AD788-AK788)</f>
        <v/>
      </c>
      <c r="AM788" s="9" t="str">
        <f aca="false">IF(C788="","","Waiting for payment")</f>
        <v/>
      </c>
      <c r="AN788" s="10"/>
      <c r="AO788" s="10"/>
      <c r="AP788" s="22" t="str">
        <f aca="false">IF(OR(C788="",I788="",K788=""),"",IF(K788="Monthly",EDATE(C788,ROUND(I788*SETTINGS!$I$8,0)),WORKDAY(C788,ROUND(I788*SETTINGS!$I$8,0))))</f>
        <v/>
      </c>
      <c r="AQ788" s="9" t="str">
        <f aca="true">IF(C788="","",IF(AND(AP788&lt;&gt;"",TODAY()&gt;=AP788),"Refi Ready",IF(TODAY()-C788&gt;=SETTINGS!$I$11,"Prospecting","Performing")))</f>
        <v/>
      </c>
      <c r="AR788" s="22" t="str">
        <f aca="false">IF(OR(C788="",I788="",K788=""),"",IF(K788="Monthly",EDATE(C788,I788),WORKDAY(C788,I788)))</f>
        <v/>
      </c>
      <c r="AS788" s="11"/>
      <c r="AT788" s="23" t="str">
        <f aca="true">IF(C788="","",IF(AM788="Clawed Back","CLAWED",IF(TODAY()&lt;=C788+SETTINGS!$I$2,"⚠ AT RISK","SAFE")))</f>
        <v/>
      </c>
      <c r="AU788" s="11"/>
      <c r="AW788" s="24" t="n">
        <f aca="false">AW787+IF(AND(C788&lt;&gt;"",AO788&lt;&gt;"",OR('REP COMMISSION'!$B$3="",T788='REP COMMISSION'!$B$3,W788='REP COMMISSION'!$B$3,Z788='REP COMMISSION'!$B$3)),1,0)</f>
        <v>0</v>
      </c>
      <c r="AX788" s="24" t="n">
        <f aca="false">AX787+IF(AND(C788&lt;&gt;"",OR(F788="LOC - INITIAL",F788="CONSOLIDATION - UPFRONT COMM",F788="REVERSE - TOTAL FUNDING")),1,0)</f>
        <v>0</v>
      </c>
    </row>
    <row r="789" customFormat="false" ht="15" hidden="false" customHeight="false" outlineLevel="0" collapsed="false">
      <c r="A789" s="25" t="str">
        <f aca="false">IF(C789&lt;&gt;"","F27-"&amp;COUNT($C$4:C789),"")</f>
        <v/>
      </c>
      <c r="B789" s="26" t="str">
        <f aca="false">IF(OR(F789="LOC - INITIAL",F789="CONSOLIDATION - UPFRONT COMM",F789="REVERSE - TOTAL FUNDING"),A789,"")</f>
        <v/>
      </c>
      <c r="C789" s="27"/>
      <c r="D789" s="28"/>
      <c r="E789" s="28"/>
      <c r="F789" s="28"/>
      <c r="G789" s="29"/>
      <c r="H789" s="30"/>
      <c r="I789" s="28"/>
      <c r="J789" s="31" t="str">
        <f aca="false">IF(AND(G789&lt;&gt;"",H789&lt;&gt;""),G789*H789,"")</f>
        <v/>
      </c>
      <c r="K789" s="28"/>
      <c r="L789" s="32"/>
      <c r="M789" s="32"/>
      <c r="N789" s="31" t="n">
        <f aca="false">IF(OR(G789="",M789=""),0,IF(M789&gt;100,M789,G789*IF(M789&gt;1,M789/100,M789)))</f>
        <v>0</v>
      </c>
      <c r="O789" s="31" t="str">
        <f aca="false">IF(G789="","",G789*IF(L789="",0,IF(L789&gt;1,L789/100,L789))+N789)</f>
        <v/>
      </c>
      <c r="P789" s="28"/>
      <c r="Q789" s="33" t="str">
        <f aca="false">IF(P789="","",IFERROR(VLOOKUP(P789,PARTNERS!$A$2:$B$30,2,0),""))</f>
        <v/>
      </c>
      <c r="R789" s="17" t="str">
        <f aca="false">IF(O789="","",IF(OR(P789="",Q789=""),0,(O789-N789)*IF(Q789&gt;1,Q789/100,Q789)))</f>
        <v/>
      </c>
      <c r="S789" s="31" t="str">
        <f aca="false">IF(O789="","",O789-R789)</f>
        <v/>
      </c>
      <c r="T789" s="28"/>
      <c r="U789" s="34" t="str">
        <f aca="false">IF(T789="","",IFERROR(VLOOKUP(T789,REPS!$A$2:$D$40,2,0),""))</f>
        <v/>
      </c>
      <c r="V789" s="31" t="str">
        <f aca="false">IF(O789="","",IF(U789="",0,O789*IF(U789&gt;1,U789/100,U789)))</f>
        <v/>
      </c>
      <c r="W789" s="28"/>
      <c r="X789" s="34" t="str">
        <f aca="false">IF(W789="","",IFERROR(VLOOKUP(W789,REPS!$A$2:$D$40,3,0),""))</f>
        <v/>
      </c>
      <c r="Y789" s="31" t="str">
        <f aca="false">IF(O789="","",IF(X789="",0,O789*IF(X789&gt;1,X789/100,X789)))</f>
        <v/>
      </c>
      <c r="Z789" s="28"/>
      <c r="AA789" s="34" t="str">
        <f aca="false">IF(Z789="","",IFERROR(VLOOKUP(Z789,REPS!$A$2:$D$40,4,0),""))</f>
        <v/>
      </c>
      <c r="AB789" s="31" t="str">
        <f aca="false">IF(O789="","",IF(AA789="",0,O789*IF(AA789&gt;1,AA789/100,AA789)))</f>
        <v/>
      </c>
      <c r="AC789" s="31" t="str">
        <f aca="false">IF(O789="","",V789+Y789+AB789)</f>
        <v/>
      </c>
      <c r="AD789" s="19" t="str">
        <f aca="false">IF(O789="","",O789-R789-AC789)</f>
        <v/>
      </c>
      <c r="AE789" s="20"/>
      <c r="AF789" s="27"/>
      <c r="AG789" s="21" t="n">
        <f aca="false">IF(OR(AE789="",AE789=0),0,AE789*IF(U789="",0,IF(U789&gt;1,U789/100,U789)))</f>
        <v>0</v>
      </c>
      <c r="AH789" s="21" t="n">
        <f aca="false">IF(OR(AE789="",AE789=0),0,AE789*IF(X789="",0,IF(X789&gt;1,X789/100,X789)))</f>
        <v>0</v>
      </c>
      <c r="AI789" s="21" t="n">
        <f aca="false">IF(OR(AE789="",AE789=0),0,AE789*IF(AA789="",0,IF(AA789&gt;1,AA789/100,AA789)))</f>
        <v>0</v>
      </c>
      <c r="AJ789" s="21" t="n">
        <f aca="false">AG789+AH789+AI789</f>
        <v>0</v>
      </c>
      <c r="AK789" s="21" t="n">
        <f aca="false">IF(OR(AE789="",AE789=0),0,AE789-AJ789)</f>
        <v>0</v>
      </c>
      <c r="AL789" s="19" t="str">
        <f aca="false">IF(AD789="","",AD789-AK789)</f>
        <v/>
      </c>
      <c r="AM789" s="26" t="str">
        <f aca="false">IF(C789="","","Waiting for payment")</f>
        <v/>
      </c>
      <c r="AN789" s="27"/>
      <c r="AO789" s="27"/>
      <c r="AP789" s="35" t="str">
        <f aca="false">IF(OR(C789="",I789="",K789=""),"",IF(K789="Monthly",EDATE(C789,ROUND(I789*SETTINGS!$I$8,0)),WORKDAY(C789,ROUND(I789*SETTINGS!$I$8,0))))</f>
        <v/>
      </c>
      <c r="AQ789" s="26" t="str">
        <f aca="true">IF(C789="","",IF(AND(AP789&lt;&gt;"",TODAY()&gt;=AP789),"Refi Ready",IF(TODAY()-C789&gt;=SETTINGS!$I$11,"Prospecting","Performing")))</f>
        <v/>
      </c>
      <c r="AR789" s="35" t="str">
        <f aca="false">IF(OR(C789="",I789="",K789=""),"",IF(K789="Monthly",EDATE(C789,I789),WORKDAY(C789,I789)))</f>
        <v/>
      </c>
      <c r="AS789" s="28"/>
      <c r="AT789" s="36" t="str">
        <f aca="true">IF(C789="","",IF(AM789="Clawed Back","CLAWED",IF(TODAY()&lt;=C789+SETTINGS!$I$2,"⚠ AT RISK","SAFE")))</f>
        <v/>
      </c>
      <c r="AU789" s="28"/>
      <c r="AW789" s="24" t="n">
        <f aca="false">AW788+IF(AND(C789&lt;&gt;"",AO789&lt;&gt;"",OR('REP COMMISSION'!$B$3="",T789='REP COMMISSION'!$B$3,W789='REP COMMISSION'!$B$3,Z789='REP COMMISSION'!$B$3)),1,0)</f>
        <v>0</v>
      </c>
      <c r="AX789" s="24" t="n">
        <f aca="false">AX788+IF(AND(C789&lt;&gt;"",OR(F789="LOC - INITIAL",F789="CONSOLIDATION - UPFRONT COMM",F789="REVERSE - TOTAL FUNDING")),1,0)</f>
        <v>0</v>
      </c>
    </row>
    <row r="790" customFormat="false" ht="15" hidden="false" customHeight="false" outlineLevel="0" collapsed="false">
      <c r="A790" s="8" t="str">
        <f aca="false">IF(C790&lt;&gt;"","F27-"&amp;COUNT($C$4:C790),"")</f>
        <v/>
      </c>
      <c r="B790" s="9" t="str">
        <f aca="false">IF(OR(F790="LOC - INITIAL",F790="CONSOLIDATION - UPFRONT COMM",F790="REVERSE - TOTAL FUNDING"),A790,"")</f>
        <v/>
      </c>
      <c r="C790" s="10"/>
      <c r="D790" s="11"/>
      <c r="E790" s="11"/>
      <c r="F790" s="11"/>
      <c r="G790" s="12"/>
      <c r="H790" s="13"/>
      <c r="I790" s="11"/>
      <c r="J790" s="14" t="str">
        <f aca="false">IF(AND(G790&lt;&gt;"",H790&lt;&gt;""),G790*H790,"")</f>
        <v/>
      </c>
      <c r="K790" s="11"/>
      <c r="L790" s="15"/>
      <c r="M790" s="15"/>
      <c r="N790" s="14" t="n">
        <f aca="false">IF(OR(G790="",M790=""),0,IF(M790&gt;100,M790,G790*IF(M790&gt;1,M790/100,M790)))</f>
        <v>0</v>
      </c>
      <c r="O790" s="14" t="str">
        <f aca="false">IF(G790="","",G790*IF(L790="",0,IF(L790&gt;1,L790/100,L790))+N790)</f>
        <v/>
      </c>
      <c r="P790" s="11"/>
      <c r="Q790" s="16" t="str">
        <f aca="false">IF(P790="","",IFERROR(VLOOKUP(P790,PARTNERS!$A$2:$B$30,2,0),""))</f>
        <v/>
      </c>
      <c r="R790" s="17" t="str">
        <f aca="false">IF(O790="","",IF(OR(P790="",Q790=""),0,(O790-N790)*IF(Q790&gt;1,Q790/100,Q790)))</f>
        <v/>
      </c>
      <c r="S790" s="14" t="str">
        <f aca="false">IF(O790="","",O790-R790)</f>
        <v/>
      </c>
      <c r="T790" s="11"/>
      <c r="U790" s="18" t="str">
        <f aca="false">IF(T790="","",IFERROR(VLOOKUP(T790,REPS!$A$2:$D$40,2,0),""))</f>
        <v/>
      </c>
      <c r="V790" s="14" t="str">
        <f aca="false">IF(O790="","",IF(U790="",0,O790*IF(U790&gt;1,U790/100,U790)))</f>
        <v/>
      </c>
      <c r="W790" s="11"/>
      <c r="X790" s="18" t="str">
        <f aca="false">IF(W790="","",IFERROR(VLOOKUP(W790,REPS!$A$2:$D$40,3,0),""))</f>
        <v/>
      </c>
      <c r="Y790" s="14" t="str">
        <f aca="false">IF(O790="","",IF(X790="",0,O790*IF(X790&gt;1,X790/100,X790)))</f>
        <v/>
      </c>
      <c r="Z790" s="11"/>
      <c r="AA790" s="18" t="str">
        <f aca="false">IF(Z790="","",IFERROR(VLOOKUP(Z790,REPS!$A$2:$D$40,4,0),""))</f>
        <v/>
      </c>
      <c r="AB790" s="14" t="str">
        <f aca="false">IF(O790="","",IF(AA790="",0,O790*IF(AA790&gt;1,AA790/100,AA790)))</f>
        <v/>
      </c>
      <c r="AC790" s="14" t="str">
        <f aca="false">IF(O790="","",V790+Y790+AB790)</f>
        <v/>
      </c>
      <c r="AD790" s="19" t="str">
        <f aca="false">IF(O790="","",O790-R790-AC790)</f>
        <v/>
      </c>
      <c r="AE790" s="20"/>
      <c r="AF790" s="10"/>
      <c r="AG790" s="21" t="n">
        <f aca="false">IF(OR(AE790="",AE790=0),0,AE790*IF(U790="",0,IF(U790&gt;1,U790/100,U790)))</f>
        <v>0</v>
      </c>
      <c r="AH790" s="21" t="n">
        <f aca="false">IF(OR(AE790="",AE790=0),0,AE790*IF(X790="",0,IF(X790&gt;1,X790/100,X790)))</f>
        <v>0</v>
      </c>
      <c r="AI790" s="21" t="n">
        <f aca="false">IF(OR(AE790="",AE790=0),0,AE790*IF(AA790="",0,IF(AA790&gt;1,AA790/100,AA790)))</f>
        <v>0</v>
      </c>
      <c r="AJ790" s="21" t="n">
        <f aca="false">AG790+AH790+AI790</f>
        <v>0</v>
      </c>
      <c r="AK790" s="21" t="n">
        <f aca="false">IF(OR(AE790="",AE790=0),0,AE790-AJ790)</f>
        <v>0</v>
      </c>
      <c r="AL790" s="19" t="str">
        <f aca="false">IF(AD790="","",AD790-AK790)</f>
        <v/>
      </c>
      <c r="AM790" s="9" t="str">
        <f aca="false">IF(C790="","","Waiting for payment")</f>
        <v/>
      </c>
      <c r="AN790" s="10"/>
      <c r="AO790" s="10"/>
      <c r="AP790" s="22" t="str">
        <f aca="false">IF(OR(C790="",I790="",K790=""),"",IF(K790="Monthly",EDATE(C790,ROUND(I790*SETTINGS!$I$8,0)),WORKDAY(C790,ROUND(I790*SETTINGS!$I$8,0))))</f>
        <v/>
      </c>
      <c r="AQ790" s="9" t="str">
        <f aca="true">IF(C790="","",IF(AND(AP790&lt;&gt;"",TODAY()&gt;=AP790),"Refi Ready",IF(TODAY()-C790&gt;=SETTINGS!$I$11,"Prospecting","Performing")))</f>
        <v/>
      </c>
      <c r="AR790" s="22" t="str">
        <f aca="false">IF(OR(C790="",I790="",K790=""),"",IF(K790="Monthly",EDATE(C790,I790),WORKDAY(C790,I790)))</f>
        <v/>
      </c>
      <c r="AS790" s="11"/>
      <c r="AT790" s="23" t="str">
        <f aca="true">IF(C790="","",IF(AM790="Clawed Back","CLAWED",IF(TODAY()&lt;=C790+SETTINGS!$I$2,"⚠ AT RISK","SAFE")))</f>
        <v/>
      </c>
      <c r="AU790" s="11"/>
      <c r="AW790" s="24" t="n">
        <f aca="false">AW789+IF(AND(C790&lt;&gt;"",AO790&lt;&gt;"",OR('REP COMMISSION'!$B$3="",T790='REP COMMISSION'!$B$3,W790='REP COMMISSION'!$B$3,Z790='REP COMMISSION'!$B$3)),1,0)</f>
        <v>0</v>
      </c>
      <c r="AX790" s="24" t="n">
        <f aca="false">AX789+IF(AND(C790&lt;&gt;"",OR(F790="LOC - INITIAL",F790="CONSOLIDATION - UPFRONT COMM",F790="REVERSE - TOTAL FUNDING")),1,0)</f>
        <v>0</v>
      </c>
    </row>
    <row r="791" customFormat="false" ht="15" hidden="false" customHeight="false" outlineLevel="0" collapsed="false">
      <c r="A791" s="25" t="str">
        <f aca="false">IF(C791&lt;&gt;"","F27-"&amp;COUNT($C$4:C791),"")</f>
        <v/>
      </c>
      <c r="B791" s="26" t="str">
        <f aca="false">IF(OR(F791="LOC - INITIAL",F791="CONSOLIDATION - UPFRONT COMM",F791="REVERSE - TOTAL FUNDING"),A791,"")</f>
        <v/>
      </c>
      <c r="C791" s="27"/>
      <c r="D791" s="28"/>
      <c r="E791" s="28"/>
      <c r="F791" s="28"/>
      <c r="G791" s="29"/>
      <c r="H791" s="30"/>
      <c r="I791" s="28"/>
      <c r="J791" s="31" t="str">
        <f aca="false">IF(AND(G791&lt;&gt;"",H791&lt;&gt;""),G791*H791,"")</f>
        <v/>
      </c>
      <c r="K791" s="28"/>
      <c r="L791" s="32"/>
      <c r="M791" s="32"/>
      <c r="N791" s="31" t="n">
        <f aca="false">IF(OR(G791="",M791=""),0,IF(M791&gt;100,M791,G791*IF(M791&gt;1,M791/100,M791)))</f>
        <v>0</v>
      </c>
      <c r="O791" s="31" t="str">
        <f aca="false">IF(G791="","",G791*IF(L791="",0,IF(L791&gt;1,L791/100,L791))+N791)</f>
        <v/>
      </c>
      <c r="P791" s="28"/>
      <c r="Q791" s="33" t="str">
        <f aca="false">IF(P791="","",IFERROR(VLOOKUP(P791,PARTNERS!$A$2:$B$30,2,0),""))</f>
        <v/>
      </c>
      <c r="R791" s="17" t="str">
        <f aca="false">IF(O791="","",IF(OR(P791="",Q791=""),0,(O791-N791)*IF(Q791&gt;1,Q791/100,Q791)))</f>
        <v/>
      </c>
      <c r="S791" s="31" t="str">
        <f aca="false">IF(O791="","",O791-R791)</f>
        <v/>
      </c>
      <c r="T791" s="28"/>
      <c r="U791" s="34" t="str">
        <f aca="false">IF(T791="","",IFERROR(VLOOKUP(T791,REPS!$A$2:$D$40,2,0),""))</f>
        <v/>
      </c>
      <c r="V791" s="31" t="str">
        <f aca="false">IF(O791="","",IF(U791="",0,O791*IF(U791&gt;1,U791/100,U791)))</f>
        <v/>
      </c>
      <c r="W791" s="28"/>
      <c r="X791" s="34" t="str">
        <f aca="false">IF(W791="","",IFERROR(VLOOKUP(W791,REPS!$A$2:$D$40,3,0),""))</f>
        <v/>
      </c>
      <c r="Y791" s="31" t="str">
        <f aca="false">IF(O791="","",IF(X791="",0,O791*IF(X791&gt;1,X791/100,X791)))</f>
        <v/>
      </c>
      <c r="Z791" s="28"/>
      <c r="AA791" s="34" t="str">
        <f aca="false">IF(Z791="","",IFERROR(VLOOKUP(Z791,REPS!$A$2:$D$40,4,0),""))</f>
        <v/>
      </c>
      <c r="AB791" s="31" t="str">
        <f aca="false">IF(O791="","",IF(AA791="",0,O791*IF(AA791&gt;1,AA791/100,AA791)))</f>
        <v/>
      </c>
      <c r="AC791" s="31" t="str">
        <f aca="false">IF(O791="","",V791+Y791+AB791)</f>
        <v/>
      </c>
      <c r="AD791" s="19" t="str">
        <f aca="false">IF(O791="","",O791-R791-AC791)</f>
        <v/>
      </c>
      <c r="AE791" s="20"/>
      <c r="AF791" s="27"/>
      <c r="AG791" s="21" t="n">
        <f aca="false">IF(OR(AE791="",AE791=0),0,AE791*IF(U791="",0,IF(U791&gt;1,U791/100,U791)))</f>
        <v>0</v>
      </c>
      <c r="AH791" s="21" t="n">
        <f aca="false">IF(OR(AE791="",AE791=0),0,AE791*IF(X791="",0,IF(X791&gt;1,X791/100,X791)))</f>
        <v>0</v>
      </c>
      <c r="AI791" s="21" t="n">
        <f aca="false">IF(OR(AE791="",AE791=0),0,AE791*IF(AA791="",0,IF(AA791&gt;1,AA791/100,AA791)))</f>
        <v>0</v>
      </c>
      <c r="AJ791" s="21" t="n">
        <f aca="false">AG791+AH791+AI791</f>
        <v>0</v>
      </c>
      <c r="AK791" s="21" t="n">
        <f aca="false">IF(OR(AE791="",AE791=0),0,AE791-AJ791)</f>
        <v>0</v>
      </c>
      <c r="AL791" s="19" t="str">
        <f aca="false">IF(AD791="","",AD791-AK791)</f>
        <v/>
      </c>
      <c r="AM791" s="26" t="str">
        <f aca="false">IF(C791="","","Waiting for payment")</f>
        <v/>
      </c>
      <c r="AN791" s="27"/>
      <c r="AO791" s="27"/>
      <c r="AP791" s="35" t="str">
        <f aca="false">IF(OR(C791="",I791="",K791=""),"",IF(K791="Monthly",EDATE(C791,ROUND(I791*SETTINGS!$I$8,0)),WORKDAY(C791,ROUND(I791*SETTINGS!$I$8,0))))</f>
        <v/>
      </c>
      <c r="AQ791" s="26" t="str">
        <f aca="true">IF(C791="","",IF(AND(AP791&lt;&gt;"",TODAY()&gt;=AP791),"Refi Ready",IF(TODAY()-C791&gt;=SETTINGS!$I$11,"Prospecting","Performing")))</f>
        <v/>
      </c>
      <c r="AR791" s="35" t="str">
        <f aca="false">IF(OR(C791="",I791="",K791=""),"",IF(K791="Monthly",EDATE(C791,I791),WORKDAY(C791,I791)))</f>
        <v/>
      </c>
      <c r="AS791" s="28"/>
      <c r="AT791" s="36" t="str">
        <f aca="true">IF(C791="","",IF(AM791="Clawed Back","CLAWED",IF(TODAY()&lt;=C791+SETTINGS!$I$2,"⚠ AT RISK","SAFE")))</f>
        <v/>
      </c>
      <c r="AU791" s="28"/>
      <c r="AW791" s="24" t="n">
        <f aca="false">AW790+IF(AND(C791&lt;&gt;"",AO791&lt;&gt;"",OR('REP COMMISSION'!$B$3="",T791='REP COMMISSION'!$B$3,W791='REP COMMISSION'!$B$3,Z791='REP COMMISSION'!$B$3)),1,0)</f>
        <v>0</v>
      </c>
      <c r="AX791" s="24" t="n">
        <f aca="false">AX790+IF(AND(C791&lt;&gt;"",OR(F791="LOC - INITIAL",F791="CONSOLIDATION - UPFRONT COMM",F791="REVERSE - TOTAL FUNDING")),1,0)</f>
        <v>0</v>
      </c>
    </row>
    <row r="792" customFormat="false" ht="15" hidden="false" customHeight="false" outlineLevel="0" collapsed="false">
      <c r="A792" s="8" t="str">
        <f aca="false">IF(C792&lt;&gt;"","F27-"&amp;COUNT($C$4:C792),"")</f>
        <v/>
      </c>
      <c r="B792" s="9" t="str">
        <f aca="false">IF(OR(F792="LOC - INITIAL",F792="CONSOLIDATION - UPFRONT COMM",F792="REVERSE - TOTAL FUNDING"),A792,"")</f>
        <v/>
      </c>
      <c r="C792" s="10"/>
      <c r="D792" s="11"/>
      <c r="E792" s="11"/>
      <c r="F792" s="11"/>
      <c r="G792" s="12"/>
      <c r="H792" s="13"/>
      <c r="I792" s="11"/>
      <c r="J792" s="14" t="str">
        <f aca="false">IF(AND(G792&lt;&gt;"",H792&lt;&gt;""),G792*H792,"")</f>
        <v/>
      </c>
      <c r="K792" s="11"/>
      <c r="L792" s="15"/>
      <c r="M792" s="15"/>
      <c r="N792" s="14" t="n">
        <f aca="false">IF(OR(G792="",M792=""),0,IF(M792&gt;100,M792,G792*IF(M792&gt;1,M792/100,M792)))</f>
        <v>0</v>
      </c>
      <c r="O792" s="14" t="str">
        <f aca="false">IF(G792="","",G792*IF(L792="",0,IF(L792&gt;1,L792/100,L792))+N792)</f>
        <v/>
      </c>
      <c r="P792" s="11"/>
      <c r="Q792" s="16" t="str">
        <f aca="false">IF(P792="","",IFERROR(VLOOKUP(P792,PARTNERS!$A$2:$B$30,2,0),""))</f>
        <v/>
      </c>
      <c r="R792" s="17" t="str">
        <f aca="false">IF(O792="","",IF(OR(P792="",Q792=""),0,(O792-N792)*IF(Q792&gt;1,Q792/100,Q792)))</f>
        <v/>
      </c>
      <c r="S792" s="14" t="str">
        <f aca="false">IF(O792="","",O792-R792)</f>
        <v/>
      </c>
      <c r="T792" s="11"/>
      <c r="U792" s="18" t="str">
        <f aca="false">IF(T792="","",IFERROR(VLOOKUP(T792,REPS!$A$2:$D$40,2,0),""))</f>
        <v/>
      </c>
      <c r="V792" s="14" t="str">
        <f aca="false">IF(O792="","",IF(U792="",0,O792*IF(U792&gt;1,U792/100,U792)))</f>
        <v/>
      </c>
      <c r="W792" s="11"/>
      <c r="X792" s="18" t="str">
        <f aca="false">IF(W792="","",IFERROR(VLOOKUP(W792,REPS!$A$2:$D$40,3,0),""))</f>
        <v/>
      </c>
      <c r="Y792" s="14" t="str">
        <f aca="false">IF(O792="","",IF(X792="",0,O792*IF(X792&gt;1,X792/100,X792)))</f>
        <v/>
      </c>
      <c r="Z792" s="11"/>
      <c r="AA792" s="18" t="str">
        <f aca="false">IF(Z792="","",IFERROR(VLOOKUP(Z792,REPS!$A$2:$D$40,4,0),""))</f>
        <v/>
      </c>
      <c r="AB792" s="14" t="str">
        <f aca="false">IF(O792="","",IF(AA792="",0,O792*IF(AA792&gt;1,AA792/100,AA792)))</f>
        <v/>
      </c>
      <c r="AC792" s="14" t="str">
        <f aca="false">IF(O792="","",V792+Y792+AB792)</f>
        <v/>
      </c>
      <c r="AD792" s="19" t="str">
        <f aca="false">IF(O792="","",O792-R792-AC792)</f>
        <v/>
      </c>
      <c r="AE792" s="20"/>
      <c r="AF792" s="10"/>
      <c r="AG792" s="21" t="n">
        <f aca="false">IF(OR(AE792="",AE792=0),0,AE792*IF(U792="",0,IF(U792&gt;1,U792/100,U792)))</f>
        <v>0</v>
      </c>
      <c r="AH792" s="21" t="n">
        <f aca="false">IF(OR(AE792="",AE792=0),0,AE792*IF(X792="",0,IF(X792&gt;1,X792/100,X792)))</f>
        <v>0</v>
      </c>
      <c r="AI792" s="21" t="n">
        <f aca="false">IF(OR(AE792="",AE792=0),0,AE792*IF(AA792="",0,IF(AA792&gt;1,AA792/100,AA792)))</f>
        <v>0</v>
      </c>
      <c r="AJ792" s="21" t="n">
        <f aca="false">AG792+AH792+AI792</f>
        <v>0</v>
      </c>
      <c r="AK792" s="21" t="n">
        <f aca="false">IF(OR(AE792="",AE792=0),0,AE792-AJ792)</f>
        <v>0</v>
      </c>
      <c r="AL792" s="19" t="str">
        <f aca="false">IF(AD792="","",AD792-AK792)</f>
        <v/>
      </c>
      <c r="AM792" s="9" t="str">
        <f aca="false">IF(C792="","","Waiting for payment")</f>
        <v/>
      </c>
      <c r="AN792" s="10"/>
      <c r="AO792" s="10"/>
      <c r="AP792" s="22" t="str">
        <f aca="false">IF(OR(C792="",I792="",K792=""),"",IF(K792="Monthly",EDATE(C792,ROUND(I792*SETTINGS!$I$8,0)),WORKDAY(C792,ROUND(I792*SETTINGS!$I$8,0))))</f>
        <v/>
      </c>
      <c r="AQ792" s="9" t="str">
        <f aca="true">IF(C792="","",IF(AND(AP792&lt;&gt;"",TODAY()&gt;=AP792),"Refi Ready",IF(TODAY()-C792&gt;=SETTINGS!$I$11,"Prospecting","Performing")))</f>
        <v/>
      </c>
      <c r="AR792" s="22" t="str">
        <f aca="false">IF(OR(C792="",I792="",K792=""),"",IF(K792="Monthly",EDATE(C792,I792),WORKDAY(C792,I792)))</f>
        <v/>
      </c>
      <c r="AS792" s="11"/>
      <c r="AT792" s="23" t="str">
        <f aca="true">IF(C792="","",IF(AM792="Clawed Back","CLAWED",IF(TODAY()&lt;=C792+SETTINGS!$I$2,"⚠ AT RISK","SAFE")))</f>
        <v/>
      </c>
      <c r="AU792" s="11"/>
      <c r="AW792" s="24" t="n">
        <f aca="false">AW791+IF(AND(C792&lt;&gt;"",AO792&lt;&gt;"",OR('REP COMMISSION'!$B$3="",T792='REP COMMISSION'!$B$3,W792='REP COMMISSION'!$B$3,Z792='REP COMMISSION'!$B$3)),1,0)</f>
        <v>0</v>
      </c>
      <c r="AX792" s="24" t="n">
        <f aca="false">AX791+IF(AND(C792&lt;&gt;"",OR(F792="LOC - INITIAL",F792="CONSOLIDATION - UPFRONT COMM",F792="REVERSE - TOTAL FUNDING")),1,0)</f>
        <v>0</v>
      </c>
    </row>
    <row r="793" customFormat="false" ht="15" hidden="false" customHeight="false" outlineLevel="0" collapsed="false">
      <c r="A793" s="25" t="str">
        <f aca="false">IF(C793&lt;&gt;"","F27-"&amp;COUNT($C$4:C793),"")</f>
        <v/>
      </c>
      <c r="B793" s="26" t="str">
        <f aca="false">IF(OR(F793="LOC - INITIAL",F793="CONSOLIDATION - UPFRONT COMM",F793="REVERSE - TOTAL FUNDING"),A793,"")</f>
        <v/>
      </c>
      <c r="C793" s="27"/>
      <c r="D793" s="28"/>
      <c r="E793" s="28"/>
      <c r="F793" s="28"/>
      <c r="G793" s="29"/>
      <c r="H793" s="30"/>
      <c r="I793" s="28"/>
      <c r="J793" s="31" t="str">
        <f aca="false">IF(AND(G793&lt;&gt;"",H793&lt;&gt;""),G793*H793,"")</f>
        <v/>
      </c>
      <c r="K793" s="28"/>
      <c r="L793" s="32"/>
      <c r="M793" s="32"/>
      <c r="N793" s="31" t="n">
        <f aca="false">IF(OR(G793="",M793=""),0,IF(M793&gt;100,M793,G793*IF(M793&gt;1,M793/100,M793)))</f>
        <v>0</v>
      </c>
      <c r="O793" s="31" t="str">
        <f aca="false">IF(G793="","",G793*IF(L793="",0,IF(L793&gt;1,L793/100,L793))+N793)</f>
        <v/>
      </c>
      <c r="P793" s="28"/>
      <c r="Q793" s="33" t="str">
        <f aca="false">IF(P793="","",IFERROR(VLOOKUP(P793,PARTNERS!$A$2:$B$30,2,0),""))</f>
        <v/>
      </c>
      <c r="R793" s="17" t="str">
        <f aca="false">IF(O793="","",IF(OR(P793="",Q793=""),0,(O793-N793)*IF(Q793&gt;1,Q793/100,Q793)))</f>
        <v/>
      </c>
      <c r="S793" s="31" t="str">
        <f aca="false">IF(O793="","",O793-R793)</f>
        <v/>
      </c>
      <c r="T793" s="28"/>
      <c r="U793" s="34" t="str">
        <f aca="false">IF(T793="","",IFERROR(VLOOKUP(T793,REPS!$A$2:$D$40,2,0),""))</f>
        <v/>
      </c>
      <c r="V793" s="31" t="str">
        <f aca="false">IF(O793="","",IF(U793="",0,O793*IF(U793&gt;1,U793/100,U793)))</f>
        <v/>
      </c>
      <c r="W793" s="28"/>
      <c r="X793" s="34" t="str">
        <f aca="false">IF(W793="","",IFERROR(VLOOKUP(W793,REPS!$A$2:$D$40,3,0),""))</f>
        <v/>
      </c>
      <c r="Y793" s="31" t="str">
        <f aca="false">IF(O793="","",IF(X793="",0,O793*IF(X793&gt;1,X793/100,X793)))</f>
        <v/>
      </c>
      <c r="Z793" s="28"/>
      <c r="AA793" s="34" t="str">
        <f aca="false">IF(Z793="","",IFERROR(VLOOKUP(Z793,REPS!$A$2:$D$40,4,0),""))</f>
        <v/>
      </c>
      <c r="AB793" s="31" t="str">
        <f aca="false">IF(O793="","",IF(AA793="",0,O793*IF(AA793&gt;1,AA793/100,AA793)))</f>
        <v/>
      </c>
      <c r="AC793" s="31" t="str">
        <f aca="false">IF(O793="","",V793+Y793+AB793)</f>
        <v/>
      </c>
      <c r="AD793" s="19" t="str">
        <f aca="false">IF(O793="","",O793-R793-AC793)</f>
        <v/>
      </c>
      <c r="AE793" s="20"/>
      <c r="AF793" s="27"/>
      <c r="AG793" s="21" t="n">
        <f aca="false">IF(OR(AE793="",AE793=0),0,AE793*IF(U793="",0,IF(U793&gt;1,U793/100,U793)))</f>
        <v>0</v>
      </c>
      <c r="AH793" s="21" t="n">
        <f aca="false">IF(OR(AE793="",AE793=0),0,AE793*IF(X793="",0,IF(X793&gt;1,X793/100,X793)))</f>
        <v>0</v>
      </c>
      <c r="AI793" s="21" t="n">
        <f aca="false">IF(OR(AE793="",AE793=0),0,AE793*IF(AA793="",0,IF(AA793&gt;1,AA793/100,AA793)))</f>
        <v>0</v>
      </c>
      <c r="AJ793" s="21" t="n">
        <f aca="false">AG793+AH793+AI793</f>
        <v>0</v>
      </c>
      <c r="AK793" s="21" t="n">
        <f aca="false">IF(OR(AE793="",AE793=0),0,AE793-AJ793)</f>
        <v>0</v>
      </c>
      <c r="AL793" s="19" t="str">
        <f aca="false">IF(AD793="","",AD793-AK793)</f>
        <v/>
      </c>
      <c r="AM793" s="26" t="str">
        <f aca="false">IF(C793="","","Waiting for payment")</f>
        <v/>
      </c>
      <c r="AN793" s="27"/>
      <c r="AO793" s="27"/>
      <c r="AP793" s="35" t="str">
        <f aca="false">IF(OR(C793="",I793="",K793=""),"",IF(K793="Monthly",EDATE(C793,ROUND(I793*SETTINGS!$I$8,0)),WORKDAY(C793,ROUND(I793*SETTINGS!$I$8,0))))</f>
        <v/>
      </c>
      <c r="AQ793" s="26" t="str">
        <f aca="true">IF(C793="","",IF(AND(AP793&lt;&gt;"",TODAY()&gt;=AP793),"Refi Ready",IF(TODAY()-C793&gt;=SETTINGS!$I$11,"Prospecting","Performing")))</f>
        <v/>
      </c>
      <c r="AR793" s="35" t="str">
        <f aca="false">IF(OR(C793="",I793="",K793=""),"",IF(K793="Monthly",EDATE(C793,I793),WORKDAY(C793,I793)))</f>
        <v/>
      </c>
      <c r="AS793" s="28"/>
      <c r="AT793" s="36" t="str">
        <f aca="true">IF(C793="","",IF(AM793="Clawed Back","CLAWED",IF(TODAY()&lt;=C793+SETTINGS!$I$2,"⚠ AT RISK","SAFE")))</f>
        <v/>
      </c>
      <c r="AU793" s="28"/>
      <c r="AW793" s="24" t="n">
        <f aca="false">AW792+IF(AND(C793&lt;&gt;"",AO793&lt;&gt;"",OR('REP COMMISSION'!$B$3="",T793='REP COMMISSION'!$B$3,W793='REP COMMISSION'!$B$3,Z793='REP COMMISSION'!$B$3)),1,0)</f>
        <v>0</v>
      </c>
      <c r="AX793" s="24" t="n">
        <f aca="false">AX792+IF(AND(C793&lt;&gt;"",OR(F793="LOC - INITIAL",F793="CONSOLIDATION - UPFRONT COMM",F793="REVERSE - TOTAL FUNDING")),1,0)</f>
        <v>0</v>
      </c>
    </row>
    <row r="794" customFormat="false" ht="15" hidden="false" customHeight="false" outlineLevel="0" collapsed="false">
      <c r="A794" s="8" t="str">
        <f aca="false">IF(C794&lt;&gt;"","F27-"&amp;COUNT($C$4:C794),"")</f>
        <v/>
      </c>
      <c r="B794" s="9" t="str">
        <f aca="false">IF(OR(F794="LOC - INITIAL",F794="CONSOLIDATION - UPFRONT COMM",F794="REVERSE - TOTAL FUNDING"),A794,"")</f>
        <v/>
      </c>
      <c r="C794" s="10"/>
      <c r="D794" s="11"/>
      <c r="E794" s="11"/>
      <c r="F794" s="11"/>
      <c r="G794" s="12"/>
      <c r="H794" s="13"/>
      <c r="I794" s="11"/>
      <c r="J794" s="14" t="str">
        <f aca="false">IF(AND(G794&lt;&gt;"",H794&lt;&gt;""),G794*H794,"")</f>
        <v/>
      </c>
      <c r="K794" s="11"/>
      <c r="L794" s="15"/>
      <c r="M794" s="15"/>
      <c r="N794" s="14" t="n">
        <f aca="false">IF(OR(G794="",M794=""),0,IF(M794&gt;100,M794,G794*IF(M794&gt;1,M794/100,M794)))</f>
        <v>0</v>
      </c>
      <c r="O794" s="14" t="str">
        <f aca="false">IF(G794="","",G794*IF(L794="",0,IF(L794&gt;1,L794/100,L794))+N794)</f>
        <v/>
      </c>
      <c r="P794" s="11"/>
      <c r="Q794" s="16" t="str">
        <f aca="false">IF(P794="","",IFERROR(VLOOKUP(P794,PARTNERS!$A$2:$B$30,2,0),""))</f>
        <v/>
      </c>
      <c r="R794" s="17" t="str">
        <f aca="false">IF(O794="","",IF(OR(P794="",Q794=""),0,(O794-N794)*IF(Q794&gt;1,Q794/100,Q794)))</f>
        <v/>
      </c>
      <c r="S794" s="14" t="str">
        <f aca="false">IF(O794="","",O794-R794)</f>
        <v/>
      </c>
      <c r="T794" s="11"/>
      <c r="U794" s="18" t="str">
        <f aca="false">IF(T794="","",IFERROR(VLOOKUP(T794,REPS!$A$2:$D$40,2,0),""))</f>
        <v/>
      </c>
      <c r="V794" s="14" t="str">
        <f aca="false">IF(O794="","",IF(U794="",0,O794*IF(U794&gt;1,U794/100,U794)))</f>
        <v/>
      </c>
      <c r="W794" s="11"/>
      <c r="X794" s="18" t="str">
        <f aca="false">IF(W794="","",IFERROR(VLOOKUP(W794,REPS!$A$2:$D$40,3,0),""))</f>
        <v/>
      </c>
      <c r="Y794" s="14" t="str">
        <f aca="false">IF(O794="","",IF(X794="",0,O794*IF(X794&gt;1,X794/100,X794)))</f>
        <v/>
      </c>
      <c r="Z794" s="11"/>
      <c r="AA794" s="18" t="str">
        <f aca="false">IF(Z794="","",IFERROR(VLOOKUP(Z794,REPS!$A$2:$D$40,4,0),""))</f>
        <v/>
      </c>
      <c r="AB794" s="14" t="str">
        <f aca="false">IF(O794="","",IF(AA794="",0,O794*IF(AA794&gt;1,AA794/100,AA794)))</f>
        <v/>
      </c>
      <c r="AC794" s="14" t="str">
        <f aca="false">IF(O794="","",V794+Y794+AB794)</f>
        <v/>
      </c>
      <c r="AD794" s="19" t="str">
        <f aca="false">IF(O794="","",O794-R794-AC794)</f>
        <v/>
      </c>
      <c r="AE794" s="20"/>
      <c r="AF794" s="10"/>
      <c r="AG794" s="21" t="n">
        <f aca="false">IF(OR(AE794="",AE794=0),0,AE794*IF(U794="",0,IF(U794&gt;1,U794/100,U794)))</f>
        <v>0</v>
      </c>
      <c r="AH794" s="21" t="n">
        <f aca="false">IF(OR(AE794="",AE794=0),0,AE794*IF(X794="",0,IF(X794&gt;1,X794/100,X794)))</f>
        <v>0</v>
      </c>
      <c r="AI794" s="21" t="n">
        <f aca="false">IF(OR(AE794="",AE794=0),0,AE794*IF(AA794="",0,IF(AA794&gt;1,AA794/100,AA794)))</f>
        <v>0</v>
      </c>
      <c r="AJ794" s="21" t="n">
        <f aca="false">AG794+AH794+AI794</f>
        <v>0</v>
      </c>
      <c r="AK794" s="21" t="n">
        <f aca="false">IF(OR(AE794="",AE794=0),0,AE794-AJ794)</f>
        <v>0</v>
      </c>
      <c r="AL794" s="19" t="str">
        <f aca="false">IF(AD794="","",AD794-AK794)</f>
        <v/>
      </c>
      <c r="AM794" s="9" t="str">
        <f aca="false">IF(C794="","","Waiting for payment")</f>
        <v/>
      </c>
      <c r="AN794" s="10"/>
      <c r="AO794" s="10"/>
      <c r="AP794" s="22" t="str">
        <f aca="false">IF(OR(C794="",I794="",K794=""),"",IF(K794="Monthly",EDATE(C794,ROUND(I794*SETTINGS!$I$8,0)),WORKDAY(C794,ROUND(I794*SETTINGS!$I$8,0))))</f>
        <v/>
      </c>
      <c r="AQ794" s="9" t="str">
        <f aca="true">IF(C794="","",IF(AND(AP794&lt;&gt;"",TODAY()&gt;=AP794),"Refi Ready",IF(TODAY()-C794&gt;=SETTINGS!$I$11,"Prospecting","Performing")))</f>
        <v/>
      </c>
      <c r="AR794" s="22" t="str">
        <f aca="false">IF(OR(C794="",I794="",K794=""),"",IF(K794="Monthly",EDATE(C794,I794),WORKDAY(C794,I794)))</f>
        <v/>
      </c>
      <c r="AS794" s="11"/>
      <c r="AT794" s="23" t="str">
        <f aca="true">IF(C794="","",IF(AM794="Clawed Back","CLAWED",IF(TODAY()&lt;=C794+SETTINGS!$I$2,"⚠ AT RISK","SAFE")))</f>
        <v/>
      </c>
      <c r="AU794" s="11"/>
      <c r="AW794" s="24" t="n">
        <f aca="false">AW793+IF(AND(C794&lt;&gt;"",AO794&lt;&gt;"",OR('REP COMMISSION'!$B$3="",T794='REP COMMISSION'!$B$3,W794='REP COMMISSION'!$B$3,Z794='REP COMMISSION'!$B$3)),1,0)</f>
        <v>0</v>
      </c>
      <c r="AX794" s="24" t="n">
        <f aca="false">AX793+IF(AND(C794&lt;&gt;"",OR(F794="LOC - INITIAL",F794="CONSOLIDATION - UPFRONT COMM",F794="REVERSE - TOTAL FUNDING")),1,0)</f>
        <v>0</v>
      </c>
    </row>
    <row r="795" customFormat="false" ht="15" hidden="false" customHeight="false" outlineLevel="0" collapsed="false">
      <c r="A795" s="25" t="str">
        <f aca="false">IF(C795&lt;&gt;"","F27-"&amp;COUNT($C$4:C795),"")</f>
        <v/>
      </c>
      <c r="B795" s="26" t="str">
        <f aca="false">IF(OR(F795="LOC - INITIAL",F795="CONSOLIDATION - UPFRONT COMM",F795="REVERSE - TOTAL FUNDING"),A795,"")</f>
        <v/>
      </c>
      <c r="C795" s="27"/>
      <c r="D795" s="28"/>
      <c r="E795" s="28"/>
      <c r="F795" s="28"/>
      <c r="G795" s="29"/>
      <c r="H795" s="30"/>
      <c r="I795" s="28"/>
      <c r="J795" s="31" t="str">
        <f aca="false">IF(AND(G795&lt;&gt;"",H795&lt;&gt;""),G795*H795,"")</f>
        <v/>
      </c>
      <c r="K795" s="28"/>
      <c r="L795" s="32"/>
      <c r="M795" s="32"/>
      <c r="N795" s="31" t="n">
        <f aca="false">IF(OR(G795="",M795=""),0,IF(M795&gt;100,M795,G795*IF(M795&gt;1,M795/100,M795)))</f>
        <v>0</v>
      </c>
      <c r="O795" s="31" t="str">
        <f aca="false">IF(G795="","",G795*IF(L795="",0,IF(L795&gt;1,L795/100,L795))+N795)</f>
        <v/>
      </c>
      <c r="P795" s="28"/>
      <c r="Q795" s="33" t="str">
        <f aca="false">IF(P795="","",IFERROR(VLOOKUP(P795,PARTNERS!$A$2:$B$30,2,0),""))</f>
        <v/>
      </c>
      <c r="R795" s="17" t="str">
        <f aca="false">IF(O795="","",IF(OR(P795="",Q795=""),0,(O795-N795)*IF(Q795&gt;1,Q795/100,Q795)))</f>
        <v/>
      </c>
      <c r="S795" s="31" t="str">
        <f aca="false">IF(O795="","",O795-R795)</f>
        <v/>
      </c>
      <c r="T795" s="28"/>
      <c r="U795" s="34" t="str">
        <f aca="false">IF(T795="","",IFERROR(VLOOKUP(T795,REPS!$A$2:$D$40,2,0),""))</f>
        <v/>
      </c>
      <c r="V795" s="31" t="str">
        <f aca="false">IF(O795="","",IF(U795="",0,O795*IF(U795&gt;1,U795/100,U795)))</f>
        <v/>
      </c>
      <c r="W795" s="28"/>
      <c r="X795" s="34" t="str">
        <f aca="false">IF(W795="","",IFERROR(VLOOKUP(W795,REPS!$A$2:$D$40,3,0),""))</f>
        <v/>
      </c>
      <c r="Y795" s="31" t="str">
        <f aca="false">IF(O795="","",IF(X795="",0,O795*IF(X795&gt;1,X795/100,X795)))</f>
        <v/>
      </c>
      <c r="Z795" s="28"/>
      <c r="AA795" s="34" t="str">
        <f aca="false">IF(Z795="","",IFERROR(VLOOKUP(Z795,REPS!$A$2:$D$40,4,0),""))</f>
        <v/>
      </c>
      <c r="AB795" s="31" t="str">
        <f aca="false">IF(O795="","",IF(AA795="",0,O795*IF(AA795&gt;1,AA795/100,AA795)))</f>
        <v/>
      </c>
      <c r="AC795" s="31" t="str">
        <f aca="false">IF(O795="","",V795+Y795+AB795)</f>
        <v/>
      </c>
      <c r="AD795" s="19" t="str">
        <f aca="false">IF(O795="","",O795-R795-AC795)</f>
        <v/>
      </c>
      <c r="AE795" s="20"/>
      <c r="AF795" s="27"/>
      <c r="AG795" s="21" t="n">
        <f aca="false">IF(OR(AE795="",AE795=0),0,AE795*IF(U795="",0,IF(U795&gt;1,U795/100,U795)))</f>
        <v>0</v>
      </c>
      <c r="AH795" s="21" t="n">
        <f aca="false">IF(OR(AE795="",AE795=0),0,AE795*IF(X795="",0,IF(X795&gt;1,X795/100,X795)))</f>
        <v>0</v>
      </c>
      <c r="AI795" s="21" t="n">
        <f aca="false">IF(OR(AE795="",AE795=0),0,AE795*IF(AA795="",0,IF(AA795&gt;1,AA795/100,AA795)))</f>
        <v>0</v>
      </c>
      <c r="AJ795" s="21" t="n">
        <f aca="false">AG795+AH795+AI795</f>
        <v>0</v>
      </c>
      <c r="AK795" s="21" t="n">
        <f aca="false">IF(OR(AE795="",AE795=0),0,AE795-AJ795)</f>
        <v>0</v>
      </c>
      <c r="AL795" s="19" t="str">
        <f aca="false">IF(AD795="","",AD795-AK795)</f>
        <v/>
      </c>
      <c r="AM795" s="26" t="str">
        <f aca="false">IF(C795="","","Waiting for payment")</f>
        <v/>
      </c>
      <c r="AN795" s="27"/>
      <c r="AO795" s="27"/>
      <c r="AP795" s="35" t="str">
        <f aca="false">IF(OR(C795="",I795="",K795=""),"",IF(K795="Monthly",EDATE(C795,ROUND(I795*SETTINGS!$I$8,0)),WORKDAY(C795,ROUND(I795*SETTINGS!$I$8,0))))</f>
        <v/>
      </c>
      <c r="AQ795" s="26" t="str">
        <f aca="true">IF(C795="","",IF(AND(AP795&lt;&gt;"",TODAY()&gt;=AP795),"Refi Ready",IF(TODAY()-C795&gt;=SETTINGS!$I$11,"Prospecting","Performing")))</f>
        <v/>
      </c>
      <c r="AR795" s="35" t="str">
        <f aca="false">IF(OR(C795="",I795="",K795=""),"",IF(K795="Monthly",EDATE(C795,I795),WORKDAY(C795,I795)))</f>
        <v/>
      </c>
      <c r="AS795" s="28"/>
      <c r="AT795" s="36" t="str">
        <f aca="true">IF(C795="","",IF(AM795="Clawed Back","CLAWED",IF(TODAY()&lt;=C795+SETTINGS!$I$2,"⚠ AT RISK","SAFE")))</f>
        <v/>
      </c>
      <c r="AU795" s="28"/>
      <c r="AW795" s="24" t="n">
        <f aca="false">AW794+IF(AND(C795&lt;&gt;"",AO795&lt;&gt;"",OR('REP COMMISSION'!$B$3="",T795='REP COMMISSION'!$B$3,W795='REP COMMISSION'!$B$3,Z795='REP COMMISSION'!$B$3)),1,0)</f>
        <v>0</v>
      </c>
      <c r="AX795" s="24" t="n">
        <f aca="false">AX794+IF(AND(C795&lt;&gt;"",OR(F795="LOC - INITIAL",F795="CONSOLIDATION - UPFRONT COMM",F795="REVERSE - TOTAL FUNDING")),1,0)</f>
        <v>0</v>
      </c>
    </row>
    <row r="796" customFormat="false" ht="15" hidden="false" customHeight="false" outlineLevel="0" collapsed="false">
      <c r="A796" s="8" t="str">
        <f aca="false">IF(C796&lt;&gt;"","F27-"&amp;COUNT($C$4:C796),"")</f>
        <v/>
      </c>
      <c r="B796" s="9" t="str">
        <f aca="false">IF(OR(F796="LOC - INITIAL",F796="CONSOLIDATION - UPFRONT COMM",F796="REVERSE - TOTAL FUNDING"),A796,"")</f>
        <v/>
      </c>
      <c r="C796" s="10"/>
      <c r="D796" s="11"/>
      <c r="E796" s="11"/>
      <c r="F796" s="11"/>
      <c r="G796" s="12"/>
      <c r="H796" s="13"/>
      <c r="I796" s="11"/>
      <c r="J796" s="14" t="str">
        <f aca="false">IF(AND(G796&lt;&gt;"",H796&lt;&gt;""),G796*H796,"")</f>
        <v/>
      </c>
      <c r="K796" s="11"/>
      <c r="L796" s="15"/>
      <c r="M796" s="15"/>
      <c r="N796" s="14" t="n">
        <f aca="false">IF(OR(G796="",M796=""),0,IF(M796&gt;100,M796,G796*IF(M796&gt;1,M796/100,M796)))</f>
        <v>0</v>
      </c>
      <c r="O796" s="14" t="str">
        <f aca="false">IF(G796="","",G796*IF(L796="",0,IF(L796&gt;1,L796/100,L796))+N796)</f>
        <v/>
      </c>
      <c r="P796" s="11"/>
      <c r="Q796" s="16" t="str">
        <f aca="false">IF(P796="","",IFERROR(VLOOKUP(P796,PARTNERS!$A$2:$B$30,2,0),""))</f>
        <v/>
      </c>
      <c r="R796" s="17" t="str">
        <f aca="false">IF(O796="","",IF(OR(P796="",Q796=""),0,(O796-N796)*IF(Q796&gt;1,Q796/100,Q796)))</f>
        <v/>
      </c>
      <c r="S796" s="14" t="str">
        <f aca="false">IF(O796="","",O796-R796)</f>
        <v/>
      </c>
      <c r="T796" s="11"/>
      <c r="U796" s="18" t="str">
        <f aca="false">IF(T796="","",IFERROR(VLOOKUP(T796,REPS!$A$2:$D$40,2,0),""))</f>
        <v/>
      </c>
      <c r="V796" s="14" t="str">
        <f aca="false">IF(O796="","",IF(U796="",0,O796*IF(U796&gt;1,U796/100,U796)))</f>
        <v/>
      </c>
      <c r="W796" s="11"/>
      <c r="X796" s="18" t="str">
        <f aca="false">IF(W796="","",IFERROR(VLOOKUP(W796,REPS!$A$2:$D$40,3,0),""))</f>
        <v/>
      </c>
      <c r="Y796" s="14" t="str">
        <f aca="false">IF(O796="","",IF(X796="",0,O796*IF(X796&gt;1,X796/100,X796)))</f>
        <v/>
      </c>
      <c r="Z796" s="11"/>
      <c r="AA796" s="18" t="str">
        <f aca="false">IF(Z796="","",IFERROR(VLOOKUP(Z796,REPS!$A$2:$D$40,4,0),""))</f>
        <v/>
      </c>
      <c r="AB796" s="14" t="str">
        <f aca="false">IF(O796="","",IF(AA796="",0,O796*IF(AA796&gt;1,AA796/100,AA796)))</f>
        <v/>
      </c>
      <c r="AC796" s="14" t="str">
        <f aca="false">IF(O796="","",V796+Y796+AB796)</f>
        <v/>
      </c>
      <c r="AD796" s="19" t="str">
        <f aca="false">IF(O796="","",O796-R796-AC796)</f>
        <v/>
      </c>
      <c r="AE796" s="20"/>
      <c r="AF796" s="10"/>
      <c r="AG796" s="21" t="n">
        <f aca="false">IF(OR(AE796="",AE796=0),0,AE796*IF(U796="",0,IF(U796&gt;1,U796/100,U796)))</f>
        <v>0</v>
      </c>
      <c r="AH796" s="21" t="n">
        <f aca="false">IF(OR(AE796="",AE796=0),0,AE796*IF(X796="",0,IF(X796&gt;1,X796/100,X796)))</f>
        <v>0</v>
      </c>
      <c r="AI796" s="21" t="n">
        <f aca="false">IF(OR(AE796="",AE796=0),0,AE796*IF(AA796="",0,IF(AA796&gt;1,AA796/100,AA796)))</f>
        <v>0</v>
      </c>
      <c r="AJ796" s="21" t="n">
        <f aca="false">AG796+AH796+AI796</f>
        <v>0</v>
      </c>
      <c r="AK796" s="21" t="n">
        <f aca="false">IF(OR(AE796="",AE796=0),0,AE796-AJ796)</f>
        <v>0</v>
      </c>
      <c r="AL796" s="19" t="str">
        <f aca="false">IF(AD796="","",AD796-AK796)</f>
        <v/>
      </c>
      <c r="AM796" s="9" t="str">
        <f aca="false">IF(C796="","","Waiting for payment")</f>
        <v/>
      </c>
      <c r="AN796" s="10"/>
      <c r="AO796" s="10"/>
      <c r="AP796" s="22" t="str">
        <f aca="false">IF(OR(C796="",I796="",K796=""),"",IF(K796="Monthly",EDATE(C796,ROUND(I796*SETTINGS!$I$8,0)),WORKDAY(C796,ROUND(I796*SETTINGS!$I$8,0))))</f>
        <v/>
      </c>
      <c r="AQ796" s="9" t="str">
        <f aca="true">IF(C796="","",IF(AND(AP796&lt;&gt;"",TODAY()&gt;=AP796),"Refi Ready",IF(TODAY()-C796&gt;=SETTINGS!$I$11,"Prospecting","Performing")))</f>
        <v/>
      </c>
      <c r="AR796" s="22" t="str">
        <f aca="false">IF(OR(C796="",I796="",K796=""),"",IF(K796="Monthly",EDATE(C796,I796),WORKDAY(C796,I796)))</f>
        <v/>
      </c>
      <c r="AS796" s="11"/>
      <c r="AT796" s="23" t="str">
        <f aca="true">IF(C796="","",IF(AM796="Clawed Back","CLAWED",IF(TODAY()&lt;=C796+SETTINGS!$I$2,"⚠ AT RISK","SAFE")))</f>
        <v/>
      </c>
      <c r="AU796" s="11"/>
      <c r="AW796" s="24" t="n">
        <f aca="false">AW795+IF(AND(C796&lt;&gt;"",AO796&lt;&gt;"",OR('REP COMMISSION'!$B$3="",T796='REP COMMISSION'!$B$3,W796='REP COMMISSION'!$B$3,Z796='REP COMMISSION'!$B$3)),1,0)</f>
        <v>0</v>
      </c>
      <c r="AX796" s="24" t="n">
        <f aca="false">AX795+IF(AND(C796&lt;&gt;"",OR(F796="LOC - INITIAL",F796="CONSOLIDATION - UPFRONT COMM",F796="REVERSE - TOTAL FUNDING")),1,0)</f>
        <v>0</v>
      </c>
    </row>
    <row r="797" customFormat="false" ht="15" hidden="false" customHeight="false" outlineLevel="0" collapsed="false">
      <c r="A797" s="25" t="str">
        <f aca="false">IF(C797&lt;&gt;"","F27-"&amp;COUNT($C$4:C797),"")</f>
        <v/>
      </c>
      <c r="B797" s="26" t="str">
        <f aca="false">IF(OR(F797="LOC - INITIAL",F797="CONSOLIDATION - UPFRONT COMM",F797="REVERSE - TOTAL FUNDING"),A797,"")</f>
        <v/>
      </c>
      <c r="C797" s="27"/>
      <c r="D797" s="28"/>
      <c r="E797" s="28"/>
      <c r="F797" s="28"/>
      <c r="G797" s="29"/>
      <c r="H797" s="30"/>
      <c r="I797" s="28"/>
      <c r="J797" s="31" t="str">
        <f aca="false">IF(AND(G797&lt;&gt;"",H797&lt;&gt;""),G797*H797,"")</f>
        <v/>
      </c>
      <c r="K797" s="28"/>
      <c r="L797" s="32"/>
      <c r="M797" s="32"/>
      <c r="N797" s="31" t="n">
        <f aca="false">IF(OR(G797="",M797=""),0,IF(M797&gt;100,M797,G797*IF(M797&gt;1,M797/100,M797)))</f>
        <v>0</v>
      </c>
      <c r="O797" s="31" t="str">
        <f aca="false">IF(G797="","",G797*IF(L797="",0,IF(L797&gt;1,L797/100,L797))+N797)</f>
        <v/>
      </c>
      <c r="P797" s="28"/>
      <c r="Q797" s="33" t="str">
        <f aca="false">IF(P797="","",IFERROR(VLOOKUP(P797,PARTNERS!$A$2:$B$30,2,0),""))</f>
        <v/>
      </c>
      <c r="R797" s="17" t="str">
        <f aca="false">IF(O797="","",IF(OR(P797="",Q797=""),0,(O797-N797)*IF(Q797&gt;1,Q797/100,Q797)))</f>
        <v/>
      </c>
      <c r="S797" s="31" t="str">
        <f aca="false">IF(O797="","",O797-R797)</f>
        <v/>
      </c>
      <c r="T797" s="28"/>
      <c r="U797" s="34" t="str">
        <f aca="false">IF(T797="","",IFERROR(VLOOKUP(T797,REPS!$A$2:$D$40,2,0),""))</f>
        <v/>
      </c>
      <c r="V797" s="31" t="str">
        <f aca="false">IF(O797="","",IF(U797="",0,O797*IF(U797&gt;1,U797/100,U797)))</f>
        <v/>
      </c>
      <c r="W797" s="28"/>
      <c r="X797" s="34" t="str">
        <f aca="false">IF(W797="","",IFERROR(VLOOKUP(W797,REPS!$A$2:$D$40,3,0),""))</f>
        <v/>
      </c>
      <c r="Y797" s="31" t="str">
        <f aca="false">IF(O797="","",IF(X797="",0,O797*IF(X797&gt;1,X797/100,X797)))</f>
        <v/>
      </c>
      <c r="Z797" s="28"/>
      <c r="AA797" s="34" t="str">
        <f aca="false">IF(Z797="","",IFERROR(VLOOKUP(Z797,REPS!$A$2:$D$40,4,0),""))</f>
        <v/>
      </c>
      <c r="AB797" s="31" t="str">
        <f aca="false">IF(O797="","",IF(AA797="",0,O797*IF(AA797&gt;1,AA797/100,AA797)))</f>
        <v/>
      </c>
      <c r="AC797" s="31" t="str">
        <f aca="false">IF(O797="","",V797+Y797+AB797)</f>
        <v/>
      </c>
      <c r="AD797" s="19" t="str">
        <f aca="false">IF(O797="","",O797-R797-AC797)</f>
        <v/>
      </c>
      <c r="AE797" s="20"/>
      <c r="AF797" s="27"/>
      <c r="AG797" s="21" t="n">
        <f aca="false">IF(OR(AE797="",AE797=0),0,AE797*IF(U797="",0,IF(U797&gt;1,U797/100,U797)))</f>
        <v>0</v>
      </c>
      <c r="AH797" s="21" t="n">
        <f aca="false">IF(OR(AE797="",AE797=0),0,AE797*IF(X797="",0,IF(X797&gt;1,X797/100,X797)))</f>
        <v>0</v>
      </c>
      <c r="AI797" s="21" t="n">
        <f aca="false">IF(OR(AE797="",AE797=0),0,AE797*IF(AA797="",0,IF(AA797&gt;1,AA797/100,AA797)))</f>
        <v>0</v>
      </c>
      <c r="AJ797" s="21" t="n">
        <f aca="false">AG797+AH797+AI797</f>
        <v>0</v>
      </c>
      <c r="AK797" s="21" t="n">
        <f aca="false">IF(OR(AE797="",AE797=0),0,AE797-AJ797)</f>
        <v>0</v>
      </c>
      <c r="AL797" s="19" t="str">
        <f aca="false">IF(AD797="","",AD797-AK797)</f>
        <v/>
      </c>
      <c r="AM797" s="26" t="str">
        <f aca="false">IF(C797="","","Waiting for payment")</f>
        <v/>
      </c>
      <c r="AN797" s="27"/>
      <c r="AO797" s="27"/>
      <c r="AP797" s="35" t="str">
        <f aca="false">IF(OR(C797="",I797="",K797=""),"",IF(K797="Monthly",EDATE(C797,ROUND(I797*SETTINGS!$I$8,0)),WORKDAY(C797,ROUND(I797*SETTINGS!$I$8,0))))</f>
        <v/>
      </c>
      <c r="AQ797" s="26" t="str">
        <f aca="true">IF(C797="","",IF(AND(AP797&lt;&gt;"",TODAY()&gt;=AP797),"Refi Ready",IF(TODAY()-C797&gt;=SETTINGS!$I$11,"Prospecting","Performing")))</f>
        <v/>
      </c>
      <c r="AR797" s="35" t="str">
        <f aca="false">IF(OR(C797="",I797="",K797=""),"",IF(K797="Monthly",EDATE(C797,I797),WORKDAY(C797,I797)))</f>
        <v/>
      </c>
      <c r="AS797" s="28"/>
      <c r="AT797" s="36" t="str">
        <f aca="true">IF(C797="","",IF(AM797="Clawed Back","CLAWED",IF(TODAY()&lt;=C797+SETTINGS!$I$2,"⚠ AT RISK","SAFE")))</f>
        <v/>
      </c>
      <c r="AU797" s="28"/>
      <c r="AW797" s="24" t="n">
        <f aca="false">AW796+IF(AND(C797&lt;&gt;"",AO797&lt;&gt;"",OR('REP COMMISSION'!$B$3="",T797='REP COMMISSION'!$B$3,W797='REP COMMISSION'!$B$3,Z797='REP COMMISSION'!$B$3)),1,0)</f>
        <v>0</v>
      </c>
      <c r="AX797" s="24" t="n">
        <f aca="false">AX796+IF(AND(C797&lt;&gt;"",OR(F797="LOC - INITIAL",F797="CONSOLIDATION - UPFRONT COMM",F797="REVERSE - TOTAL FUNDING")),1,0)</f>
        <v>0</v>
      </c>
    </row>
    <row r="798" customFormat="false" ht="15" hidden="false" customHeight="false" outlineLevel="0" collapsed="false">
      <c r="A798" s="8" t="str">
        <f aca="false">IF(C798&lt;&gt;"","F27-"&amp;COUNT($C$4:C798),"")</f>
        <v/>
      </c>
      <c r="B798" s="9" t="str">
        <f aca="false">IF(OR(F798="LOC - INITIAL",F798="CONSOLIDATION - UPFRONT COMM",F798="REVERSE - TOTAL FUNDING"),A798,"")</f>
        <v/>
      </c>
      <c r="C798" s="10"/>
      <c r="D798" s="11"/>
      <c r="E798" s="11"/>
      <c r="F798" s="11"/>
      <c r="G798" s="12"/>
      <c r="H798" s="13"/>
      <c r="I798" s="11"/>
      <c r="J798" s="14" t="str">
        <f aca="false">IF(AND(G798&lt;&gt;"",H798&lt;&gt;""),G798*H798,"")</f>
        <v/>
      </c>
      <c r="K798" s="11"/>
      <c r="L798" s="15"/>
      <c r="M798" s="15"/>
      <c r="N798" s="14" t="n">
        <f aca="false">IF(OR(G798="",M798=""),0,IF(M798&gt;100,M798,G798*IF(M798&gt;1,M798/100,M798)))</f>
        <v>0</v>
      </c>
      <c r="O798" s="14" t="str">
        <f aca="false">IF(G798="","",G798*IF(L798="",0,IF(L798&gt;1,L798/100,L798))+N798)</f>
        <v/>
      </c>
      <c r="P798" s="11"/>
      <c r="Q798" s="16" t="str">
        <f aca="false">IF(P798="","",IFERROR(VLOOKUP(P798,PARTNERS!$A$2:$B$30,2,0),""))</f>
        <v/>
      </c>
      <c r="R798" s="17" t="str">
        <f aca="false">IF(O798="","",IF(OR(P798="",Q798=""),0,(O798-N798)*IF(Q798&gt;1,Q798/100,Q798)))</f>
        <v/>
      </c>
      <c r="S798" s="14" t="str">
        <f aca="false">IF(O798="","",O798-R798)</f>
        <v/>
      </c>
      <c r="T798" s="11"/>
      <c r="U798" s="18" t="str">
        <f aca="false">IF(T798="","",IFERROR(VLOOKUP(T798,REPS!$A$2:$D$40,2,0),""))</f>
        <v/>
      </c>
      <c r="V798" s="14" t="str">
        <f aca="false">IF(O798="","",IF(U798="",0,O798*IF(U798&gt;1,U798/100,U798)))</f>
        <v/>
      </c>
      <c r="W798" s="11"/>
      <c r="X798" s="18" t="str">
        <f aca="false">IF(W798="","",IFERROR(VLOOKUP(W798,REPS!$A$2:$D$40,3,0),""))</f>
        <v/>
      </c>
      <c r="Y798" s="14" t="str">
        <f aca="false">IF(O798="","",IF(X798="",0,O798*IF(X798&gt;1,X798/100,X798)))</f>
        <v/>
      </c>
      <c r="Z798" s="11"/>
      <c r="AA798" s="18" t="str">
        <f aca="false">IF(Z798="","",IFERROR(VLOOKUP(Z798,REPS!$A$2:$D$40,4,0),""))</f>
        <v/>
      </c>
      <c r="AB798" s="14" t="str">
        <f aca="false">IF(O798="","",IF(AA798="",0,O798*IF(AA798&gt;1,AA798/100,AA798)))</f>
        <v/>
      </c>
      <c r="AC798" s="14" t="str">
        <f aca="false">IF(O798="","",V798+Y798+AB798)</f>
        <v/>
      </c>
      <c r="AD798" s="19" t="str">
        <f aca="false">IF(O798="","",O798-R798-AC798)</f>
        <v/>
      </c>
      <c r="AE798" s="20"/>
      <c r="AF798" s="10"/>
      <c r="AG798" s="21" t="n">
        <f aca="false">IF(OR(AE798="",AE798=0),0,AE798*IF(U798="",0,IF(U798&gt;1,U798/100,U798)))</f>
        <v>0</v>
      </c>
      <c r="AH798" s="21" t="n">
        <f aca="false">IF(OR(AE798="",AE798=0),0,AE798*IF(X798="",0,IF(X798&gt;1,X798/100,X798)))</f>
        <v>0</v>
      </c>
      <c r="AI798" s="21" t="n">
        <f aca="false">IF(OR(AE798="",AE798=0),0,AE798*IF(AA798="",0,IF(AA798&gt;1,AA798/100,AA798)))</f>
        <v>0</v>
      </c>
      <c r="AJ798" s="21" t="n">
        <f aca="false">AG798+AH798+AI798</f>
        <v>0</v>
      </c>
      <c r="AK798" s="21" t="n">
        <f aca="false">IF(OR(AE798="",AE798=0),0,AE798-AJ798)</f>
        <v>0</v>
      </c>
      <c r="AL798" s="19" t="str">
        <f aca="false">IF(AD798="","",AD798-AK798)</f>
        <v/>
      </c>
      <c r="AM798" s="9" t="str">
        <f aca="false">IF(C798="","","Waiting for payment")</f>
        <v/>
      </c>
      <c r="AN798" s="10"/>
      <c r="AO798" s="10"/>
      <c r="AP798" s="22" t="str">
        <f aca="false">IF(OR(C798="",I798="",K798=""),"",IF(K798="Monthly",EDATE(C798,ROUND(I798*SETTINGS!$I$8,0)),WORKDAY(C798,ROUND(I798*SETTINGS!$I$8,0))))</f>
        <v/>
      </c>
      <c r="AQ798" s="9" t="str">
        <f aca="true">IF(C798="","",IF(AND(AP798&lt;&gt;"",TODAY()&gt;=AP798),"Refi Ready",IF(TODAY()-C798&gt;=SETTINGS!$I$11,"Prospecting","Performing")))</f>
        <v/>
      </c>
      <c r="AR798" s="22" t="str">
        <f aca="false">IF(OR(C798="",I798="",K798=""),"",IF(K798="Monthly",EDATE(C798,I798),WORKDAY(C798,I798)))</f>
        <v/>
      </c>
      <c r="AS798" s="11"/>
      <c r="AT798" s="23" t="str">
        <f aca="true">IF(C798="","",IF(AM798="Clawed Back","CLAWED",IF(TODAY()&lt;=C798+SETTINGS!$I$2,"⚠ AT RISK","SAFE")))</f>
        <v/>
      </c>
      <c r="AU798" s="11"/>
      <c r="AW798" s="24" t="n">
        <f aca="false">AW797+IF(AND(C798&lt;&gt;"",AO798&lt;&gt;"",OR('REP COMMISSION'!$B$3="",T798='REP COMMISSION'!$B$3,W798='REP COMMISSION'!$B$3,Z798='REP COMMISSION'!$B$3)),1,0)</f>
        <v>0</v>
      </c>
      <c r="AX798" s="24" t="n">
        <f aca="false">AX797+IF(AND(C798&lt;&gt;"",OR(F798="LOC - INITIAL",F798="CONSOLIDATION - UPFRONT COMM",F798="REVERSE - TOTAL FUNDING")),1,0)</f>
        <v>0</v>
      </c>
    </row>
    <row r="799" customFormat="false" ht="15" hidden="false" customHeight="false" outlineLevel="0" collapsed="false">
      <c r="A799" s="25" t="str">
        <f aca="false">IF(C799&lt;&gt;"","F27-"&amp;COUNT($C$4:C799),"")</f>
        <v/>
      </c>
      <c r="B799" s="26" t="str">
        <f aca="false">IF(OR(F799="LOC - INITIAL",F799="CONSOLIDATION - UPFRONT COMM",F799="REVERSE - TOTAL FUNDING"),A799,"")</f>
        <v/>
      </c>
      <c r="C799" s="27"/>
      <c r="D799" s="28"/>
      <c r="E799" s="28"/>
      <c r="F799" s="28"/>
      <c r="G799" s="29"/>
      <c r="H799" s="30"/>
      <c r="I799" s="28"/>
      <c r="J799" s="31" t="str">
        <f aca="false">IF(AND(G799&lt;&gt;"",H799&lt;&gt;""),G799*H799,"")</f>
        <v/>
      </c>
      <c r="K799" s="28"/>
      <c r="L799" s="32"/>
      <c r="M799" s="32"/>
      <c r="N799" s="31" t="n">
        <f aca="false">IF(OR(G799="",M799=""),0,IF(M799&gt;100,M799,G799*IF(M799&gt;1,M799/100,M799)))</f>
        <v>0</v>
      </c>
      <c r="O799" s="31" t="str">
        <f aca="false">IF(G799="","",G799*IF(L799="",0,IF(L799&gt;1,L799/100,L799))+N799)</f>
        <v/>
      </c>
      <c r="P799" s="28"/>
      <c r="Q799" s="33" t="str">
        <f aca="false">IF(P799="","",IFERROR(VLOOKUP(P799,PARTNERS!$A$2:$B$30,2,0),""))</f>
        <v/>
      </c>
      <c r="R799" s="17" t="str">
        <f aca="false">IF(O799="","",IF(OR(P799="",Q799=""),0,(O799-N799)*IF(Q799&gt;1,Q799/100,Q799)))</f>
        <v/>
      </c>
      <c r="S799" s="31" t="str">
        <f aca="false">IF(O799="","",O799-R799)</f>
        <v/>
      </c>
      <c r="T799" s="28"/>
      <c r="U799" s="34" t="str">
        <f aca="false">IF(T799="","",IFERROR(VLOOKUP(T799,REPS!$A$2:$D$40,2,0),""))</f>
        <v/>
      </c>
      <c r="V799" s="31" t="str">
        <f aca="false">IF(O799="","",IF(U799="",0,O799*IF(U799&gt;1,U799/100,U799)))</f>
        <v/>
      </c>
      <c r="W799" s="28"/>
      <c r="X799" s="34" t="str">
        <f aca="false">IF(W799="","",IFERROR(VLOOKUP(W799,REPS!$A$2:$D$40,3,0),""))</f>
        <v/>
      </c>
      <c r="Y799" s="31" t="str">
        <f aca="false">IF(O799="","",IF(X799="",0,O799*IF(X799&gt;1,X799/100,X799)))</f>
        <v/>
      </c>
      <c r="Z799" s="28"/>
      <c r="AA799" s="34" t="str">
        <f aca="false">IF(Z799="","",IFERROR(VLOOKUP(Z799,REPS!$A$2:$D$40,4,0),""))</f>
        <v/>
      </c>
      <c r="AB799" s="31" t="str">
        <f aca="false">IF(O799="","",IF(AA799="",0,O799*IF(AA799&gt;1,AA799/100,AA799)))</f>
        <v/>
      </c>
      <c r="AC799" s="31" t="str">
        <f aca="false">IF(O799="","",V799+Y799+AB799)</f>
        <v/>
      </c>
      <c r="AD799" s="19" t="str">
        <f aca="false">IF(O799="","",O799-R799-AC799)</f>
        <v/>
      </c>
      <c r="AE799" s="20"/>
      <c r="AF799" s="27"/>
      <c r="AG799" s="21" t="n">
        <f aca="false">IF(OR(AE799="",AE799=0),0,AE799*IF(U799="",0,IF(U799&gt;1,U799/100,U799)))</f>
        <v>0</v>
      </c>
      <c r="AH799" s="21" t="n">
        <f aca="false">IF(OR(AE799="",AE799=0),0,AE799*IF(X799="",0,IF(X799&gt;1,X799/100,X799)))</f>
        <v>0</v>
      </c>
      <c r="AI799" s="21" t="n">
        <f aca="false">IF(OR(AE799="",AE799=0),0,AE799*IF(AA799="",0,IF(AA799&gt;1,AA799/100,AA799)))</f>
        <v>0</v>
      </c>
      <c r="AJ799" s="21" t="n">
        <f aca="false">AG799+AH799+AI799</f>
        <v>0</v>
      </c>
      <c r="AK799" s="21" t="n">
        <f aca="false">IF(OR(AE799="",AE799=0),0,AE799-AJ799)</f>
        <v>0</v>
      </c>
      <c r="AL799" s="19" t="str">
        <f aca="false">IF(AD799="","",AD799-AK799)</f>
        <v/>
      </c>
      <c r="AM799" s="26" t="str">
        <f aca="false">IF(C799="","","Waiting for payment")</f>
        <v/>
      </c>
      <c r="AN799" s="27"/>
      <c r="AO799" s="27"/>
      <c r="AP799" s="35" t="str">
        <f aca="false">IF(OR(C799="",I799="",K799=""),"",IF(K799="Monthly",EDATE(C799,ROUND(I799*SETTINGS!$I$8,0)),WORKDAY(C799,ROUND(I799*SETTINGS!$I$8,0))))</f>
        <v/>
      </c>
      <c r="AQ799" s="26" t="str">
        <f aca="true">IF(C799="","",IF(AND(AP799&lt;&gt;"",TODAY()&gt;=AP799),"Refi Ready",IF(TODAY()-C799&gt;=SETTINGS!$I$11,"Prospecting","Performing")))</f>
        <v/>
      </c>
      <c r="AR799" s="35" t="str">
        <f aca="false">IF(OR(C799="",I799="",K799=""),"",IF(K799="Monthly",EDATE(C799,I799),WORKDAY(C799,I799)))</f>
        <v/>
      </c>
      <c r="AS799" s="28"/>
      <c r="AT799" s="36" t="str">
        <f aca="true">IF(C799="","",IF(AM799="Clawed Back","CLAWED",IF(TODAY()&lt;=C799+SETTINGS!$I$2,"⚠ AT RISK","SAFE")))</f>
        <v/>
      </c>
      <c r="AU799" s="28"/>
      <c r="AW799" s="24" t="n">
        <f aca="false">AW798+IF(AND(C799&lt;&gt;"",AO799&lt;&gt;"",OR('REP COMMISSION'!$B$3="",T799='REP COMMISSION'!$B$3,W799='REP COMMISSION'!$B$3,Z799='REP COMMISSION'!$B$3)),1,0)</f>
        <v>0</v>
      </c>
      <c r="AX799" s="24" t="n">
        <f aca="false">AX798+IF(AND(C799&lt;&gt;"",OR(F799="LOC - INITIAL",F799="CONSOLIDATION - UPFRONT COMM",F799="REVERSE - TOTAL FUNDING")),1,0)</f>
        <v>0</v>
      </c>
    </row>
    <row r="800" customFormat="false" ht="15" hidden="false" customHeight="false" outlineLevel="0" collapsed="false">
      <c r="A800" s="8" t="str">
        <f aca="false">IF(C800&lt;&gt;"","F27-"&amp;COUNT($C$4:C800),"")</f>
        <v/>
      </c>
      <c r="B800" s="9" t="str">
        <f aca="false">IF(OR(F800="LOC - INITIAL",F800="CONSOLIDATION - UPFRONT COMM",F800="REVERSE - TOTAL FUNDING"),A800,"")</f>
        <v/>
      </c>
      <c r="C800" s="10"/>
      <c r="D800" s="11"/>
      <c r="E800" s="11"/>
      <c r="F800" s="11"/>
      <c r="G800" s="12"/>
      <c r="H800" s="13"/>
      <c r="I800" s="11"/>
      <c r="J800" s="14" t="str">
        <f aca="false">IF(AND(G800&lt;&gt;"",H800&lt;&gt;""),G800*H800,"")</f>
        <v/>
      </c>
      <c r="K800" s="11"/>
      <c r="L800" s="15"/>
      <c r="M800" s="15"/>
      <c r="N800" s="14" t="n">
        <f aca="false">IF(OR(G800="",M800=""),0,IF(M800&gt;100,M800,G800*IF(M800&gt;1,M800/100,M800)))</f>
        <v>0</v>
      </c>
      <c r="O800" s="14" t="str">
        <f aca="false">IF(G800="","",G800*IF(L800="",0,IF(L800&gt;1,L800/100,L800))+N800)</f>
        <v/>
      </c>
      <c r="P800" s="11"/>
      <c r="Q800" s="16" t="str">
        <f aca="false">IF(P800="","",IFERROR(VLOOKUP(P800,PARTNERS!$A$2:$B$30,2,0),""))</f>
        <v/>
      </c>
      <c r="R800" s="17" t="str">
        <f aca="false">IF(O800="","",IF(OR(P800="",Q800=""),0,(O800-N800)*IF(Q800&gt;1,Q800/100,Q800)))</f>
        <v/>
      </c>
      <c r="S800" s="14" t="str">
        <f aca="false">IF(O800="","",O800-R800)</f>
        <v/>
      </c>
      <c r="T800" s="11"/>
      <c r="U800" s="18" t="str">
        <f aca="false">IF(T800="","",IFERROR(VLOOKUP(T800,REPS!$A$2:$D$40,2,0),""))</f>
        <v/>
      </c>
      <c r="V800" s="14" t="str">
        <f aca="false">IF(O800="","",IF(U800="",0,O800*IF(U800&gt;1,U800/100,U800)))</f>
        <v/>
      </c>
      <c r="W800" s="11"/>
      <c r="X800" s="18" t="str">
        <f aca="false">IF(W800="","",IFERROR(VLOOKUP(W800,REPS!$A$2:$D$40,3,0),""))</f>
        <v/>
      </c>
      <c r="Y800" s="14" t="str">
        <f aca="false">IF(O800="","",IF(X800="",0,O800*IF(X800&gt;1,X800/100,X800)))</f>
        <v/>
      </c>
      <c r="Z800" s="11"/>
      <c r="AA800" s="18" t="str">
        <f aca="false">IF(Z800="","",IFERROR(VLOOKUP(Z800,REPS!$A$2:$D$40,4,0),""))</f>
        <v/>
      </c>
      <c r="AB800" s="14" t="str">
        <f aca="false">IF(O800="","",IF(AA800="",0,O800*IF(AA800&gt;1,AA800/100,AA800)))</f>
        <v/>
      </c>
      <c r="AC800" s="14" t="str">
        <f aca="false">IF(O800="","",V800+Y800+AB800)</f>
        <v/>
      </c>
      <c r="AD800" s="19" t="str">
        <f aca="false">IF(O800="","",O800-R800-AC800)</f>
        <v/>
      </c>
      <c r="AE800" s="20"/>
      <c r="AF800" s="10"/>
      <c r="AG800" s="21" t="n">
        <f aca="false">IF(OR(AE800="",AE800=0),0,AE800*IF(U800="",0,IF(U800&gt;1,U800/100,U800)))</f>
        <v>0</v>
      </c>
      <c r="AH800" s="21" t="n">
        <f aca="false">IF(OR(AE800="",AE800=0),0,AE800*IF(X800="",0,IF(X800&gt;1,X800/100,X800)))</f>
        <v>0</v>
      </c>
      <c r="AI800" s="21" t="n">
        <f aca="false">IF(OR(AE800="",AE800=0),0,AE800*IF(AA800="",0,IF(AA800&gt;1,AA800/100,AA800)))</f>
        <v>0</v>
      </c>
      <c r="AJ800" s="21" t="n">
        <f aca="false">AG800+AH800+AI800</f>
        <v>0</v>
      </c>
      <c r="AK800" s="21" t="n">
        <f aca="false">IF(OR(AE800="",AE800=0),0,AE800-AJ800)</f>
        <v>0</v>
      </c>
      <c r="AL800" s="19" t="str">
        <f aca="false">IF(AD800="","",AD800-AK800)</f>
        <v/>
      </c>
      <c r="AM800" s="9" t="str">
        <f aca="false">IF(C800="","","Waiting for payment")</f>
        <v/>
      </c>
      <c r="AN800" s="10"/>
      <c r="AO800" s="10"/>
      <c r="AP800" s="22" t="str">
        <f aca="false">IF(OR(C800="",I800="",K800=""),"",IF(K800="Monthly",EDATE(C800,ROUND(I800*SETTINGS!$I$8,0)),WORKDAY(C800,ROUND(I800*SETTINGS!$I$8,0))))</f>
        <v/>
      </c>
      <c r="AQ800" s="9" t="str">
        <f aca="true">IF(C800="","",IF(AND(AP800&lt;&gt;"",TODAY()&gt;=AP800),"Refi Ready",IF(TODAY()-C800&gt;=SETTINGS!$I$11,"Prospecting","Performing")))</f>
        <v/>
      </c>
      <c r="AR800" s="22" t="str">
        <f aca="false">IF(OR(C800="",I800="",K800=""),"",IF(K800="Monthly",EDATE(C800,I800),WORKDAY(C800,I800)))</f>
        <v/>
      </c>
      <c r="AS800" s="11"/>
      <c r="AT800" s="23" t="str">
        <f aca="true">IF(C800="","",IF(AM800="Clawed Back","CLAWED",IF(TODAY()&lt;=C800+SETTINGS!$I$2,"⚠ AT RISK","SAFE")))</f>
        <v/>
      </c>
      <c r="AU800" s="11"/>
      <c r="AW800" s="24" t="n">
        <f aca="false">AW799+IF(AND(C800&lt;&gt;"",AO800&lt;&gt;"",OR('REP COMMISSION'!$B$3="",T800='REP COMMISSION'!$B$3,W800='REP COMMISSION'!$B$3,Z800='REP COMMISSION'!$B$3)),1,0)</f>
        <v>0</v>
      </c>
      <c r="AX800" s="24" t="n">
        <f aca="false">AX799+IF(AND(C800&lt;&gt;"",OR(F800="LOC - INITIAL",F800="CONSOLIDATION - UPFRONT COMM",F800="REVERSE - TOTAL FUNDING")),1,0)</f>
        <v>0</v>
      </c>
    </row>
    <row r="801" customFormat="false" ht="15" hidden="false" customHeight="false" outlineLevel="0" collapsed="false">
      <c r="A801" s="25" t="str">
        <f aca="false">IF(C801&lt;&gt;"","F27-"&amp;COUNT($C$4:C801),"")</f>
        <v/>
      </c>
      <c r="B801" s="26" t="str">
        <f aca="false">IF(OR(F801="LOC - INITIAL",F801="CONSOLIDATION - UPFRONT COMM",F801="REVERSE - TOTAL FUNDING"),A801,"")</f>
        <v/>
      </c>
      <c r="C801" s="27"/>
      <c r="D801" s="28"/>
      <c r="E801" s="28"/>
      <c r="F801" s="28"/>
      <c r="G801" s="29"/>
      <c r="H801" s="30"/>
      <c r="I801" s="28"/>
      <c r="J801" s="31" t="str">
        <f aca="false">IF(AND(G801&lt;&gt;"",H801&lt;&gt;""),G801*H801,"")</f>
        <v/>
      </c>
      <c r="K801" s="28"/>
      <c r="L801" s="32"/>
      <c r="M801" s="32"/>
      <c r="N801" s="31" t="n">
        <f aca="false">IF(OR(G801="",M801=""),0,IF(M801&gt;100,M801,G801*IF(M801&gt;1,M801/100,M801)))</f>
        <v>0</v>
      </c>
      <c r="O801" s="31" t="str">
        <f aca="false">IF(G801="","",G801*IF(L801="",0,IF(L801&gt;1,L801/100,L801))+N801)</f>
        <v/>
      </c>
      <c r="P801" s="28"/>
      <c r="Q801" s="33" t="str">
        <f aca="false">IF(P801="","",IFERROR(VLOOKUP(P801,PARTNERS!$A$2:$B$30,2,0),""))</f>
        <v/>
      </c>
      <c r="R801" s="17" t="str">
        <f aca="false">IF(O801="","",IF(OR(P801="",Q801=""),0,(O801-N801)*IF(Q801&gt;1,Q801/100,Q801)))</f>
        <v/>
      </c>
      <c r="S801" s="31" t="str">
        <f aca="false">IF(O801="","",O801-R801)</f>
        <v/>
      </c>
      <c r="T801" s="28"/>
      <c r="U801" s="34" t="str">
        <f aca="false">IF(T801="","",IFERROR(VLOOKUP(T801,REPS!$A$2:$D$40,2,0),""))</f>
        <v/>
      </c>
      <c r="V801" s="31" t="str">
        <f aca="false">IF(O801="","",IF(U801="",0,O801*IF(U801&gt;1,U801/100,U801)))</f>
        <v/>
      </c>
      <c r="W801" s="28"/>
      <c r="X801" s="34" t="str">
        <f aca="false">IF(W801="","",IFERROR(VLOOKUP(W801,REPS!$A$2:$D$40,3,0),""))</f>
        <v/>
      </c>
      <c r="Y801" s="31" t="str">
        <f aca="false">IF(O801="","",IF(X801="",0,O801*IF(X801&gt;1,X801/100,X801)))</f>
        <v/>
      </c>
      <c r="Z801" s="28"/>
      <c r="AA801" s="34" t="str">
        <f aca="false">IF(Z801="","",IFERROR(VLOOKUP(Z801,REPS!$A$2:$D$40,4,0),""))</f>
        <v/>
      </c>
      <c r="AB801" s="31" t="str">
        <f aca="false">IF(O801="","",IF(AA801="",0,O801*IF(AA801&gt;1,AA801/100,AA801)))</f>
        <v/>
      </c>
      <c r="AC801" s="31" t="str">
        <f aca="false">IF(O801="","",V801+Y801+AB801)</f>
        <v/>
      </c>
      <c r="AD801" s="19" t="str">
        <f aca="false">IF(O801="","",O801-R801-AC801)</f>
        <v/>
      </c>
      <c r="AE801" s="20"/>
      <c r="AF801" s="27"/>
      <c r="AG801" s="21" t="n">
        <f aca="false">IF(OR(AE801="",AE801=0),0,AE801*IF(U801="",0,IF(U801&gt;1,U801/100,U801)))</f>
        <v>0</v>
      </c>
      <c r="AH801" s="21" t="n">
        <f aca="false">IF(OR(AE801="",AE801=0),0,AE801*IF(X801="",0,IF(X801&gt;1,X801/100,X801)))</f>
        <v>0</v>
      </c>
      <c r="AI801" s="21" t="n">
        <f aca="false">IF(OR(AE801="",AE801=0),0,AE801*IF(AA801="",0,IF(AA801&gt;1,AA801/100,AA801)))</f>
        <v>0</v>
      </c>
      <c r="AJ801" s="21" t="n">
        <f aca="false">AG801+AH801+AI801</f>
        <v>0</v>
      </c>
      <c r="AK801" s="21" t="n">
        <f aca="false">IF(OR(AE801="",AE801=0),0,AE801-AJ801)</f>
        <v>0</v>
      </c>
      <c r="AL801" s="19" t="str">
        <f aca="false">IF(AD801="","",AD801-AK801)</f>
        <v/>
      </c>
      <c r="AM801" s="26" t="str">
        <f aca="false">IF(C801="","","Waiting for payment")</f>
        <v/>
      </c>
      <c r="AN801" s="27"/>
      <c r="AO801" s="27"/>
      <c r="AP801" s="35" t="str">
        <f aca="false">IF(OR(C801="",I801="",K801=""),"",IF(K801="Monthly",EDATE(C801,ROUND(I801*SETTINGS!$I$8,0)),WORKDAY(C801,ROUND(I801*SETTINGS!$I$8,0))))</f>
        <v/>
      </c>
      <c r="AQ801" s="26" t="str">
        <f aca="true">IF(C801="","",IF(AND(AP801&lt;&gt;"",TODAY()&gt;=AP801),"Refi Ready",IF(TODAY()-C801&gt;=SETTINGS!$I$11,"Prospecting","Performing")))</f>
        <v/>
      </c>
      <c r="AR801" s="35" t="str">
        <f aca="false">IF(OR(C801="",I801="",K801=""),"",IF(K801="Monthly",EDATE(C801,I801),WORKDAY(C801,I801)))</f>
        <v/>
      </c>
      <c r="AS801" s="28"/>
      <c r="AT801" s="36" t="str">
        <f aca="true">IF(C801="","",IF(AM801="Clawed Back","CLAWED",IF(TODAY()&lt;=C801+SETTINGS!$I$2,"⚠ AT RISK","SAFE")))</f>
        <v/>
      </c>
      <c r="AU801" s="28"/>
      <c r="AW801" s="24" t="n">
        <f aca="false">AW800+IF(AND(C801&lt;&gt;"",AO801&lt;&gt;"",OR('REP COMMISSION'!$B$3="",T801='REP COMMISSION'!$B$3,W801='REP COMMISSION'!$B$3,Z801='REP COMMISSION'!$B$3)),1,0)</f>
        <v>0</v>
      </c>
      <c r="AX801" s="24" t="n">
        <f aca="false">AX800+IF(AND(C801&lt;&gt;"",OR(F801="LOC - INITIAL",F801="CONSOLIDATION - UPFRONT COMM",F801="REVERSE - TOTAL FUNDING")),1,0)</f>
        <v>0</v>
      </c>
    </row>
    <row r="802" customFormat="false" ht="15" hidden="false" customHeight="false" outlineLevel="0" collapsed="false">
      <c r="A802" s="8" t="str">
        <f aca="false">IF(C802&lt;&gt;"","F27-"&amp;COUNT($C$4:C802),"")</f>
        <v/>
      </c>
      <c r="B802" s="9" t="str">
        <f aca="false">IF(OR(F802="LOC - INITIAL",F802="CONSOLIDATION - UPFRONT COMM",F802="REVERSE - TOTAL FUNDING"),A802,"")</f>
        <v/>
      </c>
      <c r="C802" s="10"/>
      <c r="D802" s="11"/>
      <c r="E802" s="11"/>
      <c r="F802" s="11"/>
      <c r="G802" s="12"/>
      <c r="H802" s="13"/>
      <c r="I802" s="11"/>
      <c r="J802" s="14" t="str">
        <f aca="false">IF(AND(G802&lt;&gt;"",H802&lt;&gt;""),G802*H802,"")</f>
        <v/>
      </c>
      <c r="K802" s="11"/>
      <c r="L802" s="15"/>
      <c r="M802" s="15"/>
      <c r="N802" s="14" t="n">
        <f aca="false">IF(OR(G802="",M802=""),0,IF(M802&gt;100,M802,G802*IF(M802&gt;1,M802/100,M802)))</f>
        <v>0</v>
      </c>
      <c r="O802" s="14" t="str">
        <f aca="false">IF(G802="","",G802*IF(L802="",0,IF(L802&gt;1,L802/100,L802))+N802)</f>
        <v/>
      </c>
      <c r="P802" s="11"/>
      <c r="Q802" s="16" t="str">
        <f aca="false">IF(P802="","",IFERROR(VLOOKUP(P802,PARTNERS!$A$2:$B$30,2,0),""))</f>
        <v/>
      </c>
      <c r="R802" s="17" t="str">
        <f aca="false">IF(O802="","",IF(OR(P802="",Q802=""),0,(O802-N802)*IF(Q802&gt;1,Q802/100,Q802)))</f>
        <v/>
      </c>
      <c r="S802" s="14" t="str">
        <f aca="false">IF(O802="","",O802-R802)</f>
        <v/>
      </c>
      <c r="T802" s="11"/>
      <c r="U802" s="18" t="str">
        <f aca="false">IF(T802="","",IFERROR(VLOOKUP(T802,REPS!$A$2:$D$40,2,0),""))</f>
        <v/>
      </c>
      <c r="V802" s="14" t="str">
        <f aca="false">IF(O802="","",IF(U802="",0,O802*IF(U802&gt;1,U802/100,U802)))</f>
        <v/>
      </c>
      <c r="W802" s="11"/>
      <c r="X802" s="18" t="str">
        <f aca="false">IF(W802="","",IFERROR(VLOOKUP(W802,REPS!$A$2:$D$40,3,0),""))</f>
        <v/>
      </c>
      <c r="Y802" s="14" t="str">
        <f aca="false">IF(O802="","",IF(X802="",0,O802*IF(X802&gt;1,X802/100,X802)))</f>
        <v/>
      </c>
      <c r="Z802" s="11"/>
      <c r="AA802" s="18" t="str">
        <f aca="false">IF(Z802="","",IFERROR(VLOOKUP(Z802,REPS!$A$2:$D$40,4,0),""))</f>
        <v/>
      </c>
      <c r="AB802" s="14" t="str">
        <f aca="false">IF(O802="","",IF(AA802="",0,O802*IF(AA802&gt;1,AA802/100,AA802)))</f>
        <v/>
      </c>
      <c r="AC802" s="14" t="str">
        <f aca="false">IF(O802="","",V802+Y802+AB802)</f>
        <v/>
      </c>
      <c r="AD802" s="19" t="str">
        <f aca="false">IF(O802="","",O802-R802-AC802)</f>
        <v/>
      </c>
      <c r="AE802" s="20"/>
      <c r="AF802" s="10"/>
      <c r="AG802" s="21" t="n">
        <f aca="false">IF(OR(AE802="",AE802=0),0,AE802*IF(U802="",0,IF(U802&gt;1,U802/100,U802)))</f>
        <v>0</v>
      </c>
      <c r="AH802" s="21" t="n">
        <f aca="false">IF(OR(AE802="",AE802=0),0,AE802*IF(X802="",0,IF(X802&gt;1,X802/100,X802)))</f>
        <v>0</v>
      </c>
      <c r="AI802" s="21" t="n">
        <f aca="false">IF(OR(AE802="",AE802=0),0,AE802*IF(AA802="",0,IF(AA802&gt;1,AA802/100,AA802)))</f>
        <v>0</v>
      </c>
      <c r="AJ802" s="21" t="n">
        <f aca="false">AG802+AH802+AI802</f>
        <v>0</v>
      </c>
      <c r="AK802" s="21" t="n">
        <f aca="false">IF(OR(AE802="",AE802=0),0,AE802-AJ802)</f>
        <v>0</v>
      </c>
      <c r="AL802" s="19" t="str">
        <f aca="false">IF(AD802="","",AD802-AK802)</f>
        <v/>
      </c>
      <c r="AM802" s="9" t="str">
        <f aca="false">IF(C802="","","Waiting for payment")</f>
        <v/>
      </c>
      <c r="AN802" s="10"/>
      <c r="AO802" s="10"/>
      <c r="AP802" s="22" t="str">
        <f aca="false">IF(OR(C802="",I802="",K802=""),"",IF(K802="Monthly",EDATE(C802,ROUND(I802*SETTINGS!$I$8,0)),WORKDAY(C802,ROUND(I802*SETTINGS!$I$8,0))))</f>
        <v/>
      </c>
      <c r="AQ802" s="9" t="str">
        <f aca="true">IF(C802="","",IF(AND(AP802&lt;&gt;"",TODAY()&gt;=AP802),"Refi Ready",IF(TODAY()-C802&gt;=SETTINGS!$I$11,"Prospecting","Performing")))</f>
        <v/>
      </c>
      <c r="AR802" s="22" t="str">
        <f aca="false">IF(OR(C802="",I802="",K802=""),"",IF(K802="Monthly",EDATE(C802,I802),WORKDAY(C802,I802)))</f>
        <v/>
      </c>
      <c r="AS802" s="11"/>
      <c r="AT802" s="23" t="str">
        <f aca="true">IF(C802="","",IF(AM802="Clawed Back","CLAWED",IF(TODAY()&lt;=C802+SETTINGS!$I$2,"⚠ AT RISK","SAFE")))</f>
        <v/>
      </c>
      <c r="AU802" s="11"/>
      <c r="AW802" s="24" t="n">
        <f aca="false">AW801+IF(AND(C802&lt;&gt;"",AO802&lt;&gt;"",OR('REP COMMISSION'!$B$3="",T802='REP COMMISSION'!$B$3,W802='REP COMMISSION'!$B$3,Z802='REP COMMISSION'!$B$3)),1,0)</f>
        <v>0</v>
      </c>
      <c r="AX802" s="24" t="n">
        <f aca="false">AX801+IF(AND(C802&lt;&gt;"",OR(F802="LOC - INITIAL",F802="CONSOLIDATION - UPFRONT COMM",F802="REVERSE - TOTAL FUNDING")),1,0)</f>
        <v>0</v>
      </c>
    </row>
    <row r="803" customFormat="false" ht="15" hidden="false" customHeight="false" outlineLevel="0" collapsed="false">
      <c r="A803" s="25" t="str">
        <f aca="false">IF(C803&lt;&gt;"","F27-"&amp;COUNT($C$4:C803),"")</f>
        <v/>
      </c>
      <c r="B803" s="26" t="str">
        <f aca="false">IF(OR(F803="LOC - INITIAL",F803="CONSOLIDATION - UPFRONT COMM",F803="REVERSE - TOTAL FUNDING"),A803,"")</f>
        <v/>
      </c>
      <c r="C803" s="27"/>
      <c r="D803" s="28"/>
      <c r="E803" s="28"/>
      <c r="F803" s="28"/>
      <c r="G803" s="29"/>
      <c r="H803" s="30"/>
      <c r="I803" s="28"/>
      <c r="J803" s="31" t="str">
        <f aca="false">IF(AND(G803&lt;&gt;"",H803&lt;&gt;""),G803*H803,"")</f>
        <v/>
      </c>
      <c r="K803" s="28"/>
      <c r="L803" s="32"/>
      <c r="M803" s="32"/>
      <c r="N803" s="31" t="n">
        <f aca="false">IF(OR(G803="",M803=""),0,IF(M803&gt;100,M803,G803*IF(M803&gt;1,M803/100,M803)))</f>
        <v>0</v>
      </c>
      <c r="O803" s="31" t="str">
        <f aca="false">IF(G803="","",G803*IF(L803="",0,IF(L803&gt;1,L803/100,L803))+N803)</f>
        <v/>
      </c>
      <c r="P803" s="28"/>
      <c r="Q803" s="33" t="str">
        <f aca="false">IF(P803="","",IFERROR(VLOOKUP(P803,PARTNERS!$A$2:$B$30,2,0),""))</f>
        <v/>
      </c>
      <c r="R803" s="17" t="str">
        <f aca="false">IF(O803="","",IF(OR(P803="",Q803=""),0,(O803-N803)*IF(Q803&gt;1,Q803/100,Q803)))</f>
        <v/>
      </c>
      <c r="S803" s="31" t="str">
        <f aca="false">IF(O803="","",O803-R803)</f>
        <v/>
      </c>
      <c r="T803" s="28"/>
      <c r="U803" s="34" t="str">
        <f aca="false">IF(T803="","",IFERROR(VLOOKUP(T803,REPS!$A$2:$D$40,2,0),""))</f>
        <v/>
      </c>
      <c r="V803" s="31" t="str">
        <f aca="false">IF(O803="","",IF(U803="",0,O803*IF(U803&gt;1,U803/100,U803)))</f>
        <v/>
      </c>
      <c r="W803" s="28"/>
      <c r="X803" s="34" t="str">
        <f aca="false">IF(W803="","",IFERROR(VLOOKUP(W803,REPS!$A$2:$D$40,3,0),""))</f>
        <v/>
      </c>
      <c r="Y803" s="31" t="str">
        <f aca="false">IF(O803="","",IF(X803="",0,O803*IF(X803&gt;1,X803/100,X803)))</f>
        <v/>
      </c>
      <c r="Z803" s="28"/>
      <c r="AA803" s="34" t="str">
        <f aca="false">IF(Z803="","",IFERROR(VLOOKUP(Z803,REPS!$A$2:$D$40,4,0),""))</f>
        <v/>
      </c>
      <c r="AB803" s="31" t="str">
        <f aca="false">IF(O803="","",IF(AA803="",0,O803*IF(AA803&gt;1,AA803/100,AA803)))</f>
        <v/>
      </c>
      <c r="AC803" s="31" t="str">
        <f aca="false">IF(O803="","",V803+Y803+AB803)</f>
        <v/>
      </c>
      <c r="AD803" s="19" t="str">
        <f aca="false">IF(O803="","",O803-R803-AC803)</f>
        <v/>
      </c>
      <c r="AE803" s="20"/>
      <c r="AF803" s="27"/>
      <c r="AG803" s="21" t="n">
        <f aca="false">IF(OR(AE803="",AE803=0),0,AE803*IF(U803="",0,IF(U803&gt;1,U803/100,U803)))</f>
        <v>0</v>
      </c>
      <c r="AH803" s="21" t="n">
        <f aca="false">IF(OR(AE803="",AE803=0),0,AE803*IF(X803="",0,IF(X803&gt;1,X803/100,X803)))</f>
        <v>0</v>
      </c>
      <c r="AI803" s="21" t="n">
        <f aca="false">IF(OR(AE803="",AE803=0),0,AE803*IF(AA803="",0,IF(AA803&gt;1,AA803/100,AA803)))</f>
        <v>0</v>
      </c>
      <c r="AJ803" s="21" t="n">
        <f aca="false">AG803+AH803+AI803</f>
        <v>0</v>
      </c>
      <c r="AK803" s="21" t="n">
        <f aca="false">IF(OR(AE803="",AE803=0),0,AE803-AJ803)</f>
        <v>0</v>
      </c>
      <c r="AL803" s="19" t="str">
        <f aca="false">IF(AD803="","",AD803-AK803)</f>
        <v/>
      </c>
      <c r="AM803" s="26" t="str">
        <f aca="false">IF(C803="","","Waiting for payment")</f>
        <v/>
      </c>
      <c r="AN803" s="27"/>
      <c r="AO803" s="27"/>
      <c r="AP803" s="35" t="str">
        <f aca="false">IF(OR(C803="",I803="",K803=""),"",IF(K803="Monthly",EDATE(C803,ROUND(I803*SETTINGS!$I$8,0)),WORKDAY(C803,ROUND(I803*SETTINGS!$I$8,0))))</f>
        <v/>
      </c>
      <c r="AQ803" s="26" t="str">
        <f aca="true">IF(C803="","",IF(AND(AP803&lt;&gt;"",TODAY()&gt;=AP803),"Refi Ready",IF(TODAY()-C803&gt;=SETTINGS!$I$11,"Prospecting","Performing")))</f>
        <v/>
      </c>
      <c r="AR803" s="35" t="str">
        <f aca="false">IF(OR(C803="",I803="",K803=""),"",IF(K803="Monthly",EDATE(C803,I803),WORKDAY(C803,I803)))</f>
        <v/>
      </c>
      <c r="AS803" s="28"/>
      <c r="AT803" s="36" t="str">
        <f aca="true">IF(C803="","",IF(AM803="Clawed Back","CLAWED",IF(TODAY()&lt;=C803+SETTINGS!$I$2,"⚠ AT RISK","SAFE")))</f>
        <v/>
      </c>
      <c r="AU803" s="28"/>
      <c r="AW803" s="24" t="n">
        <f aca="false">AW802+IF(AND(C803&lt;&gt;"",AO803&lt;&gt;"",OR('REP COMMISSION'!$B$3="",T803='REP COMMISSION'!$B$3,W803='REP COMMISSION'!$B$3,Z803='REP COMMISSION'!$B$3)),1,0)</f>
        <v>0</v>
      </c>
      <c r="AX803" s="24" t="n">
        <f aca="false">AX802+IF(AND(C803&lt;&gt;"",OR(F803="LOC - INITIAL",F803="CONSOLIDATION - UPFRONT COMM",F803="REVERSE - TOTAL FUNDING")),1,0)</f>
        <v>0</v>
      </c>
    </row>
    <row r="804" customFormat="false" ht="15" hidden="false" customHeight="false" outlineLevel="0" collapsed="false">
      <c r="A804" s="8" t="str">
        <f aca="false">IF(C804&lt;&gt;"","F27-"&amp;COUNT($C$4:C804),"")</f>
        <v/>
      </c>
      <c r="B804" s="9" t="str">
        <f aca="false">IF(OR(F804="LOC - INITIAL",F804="CONSOLIDATION - UPFRONT COMM",F804="REVERSE - TOTAL FUNDING"),A804,"")</f>
        <v/>
      </c>
      <c r="C804" s="10"/>
      <c r="D804" s="11"/>
      <c r="E804" s="11"/>
      <c r="F804" s="11"/>
      <c r="G804" s="12"/>
      <c r="H804" s="13"/>
      <c r="I804" s="11"/>
      <c r="J804" s="14" t="str">
        <f aca="false">IF(AND(G804&lt;&gt;"",H804&lt;&gt;""),G804*H804,"")</f>
        <v/>
      </c>
      <c r="K804" s="11"/>
      <c r="L804" s="15"/>
      <c r="M804" s="15"/>
      <c r="N804" s="14" t="n">
        <f aca="false">IF(OR(G804="",M804=""),0,IF(M804&gt;100,M804,G804*IF(M804&gt;1,M804/100,M804)))</f>
        <v>0</v>
      </c>
      <c r="O804" s="14" t="str">
        <f aca="false">IF(G804="","",G804*IF(L804="",0,IF(L804&gt;1,L804/100,L804))+N804)</f>
        <v/>
      </c>
      <c r="P804" s="11"/>
      <c r="Q804" s="16" t="str">
        <f aca="false">IF(P804="","",IFERROR(VLOOKUP(P804,PARTNERS!$A$2:$B$30,2,0),""))</f>
        <v/>
      </c>
      <c r="R804" s="17" t="str">
        <f aca="false">IF(O804="","",IF(OR(P804="",Q804=""),0,(O804-N804)*IF(Q804&gt;1,Q804/100,Q804)))</f>
        <v/>
      </c>
      <c r="S804" s="14" t="str">
        <f aca="false">IF(O804="","",O804-R804)</f>
        <v/>
      </c>
      <c r="T804" s="11"/>
      <c r="U804" s="18" t="str">
        <f aca="false">IF(T804="","",IFERROR(VLOOKUP(T804,REPS!$A$2:$D$40,2,0),""))</f>
        <v/>
      </c>
      <c r="V804" s="14" t="str">
        <f aca="false">IF(O804="","",IF(U804="",0,O804*IF(U804&gt;1,U804/100,U804)))</f>
        <v/>
      </c>
      <c r="W804" s="11"/>
      <c r="X804" s="18" t="str">
        <f aca="false">IF(W804="","",IFERROR(VLOOKUP(W804,REPS!$A$2:$D$40,3,0),""))</f>
        <v/>
      </c>
      <c r="Y804" s="14" t="str">
        <f aca="false">IF(O804="","",IF(X804="",0,O804*IF(X804&gt;1,X804/100,X804)))</f>
        <v/>
      </c>
      <c r="Z804" s="11"/>
      <c r="AA804" s="18" t="str">
        <f aca="false">IF(Z804="","",IFERROR(VLOOKUP(Z804,REPS!$A$2:$D$40,4,0),""))</f>
        <v/>
      </c>
      <c r="AB804" s="14" t="str">
        <f aca="false">IF(O804="","",IF(AA804="",0,O804*IF(AA804&gt;1,AA804/100,AA804)))</f>
        <v/>
      </c>
      <c r="AC804" s="14" t="str">
        <f aca="false">IF(O804="","",V804+Y804+AB804)</f>
        <v/>
      </c>
      <c r="AD804" s="19" t="str">
        <f aca="false">IF(O804="","",O804-R804-AC804)</f>
        <v/>
      </c>
      <c r="AE804" s="20"/>
      <c r="AF804" s="10"/>
      <c r="AG804" s="21" t="n">
        <f aca="false">IF(OR(AE804="",AE804=0),0,AE804*IF(U804="",0,IF(U804&gt;1,U804/100,U804)))</f>
        <v>0</v>
      </c>
      <c r="AH804" s="21" t="n">
        <f aca="false">IF(OR(AE804="",AE804=0),0,AE804*IF(X804="",0,IF(X804&gt;1,X804/100,X804)))</f>
        <v>0</v>
      </c>
      <c r="AI804" s="21" t="n">
        <f aca="false">IF(OR(AE804="",AE804=0),0,AE804*IF(AA804="",0,IF(AA804&gt;1,AA804/100,AA804)))</f>
        <v>0</v>
      </c>
      <c r="AJ804" s="21" t="n">
        <f aca="false">AG804+AH804+AI804</f>
        <v>0</v>
      </c>
      <c r="AK804" s="21" t="n">
        <f aca="false">IF(OR(AE804="",AE804=0),0,AE804-AJ804)</f>
        <v>0</v>
      </c>
      <c r="AL804" s="19" t="str">
        <f aca="false">IF(AD804="","",AD804-AK804)</f>
        <v/>
      </c>
      <c r="AM804" s="9" t="str">
        <f aca="false">IF(C804="","","Waiting for payment")</f>
        <v/>
      </c>
      <c r="AN804" s="10"/>
      <c r="AO804" s="10"/>
      <c r="AP804" s="22" t="str">
        <f aca="false">IF(OR(C804="",I804="",K804=""),"",IF(K804="Monthly",EDATE(C804,ROUND(I804*SETTINGS!$I$8,0)),WORKDAY(C804,ROUND(I804*SETTINGS!$I$8,0))))</f>
        <v/>
      </c>
      <c r="AQ804" s="9" t="str">
        <f aca="true">IF(C804="","",IF(AND(AP804&lt;&gt;"",TODAY()&gt;=AP804),"Refi Ready",IF(TODAY()-C804&gt;=SETTINGS!$I$11,"Prospecting","Performing")))</f>
        <v/>
      </c>
      <c r="AR804" s="22" t="str">
        <f aca="false">IF(OR(C804="",I804="",K804=""),"",IF(K804="Monthly",EDATE(C804,I804),WORKDAY(C804,I804)))</f>
        <v/>
      </c>
      <c r="AS804" s="11"/>
      <c r="AT804" s="23" t="str">
        <f aca="true">IF(C804="","",IF(AM804="Clawed Back","CLAWED",IF(TODAY()&lt;=C804+SETTINGS!$I$2,"⚠ AT RISK","SAFE")))</f>
        <v/>
      </c>
      <c r="AU804" s="11"/>
      <c r="AW804" s="24" t="n">
        <f aca="false">AW803+IF(AND(C804&lt;&gt;"",AO804&lt;&gt;"",OR('REP COMMISSION'!$B$3="",T804='REP COMMISSION'!$B$3,W804='REP COMMISSION'!$B$3,Z804='REP COMMISSION'!$B$3)),1,0)</f>
        <v>0</v>
      </c>
      <c r="AX804" s="24" t="n">
        <f aca="false">AX803+IF(AND(C804&lt;&gt;"",OR(F804="LOC - INITIAL",F804="CONSOLIDATION - UPFRONT COMM",F804="REVERSE - TOTAL FUNDING")),1,0)</f>
        <v>0</v>
      </c>
    </row>
    <row r="805" customFormat="false" ht="15" hidden="false" customHeight="false" outlineLevel="0" collapsed="false">
      <c r="A805" s="25" t="str">
        <f aca="false">IF(C805&lt;&gt;"","F27-"&amp;COUNT($C$4:C805),"")</f>
        <v/>
      </c>
      <c r="B805" s="26" t="str">
        <f aca="false">IF(OR(F805="LOC - INITIAL",F805="CONSOLIDATION - UPFRONT COMM",F805="REVERSE - TOTAL FUNDING"),A805,"")</f>
        <v/>
      </c>
      <c r="C805" s="27"/>
      <c r="D805" s="28"/>
      <c r="E805" s="28"/>
      <c r="F805" s="28"/>
      <c r="G805" s="29"/>
      <c r="H805" s="30"/>
      <c r="I805" s="28"/>
      <c r="J805" s="31" t="str">
        <f aca="false">IF(AND(G805&lt;&gt;"",H805&lt;&gt;""),G805*H805,"")</f>
        <v/>
      </c>
      <c r="K805" s="28"/>
      <c r="L805" s="32"/>
      <c r="M805" s="32"/>
      <c r="N805" s="31" t="n">
        <f aca="false">IF(OR(G805="",M805=""),0,IF(M805&gt;100,M805,G805*IF(M805&gt;1,M805/100,M805)))</f>
        <v>0</v>
      </c>
      <c r="O805" s="31" t="str">
        <f aca="false">IF(G805="","",G805*IF(L805="",0,IF(L805&gt;1,L805/100,L805))+N805)</f>
        <v/>
      </c>
      <c r="P805" s="28"/>
      <c r="Q805" s="33" t="str">
        <f aca="false">IF(P805="","",IFERROR(VLOOKUP(P805,PARTNERS!$A$2:$B$30,2,0),""))</f>
        <v/>
      </c>
      <c r="R805" s="17" t="str">
        <f aca="false">IF(O805="","",IF(OR(P805="",Q805=""),0,(O805-N805)*IF(Q805&gt;1,Q805/100,Q805)))</f>
        <v/>
      </c>
      <c r="S805" s="31" t="str">
        <f aca="false">IF(O805="","",O805-R805)</f>
        <v/>
      </c>
      <c r="T805" s="28"/>
      <c r="U805" s="34" t="str">
        <f aca="false">IF(T805="","",IFERROR(VLOOKUP(T805,REPS!$A$2:$D$40,2,0),""))</f>
        <v/>
      </c>
      <c r="V805" s="31" t="str">
        <f aca="false">IF(O805="","",IF(U805="",0,O805*IF(U805&gt;1,U805/100,U805)))</f>
        <v/>
      </c>
      <c r="W805" s="28"/>
      <c r="X805" s="34" t="str">
        <f aca="false">IF(W805="","",IFERROR(VLOOKUP(W805,REPS!$A$2:$D$40,3,0),""))</f>
        <v/>
      </c>
      <c r="Y805" s="31" t="str">
        <f aca="false">IF(O805="","",IF(X805="",0,O805*IF(X805&gt;1,X805/100,X805)))</f>
        <v/>
      </c>
      <c r="Z805" s="28"/>
      <c r="AA805" s="34" t="str">
        <f aca="false">IF(Z805="","",IFERROR(VLOOKUP(Z805,REPS!$A$2:$D$40,4,0),""))</f>
        <v/>
      </c>
      <c r="AB805" s="31" t="str">
        <f aca="false">IF(O805="","",IF(AA805="",0,O805*IF(AA805&gt;1,AA805/100,AA805)))</f>
        <v/>
      </c>
      <c r="AC805" s="31" t="str">
        <f aca="false">IF(O805="","",V805+Y805+AB805)</f>
        <v/>
      </c>
      <c r="AD805" s="19" t="str">
        <f aca="false">IF(O805="","",O805-R805-AC805)</f>
        <v/>
      </c>
      <c r="AE805" s="20"/>
      <c r="AF805" s="27"/>
      <c r="AG805" s="21" t="n">
        <f aca="false">IF(OR(AE805="",AE805=0),0,AE805*IF(U805="",0,IF(U805&gt;1,U805/100,U805)))</f>
        <v>0</v>
      </c>
      <c r="AH805" s="21" t="n">
        <f aca="false">IF(OR(AE805="",AE805=0),0,AE805*IF(X805="",0,IF(X805&gt;1,X805/100,X805)))</f>
        <v>0</v>
      </c>
      <c r="AI805" s="21" t="n">
        <f aca="false">IF(OR(AE805="",AE805=0),0,AE805*IF(AA805="",0,IF(AA805&gt;1,AA805/100,AA805)))</f>
        <v>0</v>
      </c>
      <c r="AJ805" s="21" t="n">
        <f aca="false">AG805+AH805+AI805</f>
        <v>0</v>
      </c>
      <c r="AK805" s="21" t="n">
        <f aca="false">IF(OR(AE805="",AE805=0),0,AE805-AJ805)</f>
        <v>0</v>
      </c>
      <c r="AL805" s="19" t="str">
        <f aca="false">IF(AD805="","",AD805-AK805)</f>
        <v/>
      </c>
      <c r="AM805" s="26" t="str">
        <f aca="false">IF(C805="","","Waiting for payment")</f>
        <v/>
      </c>
      <c r="AN805" s="27"/>
      <c r="AO805" s="27"/>
      <c r="AP805" s="35" t="str">
        <f aca="false">IF(OR(C805="",I805="",K805=""),"",IF(K805="Monthly",EDATE(C805,ROUND(I805*SETTINGS!$I$8,0)),WORKDAY(C805,ROUND(I805*SETTINGS!$I$8,0))))</f>
        <v/>
      </c>
      <c r="AQ805" s="26" t="str">
        <f aca="true">IF(C805="","",IF(AND(AP805&lt;&gt;"",TODAY()&gt;=AP805),"Refi Ready",IF(TODAY()-C805&gt;=SETTINGS!$I$11,"Prospecting","Performing")))</f>
        <v/>
      </c>
      <c r="AR805" s="35" t="str">
        <f aca="false">IF(OR(C805="",I805="",K805=""),"",IF(K805="Monthly",EDATE(C805,I805),WORKDAY(C805,I805)))</f>
        <v/>
      </c>
      <c r="AS805" s="28"/>
      <c r="AT805" s="36" t="str">
        <f aca="true">IF(C805="","",IF(AM805="Clawed Back","CLAWED",IF(TODAY()&lt;=C805+SETTINGS!$I$2,"⚠ AT RISK","SAFE")))</f>
        <v/>
      </c>
      <c r="AU805" s="28"/>
      <c r="AW805" s="24" t="n">
        <f aca="false">AW804+IF(AND(C805&lt;&gt;"",AO805&lt;&gt;"",OR('REP COMMISSION'!$B$3="",T805='REP COMMISSION'!$B$3,W805='REP COMMISSION'!$B$3,Z805='REP COMMISSION'!$B$3)),1,0)</f>
        <v>0</v>
      </c>
      <c r="AX805" s="24" t="n">
        <f aca="false">AX804+IF(AND(C805&lt;&gt;"",OR(F805="LOC - INITIAL",F805="CONSOLIDATION - UPFRONT COMM",F805="REVERSE - TOTAL FUNDING")),1,0)</f>
        <v>0</v>
      </c>
    </row>
    <row r="806" customFormat="false" ht="15" hidden="false" customHeight="false" outlineLevel="0" collapsed="false">
      <c r="A806" s="8" t="str">
        <f aca="false">IF(C806&lt;&gt;"","F27-"&amp;COUNT($C$4:C806),"")</f>
        <v/>
      </c>
      <c r="B806" s="9" t="str">
        <f aca="false">IF(OR(F806="LOC - INITIAL",F806="CONSOLIDATION - UPFRONT COMM",F806="REVERSE - TOTAL FUNDING"),A806,"")</f>
        <v/>
      </c>
      <c r="C806" s="10"/>
      <c r="D806" s="11"/>
      <c r="E806" s="11"/>
      <c r="F806" s="11"/>
      <c r="G806" s="12"/>
      <c r="H806" s="13"/>
      <c r="I806" s="11"/>
      <c r="J806" s="14" t="str">
        <f aca="false">IF(AND(G806&lt;&gt;"",H806&lt;&gt;""),G806*H806,"")</f>
        <v/>
      </c>
      <c r="K806" s="11"/>
      <c r="L806" s="15"/>
      <c r="M806" s="15"/>
      <c r="N806" s="14" t="n">
        <f aca="false">IF(OR(G806="",M806=""),0,IF(M806&gt;100,M806,G806*IF(M806&gt;1,M806/100,M806)))</f>
        <v>0</v>
      </c>
      <c r="O806" s="14" t="str">
        <f aca="false">IF(G806="","",G806*IF(L806="",0,IF(L806&gt;1,L806/100,L806))+N806)</f>
        <v/>
      </c>
      <c r="P806" s="11"/>
      <c r="Q806" s="16" t="str">
        <f aca="false">IF(P806="","",IFERROR(VLOOKUP(P806,PARTNERS!$A$2:$B$30,2,0),""))</f>
        <v/>
      </c>
      <c r="R806" s="17" t="str">
        <f aca="false">IF(O806="","",IF(OR(P806="",Q806=""),0,(O806-N806)*IF(Q806&gt;1,Q806/100,Q806)))</f>
        <v/>
      </c>
      <c r="S806" s="14" t="str">
        <f aca="false">IF(O806="","",O806-R806)</f>
        <v/>
      </c>
      <c r="T806" s="11"/>
      <c r="U806" s="18" t="str">
        <f aca="false">IF(T806="","",IFERROR(VLOOKUP(T806,REPS!$A$2:$D$40,2,0),""))</f>
        <v/>
      </c>
      <c r="V806" s="14" t="str">
        <f aca="false">IF(O806="","",IF(U806="",0,O806*IF(U806&gt;1,U806/100,U806)))</f>
        <v/>
      </c>
      <c r="W806" s="11"/>
      <c r="X806" s="18" t="str">
        <f aca="false">IF(W806="","",IFERROR(VLOOKUP(W806,REPS!$A$2:$D$40,3,0),""))</f>
        <v/>
      </c>
      <c r="Y806" s="14" t="str">
        <f aca="false">IF(O806="","",IF(X806="",0,O806*IF(X806&gt;1,X806/100,X806)))</f>
        <v/>
      </c>
      <c r="Z806" s="11"/>
      <c r="AA806" s="18" t="str">
        <f aca="false">IF(Z806="","",IFERROR(VLOOKUP(Z806,REPS!$A$2:$D$40,4,0),""))</f>
        <v/>
      </c>
      <c r="AB806" s="14" t="str">
        <f aca="false">IF(O806="","",IF(AA806="",0,O806*IF(AA806&gt;1,AA806/100,AA806)))</f>
        <v/>
      </c>
      <c r="AC806" s="14" t="str">
        <f aca="false">IF(O806="","",V806+Y806+AB806)</f>
        <v/>
      </c>
      <c r="AD806" s="19" t="str">
        <f aca="false">IF(O806="","",O806-R806-AC806)</f>
        <v/>
      </c>
      <c r="AE806" s="20"/>
      <c r="AF806" s="10"/>
      <c r="AG806" s="21" t="n">
        <f aca="false">IF(OR(AE806="",AE806=0),0,AE806*IF(U806="",0,IF(U806&gt;1,U806/100,U806)))</f>
        <v>0</v>
      </c>
      <c r="AH806" s="21" t="n">
        <f aca="false">IF(OR(AE806="",AE806=0),0,AE806*IF(X806="",0,IF(X806&gt;1,X806/100,X806)))</f>
        <v>0</v>
      </c>
      <c r="AI806" s="21" t="n">
        <f aca="false">IF(OR(AE806="",AE806=0),0,AE806*IF(AA806="",0,IF(AA806&gt;1,AA806/100,AA806)))</f>
        <v>0</v>
      </c>
      <c r="AJ806" s="21" t="n">
        <f aca="false">AG806+AH806+AI806</f>
        <v>0</v>
      </c>
      <c r="AK806" s="21" t="n">
        <f aca="false">IF(OR(AE806="",AE806=0),0,AE806-AJ806)</f>
        <v>0</v>
      </c>
      <c r="AL806" s="19" t="str">
        <f aca="false">IF(AD806="","",AD806-AK806)</f>
        <v/>
      </c>
      <c r="AM806" s="9" t="str">
        <f aca="false">IF(C806="","","Waiting for payment")</f>
        <v/>
      </c>
      <c r="AN806" s="10"/>
      <c r="AO806" s="10"/>
      <c r="AP806" s="22" t="str">
        <f aca="false">IF(OR(C806="",I806="",K806=""),"",IF(K806="Monthly",EDATE(C806,ROUND(I806*SETTINGS!$I$8,0)),WORKDAY(C806,ROUND(I806*SETTINGS!$I$8,0))))</f>
        <v/>
      </c>
      <c r="AQ806" s="9" t="str">
        <f aca="true">IF(C806="","",IF(AND(AP806&lt;&gt;"",TODAY()&gt;=AP806),"Refi Ready",IF(TODAY()-C806&gt;=SETTINGS!$I$11,"Prospecting","Performing")))</f>
        <v/>
      </c>
      <c r="AR806" s="22" t="str">
        <f aca="false">IF(OR(C806="",I806="",K806=""),"",IF(K806="Monthly",EDATE(C806,I806),WORKDAY(C806,I806)))</f>
        <v/>
      </c>
      <c r="AS806" s="11"/>
      <c r="AT806" s="23" t="str">
        <f aca="true">IF(C806="","",IF(AM806="Clawed Back","CLAWED",IF(TODAY()&lt;=C806+SETTINGS!$I$2,"⚠ AT RISK","SAFE")))</f>
        <v/>
      </c>
      <c r="AU806" s="11"/>
      <c r="AW806" s="24" t="n">
        <f aca="false">AW805+IF(AND(C806&lt;&gt;"",AO806&lt;&gt;"",OR('REP COMMISSION'!$B$3="",T806='REP COMMISSION'!$B$3,W806='REP COMMISSION'!$B$3,Z806='REP COMMISSION'!$B$3)),1,0)</f>
        <v>0</v>
      </c>
      <c r="AX806" s="24" t="n">
        <f aca="false">AX805+IF(AND(C806&lt;&gt;"",OR(F806="LOC - INITIAL",F806="CONSOLIDATION - UPFRONT COMM",F806="REVERSE - TOTAL FUNDING")),1,0)</f>
        <v>0</v>
      </c>
    </row>
    <row r="807" customFormat="false" ht="15" hidden="false" customHeight="false" outlineLevel="0" collapsed="false">
      <c r="A807" s="25" t="str">
        <f aca="false">IF(C807&lt;&gt;"","F27-"&amp;COUNT($C$4:C807),"")</f>
        <v/>
      </c>
      <c r="B807" s="26" t="str">
        <f aca="false">IF(OR(F807="LOC - INITIAL",F807="CONSOLIDATION - UPFRONT COMM",F807="REVERSE - TOTAL FUNDING"),A807,"")</f>
        <v/>
      </c>
      <c r="C807" s="27"/>
      <c r="D807" s="28"/>
      <c r="E807" s="28"/>
      <c r="F807" s="28"/>
      <c r="G807" s="29"/>
      <c r="H807" s="30"/>
      <c r="I807" s="28"/>
      <c r="J807" s="31" t="str">
        <f aca="false">IF(AND(G807&lt;&gt;"",H807&lt;&gt;""),G807*H807,"")</f>
        <v/>
      </c>
      <c r="K807" s="28"/>
      <c r="L807" s="32"/>
      <c r="M807" s="32"/>
      <c r="N807" s="31" t="n">
        <f aca="false">IF(OR(G807="",M807=""),0,IF(M807&gt;100,M807,G807*IF(M807&gt;1,M807/100,M807)))</f>
        <v>0</v>
      </c>
      <c r="O807" s="31" t="str">
        <f aca="false">IF(G807="","",G807*IF(L807="",0,IF(L807&gt;1,L807/100,L807))+N807)</f>
        <v/>
      </c>
      <c r="P807" s="28"/>
      <c r="Q807" s="33" t="str">
        <f aca="false">IF(P807="","",IFERROR(VLOOKUP(P807,PARTNERS!$A$2:$B$30,2,0),""))</f>
        <v/>
      </c>
      <c r="R807" s="17" t="str">
        <f aca="false">IF(O807="","",IF(OR(P807="",Q807=""),0,(O807-N807)*IF(Q807&gt;1,Q807/100,Q807)))</f>
        <v/>
      </c>
      <c r="S807" s="31" t="str">
        <f aca="false">IF(O807="","",O807-R807)</f>
        <v/>
      </c>
      <c r="T807" s="28"/>
      <c r="U807" s="34" t="str">
        <f aca="false">IF(T807="","",IFERROR(VLOOKUP(T807,REPS!$A$2:$D$40,2,0),""))</f>
        <v/>
      </c>
      <c r="V807" s="31" t="str">
        <f aca="false">IF(O807="","",IF(U807="",0,O807*IF(U807&gt;1,U807/100,U807)))</f>
        <v/>
      </c>
      <c r="W807" s="28"/>
      <c r="X807" s="34" t="str">
        <f aca="false">IF(W807="","",IFERROR(VLOOKUP(W807,REPS!$A$2:$D$40,3,0),""))</f>
        <v/>
      </c>
      <c r="Y807" s="31" t="str">
        <f aca="false">IF(O807="","",IF(X807="",0,O807*IF(X807&gt;1,X807/100,X807)))</f>
        <v/>
      </c>
      <c r="Z807" s="28"/>
      <c r="AA807" s="34" t="str">
        <f aca="false">IF(Z807="","",IFERROR(VLOOKUP(Z807,REPS!$A$2:$D$40,4,0),""))</f>
        <v/>
      </c>
      <c r="AB807" s="31" t="str">
        <f aca="false">IF(O807="","",IF(AA807="",0,O807*IF(AA807&gt;1,AA807/100,AA807)))</f>
        <v/>
      </c>
      <c r="AC807" s="31" t="str">
        <f aca="false">IF(O807="","",V807+Y807+AB807)</f>
        <v/>
      </c>
      <c r="AD807" s="19" t="str">
        <f aca="false">IF(O807="","",O807-R807-AC807)</f>
        <v/>
      </c>
      <c r="AE807" s="20"/>
      <c r="AF807" s="27"/>
      <c r="AG807" s="21" t="n">
        <f aca="false">IF(OR(AE807="",AE807=0),0,AE807*IF(U807="",0,IF(U807&gt;1,U807/100,U807)))</f>
        <v>0</v>
      </c>
      <c r="AH807" s="21" t="n">
        <f aca="false">IF(OR(AE807="",AE807=0),0,AE807*IF(X807="",0,IF(X807&gt;1,X807/100,X807)))</f>
        <v>0</v>
      </c>
      <c r="AI807" s="21" t="n">
        <f aca="false">IF(OR(AE807="",AE807=0),0,AE807*IF(AA807="",0,IF(AA807&gt;1,AA807/100,AA807)))</f>
        <v>0</v>
      </c>
      <c r="AJ807" s="21" t="n">
        <f aca="false">AG807+AH807+AI807</f>
        <v>0</v>
      </c>
      <c r="AK807" s="21" t="n">
        <f aca="false">IF(OR(AE807="",AE807=0),0,AE807-AJ807)</f>
        <v>0</v>
      </c>
      <c r="AL807" s="19" t="str">
        <f aca="false">IF(AD807="","",AD807-AK807)</f>
        <v/>
      </c>
      <c r="AM807" s="26" t="str">
        <f aca="false">IF(C807="","","Waiting for payment")</f>
        <v/>
      </c>
      <c r="AN807" s="27"/>
      <c r="AO807" s="27"/>
      <c r="AP807" s="35" t="str">
        <f aca="false">IF(OR(C807="",I807="",K807=""),"",IF(K807="Monthly",EDATE(C807,ROUND(I807*SETTINGS!$I$8,0)),WORKDAY(C807,ROUND(I807*SETTINGS!$I$8,0))))</f>
        <v/>
      </c>
      <c r="AQ807" s="26" t="str">
        <f aca="true">IF(C807="","",IF(AND(AP807&lt;&gt;"",TODAY()&gt;=AP807),"Refi Ready",IF(TODAY()-C807&gt;=SETTINGS!$I$11,"Prospecting","Performing")))</f>
        <v/>
      </c>
      <c r="AR807" s="35" t="str">
        <f aca="false">IF(OR(C807="",I807="",K807=""),"",IF(K807="Monthly",EDATE(C807,I807),WORKDAY(C807,I807)))</f>
        <v/>
      </c>
      <c r="AS807" s="28"/>
      <c r="AT807" s="36" t="str">
        <f aca="true">IF(C807="","",IF(AM807="Clawed Back","CLAWED",IF(TODAY()&lt;=C807+SETTINGS!$I$2,"⚠ AT RISK","SAFE")))</f>
        <v/>
      </c>
      <c r="AU807" s="28"/>
      <c r="AW807" s="24" t="n">
        <f aca="false">AW806+IF(AND(C807&lt;&gt;"",AO807&lt;&gt;"",OR('REP COMMISSION'!$B$3="",T807='REP COMMISSION'!$B$3,W807='REP COMMISSION'!$B$3,Z807='REP COMMISSION'!$B$3)),1,0)</f>
        <v>0</v>
      </c>
      <c r="AX807" s="24" t="n">
        <f aca="false">AX806+IF(AND(C807&lt;&gt;"",OR(F807="LOC - INITIAL",F807="CONSOLIDATION - UPFRONT COMM",F807="REVERSE - TOTAL FUNDING")),1,0)</f>
        <v>0</v>
      </c>
    </row>
    <row r="808" customFormat="false" ht="15" hidden="false" customHeight="false" outlineLevel="0" collapsed="false">
      <c r="A808" s="8" t="str">
        <f aca="false">IF(C808&lt;&gt;"","F27-"&amp;COUNT($C$4:C808),"")</f>
        <v/>
      </c>
      <c r="B808" s="9" t="str">
        <f aca="false">IF(OR(F808="LOC - INITIAL",F808="CONSOLIDATION - UPFRONT COMM",F808="REVERSE - TOTAL FUNDING"),A808,"")</f>
        <v/>
      </c>
      <c r="C808" s="10"/>
      <c r="D808" s="11"/>
      <c r="E808" s="11"/>
      <c r="F808" s="11"/>
      <c r="G808" s="12"/>
      <c r="H808" s="13"/>
      <c r="I808" s="11"/>
      <c r="J808" s="14" t="str">
        <f aca="false">IF(AND(G808&lt;&gt;"",H808&lt;&gt;""),G808*H808,"")</f>
        <v/>
      </c>
      <c r="K808" s="11"/>
      <c r="L808" s="15"/>
      <c r="M808" s="15"/>
      <c r="N808" s="14" t="n">
        <f aca="false">IF(OR(G808="",M808=""),0,IF(M808&gt;100,M808,G808*IF(M808&gt;1,M808/100,M808)))</f>
        <v>0</v>
      </c>
      <c r="O808" s="14" t="str">
        <f aca="false">IF(G808="","",G808*IF(L808="",0,IF(L808&gt;1,L808/100,L808))+N808)</f>
        <v/>
      </c>
      <c r="P808" s="11"/>
      <c r="Q808" s="16" t="str">
        <f aca="false">IF(P808="","",IFERROR(VLOOKUP(P808,PARTNERS!$A$2:$B$30,2,0),""))</f>
        <v/>
      </c>
      <c r="R808" s="17" t="str">
        <f aca="false">IF(O808="","",IF(OR(P808="",Q808=""),0,(O808-N808)*IF(Q808&gt;1,Q808/100,Q808)))</f>
        <v/>
      </c>
      <c r="S808" s="14" t="str">
        <f aca="false">IF(O808="","",O808-R808)</f>
        <v/>
      </c>
      <c r="T808" s="11"/>
      <c r="U808" s="18" t="str">
        <f aca="false">IF(T808="","",IFERROR(VLOOKUP(T808,REPS!$A$2:$D$40,2,0),""))</f>
        <v/>
      </c>
      <c r="V808" s="14" t="str">
        <f aca="false">IF(O808="","",IF(U808="",0,O808*IF(U808&gt;1,U808/100,U808)))</f>
        <v/>
      </c>
      <c r="W808" s="11"/>
      <c r="X808" s="18" t="str">
        <f aca="false">IF(W808="","",IFERROR(VLOOKUP(W808,REPS!$A$2:$D$40,3,0),""))</f>
        <v/>
      </c>
      <c r="Y808" s="14" t="str">
        <f aca="false">IF(O808="","",IF(X808="",0,O808*IF(X808&gt;1,X808/100,X808)))</f>
        <v/>
      </c>
      <c r="Z808" s="11"/>
      <c r="AA808" s="18" t="str">
        <f aca="false">IF(Z808="","",IFERROR(VLOOKUP(Z808,REPS!$A$2:$D$40,4,0),""))</f>
        <v/>
      </c>
      <c r="AB808" s="14" t="str">
        <f aca="false">IF(O808="","",IF(AA808="",0,O808*IF(AA808&gt;1,AA808/100,AA808)))</f>
        <v/>
      </c>
      <c r="AC808" s="14" t="str">
        <f aca="false">IF(O808="","",V808+Y808+AB808)</f>
        <v/>
      </c>
      <c r="AD808" s="19" t="str">
        <f aca="false">IF(O808="","",O808-R808-AC808)</f>
        <v/>
      </c>
      <c r="AE808" s="20"/>
      <c r="AF808" s="10"/>
      <c r="AG808" s="21" t="n">
        <f aca="false">IF(OR(AE808="",AE808=0),0,AE808*IF(U808="",0,IF(U808&gt;1,U808/100,U808)))</f>
        <v>0</v>
      </c>
      <c r="AH808" s="21" t="n">
        <f aca="false">IF(OR(AE808="",AE808=0),0,AE808*IF(X808="",0,IF(X808&gt;1,X808/100,X808)))</f>
        <v>0</v>
      </c>
      <c r="AI808" s="21" t="n">
        <f aca="false">IF(OR(AE808="",AE808=0),0,AE808*IF(AA808="",0,IF(AA808&gt;1,AA808/100,AA808)))</f>
        <v>0</v>
      </c>
      <c r="AJ808" s="21" t="n">
        <f aca="false">AG808+AH808+AI808</f>
        <v>0</v>
      </c>
      <c r="AK808" s="21" t="n">
        <f aca="false">IF(OR(AE808="",AE808=0),0,AE808-AJ808)</f>
        <v>0</v>
      </c>
      <c r="AL808" s="19" t="str">
        <f aca="false">IF(AD808="","",AD808-AK808)</f>
        <v/>
      </c>
      <c r="AM808" s="9" t="str">
        <f aca="false">IF(C808="","","Waiting for payment")</f>
        <v/>
      </c>
      <c r="AN808" s="10"/>
      <c r="AO808" s="10"/>
      <c r="AP808" s="22" t="str">
        <f aca="false">IF(OR(C808="",I808="",K808=""),"",IF(K808="Monthly",EDATE(C808,ROUND(I808*SETTINGS!$I$8,0)),WORKDAY(C808,ROUND(I808*SETTINGS!$I$8,0))))</f>
        <v/>
      </c>
      <c r="AQ808" s="9" t="str">
        <f aca="true">IF(C808="","",IF(AND(AP808&lt;&gt;"",TODAY()&gt;=AP808),"Refi Ready",IF(TODAY()-C808&gt;=SETTINGS!$I$11,"Prospecting","Performing")))</f>
        <v/>
      </c>
      <c r="AR808" s="22" t="str">
        <f aca="false">IF(OR(C808="",I808="",K808=""),"",IF(K808="Monthly",EDATE(C808,I808),WORKDAY(C808,I808)))</f>
        <v/>
      </c>
      <c r="AS808" s="11"/>
      <c r="AT808" s="23" t="str">
        <f aca="true">IF(C808="","",IF(AM808="Clawed Back","CLAWED",IF(TODAY()&lt;=C808+SETTINGS!$I$2,"⚠ AT RISK","SAFE")))</f>
        <v/>
      </c>
      <c r="AU808" s="11"/>
      <c r="AW808" s="24" t="n">
        <f aca="false">AW807+IF(AND(C808&lt;&gt;"",AO808&lt;&gt;"",OR('REP COMMISSION'!$B$3="",T808='REP COMMISSION'!$B$3,W808='REP COMMISSION'!$B$3,Z808='REP COMMISSION'!$B$3)),1,0)</f>
        <v>0</v>
      </c>
      <c r="AX808" s="24" t="n">
        <f aca="false">AX807+IF(AND(C808&lt;&gt;"",OR(F808="LOC - INITIAL",F808="CONSOLIDATION - UPFRONT COMM",F808="REVERSE - TOTAL FUNDING")),1,0)</f>
        <v>0</v>
      </c>
    </row>
    <row r="809" customFormat="false" ht="15" hidden="false" customHeight="false" outlineLevel="0" collapsed="false">
      <c r="A809" s="25" t="str">
        <f aca="false">IF(C809&lt;&gt;"","F27-"&amp;COUNT($C$4:C809),"")</f>
        <v/>
      </c>
      <c r="B809" s="26" t="str">
        <f aca="false">IF(OR(F809="LOC - INITIAL",F809="CONSOLIDATION - UPFRONT COMM",F809="REVERSE - TOTAL FUNDING"),A809,"")</f>
        <v/>
      </c>
      <c r="C809" s="27"/>
      <c r="D809" s="28"/>
      <c r="E809" s="28"/>
      <c r="F809" s="28"/>
      <c r="G809" s="29"/>
      <c r="H809" s="30"/>
      <c r="I809" s="28"/>
      <c r="J809" s="31" t="str">
        <f aca="false">IF(AND(G809&lt;&gt;"",H809&lt;&gt;""),G809*H809,"")</f>
        <v/>
      </c>
      <c r="K809" s="28"/>
      <c r="L809" s="32"/>
      <c r="M809" s="32"/>
      <c r="N809" s="31" t="n">
        <f aca="false">IF(OR(G809="",M809=""),0,IF(M809&gt;100,M809,G809*IF(M809&gt;1,M809/100,M809)))</f>
        <v>0</v>
      </c>
      <c r="O809" s="31" t="str">
        <f aca="false">IF(G809="","",G809*IF(L809="",0,IF(L809&gt;1,L809/100,L809))+N809)</f>
        <v/>
      </c>
      <c r="P809" s="28"/>
      <c r="Q809" s="33" t="str">
        <f aca="false">IF(P809="","",IFERROR(VLOOKUP(P809,PARTNERS!$A$2:$B$30,2,0),""))</f>
        <v/>
      </c>
      <c r="R809" s="17" t="str">
        <f aca="false">IF(O809="","",IF(OR(P809="",Q809=""),0,(O809-N809)*IF(Q809&gt;1,Q809/100,Q809)))</f>
        <v/>
      </c>
      <c r="S809" s="31" t="str">
        <f aca="false">IF(O809="","",O809-R809)</f>
        <v/>
      </c>
      <c r="T809" s="28"/>
      <c r="U809" s="34" t="str">
        <f aca="false">IF(T809="","",IFERROR(VLOOKUP(T809,REPS!$A$2:$D$40,2,0),""))</f>
        <v/>
      </c>
      <c r="V809" s="31" t="str">
        <f aca="false">IF(O809="","",IF(U809="",0,O809*IF(U809&gt;1,U809/100,U809)))</f>
        <v/>
      </c>
      <c r="W809" s="28"/>
      <c r="X809" s="34" t="str">
        <f aca="false">IF(W809="","",IFERROR(VLOOKUP(W809,REPS!$A$2:$D$40,3,0),""))</f>
        <v/>
      </c>
      <c r="Y809" s="31" t="str">
        <f aca="false">IF(O809="","",IF(X809="",0,O809*IF(X809&gt;1,X809/100,X809)))</f>
        <v/>
      </c>
      <c r="Z809" s="28"/>
      <c r="AA809" s="34" t="str">
        <f aca="false">IF(Z809="","",IFERROR(VLOOKUP(Z809,REPS!$A$2:$D$40,4,0),""))</f>
        <v/>
      </c>
      <c r="AB809" s="31" t="str">
        <f aca="false">IF(O809="","",IF(AA809="",0,O809*IF(AA809&gt;1,AA809/100,AA809)))</f>
        <v/>
      </c>
      <c r="AC809" s="31" t="str">
        <f aca="false">IF(O809="","",V809+Y809+AB809)</f>
        <v/>
      </c>
      <c r="AD809" s="19" t="str">
        <f aca="false">IF(O809="","",O809-R809-AC809)</f>
        <v/>
      </c>
      <c r="AE809" s="20"/>
      <c r="AF809" s="27"/>
      <c r="AG809" s="21" t="n">
        <f aca="false">IF(OR(AE809="",AE809=0),0,AE809*IF(U809="",0,IF(U809&gt;1,U809/100,U809)))</f>
        <v>0</v>
      </c>
      <c r="AH809" s="21" t="n">
        <f aca="false">IF(OR(AE809="",AE809=0),0,AE809*IF(X809="",0,IF(X809&gt;1,X809/100,X809)))</f>
        <v>0</v>
      </c>
      <c r="AI809" s="21" t="n">
        <f aca="false">IF(OR(AE809="",AE809=0),0,AE809*IF(AA809="",0,IF(AA809&gt;1,AA809/100,AA809)))</f>
        <v>0</v>
      </c>
      <c r="AJ809" s="21" t="n">
        <f aca="false">AG809+AH809+AI809</f>
        <v>0</v>
      </c>
      <c r="AK809" s="21" t="n">
        <f aca="false">IF(OR(AE809="",AE809=0),0,AE809-AJ809)</f>
        <v>0</v>
      </c>
      <c r="AL809" s="19" t="str">
        <f aca="false">IF(AD809="","",AD809-AK809)</f>
        <v/>
      </c>
      <c r="AM809" s="26" t="str">
        <f aca="false">IF(C809="","","Waiting for payment")</f>
        <v/>
      </c>
      <c r="AN809" s="27"/>
      <c r="AO809" s="27"/>
      <c r="AP809" s="35" t="str">
        <f aca="false">IF(OR(C809="",I809="",K809=""),"",IF(K809="Monthly",EDATE(C809,ROUND(I809*SETTINGS!$I$8,0)),WORKDAY(C809,ROUND(I809*SETTINGS!$I$8,0))))</f>
        <v/>
      </c>
      <c r="AQ809" s="26" t="str">
        <f aca="true">IF(C809="","",IF(AND(AP809&lt;&gt;"",TODAY()&gt;=AP809),"Refi Ready",IF(TODAY()-C809&gt;=SETTINGS!$I$11,"Prospecting","Performing")))</f>
        <v/>
      </c>
      <c r="AR809" s="35" t="str">
        <f aca="false">IF(OR(C809="",I809="",K809=""),"",IF(K809="Monthly",EDATE(C809,I809),WORKDAY(C809,I809)))</f>
        <v/>
      </c>
      <c r="AS809" s="28"/>
      <c r="AT809" s="36" t="str">
        <f aca="true">IF(C809="","",IF(AM809="Clawed Back","CLAWED",IF(TODAY()&lt;=C809+SETTINGS!$I$2,"⚠ AT RISK","SAFE")))</f>
        <v/>
      </c>
      <c r="AU809" s="28"/>
      <c r="AW809" s="24" t="n">
        <f aca="false">AW808+IF(AND(C809&lt;&gt;"",AO809&lt;&gt;"",OR('REP COMMISSION'!$B$3="",T809='REP COMMISSION'!$B$3,W809='REP COMMISSION'!$B$3,Z809='REP COMMISSION'!$B$3)),1,0)</f>
        <v>0</v>
      </c>
      <c r="AX809" s="24" t="n">
        <f aca="false">AX808+IF(AND(C809&lt;&gt;"",OR(F809="LOC - INITIAL",F809="CONSOLIDATION - UPFRONT COMM",F809="REVERSE - TOTAL FUNDING")),1,0)</f>
        <v>0</v>
      </c>
    </row>
    <row r="810" customFormat="false" ht="15" hidden="false" customHeight="false" outlineLevel="0" collapsed="false">
      <c r="A810" s="8" t="str">
        <f aca="false">IF(C810&lt;&gt;"","F27-"&amp;COUNT($C$4:C810),"")</f>
        <v/>
      </c>
      <c r="B810" s="9" t="str">
        <f aca="false">IF(OR(F810="LOC - INITIAL",F810="CONSOLIDATION - UPFRONT COMM",F810="REVERSE - TOTAL FUNDING"),A810,"")</f>
        <v/>
      </c>
      <c r="C810" s="10"/>
      <c r="D810" s="11"/>
      <c r="E810" s="11"/>
      <c r="F810" s="11"/>
      <c r="G810" s="12"/>
      <c r="H810" s="13"/>
      <c r="I810" s="11"/>
      <c r="J810" s="14" t="str">
        <f aca="false">IF(AND(G810&lt;&gt;"",H810&lt;&gt;""),G810*H810,"")</f>
        <v/>
      </c>
      <c r="K810" s="11"/>
      <c r="L810" s="15"/>
      <c r="M810" s="15"/>
      <c r="N810" s="14" t="n">
        <f aca="false">IF(OR(G810="",M810=""),0,IF(M810&gt;100,M810,G810*IF(M810&gt;1,M810/100,M810)))</f>
        <v>0</v>
      </c>
      <c r="O810" s="14" t="str">
        <f aca="false">IF(G810="","",G810*IF(L810="",0,IF(L810&gt;1,L810/100,L810))+N810)</f>
        <v/>
      </c>
      <c r="P810" s="11"/>
      <c r="Q810" s="16" t="str">
        <f aca="false">IF(P810="","",IFERROR(VLOOKUP(P810,PARTNERS!$A$2:$B$30,2,0),""))</f>
        <v/>
      </c>
      <c r="R810" s="17" t="str">
        <f aca="false">IF(O810="","",IF(OR(P810="",Q810=""),0,(O810-N810)*IF(Q810&gt;1,Q810/100,Q810)))</f>
        <v/>
      </c>
      <c r="S810" s="14" t="str">
        <f aca="false">IF(O810="","",O810-R810)</f>
        <v/>
      </c>
      <c r="T810" s="11"/>
      <c r="U810" s="18" t="str">
        <f aca="false">IF(T810="","",IFERROR(VLOOKUP(T810,REPS!$A$2:$D$40,2,0),""))</f>
        <v/>
      </c>
      <c r="V810" s="14" t="str">
        <f aca="false">IF(O810="","",IF(U810="",0,O810*IF(U810&gt;1,U810/100,U810)))</f>
        <v/>
      </c>
      <c r="W810" s="11"/>
      <c r="X810" s="18" t="str">
        <f aca="false">IF(W810="","",IFERROR(VLOOKUP(W810,REPS!$A$2:$D$40,3,0),""))</f>
        <v/>
      </c>
      <c r="Y810" s="14" t="str">
        <f aca="false">IF(O810="","",IF(X810="",0,O810*IF(X810&gt;1,X810/100,X810)))</f>
        <v/>
      </c>
      <c r="Z810" s="11"/>
      <c r="AA810" s="18" t="str">
        <f aca="false">IF(Z810="","",IFERROR(VLOOKUP(Z810,REPS!$A$2:$D$40,4,0),""))</f>
        <v/>
      </c>
      <c r="AB810" s="14" t="str">
        <f aca="false">IF(O810="","",IF(AA810="",0,O810*IF(AA810&gt;1,AA810/100,AA810)))</f>
        <v/>
      </c>
      <c r="AC810" s="14" t="str">
        <f aca="false">IF(O810="","",V810+Y810+AB810)</f>
        <v/>
      </c>
      <c r="AD810" s="19" t="str">
        <f aca="false">IF(O810="","",O810-R810-AC810)</f>
        <v/>
      </c>
      <c r="AE810" s="20"/>
      <c r="AF810" s="10"/>
      <c r="AG810" s="21" t="n">
        <f aca="false">IF(OR(AE810="",AE810=0),0,AE810*IF(U810="",0,IF(U810&gt;1,U810/100,U810)))</f>
        <v>0</v>
      </c>
      <c r="AH810" s="21" t="n">
        <f aca="false">IF(OR(AE810="",AE810=0),0,AE810*IF(X810="",0,IF(X810&gt;1,X810/100,X810)))</f>
        <v>0</v>
      </c>
      <c r="AI810" s="21" t="n">
        <f aca="false">IF(OR(AE810="",AE810=0),0,AE810*IF(AA810="",0,IF(AA810&gt;1,AA810/100,AA810)))</f>
        <v>0</v>
      </c>
      <c r="AJ810" s="21" t="n">
        <f aca="false">AG810+AH810+AI810</f>
        <v>0</v>
      </c>
      <c r="AK810" s="21" t="n">
        <f aca="false">IF(OR(AE810="",AE810=0),0,AE810-AJ810)</f>
        <v>0</v>
      </c>
      <c r="AL810" s="19" t="str">
        <f aca="false">IF(AD810="","",AD810-AK810)</f>
        <v/>
      </c>
      <c r="AM810" s="9" t="str">
        <f aca="false">IF(C810="","","Waiting for payment")</f>
        <v/>
      </c>
      <c r="AN810" s="10"/>
      <c r="AO810" s="10"/>
      <c r="AP810" s="22" t="str">
        <f aca="false">IF(OR(C810="",I810="",K810=""),"",IF(K810="Monthly",EDATE(C810,ROUND(I810*SETTINGS!$I$8,0)),WORKDAY(C810,ROUND(I810*SETTINGS!$I$8,0))))</f>
        <v/>
      </c>
      <c r="AQ810" s="9" t="str">
        <f aca="true">IF(C810="","",IF(AND(AP810&lt;&gt;"",TODAY()&gt;=AP810),"Refi Ready",IF(TODAY()-C810&gt;=SETTINGS!$I$11,"Prospecting","Performing")))</f>
        <v/>
      </c>
      <c r="AR810" s="22" t="str">
        <f aca="false">IF(OR(C810="",I810="",K810=""),"",IF(K810="Monthly",EDATE(C810,I810),WORKDAY(C810,I810)))</f>
        <v/>
      </c>
      <c r="AS810" s="11"/>
      <c r="AT810" s="23" t="str">
        <f aca="true">IF(C810="","",IF(AM810="Clawed Back","CLAWED",IF(TODAY()&lt;=C810+SETTINGS!$I$2,"⚠ AT RISK","SAFE")))</f>
        <v/>
      </c>
      <c r="AU810" s="11"/>
      <c r="AW810" s="24" t="n">
        <f aca="false">AW809+IF(AND(C810&lt;&gt;"",AO810&lt;&gt;"",OR('REP COMMISSION'!$B$3="",T810='REP COMMISSION'!$B$3,W810='REP COMMISSION'!$B$3,Z810='REP COMMISSION'!$B$3)),1,0)</f>
        <v>0</v>
      </c>
      <c r="AX810" s="24" t="n">
        <f aca="false">AX809+IF(AND(C810&lt;&gt;"",OR(F810="LOC - INITIAL",F810="CONSOLIDATION - UPFRONT COMM",F810="REVERSE - TOTAL FUNDING")),1,0)</f>
        <v>0</v>
      </c>
    </row>
    <row r="811" customFormat="false" ht="15" hidden="false" customHeight="false" outlineLevel="0" collapsed="false">
      <c r="A811" s="25" t="str">
        <f aca="false">IF(C811&lt;&gt;"","F27-"&amp;COUNT($C$4:C811),"")</f>
        <v/>
      </c>
      <c r="B811" s="26" t="str">
        <f aca="false">IF(OR(F811="LOC - INITIAL",F811="CONSOLIDATION - UPFRONT COMM",F811="REVERSE - TOTAL FUNDING"),A811,"")</f>
        <v/>
      </c>
      <c r="C811" s="27"/>
      <c r="D811" s="28"/>
      <c r="E811" s="28"/>
      <c r="F811" s="28"/>
      <c r="G811" s="29"/>
      <c r="H811" s="30"/>
      <c r="I811" s="28"/>
      <c r="J811" s="31" t="str">
        <f aca="false">IF(AND(G811&lt;&gt;"",H811&lt;&gt;""),G811*H811,"")</f>
        <v/>
      </c>
      <c r="K811" s="28"/>
      <c r="L811" s="32"/>
      <c r="M811" s="32"/>
      <c r="N811" s="31" t="n">
        <f aca="false">IF(OR(G811="",M811=""),0,IF(M811&gt;100,M811,G811*IF(M811&gt;1,M811/100,M811)))</f>
        <v>0</v>
      </c>
      <c r="O811" s="31" t="str">
        <f aca="false">IF(G811="","",G811*IF(L811="",0,IF(L811&gt;1,L811/100,L811))+N811)</f>
        <v/>
      </c>
      <c r="P811" s="28"/>
      <c r="Q811" s="33" t="str">
        <f aca="false">IF(P811="","",IFERROR(VLOOKUP(P811,PARTNERS!$A$2:$B$30,2,0),""))</f>
        <v/>
      </c>
      <c r="R811" s="17" t="str">
        <f aca="false">IF(O811="","",IF(OR(P811="",Q811=""),0,(O811-N811)*IF(Q811&gt;1,Q811/100,Q811)))</f>
        <v/>
      </c>
      <c r="S811" s="31" t="str">
        <f aca="false">IF(O811="","",O811-R811)</f>
        <v/>
      </c>
      <c r="T811" s="28"/>
      <c r="U811" s="34" t="str">
        <f aca="false">IF(T811="","",IFERROR(VLOOKUP(T811,REPS!$A$2:$D$40,2,0),""))</f>
        <v/>
      </c>
      <c r="V811" s="31" t="str">
        <f aca="false">IF(O811="","",IF(U811="",0,O811*IF(U811&gt;1,U811/100,U811)))</f>
        <v/>
      </c>
      <c r="W811" s="28"/>
      <c r="X811" s="34" t="str">
        <f aca="false">IF(W811="","",IFERROR(VLOOKUP(W811,REPS!$A$2:$D$40,3,0),""))</f>
        <v/>
      </c>
      <c r="Y811" s="31" t="str">
        <f aca="false">IF(O811="","",IF(X811="",0,O811*IF(X811&gt;1,X811/100,X811)))</f>
        <v/>
      </c>
      <c r="Z811" s="28"/>
      <c r="AA811" s="34" t="str">
        <f aca="false">IF(Z811="","",IFERROR(VLOOKUP(Z811,REPS!$A$2:$D$40,4,0),""))</f>
        <v/>
      </c>
      <c r="AB811" s="31" t="str">
        <f aca="false">IF(O811="","",IF(AA811="",0,O811*IF(AA811&gt;1,AA811/100,AA811)))</f>
        <v/>
      </c>
      <c r="AC811" s="31" t="str">
        <f aca="false">IF(O811="","",V811+Y811+AB811)</f>
        <v/>
      </c>
      <c r="AD811" s="19" t="str">
        <f aca="false">IF(O811="","",O811-R811-AC811)</f>
        <v/>
      </c>
      <c r="AE811" s="20"/>
      <c r="AF811" s="27"/>
      <c r="AG811" s="21" t="n">
        <f aca="false">IF(OR(AE811="",AE811=0),0,AE811*IF(U811="",0,IF(U811&gt;1,U811/100,U811)))</f>
        <v>0</v>
      </c>
      <c r="AH811" s="21" t="n">
        <f aca="false">IF(OR(AE811="",AE811=0),0,AE811*IF(X811="",0,IF(X811&gt;1,X811/100,X811)))</f>
        <v>0</v>
      </c>
      <c r="AI811" s="21" t="n">
        <f aca="false">IF(OR(AE811="",AE811=0),0,AE811*IF(AA811="",0,IF(AA811&gt;1,AA811/100,AA811)))</f>
        <v>0</v>
      </c>
      <c r="AJ811" s="21" t="n">
        <f aca="false">AG811+AH811+AI811</f>
        <v>0</v>
      </c>
      <c r="AK811" s="21" t="n">
        <f aca="false">IF(OR(AE811="",AE811=0),0,AE811-AJ811)</f>
        <v>0</v>
      </c>
      <c r="AL811" s="19" t="str">
        <f aca="false">IF(AD811="","",AD811-AK811)</f>
        <v/>
      </c>
      <c r="AM811" s="26" t="str">
        <f aca="false">IF(C811="","","Waiting for payment")</f>
        <v/>
      </c>
      <c r="AN811" s="27"/>
      <c r="AO811" s="27"/>
      <c r="AP811" s="35" t="str">
        <f aca="false">IF(OR(C811="",I811="",K811=""),"",IF(K811="Monthly",EDATE(C811,ROUND(I811*SETTINGS!$I$8,0)),WORKDAY(C811,ROUND(I811*SETTINGS!$I$8,0))))</f>
        <v/>
      </c>
      <c r="AQ811" s="26" t="str">
        <f aca="true">IF(C811="","",IF(AND(AP811&lt;&gt;"",TODAY()&gt;=AP811),"Refi Ready",IF(TODAY()-C811&gt;=SETTINGS!$I$11,"Prospecting","Performing")))</f>
        <v/>
      </c>
      <c r="AR811" s="35" t="str">
        <f aca="false">IF(OR(C811="",I811="",K811=""),"",IF(K811="Monthly",EDATE(C811,I811),WORKDAY(C811,I811)))</f>
        <v/>
      </c>
      <c r="AS811" s="28"/>
      <c r="AT811" s="36" t="str">
        <f aca="true">IF(C811="","",IF(AM811="Clawed Back","CLAWED",IF(TODAY()&lt;=C811+SETTINGS!$I$2,"⚠ AT RISK","SAFE")))</f>
        <v/>
      </c>
      <c r="AU811" s="28"/>
      <c r="AW811" s="24" t="n">
        <f aca="false">AW810+IF(AND(C811&lt;&gt;"",AO811&lt;&gt;"",OR('REP COMMISSION'!$B$3="",T811='REP COMMISSION'!$B$3,W811='REP COMMISSION'!$B$3,Z811='REP COMMISSION'!$B$3)),1,0)</f>
        <v>0</v>
      </c>
      <c r="AX811" s="24" t="n">
        <f aca="false">AX810+IF(AND(C811&lt;&gt;"",OR(F811="LOC - INITIAL",F811="CONSOLIDATION - UPFRONT COMM",F811="REVERSE - TOTAL FUNDING")),1,0)</f>
        <v>0</v>
      </c>
    </row>
    <row r="812" customFormat="false" ht="15" hidden="false" customHeight="false" outlineLevel="0" collapsed="false">
      <c r="A812" s="8" t="str">
        <f aca="false">IF(C812&lt;&gt;"","F27-"&amp;COUNT($C$4:C812),"")</f>
        <v/>
      </c>
      <c r="B812" s="9" t="str">
        <f aca="false">IF(OR(F812="LOC - INITIAL",F812="CONSOLIDATION - UPFRONT COMM",F812="REVERSE - TOTAL FUNDING"),A812,"")</f>
        <v/>
      </c>
      <c r="C812" s="10"/>
      <c r="D812" s="11"/>
      <c r="E812" s="11"/>
      <c r="F812" s="11"/>
      <c r="G812" s="12"/>
      <c r="H812" s="13"/>
      <c r="I812" s="11"/>
      <c r="J812" s="14" t="str">
        <f aca="false">IF(AND(G812&lt;&gt;"",H812&lt;&gt;""),G812*H812,"")</f>
        <v/>
      </c>
      <c r="K812" s="11"/>
      <c r="L812" s="15"/>
      <c r="M812" s="15"/>
      <c r="N812" s="14" t="n">
        <f aca="false">IF(OR(G812="",M812=""),0,IF(M812&gt;100,M812,G812*IF(M812&gt;1,M812/100,M812)))</f>
        <v>0</v>
      </c>
      <c r="O812" s="14" t="str">
        <f aca="false">IF(G812="","",G812*IF(L812="",0,IF(L812&gt;1,L812/100,L812))+N812)</f>
        <v/>
      </c>
      <c r="P812" s="11"/>
      <c r="Q812" s="16" t="str">
        <f aca="false">IF(P812="","",IFERROR(VLOOKUP(P812,PARTNERS!$A$2:$B$30,2,0),""))</f>
        <v/>
      </c>
      <c r="R812" s="17" t="str">
        <f aca="false">IF(O812="","",IF(OR(P812="",Q812=""),0,(O812-N812)*IF(Q812&gt;1,Q812/100,Q812)))</f>
        <v/>
      </c>
      <c r="S812" s="14" t="str">
        <f aca="false">IF(O812="","",O812-R812)</f>
        <v/>
      </c>
      <c r="T812" s="11"/>
      <c r="U812" s="18" t="str">
        <f aca="false">IF(T812="","",IFERROR(VLOOKUP(T812,REPS!$A$2:$D$40,2,0),""))</f>
        <v/>
      </c>
      <c r="V812" s="14" t="str">
        <f aca="false">IF(O812="","",IF(U812="",0,O812*IF(U812&gt;1,U812/100,U812)))</f>
        <v/>
      </c>
      <c r="W812" s="11"/>
      <c r="X812" s="18" t="str">
        <f aca="false">IF(W812="","",IFERROR(VLOOKUP(W812,REPS!$A$2:$D$40,3,0),""))</f>
        <v/>
      </c>
      <c r="Y812" s="14" t="str">
        <f aca="false">IF(O812="","",IF(X812="",0,O812*IF(X812&gt;1,X812/100,X812)))</f>
        <v/>
      </c>
      <c r="Z812" s="11"/>
      <c r="AA812" s="18" t="str">
        <f aca="false">IF(Z812="","",IFERROR(VLOOKUP(Z812,REPS!$A$2:$D$40,4,0),""))</f>
        <v/>
      </c>
      <c r="AB812" s="14" t="str">
        <f aca="false">IF(O812="","",IF(AA812="",0,O812*IF(AA812&gt;1,AA812/100,AA812)))</f>
        <v/>
      </c>
      <c r="AC812" s="14" t="str">
        <f aca="false">IF(O812="","",V812+Y812+AB812)</f>
        <v/>
      </c>
      <c r="AD812" s="19" t="str">
        <f aca="false">IF(O812="","",O812-R812-AC812)</f>
        <v/>
      </c>
      <c r="AE812" s="20"/>
      <c r="AF812" s="10"/>
      <c r="AG812" s="21" t="n">
        <f aca="false">IF(OR(AE812="",AE812=0),0,AE812*IF(U812="",0,IF(U812&gt;1,U812/100,U812)))</f>
        <v>0</v>
      </c>
      <c r="AH812" s="21" t="n">
        <f aca="false">IF(OR(AE812="",AE812=0),0,AE812*IF(X812="",0,IF(X812&gt;1,X812/100,X812)))</f>
        <v>0</v>
      </c>
      <c r="AI812" s="21" t="n">
        <f aca="false">IF(OR(AE812="",AE812=0),0,AE812*IF(AA812="",0,IF(AA812&gt;1,AA812/100,AA812)))</f>
        <v>0</v>
      </c>
      <c r="AJ812" s="21" t="n">
        <f aca="false">AG812+AH812+AI812</f>
        <v>0</v>
      </c>
      <c r="AK812" s="21" t="n">
        <f aca="false">IF(OR(AE812="",AE812=0),0,AE812-AJ812)</f>
        <v>0</v>
      </c>
      <c r="AL812" s="19" t="str">
        <f aca="false">IF(AD812="","",AD812-AK812)</f>
        <v/>
      </c>
      <c r="AM812" s="9" t="str">
        <f aca="false">IF(C812="","","Waiting for payment")</f>
        <v/>
      </c>
      <c r="AN812" s="10"/>
      <c r="AO812" s="10"/>
      <c r="AP812" s="22" t="str">
        <f aca="false">IF(OR(C812="",I812="",K812=""),"",IF(K812="Monthly",EDATE(C812,ROUND(I812*SETTINGS!$I$8,0)),WORKDAY(C812,ROUND(I812*SETTINGS!$I$8,0))))</f>
        <v/>
      </c>
      <c r="AQ812" s="9" t="str">
        <f aca="true">IF(C812="","",IF(AND(AP812&lt;&gt;"",TODAY()&gt;=AP812),"Refi Ready",IF(TODAY()-C812&gt;=SETTINGS!$I$11,"Prospecting","Performing")))</f>
        <v/>
      </c>
      <c r="AR812" s="22" t="str">
        <f aca="false">IF(OR(C812="",I812="",K812=""),"",IF(K812="Monthly",EDATE(C812,I812),WORKDAY(C812,I812)))</f>
        <v/>
      </c>
      <c r="AS812" s="11"/>
      <c r="AT812" s="23" t="str">
        <f aca="true">IF(C812="","",IF(AM812="Clawed Back","CLAWED",IF(TODAY()&lt;=C812+SETTINGS!$I$2,"⚠ AT RISK","SAFE")))</f>
        <v/>
      </c>
      <c r="AU812" s="11"/>
      <c r="AW812" s="24" t="n">
        <f aca="false">AW811+IF(AND(C812&lt;&gt;"",AO812&lt;&gt;"",OR('REP COMMISSION'!$B$3="",T812='REP COMMISSION'!$B$3,W812='REP COMMISSION'!$B$3,Z812='REP COMMISSION'!$B$3)),1,0)</f>
        <v>0</v>
      </c>
      <c r="AX812" s="24" t="n">
        <f aca="false">AX811+IF(AND(C812&lt;&gt;"",OR(F812="LOC - INITIAL",F812="CONSOLIDATION - UPFRONT COMM",F812="REVERSE - TOTAL FUNDING")),1,0)</f>
        <v>0</v>
      </c>
    </row>
    <row r="813" customFormat="false" ht="15" hidden="false" customHeight="false" outlineLevel="0" collapsed="false">
      <c r="A813" s="25" t="str">
        <f aca="false">IF(C813&lt;&gt;"","F27-"&amp;COUNT($C$4:C813),"")</f>
        <v/>
      </c>
      <c r="B813" s="26" t="str">
        <f aca="false">IF(OR(F813="LOC - INITIAL",F813="CONSOLIDATION - UPFRONT COMM",F813="REVERSE - TOTAL FUNDING"),A813,"")</f>
        <v/>
      </c>
      <c r="C813" s="27"/>
      <c r="D813" s="28"/>
      <c r="E813" s="28"/>
      <c r="F813" s="28"/>
      <c r="G813" s="29"/>
      <c r="H813" s="30"/>
      <c r="I813" s="28"/>
      <c r="J813" s="31" t="str">
        <f aca="false">IF(AND(G813&lt;&gt;"",H813&lt;&gt;""),G813*H813,"")</f>
        <v/>
      </c>
      <c r="K813" s="28"/>
      <c r="L813" s="32"/>
      <c r="M813" s="32"/>
      <c r="N813" s="31" t="n">
        <f aca="false">IF(OR(G813="",M813=""),0,IF(M813&gt;100,M813,G813*IF(M813&gt;1,M813/100,M813)))</f>
        <v>0</v>
      </c>
      <c r="O813" s="31" t="str">
        <f aca="false">IF(G813="","",G813*IF(L813="",0,IF(L813&gt;1,L813/100,L813))+N813)</f>
        <v/>
      </c>
      <c r="P813" s="28"/>
      <c r="Q813" s="33" t="str">
        <f aca="false">IF(P813="","",IFERROR(VLOOKUP(P813,PARTNERS!$A$2:$B$30,2,0),""))</f>
        <v/>
      </c>
      <c r="R813" s="17" t="str">
        <f aca="false">IF(O813="","",IF(OR(P813="",Q813=""),0,(O813-N813)*IF(Q813&gt;1,Q813/100,Q813)))</f>
        <v/>
      </c>
      <c r="S813" s="31" t="str">
        <f aca="false">IF(O813="","",O813-R813)</f>
        <v/>
      </c>
      <c r="T813" s="28"/>
      <c r="U813" s="34" t="str">
        <f aca="false">IF(T813="","",IFERROR(VLOOKUP(T813,REPS!$A$2:$D$40,2,0),""))</f>
        <v/>
      </c>
      <c r="V813" s="31" t="str">
        <f aca="false">IF(O813="","",IF(U813="",0,O813*IF(U813&gt;1,U813/100,U813)))</f>
        <v/>
      </c>
      <c r="W813" s="28"/>
      <c r="X813" s="34" t="str">
        <f aca="false">IF(W813="","",IFERROR(VLOOKUP(W813,REPS!$A$2:$D$40,3,0),""))</f>
        <v/>
      </c>
      <c r="Y813" s="31" t="str">
        <f aca="false">IF(O813="","",IF(X813="",0,O813*IF(X813&gt;1,X813/100,X813)))</f>
        <v/>
      </c>
      <c r="Z813" s="28"/>
      <c r="AA813" s="34" t="str">
        <f aca="false">IF(Z813="","",IFERROR(VLOOKUP(Z813,REPS!$A$2:$D$40,4,0),""))</f>
        <v/>
      </c>
      <c r="AB813" s="31" t="str">
        <f aca="false">IF(O813="","",IF(AA813="",0,O813*IF(AA813&gt;1,AA813/100,AA813)))</f>
        <v/>
      </c>
      <c r="AC813" s="31" t="str">
        <f aca="false">IF(O813="","",V813+Y813+AB813)</f>
        <v/>
      </c>
      <c r="AD813" s="19" t="str">
        <f aca="false">IF(O813="","",O813-R813-AC813)</f>
        <v/>
      </c>
      <c r="AE813" s="20"/>
      <c r="AF813" s="27"/>
      <c r="AG813" s="21" t="n">
        <f aca="false">IF(OR(AE813="",AE813=0),0,AE813*IF(U813="",0,IF(U813&gt;1,U813/100,U813)))</f>
        <v>0</v>
      </c>
      <c r="AH813" s="21" t="n">
        <f aca="false">IF(OR(AE813="",AE813=0),0,AE813*IF(X813="",0,IF(X813&gt;1,X813/100,X813)))</f>
        <v>0</v>
      </c>
      <c r="AI813" s="21" t="n">
        <f aca="false">IF(OR(AE813="",AE813=0),0,AE813*IF(AA813="",0,IF(AA813&gt;1,AA813/100,AA813)))</f>
        <v>0</v>
      </c>
      <c r="AJ813" s="21" t="n">
        <f aca="false">AG813+AH813+AI813</f>
        <v>0</v>
      </c>
      <c r="AK813" s="21" t="n">
        <f aca="false">IF(OR(AE813="",AE813=0),0,AE813-AJ813)</f>
        <v>0</v>
      </c>
      <c r="AL813" s="19" t="str">
        <f aca="false">IF(AD813="","",AD813-AK813)</f>
        <v/>
      </c>
      <c r="AM813" s="26" t="str">
        <f aca="false">IF(C813="","","Waiting for payment")</f>
        <v/>
      </c>
      <c r="AN813" s="27"/>
      <c r="AO813" s="27"/>
      <c r="AP813" s="35" t="str">
        <f aca="false">IF(OR(C813="",I813="",K813=""),"",IF(K813="Monthly",EDATE(C813,ROUND(I813*SETTINGS!$I$8,0)),WORKDAY(C813,ROUND(I813*SETTINGS!$I$8,0))))</f>
        <v/>
      </c>
      <c r="AQ813" s="26" t="str">
        <f aca="true">IF(C813="","",IF(AND(AP813&lt;&gt;"",TODAY()&gt;=AP813),"Refi Ready",IF(TODAY()-C813&gt;=SETTINGS!$I$11,"Prospecting","Performing")))</f>
        <v/>
      </c>
      <c r="AR813" s="35" t="str">
        <f aca="false">IF(OR(C813="",I813="",K813=""),"",IF(K813="Monthly",EDATE(C813,I813),WORKDAY(C813,I813)))</f>
        <v/>
      </c>
      <c r="AS813" s="28"/>
      <c r="AT813" s="36" t="str">
        <f aca="true">IF(C813="","",IF(AM813="Clawed Back","CLAWED",IF(TODAY()&lt;=C813+SETTINGS!$I$2,"⚠ AT RISK","SAFE")))</f>
        <v/>
      </c>
      <c r="AU813" s="28"/>
      <c r="AW813" s="24" t="n">
        <f aca="false">AW812+IF(AND(C813&lt;&gt;"",AO813&lt;&gt;"",OR('REP COMMISSION'!$B$3="",T813='REP COMMISSION'!$B$3,W813='REP COMMISSION'!$B$3,Z813='REP COMMISSION'!$B$3)),1,0)</f>
        <v>0</v>
      </c>
      <c r="AX813" s="24" t="n">
        <f aca="false">AX812+IF(AND(C813&lt;&gt;"",OR(F813="LOC - INITIAL",F813="CONSOLIDATION - UPFRONT COMM",F813="REVERSE - TOTAL FUNDING")),1,0)</f>
        <v>0</v>
      </c>
    </row>
    <row r="814" customFormat="false" ht="15" hidden="false" customHeight="false" outlineLevel="0" collapsed="false">
      <c r="A814" s="8" t="str">
        <f aca="false">IF(C814&lt;&gt;"","F27-"&amp;COUNT($C$4:C814),"")</f>
        <v/>
      </c>
      <c r="B814" s="9" t="str">
        <f aca="false">IF(OR(F814="LOC - INITIAL",F814="CONSOLIDATION - UPFRONT COMM",F814="REVERSE - TOTAL FUNDING"),A814,"")</f>
        <v/>
      </c>
      <c r="C814" s="10"/>
      <c r="D814" s="11"/>
      <c r="E814" s="11"/>
      <c r="F814" s="11"/>
      <c r="G814" s="12"/>
      <c r="H814" s="13"/>
      <c r="I814" s="11"/>
      <c r="J814" s="14" t="str">
        <f aca="false">IF(AND(G814&lt;&gt;"",H814&lt;&gt;""),G814*H814,"")</f>
        <v/>
      </c>
      <c r="K814" s="11"/>
      <c r="L814" s="15"/>
      <c r="M814" s="15"/>
      <c r="N814" s="14" t="n">
        <f aca="false">IF(OR(G814="",M814=""),0,IF(M814&gt;100,M814,G814*IF(M814&gt;1,M814/100,M814)))</f>
        <v>0</v>
      </c>
      <c r="O814" s="14" t="str">
        <f aca="false">IF(G814="","",G814*IF(L814="",0,IF(L814&gt;1,L814/100,L814))+N814)</f>
        <v/>
      </c>
      <c r="P814" s="11"/>
      <c r="Q814" s="16" t="str">
        <f aca="false">IF(P814="","",IFERROR(VLOOKUP(P814,PARTNERS!$A$2:$B$30,2,0),""))</f>
        <v/>
      </c>
      <c r="R814" s="17" t="str">
        <f aca="false">IF(O814="","",IF(OR(P814="",Q814=""),0,(O814-N814)*IF(Q814&gt;1,Q814/100,Q814)))</f>
        <v/>
      </c>
      <c r="S814" s="14" t="str">
        <f aca="false">IF(O814="","",O814-R814)</f>
        <v/>
      </c>
      <c r="T814" s="11"/>
      <c r="U814" s="18" t="str">
        <f aca="false">IF(T814="","",IFERROR(VLOOKUP(T814,REPS!$A$2:$D$40,2,0),""))</f>
        <v/>
      </c>
      <c r="V814" s="14" t="str">
        <f aca="false">IF(O814="","",IF(U814="",0,O814*IF(U814&gt;1,U814/100,U814)))</f>
        <v/>
      </c>
      <c r="W814" s="11"/>
      <c r="X814" s="18" t="str">
        <f aca="false">IF(W814="","",IFERROR(VLOOKUP(W814,REPS!$A$2:$D$40,3,0),""))</f>
        <v/>
      </c>
      <c r="Y814" s="14" t="str">
        <f aca="false">IF(O814="","",IF(X814="",0,O814*IF(X814&gt;1,X814/100,X814)))</f>
        <v/>
      </c>
      <c r="Z814" s="11"/>
      <c r="AA814" s="18" t="str">
        <f aca="false">IF(Z814="","",IFERROR(VLOOKUP(Z814,REPS!$A$2:$D$40,4,0),""))</f>
        <v/>
      </c>
      <c r="AB814" s="14" t="str">
        <f aca="false">IF(O814="","",IF(AA814="",0,O814*IF(AA814&gt;1,AA814/100,AA814)))</f>
        <v/>
      </c>
      <c r="AC814" s="14" t="str">
        <f aca="false">IF(O814="","",V814+Y814+AB814)</f>
        <v/>
      </c>
      <c r="AD814" s="19" t="str">
        <f aca="false">IF(O814="","",O814-R814-AC814)</f>
        <v/>
      </c>
      <c r="AE814" s="20"/>
      <c r="AF814" s="10"/>
      <c r="AG814" s="21" t="n">
        <f aca="false">IF(OR(AE814="",AE814=0),0,AE814*IF(U814="",0,IF(U814&gt;1,U814/100,U814)))</f>
        <v>0</v>
      </c>
      <c r="AH814" s="21" t="n">
        <f aca="false">IF(OR(AE814="",AE814=0),0,AE814*IF(X814="",0,IF(X814&gt;1,X814/100,X814)))</f>
        <v>0</v>
      </c>
      <c r="AI814" s="21" t="n">
        <f aca="false">IF(OR(AE814="",AE814=0),0,AE814*IF(AA814="",0,IF(AA814&gt;1,AA814/100,AA814)))</f>
        <v>0</v>
      </c>
      <c r="AJ814" s="21" t="n">
        <f aca="false">AG814+AH814+AI814</f>
        <v>0</v>
      </c>
      <c r="AK814" s="21" t="n">
        <f aca="false">IF(OR(AE814="",AE814=0),0,AE814-AJ814)</f>
        <v>0</v>
      </c>
      <c r="AL814" s="19" t="str">
        <f aca="false">IF(AD814="","",AD814-AK814)</f>
        <v/>
      </c>
      <c r="AM814" s="9" t="str">
        <f aca="false">IF(C814="","","Waiting for payment")</f>
        <v/>
      </c>
      <c r="AN814" s="10"/>
      <c r="AO814" s="10"/>
      <c r="AP814" s="22" t="str">
        <f aca="false">IF(OR(C814="",I814="",K814=""),"",IF(K814="Monthly",EDATE(C814,ROUND(I814*SETTINGS!$I$8,0)),WORKDAY(C814,ROUND(I814*SETTINGS!$I$8,0))))</f>
        <v/>
      </c>
      <c r="AQ814" s="9" t="str">
        <f aca="true">IF(C814="","",IF(AND(AP814&lt;&gt;"",TODAY()&gt;=AP814),"Refi Ready",IF(TODAY()-C814&gt;=SETTINGS!$I$11,"Prospecting","Performing")))</f>
        <v/>
      </c>
      <c r="AR814" s="22" t="str">
        <f aca="false">IF(OR(C814="",I814="",K814=""),"",IF(K814="Monthly",EDATE(C814,I814),WORKDAY(C814,I814)))</f>
        <v/>
      </c>
      <c r="AS814" s="11"/>
      <c r="AT814" s="23" t="str">
        <f aca="true">IF(C814="","",IF(AM814="Clawed Back","CLAWED",IF(TODAY()&lt;=C814+SETTINGS!$I$2,"⚠ AT RISK","SAFE")))</f>
        <v/>
      </c>
      <c r="AU814" s="11"/>
      <c r="AW814" s="24" t="n">
        <f aca="false">AW813+IF(AND(C814&lt;&gt;"",AO814&lt;&gt;"",OR('REP COMMISSION'!$B$3="",T814='REP COMMISSION'!$B$3,W814='REP COMMISSION'!$B$3,Z814='REP COMMISSION'!$B$3)),1,0)</f>
        <v>0</v>
      </c>
      <c r="AX814" s="24" t="n">
        <f aca="false">AX813+IF(AND(C814&lt;&gt;"",OR(F814="LOC - INITIAL",F814="CONSOLIDATION - UPFRONT COMM",F814="REVERSE - TOTAL FUNDING")),1,0)</f>
        <v>0</v>
      </c>
    </row>
    <row r="815" customFormat="false" ht="15" hidden="false" customHeight="false" outlineLevel="0" collapsed="false">
      <c r="A815" s="25" t="str">
        <f aca="false">IF(C815&lt;&gt;"","F27-"&amp;COUNT($C$4:C815),"")</f>
        <v/>
      </c>
      <c r="B815" s="26" t="str">
        <f aca="false">IF(OR(F815="LOC - INITIAL",F815="CONSOLIDATION - UPFRONT COMM",F815="REVERSE - TOTAL FUNDING"),A815,"")</f>
        <v/>
      </c>
      <c r="C815" s="27"/>
      <c r="D815" s="28"/>
      <c r="E815" s="28"/>
      <c r="F815" s="28"/>
      <c r="G815" s="29"/>
      <c r="H815" s="30"/>
      <c r="I815" s="28"/>
      <c r="J815" s="31" t="str">
        <f aca="false">IF(AND(G815&lt;&gt;"",H815&lt;&gt;""),G815*H815,"")</f>
        <v/>
      </c>
      <c r="K815" s="28"/>
      <c r="L815" s="32"/>
      <c r="M815" s="32"/>
      <c r="N815" s="31" t="n">
        <f aca="false">IF(OR(G815="",M815=""),0,IF(M815&gt;100,M815,G815*IF(M815&gt;1,M815/100,M815)))</f>
        <v>0</v>
      </c>
      <c r="O815" s="31" t="str">
        <f aca="false">IF(G815="","",G815*IF(L815="",0,IF(L815&gt;1,L815/100,L815))+N815)</f>
        <v/>
      </c>
      <c r="P815" s="28"/>
      <c r="Q815" s="33" t="str">
        <f aca="false">IF(P815="","",IFERROR(VLOOKUP(P815,PARTNERS!$A$2:$B$30,2,0),""))</f>
        <v/>
      </c>
      <c r="R815" s="17" t="str">
        <f aca="false">IF(O815="","",IF(OR(P815="",Q815=""),0,(O815-N815)*IF(Q815&gt;1,Q815/100,Q815)))</f>
        <v/>
      </c>
      <c r="S815" s="31" t="str">
        <f aca="false">IF(O815="","",O815-R815)</f>
        <v/>
      </c>
      <c r="T815" s="28"/>
      <c r="U815" s="34" t="str">
        <f aca="false">IF(T815="","",IFERROR(VLOOKUP(T815,REPS!$A$2:$D$40,2,0),""))</f>
        <v/>
      </c>
      <c r="V815" s="31" t="str">
        <f aca="false">IF(O815="","",IF(U815="",0,O815*IF(U815&gt;1,U815/100,U815)))</f>
        <v/>
      </c>
      <c r="W815" s="28"/>
      <c r="X815" s="34" t="str">
        <f aca="false">IF(W815="","",IFERROR(VLOOKUP(W815,REPS!$A$2:$D$40,3,0),""))</f>
        <v/>
      </c>
      <c r="Y815" s="31" t="str">
        <f aca="false">IF(O815="","",IF(X815="",0,O815*IF(X815&gt;1,X815/100,X815)))</f>
        <v/>
      </c>
      <c r="Z815" s="28"/>
      <c r="AA815" s="34" t="str">
        <f aca="false">IF(Z815="","",IFERROR(VLOOKUP(Z815,REPS!$A$2:$D$40,4,0),""))</f>
        <v/>
      </c>
      <c r="AB815" s="31" t="str">
        <f aca="false">IF(O815="","",IF(AA815="",0,O815*IF(AA815&gt;1,AA815/100,AA815)))</f>
        <v/>
      </c>
      <c r="AC815" s="31" t="str">
        <f aca="false">IF(O815="","",V815+Y815+AB815)</f>
        <v/>
      </c>
      <c r="AD815" s="19" t="str">
        <f aca="false">IF(O815="","",O815-R815-AC815)</f>
        <v/>
      </c>
      <c r="AE815" s="20"/>
      <c r="AF815" s="27"/>
      <c r="AG815" s="21" t="n">
        <f aca="false">IF(OR(AE815="",AE815=0),0,AE815*IF(U815="",0,IF(U815&gt;1,U815/100,U815)))</f>
        <v>0</v>
      </c>
      <c r="AH815" s="21" t="n">
        <f aca="false">IF(OR(AE815="",AE815=0),0,AE815*IF(X815="",0,IF(X815&gt;1,X815/100,X815)))</f>
        <v>0</v>
      </c>
      <c r="AI815" s="21" t="n">
        <f aca="false">IF(OR(AE815="",AE815=0),0,AE815*IF(AA815="",0,IF(AA815&gt;1,AA815/100,AA815)))</f>
        <v>0</v>
      </c>
      <c r="AJ815" s="21" t="n">
        <f aca="false">AG815+AH815+AI815</f>
        <v>0</v>
      </c>
      <c r="AK815" s="21" t="n">
        <f aca="false">IF(OR(AE815="",AE815=0),0,AE815-AJ815)</f>
        <v>0</v>
      </c>
      <c r="AL815" s="19" t="str">
        <f aca="false">IF(AD815="","",AD815-AK815)</f>
        <v/>
      </c>
      <c r="AM815" s="26" t="str">
        <f aca="false">IF(C815="","","Waiting for payment")</f>
        <v/>
      </c>
      <c r="AN815" s="27"/>
      <c r="AO815" s="27"/>
      <c r="AP815" s="35" t="str">
        <f aca="false">IF(OR(C815="",I815="",K815=""),"",IF(K815="Monthly",EDATE(C815,ROUND(I815*SETTINGS!$I$8,0)),WORKDAY(C815,ROUND(I815*SETTINGS!$I$8,0))))</f>
        <v/>
      </c>
      <c r="AQ815" s="26" t="str">
        <f aca="true">IF(C815="","",IF(AND(AP815&lt;&gt;"",TODAY()&gt;=AP815),"Refi Ready",IF(TODAY()-C815&gt;=SETTINGS!$I$11,"Prospecting","Performing")))</f>
        <v/>
      </c>
      <c r="AR815" s="35" t="str">
        <f aca="false">IF(OR(C815="",I815="",K815=""),"",IF(K815="Monthly",EDATE(C815,I815),WORKDAY(C815,I815)))</f>
        <v/>
      </c>
      <c r="AS815" s="28"/>
      <c r="AT815" s="36" t="str">
        <f aca="true">IF(C815="","",IF(AM815="Clawed Back","CLAWED",IF(TODAY()&lt;=C815+SETTINGS!$I$2,"⚠ AT RISK","SAFE")))</f>
        <v/>
      </c>
      <c r="AU815" s="28"/>
      <c r="AW815" s="24" t="n">
        <f aca="false">AW814+IF(AND(C815&lt;&gt;"",AO815&lt;&gt;"",OR('REP COMMISSION'!$B$3="",T815='REP COMMISSION'!$B$3,W815='REP COMMISSION'!$B$3,Z815='REP COMMISSION'!$B$3)),1,0)</f>
        <v>0</v>
      </c>
      <c r="AX815" s="24" t="n">
        <f aca="false">AX814+IF(AND(C815&lt;&gt;"",OR(F815="LOC - INITIAL",F815="CONSOLIDATION - UPFRONT COMM",F815="REVERSE - TOTAL FUNDING")),1,0)</f>
        <v>0</v>
      </c>
    </row>
    <row r="816" customFormat="false" ht="15" hidden="false" customHeight="false" outlineLevel="0" collapsed="false">
      <c r="A816" s="8" t="str">
        <f aca="false">IF(C816&lt;&gt;"","F27-"&amp;COUNT($C$4:C816),"")</f>
        <v/>
      </c>
      <c r="B816" s="9" t="str">
        <f aca="false">IF(OR(F816="LOC - INITIAL",F816="CONSOLIDATION - UPFRONT COMM",F816="REVERSE - TOTAL FUNDING"),A816,"")</f>
        <v/>
      </c>
      <c r="C816" s="10"/>
      <c r="D816" s="11"/>
      <c r="E816" s="11"/>
      <c r="F816" s="11"/>
      <c r="G816" s="12"/>
      <c r="H816" s="13"/>
      <c r="I816" s="11"/>
      <c r="J816" s="14" t="str">
        <f aca="false">IF(AND(G816&lt;&gt;"",H816&lt;&gt;""),G816*H816,"")</f>
        <v/>
      </c>
      <c r="K816" s="11"/>
      <c r="L816" s="15"/>
      <c r="M816" s="15"/>
      <c r="N816" s="14" t="n">
        <f aca="false">IF(OR(G816="",M816=""),0,IF(M816&gt;100,M816,G816*IF(M816&gt;1,M816/100,M816)))</f>
        <v>0</v>
      </c>
      <c r="O816" s="14" t="str">
        <f aca="false">IF(G816="","",G816*IF(L816="",0,IF(L816&gt;1,L816/100,L816))+N816)</f>
        <v/>
      </c>
      <c r="P816" s="11"/>
      <c r="Q816" s="16" t="str">
        <f aca="false">IF(P816="","",IFERROR(VLOOKUP(P816,PARTNERS!$A$2:$B$30,2,0),""))</f>
        <v/>
      </c>
      <c r="R816" s="17" t="str">
        <f aca="false">IF(O816="","",IF(OR(P816="",Q816=""),0,(O816-N816)*IF(Q816&gt;1,Q816/100,Q816)))</f>
        <v/>
      </c>
      <c r="S816" s="14" t="str">
        <f aca="false">IF(O816="","",O816-R816)</f>
        <v/>
      </c>
      <c r="T816" s="11"/>
      <c r="U816" s="18" t="str">
        <f aca="false">IF(T816="","",IFERROR(VLOOKUP(T816,REPS!$A$2:$D$40,2,0),""))</f>
        <v/>
      </c>
      <c r="V816" s="14" t="str">
        <f aca="false">IF(O816="","",IF(U816="",0,O816*IF(U816&gt;1,U816/100,U816)))</f>
        <v/>
      </c>
      <c r="W816" s="11"/>
      <c r="X816" s="18" t="str">
        <f aca="false">IF(W816="","",IFERROR(VLOOKUP(W816,REPS!$A$2:$D$40,3,0),""))</f>
        <v/>
      </c>
      <c r="Y816" s="14" t="str">
        <f aca="false">IF(O816="","",IF(X816="",0,O816*IF(X816&gt;1,X816/100,X816)))</f>
        <v/>
      </c>
      <c r="Z816" s="11"/>
      <c r="AA816" s="18" t="str">
        <f aca="false">IF(Z816="","",IFERROR(VLOOKUP(Z816,REPS!$A$2:$D$40,4,0),""))</f>
        <v/>
      </c>
      <c r="AB816" s="14" t="str">
        <f aca="false">IF(O816="","",IF(AA816="",0,O816*IF(AA816&gt;1,AA816/100,AA816)))</f>
        <v/>
      </c>
      <c r="AC816" s="14" t="str">
        <f aca="false">IF(O816="","",V816+Y816+AB816)</f>
        <v/>
      </c>
      <c r="AD816" s="19" t="str">
        <f aca="false">IF(O816="","",O816-R816-AC816)</f>
        <v/>
      </c>
      <c r="AE816" s="20"/>
      <c r="AF816" s="10"/>
      <c r="AG816" s="21" t="n">
        <f aca="false">IF(OR(AE816="",AE816=0),0,AE816*IF(U816="",0,IF(U816&gt;1,U816/100,U816)))</f>
        <v>0</v>
      </c>
      <c r="AH816" s="21" t="n">
        <f aca="false">IF(OR(AE816="",AE816=0),0,AE816*IF(X816="",0,IF(X816&gt;1,X816/100,X816)))</f>
        <v>0</v>
      </c>
      <c r="AI816" s="21" t="n">
        <f aca="false">IF(OR(AE816="",AE816=0),0,AE816*IF(AA816="",0,IF(AA816&gt;1,AA816/100,AA816)))</f>
        <v>0</v>
      </c>
      <c r="AJ816" s="21" t="n">
        <f aca="false">AG816+AH816+AI816</f>
        <v>0</v>
      </c>
      <c r="AK816" s="21" t="n">
        <f aca="false">IF(OR(AE816="",AE816=0),0,AE816-AJ816)</f>
        <v>0</v>
      </c>
      <c r="AL816" s="19" t="str">
        <f aca="false">IF(AD816="","",AD816-AK816)</f>
        <v/>
      </c>
      <c r="AM816" s="9" t="str">
        <f aca="false">IF(C816="","","Waiting for payment")</f>
        <v/>
      </c>
      <c r="AN816" s="10"/>
      <c r="AO816" s="10"/>
      <c r="AP816" s="22" t="str">
        <f aca="false">IF(OR(C816="",I816="",K816=""),"",IF(K816="Monthly",EDATE(C816,ROUND(I816*SETTINGS!$I$8,0)),WORKDAY(C816,ROUND(I816*SETTINGS!$I$8,0))))</f>
        <v/>
      </c>
      <c r="AQ816" s="9" t="str">
        <f aca="true">IF(C816="","",IF(AND(AP816&lt;&gt;"",TODAY()&gt;=AP816),"Refi Ready",IF(TODAY()-C816&gt;=SETTINGS!$I$11,"Prospecting","Performing")))</f>
        <v/>
      </c>
      <c r="AR816" s="22" t="str">
        <f aca="false">IF(OR(C816="",I816="",K816=""),"",IF(K816="Monthly",EDATE(C816,I816),WORKDAY(C816,I816)))</f>
        <v/>
      </c>
      <c r="AS816" s="11"/>
      <c r="AT816" s="23" t="str">
        <f aca="true">IF(C816="","",IF(AM816="Clawed Back","CLAWED",IF(TODAY()&lt;=C816+SETTINGS!$I$2,"⚠ AT RISK","SAFE")))</f>
        <v/>
      </c>
      <c r="AU816" s="11"/>
      <c r="AW816" s="24" t="n">
        <f aca="false">AW815+IF(AND(C816&lt;&gt;"",AO816&lt;&gt;"",OR('REP COMMISSION'!$B$3="",T816='REP COMMISSION'!$B$3,W816='REP COMMISSION'!$B$3,Z816='REP COMMISSION'!$B$3)),1,0)</f>
        <v>0</v>
      </c>
      <c r="AX816" s="24" t="n">
        <f aca="false">AX815+IF(AND(C816&lt;&gt;"",OR(F816="LOC - INITIAL",F816="CONSOLIDATION - UPFRONT COMM",F816="REVERSE - TOTAL FUNDING")),1,0)</f>
        <v>0</v>
      </c>
    </row>
    <row r="817" customFormat="false" ht="15" hidden="false" customHeight="false" outlineLevel="0" collapsed="false">
      <c r="A817" s="25" t="str">
        <f aca="false">IF(C817&lt;&gt;"","F27-"&amp;COUNT($C$4:C817),"")</f>
        <v/>
      </c>
      <c r="B817" s="26" t="str">
        <f aca="false">IF(OR(F817="LOC - INITIAL",F817="CONSOLIDATION - UPFRONT COMM",F817="REVERSE - TOTAL FUNDING"),A817,"")</f>
        <v/>
      </c>
      <c r="C817" s="27"/>
      <c r="D817" s="28"/>
      <c r="E817" s="28"/>
      <c r="F817" s="28"/>
      <c r="G817" s="29"/>
      <c r="H817" s="30"/>
      <c r="I817" s="28"/>
      <c r="J817" s="31" t="str">
        <f aca="false">IF(AND(G817&lt;&gt;"",H817&lt;&gt;""),G817*H817,"")</f>
        <v/>
      </c>
      <c r="K817" s="28"/>
      <c r="L817" s="32"/>
      <c r="M817" s="32"/>
      <c r="N817" s="31" t="n">
        <f aca="false">IF(OR(G817="",M817=""),0,IF(M817&gt;100,M817,G817*IF(M817&gt;1,M817/100,M817)))</f>
        <v>0</v>
      </c>
      <c r="O817" s="31" t="str">
        <f aca="false">IF(G817="","",G817*IF(L817="",0,IF(L817&gt;1,L817/100,L817))+N817)</f>
        <v/>
      </c>
      <c r="P817" s="28"/>
      <c r="Q817" s="33" t="str">
        <f aca="false">IF(P817="","",IFERROR(VLOOKUP(P817,PARTNERS!$A$2:$B$30,2,0),""))</f>
        <v/>
      </c>
      <c r="R817" s="17" t="str">
        <f aca="false">IF(O817="","",IF(OR(P817="",Q817=""),0,(O817-N817)*IF(Q817&gt;1,Q817/100,Q817)))</f>
        <v/>
      </c>
      <c r="S817" s="31" t="str">
        <f aca="false">IF(O817="","",O817-R817)</f>
        <v/>
      </c>
      <c r="T817" s="28"/>
      <c r="U817" s="34" t="str">
        <f aca="false">IF(T817="","",IFERROR(VLOOKUP(T817,REPS!$A$2:$D$40,2,0),""))</f>
        <v/>
      </c>
      <c r="V817" s="31" t="str">
        <f aca="false">IF(O817="","",IF(U817="",0,O817*IF(U817&gt;1,U817/100,U817)))</f>
        <v/>
      </c>
      <c r="W817" s="28"/>
      <c r="X817" s="34" t="str">
        <f aca="false">IF(W817="","",IFERROR(VLOOKUP(W817,REPS!$A$2:$D$40,3,0),""))</f>
        <v/>
      </c>
      <c r="Y817" s="31" t="str">
        <f aca="false">IF(O817="","",IF(X817="",0,O817*IF(X817&gt;1,X817/100,X817)))</f>
        <v/>
      </c>
      <c r="Z817" s="28"/>
      <c r="AA817" s="34" t="str">
        <f aca="false">IF(Z817="","",IFERROR(VLOOKUP(Z817,REPS!$A$2:$D$40,4,0),""))</f>
        <v/>
      </c>
      <c r="AB817" s="31" t="str">
        <f aca="false">IF(O817="","",IF(AA817="",0,O817*IF(AA817&gt;1,AA817/100,AA817)))</f>
        <v/>
      </c>
      <c r="AC817" s="31" t="str">
        <f aca="false">IF(O817="","",V817+Y817+AB817)</f>
        <v/>
      </c>
      <c r="AD817" s="19" t="str">
        <f aca="false">IF(O817="","",O817-R817-AC817)</f>
        <v/>
      </c>
      <c r="AE817" s="20"/>
      <c r="AF817" s="27"/>
      <c r="AG817" s="21" t="n">
        <f aca="false">IF(OR(AE817="",AE817=0),0,AE817*IF(U817="",0,IF(U817&gt;1,U817/100,U817)))</f>
        <v>0</v>
      </c>
      <c r="AH817" s="21" t="n">
        <f aca="false">IF(OR(AE817="",AE817=0),0,AE817*IF(X817="",0,IF(X817&gt;1,X817/100,X817)))</f>
        <v>0</v>
      </c>
      <c r="AI817" s="21" t="n">
        <f aca="false">IF(OR(AE817="",AE817=0),0,AE817*IF(AA817="",0,IF(AA817&gt;1,AA817/100,AA817)))</f>
        <v>0</v>
      </c>
      <c r="AJ817" s="21" t="n">
        <f aca="false">AG817+AH817+AI817</f>
        <v>0</v>
      </c>
      <c r="AK817" s="21" t="n">
        <f aca="false">IF(OR(AE817="",AE817=0),0,AE817-AJ817)</f>
        <v>0</v>
      </c>
      <c r="AL817" s="19" t="str">
        <f aca="false">IF(AD817="","",AD817-AK817)</f>
        <v/>
      </c>
      <c r="AM817" s="26" t="str">
        <f aca="false">IF(C817="","","Waiting for payment")</f>
        <v/>
      </c>
      <c r="AN817" s="27"/>
      <c r="AO817" s="27"/>
      <c r="AP817" s="35" t="str">
        <f aca="false">IF(OR(C817="",I817="",K817=""),"",IF(K817="Monthly",EDATE(C817,ROUND(I817*SETTINGS!$I$8,0)),WORKDAY(C817,ROUND(I817*SETTINGS!$I$8,0))))</f>
        <v/>
      </c>
      <c r="AQ817" s="26" t="str">
        <f aca="true">IF(C817="","",IF(AND(AP817&lt;&gt;"",TODAY()&gt;=AP817),"Refi Ready",IF(TODAY()-C817&gt;=SETTINGS!$I$11,"Prospecting","Performing")))</f>
        <v/>
      </c>
      <c r="AR817" s="35" t="str">
        <f aca="false">IF(OR(C817="",I817="",K817=""),"",IF(K817="Monthly",EDATE(C817,I817),WORKDAY(C817,I817)))</f>
        <v/>
      </c>
      <c r="AS817" s="28"/>
      <c r="AT817" s="36" t="str">
        <f aca="true">IF(C817="","",IF(AM817="Clawed Back","CLAWED",IF(TODAY()&lt;=C817+SETTINGS!$I$2,"⚠ AT RISK","SAFE")))</f>
        <v/>
      </c>
      <c r="AU817" s="28"/>
      <c r="AW817" s="24" t="n">
        <f aca="false">AW816+IF(AND(C817&lt;&gt;"",AO817&lt;&gt;"",OR('REP COMMISSION'!$B$3="",T817='REP COMMISSION'!$B$3,W817='REP COMMISSION'!$B$3,Z817='REP COMMISSION'!$B$3)),1,0)</f>
        <v>0</v>
      </c>
      <c r="AX817" s="24" t="n">
        <f aca="false">AX816+IF(AND(C817&lt;&gt;"",OR(F817="LOC - INITIAL",F817="CONSOLIDATION - UPFRONT COMM",F817="REVERSE - TOTAL FUNDING")),1,0)</f>
        <v>0</v>
      </c>
    </row>
    <row r="818" customFormat="false" ht="18" hidden="false" customHeight="true" outlineLevel="0" collapsed="false">
      <c r="A818" s="37" t="s">
        <v>57</v>
      </c>
      <c r="B818" s="38"/>
      <c r="C818" s="38"/>
      <c r="D818" s="37" t="str">
        <f aca="false">COUNT(C718:C817)&amp;" units"</f>
        <v>0 units</v>
      </c>
      <c r="E818" s="38"/>
      <c r="F818" s="38"/>
      <c r="G818" s="39" t="n">
        <f aca="false">SUM(G718:G817)</f>
        <v>0</v>
      </c>
      <c r="H818" s="38"/>
      <c r="I818" s="38"/>
      <c r="J818" s="38"/>
      <c r="K818" s="38"/>
      <c r="L818" s="38"/>
      <c r="M818" s="38"/>
      <c r="N818" s="39" t="n">
        <f aca="false">SUM(N718:N817)</f>
        <v>0</v>
      </c>
      <c r="O818" s="39" t="n">
        <f aca="false">SUM(O718:O817)</f>
        <v>0</v>
      </c>
      <c r="P818" s="38"/>
      <c r="Q818" s="38"/>
      <c r="R818" s="39" t="n">
        <f aca="false">SUM(R718:R817)</f>
        <v>0</v>
      </c>
      <c r="S818" s="39" t="n">
        <f aca="false">SUM(S718:S817)</f>
        <v>0</v>
      </c>
      <c r="T818" s="38"/>
      <c r="U818" s="38"/>
      <c r="V818" s="38"/>
      <c r="W818" s="38"/>
      <c r="X818" s="38"/>
      <c r="Y818" s="38"/>
      <c r="Z818" s="38"/>
      <c r="AA818" s="38"/>
      <c r="AB818" s="38"/>
      <c r="AC818" s="39" t="n">
        <f aca="false">SUM(AC718:AC817)</f>
        <v>0</v>
      </c>
      <c r="AD818" s="39" t="n">
        <f aca="false">SUM(AD718:AD817)</f>
        <v>0</v>
      </c>
      <c r="AE818" s="39" t="n">
        <f aca="false">SUM(AE718:AE817)</f>
        <v>0</v>
      </c>
      <c r="AF818" s="38"/>
      <c r="AG818" s="38"/>
      <c r="AH818" s="38"/>
      <c r="AI818" s="38"/>
      <c r="AJ818" s="39" t="n">
        <f aca="false">SUM(AJ718:AJ817)</f>
        <v>0</v>
      </c>
      <c r="AK818" s="39" t="n">
        <f aca="false">SUM(AK718:AK817)</f>
        <v>0</v>
      </c>
      <c r="AL818" s="39" t="n">
        <f aca="false">SUM(AL718:AL817)</f>
        <v>0</v>
      </c>
      <c r="AM818" s="38"/>
      <c r="AN818" s="38"/>
      <c r="AO818" s="38"/>
      <c r="AP818" s="38"/>
      <c r="AQ818" s="38"/>
      <c r="AR818" s="38"/>
      <c r="AS818" s="38"/>
      <c r="AT818" s="38"/>
      <c r="AU818" s="38"/>
      <c r="AW818" s="24" t="n">
        <f aca="false">AW817</f>
        <v>0</v>
      </c>
      <c r="AX818" s="24" t="n">
        <f aca="false">AX817</f>
        <v>0</v>
      </c>
    </row>
    <row r="819" customFormat="false" ht="19.5" hidden="false" customHeight="true" outlineLevel="0" collapsed="false">
      <c r="A819" s="6" t="s">
        <v>78</v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W819" s="24" t="n">
        <f aca="false">AW818</f>
        <v>0</v>
      </c>
      <c r="AX819" s="24" t="n">
        <f aca="false">AX818</f>
        <v>0</v>
      </c>
    </row>
    <row r="820" customFormat="false" ht="15" hidden="false" customHeight="false" outlineLevel="0" collapsed="false">
      <c r="A820" s="8" t="str">
        <f aca="false">IF(C820&lt;&gt;"","F27-"&amp;COUNT($C$4:C820),"")</f>
        <v/>
      </c>
      <c r="B820" s="9" t="str">
        <f aca="false">IF(OR(F820="LOC - INITIAL",F820="CONSOLIDATION - UPFRONT COMM",F820="REVERSE - TOTAL FUNDING"),A820,"")</f>
        <v/>
      </c>
      <c r="C820" s="10"/>
      <c r="D820" s="11"/>
      <c r="E820" s="11"/>
      <c r="F820" s="11"/>
      <c r="G820" s="12"/>
      <c r="H820" s="13"/>
      <c r="I820" s="11"/>
      <c r="J820" s="14" t="str">
        <f aca="false">IF(AND(G820&lt;&gt;"",H820&lt;&gt;""),G820*H820,"")</f>
        <v/>
      </c>
      <c r="K820" s="11"/>
      <c r="L820" s="15"/>
      <c r="M820" s="15"/>
      <c r="N820" s="14" t="n">
        <f aca="false">IF(OR(G820="",M820=""),0,IF(M820&gt;100,M820,G820*IF(M820&gt;1,M820/100,M820)))</f>
        <v>0</v>
      </c>
      <c r="O820" s="14" t="str">
        <f aca="false">IF(G820="","",G820*IF(L820="",0,IF(L820&gt;1,L820/100,L820))+N820)</f>
        <v/>
      </c>
      <c r="P820" s="11"/>
      <c r="Q820" s="16" t="str">
        <f aca="false">IF(P820="","",IFERROR(VLOOKUP(P820,PARTNERS!$A$2:$B$30,2,0),""))</f>
        <v/>
      </c>
      <c r="R820" s="17" t="str">
        <f aca="false">IF(O820="","",IF(OR(P820="",Q820=""),0,(O820-N820)*IF(Q820&gt;1,Q820/100,Q820)))</f>
        <v/>
      </c>
      <c r="S820" s="14" t="str">
        <f aca="false">IF(O820="","",O820-R820)</f>
        <v/>
      </c>
      <c r="T820" s="11"/>
      <c r="U820" s="18" t="str">
        <f aca="false">IF(T820="","",IFERROR(VLOOKUP(T820,REPS!$A$2:$D$40,2,0),""))</f>
        <v/>
      </c>
      <c r="V820" s="14" t="str">
        <f aca="false">IF(O820="","",IF(U820="",0,O820*IF(U820&gt;1,U820/100,U820)))</f>
        <v/>
      </c>
      <c r="W820" s="11"/>
      <c r="X820" s="18" t="str">
        <f aca="false">IF(W820="","",IFERROR(VLOOKUP(W820,REPS!$A$2:$D$40,3,0),""))</f>
        <v/>
      </c>
      <c r="Y820" s="14" t="str">
        <f aca="false">IF(O820="","",IF(X820="",0,O820*IF(X820&gt;1,X820/100,X820)))</f>
        <v/>
      </c>
      <c r="Z820" s="11"/>
      <c r="AA820" s="18" t="str">
        <f aca="false">IF(Z820="","",IFERROR(VLOOKUP(Z820,REPS!$A$2:$D$40,4,0),""))</f>
        <v/>
      </c>
      <c r="AB820" s="14" t="str">
        <f aca="false">IF(O820="","",IF(AA820="",0,O820*IF(AA820&gt;1,AA820/100,AA820)))</f>
        <v/>
      </c>
      <c r="AC820" s="14" t="str">
        <f aca="false">IF(O820="","",V820+Y820+AB820)</f>
        <v/>
      </c>
      <c r="AD820" s="19" t="str">
        <f aca="false">IF(O820="","",O820-R820-AC820)</f>
        <v/>
      </c>
      <c r="AE820" s="20"/>
      <c r="AF820" s="10"/>
      <c r="AG820" s="21" t="n">
        <f aca="false">IF(OR(AE820="",AE820=0),0,AE820*IF(U820="",0,IF(U820&gt;1,U820/100,U820)))</f>
        <v>0</v>
      </c>
      <c r="AH820" s="21" t="n">
        <f aca="false">IF(OR(AE820="",AE820=0),0,AE820*IF(X820="",0,IF(X820&gt;1,X820/100,X820)))</f>
        <v>0</v>
      </c>
      <c r="AI820" s="21" t="n">
        <f aca="false">IF(OR(AE820="",AE820=0),0,AE820*IF(AA820="",0,IF(AA820&gt;1,AA820/100,AA820)))</f>
        <v>0</v>
      </c>
      <c r="AJ820" s="21" t="n">
        <f aca="false">AG820+AH820+AI820</f>
        <v>0</v>
      </c>
      <c r="AK820" s="21" t="n">
        <f aca="false">IF(OR(AE820="",AE820=0),0,AE820-AJ820)</f>
        <v>0</v>
      </c>
      <c r="AL820" s="19" t="str">
        <f aca="false">IF(AD820="","",AD820-AK820)</f>
        <v/>
      </c>
      <c r="AM820" s="9" t="str">
        <f aca="false">IF(C820="","","Waiting for payment")</f>
        <v/>
      </c>
      <c r="AN820" s="10"/>
      <c r="AO820" s="10"/>
      <c r="AP820" s="22" t="str">
        <f aca="false">IF(OR(C820="",I820="",K820=""),"",IF(K820="Monthly",EDATE(C820,ROUND(I820*SETTINGS!$I$8,0)),WORKDAY(C820,ROUND(I820*SETTINGS!$I$8,0))))</f>
        <v/>
      </c>
      <c r="AQ820" s="9" t="str">
        <f aca="true">IF(C820="","",IF(AND(AP820&lt;&gt;"",TODAY()&gt;=AP820),"Refi Ready",IF(TODAY()-C820&gt;=SETTINGS!$I$11,"Prospecting","Performing")))</f>
        <v/>
      </c>
      <c r="AR820" s="22" t="str">
        <f aca="false">IF(OR(C820="",I820="",K820=""),"",IF(K820="Monthly",EDATE(C820,I820),WORKDAY(C820,I820)))</f>
        <v/>
      </c>
      <c r="AS820" s="11"/>
      <c r="AT820" s="23" t="str">
        <f aca="true">IF(C820="","",IF(AM820="Clawed Back","CLAWED",IF(TODAY()&lt;=C820+SETTINGS!$I$2,"⚠ AT RISK","SAFE")))</f>
        <v/>
      </c>
      <c r="AU820" s="11"/>
      <c r="AW820" s="24" t="n">
        <f aca="false">AW819+IF(AND(C820&lt;&gt;"",AO820&lt;&gt;"",OR('REP COMMISSION'!$B$3="",T820='REP COMMISSION'!$B$3,W820='REP COMMISSION'!$B$3,Z820='REP COMMISSION'!$B$3)),1,0)</f>
        <v>0</v>
      </c>
      <c r="AX820" s="24" t="n">
        <f aca="false">AX819+IF(AND(C820&lt;&gt;"",OR(F820="LOC - INITIAL",F820="CONSOLIDATION - UPFRONT COMM",F820="REVERSE - TOTAL FUNDING")),1,0)</f>
        <v>0</v>
      </c>
    </row>
    <row r="821" customFormat="false" ht="15" hidden="false" customHeight="false" outlineLevel="0" collapsed="false">
      <c r="A821" s="25" t="str">
        <f aca="false">IF(C821&lt;&gt;"","F27-"&amp;COUNT($C$4:C821),"")</f>
        <v/>
      </c>
      <c r="B821" s="26" t="str">
        <f aca="false">IF(OR(F821="LOC - INITIAL",F821="CONSOLIDATION - UPFRONT COMM",F821="REVERSE - TOTAL FUNDING"),A821,"")</f>
        <v/>
      </c>
      <c r="C821" s="27"/>
      <c r="D821" s="28"/>
      <c r="E821" s="28"/>
      <c r="F821" s="28"/>
      <c r="G821" s="29"/>
      <c r="H821" s="30"/>
      <c r="I821" s="28"/>
      <c r="J821" s="31" t="str">
        <f aca="false">IF(AND(G821&lt;&gt;"",H821&lt;&gt;""),G821*H821,"")</f>
        <v/>
      </c>
      <c r="K821" s="28"/>
      <c r="L821" s="32"/>
      <c r="M821" s="32"/>
      <c r="N821" s="31" t="n">
        <f aca="false">IF(OR(G821="",M821=""),0,IF(M821&gt;100,M821,G821*IF(M821&gt;1,M821/100,M821)))</f>
        <v>0</v>
      </c>
      <c r="O821" s="31" t="str">
        <f aca="false">IF(G821="","",G821*IF(L821="",0,IF(L821&gt;1,L821/100,L821))+N821)</f>
        <v/>
      </c>
      <c r="P821" s="28"/>
      <c r="Q821" s="33" t="str">
        <f aca="false">IF(P821="","",IFERROR(VLOOKUP(P821,PARTNERS!$A$2:$B$30,2,0),""))</f>
        <v/>
      </c>
      <c r="R821" s="17" t="str">
        <f aca="false">IF(O821="","",IF(OR(P821="",Q821=""),0,(O821-N821)*IF(Q821&gt;1,Q821/100,Q821)))</f>
        <v/>
      </c>
      <c r="S821" s="31" t="str">
        <f aca="false">IF(O821="","",O821-R821)</f>
        <v/>
      </c>
      <c r="T821" s="28"/>
      <c r="U821" s="34" t="str">
        <f aca="false">IF(T821="","",IFERROR(VLOOKUP(T821,REPS!$A$2:$D$40,2,0),""))</f>
        <v/>
      </c>
      <c r="V821" s="31" t="str">
        <f aca="false">IF(O821="","",IF(U821="",0,O821*IF(U821&gt;1,U821/100,U821)))</f>
        <v/>
      </c>
      <c r="W821" s="28"/>
      <c r="X821" s="34" t="str">
        <f aca="false">IF(W821="","",IFERROR(VLOOKUP(W821,REPS!$A$2:$D$40,3,0),""))</f>
        <v/>
      </c>
      <c r="Y821" s="31" t="str">
        <f aca="false">IF(O821="","",IF(X821="",0,O821*IF(X821&gt;1,X821/100,X821)))</f>
        <v/>
      </c>
      <c r="Z821" s="28"/>
      <c r="AA821" s="34" t="str">
        <f aca="false">IF(Z821="","",IFERROR(VLOOKUP(Z821,REPS!$A$2:$D$40,4,0),""))</f>
        <v/>
      </c>
      <c r="AB821" s="31" t="str">
        <f aca="false">IF(O821="","",IF(AA821="",0,O821*IF(AA821&gt;1,AA821/100,AA821)))</f>
        <v/>
      </c>
      <c r="AC821" s="31" t="str">
        <f aca="false">IF(O821="","",V821+Y821+AB821)</f>
        <v/>
      </c>
      <c r="AD821" s="19" t="str">
        <f aca="false">IF(O821="","",O821-R821-AC821)</f>
        <v/>
      </c>
      <c r="AE821" s="20"/>
      <c r="AF821" s="27"/>
      <c r="AG821" s="21" t="n">
        <f aca="false">IF(OR(AE821="",AE821=0),0,AE821*IF(U821="",0,IF(U821&gt;1,U821/100,U821)))</f>
        <v>0</v>
      </c>
      <c r="AH821" s="21" t="n">
        <f aca="false">IF(OR(AE821="",AE821=0),0,AE821*IF(X821="",0,IF(X821&gt;1,X821/100,X821)))</f>
        <v>0</v>
      </c>
      <c r="AI821" s="21" t="n">
        <f aca="false">IF(OR(AE821="",AE821=0),0,AE821*IF(AA821="",0,IF(AA821&gt;1,AA821/100,AA821)))</f>
        <v>0</v>
      </c>
      <c r="AJ821" s="21" t="n">
        <f aca="false">AG821+AH821+AI821</f>
        <v>0</v>
      </c>
      <c r="AK821" s="21" t="n">
        <f aca="false">IF(OR(AE821="",AE821=0),0,AE821-AJ821)</f>
        <v>0</v>
      </c>
      <c r="AL821" s="19" t="str">
        <f aca="false">IF(AD821="","",AD821-AK821)</f>
        <v/>
      </c>
      <c r="AM821" s="26" t="str">
        <f aca="false">IF(C821="","","Waiting for payment")</f>
        <v/>
      </c>
      <c r="AN821" s="27"/>
      <c r="AO821" s="27"/>
      <c r="AP821" s="35" t="str">
        <f aca="false">IF(OR(C821="",I821="",K821=""),"",IF(K821="Monthly",EDATE(C821,ROUND(I821*SETTINGS!$I$8,0)),WORKDAY(C821,ROUND(I821*SETTINGS!$I$8,0))))</f>
        <v/>
      </c>
      <c r="AQ821" s="26" t="str">
        <f aca="true">IF(C821="","",IF(AND(AP821&lt;&gt;"",TODAY()&gt;=AP821),"Refi Ready",IF(TODAY()-C821&gt;=SETTINGS!$I$11,"Prospecting","Performing")))</f>
        <v/>
      </c>
      <c r="AR821" s="35" t="str">
        <f aca="false">IF(OR(C821="",I821="",K821=""),"",IF(K821="Monthly",EDATE(C821,I821),WORKDAY(C821,I821)))</f>
        <v/>
      </c>
      <c r="AS821" s="28"/>
      <c r="AT821" s="36" t="str">
        <f aca="true">IF(C821="","",IF(AM821="Clawed Back","CLAWED",IF(TODAY()&lt;=C821+SETTINGS!$I$2,"⚠ AT RISK","SAFE")))</f>
        <v/>
      </c>
      <c r="AU821" s="28"/>
      <c r="AW821" s="24" t="n">
        <f aca="false">AW820+IF(AND(C821&lt;&gt;"",AO821&lt;&gt;"",OR('REP COMMISSION'!$B$3="",T821='REP COMMISSION'!$B$3,W821='REP COMMISSION'!$B$3,Z821='REP COMMISSION'!$B$3)),1,0)</f>
        <v>0</v>
      </c>
      <c r="AX821" s="24" t="n">
        <f aca="false">AX820+IF(AND(C821&lt;&gt;"",OR(F821="LOC - INITIAL",F821="CONSOLIDATION - UPFRONT COMM",F821="REVERSE - TOTAL FUNDING")),1,0)</f>
        <v>0</v>
      </c>
    </row>
    <row r="822" customFormat="false" ht="15" hidden="false" customHeight="false" outlineLevel="0" collapsed="false">
      <c r="A822" s="8" t="str">
        <f aca="false">IF(C822&lt;&gt;"","F27-"&amp;COUNT($C$4:C822),"")</f>
        <v/>
      </c>
      <c r="B822" s="9" t="str">
        <f aca="false">IF(OR(F822="LOC - INITIAL",F822="CONSOLIDATION - UPFRONT COMM",F822="REVERSE - TOTAL FUNDING"),A822,"")</f>
        <v/>
      </c>
      <c r="C822" s="10"/>
      <c r="D822" s="11"/>
      <c r="E822" s="11"/>
      <c r="F822" s="11"/>
      <c r="G822" s="12"/>
      <c r="H822" s="13"/>
      <c r="I822" s="11"/>
      <c r="J822" s="14" t="str">
        <f aca="false">IF(AND(G822&lt;&gt;"",H822&lt;&gt;""),G822*H822,"")</f>
        <v/>
      </c>
      <c r="K822" s="11"/>
      <c r="L822" s="15"/>
      <c r="M822" s="15"/>
      <c r="N822" s="14" t="n">
        <f aca="false">IF(OR(G822="",M822=""),0,IF(M822&gt;100,M822,G822*IF(M822&gt;1,M822/100,M822)))</f>
        <v>0</v>
      </c>
      <c r="O822" s="14" t="str">
        <f aca="false">IF(G822="","",G822*IF(L822="",0,IF(L822&gt;1,L822/100,L822))+N822)</f>
        <v/>
      </c>
      <c r="P822" s="11"/>
      <c r="Q822" s="16" t="str">
        <f aca="false">IF(P822="","",IFERROR(VLOOKUP(P822,PARTNERS!$A$2:$B$30,2,0),""))</f>
        <v/>
      </c>
      <c r="R822" s="17" t="str">
        <f aca="false">IF(O822="","",IF(OR(P822="",Q822=""),0,(O822-N822)*IF(Q822&gt;1,Q822/100,Q822)))</f>
        <v/>
      </c>
      <c r="S822" s="14" t="str">
        <f aca="false">IF(O822="","",O822-R822)</f>
        <v/>
      </c>
      <c r="T822" s="11"/>
      <c r="U822" s="18" t="str">
        <f aca="false">IF(T822="","",IFERROR(VLOOKUP(T822,REPS!$A$2:$D$40,2,0),""))</f>
        <v/>
      </c>
      <c r="V822" s="14" t="str">
        <f aca="false">IF(O822="","",IF(U822="",0,O822*IF(U822&gt;1,U822/100,U822)))</f>
        <v/>
      </c>
      <c r="W822" s="11"/>
      <c r="X822" s="18" t="str">
        <f aca="false">IF(W822="","",IFERROR(VLOOKUP(W822,REPS!$A$2:$D$40,3,0),""))</f>
        <v/>
      </c>
      <c r="Y822" s="14" t="str">
        <f aca="false">IF(O822="","",IF(X822="",0,O822*IF(X822&gt;1,X822/100,X822)))</f>
        <v/>
      </c>
      <c r="Z822" s="11"/>
      <c r="AA822" s="18" t="str">
        <f aca="false">IF(Z822="","",IFERROR(VLOOKUP(Z822,REPS!$A$2:$D$40,4,0),""))</f>
        <v/>
      </c>
      <c r="AB822" s="14" t="str">
        <f aca="false">IF(O822="","",IF(AA822="",0,O822*IF(AA822&gt;1,AA822/100,AA822)))</f>
        <v/>
      </c>
      <c r="AC822" s="14" t="str">
        <f aca="false">IF(O822="","",V822+Y822+AB822)</f>
        <v/>
      </c>
      <c r="AD822" s="19" t="str">
        <f aca="false">IF(O822="","",O822-R822-AC822)</f>
        <v/>
      </c>
      <c r="AE822" s="20"/>
      <c r="AF822" s="10"/>
      <c r="AG822" s="21" t="n">
        <f aca="false">IF(OR(AE822="",AE822=0),0,AE822*IF(U822="",0,IF(U822&gt;1,U822/100,U822)))</f>
        <v>0</v>
      </c>
      <c r="AH822" s="21" t="n">
        <f aca="false">IF(OR(AE822="",AE822=0),0,AE822*IF(X822="",0,IF(X822&gt;1,X822/100,X822)))</f>
        <v>0</v>
      </c>
      <c r="AI822" s="21" t="n">
        <f aca="false">IF(OR(AE822="",AE822=0),0,AE822*IF(AA822="",0,IF(AA822&gt;1,AA822/100,AA822)))</f>
        <v>0</v>
      </c>
      <c r="AJ822" s="21" t="n">
        <f aca="false">AG822+AH822+AI822</f>
        <v>0</v>
      </c>
      <c r="AK822" s="21" t="n">
        <f aca="false">IF(OR(AE822="",AE822=0),0,AE822-AJ822)</f>
        <v>0</v>
      </c>
      <c r="AL822" s="19" t="str">
        <f aca="false">IF(AD822="","",AD822-AK822)</f>
        <v/>
      </c>
      <c r="AM822" s="9" t="str">
        <f aca="false">IF(C822="","","Waiting for payment")</f>
        <v/>
      </c>
      <c r="AN822" s="10"/>
      <c r="AO822" s="10"/>
      <c r="AP822" s="22" t="str">
        <f aca="false">IF(OR(C822="",I822="",K822=""),"",IF(K822="Monthly",EDATE(C822,ROUND(I822*SETTINGS!$I$8,0)),WORKDAY(C822,ROUND(I822*SETTINGS!$I$8,0))))</f>
        <v/>
      </c>
      <c r="AQ822" s="9" t="str">
        <f aca="true">IF(C822="","",IF(AND(AP822&lt;&gt;"",TODAY()&gt;=AP822),"Refi Ready",IF(TODAY()-C822&gt;=SETTINGS!$I$11,"Prospecting","Performing")))</f>
        <v/>
      </c>
      <c r="AR822" s="22" t="str">
        <f aca="false">IF(OR(C822="",I822="",K822=""),"",IF(K822="Monthly",EDATE(C822,I822),WORKDAY(C822,I822)))</f>
        <v/>
      </c>
      <c r="AS822" s="11"/>
      <c r="AT822" s="23" t="str">
        <f aca="true">IF(C822="","",IF(AM822="Clawed Back","CLAWED",IF(TODAY()&lt;=C822+SETTINGS!$I$2,"⚠ AT RISK","SAFE")))</f>
        <v/>
      </c>
      <c r="AU822" s="11"/>
      <c r="AW822" s="24" t="n">
        <f aca="false">AW821+IF(AND(C822&lt;&gt;"",AO822&lt;&gt;"",OR('REP COMMISSION'!$B$3="",T822='REP COMMISSION'!$B$3,W822='REP COMMISSION'!$B$3,Z822='REP COMMISSION'!$B$3)),1,0)</f>
        <v>0</v>
      </c>
      <c r="AX822" s="24" t="n">
        <f aca="false">AX821+IF(AND(C822&lt;&gt;"",OR(F822="LOC - INITIAL",F822="CONSOLIDATION - UPFRONT COMM",F822="REVERSE - TOTAL FUNDING")),1,0)</f>
        <v>0</v>
      </c>
    </row>
    <row r="823" customFormat="false" ht="15" hidden="false" customHeight="false" outlineLevel="0" collapsed="false">
      <c r="A823" s="25" t="str">
        <f aca="false">IF(C823&lt;&gt;"","F27-"&amp;COUNT($C$4:C823),"")</f>
        <v/>
      </c>
      <c r="B823" s="26" t="str">
        <f aca="false">IF(OR(F823="LOC - INITIAL",F823="CONSOLIDATION - UPFRONT COMM",F823="REVERSE - TOTAL FUNDING"),A823,"")</f>
        <v/>
      </c>
      <c r="C823" s="27"/>
      <c r="D823" s="28"/>
      <c r="E823" s="28"/>
      <c r="F823" s="28"/>
      <c r="G823" s="29"/>
      <c r="H823" s="30"/>
      <c r="I823" s="28"/>
      <c r="J823" s="31" t="str">
        <f aca="false">IF(AND(G823&lt;&gt;"",H823&lt;&gt;""),G823*H823,"")</f>
        <v/>
      </c>
      <c r="K823" s="28"/>
      <c r="L823" s="32"/>
      <c r="M823" s="32"/>
      <c r="N823" s="31" t="n">
        <f aca="false">IF(OR(G823="",M823=""),0,IF(M823&gt;100,M823,G823*IF(M823&gt;1,M823/100,M823)))</f>
        <v>0</v>
      </c>
      <c r="O823" s="31" t="str">
        <f aca="false">IF(G823="","",G823*IF(L823="",0,IF(L823&gt;1,L823/100,L823))+N823)</f>
        <v/>
      </c>
      <c r="P823" s="28"/>
      <c r="Q823" s="33" t="str">
        <f aca="false">IF(P823="","",IFERROR(VLOOKUP(P823,PARTNERS!$A$2:$B$30,2,0),""))</f>
        <v/>
      </c>
      <c r="R823" s="17" t="str">
        <f aca="false">IF(O823="","",IF(OR(P823="",Q823=""),0,(O823-N823)*IF(Q823&gt;1,Q823/100,Q823)))</f>
        <v/>
      </c>
      <c r="S823" s="31" t="str">
        <f aca="false">IF(O823="","",O823-R823)</f>
        <v/>
      </c>
      <c r="T823" s="28"/>
      <c r="U823" s="34" t="str">
        <f aca="false">IF(T823="","",IFERROR(VLOOKUP(T823,REPS!$A$2:$D$40,2,0),""))</f>
        <v/>
      </c>
      <c r="V823" s="31" t="str">
        <f aca="false">IF(O823="","",IF(U823="",0,O823*IF(U823&gt;1,U823/100,U823)))</f>
        <v/>
      </c>
      <c r="W823" s="28"/>
      <c r="X823" s="34" t="str">
        <f aca="false">IF(W823="","",IFERROR(VLOOKUP(W823,REPS!$A$2:$D$40,3,0),""))</f>
        <v/>
      </c>
      <c r="Y823" s="31" t="str">
        <f aca="false">IF(O823="","",IF(X823="",0,O823*IF(X823&gt;1,X823/100,X823)))</f>
        <v/>
      </c>
      <c r="Z823" s="28"/>
      <c r="AA823" s="34" t="str">
        <f aca="false">IF(Z823="","",IFERROR(VLOOKUP(Z823,REPS!$A$2:$D$40,4,0),""))</f>
        <v/>
      </c>
      <c r="AB823" s="31" t="str">
        <f aca="false">IF(O823="","",IF(AA823="",0,O823*IF(AA823&gt;1,AA823/100,AA823)))</f>
        <v/>
      </c>
      <c r="AC823" s="31" t="str">
        <f aca="false">IF(O823="","",V823+Y823+AB823)</f>
        <v/>
      </c>
      <c r="AD823" s="19" t="str">
        <f aca="false">IF(O823="","",O823-R823-AC823)</f>
        <v/>
      </c>
      <c r="AE823" s="20"/>
      <c r="AF823" s="27"/>
      <c r="AG823" s="21" t="n">
        <f aca="false">IF(OR(AE823="",AE823=0),0,AE823*IF(U823="",0,IF(U823&gt;1,U823/100,U823)))</f>
        <v>0</v>
      </c>
      <c r="AH823" s="21" t="n">
        <f aca="false">IF(OR(AE823="",AE823=0),0,AE823*IF(X823="",0,IF(X823&gt;1,X823/100,X823)))</f>
        <v>0</v>
      </c>
      <c r="AI823" s="21" t="n">
        <f aca="false">IF(OR(AE823="",AE823=0),0,AE823*IF(AA823="",0,IF(AA823&gt;1,AA823/100,AA823)))</f>
        <v>0</v>
      </c>
      <c r="AJ823" s="21" t="n">
        <f aca="false">AG823+AH823+AI823</f>
        <v>0</v>
      </c>
      <c r="AK823" s="21" t="n">
        <f aca="false">IF(OR(AE823="",AE823=0),0,AE823-AJ823)</f>
        <v>0</v>
      </c>
      <c r="AL823" s="19" t="str">
        <f aca="false">IF(AD823="","",AD823-AK823)</f>
        <v/>
      </c>
      <c r="AM823" s="26" t="str">
        <f aca="false">IF(C823="","","Waiting for payment")</f>
        <v/>
      </c>
      <c r="AN823" s="27"/>
      <c r="AO823" s="27"/>
      <c r="AP823" s="35" t="str">
        <f aca="false">IF(OR(C823="",I823="",K823=""),"",IF(K823="Monthly",EDATE(C823,ROUND(I823*SETTINGS!$I$8,0)),WORKDAY(C823,ROUND(I823*SETTINGS!$I$8,0))))</f>
        <v/>
      </c>
      <c r="AQ823" s="26" t="str">
        <f aca="true">IF(C823="","",IF(AND(AP823&lt;&gt;"",TODAY()&gt;=AP823),"Refi Ready",IF(TODAY()-C823&gt;=SETTINGS!$I$11,"Prospecting","Performing")))</f>
        <v/>
      </c>
      <c r="AR823" s="35" t="str">
        <f aca="false">IF(OR(C823="",I823="",K823=""),"",IF(K823="Monthly",EDATE(C823,I823),WORKDAY(C823,I823)))</f>
        <v/>
      </c>
      <c r="AS823" s="28"/>
      <c r="AT823" s="36" t="str">
        <f aca="true">IF(C823="","",IF(AM823="Clawed Back","CLAWED",IF(TODAY()&lt;=C823+SETTINGS!$I$2,"⚠ AT RISK","SAFE")))</f>
        <v/>
      </c>
      <c r="AU823" s="28"/>
      <c r="AW823" s="24" t="n">
        <f aca="false">AW822+IF(AND(C823&lt;&gt;"",AO823&lt;&gt;"",OR('REP COMMISSION'!$B$3="",T823='REP COMMISSION'!$B$3,W823='REP COMMISSION'!$B$3,Z823='REP COMMISSION'!$B$3)),1,0)</f>
        <v>0</v>
      </c>
      <c r="AX823" s="24" t="n">
        <f aca="false">AX822+IF(AND(C823&lt;&gt;"",OR(F823="LOC - INITIAL",F823="CONSOLIDATION - UPFRONT COMM",F823="REVERSE - TOTAL FUNDING")),1,0)</f>
        <v>0</v>
      </c>
    </row>
    <row r="824" customFormat="false" ht="15" hidden="false" customHeight="false" outlineLevel="0" collapsed="false">
      <c r="A824" s="8" t="str">
        <f aca="false">IF(C824&lt;&gt;"","F27-"&amp;COUNT($C$4:C824),"")</f>
        <v/>
      </c>
      <c r="B824" s="9" t="str">
        <f aca="false">IF(OR(F824="LOC - INITIAL",F824="CONSOLIDATION - UPFRONT COMM",F824="REVERSE - TOTAL FUNDING"),A824,"")</f>
        <v/>
      </c>
      <c r="C824" s="10"/>
      <c r="D824" s="11"/>
      <c r="E824" s="11"/>
      <c r="F824" s="11"/>
      <c r="G824" s="12"/>
      <c r="H824" s="13"/>
      <c r="I824" s="11"/>
      <c r="J824" s="14" t="str">
        <f aca="false">IF(AND(G824&lt;&gt;"",H824&lt;&gt;""),G824*H824,"")</f>
        <v/>
      </c>
      <c r="K824" s="11"/>
      <c r="L824" s="15"/>
      <c r="M824" s="15"/>
      <c r="N824" s="14" t="n">
        <f aca="false">IF(OR(G824="",M824=""),0,IF(M824&gt;100,M824,G824*IF(M824&gt;1,M824/100,M824)))</f>
        <v>0</v>
      </c>
      <c r="O824" s="14" t="str">
        <f aca="false">IF(G824="","",G824*IF(L824="",0,IF(L824&gt;1,L824/100,L824))+N824)</f>
        <v/>
      </c>
      <c r="P824" s="11"/>
      <c r="Q824" s="16" t="str">
        <f aca="false">IF(P824="","",IFERROR(VLOOKUP(P824,PARTNERS!$A$2:$B$30,2,0),""))</f>
        <v/>
      </c>
      <c r="R824" s="17" t="str">
        <f aca="false">IF(O824="","",IF(OR(P824="",Q824=""),0,(O824-N824)*IF(Q824&gt;1,Q824/100,Q824)))</f>
        <v/>
      </c>
      <c r="S824" s="14" t="str">
        <f aca="false">IF(O824="","",O824-R824)</f>
        <v/>
      </c>
      <c r="T824" s="11"/>
      <c r="U824" s="18" t="str">
        <f aca="false">IF(T824="","",IFERROR(VLOOKUP(T824,REPS!$A$2:$D$40,2,0),""))</f>
        <v/>
      </c>
      <c r="V824" s="14" t="str">
        <f aca="false">IF(O824="","",IF(U824="",0,O824*IF(U824&gt;1,U824/100,U824)))</f>
        <v/>
      </c>
      <c r="W824" s="11"/>
      <c r="X824" s="18" t="str">
        <f aca="false">IF(W824="","",IFERROR(VLOOKUP(W824,REPS!$A$2:$D$40,3,0),""))</f>
        <v/>
      </c>
      <c r="Y824" s="14" t="str">
        <f aca="false">IF(O824="","",IF(X824="",0,O824*IF(X824&gt;1,X824/100,X824)))</f>
        <v/>
      </c>
      <c r="Z824" s="11"/>
      <c r="AA824" s="18" t="str">
        <f aca="false">IF(Z824="","",IFERROR(VLOOKUP(Z824,REPS!$A$2:$D$40,4,0),""))</f>
        <v/>
      </c>
      <c r="AB824" s="14" t="str">
        <f aca="false">IF(O824="","",IF(AA824="",0,O824*IF(AA824&gt;1,AA824/100,AA824)))</f>
        <v/>
      </c>
      <c r="AC824" s="14" t="str">
        <f aca="false">IF(O824="","",V824+Y824+AB824)</f>
        <v/>
      </c>
      <c r="AD824" s="19" t="str">
        <f aca="false">IF(O824="","",O824-R824-AC824)</f>
        <v/>
      </c>
      <c r="AE824" s="20"/>
      <c r="AF824" s="10"/>
      <c r="AG824" s="21" t="n">
        <f aca="false">IF(OR(AE824="",AE824=0),0,AE824*IF(U824="",0,IF(U824&gt;1,U824/100,U824)))</f>
        <v>0</v>
      </c>
      <c r="AH824" s="21" t="n">
        <f aca="false">IF(OR(AE824="",AE824=0),0,AE824*IF(X824="",0,IF(X824&gt;1,X824/100,X824)))</f>
        <v>0</v>
      </c>
      <c r="AI824" s="21" t="n">
        <f aca="false">IF(OR(AE824="",AE824=0),0,AE824*IF(AA824="",0,IF(AA824&gt;1,AA824/100,AA824)))</f>
        <v>0</v>
      </c>
      <c r="AJ824" s="21" t="n">
        <f aca="false">AG824+AH824+AI824</f>
        <v>0</v>
      </c>
      <c r="AK824" s="21" t="n">
        <f aca="false">IF(OR(AE824="",AE824=0),0,AE824-AJ824)</f>
        <v>0</v>
      </c>
      <c r="AL824" s="19" t="str">
        <f aca="false">IF(AD824="","",AD824-AK824)</f>
        <v/>
      </c>
      <c r="AM824" s="9" t="str">
        <f aca="false">IF(C824="","","Waiting for payment")</f>
        <v/>
      </c>
      <c r="AN824" s="10"/>
      <c r="AO824" s="10"/>
      <c r="AP824" s="22" t="str">
        <f aca="false">IF(OR(C824="",I824="",K824=""),"",IF(K824="Monthly",EDATE(C824,ROUND(I824*SETTINGS!$I$8,0)),WORKDAY(C824,ROUND(I824*SETTINGS!$I$8,0))))</f>
        <v/>
      </c>
      <c r="AQ824" s="9" t="str">
        <f aca="true">IF(C824="","",IF(AND(AP824&lt;&gt;"",TODAY()&gt;=AP824),"Refi Ready",IF(TODAY()-C824&gt;=SETTINGS!$I$11,"Prospecting","Performing")))</f>
        <v/>
      </c>
      <c r="AR824" s="22" t="str">
        <f aca="false">IF(OR(C824="",I824="",K824=""),"",IF(K824="Monthly",EDATE(C824,I824),WORKDAY(C824,I824)))</f>
        <v/>
      </c>
      <c r="AS824" s="11"/>
      <c r="AT824" s="23" t="str">
        <f aca="true">IF(C824="","",IF(AM824="Clawed Back","CLAWED",IF(TODAY()&lt;=C824+SETTINGS!$I$2,"⚠ AT RISK","SAFE")))</f>
        <v/>
      </c>
      <c r="AU824" s="11"/>
      <c r="AW824" s="24" t="n">
        <f aca="false">AW823+IF(AND(C824&lt;&gt;"",AO824&lt;&gt;"",OR('REP COMMISSION'!$B$3="",T824='REP COMMISSION'!$B$3,W824='REP COMMISSION'!$B$3,Z824='REP COMMISSION'!$B$3)),1,0)</f>
        <v>0</v>
      </c>
      <c r="AX824" s="24" t="n">
        <f aca="false">AX823+IF(AND(C824&lt;&gt;"",OR(F824="LOC - INITIAL",F824="CONSOLIDATION - UPFRONT COMM",F824="REVERSE - TOTAL FUNDING")),1,0)</f>
        <v>0</v>
      </c>
    </row>
    <row r="825" customFormat="false" ht="15" hidden="false" customHeight="false" outlineLevel="0" collapsed="false">
      <c r="A825" s="25" t="str">
        <f aca="false">IF(C825&lt;&gt;"","F27-"&amp;COUNT($C$4:C825),"")</f>
        <v/>
      </c>
      <c r="B825" s="26" t="str">
        <f aca="false">IF(OR(F825="LOC - INITIAL",F825="CONSOLIDATION - UPFRONT COMM",F825="REVERSE - TOTAL FUNDING"),A825,"")</f>
        <v/>
      </c>
      <c r="C825" s="27"/>
      <c r="D825" s="28"/>
      <c r="E825" s="28"/>
      <c r="F825" s="28"/>
      <c r="G825" s="29"/>
      <c r="H825" s="30"/>
      <c r="I825" s="28"/>
      <c r="J825" s="31" t="str">
        <f aca="false">IF(AND(G825&lt;&gt;"",H825&lt;&gt;""),G825*H825,"")</f>
        <v/>
      </c>
      <c r="K825" s="28"/>
      <c r="L825" s="32"/>
      <c r="M825" s="32"/>
      <c r="N825" s="31" t="n">
        <f aca="false">IF(OR(G825="",M825=""),0,IF(M825&gt;100,M825,G825*IF(M825&gt;1,M825/100,M825)))</f>
        <v>0</v>
      </c>
      <c r="O825" s="31" t="str">
        <f aca="false">IF(G825="","",G825*IF(L825="",0,IF(L825&gt;1,L825/100,L825))+N825)</f>
        <v/>
      </c>
      <c r="P825" s="28"/>
      <c r="Q825" s="33" t="str">
        <f aca="false">IF(P825="","",IFERROR(VLOOKUP(P825,PARTNERS!$A$2:$B$30,2,0),""))</f>
        <v/>
      </c>
      <c r="R825" s="17" t="str">
        <f aca="false">IF(O825="","",IF(OR(P825="",Q825=""),0,(O825-N825)*IF(Q825&gt;1,Q825/100,Q825)))</f>
        <v/>
      </c>
      <c r="S825" s="31" t="str">
        <f aca="false">IF(O825="","",O825-R825)</f>
        <v/>
      </c>
      <c r="T825" s="28"/>
      <c r="U825" s="34" t="str">
        <f aca="false">IF(T825="","",IFERROR(VLOOKUP(T825,REPS!$A$2:$D$40,2,0),""))</f>
        <v/>
      </c>
      <c r="V825" s="31" t="str">
        <f aca="false">IF(O825="","",IF(U825="",0,O825*IF(U825&gt;1,U825/100,U825)))</f>
        <v/>
      </c>
      <c r="W825" s="28"/>
      <c r="X825" s="34" t="str">
        <f aca="false">IF(W825="","",IFERROR(VLOOKUP(W825,REPS!$A$2:$D$40,3,0),""))</f>
        <v/>
      </c>
      <c r="Y825" s="31" t="str">
        <f aca="false">IF(O825="","",IF(X825="",0,O825*IF(X825&gt;1,X825/100,X825)))</f>
        <v/>
      </c>
      <c r="Z825" s="28"/>
      <c r="AA825" s="34" t="str">
        <f aca="false">IF(Z825="","",IFERROR(VLOOKUP(Z825,REPS!$A$2:$D$40,4,0),""))</f>
        <v/>
      </c>
      <c r="AB825" s="31" t="str">
        <f aca="false">IF(O825="","",IF(AA825="",0,O825*IF(AA825&gt;1,AA825/100,AA825)))</f>
        <v/>
      </c>
      <c r="AC825" s="31" t="str">
        <f aca="false">IF(O825="","",V825+Y825+AB825)</f>
        <v/>
      </c>
      <c r="AD825" s="19" t="str">
        <f aca="false">IF(O825="","",O825-R825-AC825)</f>
        <v/>
      </c>
      <c r="AE825" s="20"/>
      <c r="AF825" s="27"/>
      <c r="AG825" s="21" t="n">
        <f aca="false">IF(OR(AE825="",AE825=0),0,AE825*IF(U825="",0,IF(U825&gt;1,U825/100,U825)))</f>
        <v>0</v>
      </c>
      <c r="AH825" s="21" t="n">
        <f aca="false">IF(OR(AE825="",AE825=0),0,AE825*IF(X825="",0,IF(X825&gt;1,X825/100,X825)))</f>
        <v>0</v>
      </c>
      <c r="AI825" s="21" t="n">
        <f aca="false">IF(OR(AE825="",AE825=0),0,AE825*IF(AA825="",0,IF(AA825&gt;1,AA825/100,AA825)))</f>
        <v>0</v>
      </c>
      <c r="AJ825" s="21" t="n">
        <f aca="false">AG825+AH825+AI825</f>
        <v>0</v>
      </c>
      <c r="AK825" s="21" t="n">
        <f aca="false">IF(OR(AE825="",AE825=0),0,AE825-AJ825)</f>
        <v>0</v>
      </c>
      <c r="AL825" s="19" t="str">
        <f aca="false">IF(AD825="","",AD825-AK825)</f>
        <v/>
      </c>
      <c r="AM825" s="26" t="str">
        <f aca="false">IF(C825="","","Waiting for payment")</f>
        <v/>
      </c>
      <c r="AN825" s="27"/>
      <c r="AO825" s="27"/>
      <c r="AP825" s="35" t="str">
        <f aca="false">IF(OR(C825="",I825="",K825=""),"",IF(K825="Monthly",EDATE(C825,ROUND(I825*SETTINGS!$I$8,0)),WORKDAY(C825,ROUND(I825*SETTINGS!$I$8,0))))</f>
        <v/>
      </c>
      <c r="AQ825" s="26" t="str">
        <f aca="true">IF(C825="","",IF(AND(AP825&lt;&gt;"",TODAY()&gt;=AP825),"Refi Ready",IF(TODAY()-C825&gt;=SETTINGS!$I$11,"Prospecting","Performing")))</f>
        <v/>
      </c>
      <c r="AR825" s="35" t="str">
        <f aca="false">IF(OR(C825="",I825="",K825=""),"",IF(K825="Monthly",EDATE(C825,I825),WORKDAY(C825,I825)))</f>
        <v/>
      </c>
      <c r="AS825" s="28"/>
      <c r="AT825" s="36" t="str">
        <f aca="true">IF(C825="","",IF(AM825="Clawed Back","CLAWED",IF(TODAY()&lt;=C825+SETTINGS!$I$2,"⚠ AT RISK","SAFE")))</f>
        <v/>
      </c>
      <c r="AU825" s="28"/>
      <c r="AW825" s="24" t="n">
        <f aca="false">AW824+IF(AND(C825&lt;&gt;"",AO825&lt;&gt;"",OR('REP COMMISSION'!$B$3="",T825='REP COMMISSION'!$B$3,W825='REP COMMISSION'!$B$3,Z825='REP COMMISSION'!$B$3)),1,0)</f>
        <v>0</v>
      </c>
      <c r="AX825" s="24" t="n">
        <f aca="false">AX824+IF(AND(C825&lt;&gt;"",OR(F825="LOC - INITIAL",F825="CONSOLIDATION - UPFRONT COMM",F825="REVERSE - TOTAL FUNDING")),1,0)</f>
        <v>0</v>
      </c>
    </row>
    <row r="826" customFormat="false" ht="15" hidden="false" customHeight="false" outlineLevel="0" collapsed="false">
      <c r="A826" s="8" t="str">
        <f aca="false">IF(C826&lt;&gt;"","F27-"&amp;COUNT($C$4:C826),"")</f>
        <v/>
      </c>
      <c r="B826" s="9" t="str">
        <f aca="false">IF(OR(F826="LOC - INITIAL",F826="CONSOLIDATION - UPFRONT COMM",F826="REVERSE - TOTAL FUNDING"),A826,"")</f>
        <v/>
      </c>
      <c r="C826" s="10"/>
      <c r="D826" s="11"/>
      <c r="E826" s="11"/>
      <c r="F826" s="11"/>
      <c r="G826" s="12"/>
      <c r="H826" s="13"/>
      <c r="I826" s="11"/>
      <c r="J826" s="14" t="str">
        <f aca="false">IF(AND(G826&lt;&gt;"",H826&lt;&gt;""),G826*H826,"")</f>
        <v/>
      </c>
      <c r="K826" s="11"/>
      <c r="L826" s="15"/>
      <c r="M826" s="15"/>
      <c r="N826" s="14" t="n">
        <f aca="false">IF(OR(G826="",M826=""),0,IF(M826&gt;100,M826,G826*IF(M826&gt;1,M826/100,M826)))</f>
        <v>0</v>
      </c>
      <c r="O826" s="14" t="str">
        <f aca="false">IF(G826="","",G826*IF(L826="",0,IF(L826&gt;1,L826/100,L826))+N826)</f>
        <v/>
      </c>
      <c r="P826" s="11"/>
      <c r="Q826" s="16" t="str">
        <f aca="false">IF(P826="","",IFERROR(VLOOKUP(P826,PARTNERS!$A$2:$B$30,2,0),""))</f>
        <v/>
      </c>
      <c r="R826" s="17" t="str">
        <f aca="false">IF(O826="","",IF(OR(P826="",Q826=""),0,(O826-N826)*IF(Q826&gt;1,Q826/100,Q826)))</f>
        <v/>
      </c>
      <c r="S826" s="14" t="str">
        <f aca="false">IF(O826="","",O826-R826)</f>
        <v/>
      </c>
      <c r="T826" s="11"/>
      <c r="U826" s="18" t="str">
        <f aca="false">IF(T826="","",IFERROR(VLOOKUP(T826,REPS!$A$2:$D$40,2,0),""))</f>
        <v/>
      </c>
      <c r="V826" s="14" t="str">
        <f aca="false">IF(O826="","",IF(U826="",0,O826*IF(U826&gt;1,U826/100,U826)))</f>
        <v/>
      </c>
      <c r="W826" s="11"/>
      <c r="X826" s="18" t="str">
        <f aca="false">IF(W826="","",IFERROR(VLOOKUP(W826,REPS!$A$2:$D$40,3,0),""))</f>
        <v/>
      </c>
      <c r="Y826" s="14" t="str">
        <f aca="false">IF(O826="","",IF(X826="",0,O826*IF(X826&gt;1,X826/100,X826)))</f>
        <v/>
      </c>
      <c r="Z826" s="11"/>
      <c r="AA826" s="18" t="str">
        <f aca="false">IF(Z826="","",IFERROR(VLOOKUP(Z826,REPS!$A$2:$D$40,4,0),""))</f>
        <v/>
      </c>
      <c r="AB826" s="14" t="str">
        <f aca="false">IF(O826="","",IF(AA826="",0,O826*IF(AA826&gt;1,AA826/100,AA826)))</f>
        <v/>
      </c>
      <c r="AC826" s="14" t="str">
        <f aca="false">IF(O826="","",V826+Y826+AB826)</f>
        <v/>
      </c>
      <c r="AD826" s="19" t="str">
        <f aca="false">IF(O826="","",O826-R826-AC826)</f>
        <v/>
      </c>
      <c r="AE826" s="20"/>
      <c r="AF826" s="10"/>
      <c r="AG826" s="21" t="n">
        <f aca="false">IF(OR(AE826="",AE826=0),0,AE826*IF(U826="",0,IF(U826&gt;1,U826/100,U826)))</f>
        <v>0</v>
      </c>
      <c r="AH826" s="21" t="n">
        <f aca="false">IF(OR(AE826="",AE826=0),0,AE826*IF(X826="",0,IF(X826&gt;1,X826/100,X826)))</f>
        <v>0</v>
      </c>
      <c r="AI826" s="21" t="n">
        <f aca="false">IF(OR(AE826="",AE826=0),0,AE826*IF(AA826="",0,IF(AA826&gt;1,AA826/100,AA826)))</f>
        <v>0</v>
      </c>
      <c r="AJ826" s="21" t="n">
        <f aca="false">AG826+AH826+AI826</f>
        <v>0</v>
      </c>
      <c r="AK826" s="21" t="n">
        <f aca="false">IF(OR(AE826="",AE826=0),0,AE826-AJ826)</f>
        <v>0</v>
      </c>
      <c r="AL826" s="19" t="str">
        <f aca="false">IF(AD826="","",AD826-AK826)</f>
        <v/>
      </c>
      <c r="AM826" s="9" t="str">
        <f aca="false">IF(C826="","","Waiting for payment")</f>
        <v/>
      </c>
      <c r="AN826" s="10"/>
      <c r="AO826" s="10"/>
      <c r="AP826" s="22" t="str">
        <f aca="false">IF(OR(C826="",I826="",K826=""),"",IF(K826="Monthly",EDATE(C826,ROUND(I826*SETTINGS!$I$8,0)),WORKDAY(C826,ROUND(I826*SETTINGS!$I$8,0))))</f>
        <v/>
      </c>
      <c r="AQ826" s="9" t="str">
        <f aca="true">IF(C826="","",IF(AND(AP826&lt;&gt;"",TODAY()&gt;=AP826),"Refi Ready",IF(TODAY()-C826&gt;=SETTINGS!$I$11,"Prospecting","Performing")))</f>
        <v/>
      </c>
      <c r="AR826" s="22" t="str">
        <f aca="false">IF(OR(C826="",I826="",K826=""),"",IF(K826="Monthly",EDATE(C826,I826),WORKDAY(C826,I826)))</f>
        <v/>
      </c>
      <c r="AS826" s="11"/>
      <c r="AT826" s="23" t="str">
        <f aca="true">IF(C826="","",IF(AM826="Clawed Back","CLAWED",IF(TODAY()&lt;=C826+SETTINGS!$I$2,"⚠ AT RISK","SAFE")))</f>
        <v/>
      </c>
      <c r="AU826" s="11"/>
      <c r="AW826" s="24" t="n">
        <f aca="false">AW825+IF(AND(C826&lt;&gt;"",AO826&lt;&gt;"",OR('REP COMMISSION'!$B$3="",T826='REP COMMISSION'!$B$3,W826='REP COMMISSION'!$B$3,Z826='REP COMMISSION'!$B$3)),1,0)</f>
        <v>0</v>
      </c>
      <c r="AX826" s="24" t="n">
        <f aca="false">AX825+IF(AND(C826&lt;&gt;"",OR(F826="LOC - INITIAL",F826="CONSOLIDATION - UPFRONT COMM",F826="REVERSE - TOTAL FUNDING")),1,0)</f>
        <v>0</v>
      </c>
    </row>
    <row r="827" customFormat="false" ht="15" hidden="false" customHeight="false" outlineLevel="0" collapsed="false">
      <c r="A827" s="25" t="str">
        <f aca="false">IF(C827&lt;&gt;"","F27-"&amp;COUNT($C$4:C827),"")</f>
        <v/>
      </c>
      <c r="B827" s="26" t="str">
        <f aca="false">IF(OR(F827="LOC - INITIAL",F827="CONSOLIDATION - UPFRONT COMM",F827="REVERSE - TOTAL FUNDING"),A827,"")</f>
        <v/>
      </c>
      <c r="C827" s="27"/>
      <c r="D827" s="28"/>
      <c r="E827" s="28"/>
      <c r="F827" s="28"/>
      <c r="G827" s="29"/>
      <c r="H827" s="30"/>
      <c r="I827" s="28"/>
      <c r="J827" s="31" t="str">
        <f aca="false">IF(AND(G827&lt;&gt;"",H827&lt;&gt;""),G827*H827,"")</f>
        <v/>
      </c>
      <c r="K827" s="28"/>
      <c r="L827" s="32"/>
      <c r="M827" s="32"/>
      <c r="N827" s="31" t="n">
        <f aca="false">IF(OR(G827="",M827=""),0,IF(M827&gt;100,M827,G827*IF(M827&gt;1,M827/100,M827)))</f>
        <v>0</v>
      </c>
      <c r="O827" s="31" t="str">
        <f aca="false">IF(G827="","",G827*IF(L827="",0,IF(L827&gt;1,L827/100,L827))+N827)</f>
        <v/>
      </c>
      <c r="P827" s="28"/>
      <c r="Q827" s="33" t="str">
        <f aca="false">IF(P827="","",IFERROR(VLOOKUP(P827,PARTNERS!$A$2:$B$30,2,0),""))</f>
        <v/>
      </c>
      <c r="R827" s="17" t="str">
        <f aca="false">IF(O827="","",IF(OR(P827="",Q827=""),0,(O827-N827)*IF(Q827&gt;1,Q827/100,Q827)))</f>
        <v/>
      </c>
      <c r="S827" s="31" t="str">
        <f aca="false">IF(O827="","",O827-R827)</f>
        <v/>
      </c>
      <c r="T827" s="28"/>
      <c r="U827" s="34" t="str">
        <f aca="false">IF(T827="","",IFERROR(VLOOKUP(T827,REPS!$A$2:$D$40,2,0),""))</f>
        <v/>
      </c>
      <c r="V827" s="31" t="str">
        <f aca="false">IF(O827="","",IF(U827="",0,O827*IF(U827&gt;1,U827/100,U827)))</f>
        <v/>
      </c>
      <c r="W827" s="28"/>
      <c r="X827" s="34" t="str">
        <f aca="false">IF(W827="","",IFERROR(VLOOKUP(W827,REPS!$A$2:$D$40,3,0),""))</f>
        <v/>
      </c>
      <c r="Y827" s="31" t="str">
        <f aca="false">IF(O827="","",IF(X827="",0,O827*IF(X827&gt;1,X827/100,X827)))</f>
        <v/>
      </c>
      <c r="Z827" s="28"/>
      <c r="AA827" s="34" t="str">
        <f aca="false">IF(Z827="","",IFERROR(VLOOKUP(Z827,REPS!$A$2:$D$40,4,0),""))</f>
        <v/>
      </c>
      <c r="AB827" s="31" t="str">
        <f aca="false">IF(O827="","",IF(AA827="",0,O827*IF(AA827&gt;1,AA827/100,AA827)))</f>
        <v/>
      </c>
      <c r="AC827" s="31" t="str">
        <f aca="false">IF(O827="","",V827+Y827+AB827)</f>
        <v/>
      </c>
      <c r="AD827" s="19" t="str">
        <f aca="false">IF(O827="","",O827-R827-AC827)</f>
        <v/>
      </c>
      <c r="AE827" s="20"/>
      <c r="AF827" s="27"/>
      <c r="AG827" s="21" t="n">
        <f aca="false">IF(OR(AE827="",AE827=0),0,AE827*IF(U827="",0,IF(U827&gt;1,U827/100,U827)))</f>
        <v>0</v>
      </c>
      <c r="AH827" s="21" t="n">
        <f aca="false">IF(OR(AE827="",AE827=0),0,AE827*IF(X827="",0,IF(X827&gt;1,X827/100,X827)))</f>
        <v>0</v>
      </c>
      <c r="AI827" s="21" t="n">
        <f aca="false">IF(OR(AE827="",AE827=0),0,AE827*IF(AA827="",0,IF(AA827&gt;1,AA827/100,AA827)))</f>
        <v>0</v>
      </c>
      <c r="AJ827" s="21" t="n">
        <f aca="false">AG827+AH827+AI827</f>
        <v>0</v>
      </c>
      <c r="AK827" s="21" t="n">
        <f aca="false">IF(OR(AE827="",AE827=0),0,AE827-AJ827)</f>
        <v>0</v>
      </c>
      <c r="AL827" s="19" t="str">
        <f aca="false">IF(AD827="","",AD827-AK827)</f>
        <v/>
      </c>
      <c r="AM827" s="26" t="str">
        <f aca="false">IF(C827="","","Waiting for payment")</f>
        <v/>
      </c>
      <c r="AN827" s="27"/>
      <c r="AO827" s="27"/>
      <c r="AP827" s="35" t="str">
        <f aca="false">IF(OR(C827="",I827="",K827=""),"",IF(K827="Monthly",EDATE(C827,ROUND(I827*SETTINGS!$I$8,0)),WORKDAY(C827,ROUND(I827*SETTINGS!$I$8,0))))</f>
        <v/>
      </c>
      <c r="AQ827" s="26" t="str">
        <f aca="true">IF(C827="","",IF(AND(AP827&lt;&gt;"",TODAY()&gt;=AP827),"Refi Ready",IF(TODAY()-C827&gt;=SETTINGS!$I$11,"Prospecting","Performing")))</f>
        <v/>
      </c>
      <c r="AR827" s="35" t="str">
        <f aca="false">IF(OR(C827="",I827="",K827=""),"",IF(K827="Monthly",EDATE(C827,I827),WORKDAY(C827,I827)))</f>
        <v/>
      </c>
      <c r="AS827" s="28"/>
      <c r="AT827" s="36" t="str">
        <f aca="true">IF(C827="","",IF(AM827="Clawed Back","CLAWED",IF(TODAY()&lt;=C827+SETTINGS!$I$2,"⚠ AT RISK","SAFE")))</f>
        <v/>
      </c>
      <c r="AU827" s="28"/>
      <c r="AW827" s="24" t="n">
        <f aca="false">AW826+IF(AND(C827&lt;&gt;"",AO827&lt;&gt;"",OR('REP COMMISSION'!$B$3="",T827='REP COMMISSION'!$B$3,W827='REP COMMISSION'!$B$3,Z827='REP COMMISSION'!$B$3)),1,0)</f>
        <v>0</v>
      </c>
      <c r="AX827" s="24" t="n">
        <f aca="false">AX826+IF(AND(C827&lt;&gt;"",OR(F827="LOC - INITIAL",F827="CONSOLIDATION - UPFRONT COMM",F827="REVERSE - TOTAL FUNDING")),1,0)</f>
        <v>0</v>
      </c>
    </row>
    <row r="828" customFormat="false" ht="15" hidden="false" customHeight="false" outlineLevel="0" collapsed="false">
      <c r="A828" s="8" t="str">
        <f aca="false">IF(C828&lt;&gt;"","F27-"&amp;COUNT($C$4:C828),"")</f>
        <v/>
      </c>
      <c r="B828" s="9" t="str">
        <f aca="false">IF(OR(F828="LOC - INITIAL",F828="CONSOLIDATION - UPFRONT COMM",F828="REVERSE - TOTAL FUNDING"),A828,"")</f>
        <v/>
      </c>
      <c r="C828" s="10"/>
      <c r="D828" s="11"/>
      <c r="E828" s="11"/>
      <c r="F828" s="11"/>
      <c r="G828" s="12"/>
      <c r="H828" s="13"/>
      <c r="I828" s="11"/>
      <c r="J828" s="14" t="str">
        <f aca="false">IF(AND(G828&lt;&gt;"",H828&lt;&gt;""),G828*H828,"")</f>
        <v/>
      </c>
      <c r="K828" s="11"/>
      <c r="L828" s="15"/>
      <c r="M828" s="15"/>
      <c r="N828" s="14" t="n">
        <f aca="false">IF(OR(G828="",M828=""),0,IF(M828&gt;100,M828,G828*IF(M828&gt;1,M828/100,M828)))</f>
        <v>0</v>
      </c>
      <c r="O828" s="14" t="str">
        <f aca="false">IF(G828="","",G828*IF(L828="",0,IF(L828&gt;1,L828/100,L828))+N828)</f>
        <v/>
      </c>
      <c r="P828" s="11"/>
      <c r="Q828" s="16" t="str">
        <f aca="false">IF(P828="","",IFERROR(VLOOKUP(P828,PARTNERS!$A$2:$B$30,2,0),""))</f>
        <v/>
      </c>
      <c r="R828" s="17" t="str">
        <f aca="false">IF(O828="","",IF(OR(P828="",Q828=""),0,(O828-N828)*IF(Q828&gt;1,Q828/100,Q828)))</f>
        <v/>
      </c>
      <c r="S828" s="14" t="str">
        <f aca="false">IF(O828="","",O828-R828)</f>
        <v/>
      </c>
      <c r="T828" s="11"/>
      <c r="U828" s="18" t="str">
        <f aca="false">IF(T828="","",IFERROR(VLOOKUP(T828,REPS!$A$2:$D$40,2,0),""))</f>
        <v/>
      </c>
      <c r="V828" s="14" t="str">
        <f aca="false">IF(O828="","",IF(U828="",0,O828*IF(U828&gt;1,U828/100,U828)))</f>
        <v/>
      </c>
      <c r="W828" s="11"/>
      <c r="X828" s="18" t="str">
        <f aca="false">IF(W828="","",IFERROR(VLOOKUP(W828,REPS!$A$2:$D$40,3,0),""))</f>
        <v/>
      </c>
      <c r="Y828" s="14" t="str">
        <f aca="false">IF(O828="","",IF(X828="",0,O828*IF(X828&gt;1,X828/100,X828)))</f>
        <v/>
      </c>
      <c r="Z828" s="11"/>
      <c r="AA828" s="18" t="str">
        <f aca="false">IF(Z828="","",IFERROR(VLOOKUP(Z828,REPS!$A$2:$D$40,4,0),""))</f>
        <v/>
      </c>
      <c r="AB828" s="14" t="str">
        <f aca="false">IF(O828="","",IF(AA828="",0,O828*IF(AA828&gt;1,AA828/100,AA828)))</f>
        <v/>
      </c>
      <c r="AC828" s="14" t="str">
        <f aca="false">IF(O828="","",V828+Y828+AB828)</f>
        <v/>
      </c>
      <c r="AD828" s="19" t="str">
        <f aca="false">IF(O828="","",O828-R828-AC828)</f>
        <v/>
      </c>
      <c r="AE828" s="20"/>
      <c r="AF828" s="10"/>
      <c r="AG828" s="21" t="n">
        <f aca="false">IF(OR(AE828="",AE828=0),0,AE828*IF(U828="",0,IF(U828&gt;1,U828/100,U828)))</f>
        <v>0</v>
      </c>
      <c r="AH828" s="21" t="n">
        <f aca="false">IF(OR(AE828="",AE828=0),0,AE828*IF(X828="",0,IF(X828&gt;1,X828/100,X828)))</f>
        <v>0</v>
      </c>
      <c r="AI828" s="21" t="n">
        <f aca="false">IF(OR(AE828="",AE828=0),0,AE828*IF(AA828="",0,IF(AA828&gt;1,AA828/100,AA828)))</f>
        <v>0</v>
      </c>
      <c r="AJ828" s="21" t="n">
        <f aca="false">AG828+AH828+AI828</f>
        <v>0</v>
      </c>
      <c r="AK828" s="21" t="n">
        <f aca="false">IF(OR(AE828="",AE828=0),0,AE828-AJ828)</f>
        <v>0</v>
      </c>
      <c r="AL828" s="19" t="str">
        <f aca="false">IF(AD828="","",AD828-AK828)</f>
        <v/>
      </c>
      <c r="AM828" s="9" t="str">
        <f aca="false">IF(C828="","","Waiting for payment")</f>
        <v/>
      </c>
      <c r="AN828" s="10"/>
      <c r="AO828" s="10"/>
      <c r="AP828" s="22" t="str">
        <f aca="false">IF(OR(C828="",I828="",K828=""),"",IF(K828="Monthly",EDATE(C828,ROUND(I828*SETTINGS!$I$8,0)),WORKDAY(C828,ROUND(I828*SETTINGS!$I$8,0))))</f>
        <v/>
      </c>
      <c r="AQ828" s="9" t="str">
        <f aca="true">IF(C828="","",IF(AND(AP828&lt;&gt;"",TODAY()&gt;=AP828),"Refi Ready",IF(TODAY()-C828&gt;=SETTINGS!$I$11,"Prospecting","Performing")))</f>
        <v/>
      </c>
      <c r="AR828" s="22" t="str">
        <f aca="false">IF(OR(C828="",I828="",K828=""),"",IF(K828="Monthly",EDATE(C828,I828),WORKDAY(C828,I828)))</f>
        <v/>
      </c>
      <c r="AS828" s="11"/>
      <c r="AT828" s="23" t="str">
        <f aca="true">IF(C828="","",IF(AM828="Clawed Back","CLAWED",IF(TODAY()&lt;=C828+SETTINGS!$I$2,"⚠ AT RISK","SAFE")))</f>
        <v/>
      </c>
      <c r="AU828" s="11"/>
      <c r="AW828" s="24" t="n">
        <f aca="false">AW827+IF(AND(C828&lt;&gt;"",AO828&lt;&gt;"",OR('REP COMMISSION'!$B$3="",T828='REP COMMISSION'!$B$3,W828='REP COMMISSION'!$B$3,Z828='REP COMMISSION'!$B$3)),1,0)</f>
        <v>0</v>
      </c>
      <c r="AX828" s="24" t="n">
        <f aca="false">AX827+IF(AND(C828&lt;&gt;"",OR(F828="LOC - INITIAL",F828="CONSOLIDATION - UPFRONT COMM",F828="REVERSE - TOTAL FUNDING")),1,0)</f>
        <v>0</v>
      </c>
    </row>
    <row r="829" customFormat="false" ht="15" hidden="false" customHeight="false" outlineLevel="0" collapsed="false">
      <c r="A829" s="25" t="str">
        <f aca="false">IF(C829&lt;&gt;"","F27-"&amp;COUNT($C$4:C829),"")</f>
        <v/>
      </c>
      <c r="B829" s="26" t="str">
        <f aca="false">IF(OR(F829="LOC - INITIAL",F829="CONSOLIDATION - UPFRONT COMM",F829="REVERSE - TOTAL FUNDING"),A829,"")</f>
        <v/>
      </c>
      <c r="C829" s="27"/>
      <c r="D829" s="28"/>
      <c r="E829" s="28"/>
      <c r="F829" s="28"/>
      <c r="G829" s="29"/>
      <c r="H829" s="30"/>
      <c r="I829" s="28"/>
      <c r="J829" s="31" t="str">
        <f aca="false">IF(AND(G829&lt;&gt;"",H829&lt;&gt;""),G829*H829,"")</f>
        <v/>
      </c>
      <c r="K829" s="28"/>
      <c r="L829" s="32"/>
      <c r="M829" s="32"/>
      <c r="N829" s="31" t="n">
        <f aca="false">IF(OR(G829="",M829=""),0,IF(M829&gt;100,M829,G829*IF(M829&gt;1,M829/100,M829)))</f>
        <v>0</v>
      </c>
      <c r="O829" s="31" t="str">
        <f aca="false">IF(G829="","",G829*IF(L829="",0,IF(L829&gt;1,L829/100,L829))+N829)</f>
        <v/>
      </c>
      <c r="P829" s="28"/>
      <c r="Q829" s="33" t="str">
        <f aca="false">IF(P829="","",IFERROR(VLOOKUP(P829,PARTNERS!$A$2:$B$30,2,0),""))</f>
        <v/>
      </c>
      <c r="R829" s="17" t="str">
        <f aca="false">IF(O829="","",IF(OR(P829="",Q829=""),0,(O829-N829)*IF(Q829&gt;1,Q829/100,Q829)))</f>
        <v/>
      </c>
      <c r="S829" s="31" t="str">
        <f aca="false">IF(O829="","",O829-R829)</f>
        <v/>
      </c>
      <c r="T829" s="28"/>
      <c r="U829" s="34" t="str">
        <f aca="false">IF(T829="","",IFERROR(VLOOKUP(T829,REPS!$A$2:$D$40,2,0),""))</f>
        <v/>
      </c>
      <c r="V829" s="31" t="str">
        <f aca="false">IF(O829="","",IF(U829="",0,O829*IF(U829&gt;1,U829/100,U829)))</f>
        <v/>
      </c>
      <c r="W829" s="28"/>
      <c r="X829" s="34" t="str">
        <f aca="false">IF(W829="","",IFERROR(VLOOKUP(W829,REPS!$A$2:$D$40,3,0),""))</f>
        <v/>
      </c>
      <c r="Y829" s="31" t="str">
        <f aca="false">IF(O829="","",IF(X829="",0,O829*IF(X829&gt;1,X829/100,X829)))</f>
        <v/>
      </c>
      <c r="Z829" s="28"/>
      <c r="AA829" s="34" t="str">
        <f aca="false">IF(Z829="","",IFERROR(VLOOKUP(Z829,REPS!$A$2:$D$40,4,0),""))</f>
        <v/>
      </c>
      <c r="AB829" s="31" t="str">
        <f aca="false">IF(O829="","",IF(AA829="",0,O829*IF(AA829&gt;1,AA829/100,AA829)))</f>
        <v/>
      </c>
      <c r="AC829" s="31" t="str">
        <f aca="false">IF(O829="","",V829+Y829+AB829)</f>
        <v/>
      </c>
      <c r="AD829" s="19" t="str">
        <f aca="false">IF(O829="","",O829-R829-AC829)</f>
        <v/>
      </c>
      <c r="AE829" s="20"/>
      <c r="AF829" s="27"/>
      <c r="AG829" s="21" t="n">
        <f aca="false">IF(OR(AE829="",AE829=0),0,AE829*IF(U829="",0,IF(U829&gt;1,U829/100,U829)))</f>
        <v>0</v>
      </c>
      <c r="AH829" s="21" t="n">
        <f aca="false">IF(OR(AE829="",AE829=0),0,AE829*IF(X829="",0,IF(X829&gt;1,X829/100,X829)))</f>
        <v>0</v>
      </c>
      <c r="AI829" s="21" t="n">
        <f aca="false">IF(OR(AE829="",AE829=0),0,AE829*IF(AA829="",0,IF(AA829&gt;1,AA829/100,AA829)))</f>
        <v>0</v>
      </c>
      <c r="AJ829" s="21" t="n">
        <f aca="false">AG829+AH829+AI829</f>
        <v>0</v>
      </c>
      <c r="AK829" s="21" t="n">
        <f aca="false">IF(OR(AE829="",AE829=0),0,AE829-AJ829)</f>
        <v>0</v>
      </c>
      <c r="AL829" s="19" t="str">
        <f aca="false">IF(AD829="","",AD829-AK829)</f>
        <v/>
      </c>
      <c r="AM829" s="26" t="str">
        <f aca="false">IF(C829="","","Waiting for payment")</f>
        <v/>
      </c>
      <c r="AN829" s="27"/>
      <c r="AO829" s="27"/>
      <c r="AP829" s="35" t="str">
        <f aca="false">IF(OR(C829="",I829="",K829=""),"",IF(K829="Monthly",EDATE(C829,ROUND(I829*SETTINGS!$I$8,0)),WORKDAY(C829,ROUND(I829*SETTINGS!$I$8,0))))</f>
        <v/>
      </c>
      <c r="AQ829" s="26" t="str">
        <f aca="true">IF(C829="","",IF(AND(AP829&lt;&gt;"",TODAY()&gt;=AP829),"Refi Ready",IF(TODAY()-C829&gt;=SETTINGS!$I$11,"Prospecting","Performing")))</f>
        <v/>
      </c>
      <c r="AR829" s="35" t="str">
        <f aca="false">IF(OR(C829="",I829="",K829=""),"",IF(K829="Monthly",EDATE(C829,I829),WORKDAY(C829,I829)))</f>
        <v/>
      </c>
      <c r="AS829" s="28"/>
      <c r="AT829" s="36" t="str">
        <f aca="true">IF(C829="","",IF(AM829="Clawed Back","CLAWED",IF(TODAY()&lt;=C829+SETTINGS!$I$2,"⚠ AT RISK","SAFE")))</f>
        <v/>
      </c>
      <c r="AU829" s="28"/>
      <c r="AW829" s="24" t="n">
        <f aca="false">AW828+IF(AND(C829&lt;&gt;"",AO829&lt;&gt;"",OR('REP COMMISSION'!$B$3="",T829='REP COMMISSION'!$B$3,W829='REP COMMISSION'!$B$3,Z829='REP COMMISSION'!$B$3)),1,0)</f>
        <v>0</v>
      </c>
      <c r="AX829" s="24" t="n">
        <f aca="false">AX828+IF(AND(C829&lt;&gt;"",OR(F829="LOC - INITIAL",F829="CONSOLIDATION - UPFRONT COMM",F829="REVERSE - TOTAL FUNDING")),1,0)</f>
        <v>0</v>
      </c>
    </row>
    <row r="830" customFormat="false" ht="15" hidden="false" customHeight="false" outlineLevel="0" collapsed="false">
      <c r="A830" s="8" t="str">
        <f aca="false">IF(C830&lt;&gt;"","F27-"&amp;COUNT($C$4:C830),"")</f>
        <v/>
      </c>
      <c r="B830" s="9" t="str">
        <f aca="false">IF(OR(F830="LOC - INITIAL",F830="CONSOLIDATION - UPFRONT COMM",F830="REVERSE - TOTAL FUNDING"),A830,"")</f>
        <v/>
      </c>
      <c r="C830" s="10"/>
      <c r="D830" s="11"/>
      <c r="E830" s="11"/>
      <c r="F830" s="11"/>
      <c r="G830" s="12"/>
      <c r="H830" s="13"/>
      <c r="I830" s="11"/>
      <c r="J830" s="14" t="str">
        <f aca="false">IF(AND(G830&lt;&gt;"",H830&lt;&gt;""),G830*H830,"")</f>
        <v/>
      </c>
      <c r="K830" s="11"/>
      <c r="L830" s="15"/>
      <c r="M830" s="15"/>
      <c r="N830" s="14" t="n">
        <f aca="false">IF(OR(G830="",M830=""),0,IF(M830&gt;100,M830,G830*IF(M830&gt;1,M830/100,M830)))</f>
        <v>0</v>
      </c>
      <c r="O830" s="14" t="str">
        <f aca="false">IF(G830="","",G830*IF(L830="",0,IF(L830&gt;1,L830/100,L830))+N830)</f>
        <v/>
      </c>
      <c r="P830" s="11"/>
      <c r="Q830" s="16" t="str">
        <f aca="false">IF(P830="","",IFERROR(VLOOKUP(P830,PARTNERS!$A$2:$B$30,2,0),""))</f>
        <v/>
      </c>
      <c r="R830" s="17" t="str">
        <f aca="false">IF(O830="","",IF(OR(P830="",Q830=""),0,(O830-N830)*IF(Q830&gt;1,Q830/100,Q830)))</f>
        <v/>
      </c>
      <c r="S830" s="14" t="str">
        <f aca="false">IF(O830="","",O830-R830)</f>
        <v/>
      </c>
      <c r="T830" s="11"/>
      <c r="U830" s="18" t="str">
        <f aca="false">IF(T830="","",IFERROR(VLOOKUP(T830,REPS!$A$2:$D$40,2,0),""))</f>
        <v/>
      </c>
      <c r="V830" s="14" t="str">
        <f aca="false">IF(O830="","",IF(U830="",0,O830*IF(U830&gt;1,U830/100,U830)))</f>
        <v/>
      </c>
      <c r="W830" s="11"/>
      <c r="X830" s="18" t="str">
        <f aca="false">IF(W830="","",IFERROR(VLOOKUP(W830,REPS!$A$2:$D$40,3,0),""))</f>
        <v/>
      </c>
      <c r="Y830" s="14" t="str">
        <f aca="false">IF(O830="","",IF(X830="",0,O830*IF(X830&gt;1,X830/100,X830)))</f>
        <v/>
      </c>
      <c r="Z830" s="11"/>
      <c r="AA830" s="18" t="str">
        <f aca="false">IF(Z830="","",IFERROR(VLOOKUP(Z830,REPS!$A$2:$D$40,4,0),""))</f>
        <v/>
      </c>
      <c r="AB830" s="14" t="str">
        <f aca="false">IF(O830="","",IF(AA830="",0,O830*IF(AA830&gt;1,AA830/100,AA830)))</f>
        <v/>
      </c>
      <c r="AC830" s="14" t="str">
        <f aca="false">IF(O830="","",V830+Y830+AB830)</f>
        <v/>
      </c>
      <c r="AD830" s="19" t="str">
        <f aca="false">IF(O830="","",O830-R830-AC830)</f>
        <v/>
      </c>
      <c r="AE830" s="20"/>
      <c r="AF830" s="10"/>
      <c r="AG830" s="21" t="n">
        <f aca="false">IF(OR(AE830="",AE830=0),0,AE830*IF(U830="",0,IF(U830&gt;1,U830/100,U830)))</f>
        <v>0</v>
      </c>
      <c r="AH830" s="21" t="n">
        <f aca="false">IF(OR(AE830="",AE830=0),0,AE830*IF(X830="",0,IF(X830&gt;1,X830/100,X830)))</f>
        <v>0</v>
      </c>
      <c r="AI830" s="21" t="n">
        <f aca="false">IF(OR(AE830="",AE830=0),0,AE830*IF(AA830="",0,IF(AA830&gt;1,AA830/100,AA830)))</f>
        <v>0</v>
      </c>
      <c r="AJ830" s="21" t="n">
        <f aca="false">AG830+AH830+AI830</f>
        <v>0</v>
      </c>
      <c r="AK830" s="21" t="n">
        <f aca="false">IF(OR(AE830="",AE830=0),0,AE830-AJ830)</f>
        <v>0</v>
      </c>
      <c r="AL830" s="19" t="str">
        <f aca="false">IF(AD830="","",AD830-AK830)</f>
        <v/>
      </c>
      <c r="AM830" s="9" t="str">
        <f aca="false">IF(C830="","","Waiting for payment")</f>
        <v/>
      </c>
      <c r="AN830" s="10"/>
      <c r="AO830" s="10"/>
      <c r="AP830" s="22" t="str">
        <f aca="false">IF(OR(C830="",I830="",K830=""),"",IF(K830="Monthly",EDATE(C830,ROUND(I830*SETTINGS!$I$8,0)),WORKDAY(C830,ROUND(I830*SETTINGS!$I$8,0))))</f>
        <v/>
      </c>
      <c r="AQ830" s="9" t="str">
        <f aca="true">IF(C830="","",IF(AND(AP830&lt;&gt;"",TODAY()&gt;=AP830),"Refi Ready",IF(TODAY()-C830&gt;=SETTINGS!$I$11,"Prospecting","Performing")))</f>
        <v/>
      </c>
      <c r="AR830" s="22" t="str">
        <f aca="false">IF(OR(C830="",I830="",K830=""),"",IF(K830="Monthly",EDATE(C830,I830),WORKDAY(C830,I830)))</f>
        <v/>
      </c>
      <c r="AS830" s="11"/>
      <c r="AT830" s="23" t="str">
        <f aca="true">IF(C830="","",IF(AM830="Clawed Back","CLAWED",IF(TODAY()&lt;=C830+SETTINGS!$I$2,"⚠ AT RISK","SAFE")))</f>
        <v/>
      </c>
      <c r="AU830" s="11"/>
      <c r="AW830" s="24" t="n">
        <f aca="false">AW829+IF(AND(C830&lt;&gt;"",AO830&lt;&gt;"",OR('REP COMMISSION'!$B$3="",T830='REP COMMISSION'!$B$3,W830='REP COMMISSION'!$B$3,Z830='REP COMMISSION'!$B$3)),1,0)</f>
        <v>0</v>
      </c>
      <c r="AX830" s="24" t="n">
        <f aca="false">AX829+IF(AND(C830&lt;&gt;"",OR(F830="LOC - INITIAL",F830="CONSOLIDATION - UPFRONT COMM",F830="REVERSE - TOTAL FUNDING")),1,0)</f>
        <v>0</v>
      </c>
    </row>
    <row r="831" customFormat="false" ht="15" hidden="false" customHeight="false" outlineLevel="0" collapsed="false">
      <c r="A831" s="25" t="str">
        <f aca="false">IF(C831&lt;&gt;"","F27-"&amp;COUNT($C$4:C831),"")</f>
        <v/>
      </c>
      <c r="B831" s="26" t="str">
        <f aca="false">IF(OR(F831="LOC - INITIAL",F831="CONSOLIDATION - UPFRONT COMM",F831="REVERSE - TOTAL FUNDING"),A831,"")</f>
        <v/>
      </c>
      <c r="C831" s="27"/>
      <c r="D831" s="28"/>
      <c r="E831" s="28"/>
      <c r="F831" s="28"/>
      <c r="G831" s="29"/>
      <c r="H831" s="30"/>
      <c r="I831" s="28"/>
      <c r="J831" s="31" t="str">
        <f aca="false">IF(AND(G831&lt;&gt;"",H831&lt;&gt;""),G831*H831,"")</f>
        <v/>
      </c>
      <c r="K831" s="28"/>
      <c r="L831" s="32"/>
      <c r="M831" s="32"/>
      <c r="N831" s="31" t="n">
        <f aca="false">IF(OR(G831="",M831=""),0,IF(M831&gt;100,M831,G831*IF(M831&gt;1,M831/100,M831)))</f>
        <v>0</v>
      </c>
      <c r="O831" s="31" t="str">
        <f aca="false">IF(G831="","",G831*IF(L831="",0,IF(L831&gt;1,L831/100,L831))+N831)</f>
        <v/>
      </c>
      <c r="P831" s="28"/>
      <c r="Q831" s="33" t="str">
        <f aca="false">IF(P831="","",IFERROR(VLOOKUP(P831,PARTNERS!$A$2:$B$30,2,0),""))</f>
        <v/>
      </c>
      <c r="R831" s="17" t="str">
        <f aca="false">IF(O831="","",IF(OR(P831="",Q831=""),0,(O831-N831)*IF(Q831&gt;1,Q831/100,Q831)))</f>
        <v/>
      </c>
      <c r="S831" s="31" t="str">
        <f aca="false">IF(O831="","",O831-R831)</f>
        <v/>
      </c>
      <c r="T831" s="28"/>
      <c r="U831" s="34" t="str">
        <f aca="false">IF(T831="","",IFERROR(VLOOKUP(T831,REPS!$A$2:$D$40,2,0),""))</f>
        <v/>
      </c>
      <c r="V831" s="31" t="str">
        <f aca="false">IF(O831="","",IF(U831="",0,O831*IF(U831&gt;1,U831/100,U831)))</f>
        <v/>
      </c>
      <c r="W831" s="28"/>
      <c r="X831" s="34" t="str">
        <f aca="false">IF(W831="","",IFERROR(VLOOKUP(W831,REPS!$A$2:$D$40,3,0),""))</f>
        <v/>
      </c>
      <c r="Y831" s="31" t="str">
        <f aca="false">IF(O831="","",IF(X831="",0,O831*IF(X831&gt;1,X831/100,X831)))</f>
        <v/>
      </c>
      <c r="Z831" s="28"/>
      <c r="AA831" s="34" t="str">
        <f aca="false">IF(Z831="","",IFERROR(VLOOKUP(Z831,REPS!$A$2:$D$40,4,0),""))</f>
        <v/>
      </c>
      <c r="AB831" s="31" t="str">
        <f aca="false">IF(O831="","",IF(AA831="",0,O831*IF(AA831&gt;1,AA831/100,AA831)))</f>
        <v/>
      </c>
      <c r="AC831" s="31" t="str">
        <f aca="false">IF(O831="","",V831+Y831+AB831)</f>
        <v/>
      </c>
      <c r="AD831" s="19" t="str">
        <f aca="false">IF(O831="","",O831-R831-AC831)</f>
        <v/>
      </c>
      <c r="AE831" s="20"/>
      <c r="AF831" s="27"/>
      <c r="AG831" s="21" t="n">
        <f aca="false">IF(OR(AE831="",AE831=0),0,AE831*IF(U831="",0,IF(U831&gt;1,U831/100,U831)))</f>
        <v>0</v>
      </c>
      <c r="AH831" s="21" t="n">
        <f aca="false">IF(OR(AE831="",AE831=0),0,AE831*IF(X831="",0,IF(X831&gt;1,X831/100,X831)))</f>
        <v>0</v>
      </c>
      <c r="AI831" s="21" t="n">
        <f aca="false">IF(OR(AE831="",AE831=0),0,AE831*IF(AA831="",0,IF(AA831&gt;1,AA831/100,AA831)))</f>
        <v>0</v>
      </c>
      <c r="AJ831" s="21" t="n">
        <f aca="false">AG831+AH831+AI831</f>
        <v>0</v>
      </c>
      <c r="AK831" s="21" t="n">
        <f aca="false">IF(OR(AE831="",AE831=0),0,AE831-AJ831)</f>
        <v>0</v>
      </c>
      <c r="AL831" s="19" t="str">
        <f aca="false">IF(AD831="","",AD831-AK831)</f>
        <v/>
      </c>
      <c r="AM831" s="26" t="str">
        <f aca="false">IF(C831="","","Waiting for payment")</f>
        <v/>
      </c>
      <c r="AN831" s="27"/>
      <c r="AO831" s="27"/>
      <c r="AP831" s="35" t="str">
        <f aca="false">IF(OR(C831="",I831="",K831=""),"",IF(K831="Monthly",EDATE(C831,ROUND(I831*SETTINGS!$I$8,0)),WORKDAY(C831,ROUND(I831*SETTINGS!$I$8,0))))</f>
        <v/>
      </c>
      <c r="AQ831" s="26" t="str">
        <f aca="true">IF(C831="","",IF(AND(AP831&lt;&gt;"",TODAY()&gt;=AP831),"Refi Ready",IF(TODAY()-C831&gt;=SETTINGS!$I$11,"Prospecting","Performing")))</f>
        <v/>
      </c>
      <c r="AR831" s="35" t="str">
        <f aca="false">IF(OR(C831="",I831="",K831=""),"",IF(K831="Monthly",EDATE(C831,I831),WORKDAY(C831,I831)))</f>
        <v/>
      </c>
      <c r="AS831" s="28"/>
      <c r="AT831" s="36" t="str">
        <f aca="true">IF(C831="","",IF(AM831="Clawed Back","CLAWED",IF(TODAY()&lt;=C831+SETTINGS!$I$2,"⚠ AT RISK","SAFE")))</f>
        <v/>
      </c>
      <c r="AU831" s="28"/>
      <c r="AW831" s="24" t="n">
        <f aca="false">AW830+IF(AND(C831&lt;&gt;"",AO831&lt;&gt;"",OR('REP COMMISSION'!$B$3="",T831='REP COMMISSION'!$B$3,W831='REP COMMISSION'!$B$3,Z831='REP COMMISSION'!$B$3)),1,0)</f>
        <v>0</v>
      </c>
      <c r="AX831" s="24" t="n">
        <f aca="false">AX830+IF(AND(C831&lt;&gt;"",OR(F831="LOC - INITIAL",F831="CONSOLIDATION - UPFRONT COMM",F831="REVERSE - TOTAL FUNDING")),1,0)</f>
        <v>0</v>
      </c>
    </row>
    <row r="832" customFormat="false" ht="15" hidden="false" customHeight="false" outlineLevel="0" collapsed="false">
      <c r="A832" s="8" t="str">
        <f aca="false">IF(C832&lt;&gt;"","F27-"&amp;COUNT($C$4:C832),"")</f>
        <v/>
      </c>
      <c r="B832" s="9" t="str">
        <f aca="false">IF(OR(F832="LOC - INITIAL",F832="CONSOLIDATION - UPFRONT COMM",F832="REVERSE - TOTAL FUNDING"),A832,"")</f>
        <v/>
      </c>
      <c r="C832" s="10"/>
      <c r="D832" s="11"/>
      <c r="E832" s="11"/>
      <c r="F832" s="11"/>
      <c r="G832" s="12"/>
      <c r="H832" s="13"/>
      <c r="I832" s="11"/>
      <c r="J832" s="14" t="str">
        <f aca="false">IF(AND(G832&lt;&gt;"",H832&lt;&gt;""),G832*H832,"")</f>
        <v/>
      </c>
      <c r="K832" s="11"/>
      <c r="L832" s="15"/>
      <c r="M832" s="15"/>
      <c r="N832" s="14" t="n">
        <f aca="false">IF(OR(G832="",M832=""),0,IF(M832&gt;100,M832,G832*IF(M832&gt;1,M832/100,M832)))</f>
        <v>0</v>
      </c>
      <c r="O832" s="14" t="str">
        <f aca="false">IF(G832="","",G832*IF(L832="",0,IF(L832&gt;1,L832/100,L832))+N832)</f>
        <v/>
      </c>
      <c r="P832" s="11"/>
      <c r="Q832" s="16" t="str">
        <f aca="false">IF(P832="","",IFERROR(VLOOKUP(P832,PARTNERS!$A$2:$B$30,2,0),""))</f>
        <v/>
      </c>
      <c r="R832" s="17" t="str">
        <f aca="false">IF(O832="","",IF(OR(P832="",Q832=""),0,(O832-N832)*IF(Q832&gt;1,Q832/100,Q832)))</f>
        <v/>
      </c>
      <c r="S832" s="14" t="str">
        <f aca="false">IF(O832="","",O832-R832)</f>
        <v/>
      </c>
      <c r="T832" s="11"/>
      <c r="U832" s="18" t="str">
        <f aca="false">IF(T832="","",IFERROR(VLOOKUP(T832,REPS!$A$2:$D$40,2,0),""))</f>
        <v/>
      </c>
      <c r="V832" s="14" t="str">
        <f aca="false">IF(O832="","",IF(U832="",0,O832*IF(U832&gt;1,U832/100,U832)))</f>
        <v/>
      </c>
      <c r="W832" s="11"/>
      <c r="X832" s="18" t="str">
        <f aca="false">IF(W832="","",IFERROR(VLOOKUP(W832,REPS!$A$2:$D$40,3,0),""))</f>
        <v/>
      </c>
      <c r="Y832" s="14" t="str">
        <f aca="false">IF(O832="","",IF(X832="",0,O832*IF(X832&gt;1,X832/100,X832)))</f>
        <v/>
      </c>
      <c r="Z832" s="11"/>
      <c r="AA832" s="18" t="str">
        <f aca="false">IF(Z832="","",IFERROR(VLOOKUP(Z832,REPS!$A$2:$D$40,4,0),""))</f>
        <v/>
      </c>
      <c r="AB832" s="14" t="str">
        <f aca="false">IF(O832="","",IF(AA832="",0,O832*IF(AA832&gt;1,AA832/100,AA832)))</f>
        <v/>
      </c>
      <c r="AC832" s="14" t="str">
        <f aca="false">IF(O832="","",V832+Y832+AB832)</f>
        <v/>
      </c>
      <c r="AD832" s="19" t="str">
        <f aca="false">IF(O832="","",O832-R832-AC832)</f>
        <v/>
      </c>
      <c r="AE832" s="20"/>
      <c r="AF832" s="10"/>
      <c r="AG832" s="21" t="n">
        <f aca="false">IF(OR(AE832="",AE832=0),0,AE832*IF(U832="",0,IF(U832&gt;1,U832/100,U832)))</f>
        <v>0</v>
      </c>
      <c r="AH832" s="21" t="n">
        <f aca="false">IF(OR(AE832="",AE832=0),0,AE832*IF(X832="",0,IF(X832&gt;1,X832/100,X832)))</f>
        <v>0</v>
      </c>
      <c r="AI832" s="21" t="n">
        <f aca="false">IF(OR(AE832="",AE832=0),0,AE832*IF(AA832="",0,IF(AA832&gt;1,AA832/100,AA832)))</f>
        <v>0</v>
      </c>
      <c r="AJ832" s="21" t="n">
        <f aca="false">AG832+AH832+AI832</f>
        <v>0</v>
      </c>
      <c r="AK832" s="21" t="n">
        <f aca="false">IF(OR(AE832="",AE832=0),0,AE832-AJ832)</f>
        <v>0</v>
      </c>
      <c r="AL832" s="19" t="str">
        <f aca="false">IF(AD832="","",AD832-AK832)</f>
        <v/>
      </c>
      <c r="AM832" s="9" t="str">
        <f aca="false">IF(C832="","","Waiting for payment")</f>
        <v/>
      </c>
      <c r="AN832" s="10"/>
      <c r="AO832" s="10"/>
      <c r="AP832" s="22" t="str">
        <f aca="false">IF(OR(C832="",I832="",K832=""),"",IF(K832="Monthly",EDATE(C832,ROUND(I832*SETTINGS!$I$8,0)),WORKDAY(C832,ROUND(I832*SETTINGS!$I$8,0))))</f>
        <v/>
      </c>
      <c r="AQ832" s="9" t="str">
        <f aca="true">IF(C832="","",IF(AND(AP832&lt;&gt;"",TODAY()&gt;=AP832),"Refi Ready",IF(TODAY()-C832&gt;=SETTINGS!$I$11,"Prospecting","Performing")))</f>
        <v/>
      </c>
      <c r="AR832" s="22" t="str">
        <f aca="false">IF(OR(C832="",I832="",K832=""),"",IF(K832="Monthly",EDATE(C832,I832),WORKDAY(C832,I832)))</f>
        <v/>
      </c>
      <c r="AS832" s="11"/>
      <c r="AT832" s="23" t="str">
        <f aca="true">IF(C832="","",IF(AM832="Clawed Back","CLAWED",IF(TODAY()&lt;=C832+SETTINGS!$I$2,"⚠ AT RISK","SAFE")))</f>
        <v/>
      </c>
      <c r="AU832" s="11"/>
      <c r="AW832" s="24" t="n">
        <f aca="false">AW831+IF(AND(C832&lt;&gt;"",AO832&lt;&gt;"",OR('REP COMMISSION'!$B$3="",T832='REP COMMISSION'!$B$3,W832='REP COMMISSION'!$B$3,Z832='REP COMMISSION'!$B$3)),1,0)</f>
        <v>0</v>
      </c>
      <c r="AX832" s="24" t="n">
        <f aca="false">AX831+IF(AND(C832&lt;&gt;"",OR(F832="LOC - INITIAL",F832="CONSOLIDATION - UPFRONT COMM",F832="REVERSE - TOTAL FUNDING")),1,0)</f>
        <v>0</v>
      </c>
    </row>
    <row r="833" customFormat="false" ht="15" hidden="false" customHeight="false" outlineLevel="0" collapsed="false">
      <c r="A833" s="25" t="str">
        <f aca="false">IF(C833&lt;&gt;"","F27-"&amp;COUNT($C$4:C833),"")</f>
        <v/>
      </c>
      <c r="B833" s="26" t="str">
        <f aca="false">IF(OR(F833="LOC - INITIAL",F833="CONSOLIDATION - UPFRONT COMM",F833="REVERSE - TOTAL FUNDING"),A833,"")</f>
        <v/>
      </c>
      <c r="C833" s="27"/>
      <c r="D833" s="28"/>
      <c r="E833" s="28"/>
      <c r="F833" s="28"/>
      <c r="G833" s="29"/>
      <c r="H833" s="30"/>
      <c r="I833" s="28"/>
      <c r="J833" s="31" t="str">
        <f aca="false">IF(AND(G833&lt;&gt;"",H833&lt;&gt;""),G833*H833,"")</f>
        <v/>
      </c>
      <c r="K833" s="28"/>
      <c r="L833" s="32"/>
      <c r="M833" s="32"/>
      <c r="N833" s="31" t="n">
        <f aca="false">IF(OR(G833="",M833=""),0,IF(M833&gt;100,M833,G833*IF(M833&gt;1,M833/100,M833)))</f>
        <v>0</v>
      </c>
      <c r="O833" s="31" t="str">
        <f aca="false">IF(G833="","",G833*IF(L833="",0,IF(L833&gt;1,L833/100,L833))+N833)</f>
        <v/>
      </c>
      <c r="P833" s="28"/>
      <c r="Q833" s="33" t="str">
        <f aca="false">IF(P833="","",IFERROR(VLOOKUP(P833,PARTNERS!$A$2:$B$30,2,0),""))</f>
        <v/>
      </c>
      <c r="R833" s="17" t="str">
        <f aca="false">IF(O833="","",IF(OR(P833="",Q833=""),0,(O833-N833)*IF(Q833&gt;1,Q833/100,Q833)))</f>
        <v/>
      </c>
      <c r="S833" s="31" t="str">
        <f aca="false">IF(O833="","",O833-R833)</f>
        <v/>
      </c>
      <c r="T833" s="28"/>
      <c r="U833" s="34" t="str">
        <f aca="false">IF(T833="","",IFERROR(VLOOKUP(T833,REPS!$A$2:$D$40,2,0),""))</f>
        <v/>
      </c>
      <c r="V833" s="31" t="str">
        <f aca="false">IF(O833="","",IF(U833="",0,O833*IF(U833&gt;1,U833/100,U833)))</f>
        <v/>
      </c>
      <c r="W833" s="28"/>
      <c r="X833" s="34" t="str">
        <f aca="false">IF(W833="","",IFERROR(VLOOKUP(W833,REPS!$A$2:$D$40,3,0),""))</f>
        <v/>
      </c>
      <c r="Y833" s="31" t="str">
        <f aca="false">IF(O833="","",IF(X833="",0,O833*IF(X833&gt;1,X833/100,X833)))</f>
        <v/>
      </c>
      <c r="Z833" s="28"/>
      <c r="AA833" s="34" t="str">
        <f aca="false">IF(Z833="","",IFERROR(VLOOKUP(Z833,REPS!$A$2:$D$40,4,0),""))</f>
        <v/>
      </c>
      <c r="AB833" s="31" t="str">
        <f aca="false">IF(O833="","",IF(AA833="",0,O833*IF(AA833&gt;1,AA833/100,AA833)))</f>
        <v/>
      </c>
      <c r="AC833" s="31" t="str">
        <f aca="false">IF(O833="","",V833+Y833+AB833)</f>
        <v/>
      </c>
      <c r="AD833" s="19" t="str">
        <f aca="false">IF(O833="","",O833-R833-AC833)</f>
        <v/>
      </c>
      <c r="AE833" s="20"/>
      <c r="AF833" s="27"/>
      <c r="AG833" s="21" t="n">
        <f aca="false">IF(OR(AE833="",AE833=0),0,AE833*IF(U833="",0,IF(U833&gt;1,U833/100,U833)))</f>
        <v>0</v>
      </c>
      <c r="AH833" s="21" t="n">
        <f aca="false">IF(OR(AE833="",AE833=0),0,AE833*IF(X833="",0,IF(X833&gt;1,X833/100,X833)))</f>
        <v>0</v>
      </c>
      <c r="AI833" s="21" t="n">
        <f aca="false">IF(OR(AE833="",AE833=0),0,AE833*IF(AA833="",0,IF(AA833&gt;1,AA833/100,AA833)))</f>
        <v>0</v>
      </c>
      <c r="AJ833" s="21" t="n">
        <f aca="false">AG833+AH833+AI833</f>
        <v>0</v>
      </c>
      <c r="AK833" s="21" t="n">
        <f aca="false">IF(OR(AE833="",AE833=0),0,AE833-AJ833)</f>
        <v>0</v>
      </c>
      <c r="AL833" s="19" t="str">
        <f aca="false">IF(AD833="","",AD833-AK833)</f>
        <v/>
      </c>
      <c r="AM833" s="26" t="str">
        <f aca="false">IF(C833="","","Waiting for payment")</f>
        <v/>
      </c>
      <c r="AN833" s="27"/>
      <c r="AO833" s="27"/>
      <c r="AP833" s="35" t="str">
        <f aca="false">IF(OR(C833="",I833="",K833=""),"",IF(K833="Monthly",EDATE(C833,ROUND(I833*SETTINGS!$I$8,0)),WORKDAY(C833,ROUND(I833*SETTINGS!$I$8,0))))</f>
        <v/>
      </c>
      <c r="AQ833" s="26" t="str">
        <f aca="true">IF(C833="","",IF(AND(AP833&lt;&gt;"",TODAY()&gt;=AP833),"Refi Ready",IF(TODAY()-C833&gt;=SETTINGS!$I$11,"Prospecting","Performing")))</f>
        <v/>
      </c>
      <c r="AR833" s="35" t="str">
        <f aca="false">IF(OR(C833="",I833="",K833=""),"",IF(K833="Monthly",EDATE(C833,I833),WORKDAY(C833,I833)))</f>
        <v/>
      </c>
      <c r="AS833" s="28"/>
      <c r="AT833" s="36" t="str">
        <f aca="true">IF(C833="","",IF(AM833="Clawed Back","CLAWED",IF(TODAY()&lt;=C833+SETTINGS!$I$2,"⚠ AT RISK","SAFE")))</f>
        <v/>
      </c>
      <c r="AU833" s="28"/>
      <c r="AW833" s="24" t="n">
        <f aca="false">AW832+IF(AND(C833&lt;&gt;"",AO833&lt;&gt;"",OR('REP COMMISSION'!$B$3="",T833='REP COMMISSION'!$B$3,W833='REP COMMISSION'!$B$3,Z833='REP COMMISSION'!$B$3)),1,0)</f>
        <v>0</v>
      </c>
      <c r="AX833" s="24" t="n">
        <f aca="false">AX832+IF(AND(C833&lt;&gt;"",OR(F833="LOC - INITIAL",F833="CONSOLIDATION - UPFRONT COMM",F833="REVERSE - TOTAL FUNDING")),1,0)</f>
        <v>0</v>
      </c>
    </row>
    <row r="834" customFormat="false" ht="15" hidden="false" customHeight="false" outlineLevel="0" collapsed="false">
      <c r="A834" s="8" t="str">
        <f aca="false">IF(C834&lt;&gt;"","F27-"&amp;COUNT($C$4:C834),"")</f>
        <v/>
      </c>
      <c r="B834" s="9" t="str">
        <f aca="false">IF(OR(F834="LOC - INITIAL",F834="CONSOLIDATION - UPFRONT COMM",F834="REVERSE - TOTAL FUNDING"),A834,"")</f>
        <v/>
      </c>
      <c r="C834" s="10"/>
      <c r="D834" s="11"/>
      <c r="E834" s="11"/>
      <c r="F834" s="11"/>
      <c r="G834" s="12"/>
      <c r="H834" s="13"/>
      <c r="I834" s="11"/>
      <c r="J834" s="14" t="str">
        <f aca="false">IF(AND(G834&lt;&gt;"",H834&lt;&gt;""),G834*H834,"")</f>
        <v/>
      </c>
      <c r="K834" s="11"/>
      <c r="L834" s="15"/>
      <c r="M834" s="15"/>
      <c r="N834" s="14" t="n">
        <f aca="false">IF(OR(G834="",M834=""),0,IF(M834&gt;100,M834,G834*IF(M834&gt;1,M834/100,M834)))</f>
        <v>0</v>
      </c>
      <c r="O834" s="14" t="str">
        <f aca="false">IF(G834="","",G834*IF(L834="",0,IF(L834&gt;1,L834/100,L834))+N834)</f>
        <v/>
      </c>
      <c r="P834" s="11"/>
      <c r="Q834" s="16" t="str">
        <f aca="false">IF(P834="","",IFERROR(VLOOKUP(P834,PARTNERS!$A$2:$B$30,2,0),""))</f>
        <v/>
      </c>
      <c r="R834" s="17" t="str">
        <f aca="false">IF(O834="","",IF(OR(P834="",Q834=""),0,(O834-N834)*IF(Q834&gt;1,Q834/100,Q834)))</f>
        <v/>
      </c>
      <c r="S834" s="14" t="str">
        <f aca="false">IF(O834="","",O834-R834)</f>
        <v/>
      </c>
      <c r="T834" s="11"/>
      <c r="U834" s="18" t="str">
        <f aca="false">IF(T834="","",IFERROR(VLOOKUP(T834,REPS!$A$2:$D$40,2,0),""))</f>
        <v/>
      </c>
      <c r="V834" s="14" t="str">
        <f aca="false">IF(O834="","",IF(U834="",0,O834*IF(U834&gt;1,U834/100,U834)))</f>
        <v/>
      </c>
      <c r="W834" s="11"/>
      <c r="X834" s="18" t="str">
        <f aca="false">IF(W834="","",IFERROR(VLOOKUP(W834,REPS!$A$2:$D$40,3,0),""))</f>
        <v/>
      </c>
      <c r="Y834" s="14" t="str">
        <f aca="false">IF(O834="","",IF(X834="",0,O834*IF(X834&gt;1,X834/100,X834)))</f>
        <v/>
      </c>
      <c r="Z834" s="11"/>
      <c r="AA834" s="18" t="str">
        <f aca="false">IF(Z834="","",IFERROR(VLOOKUP(Z834,REPS!$A$2:$D$40,4,0),""))</f>
        <v/>
      </c>
      <c r="AB834" s="14" t="str">
        <f aca="false">IF(O834="","",IF(AA834="",0,O834*IF(AA834&gt;1,AA834/100,AA834)))</f>
        <v/>
      </c>
      <c r="AC834" s="14" t="str">
        <f aca="false">IF(O834="","",V834+Y834+AB834)</f>
        <v/>
      </c>
      <c r="AD834" s="19" t="str">
        <f aca="false">IF(O834="","",O834-R834-AC834)</f>
        <v/>
      </c>
      <c r="AE834" s="20"/>
      <c r="AF834" s="10"/>
      <c r="AG834" s="21" t="n">
        <f aca="false">IF(OR(AE834="",AE834=0),0,AE834*IF(U834="",0,IF(U834&gt;1,U834/100,U834)))</f>
        <v>0</v>
      </c>
      <c r="AH834" s="21" t="n">
        <f aca="false">IF(OR(AE834="",AE834=0),0,AE834*IF(X834="",0,IF(X834&gt;1,X834/100,X834)))</f>
        <v>0</v>
      </c>
      <c r="AI834" s="21" t="n">
        <f aca="false">IF(OR(AE834="",AE834=0),0,AE834*IF(AA834="",0,IF(AA834&gt;1,AA834/100,AA834)))</f>
        <v>0</v>
      </c>
      <c r="AJ834" s="21" t="n">
        <f aca="false">AG834+AH834+AI834</f>
        <v>0</v>
      </c>
      <c r="AK834" s="21" t="n">
        <f aca="false">IF(OR(AE834="",AE834=0),0,AE834-AJ834)</f>
        <v>0</v>
      </c>
      <c r="AL834" s="19" t="str">
        <f aca="false">IF(AD834="","",AD834-AK834)</f>
        <v/>
      </c>
      <c r="AM834" s="9" t="str">
        <f aca="false">IF(C834="","","Waiting for payment")</f>
        <v/>
      </c>
      <c r="AN834" s="10"/>
      <c r="AO834" s="10"/>
      <c r="AP834" s="22" t="str">
        <f aca="false">IF(OR(C834="",I834="",K834=""),"",IF(K834="Monthly",EDATE(C834,ROUND(I834*SETTINGS!$I$8,0)),WORKDAY(C834,ROUND(I834*SETTINGS!$I$8,0))))</f>
        <v/>
      </c>
      <c r="AQ834" s="9" t="str">
        <f aca="true">IF(C834="","",IF(AND(AP834&lt;&gt;"",TODAY()&gt;=AP834),"Refi Ready",IF(TODAY()-C834&gt;=SETTINGS!$I$11,"Prospecting","Performing")))</f>
        <v/>
      </c>
      <c r="AR834" s="22" t="str">
        <f aca="false">IF(OR(C834="",I834="",K834=""),"",IF(K834="Monthly",EDATE(C834,I834),WORKDAY(C834,I834)))</f>
        <v/>
      </c>
      <c r="AS834" s="11"/>
      <c r="AT834" s="23" t="str">
        <f aca="true">IF(C834="","",IF(AM834="Clawed Back","CLAWED",IF(TODAY()&lt;=C834+SETTINGS!$I$2,"⚠ AT RISK","SAFE")))</f>
        <v/>
      </c>
      <c r="AU834" s="11"/>
      <c r="AW834" s="24" t="n">
        <f aca="false">AW833+IF(AND(C834&lt;&gt;"",AO834&lt;&gt;"",OR('REP COMMISSION'!$B$3="",T834='REP COMMISSION'!$B$3,W834='REP COMMISSION'!$B$3,Z834='REP COMMISSION'!$B$3)),1,0)</f>
        <v>0</v>
      </c>
      <c r="AX834" s="24" t="n">
        <f aca="false">AX833+IF(AND(C834&lt;&gt;"",OR(F834="LOC - INITIAL",F834="CONSOLIDATION - UPFRONT COMM",F834="REVERSE - TOTAL FUNDING")),1,0)</f>
        <v>0</v>
      </c>
    </row>
    <row r="835" customFormat="false" ht="15" hidden="false" customHeight="false" outlineLevel="0" collapsed="false">
      <c r="A835" s="25" t="str">
        <f aca="false">IF(C835&lt;&gt;"","F27-"&amp;COUNT($C$4:C835),"")</f>
        <v/>
      </c>
      <c r="B835" s="26" t="str">
        <f aca="false">IF(OR(F835="LOC - INITIAL",F835="CONSOLIDATION - UPFRONT COMM",F835="REVERSE - TOTAL FUNDING"),A835,"")</f>
        <v/>
      </c>
      <c r="C835" s="27"/>
      <c r="D835" s="28"/>
      <c r="E835" s="28"/>
      <c r="F835" s="28"/>
      <c r="G835" s="29"/>
      <c r="H835" s="30"/>
      <c r="I835" s="28"/>
      <c r="J835" s="31" t="str">
        <f aca="false">IF(AND(G835&lt;&gt;"",H835&lt;&gt;""),G835*H835,"")</f>
        <v/>
      </c>
      <c r="K835" s="28"/>
      <c r="L835" s="32"/>
      <c r="M835" s="32"/>
      <c r="N835" s="31" t="n">
        <f aca="false">IF(OR(G835="",M835=""),0,IF(M835&gt;100,M835,G835*IF(M835&gt;1,M835/100,M835)))</f>
        <v>0</v>
      </c>
      <c r="O835" s="31" t="str">
        <f aca="false">IF(G835="","",G835*IF(L835="",0,IF(L835&gt;1,L835/100,L835))+N835)</f>
        <v/>
      </c>
      <c r="P835" s="28"/>
      <c r="Q835" s="33" t="str">
        <f aca="false">IF(P835="","",IFERROR(VLOOKUP(P835,PARTNERS!$A$2:$B$30,2,0),""))</f>
        <v/>
      </c>
      <c r="R835" s="17" t="str">
        <f aca="false">IF(O835="","",IF(OR(P835="",Q835=""),0,(O835-N835)*IF(Q835&gt;1,Q835/100,Q835)))</f>
        <v/>
      </c>
      <c r="S835" s="31" t="str">
        <f aca="false">IF(O835="","",O835-R835)</f>
        <v/>
      </c>
      <c r="T835" s="28"/>
      <c r="U835" s="34" t="str">
        <f aca="false">IF(T835="","",IFERROR(VLOOKUP(T835,REPS!$A$2:$D$40,2,0),""))</f>
        <v/>
      </c>
      <c r="V835" s="31" t="str">
        <f aca="false">IF(O835="","",IF(U835="",0,O835*IF(U835&gt;1,U835/100,U835)))</f>
        <v/>
      </c>
      <c r="W835" s="28"/>
      <c r="X835" s="34" t="str">
        <f aca="false">IF(W835="","",IFERROR(VLOOKUP(W835,REPS!$A$2:$D$40,3,0),""))</f>
        <v/>
      </c>
      <c r="Y835" s="31" t="str">
        <f aca="false">IF(O835="","",IF(X835="",0,O835*IF(X835&gt;1,X835/100,X835)))</f>
        <v/>
      </c>
      <c r="Z835" s="28"/>
      <c r="AA835" s="34" t="str">
        <f aca="false">IF(Z835="","",IFERROR(VLOOKUP(Z835,REPS!$A$2:$D$40,4,0),""))</f>
        <v/>
      </c>
      <c r="AB835" s="31" t="str">
        <f aca="false">IF(O835="","",IF(AA835="",0,O835*IF(AA835&gt;1,AA835/100,AA835)))</f>
        <v/>
      </c>
      <c r="AC835" s="31" t="str">
        <f aca="false">IF(O835="","",V835+Y835+AB835)</f>
        <v/>
      </c>
      <c r="AD835" s="19" t="str">
        <f aca="false">IF(O835="","",O835-R835-AC835)</f>
        <v/>
      </c>
      <c r="AE835" s="20"/>
      <c r="AF835" s="27"/>
      <c r="AG835" s="21" t="n">
        <f aca="false">IF(OR(AE835="",AE835=0),0,AE835*IF(U835="",0,IF(U835&gt;1,U835/100,U835)))</f>
        <v>0</v>
      </c>
      <c r="AH835" s="21" t="n">
        <f aca="false">IF(OR(AE835="",AE835=0),0,AE835*IF(X835="",0,IF(X835&gt;1,X835/100,X835)))</f>
        <v>0</v>
      </c>
      <c r="AI835" s="21" t="n">
        <f aca="false">IF(OR(AE835="",AE835=0),0,AE835*IF(AA835="",0,IF(AA835&gt;1,AA835/100,AA835)))</f>
        <v>0</v>
      </c>
      <c r="AJ835" s="21" t="n">
        <f aca="false">AG835+AH835+AI835</f>
        <v>0</v>
      </c>
      <c r="AK835" s="21" t="n">
        <f aca="false">IF(OR(AE835="",AE835=0),0,AE835-AJ835)</f>
        <v>0</v>
      </c>
      <c r="AL835" s="19" t="str">
        <f aca="false">IF(AD835="","",AD835-AK835)</f>
        <v/>
      </c>
      <c r="AM835" s="26" t="str">
        <f aca="false">IF(C835="","","Waiting for payment")</f>
        <v/>
      </c>
      <c r="AN835" s="27"/>
      <c r="AO835" s="27"/>
      <c r="AP835" s="35" t="str">
        <f aca="false">IF(OR(C835="",I835="",K835=""),"",IF(K835="Monthly",EDATE(C835,ROUND(I835*SETTINGS!$I$8,0)),WORKDAY(C835,ROUND(I835*SETTINGS!$I$8,0))))</f>
        <v/>
      </c>
      <c r="AQ835" s="26" t="str">
        <f aca="true">IF(C835="","",IF(AND(AP835&lt;&gt;"",TODAY()&gt;=AP835),"Refi Ready",IF(TODAY()-C835&gt;=SETTINGS!$I$11,"Prospecting","Performing")))</f>
        <v/>
      </c>
      <c r="AR835" s="35" t="str">
        <f aca="false">IF(OR(C835="",I835="",K835=""),"",IF(K835="Monthly",EDATE(C835,I835),WORKDAY(C835,I835)))</f>
        <v/>
      </c>
      <c r="AS835" s="28"/>
      <c r="AT835" s="36" t="str">
        <f aca="true">IF(C835="","",IF(AM835="Clawed Back","CLAWED",IF(TODAY()&lt;=C835+SETTINGS!$I$2,"⚠ AT RISK","SAFE")))</f>
        <v/>
      </c>
      <c r="AU835" s="28"/>
      <c r="AW835" s="24" t="n">
        <f aca="false">AW834+IF(AND(C835&lt;&gt;"",AO835&lt;&gt;"",OR('REP COMMISSION'!$B$3="",T835='REP COMMISSION'!$B$3,W835='REP COMMISSION'!$B$3,Z835='REP COMMISSION'!$B$3)),1,0)</f>
        <v>0</v>
      </c>
      <c r="AX835" s="24" t="n">
        <f aca="false">AX834+IF(AND(C835&lt;&gt;"",OR(F835="LOC - INITIAL",F835="CONSOLIDATION - UPFRONT COMM",F835="REVERSE - TOTAL FUNDING")),1,0)</f>
        <v>0</v>
      </c>
    </row>
    <row r="836" customFormat="false" ht="15" hidden="false" customHeight="false" outlineLevel="0" collapsed="false">
      <c r="A836" s="8" t="str">
        <f aca="false">IF(C836&lt;&gt;"","F27-"&amp;COUNT($C$4:C836),"")</f>
        <v/>
      </c>
      <c r="B836" s="9" t="str">
        <f aca="false">IF(OR(F836="LOC - INITIAL",F836="CONSOLIDATION - UPFRONT COMM",F836="REVERSE - TOTAL FUNDING"),A836,"")</f>
        <v/>
      </c>
      <c r="C836" s="10"/>
      <c r="D836" s="11"/>
      <c r="E836" s="11"/>
      <c r="F836" s="11"/>
      <c r="G836" s="12"/>
      <c r="H836" s="13"/>
      <c r="I836" s="11"/>
      <c r="J836" s="14" t="str">
        <f aca="false">IF(AND(G836&lt;&gt;"",H836&lt;&gt;""),G836*H836,"")</f>
        <v/>
      </c>
      <c r="K836" s="11"/>
      <c r="L836" s="15"/>
      <c r="M836" s="15"/>
      <c r="N836" s="14" t="n">
        <f aca="false">IF(OR(G836="",M836=""),0,IF(M836&gt;100,M836,G836*IF(M836&gt;1,M836/100,M836)))</f>
        <v>0</v>
      </c>
      <c r="O836" s="14" t="str">
        <f aca="false">IF(G836="","",G836*IF(L836="",0,IF(L836&gt;1,L836/100,L836))+N836)</f>
        <v/>
      </c>
      <c r="P836" s="11"/>
      <c r="Q836" s="16" t="str">
        <f aca="false">IF(P836="","",IFERROR(VLOOKUP(P836,PARTNERS!$A$2:$B$30,2,0),""))</f>
        <v/>
      </c>
      <c r="R836" s="17" t="str">
        <f aca="false">IF(O836="","",IF(OR(P836="",Q836=""),0,(O836-N836)*IF(Q836&gt;1,Q836/100,Q836)))</f>
        <v/>
      </c>
      <c r="S836" s="14" t="str">
        <f aca="false">IF(O836="","",O836-R836)</f>
        <v/>
      </c>
      <c r="T836" s="11"/>
      <c r="U836" s="18" t="str">
        <f aca="false">IF(T836="","",IFERROR(VLOOKUP(T836,REPS!$A$2:$D$40,2,0),""))</f>
        <v/>
      </c>
      <c r="V836" s="14" t="str">
        <f aca="false">IF(O836="","",IF(U836="",0,O836*IF(U836&gt;1,U836/100,U836)))</f>
        <v/>
      </c>
      <c r="W836" s="11"/>
      <c r="X836" s="18" t="str">
        <f aca="false">IF(W836="","",IFERROR(VLOOKUP(W836,REPS!$A$2:$D$40,3,0),""))</f>
        <v/>
      </c>
      <c r="Y836" s="14" t="str">
        <f aca="false">IF(O836="","",IF(X836="",0,O836*IF(X836&gt;1,X836/100,X836)))</f>
        <v/>
      </c>
      <c r="Z836" s="11"/>
      <c r="AA836" s="18" t="str">
        <f aca="false">IF(Z836="","",IFERROR(VLOOKUP(Z836,REPS!$A$2:$D$40,4,0),""))</f>
        <v/>
      </c>
      <c r="AB836" s="14" t="str">
        <f aca="false">IF(O836="","",IF(AA836="",0,O836*IF(AA836&gt;1,AA836/100,AA836)))</f>
        <v/>
      </c>
      <c r="AC836" s="14" t="str">
        <f aca="false">IF(O836="","",V836+Y836+AB836)</f>
        <v/>
      </c>
      <c r="AD836" s="19" t="str">
        <f aca="false">IF(O836="","",O836-R836-AC836)</f>
        <v/>
      </c>
      <c r="AE836" s="20"/>
      <c r="AF836" s="10"/>
      <c r="AG836" s="21" t="n">
        <f aca="false">IF(OR(AE836="",AE836=0),0,AE836*IF(U836="",0,IF(U836&gt;1,U836/100,U836)))</f>
        <v>0</v>
      </c>
      <c r="AH836" s="21" t="n">
        <f aca="false">IF(OR(AE836="",AE836=0),0,AE836*IF(X836="",0,IF(X836&gt;1,X836/100,X836)))</f>
        <v>0</v>
      </c>
      <c r="AI836" s="21" t="n">
        <f aca="false">IF(OR(AE836="",AE836=0),0,AE836*IF(AA836="",0,IF(AA836&gt;1,AA836/100,AA836)))</f>
        <v>0</v>
      </c>
      <c r="AJ836" s="21" t="n">
        <f aca="false">AG836+AH836+AI836</f>
        <v>0</v>
      </c>
      <c r="AK836" s="21" t="n">
        <f aca="false">IF(OR(AE836="",AE836=0),0,AE836-AJ836)</f>
        <v>0</v>
      </c>
      <c r="AL836" s="19" t="str">
        <f aca="false">IF(AD836="","",AD836-AK836)</f>
        <v/>
      </c>
      <c r="AM836" s="9" t="str">
        <f aca="false">IF(C836="","","Waiting for payment")</f>
        <v/>
      </c>
      <c r="AN836" s="10"/>
      <c r="AO836" s="10"/>
      <c r="AP836" s="22" t="str">
        <f aca="false">IF(OR(C836="",I836="",K836=""),"",IF(K836="Monthly",EDATE(C836,ROUND(I836*SETTINGS!$I$8,0)),WORKDAY(C836,ROUND(I836*SETTINGS!$I$8,0))))</f>
        <v/>
      </c>
      <c r="AQ836" s="9" t="str">
        <f aca="true">IF(C836="","",IF(AND(AP836&lt;&gt;"",TODAY()&gt;=AP836),"Refi Ready",IF(TODAY()-C836&gt;=SETTINGS!$I$11,"Prospecting","Performing")))</f>
        <v/>
      </c>
      <c r="AR836" s="22" t="str">
        <f aca="false">IF(OR(C836="",I836="",K836=""),"",IF(K836="Monthly",EDATE(C836,I836),WORKDAY(C836,I836)))</f>
        <v/>
      </c>
      <c r="AS836" s="11"/>
      <c r="AT836" s="23" t="str">
        <f aca="true">IF(C836="","",IF(AM836="Clawed Back","CLAWED",IF(TODAY()&lt;=C836+SETTINGS!$I$2,"⚠ AT RISK","SAFE")))</f>
        <v/>
      </c>
      <c r="AU836" s="11"/>
      <c r="AW836" s="24" t="n">
        <f aca="false">AW835+IF(AND(C836&lt;&gt;"",AO836&lt;&gt;"",OR('REP COMMISSION'!$B$3="",T836='REP COMMISSION'!$B$3,W836='REP COMMISSION'!$B$3,Z836='REP COMMISSION'!$B$3)),1,0)</f>
        <v>0</v>
      </c>
      <c r="AX836" s="24" t="n">
        <f aca="false">AX835+IF(AND(C836&lt;&gt;"",OR(F836="LOC - INITIAL",F836="CONSOLIDATION - UPFRONT COMM",F836="REVERSE - TOTAL FUNDING")),1,0)</f>
        <v>0</v>
      </c>
    </row>
    <row r="837" customFormat="false" ht="15" hidden="false" customHeight="false" outlineLevel="0" collapsed="false">
      <c r="A837" s="25" t="str">
        <f aca="false">IF(C837&lt;&gt;"","F27-"&amp;COUNT($C$4:C837),"")</f>
        <v/>
      </c>
      <c r="B837" s="26" t="str">
        <f aca="false">IF(OR(F837="LOC - INITIAL",F837="CONSOLIDATION - UPFRONT COMM",F837="REVERSE - TOTAL FUNDING"),A837,"")</f>
        <v/>
      </c>
      <c r="C837" s="27"/>
      <c r="D837" s="28"/>
      <c r="E837" s="28"/>
      <c r="F837" s="28"/>
      <c r="G837" s="29"/>
      <c r="H837" s="30"/>
      <c r="I837" s="28"/>
      <c r="J837" s="31" t="str">
        <f aca="false">IF(AND(G837&lt;&gt;"",H837&lt;&gt;""),G837*H837,"")</f>
        <v/>
      </c>
      <c r="K837" s="28"/>
      <c r="L837" s="32"/>
      <c r="M837" s="32"/>
      <c r="N837" s="31" t="n">
        <f aca="false">IF(OR(G837="",M837=""),0,IF(M837&gt;100,M837,G837*IF(M837&gt;1,M837/100,M837)))</f>
        <v>0</v>
      </c>
      <c r="O837" s="31" t="str">
        <f aca="false">IF(G837="","",G837*IF(L837="",0,IF(L837&gt;1,L837/100,L837))+N837)</f>
        <v/>
      </c>
      <c r="P837" s="28"/>
      <c r="Q837" s="33" t="str">
        <f aca="false">IF(P837="","",IFERROR(VLOOKUP(P837,PARTNERS!$A$2:$B$30,2,0),""))</f>
        <v/>
      </c>
      <c r="R837" s="17" t="str">
        <f aca="false">IF(O837="","",IF(OR(P837="",Q837=""),0,(O837-N837)*IF(Q837&gt;1,Q837/100,Q837)))</f>
        <v/>
      </c>
      <c r="S837" s="31" t="str">
        <f aca="false">IF(O837="","",O837-R837)</f>
        <v/>
      </c>
      <c r="T837" s="28"/>
      <c r="U837" s="34" t="str">
        <f aca="false">IF(T837="","",IFERROR(VLOOKUP(T837,REPS!$A$2:$D$40,2,0),""))</f>
        <v/>
      </c>
      <c r="V837" s="31" t="str">
        <f aca="false">IF(O837="","",IF(U837="",0,O837*IF(U837&gt;1,U837/100,U837)))</f>
        <v/>
      </c>
      <c r="W837" s="28"/>
      <c r="X837" s="34" t="str">
        <f aca="false">IF(W837="","",IFERROR(VLOOKUP(W837,REPS!$A$2:$D$40,3,0),""))</f>
        <v/>
      </c>
      <c r="Y837" s="31" t="str">
        <f aca="false">IF(O837="","",IF(X837="",0,O837*IF(X837&gt;1,X837/100,X837)))</f>
        <v/>
      </c>
      <c r="Z837" s="28"/>
      <c r="AA837" s="34" t="str">
        <f aca="false">IF(Z837="","",IFERROR(VLOOKUP(Z837,REPS!$A$2:$D$40,4,0),""))</f>
        <v/>
      </c>
      <c r="AB837" s="31" t="str">
        <f aca="false">IF(O837="","",IF(AA837="",0,O837*IF(AA837&gt;1,AA837/100,AA837)))</f>
        <v/>
      </c>
      <c r="AC837" s="31" t="str">
        <f aca="false">IF(O837="","",V837+Y837+AB837)</f>
        <v/>
      </c>
      <c r="AD837" s="19" t="str">
        <f aca="false">IF(O837="","",O837-R837-AC837)</f>
        <v/>
      </c>
      <c r="AE837" s="20"/>
      <c r="AF837" s="27"/>
      <c r="AG837" s="21" t="n">
        <f aca="false">IF(OR(AE837="",AE837=0),0,AE837*IF(U837="",0,IF(U837&gt;1,U837/100,U837)))</f>
        <v>0</v>
      </c>
      <c r="AH837" s="21" t="n">
        <f aca="false">IF(OR(AE837="",AE837=0),0,AE837*IF(X837="",0,IF(X837&gt;1,X837/100,X837)))</f>
        <v>0</v>
      </c>
      <c r="AI837" s="21" t="n">
        <f aca="false">IF(OR(AE837="",AE837=0),0,AE837*IF(AA837="",0,IF(AA837&gt;1,AA837/100,AA837)))</f>
        <v>0</v>
      </c>
      <c r="AJ837" s="21" t="n">
        <f aca="false">AG837+AH837+AI837</f>
        <v>0</v>
      </c>
      <c r="AK837" s="21" t="n">
        <f aca="false">IF(OR(AE837="",AE837=0),0,AE837-AJ837)</f>
        <v>0</v>
      </c>
      <c r="AL837" s="19" t="str">
        <f aca="false">IF(AD837="","",AD837-AK837)</f>
        <v/>
      </c>
      <c r="AM837" s="26" t="str">
        <f aca="false">IF(C837="","","Waiting for payment")</f>
        <v/>
      </c>
      <c r="AN837" s="27"/>
      <c r="AO837" s="27"/>
      <c r="AP837" s="35" t="str">
        <f aca="false">IF(OR(C837="",I837="",K837=""),"",IF(K837="Monthly",EDATE(C837,ROUND(I837*SETTINGS!$I$8,0)),WORKDAY(C837,ROUND(I837*SETTINGS!$I$8,0))))</f>
        <v/>
      </c>
      <c r="AQ837" s="26" t="str">
        <f aca="true">IF(C837="","",IF(AND(AP837&lt;&gt;"",TODAY()&gt;=AP837),"Refi Ready",IF(TODAY()-C837&gt;=SETTINGS!$I$11,"Prospecting","Performing")))</f>
        <v/>
      </c>
      <c r="AR837" s="35" t="str">
        <f aca="false">IF(OR(C837="",I837="",K837=""),"",IF(K837="Monthly",EDATE(C837,I837),WORKDAY(C837,I837)))</f>
        <v/>
      </c>
      <c r="AS837" s="28"/>
      <c r="AT837" s="36" t="str">
        <f aca="true">IF(C837="","",IF(AM837="Clawed Back","CLAWED",IF(TODAY()&lt;=C837+SETTINGS!$I$2,"⚠ AT RISK","SAFE")))</f>
        <v/>
      </c>
      <c r="AU837" s="28"/>
      <c r="AW837" s="24" t="n">
        <f aca="false">AW836+IF(AND(C837&lt;&gt;"",AO837&lt;&gt;"",OR('REP COMMISSION'!$B$3="",T837='REP COMMISSION'!$B$3,W837='REP COMMISSION'!$B$3,Z837='REP COMMISSION'!$B$3)),1,0)</f>
        <v>0</v>
      </c>
      <c r="AX837" s="24" t="n">
        <f aca="false">AX836+IF(AND(C837&lt;&gt;"",OR(F837="LOC - INITIAL",F837="CONSOLIDATION - UPFRONT COMM",F837="REVERSE - TOTAL FUNDING")),1,0)</f>
        <v>0</v>
      </c>
    </row>
    <row r="838" customFormat="false" ht="15" hidden="false" customHeight="false" outlineLevel="0" collapsed="false">
      <c r="A838" s="8" t="str">
        <f aca="false">IF(C838&lt;&gt;"","F27-"&amp;COUNT($C$4:C838),"")</f>
        <v/>
      </c>
      <c r="B838" s="9" t="str">
        <f aca="false">IF(OR(F838="LOC - INITIAL",F838="CONSOLIDATION - UPFRONT COMM",F838="REVERSE - TOTAL FUNDING"),A838,"")</f>
        <v/>
      </c>
      <c r="C838" s="10"/>
      <c r="D838" s="11"/>
      <c r="E838" s="11"/>
      <c r="F838" s="11"/>
      <c r="G838" s="12"/>
      <c r="H838" s="13"/>
      <c r="I838" s="11"/>
      <c r="J838" s="14" t="str">
        <f aca="false">IF(AND(G838&lt;&gt;"",H838&lt;&gt;""),G838*H838,"")</f>
        <v/>
      </c>
      <c r="K838" s="11"/>
      <c r="L838" s="15"/>
      <c r="M838" s="15"/>
      <c r="N838" s="14" t="n">
        <f aca="false">IF(OR(G838="",M838=""),0,IF(M838&gt;100,M838,G838*IF(M838&gt;1,M838/100,M838)))</f>
        <v>0</v>
      </c>
      <c r="O838" s="14" t="str">
        <f aca="false">IF(G838="","",G838*IF(L838="",0,IF(L838&gt;1,L838/100,L838))+N838)</f>
        <v/>
      </c>
      <c r="P838" s="11"/>
      <c r="Q838" s="16" t="str">
        <f aca="false">IF(P838="","",IFERROR(VLOOKUP(P838,PARTNERS!$A$2:$B$30,2,0),""))</f>
        <v/>
      </c>
      <c r="R838" s="17" t="str">
        <f aca="false">IF(O838="","",IF(OR(P838="",Q838=""),0,(O838-N838)*IF(Q838&gt;1,Q838/100,Q838)))</f>
        <v/>
      </c>
      <c r="S838" s="14" t="str">
        <f aca="false">IF(O838="","",O838-R838)</f>
        <v/>
      </c>
      <c r="T838" s="11"/>
      <c r="U838" s="18" t="str">
        <f aca="false">IF(T838="","",IFERROR(VLOOKUP(T838,REPS!$A$2:$D$40,2,0),""))</f>
        <v/>
      </c>
      <c r="V838" s="14" t="str">
        <f aca="false">IF(O838="","",IF(U838="",0,O838*IF(U838&gt;1,U838/100,U838)))</f>
        <v/>
      </c>
      <c r="W838" s="11"/>
      <c r="X838" s="18" t="str">
        <f aca="false">IF(W838="","",IFERROR(VLOOKUP(W838,REPS!$A$2:$D$40,3,0),""))</f>
        <v/>
      </c>
      <c r="Y838" s="14" t="str">
        <f aca="false">IF(O838="","",IF(X838="",0,O838*IF(X838&gt;1,X838/100,X838)))</f>
        <v/>
      </c>
      <c r="Z838" s="11"/>
      <c r="AA838" s="18" t="str">
        <f aca="false">IF(Z838="","",IFERROR(VLOOKUP(Z838,REPS!$A$2:$D$40,4,0),""))</f>
        <v/>
      </c>
      <c r="AB838" s="14" t="str">
        <f aca="false">IF(O838="","",IF(AA838="",0,O838*IF(AA838&gt;1,AA838/100,AA838)))</f>
        <v/>
      </c>
      <c r="AC838" s="14" t="str">
        <f aca="false">IF(O838="","",V838+Y838+AB838)</f>
        <v/>
      </c>
      <c r="AD838" s="19" t="str">
        <f aca="false">IF(O838="","",O838-R838-AC838)</f>
        <v/>
      </c>
      <c r="AE838" s="20"/>
      <c r="AF838" s="10"/>
      <c r="AG838" s="21" t="n">
        <f aca="false">IF(OR(AE838="",AE838=0),0,AE838*IF(U838="",0,IF(U838&gt;1,U838/100,U838)))</f>
        <v>0</v>
      </c>
      <c r="AH838" s="21" t="n">
        <f aca="false">IF(OR(AE838="",AE838=0),0,AE838*IF(X838="",0,IF(X838&gt;1,X838/100,X838)))</f>
        <v>0</v>
      </c>
      <c r="AI838" s="21" t="n">
        <f aca="false">IF(OR(AE838="",AE838=0),0,AE838*IF(AA838="",0,IF(AA838&gt;1,AA838/100,AA838)))</f>
        <v>0</v>
      </c>
      <c r="AJ838" s="21" t="n">
        <f aca="false">AG838+AH838+AI838</f>
        <v>0</v>
      </c>
      <c r="AK838" s="21" t="n">
        <f aca="false">IF(OR(AE838="",AE838=0),0,AE838-AJ838)</f>
        <v>0</v>
      </c>
      <c r="AL838" s="19" t="str">
        <f aca="false">IF(AD838="","",AD838-AK838)</f>
        <v/>
      </c>
      <c r="AM838" s="9" t="str">
        <f aca="false">IF(C838="","","Waiting for payment")</f>
        <v/>
      </c>
      <c r="AN838" s="10"/>
      <c r="AO838" s="10"/>
      <c r="AP838" s="22" t="str">
        <f aca="false">IF(OR(C838="",I838="",K838=""),"",IF(K838="Monthly",EDATE(C838,ROUND(I838*SETTINGS!$I$8,0)),WORKDAY(C838,ROUND(I838*SETTINGS!$I$8,0))))</f>
        <v/>
      </c>
      <c r="AQ838" s="9" t="str">
        <f aca="true">IF(C838="","",IF(AND(AP838&lt;&gt;"",TODAY()&gt;=AP838),"Refi Ready",IF(TODAY()-C838&gt;=SETTINGS!$I$11,"Prospecting","Performing")))</f>
        <v/>
      </c>
      <c r="AR838" s="22" t="str">
        <f aca="false">IF(OR(C838="",I838="",K838=""),"",IF(K838="Monthly",EDATE(C838,I838),WORKDAY(C838,I838)))</f>
        <v/>
      </c>
      <c r="AS838" s="11"/>
      <c r="AT838" s="23" t="str">
        <f aca="true">IF(C838="","",IF(AM838="Clawed Back","CLAWED",IF(TODAY()&lt;=C838+SETTINGS!$I$2,"⚠ AT RISK","SAFE")))</f>
        <v/>
      </c>
      <c r="AU838" s="11"/>
      <c r="AW838" s="24" t="n">
        <f aca="false">AW837+IF(AND(C838&lt;&gt;"",AO838&lt;&gt;"",OR('REP COMMISSION'!$B$3="",T838='REP COMMISSION'!$B$3,W838='REP COMMISSION'!$B$3,Z838='REP COMMISSION'!$B$3)),1,0)</f>
        <v>0</v>
      </c>
      <c r="AX838" s="24" t="n">
        <f aca="false">AX837+IF(AND(C838&lt;&gt;"",OR(F838="LOC - INITIAL",F838="CONSOLIDATION - UPFRONT COMM",F838="REVERSE - TOTAL FUNDING")),1,0)</f>
        <v>0</v>
      </c>
    </row>
    <row r="839" customFormat="false" ht="15" hidden="false" customHeight="false" outlineLevel="0" collapsed="false">
      <c r="A839" s="25" t="str">
        <f aca="false">IF(C839&lt;&gt;"","F27-"&amp;COUNT($C$4:C839),"")</f>
        <v/>
      </c>
      <c r="B839" s="26" t="str">
        <f aca="false">IF(OR(F839="LOC - INITIAL",F839="CONSOLIDATION - UPFRONT COMM",F839="REVERSE - TOTAL FUNDING"),A839,"")</f>
        <v/>
      </c>
      <c r="C839" s="27"/>
      <c r="D839" s="28"/>
      <c r="E839" s="28"/>
      <c r="F839" s="28"/>
      <c r="G839" s="29"/>
      <c r="H839" s="30"/>
      <c r="I839" s="28"/>
      <c r="J839" s="31" t="str">
        <f aca="false">IF(AND(G839&lt;&gt;"",H839&lt;&gt;""),G839*H839,"")</f>
        <v/>
      </c>
      <c r="K839" s="28"/>
      <c r="L839" s="32"/>
      <c r="M839" s="32"/>
      <c r="N839" s="31" t="n">
        <f aca="false">IF(OR(G839="",M839=""),0,IF(M839&gt;100,M839,G839*IF(M839&gt;1,M839/100,M839)))</f>
        <v>0</v>
      </c>
      <c r="O839" s="31" t="str">
        <f aca="false">IF(G839="","",G839*IF(L839="",0,IF(L839&gt;1,L839/100,L839))+N839)</f>
        <v/>
      </c>
      <c r="P839" s="28"/>
      <c r="Q839" s="33" t="str">
        <f aca="false">IF(P839="","",IFERROR(VLOOKUP(P839,PARTNERS!$A$2:$B$30,2,0),""))</f>
        <v/>
      </c>
      <c r="R839" s="17" t="str">
        <f aca="false">IF(O839="","",IF(OR(P839="",Q839=""),0,(O839-N839)*IF(Q839&gt;1,Q839/100,Q839)))</f>
        <v/>
      </c>
      <c r="S839" s="31" t="str">
        <f aca="false">IF(O839="","",O839-R839)</f>
        <v/>
      </c>
      <c r="T839" s="28"/>
      <c r="U839" s="34" t="str">
        <f aca="false">IF(T839="","",IFERROR(VLOOKUP(T839,REPS!$A$2:$D$40,2,0),""))</f>
        <v/>
      </c>
      <c r="V839" s="31" t="str">
        <f aca="false">IF(O839="","",IF(U839="",0,O839*IF(U839&gt;1,U839/100,U839)))</f>
        <v/>
      </c>
      <c r="W839" s="28"/>
      <c r="X839" s="34" t="str">
        <f aca="false">IF(W839="","",IFERROR(VLOOKUP(W839,REPS!$A$2:$D$40,3,0),""))</f>
        <v/>
      </c>
      <c r="Y839" s="31" t="str">
        <f aca="false">IF(O839="","",IF(X839="",0,O839*IF(X839&gt;1,X839/100,X839)))</f>
        <v/>
      </c>
      <c r="Z839" s="28"/>
      <c r="AA839" s="34" t="str">
        <f aca="false">IF(Z839="","",IFERROR(VLOOKUP(Z839,REPS!$A$2:$D$40,4,0),""))</f>
        <v/>
      </c>
      <c r="AB839" s="31" t="str">
        <f aca="false">IF(O839="","",IF(AA839="",0,O839*IF(AA839&gt;1,AA839/100,AA839)))</f>
        <v/>
      </c>
      <c r="AC839" s="31" t="str">
        <f aca="false">IF(O839="","",V839+Y839+AB839)</f>
        <v/>
      </c>
      <c r="AD839" s="19" t="str">
        <f aca="false">IF(O839="","",O839-R839-AC839)</f>
        <v/>
      </c>
      <c r="AE839" s="20"/>
      <c r="AF839" s="27"/>
      <c r="AG839" s="21" t="n">
        <f aca="false">IF(OR(AE839="",AE839=0),0,AE839*IF(U839="",0,IF(U839&gt;1,U839/100,U839)))</f>
        <v>0</v>
      </c>
      <c r="AH839" s="21" t="n">
        <f aca="false">IF(OR(AE839="",AE839=0),0,AE839*IF(X839="",0,IF(X839&gt;1,X839/100,X839)))</f>
        <v>0</v>
      </c>
      <c r="AI839" s="21" t="n">
        <f aca="false">IF(OR(AE839="",AE839=0),0,AE839*IF(AA839="",0,IF(AA839&gt;1,AA839/100,AA839)))</f>
        <v>0</v>
      </c>
      <c r="AJ839" s="21" t="n">
        <f aca="false">AG839+AH839+AI839</f>
        <v>0</v>
      </c>
      <c r="AK839" s="21" t="n">
        <f aca="false">IF(OR(AE839="",AE839=0),0,AE839-AJ839)</f>
        <v>0</v>
      </c>
      <c r="AL839" s="19" t="str">
        <f aca="false">IF(AD839="","",AD839-AK839)</f>
        <v/>
      </c>
      <c r="AM839" s="26" t="str">
        <f aca="false">IF(C839="","","Waiting for payment")</f>
        <v/>
      </c>
      <c r="AN839" s="27"/>
      <c r="AO839" s="27"/>
      <c r="AP839" s="35" t="str">
        <f aca="false">IF(OR(C839="",I839="",K839=""),"",IF(K839="Monthly",EDATE(C839,ROUND(I839*SETTINGS!$I$8,0)),WORKDAY(C839,ROUND(I839*SETTINGS!$I$8,0))))</f>
        <v/>
      </c>
      <c r="AQ839" s="26" t="str">
        <f aca="true">IF(C839="","",IF(AND(AP839&lt;&gt;"",TODAY()&gt;=AP839),"Refi Ready",IF(TODAY()-C839&gt;=SETTINGS!$I$11,"Prospecting","Performing")))</f>
        <v/>
      </c>
      <c r="AR839" s="35" t="str">
        <f aca="false">IF(OR(C839="",I839="",K839=""),"",IF(K839="Monthly",EDATE(C839,I839),WORKDAY(C839,I839)))</f>
        <v/>
      </c>
      <c r="AS839" s="28"/>
      <c r="AT839" s="36" t="str">
        <f aca="true">IF(C839="","",IF(AM839="Clawed Back","CLAWED",IF(TODAY()&lt;=C839+SETTINGS!$I$2,"⚠ AT RISK","SAFE")))</f>
        <v/>
      </c>
      <c r="AU839" s="28"/>
      <c r="AW839" s="24" t="n">
        <f aca="false">AW838+IF(AND(C839&lt;&gt;"",AO839&lt;&gt;"",OR('REP COMMISSION'!$B$3="",T839='REP COMMISSION'!$B$3,W839='REP COMMISSION'!$B$3,Z839='REP COMMISSION'!$B$3)),1,0)</f>
        <v>0</v>
      </c>
      <c r="AX839" s="24" t="n">
        <f aca="false">AX838+IF(AND(C839&lt;&gt;"",OR(F839="LOC - INITIAL",F839="CONSOLIDATION - UPFRONT COMM",F839="REVERSE - TOTAL FUNDING")),1,0)</f>
        <v>0</v>
      </c>
    </row>
    <row r="840" customFormat="false" ht="15" hidden="false" customHeight="false" outlineLevel="0" collapsed="false">
      <c r="A840" s="8" t="str">
        <f aca="false">IF(C840&lt;&gt;"","F27-"&amp;COUNT($C$4:C840),"")</f>
        <v/>
      </c>
      <c r="B840" s="9" t="str">
        <f aca="false">IF(OR(F840="LOC - INITIAL",F840="CONSOLIDATION - UPFRONT COMM",F840="REVERSE - TOTAL FUNDING"),A840,"")</f>
        <v/>
      </c>
      <c r="C840" s="10"/>
      <c r="D840" s="11"/>
      <c r="E840" s="11"/>
      <c r="F840" s="11"/>
      <c r="G840" s="12"/>
      <c r="H840" s="13"/>
      <c r="I840" s="11"/>
      <c r="J840" s="14" t="str">
        <f aca="false">IF(AND(G840&lt;&gt;"",H840&lt;&gt;""),G840*H840,"")</f>
        <v/>
      </c>
      <c r="K840" s="11"/>
      <c r="L840" s="15"/>
      <c r="M840" s="15"/>
      <c r="N840" s="14" t="n">
        <f aca="false">IF(OR(G840="",M840=""),0,IF(M840&gt;100,M840,G840*IF(M840&gt;1,M840/100,M840)))</f>
        <v>0</v>
      </c>
      <c r="O840" s="14" t="str">
        <f aca="false">IF(G840="","",G840*IF(L840="",0,IF(L840&gt;1,L840/100,L840))+N840)</f>
        <v/>
      </c>
      <c r="P840" s="11"/>
      <c r="Q840" s="16" t="str">
        <f aca="false">IF(P840="","",IFERROR(VLOOKUP(P840,PARTNERS!$A$2:$B$30,2,0),""))</f>
        <v/>
      </c>
      <c r="R840" s="17" t="str">
        <f aca="false">IF(O840="","",IF(OR(P840="",Q840=""),0,(O840-N840)*IF(Q840&gt;1,Q840/100,Q840)))</f>
        <v/>
      </c>
      <c r="S840" s="14" t="str">
        <f aca="false">IF(O840="","",O840-R840)</f>
        <v/>
      </c>
      <c r="T840" s="11"/>
      <c r="U840" s="18" t="str">
        <f aca="false">IF(T840="","",IFERROR(VLOOKUP(T840,REPS!$A$2:$D$40,2,0),""))</f>
        <v/>
      </c>
      <c r="V840" s="14" t="str">
        <f aca="false">IF(O840="","",IF(U840="",0,O840*IF(U840&gt;1,U840/100,U840)))</f>
        <v/>
      </c>
      <c r="W840" s="11"/>
      <c r="X840" s="18" t="str">
        <f aca="false">IF(W840="","",IFERROR(VLOOKUP(W840,REPS!$A$2:$D$40,3,0),""))</f>
        <v/>
      </c>
      <c r="Y840" s="14" t="str">
        <f aca="false">IF(O840="","",IF(X840="",0,O840*IF(X840&gt;1,X840/100,X840)))</f>
        <v/>
      </c>
      <c r="Z840" s="11"/>
      <c r="AA840" s="18" t="str">
        <f aca="false">IF(Z840="","",IFERROR(VLOOKUP(Z840,REPS!$A$2:$D$40,4,0),""))</f>
        <v/>
      </c>
      <c r="AB840" s="14" t="str">
        <f aca="false">IF(O840="","",IF(AA840="",0,O840*IF(AA840&gt;1,AA840/100,AA840)))</f>
        <v/>
      </c>
      <c r="AC840" s="14" t="str">
        <f aca="false">IF(O840="","",V840+Y840+AB840)</f>
        <v/>
      </c>
      <c r="AD840" s="19" t="str">
        <f aca="false">IF(O840="","",O840-R840-AC840)</f>
        <v/>
      </c>
      <c r="AE840" s="20"/>
      <c r="AF840" s="10"/>
      <c r="AG840" s="21" t="n">
        <f aca="false">IF(OR(AE840="",AE840=0),0,AE840*IF(U840="",0,IF(U840&gt;1,U840/100,U840)))</f>
        <v>0</v>
      </c>
      <c r="AH840" s="21" t="n">
        <f aca="false">IF(OR(AE840="",AE840=0),0,AE840*IF(X840="",0,IF(X840&gt;1,X840/100,X840)))</f>
        <v>0</v>
      </c>
      <c r="AI840" s="21" t="n">
        <f aca="false">IF(OR(AE840="",AE840=0),0,AE840*IF(AA840="",0,IF(AA840&gt;1,AA840/100,AA840)))</f>
        <v>0</v>
      </c>
      <c r="AJ840" s="21" t="n">
        <f aca="false">AG840+AH840+AI840</f>
        <v>0</v>
      </c>
      <c r="AK840" s="21" t="n">
        <f aca="false">IF(OR(AE840="",AE840=0),0,AE840-AJ840)</f>
        <v>0</v>
      </c>
      <c r="AL840" s="19" t="str">
        <f aca="false">IF(AD840="","",AD840-AK840)</f>
        <v/>
      </c>
      <c r="AM840" s="9" t="str">
        <f aca="false">IF(C840="","","Waiting for payment")</f>
        <v/>
      </c>
      <c r="AN840" s="10"/>
      <c r="AO840" s="10"/>
      <c r="AP840" s="22" t="str">
        <f aca="false">IF(OR(C840="",I840="",K840=""),"",IF(K840="Monthly",EDATE(C840,ROUND(I840*SETTINGS!$I$8,0)),WORKDAY(C840,ROUND(I840*SETTINGS!$I$8,0))))</f>
        <v/>
      </c>
      <c r="AQ840" s="9" t="str">
        <f aca="true">IF(C840="","",IF(AND(AP840&lt;&gt;"",TODAY()&gt;=AP840),"Refi Ready",IF(TODAY()-C840&gt;=SETTINGS!$I$11,"Prospecting","Performing")))</f>
        <v/>
      </c>
      <c r="AR840" s="22" t="str">
        <f aca="false">IF(OR(C840="",I840="",K840=""),"",IF(K840="Monthly",EDATE(C840,I840),WORKDAY(C840,I840)))</f>
        <v/>
      </c>
      <c r="AS840" s="11"/>
      <c r="AT840" s="23" t="str">
        <f aca="true">IF(C840="","",IF(AM840="Clawed Back","CLAWED",IF(TODAY()&lt;=C840+SETTINGS!$I$2,"⚠ AT RISK","SAFE")))</f>
        <v/>
      </c>
      <c r="AU840" s="11"/>
      <c r="AW840" s="24" t="n">
        <f aca="false">AW839+IF(AND(C840&lt;&gt;"",AO840&lt;&gt;"",OR('REP COMMISSION'!$B$3="",T840='REP COMMISSION'!$B$3,W840='REP COMMISSION'!$B$3,Z840='REP COMMISSION'!$B$3)),1,0)</f>
        <v>0</v>
      </c>
      <c r="AX840" s="24" t="n">
        <f aca="false">AX839+IF(AND(C840&lt;&gt;"",OR(F840="LOC - INITIAL",F840="CONSOLIDATION - UPFRONT COMM",F840="REVERSE - TOTAL FUNDING")),1,0)</f>
        <v>0</v>
      </c>
    </row>
    <row r="841" customFormat="false" ht="15" hidden="false" customHeight="false" outlineLevel="0" collapsed="false">
      <c r="A841" s="25" t="str">
        <f aca="false">IF(C841&lt;&gt;"","F27-"&amp;COUNT($C$4:C841),"")</f>
        <v/>
      </c>
      <c r="B841" s="26" t="str">
        <f aca="false">IF(OR(F841="LOC - INITIAL",F841="CONSOLIDATION - UPFRONT COMM",F841="REVERSE - TOTAL FUNDING"),A841,"")</f>
        <v/>
      </c>
      <c r="C841" s="27"/>
      <c r="D841" s="28"/>
      <c r="E841" s="28"/>
      <c r="F841" s="28"/>
      <c r="G841" s="29"/>
      <c r="H841" s="30"/>
      <c r="I841" s="28"/>
      <c r="J841" s="31" t="str">
        <f aca="false">IF(AND(G841&lt;&gt;"",H841&lt;&gt;""),G841*H841,"")</f>
        <v/>
      </c>
      <c r="K841" s="28"/>
      <c r="L841" s="32"/>
      <c r="M841" s="32"/>
      <c r="N841" s="31" t="n">
        <f aca="false">IF(OR(G841="",M841=""),0,IF(M841&gt;100,M841,G841*IF(M841&gt;1,M841/100,M841)))</f>
        <v>0</v>
      </c>
      <c r="O841" s="31" t="str">
        <f aca="false">IF(G841="","",G841*IF(L841="",0,IF(L841&gt;1,L841/100,L841))+N841)</f>
        <v/>
      </c>
      <c r="P841" s="28"/>
      <c r="Q841" s="33" t="str">
        <f aca="false">IF(P841="","",IFERROR(VLOOKUP(P841,PARTNERS!$A$2:$B$30,2,0),""))</f>
        <v/>
      </c>
      <c r="R841" s="17" t="str">
        <f aca="false">IF(O841="","",IF(OR(P841="",Q841=""),0,(O841-N841)*IF(Q841&gt;1,Q841/100,Q841)))</f>
        <v/>
      </c>
      <c r="S841" s="31" t="str">
        <f aca="false">IF(O841="","",O841-R841)</f>
        <v/>
      </c>
      <c r="T841" s="28"/>
      <c r="U841" s="34" t="str">
        <f aca="false">IF(T841="","",IFERROR(VLOOKUP(T841,REPS!$A$2:$D$40,2,0),""))</f>
        <v/>
      </c>
      <c r="V841" s="31" t="str">
        <f aca="false">IF(O841="","",IF(U841="",0,O841*IF(U841&gt;1,U841/100,U841)))</f>
        <v/>
      </c>
      <c r="W841" s="28"/>
      <c r="X841" s="34" t="str">
        <f aca="false">IF(W841="","",IFERROR(VLOOKUP(W841,REPS!$A$2:$D$40,3,0),""))</f>
        <v/>
      </c>
      <c r="Y841" s="31" t="str">
        <f aca="false">IF(O841="","",IF(X841="",0,O841*IF(X841&gt;1,X841/100,X841)))</f>
        <v/>
      </c>
      <c r="Z841" s="28"/>
      <c r="AA841" s="34" t="str">
        <f aca="false">IF(Z841="","",IFERROR(VLOOKUP(Z841,REPS!$A$2:$D$40,4,0),""))</f>
        <v/>
      </c>
      <c r="AB841" s="31" t="str">
        <f aca="false">IF(O841="","",IF(AA841="",0,O841*IF(AA841&gt;1,AA841/100,AA841)))</f>
        <v/>
      </c>
      <c r="AC841" s="31" t="str">
        <f aca="false">IF(O841="","",V841+Y841+AB841)</f>
        <v/>
      </c>
      <c r="AD841" s="19" t="str">
        <f aca="false">IF(O841="","",O841-R841-AC841)</f>
        <v/>
      </c>
      <c r="AE841" s="20"/>
      <c r="AF841" s="27"/>
      <c r="AG841" s="21" t="n">
        <f aca="false">IF(OR(AE841="",AE841=0),0,AE841*IF(U841="",0,IF(U841&gt;1,U841/100,U841)))</f>
        <v>0</v>
      </c>
      <c r="AH841" s="21" t="n">
        <f aca="false">IF(OR(AE841="",AE841=0),0,AE841*IF(X841="",0,IF(X841&gt;1,X841/100,X841)))</f>
        <v>0</v>
      </c>
      <c r="AI841" s="21" t="n">
        <f aca="false">IF(OR(AE841="",AE841=0),0,AE841*IF(AA841="",0,IF(AA841&gt;1,AA841/100,AA841)))</f>
        <v>0</v>
      </c>
      <c r="AJ841" s="21" t="n">
        <f aca="false">AG841+AH841+AI841</f>
        <v>0</v>
      </c>
      <c r="AK841" s="21" t="n">
        <f aca="false">IF(OR(AE841="",AE841=0),0,AE841-AJ841)</f>
        <v>0</v>
      </c>
      <c r="AL841" s="19" t="str">
        <f aca="false">IF(AD841="","",AD841-AK841)</f>
        <v/>
      </c>
      <c r="AM841" s="26" t="str">
        <f aca="false">IF(C841="","","Waiting for payment")</f>
        <v/>
      </c>
      <c r="AN841" s="27"/>
      <c r="AO841" s="27"/>
      <c r="AP841" s="35" t="str">
        <f aca="false">IF(OR(C841="",I841="",K841=""),"",IF(K841="Monthly",EDATE(C841,ROUND(I841*SETTINGS!$I$8,0)),WORKDAY(C841,ROUND(I841*SETTINGS!$I$8,0))))</f>
        <v/>
      </c>
      <c r="AQ841" s="26" t="str">
        <f aca="true">IF(C841="","",IF(AND(AP841&lt;&gt;"",TODAY()&gt;=AP841),"Refi Ready",IF(TODAY()-C841&gt;=SETTINGS!$I$11,"Prospecting","Performing")))</f>
        <v/>
      </c>
      <c r="AR841" s="35" t="str">
        <f aca="false">IF(OR(C841="",I841="",K841=""),"",IF(K841="Monthly",EDATE(C841,I841),WORKDAY(C841,I841)))</f>
        <v/>
      </c>
      <c r="AS841" s="28"/>
      <c r="AT841" s="36" t="str">
        <f aca="true">IF(C841="","",IF(AM841="Clawed Back","CLAWED",IF(TODAY()&lt;=C841+SETTINGS!$I$2,"⚠ AT RISK","SAFE")))</f>
        <v/>
      </c>
      <c r="AU841" s="28"/>
      <c r="AW841" s="24" t="n">
        <f aca="false">AW840+IF(AND(C841&lt;&gt;"",AO841&lt;&gt;"",OR('REP COMMISSION'!$B$3="",T841='REP COMMISSION'!$B$3,W841='REP COMMISSION'!$B$3,Z841='REP COMMISSION'!$B$3)),1,0)</f>
        <v>0</v>
      </c>
      <c r="AX841" s="24" t="n">
        <f aca="false">AX840+IF(AND(C841&lt;&gt;"",OR(F841="LOC - INITIAL",F841="CONSOLIDATION - UPFRONT COMM",F841="REVERSE - TOTAL FUNDING")),1,0)</f>
        <v>0</v>
      </c>
    </row>
    <row r="842" customFormat="false" ht="15" hidden="false" customHeight="false" outlineLevel="0" collapsed="false">
      <c r="A842" s="8" t="str">
        <f aca="false">IF(C842&lt;&gt;"","F27-"&amp;COUNT($C$4:C842),"")</f>
        <v/>
      </c>
      <c r="B842" s="9" t="str">
        <f aca="false">IF(OR(F842="LOC - INITIAL",F842="CONSOLIDATION - UPFRONT COMM",F842="REVERSE - TOTAL FUNDING"),A842,"")</f>
        <v/>
      </c>
      <c r="C842" s="10"/>
      <c r="D842" s="11"/>
      <c r="E842" s="11"/>
      <c r="F842" s="11"/>
      <c r="G842" s="12"/>
      <c r="H842" s="13"/>
      <c r="I842" s="11"/>
      <c r="J842" s="14" t="str">
        <f aca="false">IF(AND(G842&lt;&gt;"",H842&lt;&gt;""),G842*H842,"")</f>
        <v/>
      </c>
      <c r="K842" s="11"/>
      <c r="L842" s="15"/>
      <c r="M842" s="15"/>
      <c r="N842" s="14" t="n">
        <f aca="false">IF(OR(G842="",M842=""),0,IF(M842&gt;100,M842,G842*IF(M842&gt;1,M842/100,M842)))</f>
        <v>0</v>
      </c>
      <c r="O842" s="14" t="str">
        <f aca="false">IF(G842="","",G842*IF(L842="",0,IF(L842&gt;1,L842/100,L842))+N842)</f>
        <v/>
      </c>
      <c r="P842" s="11"/>
      <c r="Q842" s="16" t="str">
        <f aca="false">IF(P842="","",IFERROR(VLOOKUP(P842,PARTNERS!$A$2:$B$30,2,0),""))</f>
        <v/>
      </c>
      <c r="R842" s="17" t="str">
        <f aca="false">IF(O842="","",IF(OR(P842="",Q842=""),0,(O842-N842)*IF(Q842&gt;1,Q842/100,Q842)))</f>
        <v/>
      </c>
      <c r="S842" s="14" t="str">
        <f aca="false">IF(O842="","",O842-R842)</f>
        <v/>
      </c>
      <c r="T842" s="11"/>
      <c r="U842" s="18" t="str">
        <f aca="false">IF(T842="","",IFERROR(VLOOKUP(T842,REPS!$A$2:$D$40,2,0),""))</f>
        <v/>
      </c>
      <c r="V842" s="14" t="str">
        <f aca="false">IF(O842="","",IF(U842="",0,O842*IF(U842&gt;1,U842/100,U842)))</f>
        <v/>
      </c>
      <c r="W842" s="11"/>
      <c r="X842" s="18" t="str">
        <f aca="false">IF(W842="","",IFERROR(VLOOKUP(W842,REPS!$A$2:$D$40,3,0),""))</f>
        <v/>
      </c>
      <c r="Y842" s="14" t="str">
        <f aca="false">IF(O842="","",IF(X842="",0,O842*IF(X842&gt;1,X842/100,X842)))</f>
        <v/>
      </c>
      <c r="Z842" s="11"/>
      <c r="AA842" s="18" t="str">
        <f aca="false">IF(Z842="","",IFERROR(VLOOKUP(Z842,REPS!$A$2:$D$40,4,0),""))</f>
        <v/>
      </c>
      <c r="AB842" s="14" t="str">
        <f aca="false">IF(O842="","",IF(AA842="",0,O842*IF(AA842&gt;1,AA842/100,AA842)))</f>
        <v/>
      </c>
      <c r="AC842" s="14" t="str">
        <f aca="false">IF(O842="","",V842+Y842+AB842)</f>
        <v/>
      </c>
      <c r="AD842" s="19" t="str">
        <f aca="false">IF(O842="","",O842-R842-AC842)</f>
        <v/>
      </c>
      <c r="AE842" s="20"/>
      <c r="AF842" s="10"/>
      <c r="AG842" s="21" t="n">
        <f aca="false">IF(OR(AE842="",AE842=0),0,AE842*IF(U842="",0,IF(U842&gt;1,U842/100,U842)))</f>
        <v>0</v>
      </c>
      <c r="AH842" s="21" t="n">
        <f aca="false">IF(OR(AE842="",AE842=0),0,AE842*IF(X842="",0,IF(X842&gt;1,X842/100,X842)))</f>
        <v>0</v>
      </c>
      <c r="AI842" s="21" t="n">
        <f aca="false">IF(OR(AE842="",AE842=0),0,AE842*IF(AA842="",0,IF(AA842&gt;1,AA842/100,AA842)))</f>
        <v>0</v>
      </c>
      <c r="AJ842" s="21" t="n">
        <f aca="false">AG842+AH842+AI842</f>
        <v>0</v>
      </c>
      <c r="AK842" s="21" t="n">
        <f aca="false">IF(OR(AE842="",AE842=0),0,AE842-AJ842)</f>
        <v>0</v>
      </c>
      <c r="AL842" s="19" t="str">
        <f aca="false">IF(AD842="","",AD842-AK842)</f>
        <v/>
      </c>
      <c r="AM842" s="9" t="str">
        <f aca="false">IF(C842="","","Waiting for payment")</f>
        <v/>
      </c>
      <c r="AN842" s="10"/>
      <c r="AO842" s="10"/>
      <c r="AP842" s="22" t="str">
        <f aca="false">IF(OR(C842="",I842="",K842=""),"",IF(K842="Monthly",EDATE(C842,ROUND(I842*SETTINGS!$I$8,0)),WORKDAY(C842,ROUND(I842*SETTINGS!$I$8,0))))</f>
        <v/>
      </c>
      <c r="AQ842" s="9" t="str">
        <f aca="true">IF(C842="","",IF(AND(AP842&lt;&gt;"",TODAY()&gt;=AP842),"Refi Ready",IF(TODAY()-C842&gt;=SETTINGS!$I$11,"Prospecting","Performing")))</f>
        <v/>
      </c>
      <c r="AR842" s="22" t="str">
        <f aca="false">IF(OR(C842="",I842="",K842=""),"",IF(K842="Monthly",EDATE(C842,I842),WORKDAY(C842,I842)))</f>
        <v/>
      </c>
      <c r="AS842" s="11"/>
      <c r="AT842" s="23" t="str">
        <f aca="true">IF(C842="","",IF(AM842="Clawed Back","CLAWED",IF(TODAY()&lt;=C842+SETTINGS!$I$2,"⚠ AT RISK","SAFE")))</f>
        <v/>
      </c>
      <c r="AU842" s="11"/>
      <c r="AW842" s="24" t="n">
        <f aca="false">AW841+IF(AND(C842&lt;&gt;"",AO842&lt;&gt;"",OR('REP COMMISSION'!$B$3="",T842='REP COMMISSION'!$B$3,W842='REP COMMISSION'!$B$3,Z842='REP COMMISSION'!$B$3)),1,0)</f>
        <v>0</v>
      </c>
      <c r="AX842" s="24" t="n">
        <f aca="false">AX841+IF(AND(C842&lt;&gt;"",OR(F842="LOC - INITIAL",F842="CONSOLIDATION - UPFRONT COMM",F842="REVERSE - TOTAL FUNDING")),1,0)</f>
        <v>0</v>
      </c>
    </row>
    <row r="843" customFormat="false" ht="15" hidden="false" customHeight="false" outlineLevel="0" collapsed="false">
      <c r="A843" s="25" t="str">
        <f aca="false">IF(C843&lt;&gt;"","F27-"&amp;COUNT($C$4:C843),"")</f>
        <v/>
      </c>
      <c r="B843" s="26" t="str">
        <f aca="false">IF(OR(F843="LOC - INITIAL",F843="CONSOLIDATION - UPFRONT COMM",F843="REVERSE - TOTAL FUNDING"),A843,"")</f>
        <v/>
      </c>
      <c r="C843" s="27"/>
      <c r="D843" s="28"/>
      <c r="E843" s="28"/>
      <c r="F843" s="28"/>
      <c r="G843" s="29"/>
      <c r="H843" s="30"/>
      <c r="I843" s="28"/>
      <c r="J843" s="31" t="str">
        <f aca="false">IF(AND(G843&lt;&gt;"",H843&lt;&gt;""),G843*H843,"")</f>
        <v/>
      </c>
      <c r="K843" s="28"/>
      <c r="L843" s="32"/>
      <c r="M843" s="32"/>
      <c r="N843" s="31" t="n">
        <f aca="false">IF(OR(G843="",M843=""),0,IF(M843&gt;100,M843,G843*IF(M843&gt;1,M843/100,M843)))</f>
        <v>0</v>
      </c>
      <c r="O843" s="31" t="str">
        <f aca="false">IF(G843="","",G843*IF(L843="",0,IF(L843&gt;1,L843/100,L843))+N843)</f>
        <v/>
      </c>
      <c r="P843" s="28"/>
      <c r="Q843" s="33" t="str">
        <f aca="false">IF(P843="","",IFERROR(VLOOKUP(P843,PARTNERS!$A$2:$B$30,2,0),""))</f>
        <v/>
      </c>
      <c r="R843" s="17" t="str">
        <f aca="false">IF(O843="","",IF(OR(P843="",Q843=""),0,(O843-N843)*IF(Q843&gt;1,Q843/100,Q843)))</f>
        <v/>
      </c>
      <c r="S843" s="31" t="str">
        <f aca="false">IF(O843="","",O843-R843)</f>
        <v/>
      </c>
      <c r="T843" s="28"/>
      <c r="U843" s="34" t="str">
        <f aca="false">IF(T843="","",IFERROR(VLOOKUP(T843,REPS!$A$2:$D$40,2,0),""))</f>
        <v/>
      </c>
      <c r="V843" s="31" t="str">
        <f aca="false">IF(O843="","",IF(U843="",0,O843*IF(U843&gt;1,U843/100,U843)))</f>
        <v/>
      </c>
      <c r="W843" s="28"/>
      <c r="X843" s="34" t="str">
        <f aca="false">IF(W843="","",IFERROR(VLOOKUP(W843,REPS!$A$2:$D$40,3,0),""))</f>
        <v/>
      </c>
      <c r="Y843" s="31" t="str">
        <f aca="false">IF(O843="","",IF(X843="",0,O843*IF(X843&gt;1,X843/100,X843)))</f>
        <v/>
      </c>
      <c r="Z843" s="28"/>
      <c r="AA843" s="34" t="str">
        <f aca="false">IF(Z843="","",IFERROR(VLOOKUP(Z843,REPS!$A$2:$D$40,4,0),""))</f>
        <v/>
      </c>
      <c r="AB843" s="31" t="str">
        <f aca="false">IF(O843="","",IF(AA843="",0,O843*IF(AA843&gt;1,AA843/100,AA843)))</f>
        <v/>
      </c>
      <c r="AC843" s="31" t="str">
        <f aca="false">IF(O843="","",V843+Y843+AB843)</f>
        <v/>
      </c>
      <c r="AD843" s="19" t="str">
        <f aca="false">IF(O843="","",O843-R843-AC843)</f>
        <v/>
      </c>
      <c r="AE843" s="20"/>
      <c r="AF843" s="27"/>
      <c r="AG843" s="21" t="n">
        <f aca="false">IF(OR(AE843="",AE843=0),0,AE843*IF(U843="",0,IF(U843&gt;1,U843/100,U843)))</f>
        <v>0</v>
      </c>
      <c r="AH843" s="21" t="n">
        <f aca="false">IF(OR(AE843="",AE843=0),0,AE843*IF(X843="",0,IF(X843&gt;1,X843/100,X843)))</f>
        <v>0</v>
      </c>
      <c r="AI843" s="21" t="n">
        <f aca="false">IF(OR(AE843="",AE843=0),0,AE843*IF(AA843="",0,IF(AA843&gt;1,AA843/100,AA843)))</f>
        <v>0</v>
      </c>
      <c r="AJ843" s="21" t="n">
        <f aca="false">AG843+AH843+AI843</f>
        <v>0</v>
      </c>
      <c r="AK843" s="21" t="n">
        <f aca="false">IF(OR(AE843="",AE843=0),0,AE843-AJ843)</f>
        <v>0</v>
      </c>
      <c r="AL843" s="19" t="str">
        <f aca="false">IF(AD843="","",AD843-AK843)</f>
        <v/>
      </c>
      <c r="AM843" s="26" t="str">
        <f aca="false">IF(C843="","","Waiting for payment")</f>
        <v/>
      </c>
      <c r="AN843" s="27"/>
      <c r="AO843" s="27"/>
      <c r="AP843" s="35" t="str">
        <f aca="false">IF(OR(C843="",I843="",K843=""),"",IF(K843="Monthly",EDATE(C843,ROUND(I843*SETTINGS!$I$8,0)),WORKDAY(C843,ROUND(I843*SETTINGS!$I$8,0))))</f>
        <v/>
      </c>
      <c r="AQ843" s="26" t="str">
        <f aca="true">IF(C843="","",IF(AND(AP843&lt;&gt;"",TODAY()&gt;=AP843),"Refi Ready",IF(TODAY()-C843&gt;=SETTINGS!$I$11,"Prospecting","Performing")))</f>
        <v/>
      </c>
      <c r="AR843" s="35" t="str">
        <f aca="false">IF(OR(C843="",I843="",K843=""),"",IF(K843="Monthly",EDATE(C843,I843),WORKDAY(C843,I843)))</f>
        <v/>
      </c>
      <c r="AS843" s="28"/>
      <c r="AT843" s="36" t="str">
        <f aca="true">IF(C843="","",IF(AM843="Clawed Back","CLAWED",IF(TODAY()&lt;=C843+SETTINGS!$I$2,"⚠ AT RISK","SAFE")))</f>
        <v/>
      </c>
      <c r="AU843" s="28"/>
      <c r="AW843" s="24" t="n">
        <f aca="false">AW842+IF(AND(C843&lt;&gt;"",AO843&lt;&gt;"",OR('REP COMMISSION'!$B$3="",T843='REP COMMISSION'!$B$3,W843='REP COMMISSION'!$B$3,Z843='REP COMMISSION'!$B$3)),1,0)</f>
        <v>0</v>
      </c>
      <c r="AX843" s="24" t="n">
        <f aca="false">AX842+IF(AND(C843&lt;&gt;"",OR(F843="LOC - INITIAL",F843="CONSOLIDATION - UPFRONT COMM",F843="REVERSE - TOTAL FUNDING")),1,0)</f>
        <v>0</v>
      </c>
    </row>
    <row r="844" customFormat="false" ht="15" hidden="false" customHeight="false" outlineLevel="0" collapsed="false">
      <c r="A844" s="8" t="str">
        <f aca="false">IF(C844&lt;&gt;"","F27-"&amp;COUNT($C$4:C844),"")</f>
        <v/>
      </c>
      <c r="B844" s="9" t="str">
        <f aca="false">IF(OR(F844="LOC - INITIAL",F844="CONSOLIDATION - UPFRONT COMM",F844="REVERSE - TOTAL FUNDING"),A844,"")</f>
        <v/>
      </c>
      <c r="C844" s="10"/>
      <c r="D844" s="11"/>
      <c r="E844" s="11"/>
      <c r="F844" s="11"/>
      <c r="G844" s="12"/>
      <c r="H844" s="13"/>
      <c r="I844" s="11"/>
      <c r="J844" s="14" t="str">
        <f aca="false">IF(AND(G844&lt;&gt;"",H844&lt;&gt;""),G844*H844,"")</f>
        <v/>
      </c>
      <c r="K844" s="11"/>
      <c r="L844" s="15"/>
      <c r="M844" s="15"/>
      <c r="N844" s="14" t="n">
        <f aca="false">IF(OR(G844="",M844=""),0,IF(M844&gt;100,M844,G844*IF(M844&gt;1,M844/100,M844)))</f>
        <v>0</v>
      </c>
      <c r="O844" s="14" t="str">
        <f aca="false">IF(G844="","",G844*IF(L844="",0,IF(L844&gt;1,L844/100,L844))+N844)</f>
        <v/>
      </c>
      <c r="P844" s="11"/>
      <c r="Q844" s="16" t="str">
        <f aca="false">IF(P844="","",IFERROR(VLOOKUP(P844,PARTNERS!$A$2:$B$30,2,0),""))</f>
        <v/>
      </c>
      <c r="R844" s="17" t="str">
        <f aca="false">IF(O844="","",IF(OR(P844="",Q844=""),0,(O844-N844)*IF(Q844&gt;1,Q844/100,Q844)))</f>
        <v/>
      </c>
      <c r="S844" s="14" t="str">
        <f aca="false">IF(O844="","",O844-R844)</f>
        <v/>
      </c>
      <c r="T844" s="11"/>
      <c r="U844" s="18" t="str">
        <f aca="false">IF(T844="","",IFERROR(VLOOKUP(T844,REPS!$A$2:$D$40,2,0),""))</f>
        <v/>
      </c>
      <c r="V844" s="14" t="str">
        <f aca="false">IF(O844="","",IF(U844="",0,O844*IF(U844&gt;1,U844/100,U844)))</f>
        <v/>
      </c>
      <c r="W844" s="11"/>
      <c r="X844" s="18" t="str">
        <f aca="false">IF(W844="","",IFERROR(VLOOKUP(W844,REPS!$A$2:$D$40,3,0),""))</f>
        <v/>
      </c>
      <c r="Y844" s="14" t="str">
        <f aca="false">IF(O844="","",IF(X844="",0,O844*IF(X844&gt;1,X844/100,X844)))</f>
        <v/>
      </c>
      <c r="Z844" s="11"/>
      <c r="AA844" s="18" t="str">
        <f aca="false">IF(Z844="","",IFERROR(VLOOKUP(Z844,REPS!$A$2:$D$40,4,0),""))</f>
        <v/>
      </c>
      <c r="AB844" s="14" t="str">
        <f aca="false">IF(O844="","",IF(AA844="",0,O844*IF(AA844&gt;1,AA844/100,AA844)))</f>
        <v/>
      </c>
      <c r="AC844" s="14" t="str">
        <f aca="false">IF(O844="","",V844+Y844+AB844)</f>
        <v/>
      </c>
      <c r="AD844" s="19" t="str">
        <f aca="false">IF(O844="","",O844-R844-AC844)</f>
        <v/>
      </c>
      <c r="AE844" s="20"/>
      <c r="AF844" s="10"/>
      <c r="AG844" s="21" t="n">
        <f aca="false">IF(OR(AE844="",AE844=0),0,AE844*IF(U844="",0,IF(U844&gt;1,U844/100,U844)))</f>
        <v>0</v>
      </c>
      <c r="AH844" s="21" t="n">
        <f aca="false">IF(OR(AE844="",AE844=0),0,AE844*IF(X844="",0,IF(X844&gt;1,X844/100,X844)))</f>
        <v>0</v>
      </c>
      <c r="AI844" s="21" t="n">
        <f aca="false">IF(OR(AE844="",AE844=0),0,AE844*IF(AA844="",0,IF(AA844&gt;1,AA844/100,AA844)))</f>
        <v>0</v>
      </c>
      <c r="AJ844" s="21" t="n">
        <f aca="false">AG844+AH844+AI844</f>
        <v>0</v>
      </c>
      <c r="AK844" s="21" t="n">
        <f aca="false">IF(OR(AE844="",AE844=0),0,AE844-AJ844)</f>
        <v>0</v>
      </c>
      <c r="AL844" s="19" t="str">
        <f aca="false">IF(AD844="","",AD844-AK844)</f>
        <v/>
      </c>
      <c r="AM844" s="9" t="str">
        <f aca="false">IF(C844="","","Waiting for payment")</f>
        <v/>
      </c>
      <c r="AN844" s="10"/>
      <c r="AO844" s="10"/>
      <c r="AP844" s="22" t="str">
        <f aca="false">IF(OR(C844="",I844="",K844=""),"",IF(K844="Monthly",EDATE(C844,ROUND(I844*SETTINGS!$I$8,0)),WORKDAY(C844,ROUND(I844*SETTINGS!$I$8,0))))</f>
        <v/>
      </c>
      <c r="AQ844" s="9" t="str">
        <f aca="true">IF(C844="","",IF(AND(AP844&lt;&gt;"",TODAY()&gt;=AP844),"Refi Ready",IF(TODAY()-C844&gt;=SETTINGS!$I$11,"Prospecting","Performing")))</f>
        <v/>
      </c>
      <c r="AR844" s="22" t="str">
        <f aca="false">IF(OR(C844="",I844="",K844=""),"",IF(K844="Monthly",EDATE(C844,I844),WORKDAY(C844,I844)))</f>
        <v/>
      </c>
      <c r="AS844" s="11"/>
      <c r="AT844" s="23" t="str">
        <f aca="true">IF(C844="","",IF(AM844="Clawed Back","CLAWED",IF(TODAY()&lt;=C844+SETTINGS!$I$2,"⚠ AT RISK","SAFE")))</f>
        <v/>
      </c>
      <c r="AU844" s="11"/>
      <c r="AW844" s="24" t="n">
        <f aca="false">AW843+IF(AND(C844&lt;&gt;"",AO844&lt;&gt;"",OR('REP COMMISSION'!$B$3="",T844='REP COMMISSION'!$B$3,W844='REP COMMISSION'!$B$3,Z844='REP COMMISSION'!$B$3)),1,0)</f>
        <v>0</v>
      </c>
      <c r="AX844" s="24" t="n">
        <f aca="false">AX843+IF(AND(C844&lt;&gt;"",OR(F844="LOC - INITIAL",F844="CONSOLIDATION - UPFRONT COMM",F844="REVERSE - TOTAL FUNDING")),1,0)</f>
        <v>0</v>
      </c>
    </row>
    <row r="845" customFormat="false" ht="15" hidden="false" customHeight="false" outlineLevel="0" collapsed="false">
      <c r="A845" s="25" t="str">
        <f aca="false">IF(C845&lt;&gt;"","F27-"&amp;COUNT($C$4:C845),"")</f>
        <v/>
      </c>
      <c r="B845" s="26" t="str">
        <f aca="false">IF(OR(F845="LOC - INITIAL",F845="CONSOLIDATION - UPFRONT COMM",F845="REVERSE - TOTAL FUNDING"),A845,"")</f>
        <v/>
      </c>
      <c r="C845" s="27"/>
      <c r="D845" s="28"/>
      <c r="E845" s="28"/>
      <c r="F845" s="28"/>
      <c r="G845" s="29"/>
      <c r="H845" s="30"/>
      <c r="I845" s="28"/>
      <c r="J845" s="31" t="str">
        <f aca="false">IF(AND(G845&lt;&gt;"",H845&lt;&gt;""),G845*H845,"")</f>
        <v/>
      </c>
      <c r="K845" s="28"/>
      <c r="L845" s="32"/>
      <c r="M845" s="32"/>
      <c r="N845" s="31" t="n">
        <f aca="false">IF(OR(G845="",M845=""),0,IF(M845&gt;100,M845,G845*IF(M845&gt;1,M845/100,M845)))</f>
        <v>0</v>
      </c>
      <c r="O845" s="31" t="str">
        <f aca="false">IF(G845="","",G845*IF(L845="",0,IF(L845&gt;1,L845/100,L845))+N845)</f>
        <v/>
      </c>
      <c r="P845" s="28"/>
      <c r="Q845" s="33" t="str">
        <f aca="false">IF(P845="","",IFERROR(VLOOKUP(P845,PARTNERS!$A$2:$B$30,2,0),""))</f>
        <v/>
      </c>
      <c r="R845" s="17" t="str">
        <f aca="false">IF(O845="","",IF(OR(P845="",Q845=""),0,(O845-N845)*IF(Q845&gt;1,Q845/100,Q845)))</f>
        <v/>
      </c>
      <c r="S845" s="31" t="str">
        <f aca="false">IF(O845="","",O845-R845)</f>
        <v/>
      </c>
      <c r="T845" s="28"/>
      <c r="U845" s="34" t="str">
        <f aca="false">IF(T845="","",IFERROR(VLOOKUP(T845,REPS!$A$2:$D$40,2,0),""))</f>
        <v/>
      </c>
      <c r="V845" s="31" t="str">
        <f aca="false">IF(O845="","",IF(U845="",0,O845*IF(U845&gt;1,U845/100,U845)))</f>
        <v/>
      </c>
      <c r="W845" s="28"/>
      <c r="X845" s="34" t="str">
        <f aca="false">IF(W845="","",IFERROR(VLOOKUP(W845,REPS!$A$2:$D$40,3,0),""))</f>
        <v/>
      </c>
      <c r="Y845" s="31" t="str">
        <f aca="false">IF(O845="","",IF(X845="",0,O845*IF(X845&gt;1,X845/100,X845)))</f>
        <v/>
      </c>
      <c r="Z845" s="28"/>
      <c r="AA845" s="34" t="str">
        <f aca="false">IF(Z845="","",IFERROR(VLOOKUP(Z845,REPS!$A$2:$D$40,4,0),""))</f>
        <v/>
      </c>
      <c r="AB845" s="31" t="str">
        <f aca="false">IF(O845="","",IF(AA845="",0,O845*IF(AA845&gt;1,AA845/100,AA845)))</f>
        <v/>
      </c>
      <c r="AC845" s="31" t="str">
        <f aca="false">IF(O845="","",V845+Y845+AB845)</f>
        <v/>
      </c>
      <c r="AD845" s="19" t="str">
        <f aca="false">IF(O845="","",O845-R845-AC845)</f>
        <v/>
      </c>
      <c r="AE845" s="20"/>
      <c r="AF845" s="27"/>
      <c r="AG845" s="21" t="n">
        <f aca="false">IF(OR(AE845="",AE845=0),0,AE845*IF(U845="",0,IF(U845&gt;1,U845/100,U845)))</f>
        <v>0</v>
      </c>
      <c r="AH845" s="21" t="n">
        <f aca="false">IF(OR(AE845="",AE845=0),0,AE845*IF(X845="",0,IF(X845&gt;1,X845/100,X845)))</f>
        <v>0</v>
      </c>
      <c r="AI845" s="21" t="n">
        <f aca="false">IF(OR(AE845="",AE845=0),0,AE845*IF(AA845="",0,IF(AA845&gt;1,AA845/100,AA845)))</f>
        <v>0</v>
      </c>
      <c r="AJ845" s="21" t="n">
        <f aca="false">AG845+AH845+AI845</f>
        <v>0</v>
      </c>
      <c r="AK845" s="21" t="n">
        <f aca="false">IF(OR(AE845="",AE845=0),0,AE845-AJ845)</f>
        <v>0</v>
      </c>
      <c r="AL845" s="19" t="str">
        <f aca="false">IF(AD845="","",AD845-AK845)</f>
        <v/>
      </c>
      <c r="AM845" s="26" t="str">
        <f aca="false">IF(C845="","","Waiting for payment")</f>
        <v/>
      </c>
      <c r="AN845" s="27"/>
      <c r="AO845" s="27"/>
      <c r="AP845" s="35" t="str">
        <f aca="false">IF(OR(C845="",I845="",K845=""),"",IF(K845="Monthly",EDATE(C845,ROUND(I845*SETTINGS!$I$8,0)),WORKDAY(C845,ROUND(I845*SETTINGS!$I$8,0))))</f>
        <v/>
      </c>
      <c r="AQ845" s="26" t="str">
        <f aca="true">IF(C845="","",IF(AND(AP845&lt;&gt;"",TODAY()&gt;=AP845),"Refi Ready",IF(TODAY()-C845&gt;=SETTINGS!$I$11,"Prospecting","Performing")))</f>
        <v/>
      </c>
      <c r="AR845" s="35" t="str">
        <f aca="false">IF(OR(C845="",I845="",K845=""),"",IF(K845="Monthly",EDATE(C845,I845),WORKDAY(C845,I845)))</f>
        <v/>
      </c>
      <c r="AS845" s="28"/>
      <c r="AT845" s="36" t="str">
        <f aca="true">IF(C845="","",IF(AM845="Clawed Back","CLAWED",IF(TODAY()&lt;=C845+SETTINGS!$I$2,"⚠ AT RISK","SAFE")))</f>
        <v/>
      </c>
      <c r="AU845" s="28"/>
      <c r="AW845" s="24" t="n">
        <f aca="false">AW844+IF(AND(C845&lt;&gt;"",AO845&lt;&gt;"",OR('REP COMMISSION'!$B$3="",T845='REP COMMISSION'!$B$3,W845='REP COMMISSION'!$B$3,Z845='REP COMMISSION'!$B$3)),1,0)</f>
        <v>0</v>
      </c>
      <c r="AX845" s="24" t="n">
        <f aca="false">AX844+IF(AND(C845&lt;&gt;"",OR(F845="LOC - INITIAL",F845="CONSOLIDATION - UPFRONT COMM",F845="REVERSE - TOTAL FUNDING")),1,0)</f>
        <v>0</v>
      </c>
    </row>
    <row r="846" customFormat="false" ht="15" hidden="false" customHeight="false" outlineLevel="0" collapsed="false">
      <c r="A846" s="8" t="str">
        <f aca="false">IF(C846&lt;&gt;"","F27-"&amp;COUNT($C$4:C846),"")</f>
        <v/>
      </c>
      <c r="B846" s="9" t="str">
        <f aca="false">IF(OR(F846="LOC - INITIAL",F846="CONSOLIDATION - UPFRONT COMM",F846="REVERSE - TOTAL FUNDING"),A846,"")</f>
        <v/>
      </c>
      <c r="C846" s="10"/>
      <c r="D846" s="11"/>
      <c r="E846" s="11"/>
      <c r="F846" s="11"/>
      <c r="G846" s="12"/>
      <c r="H846" s="13"/>
      <c r="I846" s="11"/>
      <c r="J846" s="14" t="str">
        <f aca="false">IF(AND(G846&lt;&gt;"",H846&lt;&gt;""),G846*H846,"")</f>
        <v/>
      </c>
      <c r="K846" s="11"/>
      <c r="L846" s="15"/>
      <c r="M846" s="15"/>
      <c r="N846" s="14" t="n">
        <f aca="false">IF(OR(G846="",M846=""),0,IF(M846&gt;100,M846,G846*IF(M846&gt;1,M846/100,M846)))</f>
        <v>0</v>
      </c>
      <c r="O846" s="14" t="str">
        <f aca="false">IF(G846="","",G846*IF(L846="",0,IF(L846&gt;1,L846/100,L846))+N846)</f>
        <v/>
      </c>
      <c r="P846" s="11"/>
      <c r="Q846" s="16" t="str">
        <f aca="false">IF(P846="","",IFERROR(VLOOKUP(P846,PARTNERS!$A$2:$B$30,2,0),""))</f>
        <v/>
      </c>
      <c r="R846" s="17" t="str">
        <f aca="false">IF(O846="","",IF(OR(P846="",Q846=""),0,(O846-N846)*IF(Q846&gt;1,Q846/100,Q846)))</f>
        <v/>
      </c>
      <c r="S846" s="14" t="str">
        <f aca="false">IF(O846="","",O846-R846)</f>
        <v/>
      </c>
      <c r="T846" s="11"/>
      <c r="U846" s="18" t="str">
        <f aca="false">IF(T846="","",IFERROR(VLOOKUP(T846,REPS!$A$2:$D$40,2,0),""))</f>
        <v/>
      </c>
      <c r="V846" s="14" t="str">
        <f aca="false">IF(O846="","",IF(U846="",0,O846*IF(U846&gt;1,U846/100,U846)))</f>
        <v/>
      </c>
      <c r="W846" s="11"/>
      <c r="X846" s="18" t="str">
        <f aca="false">IF(W846="","",IFERROR(VLOOKUP(W846,REPS!$A$2:$D$40,3,0),""))</f>
        <v/>
      </c>
      <c r="Y846" s="14" t="str">
        <f aca="false">IF(O846="","",IF(X846="",0,O846*IF(X846&gt;1,X846/100,X846)))</f>
        <v/>
      </c>
      <c r="Z846" s="11"/>
      <c r="AA846" s="18" t="str">
        <f aca="false">IF(Z846="","",IFERROR(VLOOKUP(Z846,REPS!$A$2:$D$40,4,0),""))</f>
        <v/>
      </c>
      <c r="AB846" s="14" t="str">
        <f aca="false">IF(O846="","",IF(AA846="",0,O846*IF(AA846&gt;1,AA846/100,AA846)))</f>
        <v/>
      </c>
      <c r="AC846" s="14" t="str">
        <f aca="false">IF(O846="","",V846+Y846+AB846)</f>
        <v/>
      </c>
      <c r="AD846" s="19" t="str">
        <f aca="false">IF(O846="","",O846-R846-AC846)</f>
        <v/>
      </c>
      <c r="AE846" s="20"/>
      <c r="AF846" s="10"/>
      <c r="AG846" s="21" t="n">
        <f aca="false">IF(OR(AE846="",AE846=0),0,AE846*IF(U846="",0,IF(U846&gt;1,U846/100,U846)))</f>
        <v>0</v>
      </c>
      <c r="AH846" s="21" t="n">
        <f aca="false">IF(OR(AE846="",AE846=0),0,AE846*IF(X846="",0,IF(X846&gt;1,X846/100,X846)))</f>
        <v>0</v>
      </c>
      <c r="AI846" s="21" t="n">
        <f aca="false">IF(OR(AE846="",AE846=0),0,AE846*IF(AA846="",0,IF(AA846&gt;1,AA846/100,AA846)))</f>
        <v>0</v>
      </c>
      <c r="AJ846" s="21" t="n">
        <f aca="false">AG846+AH846+AI846</f>
        <v>0</v>
      </c>
      <c r="AK846" s="21" t="n">
        <f aca="false">IF(OR(AE846="",AE846=0),0,AE846-AJ846)</f>
        <v>0</v>
      </c>
      <c r="AL846" s="19" t="str">
        <f aca="false">IF(AD846="","",AD846-AK846)</f>
        <v/>
      </c>
      <c r="AM846" s="9" t="str">
        <f aca="false">IF(C846="","","Waiting for payment")</f>
        <v/>
      </c>
      <c r="AN846" s="10"/>
      <c r="AO846" s="10"/>
      <c r="AP846" s="22" t="str">
        <f aca="false">IF(OR(C846="",I846="",K846=""),"",IF(K846="Monthly",EDATE(C846,ROUND(I846*SETTINGS!$I$8,0)),WORKDAY(C846,ROUND(I846*SETTINGS!$I$8,0))))</f>
        <v/>
      </c>
      <c r="AQ846" s="9" t="str">
        <f aca="true">IF(C846="","",IF(AND(AP846&lt;&gt;"",TODAY()&gt;=AP846),"Refi Ready",IF(TODAY()-C846&gt;=SETTINGS!$I$11,"Prospecting","Performing")))</f>
        <v/>
      </c>
      <c r="AR846" s="22" t="str">
        <f aca="false">IF(OR(C846="",I846="",K846=""),"",IF(K846="Monthly",EDATE(C846,I846),WORKDAY(C846,I846)))</f>
        <v/>
      </c>
      <c r="AS846" s="11"/>
      <c r="AT846" s="23" t="str">
        <f aca="true">IF(C846="","",IF(AM846="Clawed Back","CLAWED",IF(TODAY()&lt;=C846+SETTINGS!$I$2,"⚠ AT RISK","SAFE")))</f>
        <v/>
      </c>
      <c r="AU846" s="11"/>
      <c r="AW846" s="24" t="n">
        <f aca="false">AW845+IF(AND(C846&lt;&gt;"",AO846&lt;&gt;"",OR('REP COMMISSION'!$B$3="",T846='REP COMMISSION'!$B$3,W846='REP COMMISSION'!$B$3,Z846='REP COMMISSION'!$B$3)),1,0)</f>
        <v>0</v>
      </c>
      <c r="AX846" s="24" t="n">
        <f aca="false">AX845+IF(AND(C846&lt;&gt;"",OR(F846="LOC - INITIAL",F846="CONSOLIDATION - UPFRONT COMM",F846="REVERSE - TOTAL FUNDING")),1,0)</f>
        <v>0</v>
      </c>
    </row>
    <row r="847" customFormat="false" ht="15" hidden="false" customHeight="false" outlineLevel="0" collapsed="false">
      <c r="A847" s="25" t="str">
        <f aca="false">IF(C847&lt;&gt;"","F27-"&amp;COUNT($C$4:C847),"")</f>
        <v/>
      </c>
      <c r="B847" s="26" t="str">
        <f aca="false">IF(OR(F847="LOC - INITIAL",F847="CONSOLIDATION - UPFRONT COMM",F847="REVERSE - TOTAL FUNDING"),A847,"")</f>
        <v/>
      </c>
      <c r="C847" s="27"/>
      <c r="D847" s="28"/>
      <c r="E847" s="28"/>
      <c r="F847" s="28"/>
      <c r="G847" s="29"/>
      <c r="H847" s="30"/>
      <c r="I847" s="28"/>
      <c r="J847" s="31" t="str">
        <f aca="false">IF(AND(G847&lt;&gt;"",H847&lt;&gt;""),G847*H847,"")</f>
        <v/>
      </c>
      <c r="K847" s="28"/>
      <c r="L847" s="32"/>
      <c r="M847" s="32"/>
      <c r="N847" s="31" t="n">
        <f aca="false">IF(OR(G847="",M847=""),0,IF(M847&gt;100,M847,G847*IF(M847&gt;1,M847/100,M847)))</f>
        <v>0</v>
      </c>
      <c r="O847" s="31" t="str">
        <f aca="false">IF(G847="","",G847*IF(L847="",0,IF(L847&gt;1,L847/100,L847))+N847)</f>
        <v/>
      </c>
      <c r="P847" s="28"/>
      <c r="Q847" s="33" t="str">
        <f aca="false">IF(P847="","",IFERROR(VLOOKUP(P847,PARTNERS!$A$2:$B$30,2,0),""))</f>
        <v/>
      </c>
      <c r="R847" s="17" t="str">
        <f aca="false">IF(O847="","",IF(OR(P847="",Q847=""),0,(O847-N847)*IF(Q847&gt;1,Q847/100,Q847)))</f>
        <v/>
      </c>
      <c r="S847" s="31" t="str">
        <f aca="false">IF(O847="","",O847-R847)</f>
        <v/>
      </c>
      <c r="T847" s="28"/>
      <c r="U847" s="34" t="str">
        <f aca="false">IF(T847="","",IFERROR(VLOOKUP(T847,REPS!$A$2:$D$40,2,0),""))</f>
        <v/>
      </c>
      <c r="V847" s="31" t="str">
        <f aca="false">IF(O847="","",IF(U847="",0,O847*IF(U847&gt;1,U847/100,U847)))</f>
        <v/>
      </c>
      <c r="W847" s="28"/>
      <c r="X847" s="34" t="str">
        <f aca="false">IF(W847="","",IFERROR(VLOOKUP(W847,REPS!$A$2:$D$40,3,0),""))</f>
        <v/>
      </c>
      <c r="Y847" s="31" t="str">
        <f aca="false">IF(O847="","",IF(X847="",0,O847*IF(X847&gt;1,X847/100,X847)))</f>
        <v/>
      </c>
      <c r="Z847" s="28"/>
      <c r="AA847" s="34" t="str">
        <f aca="false">IF(Z847="","",IFERROR(VLOOKUP(Z847,REPS!$A$2:$D$40,4,0),""))</f>
        <v/>
      </c>
      <c r="AB847" s="31" t="str">
        <f aca="false">IF(O847="","",IF(AA847="",0,O847*IF(AA847&gt;1,AA847/100,AA847)))</f>
        <v/>
      </c>
      <c r="AC847" s="31" t="str">
        <f aca="false">IF(O847="","",V847+Y847+AB847)</f>
        <v/>
      </c>
      <c r="AD847" s="19" t="str">
        <f aca="false">IF(O847="","",O847-R847-AC847)</f>
        <v/>
      </c>
      <c r="AE847" s="20"/>
      <c r="AF847" s="27"/>
      <c r="AG847" s="21" t="n">
        <f aca="false">IF(OR(AE847="",AE847=0),0,AE847*IF(U847="",0,IF(U847&gt;1,U847/100,U847)))</f>
        <v>0</v>
      </c>
      <c r="AH847" s="21" t="n">
        <f aca="false">IF(OR(AE847="",AE847=0),0,AE847*IF(X847="",0,IF(X847&gt;1,X847/100,X847)))</f>
        <v>0</v>
      </c>
      <c r="AI847" s="21" t="n">
        <f aca="false">IF(OR(AE847="",AE847=0),0,AE847*IF(AA847="",0,IF(AA847&gt;1,AA847/100,AA847)))</f>
        <v>0</v>
      </c>
      <c r="AJ847" s="21" t="n">
        <f aca="false">AG847+AH847+AI847</f>
        <v>0</v>
      </c>
      <c r="AK847" s="21" t="n">
        <f aca="false">IF(OR(AE847="",AE847=0),0,AE847-AJ847)</f>
        <v>0</v>
      </c>
      <c r="AL847" s="19" t="str">
        <f aca="false">IF(AD847="","",AD847-AK847)</f>
        <v/>
      </c>
      <c r="AM847" s="26" t="str">
        <f aca="false">IF(C847="","","Waiting for payment")</f>
        <v/>
      </c>
      <c r="AN847" s="27"/>
      <c r="AO847" s="27"/>
      <c r="AP847" s="35" t="str">
        <f aca="false">IF(OR(C847="",I847="",K847=""),"",IF(K847="Monthly",EDATE(C847,ROUND(I847*SETTINGS!$I$8,0)),WORKDAY(C847,ROUND(I847*SETTINGS!$I$8,0))))</f>
        <v/>
      </c>
      <c r="AQ847" s="26" t="str">
        <f aca="true">IF(C847="","",IF(AND(AP847&lt;&gt;"",TODAY()&gt;=AP847),"Refi Ready",IF(TODAY()-C847&gt;=SETTINGS!$I$11,"Prospecting","Performing")))</f>
        <v/>
      </c>
      <c r="AR847" s="35" t="str">
        <f aca="false">IF(OR(C847="",I847="",K847=""),"",IF(K847="Monthly",EDATE(C847,I847),WORKDAY(C847,I847)))</f>
        <v/>
      </c>
      <c r="AS847" s="28"/>
      <c r="AT847" s="36" t="str">
        <f aca="true">IF(C847="","",IF(AM847="Clawed Back","CLAWED",IF(TODAY()&lt;=C847+SETTINGS!$I$2,"⚠ AT RISK","SAFE")))</f>
        <v/>
      </c>
      <c r="AU847" s="28"/>
      <c r="AW847" s="24" t="n">
        <f aca="false">AW846+IF(AND(C847&lt;&gt;"",AO847&lt;&gt;"",OR('REP COMMISSION'!$B$3="",T847='REP COMMISSION'!$B$3,W847='REP COMMISSION'!$B$3,Z847='REP COMMISSION'!$B$3)),1,0)</f>
        <v>0</v>
      </c>
      <c r="AX847" s="24" t="n">
        <f aca="false">AX846+IF(AND(C847&lt;&gt;"",OR(F847="LOC - INITIAL",F847="CONSOLIDATION - UPFRONT COMM",F847="REVERSE - TOTAL FUNDING")),1,0)</f>
        <v>0</v>
      </c>
    </row>
    <row r="848" customFormat="false" ht="15" hidden="false" customHeight="false" outlineLevel="0" collapsed="false">
      <c r="A848" s="8" t="str">
        <f aca="false">IF(C848&lt;&gt;"","F27-"&amp;COUNT($C$4:C848),"")</f>
        <v/>
      </c>
      <c r="B848" s="9" t="str">
        <f aca="false">IF(OR(F848="LOC - INITIAL",F848="CONSOLIDATION - UPFRONT COMM",F848="REVERSE - TOTAL FUNDING"),A848,"")</f>
        <v/>
      </c>
      <c r="C848" s="10"/>
      <c r="D848" s="11"/>
      <c r="E848" s="11"/>
      <c r="F848" s="11"/>
      <c r="G848" s="12"/>
      <c r="H848" s="13"/>
      <c r="I848" s="11"/>
      <c r="J848" s="14" t="str">
        <f aca="false">IF(AND(G848&lt;&gt;"",H848&lt;&gt;""),G848*H848,"")</f>
        <v/>
      </c>
      <c r="K848" s="11"/>
      <c r="L848" s="15"/>
      <c r="M848" s="15"/>
      <c r="N848" s="14" t="n">
        <f aca="false">IF(OR(G848="",M848=""),0,IF(M848&gt;100,M848,G848*IF(M848&gt;1,M848/100,M848)))</f>
        <v>0</v>
      </c>
      <c r="O848" s="14" t="str">
        <f aca="false">IF(G848="","",G848*IF(L848="",0,IF(L848&gt;1,L848/100,L848))+N848)</f>
        <v/>
      </c>
      <c r="P848" s="11"/>
      <c r="Q848" s="16" t="str">
        <f aca="false">IF(P848="","",IFERROR(VLOOKUP(P848,PARTNERS!$A$2:$B$30,2,0),""))</f>
        <v/>
      </c>
      <c r="R848" s="17" t="str">
        <f aca="false">IF(O848="","",IF(OR(P848="",Q848=""),0,(O848-N848)*IF(Q848&gt;1,Q848/100,Q848)))</f>
        <v/>
      </c>
      <c r="S848" s="14" t="str">
        <f aca="false">IF(O848="","",O848-R848)</f>
        <v/>
      </c>
      <c r="T848" s="11"/>
      <c r="U848" s="18" t="str">
        <f aca="false">IF(T848="","",IFERROR(VLOOKUP(T848,REPS!$A$2:$D$40,2,0),""))</f>
        <v/>
      </c>
      <c r="V848" s="14" t="str">
        <f aca="false">IF(O848="","",IF(U848="",0,O848*IF(U848&gt;1,U848/100,U848)))</f>
        <v/>
      </c>
      <c r="W848" s="11"/>
      <c r="X848" s="18" t="str">
        <f aca="false">IF(W848="","",IFERROR(VLOOKUP(W848,REPS!$A$2:$D$40,3,0),""))</f>
        <v/>
      </c>
      <c r="Y848" s="14" t="str">
        <f aca="false">IF(O848="","",IF(X848="",0,O848*IF(X848&gt;1,X848/100,X848)))</f>
        <v/>
      </c>
      <c r="Z848" s="11"/>
      <c r="AA848" s="18" t="str">
        <f aca="false">IF(Z848="","",IFERROR(VLOOKUP(Z848,REPS!$A$2:$D$40,4,0),""))</f>
        <v/>
      </c>
      <c r="AB848" s="14" t="str">
        <f aca="false">IF(O848="","",IF(AA848="",0,O848*IF(AA848&gt;1,AA848/100,AA848)))</f>
        <v/>
      </c>
      <c r="AC848" s="14" t="str">
        <f aca="false">IF(O848="","",V848+Y848+AB848)</f>
        <v/>
      </c>
      <c r="AD848" s="19" t="str">
        <f aca="false">IF(O848="","",O848-R848-AC848)</f>
        <v/>
      </c>
      <c r="AE848" s="20"/>
      <c r="AF848" s="10"/>
      <c r="AG848" s="21" t="n">
        <f aca="false">IF(OR(AE848="",AE848=0),0,AE848*IF(U848="",0,IF(U848&gt;1,U848/100,U848)))</f>
        <v>0</v>
      </c>
      <c r="AH848" s="21" t="n">
        <f aca="false">IF(OR(AE848="",AE848=0),0,AE848*IF(X848="",0,IF(X848&gt;1,X848/100,X848)))</f>
        <v>0</v>
      </c>
      <c r="AI848" s="21" t="n">
        <f aca="false">IF(OR(AE848="",AE848=0),0,AE848*IF(AA848="",0,IF(AA848&gt;1,AA848/100,AA848)))</f>
        <v>0</v>
      </c>
      <c r="AJ848" s="21" t="n">
        <f aca="false">AG848+AH848+AI848</f>
        <v>0</v>
      </c>
      <c r="AK848" s="21" t="n">
        <f aca="false">IF(OR(AE848="",AE848=0),0,AE848-AJ848)</f>
        <v>0</v>
      </c>
      <c r="AL848" s="19" t="str">
        <f aca="false">IF(AD848="","",AD848-AK848)</f>
        <v/>
      </c>
      <c r="AM848" s="9" t="str">
        <f aca="false">IF(C848="","","Waiting for payment")</f>
        <v/>
      </c>
      <c r="AN848" s="10"/>
      <c r="AO848" s="10"/>
      <c r="AP848" s="22" t="str">
        <f aca="false">IF(OR(C848="",I848="",K848=""),"",IF(K848="Monthly",EDATE(C848,ROUND(I848*SETTINGS!$I$8,0)),WORKDAY(C848,ROUND(I848*SETTINGS!$I$8,0))))</f>
        <v/>
      </c>
      <c r="AQ848" s="9" t="str">
        <f aca="true">IF(C848="","",IF(AND(AP848&lt;&gt;"",TODAY()&gt;=AP848),"Refi Ready",IF(TODAY()-C848&gt;=SETTINGS!$I$11,"Prospecting","Performing")))</f>
        <v/>
      </c>
      <c r="AR848" s="22" t="str">
        <f aca="false">IF(OR(C848="",I848="",K848=""),"",IF(K848="Monthly",EDATE(C848,I848),WORKDAY(C848,I848)))</f>
        <v/>
      </c>
      <c r="AS848" s="11"/>
      <c r="AT848" s="23" t="str">
        <f aca="true">IF(C848="","",IF(AM848="Clawed Back","CLAWED",IF(TODAY()&lt;=C848+SETTINGS!$I$2,"⚠ AT RISK","SAFE")))</f>
        <v/>
      </c>
      <c r="AU848" s="11"/>
      <c r="AW848" s="24" t="n">
        <f aca="false">AW847+IF(AND(C848&lt;&gt;"",AO848&lt;&gt;"",OR('REP COMMISSION'!$B$3="",T848='REP COMMISSION'!$B$3,W848='REP COMMISSION'!$B$3,Z848='REP COMMISSION'!$B$3)),1,0)</f>
        <v>0</v>
      </c>
      <c r="AX848" s="24" t="n">
        <f aca="false">AX847+IF(AND(C848&lt;&gt;"",OR(F848="LOC - INITIAL",F848="CONSOLIDATION - UPFRONT COMM",F848="REVERSE - TOTAL FUNDING")),1,0)</f>
        <v>0</v>
      </c>
    </row>
    <row r="849" customFormat="false" ht="15" hidden="false" customHeight="false" outlineLevel="0" collapsed="false">
      <c r="A849" s="25" t="str">
        <f aca="false">IF(C849&lt;&gt;"","F27-"&amp;COUNT($C$4:C849),"")</f>
        <v/>
      </c>
      <c r="B849" s="26" t="str">
        <f aca="false">IF(OR(F849="LOC - INITIAL",F849="CONSOLIDATION - UPFRONT COMM",F849="REVERSE - TOTAL FUNDING"),A849,"")</f>
        <v/>
      </c>
      <c r="C849" s="27"/>
      <c r="D849" s="28"/>
      <c r="E849" s="28"/>
      <c r="F849" s="28"/>
      <c r="G849" s="29"/>
      <c r="H849" s="30"/>
      <c r="I849" s="28"/>
      <c r="J849" s="31" t="str">
        <f aca="false">IF(AND(G849&lt;&gt;"",H849&lt;&gt;""),G849*H849,"")</f>
        <v/>
      </c>
      <c r="K849" s="28"/>
      <c r="L849" s="32"/>
      <c r="M849" s="32"/>
      <c r="N849" s="31" t="n">
        <f aca="false">IF(OR(G849="",M849=""),0,IF(M849&gt;100,M849,G849*IF(M849&gt;1,M849/100,M849)))</f>
        <v>0</v>
      </c>
      <c r="O849" s="31" t="str">
        <f aca="false">IF(G849="","",G849*IF(L849="",0,IF(L849&gt;1,L849/100,L849))+N849)</f>
        <v/>
      </c>
      <c r="P849" s="28"/>
      <c r="Q849" s="33" t="str">
        <f aca="false">IF(P849="","",IFERROR(VLOOKUP(P849,PARTNERS!$A$2:$B$30,2,0),""))</f>
        <v/>
      </c>
      <c r="R849" s="17" t="str">
        <f aca="false">IF(O849="","",IF(OR(P849="",Q849=""),0,(O849-N849)*IF(Q849&gt;1,Q849/100,Q849)))</f>
        <v/>
      </c>
      <c r="S849" s="31" t="str">
        <f aca="false">IF(O849="","",O849-R849)</f>
        <v/>
      </c>
      <c r="T849" s="28"/>
      <c r="U849" s="34" t="str">
        <f aca="false">IF(T849="","",IFERROR(VLOOKUP(T849,REPS!$A$2:$D$40,2,0),""))</f>
        <v/>
      </c>
      <c r="V849" s="31" t="str">
        <f aca="false">IF(O849="","",IF(U849="",0,O849*IF(U849&gt;1,U849/100,U849)))</f>
        <v/>
      </c>
      <c r="W849" s="28"/>
      <c r="X849" s="34" t="str">
        <f aca="false">IF(W849="","",IFERROR(VLOOKUP(W849,REPS!$A$2:$D$40,3,0),""))</f>
        <v/>
      </c>
      <c r="Y849" s="31" t="str">
        <f aca="false">IF(O849="","",IF(X849="",0,O849*IF(X849&gt;1,X849/100,X849)))</f>
        <v/>
      </c>
      <c r="Z849" s="28"/>
      <c r="AA849" s="34" t="str">
        <f aca="false">IF(Z849="","",IFERROR(VLOOKUP(Z849,REPS!$A$2:$D$40,4,0),""))</f>
        <v/>
      </c>
      <c r="AB849" s="31" t="str">
        <f aca="false">IF(O849="","",IF(AA849="",0,O849*IF(AA849&gt;1,AA849/100,AA849)))</f>
        <v/>
      </c>
      <c r="AC849" s="31" t="str">
        <f aca="false">IF(O849="","",V849+Y849+AB849)</f>
        <v/>
      </c>
      <c r="AD849" s="19" t="str">
        <f aca="false">IF(O849="","",O849-R849-AC849)</f>
        <v/>
      </c>
      <c r="AE849" s="20"/>
      <c r="AF849" s="27"/>
      <c r="AG849" s="21" t="n">
        <f aca="false">IF(OR(AE849="",AE849=0),0,AE849*IF(U849="",0,IF(U849&gt;1,U849/100,U849)))</f>
        <v>0</v>
      </c>
      <c r="AH849" s="21" t="n">
        <f aca="false">IF(OR(AE849="",AE849=0),0,AE849*IF(X849="",0,IF(X849&gt;1,X849/100,X849)))</f>
        <v>0</v>
      </c>
      <c r="AI849" s="21" t="n">
        <f aca="false">IF(OR(AE849="",AE849=0),0,AE849*IF(AA849="",0,IF(AA849&gt;1,AA849/100,AA849)))</f>
        <v>0</v>
      </c>
      <c r="AJ849" s="21" t="n">
        <f aca="false">AG849+AH849+AI849</f>
        <v>0</v>
      </c>
      <c r="AK849" s="21" t="n">
        <f aca="false">IF(OR(AE849="",AE849=0),0,AE849-AJ849)</f>
        <v>0</v>
      </c>
      <c r="AL849" s="19" t="str">
        <f aca="false">IF(AD849="","",AD849-AK849)</f>
        <v/>
      </c>
      <c r="AM849" s="26" t="str">
        <f aca="false">IF(C849="","","Waiting for payment")</f>
        <v/>
      </c>
      <c r="AN849" s="27"/>
      <c r="AO849" s="27"/>
      <c r="AP849" s="35" t="str">
        <f aca="false">IF(OR(C849="",I849="",K849=""),"",IF(K849="Monthly",EDATE(C849,ROUND(I849*SETTINGS!$I$8,0)),WORKDAY(C849,ROUND(I849*SETTINGS!$I$8,0))))</f>
        <v/>
      </c>
      <c r="AQ849" s="26" t="str">
        <f aca="true">IF(C849="","",IF(AND(AP849&lt;&gt;"",TODAY()&gt;=AP849),"Refi Ready",IF(TODAY()-C849&gt;=SETTINGS!$I$11,"Prospecting","Performing")))</f>
        <v/>
      </c>
      <c r="AR849" s="35" t="str">
        <f aca="false">IF(OR(C849="",I849="",K849=""),"",IF(K849="Monthly",EDATE(C849,I849),WORKDAY(C849,I849)))</f>
        <v/>
      </c>
      <c r="AS849" s="28"/>
      <c r="AT849" s="36" t="str">
        <f aca="true">IF(C849="","",IF(AM849="Clawed Back","CLAWED",IF(TODAY()&lt;=C849+SETTINGS!$I$2,"⚠ AT RISK","SAFE")))</f>
        <v/>
      </c>
      <c r="AU849" s="28"/>
      <c r="AW849" s="24" t="n">
        <f aca="false">AW848+IF(AND(C849&lt;&gt;"",AO849&lt;&gt;"",OR('REP COMMISSION'!$B$3="",T849='REP COMMISSION'!$B$3,W849='REP COMMISSION'!$B$3,Z849='REP COMMISSION'!$B$3)),1,0)</f>
        <v>0</v>
      </c>
      <c r="AX849" s="24" t="n">
        <f aca="false">AX848+IF(AND(C849&lt;&gt;"",OR(F849="LOC - INITIAL",F849="CONSOLIDATION - UPFRONT COMM",F849="REVERSE - TOTAL FUNDING")),1,0)</f>
        <v>0</v>
      </c>
    </row>
    <row r="850" customFormat="false" ht="15" hidden="false" customHeight="false" outlineLevel="0" collapsed="false">
      <c r="A850" s="8" t="str">
        <f aca="false">IF(C850&lt;&gt;"","F27-"&amp;COUNT($C$4:C850),"")</f>
        <v/>
      </c>
      <c r="B850" s="9" t="str">
        <f aca="false">IF(OR(F850="LOC - INITIAL",F850="CONSOLIDATION - UPFRONT COMM",F850="REVERSE - TOTAL FUNDING"),A850,"")</f>
        <v/>
      </c>
      <c r="C850" s="10"/>
      <c r="D850" s="11"/>
      <c r="E850" s="11"/>
      <c r="F850" s="11"/>
      <c r="G850" s="12"/>
      <c r="H850" s="13"/>
      <c r="I850" s="11"/>
      <c r="J850" s="14" t="str">
        <f aca="false">IF(AND(G850&lt;&gt;"",H850&lt;&gt;""),G850*H850,"")</f>
        <v/>
      </c>
      <c r="K850" s="11"/>
      <c r="L850" s="15"/>
      <c r="M850" s="15"/>
      <c r="N850" s="14" t="n">
        <f aca="false">IF(OR(G850="",M850=""),0,IF(M850&gt;100,M850,G850*IF(M850&gt;1,M850/100,M850)))</f>
        <v>0</v>
      </c>
      <c r="O850" s="14" t="str">
        <f aca="false">IF(G850="","",G850*IF(L850="",0,IF(L850&gt;1,L850/100,L850))+N850)</f>
        <v/>
      </c>
      <c r="P850" s="11"/>
      <c r="Q850" s="16" t="str">
        <f aca="false">IF(P850="","",IFERROR(VLOOKUP(P850,PARTNERS!$A$2:$B$30,2,0),""))</f>
        <v/>
      </c>
      <c r="R850" s="17" t="str">
        <f aca="false">IF(O850="","",IF(OR(P850="",Q850=""),0,(O850-N850)*IF(Q850&gt;1,Q850/100,Q850)))</f>
        <v/>
      </c>
      <c r="S850" s="14" t="str">
        <f aca="false">IF(O850="","",O850-R850)</f>
        <v/>
      </c>
      <c r="T850" s="11"/>
      <c r="U850" s="18" t="str">
        <f aca="false">IF(T850="","",IFERROR(VLOOKUP(T850,REPS!$A$2:$D$40,2,0),""))</f>
        <v/>
      </c>
      <c r="V850" s="14" t="str">
        <f aca="false">IF(O850="","",IF(U850="",0,O850*IF(U850&gt;1,U850/100,U850)))</f>
        <v/>
      </c>
      <c r="W850" s="11"/>
      <c r="X850" s="18" t="str">
        <f aca="false">IF(W850="","",IFERROR(VLOOKUP(W850,REPS!$A$2:$D$40,3,0),""))</f>
        <v/>
      </c>
      <c r="Y850" s="14" t="str">
        <f aca="false">IF(O850="","",IF(X850="",0,O850*IF(X850&gt;1,X850/100,X850)))</f>
        <v/>
      </c>
      <c r="Z850" s="11"/>
      <c r="AA850" s="18" t="str">
        <f aca="false">IF(Z850="","",IFERROR(VLOOKUP(Z850,REPS!$A$2:$D$40,4,0),""))</f>
        <v/>
      </c>
      <c r="AB850" s="14" t="str">
        <f aca="false">IF(O850="","",IF(AA850="",0,O850*IF(AA850&gt;1,AA850/100,AA850)))</f>
        <v/>
      </c>
      <c r="AC850" s="14" t="str">
        <f aca="false">IF(O850="","",V850+Y850+AB850)</f>
        <v/>
      </c>
      <c r="AD850" s="19" t="str">
        <f aca="false">IF(O850="","",O850-R850-AC850)</f>
        <v/>
      </c>
      <c r="AE850" s="20"/>
      <c r="AF850" s="10"/>
      <c r="AG850" s="21" t="n">
        <f aca="false">IF(OR(AE850="",AE850=0),0,AE850*IF(U850="",0,IF(U850&gt;1,U850/100,U850)))</f>
        <v>0</v>
      </c>
      <c r="AH850" s="21" t="n">
        <f aca="false">IF(OR(AE850="",AE850=0),0,AE850*IF(X850="",0,IF(X850&gt;1,X850/100,X850)))</f>
        <v>0</v>
      </c>
      <c r="AI850" s="21" t="n">
        <f aca="false">IF(OR(AE850="",AE850=0),0,AE850*IF(AA850="",0,IF(AA850&gt;1,AA850/100,AA850)))</f>
        <v>0</v>
      </c>
      <c r="AJ850" s="21" t="n">
        <f aca="false">AG850+AH850+AI850</f>
        <v>0</v>
      </c>
      <c r="AK850" s="21" t="n">
        <f aca="false">IF(OR(AE850="",AE850=0),0,AE850-AJ850)</f>
        <v>0</v>
      </c>
      <c r="AL850" s="19" t="str">
        <f aca="false">IF(AD850="","",AD850-AK850)</f>
        <v/>
      </c>
      <c r="AM850" s="9" t="str">
        <f aca="false">IF(C850="","","Waiting for payment")</f>
        <v/>
      </c>
      <c r="AN850" s="10"/>
      <c r="AO850" s="10"/>
      <c r="AP850" s="22" t="str">
        <f aca="false">IF(OR(C850="",I850="",K850=""),"",IF(K850="Monthly",EDATE(C850,ROUND(I850*SETTINGS!$I$8,0)),WORKDAY(C850,ROUND(I850*SETTINGS!$I$8,0))))</f>
        <v/>
      </c>
      <c r="AQ850" s="9" t="str">
        <f aca="true">IF(C850="","",IF(AND(AP850&lt;&gt;"",TODAY()&gt;=AP850),"Refi Ready",IF(TODAY()-C850&gt;=SETTINGS!$I$11,"Prospecting","Performing")))</f>
        <v/>
      </c>
      <c r="AR850" s="22" t="str">
        <f aca="false">IF(OR(C850="",I850="",K850=""),"",IF(K850="Monthly",EDATE(C850,I850),WORKDAY(C850,I850)))</f>
        <v/>
      </c>
      <c r="AS850" s="11"/>
      <c r="AT850" s="23" t="str">
        <f aca="true">IF(C850="","",IF(AM850="Clawed Back","CLAWED",IF(TODAY()&lt;=C850+SETTINGS!$I$2,"⚠ AT RISK","SAFE")))</f>
        <v/>
      </c>
      <c r="AU850" s="11"/>
      <c r="AW850" s="24" t="n">
        <f aca="false">AW849+IF(AND(C850&lt;&gt;"",AO850&lt;&gt;"",OR('REP COMMISSION'!$B$3="",T850='REP COMMISSION'!$B$3,W850='REP COMMISSION'!$B$3,Z850='REP COMMISSION'!$B$3)),1,0)</f>
        <v>0</v>
      </c>
      <c r="AX850" s="24" t="n">
        <f aca="false">AX849+IF(AND(C850&lt;&gt;"",OR(F850="LOC - INITIAL",F850="CONSOLIDATION - UPFRONT COMM",F850="REVERSE - TOTAL FUNDING")),1,0)</f>
        <v>0</v>
      </c>
    </row>
    <row r="851" customFormat="false" ht="15" hidden="false" customHeight="false" outlineLevel="0" collapsed="false">
      <c r="A851" s="25" t="str">
        <f aca="false">IF(C851&lt;&gt;"","F27-"&amp;COUNT($C$4:C851),"")</f>
        <v/>
      </c>
      <c r="B851" s="26" t="str">
        <f aca="false">IF(OR(F851="LOC - INITIAL",F851="CONSOLIDATION - UPFRONT COMM",F851="REVERSE - TOTAL FUNDING"),A851,"")</f>
        <v/>
      </c>
      <c r="C851" s="27"/>
      <c r="D851" s="28"/>
      <c r="E851" s="28"/>
      <c r="F851" s="28"/>
      <c r="G851" s="29"/>
      <c r="H851" s="30"/>
      <c r="I851" s="28"/>
      <c r="J851" s="31" t="str">
        <f aca="false">IF(AND(G851&lt;&gt;"",H851&lt;&gt;""),G851*H851,"")</f>
        <v/>
      </c>
      <c r="K851" s="28"/>
      <c r="L851" s="32"/>
      <c r="M851" s="32"/>
      <c r="N851" s="31" t="n">
        <f aca="false">IF(OR(G851="",M851=""),0,IF(M851&gt;100,M851,G851*IF(M851&gt;1,M851/100,M851)))</f>
        <v>0</v>
      </c>
      <c r="O851" s="31" t="str">
        <f aca="false">IF(G851="","",G851*IF(L851="",0,IF(L851&gt;1,L851/100,L851))+N851)</f>
        <v/>
      </c>
      <c r="P851" s="28"/>
      <c r="Q851" s="33" t="str">
        <f aca="false">IF(P851="","",IFERROR(VLOOKUP(P851,PARTNERS!$A$2:$B$30,2,0),""))</f>
        <v/>
      </c>
      <c r="R851" s="17" t="str">
        <f aca="false">IF(O851="","",IF(OR(P851="",Q851=""),0,(O851-N851)*IF(Q851&gt;1,Q851/100,Q851)))</f>
        <v/>
      </c>
      <c r="S851" s="31" t="str">
        <f aca="false">IF(O851="","",O851-R851)</f>
        <v/>
      </c>
      <c r="T851" s="28"/>
      <c r="U851" s="34" t="str">
        <f aca="false">IF(T851="","",IFERROR(VLOOKUP(T851,REPS!$A$2:$D$40,2,0),""))</f>
        <v/>
      </c>
      <c r="V851" s="31" t="str">
        <f aca="false">IF(O851="","",IF(U851="",0,O851*IF(U851&gt;1,U851/100,U851)))</f>
        <v/>
      </c>
      <c r="W851" s="28"/>
      <c r="X851" s="34" t="str">
        <f aca="false">IF(W851="","",IFERROR(VLOOKUP(W851,REPS!$A$2:$D$40,3,0),""))</f>
        <v/>
      </c>
      <c r="Y851" s="31" t="str">
        <f aca="false">IF(O851="","",IF(X851="",0,O851*IF(X851&gt;1,X851/100,X851)))</f>
        <v/>
      </c>
      <c r="Z851" s="28"/>
      <c r="AA851" s="34" t="str">
        <f aca="false">IF(Z851="","",IFERROR(VLOOKUP(Z851,REPS!$A$2:$D$40,4,0),""))</f>
        <v/>
      </c>
      <c r="AB851" s="31" t="str">
        <f aca="false">IF(O851="","",IF(AA851="",0,O851*IF(AA851&gt;1,AA851/100,AA851)))</f>
        <v/>
      </c>
      <c r="AC851" s="31" t="str">
        <f aca="false">IF(O851="","",V851+Y851+AB851)</f>
        <v/>
      </c>
      <c r="AD851" s="19" t="str">
        <f aca="false">IF(O851="","",O851-R851-AC851)</f>
        <v/>
      </c>
      <c r="AE851" s="20"/>
      <c r="AF851" s="27"/>
      <c r="AG851" s="21" t="n">
        <f aca="false">IF(OR(AE851="",AE851=0),0,AE851*IF(U851="",0,IF(U851&gt;1,U851/100,U851)))</f>
        <v>0</v>
      </c>
      <c r="AH851" s="21" t="n">
        <f aca="false">IF(OR(AE851="",AE851=0),0,AE851*IF(X851="",0,IF(X851&gt;1,X851/100,X851)))</f>
        <v>0</v>
      </c>
      <c r="AI851" s="21" t="n">
        <f aca="false">IF(OR(AE851="",AE851=0),0,AE851*IF(AA851="",0,IF(AA851&gt;1,AA851/100,AA851)))</f>
        <v>0</v>
      </c>
      <c r="AJ851" s="21" t="n">
        <f aca="false">AG851+AH851+AI851</f>
        <v>0</v>
      </c>
      <c r="AK851" s="21" t="n">
        <f aca="false">IF(OR(AE851="",AE851=0),0,AE851-AJ851)</f>
        <v>0</v>
      </c>
      <c r="AL851" s="19" t="str">
        <f aca="false">IF(AD851="","",AD851-AK851)</f>
        <v/>
      </c>
      <c r="AM851" s="26" t="str">
        <f aca="false">IF(C851="","","Waiting for payment")</f>
        <v/>
      </c>
      <c r="AN851" s="27"/>
      <c r="AO851" s="27"/>
      <c r="AP851" s="35" t="str">
        <f aca="false">IF(OR(C851="",I851="",K851=""),"",IF(K851="Monthly",EDATE(C851,ROUND(I851*SETTINGS!$I$8,0)),WORKDAY(C851,ROUND(I851*SETTINGS!$I$8,0))))</f>
        <v/>
      </c>
      <c r="AQ851" s="26" t="str">
        <f aca="true">IF(C851="","",IF(AND(AP851&lt;&gt;"",TODAY()&gt;=AP851),"Refi Ready",IF(TODAY()-C851&gt;=SETTINGS!$I$11,"Prospecting","Performing")))</f>
        <v/>
      </c>
      <c r="AR851" s="35" t="str">
        <f aca="false">IF(OR(C851="",I851="",K851=""),"",IF(K851="Monthly",EDATE(C851,I851),WORKDAY(C851,I851)))</f>
        <v/>
      </c>
      <c r="AS851" s="28"/>
      <c r="AT851" s="36" t="str">
        <f aca="true">IF(C851="","",IF(AM851="Clawed Back","CLAWED",IF(TODAY()&lt;=C851+SETTINGS!$I$2,"⚠ AT RISK","SAFE")))</f>
        <v/>
      </c>
      <c r="AU851" s="28"/>
      <c r="AW851" s="24" t="n">
        <f aca="false">AW850+IF(AND(C851&lt;&gt;"",AO851&lt;&gt;"",OR('REP COMMISSION'!$B$3="",T851='REP COMMISSION'!$B$3,W851='REP COMMISSION'!$B$3,Z851='REP COMMISSION'!$B$3)),1,0)</f>
        <v>0</v>
      </c>
      <c r="AX851" s="24" t="n">
        <f aca="false">AX850+IF(AND(C851&lt;&gt;"",OR(F851="LOC - INITIAL",F851="CONSOLIDATION - UPFRONT COMM",F851="REVERSE - TOTAL FUNDING")),1,0)</f>
        <v>0</v>
      </c>
    </row>
    <row r="852" customFormat="false" ht="15" hidden="false" customHeight="false" outlineLevel="0" collapsed="false">
      <c r="A852" s="8" t="str">
        <f aca="false">IF(C852&lt;&gt;"","F27-"&amp;COUNT($C$4:C852),"")</f>
        <v/>
      </c>
      <c r="B852" s="9" t="str">
        <f aca="false">IF(OR(F852="LOC - INITIAL",F852="CONSOLIDATION - UPFRONT COMM",F852="REVERSE - TOTAL FUNDING"),A852,"")</f>
        <v/>
      </c>
      <c r="C852" s="10"/>
      <c r="D852" s="11"/>
      <c r="E852" s="11"/>
      <c r="F852" s="11"/>
      <c r="G852" s="12"/>
      <c r="H852" s="13"/>
      <c r="I852" s="11"/>
      <c r="J852" s="14" t="str">
        <f aca="false">IF(AND(G852&lt;&gt;"",H852&lt;&gt;""),G852*H852,"")</f>
        <v/>
      </c>
      <c r="K852" s="11"/>
      <c r="L852" s="15"/>
      <c r="M852" s="15"/>
      <c r="N852" s="14" t="n">
        <f aca="false">IF(OR(G852="",M852=""),0,IF(M852&gt;100,M852,G852*IF(M852&gt;1,M852/100,M852)))</f>
        <v>0</v>
      </c>
      <c r="O852" s="14" t="str">
        <f aca="false">IF(G852="","",G852*IF(L852="",0,IF(L852&gt;1,L852/100,L852))+N852)</f>
        <v/>
      </c>
      <c r="P852" s="11"/>
      <c r="Q852" s="16" t="str">
        <f aca="false">IF(P852="","",IFERROR(VLOOKUP(P852,PARTNERS!$A$2:$B$30,2,0),""))</f>
        <v/>
      </c>
      <c r="R852" s="17" t="str">
        <f aca="false">IF(O852="","",IF(OR(P852="",Q852=""),0,(O852-N852)*IF(Q852&gt;1,Q852/100,Q852)))</f>
        <v/>
      </c>
      <c r="S852" s="14" t="str">
        <f aca="false">IF(O852="","",O852-R852)</f>
        <v/>
      </c>
      <c r="T852" s="11"/>
      <c r="U852" s="18" t="str">
        <f aca="false">IF(T852="","",IFERROR(VLOOKUP(T852,REPS!$A$2:$D$40,2,0),""))</f>
        <v/>
      </c>
      <c r="V852" s="14" t="str">
        <f aca="false">IF(O852="","",IF(U852="",0,O852*IF(U852&gt;1,U852/100,U852)))</f>
        <v/>
      </c>
      <c r="W852" s="11"/>
      <c r="X852" s="18" t="str">
        <f aca="false">IF(W852="","",IFERROR(VLOOKUP(W852,REPS!$A$2:$D$40,3,0),""))</f>
        <v/>
      </c>
      <c r="Y852" s="14" t="str">
        <f aca="false">IF(O852="","",IF(X852="",0,O852*IF(X852&gt;1,X852/100,X852)))</f>
        <v/>
      </c>
      <c r="Z852" s="11"/>
      <c r="AA852" s="18" t="str">
        <f aca="false">IF(Z852="","",IFERROR(VLOOKUP(Z852,REPS!$A$2:$D$40,4,0),""))</f>
        <v/>
      </c>
      <c r="AB852" s="14" t="str">
        <f aca="false">IF(O852="","",IF(AA852="",0,O852*IF(AA852&gt;1,AA852/100,AA852)))</f>
        <v/>
      </c>
      <c r="AC852" s="14" t="str">
        <f aca="false">IF(O852="","",V852+Y852+AB852)</f>
        <v/>
      </c>
      <c r="AD852" s="19" t="str">
        <f aca="false">IF(O852="","",O852-R852-AC852)</f>
        <v/>
      </c>
      <c r="AE852" s="20"/>
      <c r="AF852" s="10"/>
      <c r="AG852" s="21" t="n">
        <f aca="false">IF(OR(AE852="",AE852=0),0,AE852*IF(U852="",0,IF(U852&gt;1,U852/100,U852)))</f>
        <v>0</v>
      </c>
      <c r="AH852" s="21" t="n">
        <f aca="false">IF(OR(AE852="",AE852=0),0,AE852*IF(X852="",0,IF(X852&gt;1,X852/100,X852)))</f>
        <v>0</v>
      </c>
      <c r="AI852" s="21" t="n">
        <f aca="false">IF(OR(AE852="",AE852=0),0,AE852*IF(AA852="",0,IF(AA852&gt;1,AA852/100,AA852)))</f>
        <v>0</v>
      </c>
      <c r="AJ852" s="21" t="n">
        <f aca="false">AG852+AH852+AI852</f>
        <v>0</v>
      </c>
      <c r="AK852" s="21" t="n">
        <f aca="false">IF(OR(AE852="",AE852=0),0,AE852-AJ852)</f>
        <v>0</v>
      </c>
      <c r="AL852" s="19" t="str">
        <f aca="false">IF(AD852="","",AD852-AK852)</f>
        <v/>
      </c>
      <c r="AM852" s="9" t="str">
        <f aca="false">IF(C852="","","Waiting for payment")</f>
        <v/>
      </c>
      <c r="AN852" s="10"/>
      <c r="AO852" s="10"/>
      <c r="AP852" s="22" t="str">
        <f aca="false">IF(OR(C852="",I852="",K852=""),"",IF(K852="Monthly",EDATE(C852,ROUND(I852*SETTINGS!$I$8,0)),WORKDAY(C852,ROUND(I852*SETTINGS!$I$8,0))))</f>
        <v/>
      </c>
      <c r="AQ852" s="9" t="str">
        <f aca="true">IF(C852="","",IF(AND(AP852&lt;&gt;"",TODAY()&gt;=AP852),"Refi Ready",IF(TODAY()-C852&gt;=SETTINGS!$I$11,"Prospecting","Performing")))</f>
        <v/>
      </c>
      <c r="AR852" s="22" t="str">
        <f aca="false">IF(OR(C852="",I852="",K852=""),"",IF(K852="Monthly",EDATE(C852,I852),WORKDAY(C852,I852)))</f>
        <v/>
      </c>
      <c r="AS852" s="11"/>
      <c r="AT852" s="23" t="str">
        <f aca="true">IF(C852="","",IF(AM852="Clawed Back","CLAWED",IF(TODAY()&lt;=C852+SETTINGS!$I$2,"⚠ AT RISK","SAFE")))</f>
        <v/>
      </c>
      <c r="AU852" s="11"/>
      <c r="AW852" s="24" t="n">
        <f aca="false">AW851+IF(AND(C852&lt;&gt;"",AO852&lt;&gt;"",OR('REP COMMISSION'!$B$3="",T852='REP COMMISSION'!$B$3,W852='REP COMMISSION'!$B$3,Z852='REP COMMISSION'!$B$3)),1,0)</f>
        <v>0</v>
      </c>
      <c r="AX852" s="24" t="n">
        <f aca="false">AX851+IF(AND(C852&lt;&gt;"",OR(F852="LOC - INITIAL",F852="CONSOLIDATION - UPFRONT COMM",F852="REVERSE - TOTAL FUNDING")),1,0)</f>
        <v>0</v>
      </c>
    </row>
    <row r="853" customFormat="false" ht="15" hidden="false" customHeight="false" outlineLevel="0" collapsed="false">
      <c r="A853" s="25" t="str">
        <f aca="false">IF(C853&lt;&gt;"","F27-"&amp;COUNT($C$4:C853),"")</f>
        <v/>
      </c>
      <c r="B853" s="26" t="str">
        <f aca="false">IF(OR(F853="LOC - INITIAL",F853="CONSOLIDATION - UPFRONT COMM",F853="REVERSE - TOTAL FUNDING"),A853,"")</f>
        <v/>
      </c>
      <c r="C853" s="27"/>
      <c r="D853" s="28"/>
      <c r="E853" s="28"/>
      <c r="F853" s="28"/>
      <c r="G853" s="29"/>
      <c r="H853" s="30"/>
      <c r="I853" s="28"/>
      <c r="J853" s="31" t="str">
        <f aca="false">IF(AND(G853&lt;&gt;"",H853&lt;&gt;""),G853*H853,"")</f>
        <v/>
      </c>
      <c r="K853" s="28"/>
      <c r="L853" s="32"/>
      <c r="M853" s="32"/>
      <c r="N853" s="31" t="n">
        <f aca="false">IF(OR(G853="",M853=""),0,IF(M853&gt;100,M853,G853*IF(M853&gt;1,M853/100,M853)))</f>
        <v>0</v>
      </c>
      <c r="O853" s="31" t="str">
        <f aca="false">IF(G853="","",G853*IF(L853="",0,IF(L853&gt;1,L853/100,L853))+N853)</f>
        <v/>
      </c>
      <c r="P853" s="28"/>
      <c r="Q853" s="33" t="str">
        <f aca="false">IF(P853="","",IFERROR(VLOOKUP(P853,PARTNERS!$A$2:$B$30,2,0),""))</f>
        <v/>
      </c>
      <c r="R853" s="17" t="str">
        <f aca="false">IF(O853="","",IF(OR(P853="",Q853=""),0,(O853-N853)*IF(Q853&gt;1,Q853/100,Q853)))</f>
        <v/>
      </c>
      <c r="S853" s="31" t="str">
        <f aca="false">IF(O853="","",O853-R853)</f>
        <v/>
      </c>
      <c r="T853" s="28"/>
      <c r="U853" s="34" t="str">
        <f aca="false">IF(T853="","",IFERROR(VLOOKUP(T853,REPS!$A$2:$D$40,2,0),""))</f>
        <v/>
      </c>
      <c r="V853" s="31" t="str">
        <f aca="false">IF(O853="","",IF(U853="",0,O853*IF(U853&gt;1,U853/100,U853)))</f>
        <v/>
      </c>
      <c r="W853" s="28"/>
      <c r="X853" s="34" t="str">
        <f aca="false">IF(W853="","",IFERROR(VLOOKUP(W853,REPS!$A$2:$D$40,3,0),""))</f>
        <v/>
      </c>
      <c r="Y853" s="31" t="str">
        <f aca="false">IF(O853="","",IF(X853="",0,O853*IF(X853&gt;1,X853/100,X853)))</f>
        <v/>
      </c>
      <c r="Z853" s="28"/>
      <c r="AA853" s="34" t="str">
        <f aca="false">IF(Z853="","",IFERROR(VLOOKUP(Z853,REPS!$A$2:$D$40,4,0),""))</f>
        <v/>
      </c>
      <c r="AB853" s="31" t="str">
        <f aca="false">IF(O853="","",IF(AA853="",0,O853*IF(AA853&gt;1,AA853/100,AA853)))</f>
        <v/>
      </c>
      <c r="AC853" s="31" t="str">
        <f aca="false">IF(O853="","",V853+Y853+AB853)</f>
        <v/>
      </c>
      <c r="AD853" s="19" t="str">
        <f aca="false">IF(O853="","",O853-R853-AC853)</f>
        <v/>
      </c>
      <c r="AE853" s="20"/>
      <c r="AF853" s="27"/>
      <c r="AG853" s="21" t="n">
        <f aca="false">IF(OR(AE853="",AE853=0),0,AE853*IF(U853="",0,IF(U853&gt;1,U853/100,U853)))</f>
        <v>0</v>
      </c>
      <c r="AH853" s="21" t="n">
        <f aca="false">IF(OR(AE853="",AE853=0),0,AE853*IF(X853="",0,IF(X853&gt;1,X853/100,X853)))</f>
        <v>0</v>
      </c>
      <c r="AI853" s="21" t="n">
        <f aca="false">IF(OR(AE853="",AE853=0),0,AE853*IF(AA853="",0,IF(AA853&gt;1,AA853/100,AA853)))</f>
        <v>0</v>
      </c>
      <c r="AJ853" s="21" t="n">
        <f aca="false">AG853+AH853+AI853</f>
        <v>0</v>
      </c>
      <c r="AK853" s="21" t="n">
        <f aca="false">IF(OR(AE853="",AE853=0),0,AE853-AJ853)</f>
        <v>0</v>
      </c>
      <c r="AL853" s="19" t="str">
        <f aca="false">IF(AD853="","",AD853-AK853)</f>
        <v/>
      </c>
      <c r="AM853" s="26" t="str">
        <f aca="false">IF(C853="","","Waiting for payment")</f>
        <v/>
      </c>
      <c r="AN853" s="27"/>
      <c r="AO853" s="27"/>
      <c r="AP853" s="35" t="str">
        <f aca="false">IF(OR(C853="",I853="",K853=""),"",IF(K853="Monthly",EDATE(C853,ROUND(I853*SETTINGS!$I$8,0)),WORKDAY(C853,ROUND(I853*SETTINGS!$I$8,0))))</f>
        <v/>
      </c>
      <c r="AQ853" s="26" t="str">
        <f aca="true">IF(C853="","",IF(AND(AP853&lt;&gt;"",TODAY()&gt;=AP853),"Refi Ready",IF(TODAY()-C853&gt;=SETTINGS!$I$11,"Prospecting","Performing")))</f>
        <v/>
      </c>
      <c r="AR853" s="35" t="str">
        <f aca="false">IF(OR(C853="",I853="",K853=""),"",IF(K853="Monthly",EDATE(C853,I853),WORKDAY(C853,I853)))</f>
        <v/>
      </c>
      <c r="AS853" s="28"/>
      <c r="AT853" s="36" t="str">
        <f aca="true">IF(C853="","",IF(AM853="Clawed Back","CLAWED",IF(TODAY()&lt;=C853+SETTINGS!$I$2,"⚠ AT RISK","SAFE")))</f>
        <v/>
      </c>
      <c r="AU853" s="28"/>
      <c r="AW853" s="24" t="n">
        <f aca="false">AW852+IF(AND(C853&lt;&gt;"",AO853&lt;&gt;"",OR('REP COMMISSION'!$B$3="",T853='REP COMMISSION'!$B$3,W853='REP COMMISSION'!$B$3,Z853='REP COMMISSION'!$B$3)),1,0)</f>
        <v>0</v>
      </c>
      <c r="AX853" s="24" t="n">
        <f aca="false">AX852+IF(AND(C853&lt;&gt;"",OR(F853="LOC - INITIAL",F853="CONSOLIDATION - UPFRONT COMM",F853="REVERSE - TOTAL FUNDING")),1,0)</f>
        <v>0</v>
      </c>
    </row>
    <row r="854" customFormat="false" ht="15" hidden="false" customHeight="false" outlineLevel="0" collapsed="false">
      <c r="A854" s="8" t="str">
        <f aca="false">IF(C854&lt;&gt;"","F27-"&amp;COUNT($C$4:C854),"")</f>
        <v/>
      </c>
      <c r="B854" s="9" t="str">
        <f aca="false">IF(OR(F854="LOC - INITIAL",F854="CONSOLIDATION - UPFRONT COMM",F854="REVERSE - TOTAL FUNDING"),A854,"")</f>
        <v/>
      </c>
      <c r="C854" s="10"/>
      <c r="D854" s="11"/>
      <c r="E854" s="11"/>
      <c r="F854" s="11"/>
      <c r="G854" s="12"/>
      <c r="H854" s="13"/>
      <c r="I854" s="11"/>
      <c r="J854" s="14" t="str">
        <f aca="false">IF(AND(G854&lt;&gt;"",H854&lt;&gt;""),G854*H854,"")</f>
        <v/>
      </c>
      <c r="K854" s="11"/>
      <c r="L854" s="15"/>
      <c r="M854" s="15"/>
      <c r="N854" s="14" t="n">
        <f aca="false">IF(OR(G854="",M854=""),0,IF(M854&gt;100,M854,G854*IF(M854&gt;1,M854/100,M854)))</f>
        <v>0</v>
      </c>
      <c r="O854" s="14" t="str">
        <f aca="false">IF(G854="","",G854*IF(L854="",0,IF(L854&gt;1,L854/100,L854))+N854)</f>
        <v/>
      </c>
      <c r="P854" s="11"/>
      <c r="Q854" s="16" t="str">
        <f aca="false">IF(P854="","",IFERROR(VLOOKUP(P854,PARTNERS!$A$2:$B$30,2,0),""))</f>
        <v/>
      </c>
      <c r="R854" s="17" t="str">
        <f aca="false">IF(O854="","",IF(OR(P854="",Q854=""),0,(O854-N854)*IF(Q854&gt;1,Q854/100,Q854)))</f>
        <v/>
      </c>
      <c r="S854" s="14" t="str">
        <f aca="false">IF(O854="","",O854-R854)</f>
        <v/>
      </c>
      <c r="T854" s="11"/>
      <c r="U854" s="18" t="str">
        <f aca="false">IF(T854="","",IFERROR(VLOOKUP(T854,REPS!$A$2:$D$40,2,0),""))</f>
        <v/>
      </c>
      <c r="V854" s="14" t="str">
        <f aca="false">IF(O854="","",IF(U854="",0,O854*IF(U854&gt;1,U854/100,U854)))</f>
        <v/>
      </c>
      <c r="W854" s="11"/>
      <c r="X854" s="18" t="str">
        <f aca="false">IF(W854="","",IFERROR(VLOOKUP(W854,REPS!$A$2:$D$40,3,0),""))</f>
        <v/>
      </c>
      <c r="Y854" s="14" t="str">
        <f aca="false">IF(O854="","",IF(X854="",0,O854*IF(X854&gt;1,X854/100,X854)))</f>
        <v/>
      </c>
      <c r="Z854" s="11"/>
      <c r="AA854" s="18" t="str">
        <f aca="false">IF(Z854="","",IFERROR(VLOOKUP(Z854,REPS!$A$2:$D$40,4,0),""))</f>
        <v/>
      </c>
      <c r="AB854" s="14" t="str">
        <f aca="false">IF(O854="","",IF(AA854="",0,O854*IF(AA854&gt;1,AA854/100,AA854)))</f>
        <v/>
      </c>
      <c r="AC854" s="14" t="str">
        <f aca="false">IF(O854="","",V854+Y854+AB854)</f>
        <v/>
      </c>
      <c r="AD854" s="19" t="str">
        <f aca="false">IF(O854="","",O854-R854-AC854)</f>
        <v/>
      </c>
      <c r="AE854" s="20"/>
      <c r="AF854" s="10"/>
      <c r="AG854" s="21" t="n">
        <f aca="false">IF(OR(AE854="",AE854=0),0,AE854*IF(U854="",0,IF(U854&gt;1,U854/100,U854)))</f>
        <v>0</v>
      </c>
      <c r="AH854" s="21" t="n">
        <f aca="false">IF(OR(AE854="",AE854=0),0,AE854*IF(X854="",0,IF(X854&gt;1,X854/100,X854)))</f>
        <v>0</v>
      </c>
      <c r="AI854" s="21" t="n">
        <f aca="false">IF(OR(AE854="",AE854=0),0,AE854*IF(AA854="",0,IF(AA854&gt;1,AA854/100,AA854)))</f>
        <v>0</v>
      </c>
      <c r="AJ854" s="21" t="n">
        <f aca="false">AG854+AH854+AI854</f>
        <v>0</v>
      </c>
      <c r="AK854" s="21" t="n">
        <f aca="false">IF(OR(AE854="",AE854=0),0,AE854-AJ854)</f>
        <v>0</v>
      </c>
      <c r="AL854" s="19" t="str">
        <f aca="false">IF(AD854="","",AD854-AK854)</f>
        <v/>
      </c>
      <c r="AM854" s="9" t="str">
        <f aca="false">IF(C854="","","Waiting for payment")</f>
        <v/>
      </c>
      <c r="AN854" s="10"/>
      <c r="AO854" s="10"/>
      <c r="AP854" s="22" t="str">
        <f aca="false">IF(OR(C854="",I854="",K854=""),"",IF(K854="Monthly",EDATE(C854,ROUND(I854*SETTINGS!$I$8,0)),WORKDAY(C854,ROUND(I854*SETTINGS!$I$8,0))))</f>
        <v/>
      </c>
      <c r="AQ854" s="9" t="str">
        <f aca="true">IF(C854="","",IF(AND(AP854&lt;&gt;"",TODAY()&gt;=AP854),"Refi Ready",IF(TODAY()-C854&gt;=SETTINGS!$I$11,"Prospecting","Performing")))</f>
        <v/>
      </c>
      <c r="AR854" s="22" t="str">
        <f aca="false">IF(OR(C854="",I854="",K854=""),"",IF(K854="Monthly",EDATE(C854,I854),WORKDAY(C854,I854)))</f>
        <v/>
      </c>
      <c r="AS854" s="11"/>
      <c r="AT854" s="23" t="str">
        <f aca="true">IF(C854="","",IF(AM854="Clawed Back","CLAWED",IF(TODAY()&lt;=C854+SETTINGS!$I$2,"⚠ AT RISK","SAFE")))</f>
        <v/>
      </c>
      <c r="AU854" s="11"/>
      <c r="AW854" s="24" t="n">
        <f aca="false">AW853+IF(AND(C854&lt;&gt;"",AO854&lt;&gt;"",OR('REP COMMISSION'!$B$3="",T854='REP COMMISSION'!$B$3,W854='REP COMMISSION'!$B$3,Z854='REP COMMISSION'!$B$3)),1,0)</f>
        <v>0</v>
      </c>
      <c r="AX854" s="24" t="n">
        <f aca="false">AX853+IF(AND(C854&lt;&gt;"",OR(F854="LOC - INITIAL",F854="CONSOLIDATION - UPFRONT COMM",F854="REVERSE - TOTAL FUNDING")),1,0)</f>
        <v>0</v>
      </c>
    </row>
    <row r="855" customFormat="false" ht="15" hidden="false" customHeight="false" outlineLevel="0" collapsed="false">
      <c r="A855" s="25" t="str">
        <f aca="false">IF(C855&lt;&gt;"","F27-"&amp;COUNT($C$4:C855),"")</f>
        <v/>
      </c>
      <c r="B855" s="26" t="str">
        <f aca="false">IF(OR(F855="LOC - INITIAL",F855="CONSOLIDATION - UPFRONT COMM",F855="REVERSE - TOTAL FUNDING"),A855,"")</f>
        <v/>
      </c>
      <c r="C855" s="27"/>
      <c r="D855" s="28"/>
      <c r="E855" s="28"/>
      <c r="F855" s="28"/>
      <c r="G855" s="29"/>
      <c r="H855" s="30"/>
      <c r="I855" s="28"/>
      <c r="J855" s="31" t="str">
        <f aca="false">IF(AND(G855&lt;&gt;"",H855&lt;&gt;""),G855*H855,"")</f>
        <v/>
      </c>
      <c r="K855" s="28"/>
      <c r="L855" s="32"/>
      <c r="M855" s="32"/>
      <c r="N855" s="31" t="n">
        <f aca="false">IF(OR(G855="",M855=""),0,IF(M855&gt;100,M855,G855*IF(M855&gt;1,M855/100,M855)))</f>
        <v>0</v>
      </c>
      <c r="O855" s="31" t="str">
        <f aca="false">IF(G855="","",G855*IF(L855="",0,IF(L855&gt;1,L855/100,L855))+N855)</f>
        <v/>
      </c>
      <c r="P855" s="28"/>
      <c r="Q855" s="33" t="str">
        <f aca="false">IF(P855="","",IFERROR(VLOOKUP(P855,PARTNERS!$A$2:$B$30,2,0),""))</f>
        <v/>
      </c>
      <c r="R855" s="17" t="str">
        <f aca="false">IF(O855="","",IF(OR(P855="",Q855=""),0,(O855-N855)*IF(Q855&gt;1,Q855/100,Q855)))</f>
        <v/>
      </c>
      <c r="S855" s="31" t="str">
        <f aca="false">IF(O855="","",O855-R855)</f>
        <v/>
      </c>
      <c r="T855" s="28"/>
      <c r="U855" s="34" t="str">
        <f aca="false">IF(T855="","",IFERROR(VLOOKUP(T855,REPS!$A$2:$D$40,2,0),""))</f>
        <v/>
      </c>
      <c r="V855" s="31" t="str">
        <f aca="false">IF(O855="","",IF(U855="",0,O855*IF(U855&gt;1,U855/100,U855)))</f>
        <v/>
      </c>
      <c r="W855" s="28"/>
      <c r="X855" s="34" t="str">
        <f aca="false">IF(W855="","",IFERROR(VLOOKUP(W855,REPS!$A$2:$D$40,3,0),""))</f>
        <v/>
      </c>
      <c r="Y855" s="31" t="str">
        <f aca="false">IF(O855="","",IF(X855="",0,O855*IF(X855&gt;1,X855/100,X855)))</f>
        <v/>
      </c>
      <c r="Z855" s="28"/>
      <c r="AA855" s="34" t="str">
        <f aca="false">IF(Z855="","",IFERROR(VLOOKUP(Z855,REPS!$A$2:$D$40,4,0),""))</f>
        <v/>
      </c>
      <c r="AB855" s="31" t="str">
        <f aca="false">IF(O855="","",IF(AA855="",0,O855*IF(AA855&gt;1,AA855/100,AA855)))</f>
        <v/>
      </c>
      <c r="AC855" s="31" t="str">
        <f aca="false">IF(O855="","",V855+Y855+AB855)</f>
        <v/>
      </c>
      <c r="AD855" s="19" t="str">
        <f aca="false">IF(O855="","",O855-R855-AC855)</f>
        <v/>
      </c>
      <c r="AE855" s="20"/>
      <c r="AF855" s="27"/>
      <c r="AG855" s="21" t="n">
        <f aca="false">IF(OR(AE855="",AE855=0),0,AE855*IF(U855="",0,IF(U855&gt;1,U855/100,U855)))</f>
        <v>0</v>
      </c>
      <c r="AH855" s="21" t="n">
        <f aca="false">IF(OR(AE855="",AE855=0),0,AE855*IF(X855="",0,IF(X855&gt;1,X855/100,X855)))</f>
        <v>0</v>
      </c>
      <c r="AI855" s="21" t="n">
        <f aca="false">IF(OR(AE855="",AE855=0),0,AE855*IF(AA855="",0,IF(AA855&gt;1,AA855/100,AA855)))</f>
        <v>0</v>
      </c>
      <c r="AJ855" s="21" t="n">
        <f aca="false">AG855+AH855+AI855</f>
        <v>0</v>
      </c>
      <c r="AK855" s="21" t="n">
        <f aca="false">IF(OR(AE855="",AE855=0),0,AE855-AJ855)</f>
        <v>0</v>
      </c>
      <c r="AL855" s="19" t="str">
        <f aca="false">IF(AD855="","",AD855-AK855)</f>
        <v/>
      </c>
      <c r="AM855" s="26" t="str">
        <f aca="false">IF(C855="","","Waiting for payment")</f>
        <v/>
      </c>
      <c r="AN855" s="27"/>
      <c r="AO855" s="27"/>
      <c r="AP855" s="35" t="str">
        <f aca="false">IF(OR(C855="",I855="",K855=""),"",IF(K855="Monthly",EDATE(C855,ROUND(I855*SETTINGS!$I$8,0)),WORKDAY(C855,ROUND(I855*SETTINGS!$I$8,0))))</f>
        <v/>
      </c>
      <c r="AQ855" s="26" t="str">
        <f aca="true">IF(C855="","",IF(AND(AP855&lt;&gt;"",TODAY()&gt;=AP855),"Refi Ready",IF(TODAY()-C855&gt;=SETTINGS!$I$11,"Prospecting","Performing")))</f>
        <v/>
      </c>
      <c r="AR855" s="35" t="str">
        <f aca="false">IF(OR(C855="",I855="",K855=""),"",IF(K855="Monthly",EDATE(C855,I855),WORKDAY(C855,I855)))</f>
        <v/>
      </c>
      <c r="AS855" s="28"/>
      <c r="AT855" s="36" t="str">
        <f aca="true">IF(C855="","",IF(AM855="Clawed Back","CLAWED",IF(TODAY()&lt;=C855+SETTINGS!$I$2,"⚠ AT RISK","SAFE")))</f>
        <v/>
      </c>
      <c r="AU855" s="28"/>
      <c r="AW855" s="24" t="n">
        <f aca="false">AW854+IF(AND(C855&lt;&gt;"",AO855&lt;&gt;"",OR('REP COMMISSION'!$B$3="",T855='REP COMMISSION'!$B$3,W855='REP COMMISSION'!$B$3,Z855='REP COMMISSION'!$B$3)),1,0)</f>
        <v>0</v>
      </c>
      <c r="AX855" s="24" t="n">
        <f aca="false">AX854+IF(AND(C855&lt;&gt;"",OR(F855="LOC - INITIAL",F855="CONSOLIDATION - UPFRONT COMM",F855="REVERSE - TOTAL FUNDING")),1,0)</f>
        <v>0</v>
      </c>
    </row>
    <row r="856" customFormat="false" ht="15" hidden="false" customHeight="false" outlineLevel="0" collapsed="false">
      <c r="A856" s="8" t="str">
        <f aca="false">IF(C856&lt;&gt;"","F27-"&amp;COUNT($C$4:C856),"")</f>
        <v/>
      </c>
      <c r="B856" s="9" t="str">
        <f aca="false">IF(OR(F856="LOC - INITIAL",F856="CONSOLIDATION - UPFRONT COMM",F856="REVERSE - TOTAL FUNDING"),A856,"")</f>
        <v/>
      </c>
      <c r="C856" s="10"/>
      <c r="D856" s="11"/>
      <c r="E856" s="11"/>
      <c r="F856" s="11"/>
      <c r="G856" s="12"/>
      <c r="H856" s="13"/>
      <c r="I856" s="11"/>
      <c r="J856" s="14" t="str">
        <f aca="false">IF(AND(G856&lt;&gt;"",H856&lt;&gt;""),G856*H856,"")</f>
        <v/>
      </c>
      <c r="K856" s="11"/>
      <c r="L856" s="15"/>
      <c r="M856" s="15"/>
      <c r="N856" s="14" t="n">
        <f aca="false">IF(OR(G856="",M856=""),0,IF(M856&gt;100,M856,G856*IF(M856&gt;1,M856/100,M856)))</f>
        <v>0</v>
      </c>
      <c r="O856" s="14" t="str">
        <f aca="false">IF(G856="","",G856*IF(L856="",0,IF(L856&gt;1,L856/100,L856))+N856)</f>
        <v/>
      </c>
      <c r="P856" s="11"/>
      <c r="Q856" s="16" t="str">
        <f aca="false">IF(P856="","",IFERROR(VLOOKUP(P856,PARTNERS!$A$2:$B$30,2,0),""))</f>
        <v/>
      </c>
      <c r="R856" s="17" t="str">
        <f aca="false">IF(O856="","",IF(OR(P856="",Q856=""),0,(O856-N856)*IF(Q856&gt;1,Q856/100,Q856)))</f>
        <v/>
      </c>
      <c r="S856" s="14" t="str">
        <f aca="false">IF(O856="","",O856-R856)</f>
        <v/>
      </c>
      <c r="T856" s="11"/>
      <c r="U856" s="18" t="str">
        <f aca="false">IF(T856="","",IFERROR(VLOOKUP(T856,REPS!$A$2:$D$40,2,0),""))</f>
        <v/>
      </c>
      <c r="V856" s="14" t="str">
        <f aca="false">IF(O856="","",IF(U856="",0,O856*IF(U856&gt;1,U856/100,U856)))</f>
        <v/>
      </c>
      <c r="W856" s="11"/>
      <c r="X856" s="18" t="str">
        <f aca="false">IF(W856="","",IFERROR(VLOOKUP(W856,REPS!$A$2:$D$40,3,0),""))</f>
        <v/>
      </c>
      <c r="Y856" s="14" t="str">
        <f aca="false">IF(O856="","",IF(X856="",0,O856*IF(X856&gt;1,X856/100,X856)))</f>
        <v/>
      </c>
      <c r="Z856" s="11"/>
      <c r="AA856" s="18" t="str">
        <f aca="false">IF(Z856="","",IFERROR(VLOOKUP(Z856,REPS!$A$2:$D$40,4,0),""))</f>
        <v/>
      </c>
      <c r="AB856" s="14" t="str">
        <f aca="false">IF(O856="","",IF(AA856="",0,O856*IF(AA856&gt;1,AA856/100,AA856)))</f>
        <v/>
      </c>
      <c r="AC856" s="14" t="str">
        <f aca="false">IF(O856="","",V856+Y856+AB856)</f>
        <v/>
      </c>
      <c r="AD856" s="19" t="str">
        <f aca="false">IF(O856="","",O856-R856-AC856)</f>
        <v/>
      </c>
      <c r="AE856" s="20"/>
      <c r="AF856" s="10"/>
      <c r="AG856" s="21" t="n">
        <f aca="false">IF(OR(AE856="",AE856=0),0,AE856*IF(U856="",0,IF(U856&gt;1,U856/100,U856)))</f>
        <v>0</v>
      </c>
      <c r="AH856" s="21" t="n">
        <f aca="false">IF(OR(AE856="",AE856=0),0,AE856*IF(X856="",0,IF(X856&gt;1,X856/100,X856)))</f>
        <v>0</v>
      </c>
      <c r="AI856" s="21" t="n">
        <f aca="false">IF(OR(AE856="",AE856=0),0,AE856*IF(AA856="",0,IF(AA856&gt;1,AA856/100,AA856)))</f>
        <v>0</v>
      </c>
      <c r="AJ856" s="21" t="n">
        <f aca="false">AG856+AH856+AI856</f>
        <v>0</v>
      </c>
      <c r="AK856" s="21" t="n">
        <f aca="false">IF(OR(AE856="",AE856=0),0,AE856-AJ856)</f>
        <v>0</v>
      </c>
      <c r="AL856" s="19" t="str">
        <f aca="false">IF(AD856="","",AD856-AK856)</f>
        <v/>
      </c>
      <c r="AM856" s="9" t="str">
        <f aca="false">IF(C856="","","Waiting for payment")</f>
        <v/>
      </c>
      <c r="AN856" s="10"/>
      <c r="AO856" s="10"/>
      <c r="AP856" s="22" t="str">
        <f aca="false">IF(OR(C856="",I856="",K856=""),"",IF(K856="Monthly",EDATE(C856,ROUND(I856*SETTINGS!$I$8,0)),WORKDAY(C856,ROUND(I856*SETTINGS!$I$8,0))))</f>
        <v/>
      </c>
      <c r="AQ856" s="9" t="str">
        <f aca="true">IF(C856="","",IF(AND(AP856&lt;&gt;"",TODAY()&gt;=AP856),"Refi Ready",IF(TODAY()-C856&gt;=SETTINGS!$I$11,"Prospecting","Performing")))</f>
        <v/>
      </c>
      <c r="AR856" s="22" t="str">
        <f aca="false">IF(OR(C856="",I856="",K856=""),"",IF(K856="Monthly",EDATE(C856,I856),WORKDAY(C856,I856)))</f>
        <v/>
      </c>
      <c r="AS856" s="11"/>
      <c r="AT856" s="23" t="str">
        <f aca="true">IF(C856="","",IF(AM856="Clawed Back","CLAWED",IF(TODAY()&lt;=C856+SETTINGS!$I$2,"⚠ AT RISK","SAFE")))</f>
        <v/>
      </c>
      <c r="AU856" s="11"/>
      <c r="AW856" s="24" t="n">
        <f aca="false">AW855+IF(AND(C856&lt;&gt;"",AO856&lt;&gt;"",OR('REP COMMISSION'!$B$3="",T856='REP COMMISSION'!$B$3,W856='REP COMMISSION'!$B$3,Z856='REP COMMISSION'!$B$3)),1,0)</f>
        <v>0</v>
      </c>
      <c r="AX856" s="24" t="n">
        <f aca="false">AX855+IF(AND(C856&lt;&gt;"",OR(F856="LOC - INITIAL",F856="CONSOLIDATION - UPFRONT COMM",F856="REVERSE - TOTAL FUNDING")),1,0)</f>
        <v>0</v>
      </c>
    </row>
    <row r="857" customFormat="false" ht="15" hidden="false" customHeight="false" outlineLevel="0" collapsed="false">
      <c r="A857" s="25" t="str">
        <f aca="false">IF(C857&lt;&gt;"","F27-"&amp;COUNT($C$4:C857),"")</f>
        <v/>
      </c>
      <c r="B857" s="26" t="str">
        <f aca="false">IF(OR(F857="LOC - INITIAL",F857="CONSOLIDATION - UPFRONT COMM",F857="REVERSE - TOTAL FUNDING"),A857,"")</f>
        <v/>
      </c>
      <c r="C857" s="27"/>
      <c r="D857" s="28"/>
      <c r="E857" s="28"/>
      <c r="F857" s="28"/>
      <c r="G857" s="29"/>
      <c r="H857" s="30"/>
      <c r="I857" s="28"/>
      <c r="J857" s="31" t="str">
        <f aca="false">IF(AND(G857&lt;&gt;"",H857&lt;&gt;""),G857*H857,"")</f>
        <v/>
      </c>
      <c r="K857" s="28"/>
      <c r="L857" s="32"/>
      <c r="M857" s="32"/>
      <c r="N857" s="31" t="n">
        <f aca="false">IF(OR(G857="",M857=""),0,IF(M857&gt;100,M857,G857*IF(M857&gt;1,M857/100,M857)))</f>
        <v>0</v>
      </c>
      <c r="O857" s="31" t="str">
        <f aca="false">IF(G857="","",G857*IF(L857="",0,IF(L857&gt;1,L857/100,L857))+N857)</f>
        <v/>
      </c>
      <c r="P857" s="28"/>
      <c r="Q857" s="33" t="str">
        <f aca="false">IF(P857="","",IFERROR(VLOOKUP(P857,PARTNERS!$A$2:$B$30,2,0),""))</f>
        <v/>
      </c>
      <c r="R857" s="17" t="str">
        <f aca="false">IF(O857="","",IF(OR(P857="",Q857=""),0,(O857-N857)*IF(Q857&gt;1,Q857/100,Q857)))</f>
        <v/>
      </c>
      <c r="S857" s="31" t="str">
        <f aca="false">IF(O857="","",O857-R857)</f>
        <v/>
      </c>
      <c r="T857" s="28"/>
      <c r="U857" s="34" t="str">
        <f aca="false">IF(T857="","",IFERROR(VLOOKUP(T857,REPS!$A$2:$D$40,2,0),""))</f>
        <v/>
      </c>
      <c r="V857" s="31" t="str">
        <f aca="false">IF(O857="","",IF(U857="",0,O857*IF(U857&gt;1,U857/100,U857)))</f>
        <v/>
      </c>
      <c r="W857" s="28"/>
      <c r="X857" s="34" t="str">
        <f aca="false">IF(W857="","",IFERROR(VLOOKUP(W857,REPS!$A$2:$D$40,3,0),""))</f>
        <v/>
      </c>
      <c r="Y857" s="31" t="str">
        <f aca="false">IF(O857="","",IF(X857="",0,O857*IF(X857&gt;1,X857/100,X857)))</f>
        <v/>
      </c>
      <c r="Z857" s="28"/>
      <c r="AA857" s="34" t="str">
        <f aca="false">IF(Z857="","",IFERROR(VLOOKUP(Z857,REPS!$A$2:$D$40,4,0),""))</f>
        <v/>
      </c>
      <c r="AB857" s="31" t="str">
        <f aca="false">IF(O857="","",IF(AA857="",0,O857*IF(AA857&gt;1,AA857/100,AA857)))</f>
        <v/>
      </c>
      <c r="AC857" s="31" t="str">
        <f aca="false">IF(O857="","",V857+Y857+AB857)</f>
        <v/>
      </c>
      <c r="AD857" s="19" t="str">
        <f aca="false">IF(O857="","",O857-R857-AC857)</f>
        <v/>
      </c>
      <c r="AE857" s="20"/>
      <c r="AF857" s="27"/>
      <c r="AG857" s="21" t="n">
        <f aca="false">IF(OR(AE857="",AE857=0),0,AE857*IF(U857="",0,IF(U857&gt;1,U857/100,U857)))</f>
        <v>0</v>
      </c>
      <c r="AH857" s="21" t="n">
        <f aca="false">IF(OR(AE857="",AE857=0),0,AE857*IF(X857="",0,IF(X857&gt;1,X857/100,X857)))</f>
        <v>0</v>
      </c>
      <c r="AI857" s="21" t="n">
        <f aca="false">IF(OR(AE857="",AE857=0),0,AE857*IF(AA857="",0,IF(AA857&gt;1,AA857/100,AA857)))</f>
        <v>0</v>
      </c>
      <c r="AJ857" s="21" t="n">
        <f aca="false">AG857+AH857+AI857</f>
        <v>0</v>
      </c>
      <c r="AK857" s="21" t="n">
        <f aca="false">IF(OR(AE857="",AE857=0),0,AE857-AJ857)</f>
        <v>0</v>
      </c>
      <c r="AL857" s="19" t="str">
        <f aca="false">IF(AD857="","",AD857-AK857)</f>
        <v/>
      </c>
      <c r="AM857" s="26" t="str">
        <f aca="false">IF(C857="","","Waiting for payment")</f>
        <v/>
      </c>
      <c r="AN857" s="27"/>
      <c r="AO857" s="27"/>
      <c r="AP857" s="35" t="str">
        <f aca="false">IF(OR(C857="",I857="",K857=""),"",IF(K857="Monthly",EDATE(C857,ROUND(I857*SETTINGS!$I$8,0)),WORKDAY(C857,ROUND(I857*SETTINGS!$I$8,0))))</f>
        <v/>
      </c>
      <c r="AQ857" s="26" t="str">
        <f aca="true">IF(C857="","",IF(AND(AP857&lt;&gt;"",TODAY()&gt;=AP857),"Refi Ready",IF(TODAY()-C857&gt;=SETTINGS!$I$11,"Prospecting","Performing")))</f>
        <v/>
      </c>
      <c r="AR857" s="35" t="str">
        <f aca="false">IF(OR(C857="",I857="",K857=""),"",IF(K857="Monthly",EDATE(C857,I857),WORKDAY(C857,I857)))</f>
        <v/>
      </c>
      <c r="AS857" s="28"/>
      <c r="AT857" s="36" t="str">
        <f aca="true">IF(C857="","",IF(AM857="Clawed Back","CLAWED",IF(TODAY()&lt;=C857+SETTINGS!$I$2,"⚠ AT RISK","SAFE")))</f>
        <v/>
      </c>
      <c r="AU857" s="28"/>
      <c r="AW857" s="24" t="n">
        <f aca="false">AW856+IF(AND(C857&lt;&gt;"",AO857&lt;&gt;"",OR('REP COMMISSION'!$B$3="",T857='REP COMMISSION'!$B$3,W857='REP COMMISSION'!$B$3,Z857='REP COMMISSION'!$B$3)),1,0)</f>
        <v>0</v>
      </c>
      <c r="AX857" s="24" t="n">
        <f aca="false">AX856+IF(AND(C857&lt;&gt;"",OR(F857="LOC - INITIAL",F857="CONSOLIDATION - UPFRONT COMM",F857="REVERSE - TOTAL FUNDING")),1,0)</f>
        <v>0</v>
      </c>
    </row>
    <row r="858" customFormat="false" ht="15" hidden="false" customHeight="false" outlineLevel="0" collapsed="false">
      <c r="A858" s="8" t="str">
        <f aca="false">IF(C858&lt;&gt;"","F27-"&amp;COUNT($C$4:C858),"")</f>
        <v/>
      </c>
      <c r="B858" s="9" t="str">
        <f aca="false">IF(OR(F858="LOC - INITIAL",F858="CONSOLIDATION - UPFRONT COMM",F858="REVERSE - TOTAL FUNDING"),A858,"")</f>
        <v/>
      </c>
      <c r="C858" s="10"/>
      <c r="D858" s="11"/>
      <c r="E858" s="11"/>
      <c r="F858" s="11"/>
      <c r="G858" s="12"/>
      <c r="H858" s="13"/>
      <c r="I858" s="11"/>
      <c r="J858" s="14" t="str">
        <f aca="false">IF(AND(G858&lt;&gt;"",H858&lt;&gt;""),G858*H858,"")</f>
        <v/>
      </c>
      <c r="K858" s="11"/>
      <c r="L858" s="15"/>
      <c r="M858" s="15"/>
      <c r="N858" s="14" t="n">
        <f aca="false">IF(OR(G858="",M858=""),0,IF(M858&gt;100,M858,G858*IF(M858&gt;1,M858/100,M858)))</f>
        <v>0</v>
      </c>
      <c r="O858" s="14" t="str">
        <f aca="false">IF(G858="","",G858*IF(L858="",0,IF(L858&gt;1,L858/100,L858))+N858)</f>
        <v/>
      </c>
      <c r="P858" s="11"/>
      <c r="Q858" s="16" t="str">
        <f aca="false">IF(P858="","",IFERROR(VLOOKUP(P858,PARTNERS!$A$2:$B$30,2,0),""))</f>
        <v/>
      </c>
      <c r="R858" s="17" t="str">
        <f aca="false">IF(O858="","",IF(OR(P858="",Q858=""),0,(O858-N858)*IF(Q858&gt;1,Q858/100,Q858)))</f>
        <v/>
      </c>
      <c r="S858" s="14" t="str">
        <f aca="false">IF(O858="","",O858-R858)</f>
        <v/>
      </c>
      <c r="T858" s="11"/>
      <c r="U858" s="18" t="str">
        <f aca="false">IF(T858="","",IFERROR(VLOOKUP(T858,REPS!$A$2:$D$40,2,0),""))</f>
        <v/>
      </c>
      <c r="V858" s="14" t="str">
        <f aca="false">IF(O858="","",IF(U858="",0,O858*IF(U858&gt;1,U858/100,U858)))</f>
        <v/>
      </c>
      <c r="W858" s="11"/>
      <c r="X858" s="18" t="str">
        <f aca="false">IF(W858="","",IFERROR(VLOOKUP(W858,REPS!$A$2:$D$40,3,0),""))</f>
        <v/>
      </c>
      <c r="Y858" s="14" t="str">
        <f aca="false">IF(O858="","",IF(X858="",0,O858*IF(X858&gt;1,X858/100,X858)))</f>
        <v/>
      </c>
      <c r="Z858" s="11"/>
      <c r="AA858" s="18" t="str">
        <f aca="false">IF(Z858="","",IFERROR(VLOOKUP(Z858,REPS!$A$2:$D$40,4,0),""))</f>
        <v/>
      </c>
      <c r="AB858" s="14" t="str">
        <f aca="false">IF(O858="","",IF(AA858="",0,O858*IF(AA858&gt;1,AA858/100,AA858)))</f>
        <v/>
      </c>
      <c r="AC858" s="14" t="str">
        <f aca="false">IF(O858="","",V858+Y858+AB858)</f>
        <v/>
      </c>
      <c r="AD858" s="19" t="str">
        <f aca="false">IF(O858="","",O858-R858-AC858)</f>
        <v/>
      </c>
      <c r="AE858" s="20"/>
      <c r="AF858" s="10"/>
      <c r="AG858" s="21" t="n">
        <f aca="false">IF(OR(AE858="",AE858=0),0,AE858*IF(U858="",0,IF(U858&gt;1,U858/100,U858)))</f>
        <v>0</v>
      </c>
      <c r="AH858" s="21" t="n">
        <f aca="false">IF(OR(AE858="",AE858=0),0,AE858*IF(X858="",0,IF(X858&gt;1,X858/100,X858)))</f>
        <v>0</v>
      </c>
      <c r="AI858" s="21" t="n">
        <f aca="false">IF(OR(AE858="",AE858=0),0,AE858*IF(AA858="",0,IF(AA858&gt;1,AA858/100,AA858)))</f>
        <v>0</v>
      </c>
      <c r="AJ858" s="21" t="n">
        <f aca="false">AG858+AH858+AI858</f>
        <v>0</v>
      </c>
      <c r="AK858" s="21" t="n">
        <f aca="false">IF(OR(AE858="",AE858=0),0,AE858-AJ858)</f>
        <v>0</v>
      </c>
      <c r="AL858" s="19" t="str">
        <f aca="false">IF(AD858="","",AD858-AK858)</f>
        <v/>
      </c>
      <c r="AM858" s="9" t="str">
        <f aca="false">IF(C858="","","Waiting for payment")</f>
        <v/>
      </c>
      <c r="AN858" s="10"/>
      <c r="AO858" s="10"/>
      <c r="AP858" s="22" t="str">
        <f aca="false">IF(OR(C858="",I858="",K858=""),"",IF(K858="Monthly",EDATE(C858,ROUND(I858*SETTINGS!$I$8,0)),WORKDAY(C858,ROUND(I858*SETTINGS!$I$8,0))))</f>
        <v/>
      </c>
      <c r="AQ858" s="9" t="str">
        <f aca="true">IF(C858="","",IF(AND(AP858&lt;&gt;"",TODAY()&gt;=AP858),"Refi Ready",IF(TODAY()-C858&gt;=SETTINGS!$I$11,"Prospecting","Performing")))</f>
        <v/>
      </c>
      <c r="AR858" s="22" t="str">
        <f aca="false">IF(OR(C858="",I858="",K858=""),"",IF(K858="Monthly",EDATE(C858,I858),WORKDAY(C858,I858)))</f>
        <v/>
      </c>
      <c r="AS858" s="11"/>
      <c r="AT858" s="23" t="str">
        <f aca="true">IF(C858="","",IF(AM858="Clawed Back","CLAWED",IF(TODAY()&lt;=C858+SETTINGS!$I$2,"⚠ AT RISK","SAFE")))</f>
        <v/>
      </c>
      <c r="AU858" s="11"/>
      <c r="AW858" s="24" t="n">
        <f aca="false">AW857+IF(AND(C858&lt;&gt;"",AO858&lt;&gt;"",OR('REP COMMISSION'!$B$3="",T858='REP COMMISSION'!$B$3,W858='REP COMMISSION'!$B$3,Z858='REP COMMISSION'!$B$3)),1,0)</f>
        <v>0</v>
      </c>
      <c r="AX858" s="24" t="n">
        <f aca="false">AX857+IF(AND(C858&lt;&gt;"",OR(F858="LOC - INITIAL",F858="CONSOLIDATION - UPFRONT COMM",F858="REVERSE - TOTAL FUNDING")),1,0)</f>
        <v>0</v>
      </c>
    </row>
    <row r="859" customFormat="false" ht="15" hidden="false" customHeight="false" outlineLevel="0" collapsed="false">
      <c r="A859" s="25" t="str">
        <f aca="false">IF(C859&lt;&gt;"","F27-"&amp;COUNT($C$4:C859),"")</f>
        <v/>
      </c>
      <c r="B859" s="26" t="str">
        <f aca="false">IF(OR(F859="LOC - INITIAL",F859="CONSOLIDATION - UPFRONT COMM",F859="REVERSE - TOTAL FUNDING"),A859,"")</f>
        <v/>
      </c>
      <c r="C859" s="27"/>
      <c r="D859" s="28"/>
      <c r="E859" s="28"/>
      <c r="F859" s="28"/>
      <c r="G859" s="29"/>
      <c r="H859" s="30"/>
      <c r="I859" s="28"/>
      <c r="J859" s="31" t="str">
        <f aca="false">IF(AND(G859&lt;&gt;"",H859&lt;&gt;""),G859*H859,"")</f>
        <v/>
      </c>
      <c r="K859" s="28"/>
      <c r="L859" s="32"/>
      <c r="M859" s="32"/>
      <c r="N859" s="31" t="n">
        <f aca="false">IF(OR(G859="",M859=""),0,IF(M859&gt;100,M859,G859*IF(M859&gt;1,M859/100,M859)))</f>
        <v>0</v>
      </c>
      <c r="O859" s="31" t="str">
        <f aca="false">IF(G859="","",G859*IF(L859="",0,IF(L859&gt;1,L859/100,L859))+N859)</f>
        <v/>
      </c>
      <c r="P859" s="28"/>
      <c r="Q859" s="33" t="str">
        <f aca="false">IF(P859="","",IFERROR(VLOOKUP(P859,PARTNERS!$A$2:$B$30,2,0),""))</f>
        <v/>
      </c>
      <c r="R859" s="17" t="str">
        <f aca="false">IF(O859="","",IF(OR(P859="",Q859=""),0,(O859-N859)*IF(Q859&gt;1,Q859/100,Q859)))</f>
        <v/>
      </c>
      <c r="S859" s="31" t="str">
        <f aca="false">IF(O859="","",O859-R859)</f>
        <v/>
      </c>
      <c r="T859" s="28"/>
      <c r="U859" s="34" t="str">
        <f aca="false">IF(T859="","",IFERROR(VLOOKUP(T859,REPS!$A$2:$D$40,2,0),""))</f>
        <v/>
      </c>
      <c r="V859" s="31" t="str">
        <f aca="false">IF(O859="","",IF(U859="",0,O859*IF(U859&gt;1,U859/100,U859)))</f>
        <v/>
      </c>
      <c r="W859" s="28"/>
      <c r="X859" s="34" t="str">
        <f aca="false">IF(W859="","",IFERROR(VLOOKUP(W859,REPS!$A$2:$D$40,3,0),""))</f>
        <v/>
      </c>
      <c r="Y859" s="31" t="str">
        <f aca="false">IF(O859="","",IF(X859="",0,O859*IF(X859&gt;1,X859/100,X859)))</f>
        <v/>
      </c>
      <c r="Z859" s="28"/>
      <c r="AA859" s="34" t="str">
        <f aca="false">IF(Z859="","",IFERROR(VLOOKUP(Z859,REPS!$A$2:$D$40,4,0),""))</f>
        <v/>
      </c>
      <c r="AB859" s="31" t="str">
        <f aca="false">IF(O859="","",IF(AA859="",0,O859*IF(AA859&gt;1,AA859/100,AA859)))</f>
        <v/>
      </c>
      <c r="AC859" s="31" t="str">
        <f aca="false">IF(O859="","",V859+Y859+AB859)</f>
        <v/>
      </c>
      <c r="AD859" s="19" t="str">
        <f aca="false">IF(O859="","",O859-R859-AC859)</f>
        <v/>
      </c>
      <c r="AE859" s="20"/>
      <c r="AF859" s="27"/>
      <c r="AG859" s="21" t="n">
        <f aca="false">IF(OR(AE859="",AE859=0),0,AE859*IF(U859="",0,IF(U859&gt;1,U859/100,U859)))</f>
        <v>0</v>
      </c>
      <c r="AH859" s="21" t="n">
        <f aca="false">IF(OR(AE859="",AE859=0),0,AE859*IF(X859="",0,IF(X859&gt;1,X859/100,X859)))</f>
        <v>0</v>
      </c>
      <c r="AI859" s="21" t="n">
        <f aca="false">IF(OR(AE859="",AE859=0),0,AE859*IF(AA859="",0,IF(AA859&gt;1,AA859/100,AA859)))</f>
        <v>0</v>
      </c>
      <c r="AJ859" s="21" t="n">
        <f aca="false">AG859+AH859+AI859</f>
        <v>0</v>
      </c>
      <c r="AK859" s="21" t="n">
        <f aca="false">IF(OR(AE859="",AE859=0),0,AE859-AJ859)</f>
        <v>0</v>
      </c>
      <c r="AL859" s="19" t="str">
        <f aca="false">IF(AD859="","",AD859-AK859)</f>
        <v/>
      </c>
      <c r="AM859" s="26" t="str">
        <f aca="false">IF(C859="","","Waiting for payment")</f>
        <v/>
      </c>
      <c r="AN859" s="27"/>
      <c r="AO859" s="27"/>
      <c r="AP859" s="35" t="str">
        <f aca="false">IF(OR(C859="",I859="",K859=""),"",IF(K859="Monthly",EDATE(C859,ROUND(I859*SETTINGS!$I$8,0)),WORKDAY(C859,ROUND(I859*SETTINGS!$I$8,0))))</f>
        <v/>
      </c>
      <c r="AQ859" s="26" t="str">
        <f aca="true">IF(C859="","",IF(AND(AP859&lt;&gt;"",TODAY()&gt;=AP859),"Refi Ready",IF(TODAY()-C859&gt;=SETTINGS!$I$11,"Prospecting","Performing")))</f>
        <v/>
      </c>
      <c r="AR859" s="35" t="str">
        <f aca="false">IF(OR(C859="",I859="",K859=""),"",IF(K859="Monthly",EDATE(C859,I859),WORKDAY(C859,I859)))</f>
        <v/>
      </c>
      <c r="AS859" s="28"/>
      <c r="AT859" s="36" t="str">
        <f aca="true">IF(C859="","",IF(AM859="Clawed Back","CLAWED",IF(TODAY()&lt;=C859+SETTINGS!$I$2,"⚠ AT RISK","SAFE")))</f>
        <v/>
      </c>
      <c r="AU859" s="28"/>
      <c r="AW859" s="24" t="n">
        <f aca="false">AW858+IF(AND(C859&lt;&gt;"",AO859&lt;&gt;"",OR('REP COMMISSION'!$B$3="",T859='REP COMMISSION'!$B$3,W859='REP COMMISSION'!$B$3,Z859='REP COMMISSION'!$B$3)),1,0)</f>
        <v>0</v>
      </c>
      <c r="AX859" s="24" t="n">
        <f aca="false">AX858+IF(AND(C859&lt;&gt;"",OR(F859="LOC - INITIAL",F859="CONSOLIDATION - UPFRONT COMM",F859="REVERSE - TOTAL FUNDING")),1,0)</f>
        <v>0</v>
      </c>
    </row>
    <row r="860" customFormat="false" ht="15" hidden="false" customHeight="false" outlineLevel="0" collapsed="false">
      <c r="A860" s="8" t="str">
        <f aca="false">IF(C860&lt;&gt;"","F27-"&amp;COUNT($C$4:C860),"")</f>
        <v/>
      </c>
      <c r="B860" s="9" t="str">
        <f aca="false">IF(OR(F860="LOC - INITIAL",F860="CONSOLIDATION - UPFRONT COMM",F860="REVERSE - TOTAL FUNDING"),A860,"")</f>
        <v/>
      </c>
      <c r="C860" s="10"/>
      <c r="D860" s="11"/>
      <c r="E860" s="11"/>
      <c r="F860" s="11"/>
      <c r="G860" s="12"/>
      <c r="H860" s="13"/>
      <c r="I860" s="11"/>
      <c r="J860" s="14" t="str">
        <f aca="false">IF(AND(G860&lt;&gt;"",H860&lt;&gt;""),G860*H860,"")</f>
        <v/>
      </c>
      <c r="K860" s="11"/>
      <c r="L860" s="15"/>
      <c r="M860" s="15"/>
      <c r="N860" s="14" t="n">
        <f aca="false">IF(OR(G860="",M860=""),0,IF(M860&gt;100,M860,G860*IF(M860&gt;1,M860/100,M860)))</f>
        <v>0</v>
      </c>
      <c r="O860" s="14" t="str">
        <f aca="false">IF(G860="","",G860*IF(L860="",0,IF(L860&gt;1,L860/100,L860))+N860)</f>
        <v/>
      </c>
      <c r="P860" s="11"/>
      <c r="Q860" s="16" t="str">
        <f aca="false">IF(P860="","",IFERROR(VLOOKUP(P860,PARTNERS!$A$2:$B$30,2,0),""))</f>
        <v/>
      </c>
      <c r="R860" s="17" t="str">
        <f aca="false">IF(O860="","",IF(OR(P860="",Q860=""),0,(O860-N860)*IF(Q860&gt;1,Q860/100,Q860)))</f>
        <v/>
      </c>
      <c r="S860" s="14" t="str">
        <f aca="false">IF(O860="","",O860-R860)</f>
        <v/>
      </c>
      <c r="T860" s="11"/>
      <c r="U860" s="18" t="str">
        <f aca="false">IF(T860="","",IFERROR(VLOOKUP(T860,REPS!$A$2:$D$40,2,0),""))</f>
        <v/>
      </c>
      <c r="V860" s="14" t="str">
        <f aca="false">IF(O860="","",IF(U860="",0,O860*IF(U860&gt;1,U860/100,U860)))</f>
        <v/>
      </c>
      <c r="W860" s="11"/>
      <c r="X860" s="18" t="str">
        <f aca="false">IF(W860="","",IFERROR(VLOOKUP(W860,REPS!$A$2:$D$40,3,0),""))</f>
        <v/>
      </c>
      <c r="Y860" s="14" t="str">
        <f aca="false">IF(O860="","",IF(X860="",0,O860*IF(X860&gt;1,X860/100,X860)))</f>
        <v/>
      </c>
      <c r="Z860" s="11"/>
      <c r="AA860" s="18" t="str">
        <f aca="false">IF(Z860="","",IFERROR(VLOOKUP(Z860,REPS!$A$2:$D$40,4,0),""))</f>
        <v/>
      </c>
      <c r="AB860" s="14" t="str">
        <f aca="false">IF(O860="","",IF(AA860="",0,O860*IF(AA860&gt;1,AA860/100,AA860)))</f>
        <v/>
      </c>
      <c r="AC860" s="14" t="str">
        <f aca="false">IF(O860="","",V860+Y860+AB860)</f>
        <v/>
      </c>
      <c r="AD860" s="19" t="str">
        <f aca="false">IF(O860="","",O860-R860-AC860)</f>
        <v/>
      </c>
      <c r="AE860" s="20"/>
      <c r="AF860" s="10"/>
      <c r="AG860" s="21" t="n">
        <f aca="false">IF(OR(AE860="",AE860=0),0,AE860*IF(U860="",0,IF(U860&gt;1,U860/100,U860)))</f>
        <v>0</v>
      </c>
      <c r="AH860" s="21" t="n">
        <f aca="false">IF(OR(AE860="",AE860=0),0,AE860*IF(X860="",0,IF(X860&gt;1,X860/100,X860)))</f>
        <v>0</v>
      </c>
      <c r="AI860" s="21" t="n">
        <f aca="false">IF(OR(AE860="",AE860=0),0,AE860*IF(AA860="",0,IF(AA860&gt;1,AA860/100,AA860)))</f>
        <v>0</v>
      </c>
      <c r="AJ860" s="21" t="n">
        <f aca="false">AG860+AH860+AI860</f>
        <v>0</v>
      </c>
      <c r="AK860" s="21" t="n">
        <f aca="false">IF(OR(AE860="",AE860=0),0,AE860-AJ860)</f>
        <v>0</v>
      </c>
      <c r="AL860" s="19" t="str">
        <f aca="false">IF(AD860="","",AD860-AK860)</f>
        <v/>
      </c>
      <c r="AM860" s="9" t="str">
        <f aca="false">IF(C860="","","Waiting for payment")</f>
        <v/>
      </c>
      <c r="AN860" s="10"/>
      <c r="AO860" s="10"/>
      <c r="AP860" s="22" t="str">
        <f aca="false">IF(OR(C860="",I860="",K860=""),"",IF(K860="Monthly",EDATE(C860,ROUND(I860*SETTINGS!$I$8,0)),WORKDAY(C860,ROUND(I860*SETTINGS!$I$8,0))))</f>
        <v/>
      </c>
      <c r="AQ860" s="9" t="str">
        <f aca="true">IF(C860="","",IF(AND(AP860&lt;&gt;"",TODAY()&gt;=AP860),"Refi Ready",IF(TODAY()-C860&gt;=SETTINGS!$I$11,"Prospecting","Performing")))</f>
        <v/>
      </c>
      <c r="AR860" s="22" t="str">
        <f aca="false">IF(OR(C860="",I860="",K860=""),"",IF(K860="Monthly",EDATE(C860,I860),WORKDAY(C860,I860)))</f>
        <v/>
      </c>
      <c r="AS860" s="11"/>
      <c r="AT860" s="23" t="str">
        <f aca="true">IF(C860="","",IF(AM860="Clawed Back","CLAWED",IF(TODAY()&lt;=C860+SETTINGS!$I$2,"⚠ AT RISK","SAFE")))</f>
        <v/>
      </c>
      <c r="AU860" s="11"/>
      <c r="AW860" s="24" t="n">
        <f aca="false">AW859+IF(AND(C860&lt;&gt;"",AO860&lt;&gt;"",OR('REP COMMISSION'!$B$3="",T860='REP COMMISSION'!$B$3,W860='REP COMMISSION'!$B$3,Z860='REP COMMISSION'!$B$3)),1,0)</f>
        <v>0</v>
      </c>
      <c r="AX860" s="24" t="n">
        <f aca="false">AX859+IF(AND(C860&lt;&gt;"",OR(F860="LOC - INITIAL",F860="CONSOLIDATION - UPFRONT COMM",F860="REVERSE - TOTAL FUNDING")),1,0)</f>
        <v>0</v>
      </c>
    </row>
    <row r="861" customFormat="false" ht="15" hidden="false" customHeight="false" outlineLevel="0" collapsed="false">
      <c r="A861" s="25" t="str">
        <f aca="false">IF(C861&lt;&gt;"","F27-"&amp;COUNT($C$4:C861),"")</f>
        <v/>
      </c>
      <c r="B861" s="26" t="str">
        <f aca="false">IF(OR(F861="LOC - INITIAL",F861="CONSOLIDATION - UPFRONT COMM",F861="REVERSE - TOTAL FUNDING"),A861,"")</f>
        <v/>
      </c>
      <c r="C861" s="27"/>
      <c r="D861" s="28"/>
      <c r="E861" s="28"/>
      <c r="F861" s="28"/>
      <c r="G861" s="29"/>
      <c r="H861" s="30"/>
      <c r="I861" s="28"/>
      <c r="J861" s="31" t="str">
        <f aca="false">IF(AND(G861&lt;&gt;"",H861&lt;&gt;""),G861*H861,"")</f>
        <v/>
      </c>
      <c r="K861" s="28"/>
      <c r="L861" s="32"/>
      <c r="M861" s="32"/>
      <c r="N861" s="31" t="n">
        <f aca="false">IF(OR(G861="",M861=""),0,IF(M861&gt;100,M861,G861*IF(M861&gt;1,M861/100,M861)))</f>
        <v>0</v>
      </c>
      <c r="O861" s="31" t="str">
        <f aca="false">IF(G861="","",G861*IF(L861="",0,IF(L861&gt;1,L861/100,L861))+N861)</f>
        <v/>
      </c>
      <c r="P861" s="28"/>
      <c r="Q861" s="33" t="str">
        <f aca="false">IF(P861="","",IFERROR(VLOOKUP(P861,PARTNERS!$A$2:$B$30,2,0),""))</f>
        <v/>
      </c>
      <c r="R861" s="17" t="str">
        <f aca="false">IF(O861="","",IF(OR(P861="",Q861=""),0,(O861-N861)*IF(Q861&gt;1,Q861/100,Q861)))</f>
        <v/>
      </c>
      <c r="S861" s="31" t="str">
        <f aca="false">IF(O861="","",O861-R861)</f>
        <v/>
      </c>
      <c r="T861" s="28"/>
      <c r="U861" s="34" t="str">
        <f aca="false">IF(T861="","",IFERROR(VLOOKUP(T861,REPS!$A$2:$D$40,2,0),""))</f>
        <v/>
      </c>
      <c r="V861" s="31" t="str">
        <f aca="false">IF(O861="","",IF(U861="",0,O861*IF(U861&gt;1,U861/100,U861)))</f>
        <v/>
      </c>
      <c r="W861" s="28"/>
      <c r="X861" s="34" t="str">
        <f aca="false">IF(W861="","",IFERROR(VLOOKUP(W861,REPS!$A$2:$D$40,3,0),""))</f>
        <v/>
      </c>
      <c r="Y861" s="31" t="str">
        <f aca="false">IF(O861="","",IF(X861="",0,O861*IF(X861&gt;1,X861/100,X861)))</f>
        <v/>
      </c>
      <c r="Z861" s="28"/>
      <c r="AA861" s="34" t="str">
        <f aca="false">IF(Z861="","",IFERROR(VLOOKUP(Z861,REPS!$A$2:$D$40,4,0),""))</f>
        <v/>
      </c>
      <c r="AB861" s="31" t="str">
        <f aca="false">IF(O861="","",IF(AA861="",0,O861*IF(AA861&gt;1,AA861/100,AA861)))</f>
        <v/>
      </c>
      <c r="AC861" s="31" t="str">
        <f aca="false">IF(O861="","",V861+Y861+AB861)</f>
        <v/>
      </c>
      <c r="AD861" s="19" t="str">
        <f aca="false">IF(O861="","",O861-R861-AC861)</f>
        <v/>
      </c>
      <c r="AE861" s="20"/>
      <c r="AF861" s="27"/>
      <c r="AG861" s="21" t="n">
        <f aca="false">IF(OR(AE861="",AE861=0),0,AE861*IF(U861="",0,IF(U861&gt;1,U861/100,U861)))</f>
        <v>0</v>
      </c>
      <c r="AH861" s="21" t="n">
        <f aca="false">IF(OR(AE861="",AE861=0),0,AE861*IF(X861="",0,IF(X861&gt;1,X861/100,X861)))</f>
        <v>0</v>
      </c>
      <c r="AI861" s="21" t="n">
        <f aca="false">IF(OR(AE861="",AE861=0),0,AE861*IF(AA861="",0,IF(AA861&gt;1,AA861/100,AA861)))</f>
        <v>0</v>
      </c>
      <c r="AJ861" s="21" t="n">
        <f aca="false">AG861+AH861+AI861</f>
        <v>0</v>
      </c>
      <c r="AK861" s="21" t="n">
        <f aca="false">IF(OR(AE861="",AE861=0),0,AE861-AJ861)</f>
        <v>0</v>
      </c>
      <c r="AL861" s="19" t="str">
        <f aca="false">IF(AD861="","",AD861-AK861)</f>
        <v/>
      </c>
      <c r="AM861" s="26" t="str">
        <f aca="false">IF(C861="","","Waiting for payment")</f>
        <v/>
      </c>
      <c r="AN861" s="27"/>
      <c r="AO861" s="27"/>
      <c r="AP861" s="35" t="str">
        <f aca="false">IF(OR(C861="",I861="",K861=""),"",IF(K861="Monthly",EDATE(C861,ROUND(I861*SETTINGS!$I$8,0)),WORKDAY(C861,ROUND(I861*SETTINGS!$I$8,0))))</f>
        <v/>
      </c>
      <c r="AQ861" s="26" t="str">
        <f aca="true">IF(C861="","",IF(AND(AP861&lt;&gt;"",TODAY()&gt;=AP861),"Refi Ready",IF(TODAY()-C861&gt;=SETTINGS!$I$11,"Prospecting","Performing")))</f>
        <v/>
      </c>
      <c r="AR861" s="35" t="str">
        <f aca="false">IF(OR(C861="",I861="",K861=""),"",IF(K861="Monthly",EDATE(C861,I861),WORKDAY(C861,I861)))</f>
        <v/>
      </c>
      <c r="AS861" s="28"/>
      <c r="AT861" s="36" t="str">
        <f aca="true">IF(C861="","",IF(AM861="Clawed Back","CLAWED",IF(TODAY()&lt;=C861+SETTINGS!$I$2,"⚠ AT RISK","SAFE")))</f>
        <v/>
      </c>
      <c r="AU861" s="28"/>
      <c r="AW861" s="24" t="n">
        <f aca="false">AW860+IF(AND(C861&lt;&gt;"",AO861&lt;&gt;"",OR('REP COMMISSION'!$B$3="",T861='REP COMMISSION'!$B$3,W861='REP COMMISSION'!$B$3,Z861='REP COMMISSION'!$B$3)),1,0)</f>
        <v>0</v>
      </c>
      <c r="AX861" s="24" t="n">
        <f aca="false">AX860+IF(AND(C861&lt;&gt;"",OR(F861="LOC - INITIAL",F861="CONSOLIDATION - UPFRONT COMM",F861="REVERSE - TOTAL FUNDING")),1,0)</f>
        <v>0</v>
      </c>
    </row>
    <row r="862" customFormat="false" ht="15" hidden="false" customHeight="false" outlineLevel="0" collapsed="false">
      <c r="A862" s="8" t="str">
        <f aca="false">IF(C862&lt;&gt;"","F27-"&amp;COUNT($C$4:C862),"")</f>
        <v/>
      </c>
      <c r="B862" s="9" t="str">
        <f aca="false">IF(OR(F862="LOC - INITIAL",F862="CONSOLIDATION - UPFRONT COMM",F862="REVERSE - TOTAL FUNDING"),A862,"")</f>
        <v/>
      </c>
      <c r="C862" s="10"/>
      <c r="D862" s="11"/>
      <c r="E862" s="11"/>
      <c r="F862" s="11"/>
      <c r="G862" s="12"/>
      <c r="H862" s="13"/>
      <c r="I862" s="11"/>
      <c r="J862" s="14" t="str">
        <f aca="false">IF(AND(G862&lt;&gt;"",H862&lt;&gt;""),G862*H862,"")</f>
        <v/>
      </c>
      <c r="K862" s="11"/>
      <c r="L862" s="15"/>
      <c r="M862" s="15"/>
      <c r="N862" s="14" t="n">
        <f aca="false">IF(OR(G862="",M862=""),0,IF(M862&gt;100,M862,G862*IF(M862&gt;1,M862/100,M862)))</f>
        <v>0</v>
      </c>
      <c r="O862" s="14" t="str">
        <f aca="false">IF(G862="","",G862*IF(L862="",0,IF(L862&gt;1,L862/100,L862))+N862)</f>
        <v/>
      </c>
      <c r="P862" s="11"/>
      <c r="Q862" s="16" t="str">
        <f aca="false">IF(P862="","",IFERROR(VLOOKUP(P862,PARTNERS!$A$2:$B$30,2,0),""))</f>
        <v/>
      </c>
      <c r="R862" s="17" t="str">
        <f aca="false">IF(O862="","",IF(OR(P862="",Q862=""),0,(O862-N862)*IF(Q862&gt;1,Q862/100,Q862)))</f>
        <v/>
      </c>
      <c r="S862" s="14" t="str">
        <f aca="false">IF(O862="","",O862-R862)</f>
        <v/>
      </c>
      <c r="T862" s="11"/>
      <c r="U862" s="18" t="str">
        <f aca="false">IF(T862="","",IFERROR(VLOOKUP(T862,REPS!$A$2:$D$40,2,0),""))</f>
        <v/>
      </c>
      <c r="V862" s="14" t="str">
        <f aca="false">IF(O862="","",IF(U862="",0,O862*IF(U862&gt;1,U862/100,U862)))</f>
        <v/>
      </c>
      <c r="W862" s="11"/>
      <c r="X862" s="18" t="str">
        <f aca="false">IF(W862="","",IFERROR(VLOOKUP(W862,REPS!$A$2:$D$40,3,0),""))</f>
        <v/>
      </c>
      <c r="Y862" s="14" t="str">
        <f aca="false">IF(O862="","",IF(X862="",0,O862*IF(X862&gt;1,X862/100,X862)))</f>
        <v/>
      </c>
      <c r="Z862" s="11"/>
      <c r="AA862" s="18" t="str">
        <f aca="false">IF(Z862="","",IFERROR(VLOOKUP(Z862,REPS!$A$2:$D$40,4,0),""))</f>
        <v/>
      </c>
      <c r="AB862" s="14" t="str">
        <f aca="false">IF(O862="","",IF(AA862="",0,O862*IF(AA862&gt;1,AA862/100,AA862)))</f>
        <v/>
      </c>
      <c r="AC862" s="14" t="str">
        <f aca="false">IF(O862="","",V862+Y862+AB862)</f>
        <v/>
      </c>
      <c r="AD862" s="19" t="str">
        <f aca="false">IF(O862="","",O862-R862-AC862)</f>
        <v/>
      </c>
      <c r="AE862" s="20"/>
      <c r="AF862" s="10"/>
      <c r="AG862" s="21" t="n">
        <f aca="false">IF(OR(AE862="",AE862=0),0,AE862*IF(U862="",0,IF(U862&gt;1,U862/100,U862)))</f>
        <v>0</v>
      </c>
      <c r="AH862" s="21" t="n">
        <f aca="false">IF(OR(AE862="",AE862=0),0,AE862*IF(X862="",0,IF(X862&gt;1,X862/100,X862)))</f>
        <v>0</v>
      </c>
      <c r="AI862" s="21" t="n">
        <f aca="false">IF(OR(AE862="",AE862=0),0,AE862*IF(AA862="",0,IF(AA862&gt;1,AA862/100,AA862)))</f>
        <v>0</v>
      </c>
      <c r="AJ862" s="21" t="n">
        <f aca="false">AG862+AH862+AI862</f>
        <v>0</v>
      </c>
      <c r="AK862" s="21" t="n">
        <f aca="false">IF(OR(AE862="",AE862=0),0,AE862-AJ862)</f>
        <v>0</v>
      </c>
      <c r="AL862" s="19" t="str">
        <f aca="false">IF(AD862="","",AD862-AK862)</f>
        <v/>
      </c>
      <c r="AM862" s="9" t="str">
        <f aca="false">IF(C862="","","Waiting for payment")</f>
        <v/>
      </c>
      <c r="AN862" s="10"/>
      <c r="AO862" s="10"/>
      <c r="AP862" s="22" t="str">
        <f aca="false">IF(OR(C862="",I862="",K862=""),"",IF(K862="Monthly",EDATE(C862,ROUND(I862*SETTINGS!$I$8,0)),WORKDAY(C862,ROUND(I862*SETTINGS!$I$8,0))))</f>
        <v/>
      </c>
      <c r="AQ862" s="9" t="str">
        <f aca="true">IF(C862="","",IF(AND(AP862&lt;&gt;"",TODAY()&gt;=AP862),"Refi Ready",IF(TODAY()-C862&gt;=SETTINGS!$I$11,"Prospecting","Performing")))</f>
        <v/>
      </c>
      <c r="AR862" s="22" t="str">
        <f aca="false">IF(OR(C862="",I862="",K862=""),"",IF(K862="Monthly",EDATE(C862,I862),WORKDAY(C862,I862)))</f>
        <v/>
      </c>
      <c r="AS862" s="11"/>
      <c r="AT862" s="23" t="str">
        <f aca="true">IF(C862="","",IF(AM862="Clawed Back","CLAWED",IF(TODAY()&lt;=C862+SETTINGS!$I$2,"⚠ AT RISK","SAFE")))</f>
        <v/>
      </c>
      <c r="AU862" s="11"/>
      <c r="AW862" s="24" t="n">
        <f aca="false">AW861+IF(AND(C862&lt;&gt;"",AO862&lt;&gt;"",OR('REP COMMISSION'!$B$3="",T862='REP COMMISSION'!$B$3,W862='REP COMMISSION'!$B$3,Z862='REP COMMISSION'!$B$3)),1,0)</f>
        <v>0</v>
      </c>
      <c r="AX862" s="24" t="n">
        <f aca="false">AX861+IF(AND(C862&lt;&gt;"",OR(F862="LOC - INITIAL",F862="CONSOLIDATION - UPFRONT COMM",F862="REVERSE - TOTAL FUNDING")),1,0)</f>
        <v>0</v>
      </c>
    </row>
    <row r="863" customFormat="false" ht="15" hidden="false" customHeight="false" outlineLevel="0" collapsed="false">
      <c r="A863" s="25" t="str">
        <f aca="false">IF(C863&lt;&gt;"","F27-"&amp;COUNT($C$4:C863),"")</f>
        <v/>
      </c>
      <c r="B863" s="26" t="str">
        <f aca="false">IF(OR(F863="LOC - INITIAL",F863="CONSOLIDATION - UPFRONT COMM",F863="REVERSE - TOTAL FUNDING"),A863,"")</f>
        <v/>
      </c>
      <c r="C863" s="27"/>
      <c r="D863" s="28"/>
      <c r="E863" s="28"/>
      <c r="F863" s="28"/>
      <c r="G863" s="29"/>
      <c r="H863" s="30"/>
      <c r="I863" s="28"/>
      <c r="J863" s="31" t="str">
        <f aca="false">IF(AND(G863&lt;&gt;"",H863&lt;&gt;""),G863*H863,"")</f>
        <v/>
      </c>
      <c r="K863" s="28"/>
      <c r="L863" s="32"/>
      <c r="M863" s="32"/>
      <c r="N863" s="31" t="n">
        <f aca="false">IF(OR(G863="",M863=""),0,IF(M863&gt;100,M863,G863*IF(M863&gt;1,M863/100,M863)))</f>
        <v>0</v>
      </c>
      <c r="O863" s="31" t="str">
        <f aca="false">IF(G863="","",G863*IF(L863="",0,IF(L863&gt;1,L863/100,L863))+N863)</f>
        <v/>
      </c>
      <c r="P863" s="28"/>
      <c r="Q863" s="33" t="str">
        <f aca="false">IF(P863="","",IFERROR(VLOOKUP(P863,PARTNERS!$A$2:$B$30,2,0),""))</f>
        <v/>
      </c>
      <c r="R863" s="17" t="str">
        <f aca="false">IF(O863="","",IF(OR(P863="",Q863=""),0,(O863-N863)*IF(Q863&gt;1,Q863/100,Q863)))</f>
        <v/>
      </c>
      <c r="S863" s="31" t="str">
        <f aca="false">IF(O863="","",O863-R863)</f>
        <v/>
      </c>
      <c r="T863" s="28"/>
      <c r="U863" s="34" t="str">
        <f aca="false">IF(T863="","",IFERROR(VLOOKUP(T863,REPS!$A$2:$D$40,2,0),""))</f>
        <v/>
      </c>
      <c r="V863" s="31" t="str">
        <f aca="false">IF(O863="","",IF(U863="",0,O863*IF(U863&gt;1,U863/100,U863)))</f>
        <v/>
      </c>
      <c r="W863" s="28"/>
      <c r="X863" s="34" t="str">
        <f aca="false">IF(W863="","",IFERROR(VLOOKUP(W863,REPS!$A$2:$D$40,3,0),""))</f>
        <v/>
      </c>
      <c r="Y863" s="31" t="str">
        <f aca="false">IF(O863="","",IF(X863="",0,O863*IF(X863&gt;1,X863/100,X863)))</f>
        <v/>
      </c>
      <c r="Z863" s="28"/>
      <c r="AA863" s="34" t="str">
        <f aca="false">IF(Z863="","",IFERROR(VLOOKUP(Z863,REPS!$A$2:$D$40,4,0),""))</f>
        <v/>
      </c>
      <c r="AB863" s="31" t="str">
        <f aca="false">IF(O863="","",IF(AA863="",0,O863*IF(AA863&gt;1,AA863/100,AA863)))</f>
        <v/>
      </c>
      <c r="AC863" s="31" t="str">
        <f aca="false">IF(O863="","",V863+Y863+AB863)</f>
        <v/>
      </c>
      <c r="AD863" s="19" t="str">
        <f aca="false">IF(O863="","",O863-R863-AC863)</f>
        <v/>
      </c>
      <c r="AE863" s="20"/>
      <c r="AF863" s="27"/>
      <c r="AG863" s="21" t="n">
        <f aca="false">IF(OR(AE863="",AE863=0),0,AE863*IF(U863="",0,IF(U863&gt;1,U863/100,U863)))</f>
        <v>0</v>
      </c>
      <c r="AH863" s="21" t="n">
        <f aca="false">IF(OR(AE863="",AE863=0),0,AE863*IF(X863="",0,IF(X863&gt;1,X863/100,X863)))</f>
        <v>0</v>
      </c>
      <c r="AI863" s="21" t="n">
        <f aca="false">IF(OR(AE863="",AE863=0),0,AE863*IF(AA863="",0,IF(AA863&gt;1,AA863/100,AA863)))</f>
        <v>0</v>
      </c>
      <c r="AJ863" s="21" t="n">
        <f aca="false">AG863+AH863+AI863</f>
        <v>0</v>
      </c>
      <c r="AK863" s="21" t="n">
        <f aca="false">IF(OR(AE863="",AE863=0),0,AE863-AJ863)</f>
        <v>0</v>
      </c>
      <c r="AL863" s="19" t="str">
        <f aca="false">IF(AD863="","",AD863-AK863)</f>
        <v/>
      </c>
      <c r="AM863" s="26" t="str">
        <f aca="false">IF(C863="","","Waiting for payment")</f>
        <v/>
      </c>
      <c r="AN863" s="27"/>
      <c r="AO863" s="27"/>
      <c r="AP863" s="35" t="str">
        <f aca="false">IF(OR(C863="",I863="",K863=""),"",IF(K863="Monthly",EDATE(C863,ROUND(I863*SETTINGS!$I$8,0)),WORKDAY(C863,ROUND(I863*SETTINGS!$I$8,0))))</f>
        <v/>
      </c>
      <c r="AQ863" s="26" t="str">
        <f aca="true">IF(C863="","",IF(AND(AP863&lt;&gt;"",TODAY()&gt;=AP863),"Refi Ready",IF(TODAY()-C863&gt;=SETTINGS!$I$11,"Prospecting","Performing")))</f>
        <v/>
      </c>
      <c r="AR863" s="35" t="str">
        <f aca="false">IF(OR(C863="",I863="",K863=""),"",IF(K863="Monthly",EDATE(C863,I863),WORKDAY(C863,I863)))</f>
        <v/>
      </c>
      <c r="AS863" s="28"/>
      <c r="AT863" s="36" t="str">
        <f aca="true">IF(C863="","",IF(AM863="Clawed Back","CLAWED",IF(TODAY()&lt;=C863+SETTINGS!$I$2,"⚠ AT RISK","SAFE")))</f>
        <v/>
      </c>
      <c r="AU863" s="28"/>
      <c r="AW863" s="24" t="n">
        <f aca="false">AW862+IF(AND(C863&lt;&gt;"",AO863&lt;&gt;"",OR('REP COMMISSION'!$B$3="",T863='REP COMMISSION'!$B$3,W863='REP COMMISSION'!$B$3,Z863='REP COMMISSION'!$B$3)),1,0)</f>
        <v>0</v>
      </c>
      <c r="AX863" s="24" t="n">
        <f aca="false">AX862+IF(AND(C863&lt;&gt;"",OR(F863="LOC - INITIAL",F863="CONSOLIDATION - UPFRONT COMM",F863="REVERSE - TOTAL FUNDING")),1,0)</f>
        <v>0</v>
      </c>
    </row>
    <row r="864" customFormat="false" ht="15" hidden="false" customHeight="false" outlineLevel="0" collapsed="false">
      <c r="A864" s="8" t="str">
        <f aca="false">IF(C864&lt;&gt;"","F27-"&amp;COUNT($C$4:C864),"")</f>
        <v/>
      </c>
      <c r="B864" s="9" t="str">
        <f aca="false">IF(OR(F864="LOC - INITIAL",F864="CONSOLIDATION - UPFRONT COMM",F864="REVERSE - TOTAL FUNDING"),A864,"")</f>
        <v/>
      </c>
      <c r="C864" s="10"/>
      <c r="D864" s="11"/>
      <c r="E864" s="11"/>
      <c r="F864" s="11"/>
      <c r="G864" s="12"/>
      <c r="H864" s="13"/>
      <c r="I864" s="11"/>
      <c r="J864" s="14" t="str">
        <f aca="false">IF(AND(G864&lt;&gt;"",H864&lt;&gt;""),G864*H864,"")</f>
        <v/>
      </c>
      <c r="K864" s="11"/>
      <c r="L864" s="15"/>
      <c r="M864" s="15"/>
      <c r="N864" s="14" t="n">
        <f aca="false">IF(OR(G864="",M864=""),0,IF(M864&gt;100,M864,G864*IF(M864&gt;1,M864/100,M864)))</f>
        <v>0</v>
      </c>
      <c r="O864" s="14" t="str">
        <f aca="false">IF(G864="","",G864*IF(L864="",0,IF(L864&gt;1,L864/100,L864))+N864)</f>
        <v/>
      </c>
      <c r="P864" s="11"/>
      <c r="Q864" s="16" t="str">
        <f aca="false">IF(P864="","",IFERROR(VLOOKUP(P864,PARTNERS!$A$2:$B$30,2,0),""))</f>
        <v/>
      </c>
      <c r="R864" s="17" t="str">
        <f aca="false">IF(O864="","",IF(OR(P864="",Q864=""),0,(O864-N864)*IF(Q864&gt;1,Q864/100,Q864)))</f>
        <v/>
      </c>
      <c r="S864" s="14" t="str">
        <f aca="false">IF(O864="","",O864-R864)</f>
        <v/>
      </c>
      <c r="T864" s="11"/>
      <c r="U864" s="18" t="str">
        <f aca="false">IF(T864="","",IFERROR(VLOOKUP(T864,REPS!$A$2:$D$40,2,0),""))</f>
        <v/>
      </c>
      <c r="V864" s="14" t="str">
        <f aca="false">IF(O864="","",IF(U864="",0,O864*IF(U864&gt;1,U864/100,U864)))</f>
        <v/>
      </c>
      <c r="W864" s="11"/>
      <c r="X864" s="18" t="str">
        <f aca="false">IF(W864="","",IFERROR(VLOOKUP(W864,REPS!$A$2:$D$40,3,0),""))</f>
        <v/>
      </c>
      <c r="Y864" s="14" t="str">
        <f aca="false">IF(O864="","",IF(X864="",0,O864*IF(X864&gt;1,X864/100,X864)))</f>
        <v/>
      </c>
      <c r="Z864" s="11"/>
      <c r="AA864" s="18" t="str">
        <f aca="false">IF(Z864="","",IFERROR(VLOOKUP(Z864,REPS!$A$2:$D$40,4,0),""))</f>
        <v/>
      </c>
      <c r="AB864" s="14" t="str">
        <f aca="false">IF(O864="","",IF(AA864="",0,O864*IF(AA864&gt;1,AA864/100,AA864)))</f>
        <v/>
      </c>
      <c r="AC864" s="14" t="str">
        <f aca="false">IF(O864="","",V864+Y864+AB864)</f>
        <v/>
      </c>
      <c r="AD864" s="19" t="str">
        <f aca="false">IF(O864="","",O864-R864-AC864)</f>
        <v/>
      </c>
      <c r="AE864" s="20"/>
      <c r="AF864" s="10"/>
      <c r="AG864" s="21" t="n">
        <f aca="false">IF(OR(AE864="",AE864=0),0,AE864*IF(U864="",0,IF(U864&gt;1,U864/100,U864)))</f>
        <v>0</v>
      </c>
      <c r="AH864" s="21" t="n">
        <f aca="false">IF(OR(AE864="",AE864=0),0,AE864*IF(X864="",0,IF(X864&gt;1,X864/100,X864)))</f>
        <v>0</v>
      </c>
      <c r="AI864" s="21" t="n">
        <f aca="false">IF(OR(AE864="",AE864=0),0,AE864*IF(AA864="",0,IF(AA864&gt;1,AA864/100,AA864)))</f>
        <v>0</v>
      </c>
      <c r="AJ864" s="21" t="n">
        <f aca="false">AG864+AH864+AI864</f>
        <v>0</v>
      </c>
      <c r="AK864" s="21" t="n">
        <f aca="false">IF(OR(AE864="",AE864=0),0,AE864-AJ864)</f>
        <v>0</v>
      </c>
      <c r="AL864" s="19" t="str">
        <f aca="false">IF(AD864="","",AD864-AK864)</f>
        <v/>
      </c>
      <c r="AM864" s="9" t="str">
        <f aca="false">IF(C864="","","Waiting for payment")</f>
        <v/>
      </c>
      <c r="AN864" s="10"/>
      <c r="AO864" s="10"/>
      <c r="AP864" s="22" t="str">
        <f aca="false">IF(OR(C864="",I864="",K864=""),"",IF(K864="Monthly",EDATE(C864,ROUND(I864*SETTINGS!$I$8,0)),WORKDAY(C864,ROUND(I864*SETTINGS!$I$8,0))))</f>
        <v/>
      </c>
      <c r="AQ864" s="9" t="str">
        <f aca="true">IF(C864="","",IF(AND(AP864&lt;&gt;"",TODAY()&gt;=AP864),"Refi Ready",IF(TODAY()-C864&gt;=SETTINGS!$I$11,"Prospecting","Performing")))</f>
        <v/>
      </c>
      <c r="AR864" s="22" t="str">
        <f aca="false">IF(OR(C864="",I864="",K864=""),"",IF(K864="Monthly",EDATE(C864,I864),WORKDAY(C864,I864)))</f>
        <v/>
      </c>
      <c r="AS864" s="11"/>
      <c r="AT864" s="23" t="str">
        <f aca="true">IF(C864="","",IF(AM864="Clawed Back","CLAWED",IF(TODAY()&lt;=C864+SETTINGS!$I$2,"⚠ AT RISK","SAFE")))</f>
        <v/>
      </c>
      <c r="AU864" s="11"/>
      <c r="AW864" s="24" t="n">
        <f aca="false">AW863+IF(AND(C864&lt;&gt;"",AO864&lt;&gt;"",OR('REP COMMISSION'!$B$3="",T864='REP COMMISSION'!$B$3,W864='REP COMMISSION'!$B$3,Z864='REP COMMISSION'!$B$3)),1,0)</f>
        <v>0</v>
      </c>
      <c r="AX864" s="24" t="n">
        <f aca="false">AX863+IF(AND(C864&lt;&gt;"",OR(F864="LOC - INITIAL",F864="CONSOLIDATION - UPFRONT COMM",F864="REVERSE - TOTAL FUNDING")),1,0)</f>
        <v>0</v>
      </c>
    </row>
    <row r="865" customFormat="false" ht="15" hidden="false" customHeight="false" outlineLevel="0" collapsed="false">
      <c r="A865" s="25" t="str">
        <f aca="false">IF(C865&lt;&gt;"","F27-"&amp;COUNT($C$4:C865),"")</f>
        <v/>
      </c>
      <c r="B865" s="26" t="str">
        <f aca="false">IF(OR(F865="LOC - INITIAL",F865="CONSOLIDATION - UPFRONT COMM",F865="REVERSE - TOTAL FUNDING"),A865,"")</f>
        <v/>
      </c>
      <c r="C865" s="27"/>
      <c r="D865" s="28"/>
      <c r="E865" s="28"/>
      <c r="F865" s="28"/>
      <c r="G865" s="29"/>
      <c r="H865" s="30"/>
      <c r="I865" s="28"/>
      <c r="J865" s="31" t="str">
        <f aca="false">IF(AND(G865&lt;&gt;"",H865&lt;&gt;""),G865*H865,"")</f>
        <v/>
      </c>
      <c r="K865" s="28"/>
      <c r="L865" s="32"/>
      <c r="M865" s="32"/>
      <c r="N865" s="31" t="n">
        <f aca="false">IF(OR(G865="",M865=""),0,IF(M865&gt;100,M865,G865*IF(M865&gt;1,M865/100,M865)))</f>
        <v>0</v>
      </c>
      <c r="O865" s="31" t="str">
        <f aca="false">IF(G865="","",G865*IF(L865="",0,IF(L865&gt;1,L865/100,L865))+N865)</f>
        <v/>
      </c>
      <c r="P865" s="28"/>
      <c r="Q865" s="33" t="str">
        <f aca="false">IF(P865="","",IFERROR(VLOOKUP(P865,PARTNERS!$A$2:$B$30,2,0),""))</f>
        <v/>
      </c>
      <c r="R865" s="17" t="str">
        <f aca="false">IF(O865="","",IF(OR(P865="",Q865=""),0,(O865-N865)*IF(Q865&gt;1,Q865/100,Q865)))</f>
        <v/>
      </c>
      <c r="S865" s="31" t="str">
        <f aca="false">IF(O865="","",O865-R865)</f>
        <v/>
      </c>
      <c r="T865" s="28"/>
      <c r="U865" s="34" t="str">
        <f aca="false">IF(T865="","",IFERROR(VLOOKUP(T865,REPS!$A$2:$D$40,2,0),""))</f>
        <v/>
      </c>
      <c r="V865" s="31" t="str">
        <f aca="false">IF(O865="","",IF(U865="",0,O865*IF(U865&gt;1,U865/100,U865)))</f>
        <v/>
      </c>
      <c r="W865" s="28"/>
      <c r="X865" s="34" t="str">
        <f aca="false">IF(W865="","",IFERROR(VLOOKUP(W865,REPS!$A$2:$D$40,3,0),""))</f>
        <v/>
      </c>
      <c r="Y865" s="31" t="str">
        <f aca="false">IF(O865="","",IF(X865="",0,O865*IF(X865&gt;1,X865/100,X865)))</f>
        <v/>
      </c>
      <c r="Z865" s="28"/>
      <c r="AA865" s="34" t="str">
        <f aca="false">IF(Z865="","",IFERROR(VLOOKUP(Z865,REPS!$A$2:$D$40,4,0),""))</f>
        <v/>
      </c>
      <c r="AB865" s="31" t="str">
        <f aca="false">IF(O865="","",IF(AA865="",0,O865*IF(AA865&gt;1,AA865/100,AA865)))</f>
        <v/>
      </c>
      <c r="AC865" s="31" t="str">
        <f aca="false">IF(O865="","",V865+Y865+AB865)</f>
        <v/>
      </c>
      <c r="AD865" s="19" t="str">
        <f aca="false">IF(O865="","",O865-R865-AC865)</f>
        <v/>
      </c>
      <c r="AE865" s="20"/>
      <c r="AF865" s="27"/>
      <c r="AG865" s="21" t="n">
        <f aca="false">IF(OR(AE865="",AE865=0),0,AE865*IF(U865="",0,IF(U865&gt;1,U865/100,U865)))</f>
        <v>0</v>
      </c>
      <c r="AH865" s="21" t="n">
        <f aca="false">IF(OR(AE865="",AE865=0),0,AE865*IF(X865="",0,IF(X865&gt;1,X865/100,X865)))</f>
        <v>0</v>
      </c>
      <c r="AI865" s="21" t="n">
        <f aca="false">IF(OR(AE865="",AE865=0),0,AE865*IF(AA865="",0,IF(AA865&gt;1,AA865/100,AA865)))</f>
        <v>0</v>
      </c>
      <c r="AJ865" s="21" t="n">
        <f aca="false">AG865+AH865+AI865</f>
        <v>0</v>
      </c>
      <c r="AK865" s="21" t="n">
        <f aca="false">IF(OR(AE865="",AE865=0),0,AE865-AJ865)</f>
        <v>0</v>
      </c>
      <c r="AL865" s="19" t="str">
        <f aca="false">IF(AD865="","",AD865-AK865)</f>
        <v/>
      </c>
      <c r="AM865" s="26" t="str">
        <f aca="false">IF(C865="","","Waiting for payment")</f>
        <v/>
      </c>
      <c r="AN865" s="27"/>
      <c r="AO865" s="27"/>
      <c r="AP865" s="35" t="str">
        <f aca="false">IF(OR(C865="",I865="",K865=""),"",IF(K865="Monthly",EDATE(C865,ROUND(I865*SETTINGS!$I$8,0)),WORKDAY(C865,ROUND(I865*SETTINGS!$I$8,0))))</f>
        <v/>
      </c>
      <c r="AQ865" s="26" t="str">
        <f aca="true">IF(C865="","",IF(AND(AP865&lt;&gt;"",TODAY()&gt;=AP865),"Refi Ready",IF(TODAY()-C865&gt;=SETTINGS!$I$11,"Prospecting","Performing")))</f>
        <v/>
      </c>
      <c r="AR865" s="35" t="str">
        <f aca="false">IF(OR(C865="",I865="",K865=""),"",IF(K865="Monthly",EDATE(C865,I865),WORKDAY(C865,I865)))</f>
        <v/>
      </c>
      <c r="AS865" s="28"/>
      <c r="AT865" s="36" t="str">
        <f aca="true">IF(C865="","",IF(AM865="Clawed Back","CLAWED",IF(TODAY()&lt;=C865+SETTINGS!$I$2,"⚠ AT RISK","SAFE")))</f>
        <v/>
      </c>
      <c r="AU865" s="28"/>
      <c r="AW865" s="24" t="n">
        <f aca="false">AW864+IF(AND(C865&lt;&gt;"",AO865&lt;&gt;"",OR('REP COMMISSION'!$B$3="",T865='REP COMMISSION'!$B$3,W865='REP COMMISSION'!$B$3,Z865='REP COMMISSION'!$B$3)),1,0)</f>
        <v>0</v>
      </c>
      <c r="AX865" s="24" t="n">
        <f aca="false">AX864+IF(AND(C865&lt;&gt;"",OR(F865="LOC - INITIAL",F865="CONSOLIDATION - UPFRONT COMM",F865="REVERSE - TOTAL FUNDING")),1,0)</f>
        <v>0</v>
      </c>
    </row>
    <row r="866" customFormat="false" ht="15" hidden="false" customHeight="false" outlineLevel="0" collapsed="false">
      <c r="A866" s="8" t="str">
        <f aca="false">IF(C866&lt;&gt;"","F27-"&amp;COUNT($C$4:C866),"")</f>
        <v/>
      </c>
      <c r="B866" s="9" t="str">
        <f aca="false">IF(OR(F866="LOC - INITIAL",F866="CONSOLIDATION - UPFRONT COMM",F866="REVERSE - TOTAL FUNDING"),A866,"")</f>
        <v/>
      </c>
      <c r="C866" s="10"/>
      <c r="D866" s="11"/>
      <c r="E866" s="11"/>
      <c r="F866" s="11"/>
      <c r="G866" s="12"/>
      <c r="H866" s="13"/>
      <c r="I866" s="11"/>
      <c r="J866" s="14" t="str">
        <f aca="false">IF(AND(G866&lt;&gt;"",H866&lt;&gt;""),G866*H866,"")</f>
        <v/>
      </c>
      <c r="K866" s="11"/>
      <c r="L866" s="15"/>
      <c r="M866" s="15"/>
      <c r="N866" s="14" t="n">
        <f aca="false">IF(OR(G866="",M866=""),0,IF(M866&gt;100,M866,G866*IF(M866&gt;1,M866/100,M866)))</f>
        <v>0</v>
      </c>
      <c r="O866" s="14" t="str">
        <f aca="false">IF(G866="","",G866*IF(L866="",0,IF(L866&gt;1,L866/100,L866))+N866)</f>
        <v/>
      </c>
      <c r="P866" s="11"/>
      <c r="Q866" s="16" t="str">
        <f aca="false">IF(P866="","",IFERROR(VLOOKUP(P866,PARTNERS!$A$2:$B$30,2,0),""))</f>
        <v/>
      </c>
      <c r="R866" s="17" t="str">
        <f aca="false">IF(O866="","",IF(OR(P866="",Q866=""),0,(O866-N866)*IF(Q866&gt;1,Q866/100,Q866)))</f>
        <v/>
      </c>
      <c r="S866" s="14" t="str">
        <f aca="false">IF(O866="","",O866-R866)</f>
        <v/>
      </c>
      <c r="T866" s="11"/>
      <c r="U866" s="18" t="str">
        <f aca="false">IF(T866="","",IFERROR(VLOOKUP(T866,REPS!$A$2:$D$40,2,0),""))</f>
        <v/>
      </c>
      <c r="V866" s="14" t="str">
        <f aca="false">IF(O866="","",IF(U866="",0,O866*IF(U866&gt;1,U866/100,U866)))</f>
        <v/>
      </c>
      <c r="W866" s="11"/>
      <c r="X866" s="18" t="str">
        <f aca="false">IF(W866="","",IFERROR(VLOOKUP(W866,REPS!$A$2:$D$40,3,0),""))</f>
        <v/>
      </c>
      <c r="Y866" s="14" t="str">
        <f aca="false">IF(O866="","",IF(X866="",0,O866*IF(X866&gt;1,X866/100,X866)))</f>
        <v/>
      </c>
      <c r="Z866" s="11"/>
      <c r="AA866" s="18" t="str">
        <f aca="false">IF(Z866="","",IFERROR(VLOOKUP(Z866,REPS!$A$2:$D$40,4,0),""))</f>
        <v/>
      </c>
      <c r="AB866" s="14" t="str">
        <f aca="false">IF(O866="","",IF(AA866="",0,O866*IF(AA866&gt;1,AA866/100,AA866)))</f>
        <v/>
      </c>
      <c r="AC866" s="14" t="str">
        <f aca="false">IF(O866="","",V866+Y866+AB866)</f>
        <v/>
      </c>
      <c r="AD866" s="19" t="str">
        <f aca="false">IF(O866="","",O866-R866-AC866)</f>
        <v/>
      </c>
      <c r="AE866" s="20"/>
      <c r="AF866" s="10"/>
      <c r="AG866" s="21" t="n">
        <f aca="false">IF(OR(AE866="",AE866=0),0,AE866*IF(U866="",0,IF(U866&gt;1,U866/100,U866)))</f>
        <v>0</v>
      </c>
      <c r="AH866" s="21" t="n">
        <f aca="false">IF(OR(AE866="",AE866=0),0,AE866*IF(X866="",0,IF(X866&gt;1,X866/100,X866)))</f>
        <v>0</v>
      </c>
      <c r="AI866" s="21" t="n">
        <f aca="false">IF(OR(AE866="",AE866=0),0,AE866*IF(AA866="",0,IF(AA866&gt;1,AA866/100,AA866)))</f>
        <v>0</v>
      </c>
      <c r="AJ866" s="21" t="n">
        <f aca="false">AG866+AH866+AI866</f>
        <v>0</v>
      </c>
      <c r="AK866" s="21" t="n">
        <f aca="false">IF(OR(AE866="",AE866=0),0,AE866-AJ866)</f>
        <v>0</v>
      </c>
      <c r="AL866" s="19" t="str">
        <f aca="false">IF(AD866="","",AD866-AK866)</f>
        <v/>
      </c>
      <c r="AM866" s="9" t="str">
        <f aca="false">IF(C866="","","Waiting for payment")</f>
        <v/>
      </c>
      <c r="AN866" s="10"/>
      <c r="AO866" s="10"/>
      <c r="AP866" s="22" t="str">
        <f aca="false">IF(OR(C866="",I866="",K866=""),"",IF(K866="Monthly",EDATE(C866,ROUND(I866*SETTINGS!$I$8,0)),WORKDAY(C866,ROUND(I866*SETTINGS!$I$8,0))))</f>
        <v/>
      </c>
      <c r="AQ866" s="9" t="str">
        <f aca="true">IF(C866="","",IF(AND(AP866&lt;&gt;"",TODAY()&gt;=AP866),"Refi Ready",IF(TODAY()-C866&gt;=SETTINGS!$I$11,"Prospecting","Performing")))</f>
        <v/>
      </c>
      <c r="AR866" s="22" t="str">
        <f aca="false">IF(OR(C866="",I866="",K866=""),"",IF(K866="Monthly",EDATE(C866,I866),WORKDAY(C866,I866)))</f>
        <v/>
      </c>
      <c r="AS866" s="11"/>
      <c r="AT866" s="23" t="str">
        <f aca="true">IF(C866="","",IF(AM866="Clawed Back","CLAWED",IF(TODAY()&lt;=C866+SETTINGS!$I$2,"⚠ AT RISK","SAFE")))</f>
        <v/>
      </c>
      <c r="AU866" s="11"/>
      <c r="AW866" s="24" t="n">
        <f aca="false">AW865+IF(AND(C866&lt;&gt;"",AO866&lt;&gt;"",OR('REP COMMISSION'!$B$3="",T866='REP COMMISSION'!$B$3,W866='REP COMMISSION'!$B$3,Z866='REP COMMISSION'!$B$3)),1,0)</f>
        <v>0</v>
      </c>
      <c r="AX866" s="24" t="n">
        <f aca="false">AX865+IF(AND(C866&lt;&gt;"",OR(F866="LOC - INITIAL",F866="CONSOLIDATION - UPFRONT COMM",F866="REVERSE - TOTAL FUNDING")),1,0)</f>
        <v>0</v>
      </c>
    </row>
    <row r="867" customFormat="false" ht="15" hidden="false" customHeight="false" outlineLevel="0" collapsed="false">
      <c r="A867" s="25" t="str">
        <f aca="false">IF(C867&lt;&gt;"","F27-"&amp;COUNT($C$4:C867),"")</f>
        <v/>
      </c>
      <c r="B867" s="26" t="str">
        <f aca="false">IF(OR(F867="LOC - INITIAL",F867="CONSOLIDATION - UPFRONT COMM",F867="REVERSE - TOTAL FUNDING"),A867,"")</f>
        <v/>
      </c>
      <c r="C867" s="27"/>
      <c r="D867" s="28"/>
      <c r="E867" s="28"/>
      <c r="F867" s="28"/>
      <c r="G867" s="29"/>
      <c r="H867" s="30"/>
      <c r="I867" s="28"/>
      <c r="J867" s="31" t="str">
        <f aca="false">IF(AND(G867&lt;&gt;"",H867&lt;&gt;""),G867*H867,"")</f>
        <v/>
      </c>
      <c r="K867" s="28"/>
      <c r="L867" s="32"/>
      <c r="M867" s="32"/>
      <c r="N867" s="31" t="n">
        <f aca="false">IF(OR(G867="",M867=""),0,IF(M867&gt;100,M867,G867*IF(M867&gt;1,M867/100,M867)))</f>
        <v>0</v>
      </c>
      <c r="O867" s="31" t="str">
        <f aca="false">IF(G867="","",G867*IF(L867="",0,IF(L867&gt;1,L867/100,L867))+N867)</f>
        <v/>
      </c>
      <c r="P867" s="28"/>
      <c r="Q867" s="33" t="str">
        <f aca="false">IF(P867="","",IFERROR(VLOOKUP(P867,PARTNERS!$A$2:$B$30,2,0),""))</f>
        <v/>
      </c>
      <c r="R867" s="17" t="str">
        <f aca="false">IF(O867="","",IF(OR(P867="",Q867=""),0,(O867-N867)*IF(Q867&gt;1,Q867/100,Q867)))</f>
        <v/>
      </c>
      <c r="S867" s="31" t="str">
        <f aca="false">IF(O867="","",O867-R867)</f>
        <v/>
      </c>
      <c r="T867" s="28"/>
      <c r="U867" s="34" t="str">
        <f aca="false">IF(T867="","",IFERROR(VLOOKUP(T867,REPS!$A$2:$D$40,2,0),""))</f>
        <v/>
      </c>
      <c r="V867" s="31" t="str">
        <f aca="false">IF(O867="","",IF(U867="",0,O867*IF(U867&gt;1,U867/100,U867)))</f>
        <v/>
      </c>
      <c r="W867" s="28"/>
      <c r="X867" s="34" t="str">
        <f aca="false">IF(W867="","",IFERROR(VLOOKUP(W867,REPS!$A$2:$D$40,3,0),""))</f>
        <v/>
      </c>
      <c r="Y867" s="31" t="str">
        <f aca="false">IF(O867="","",IF(X867="",0,O867*IF(X867&gt;1,X867/100,X867)))</f>
        <v/>
      </c>
      <c r="Z867" s="28"/>
      <c r="AA867" s="34" t="str">
        <f aca="false">IF(Z867="","",IFERROR(VLOOKUP(Z867,REPS!$A$2:$D$40,4,0),""))</f>
        <v/>
      </c>
      <c r="AB867" s="31" t="str">
        <f aca="false">IF(O867="","",IF(AA867="",0,O867*IF(AA867&gt;1,AA867/100,AA867)))</f>
        <v/>
      </c>
      <c r="AC867" s="31" t="str">
        <f aca="false">IF(O867="","",V867+Y867+AB867)</f>
        <v/>
      </c>
      <c r="AD867" s="19" t="str">
        <f aca="false">IF(O867="","",O867-R867-AC867)</f>
        <v/>
      </c>
      <c r="AE867" s="20"/>
      <c r="AF867" s="27"/>
      <c r="AG867" s="21" t="n">
        <f aca="false">IF(OR(AE867="",AE867=0),0,AE867*IF(U867="",0,IF(U867&gt;1,U867/100,U867)))</f>
        <v>0</v>
      </c>
      <c r="AH867" s="21" t="n">
        <f aca="false">IF(OR(AE867="",AE867=0),0,AE867*IF(X867="",0,IF(X867&gt;1,X867/100,X867)))</f>
        <v>0</v>
      </c>
      <c r="AI867" s="21" t="n">
        <f aca="false">IF(OR(AE867="",AE867=0),0,AE867*IF(AA867="",0,IF(AA867&gt;1,AA867/100,AA867)))</f>
        <v>0</v>
      </c>
      <c r="AJ867" s="21" t="n">
        <f aca="false">AG867+AH867+AI867</f>
        <v>0</v>
      </c>
      <c r="AK867" s="21" t="n">
        <f aca="false">IF(OR(AE867="",AE867=0),0,AE867-AJ867)</f>
        <v>0</v>
      </c>
      <c r="AL867" s="19" t="str">
        <f aca="false">IF(AD867="","",AD867-AK867)</f>
        <v/>
      </c>
      <c r="AM867" s="26" t="str">
        <f aca="false">IF(C867="","","Waiting for payment")</f>
        <v/>
      </c>
      <c r="AN867" s="27"/>
      <c r="AO867" s="27"/>
      <c r="AP867" s="35" t="str">
        <f aca="false">IF(OR(C867="",I867="",K867=""),"",IF(K867="Monthly",EDATE(C867,ROUND(I867*SETTINGS!$I$8,0)),WORKDAY(C867,ROUND(I867*SETTINGS!$I$8,0))))</f>
        <v/>
      </c>
      <c r="AQ867" s="26" t="str">
        <f aca="true">IF(C867="","",IF(AND(AP867&lt;&gt;"",TODAY()&gt;=AP867),"Refi Ready",IF(TODAY()-C867&gt;=SETTINGS!$I$11,"Prospecting","Performing")))</f>
        <v/>
      </c>
      <c r="AR867" s="35" t="str">
        <f aca="false">IF(OR(C867="",I867="",K867=""),"",IF(K867="Monthly",EDATE(C867,I867),WORKDAY(C867,I867)))</f>
        <v/>
      </c>
      <c r="AS867" s="28"/>
      <c r="AT867" s="36" t="str">
        <f aca="true">IF(C867="","",IF(AM867="Clawed Back","CLAWED",IF(TODAY()&lt;=C867+SETTINGS!$I$2,"⚠ AT RISK","SAFE")))</f>
        <v/>
      </c>
      <c r="AU867" s="28"/>
      <c r="AW867" s="24" t="n">
        <f aca="false">AW866+IF(AND(C867&lt;&gt;"",AO867&lt;&gt;"",OR('REP COMMISSION'!$B$3="",T867='REP COMMISSION'!$B$3,W867='REP COMMISSION'!$B$3,Z867='REP COMMISSION'!$B$3)),1,0)</f>
        <v>0</v>
      </c>
      <c r="AX867" s="24" t="n">
        <f aca="false">AX866+IF(AND(C867&lt;&gt;"",OR(F867="LOC - INITIAL",F867="CONSOLIDATION - UPFRONT COMM",F867="REVERSE - TOTAL FUNDING")),1,0)</f>
        <v>0</v>
      </c>
    </row>
    <row r="868" customFormat="false" ht="15" hidden="false" customHeight="false" outlineLevel="0" collapsed="false">
      <c r="A868" s="8" t="str">
        <f aca="false">IF(C868&lt;&gt;"","F27-"&amp;COUNT($C$4:C868),"")</f>
        <v/>
      </c>
      <c r="B868" s="9" t="str">
        <f aca="false">IF(OR(F868="LOC - INITIAL",F868="CONSOLIDATION - UPFRONT COMM",F868="REVERSE - TOTAL FUNDING"),A868,"")</f>
        <v/>
      </c>
      <c r="C868" s="10"/>
      <c r="D868" s="11"/>
      <c r="E868" s="11"/>
      <c r="F868" s="11"/>
      <c r="G868" s="12"/>
      <c r="H868" s="13"/>
      <c r="I868" s="11"/>
      <c r="J868" s="14" t="str">
        <f aca="false">IF(AND(G868&lt;&gt;"",H868&lt;&gt;""),G868*H868,"")</f>
        <v/>
      </c>
      <c r="K868" s="11"/>
      <c r="L868" s="15"/>
      <c r="M868" s="15"/>
      <c r="N868" s="14" t="n">
        <f aca="false">IF(OR(G868="",M868=""),0,IF(M868&gt;100,M868,G868*IF(M868&gt;1,M868/100,M868)))</f>
        <v>0</v>
      </c>
      <c r="O868" s="14" t="str">
        <f aca="false">IF(G868="","",G868*IF(L868="",0,IF(L868&gt;1,L868/100,L868))+N868)</f>
        <v/>
      </c>
      <c r="P868" s="11"/>
      <c r="Q868" s="16" t="str">
        <f aca="false">IF(P868="","",IFERROR(VLOOKUP(P868,PARTNERS!$A$2:$B$30,2,0),""))</f>
        <v/>
      </c>
      <c r="R868" s="17" t="str">
        <f aca="false">IF(O868="","",IF(OR(P868="",Q868=""),0,(O868-N868)*IF(Q868&gt;1,Q868/100,Q868)))</f>
        <v/>
      </c>
      <c r="S868" s="14" t="str">
        <f aca="false">IF(O868="","",O868-R868)</f>
        <v/>
      </c>
      <c r="T868" s="11"/>
      <c r="U868" s="18" t="str">
        <f aca="false">IF(T868="","",IFERROR(VLOOKUP(T868,REPS!$A$2:$D$40,2,0),""))</f>
        <v/>
      </c>
      <c r="V868" s="14" t="str">
        <f aca="false">IF(O868="","",IF(U868="",0,O868*IF(U868&gt;1,U868/100,U868)))</f>
        <v/>
      </c>
      <c r="W868" s="11"/>
      <c r="X868" s="18" t="str">
        <f aca="false">IF(W868="","",IFERROR(VLOOKUP(W868,REPS!$A$2:$D$40,3,0),""))</f>
        <v/>
      </c>
      <c r="Y868" s="14" t="str">
        <f aca="false">IF(O868="","",IF(X868="",0,O868*IF(X868&gt;1,X868/100,X868)))</f>
        <v/>
      </c>
      <c r="Z868" s="11"/>
      <c r="AA868" s="18" t="str">
        <f aca="false">IF(Z868="","",IFERROR(VLOOKUP(Z868,REPS!$A$2:$D$40,4,0),""))</f>
        <v/>
      </c>
      <c r="AB868" s="14" t="str">
        <f aca="false">IF(O868="","",IF(AA868="",0,O868*IF(AA868&gt;1,AA868/100,AA868)))</f>
        <v/>
      </c>
      <c r="AC868" s="14" t="str">
        <f aca="false">IF(O868="","",V868+Y868+AB868)</f>
        <v/>
      </c>
      <c r="AD868" s="19" t="str">
        <f aca="false">IF(O868="","",O868-R868-AC868)</f>
        <v/>
      </c>
      <c r="AE868" s="20"/>
      <c r="AF868" s="10"/>
      <c r="AG868" s="21" t="n">
        <f aca="false">IF(OR(AE868="",AE868=0),0,AE868*IF(U868="",0,IF(U868&gt;1,U868/100,U868)))</f>
        <v>0</v>
      </c>
      <c r="AH868" s="21" t="n">
        <f aca="false">IF(OR(AE868="",AE868=0),0,AE868*IF(X868="",0,IF(X868&gt;1,X868/100,X868)))</f>
        <v>0</v>
      </c>
      <c r="AI868" s="21" t="n">
        <f aca="false">IF(OR(AE868="",AE868=0),0,AE868*IF(AA868="",0,IF(AA868&gt;1,AA868/100,AA868)))</f>
        <v>0</v>
      </c>
      <c r="AJ868" s="21" t="n">
        <f aca="false">AG868+AH868+AI868</f>
        <v>0</v>
      </c>
      <c r="AK868" s="21" t="n">
        <f aca="false">IF(OR(AE868="",AE868=0),0,AE868-AJ868)</f>
        <v>0</v>
      </c>
      <c r="AL868" s="19" t="str">
        <f aca="false">IF(AD868="","",AD868-AK868)</f>
        <v/>
      </c>
      <c r="AM868" s="9" t="str">
        <f aca="false">IF(C868="","","Waiting for payment")</f>
        <v/>
      </c>
      <c r="AN868" s="10"/>
      <c r="AO868" s="10"/>
      <c r="AP868" s="22" t="str">
        <f aca="false">IF(OR(C868="",I868="",K868=""),"",IF(K868="Monthly",EDATE(C868,ROUND(I868*SETTINGS!$I$8,0)),WORKDAY(C868,ROUND(I868*SETTINGS!$I$8,0))))</f>
        <v/>
      </c>
      <c r="AQ868" s="9" t="str">
        <f aca="true">IF(C868="","",IF(AND(AP868&lt;&gt;"",TODAY()&gt;=AP868),"Refi Ready",IF(TODAY()-C868&gt;=SETTINGS!$I$11,"Prospecting","Performing")))</f>
        <v/>
      </c>
      <c r="AR868" s="22" t="str">
        <f aca="false">IF(OR(C868="",I868="",K868=""),"",IF(K868="Monthly",EDATE(C868,I868),WORKDAY(C868,I868)))</f>
        <v/>
      </c>
      <c r="AS868" s="11"/>
      <c r="AT868" s="23" t="str">
        <f aca="true">IF(C868="","",IF(AM868="Clawed Back","CLAWED",IF(TODAY()&lt;=C868+SETTINGS!$I$2,"⚠ AT RISK","SAFE")))</f>
        <v/>
      </c>
      <c r="AU868" s="11"/>
      <c r="AW868" s="24" t="n">
        <f aca="false">AW867+IF(AND(C868&lt;&gt;"",AO868&lt;&gt;"",OR('REP COMMISSION'!$B$3="",T868='REP COMMISSION'!$B$3,W868='REP COMMISSION'!$B$3,Z868='REP COMMISSION'!$B$3)),1,0)</f>
        <v>0</v>
      </c>
      <c r="AX868" s="24" t="n">
        <f aca="false">AX867+IF(AND(C868&lt;&gt;"",OR(F868="LOC - INITIAL",F868="CONSOLIDATION - UPFRONT COMM",F868="REVERSE - TOTAL FUNDING")),1,0)</f>
        <v>0</v>
      </c>
    </row>
    <row r="869" customFormat="false" ht="15" hidden="false" customHeight="false" outlineLevel="0" collapsed="false">
      <c r="A869" s="25" t="str">
        <f aca="false">IF(C869&lt;&gt;"","F27-"&amp;COUNT($C$4:C869),"")</f>
        <v/>
      </c>
      <c r="B869" s="26" t="str">
        <f aca="false">IF(OR(F869="LOC - INITIAL",F869="CONSOLIDATION - UPFRONT COMM",F869="REVERSE - TOTAL FUNDING"),A869,"")</f>
        <v/>
      </c>
      <c r="C869" s="27"/>
      <c r="D869" s="28"/>
      <c r="E869" s="28"/>
      <c r="F869" s="28"/>
      <c r="G869" s="29"/>
      <c r="H869" s="30"/>
      <c r="I869" s="28"/>
      <c r="J869" s="31" t="str">
        <f aca="false">IF(AND(G869&lt;&gt;"",H869&lt;&gt;""),G869*H869,"")</f>
        <v/>
      </c>
      <c r="K869" s="28"/>
      <c r="L869" s="32"/>
      <c r="M869" s="32"/>
      <c r="N869" s="31" t="n">
        <f aca="false">IF(OR(G869="",M869=""),0,IF(M869&gt;100,M869,G869*IF(M869&gt;1,M869/100,M869)))</f>
        <v>0</v>
      </c>
      <c r="O869" s="31" t="str">
        <f aca="false">IF(G869="","",G869*IF(L869="",0,IF(L869&gt;1,L869/100,L869))+N869)</f>
        <v/>
      </c>
      <c r="P869" s="28"/>
      <c r="Q869" s="33" t="str">
        <f aca="false">IF(P869="","",IFERROR(VLOOKUP(P869,PARTNERS!$A$2:$B$30,2,0),""))</f>
        <v/>
      </c>
      <c r="R869" s="17" t="str">
        <f aca="false">IF(O869="","",IF(OR(P869="",Q869=""),0,(O869-N869)*IF(Q869&gt;1,Q869/100,Q869)))</f>
        <v/>
      </c>
      <c r="S869" s="31" t="str">
        <f aca="false">IF(O869="","",O869-R869)</f>
        <v/>
      </c>
      <c r="T869" s="28"/>
      <c r="U869" s="34" t="str">
        <f aca="false">IF(T869="","",IFERROR(VLOOKUP(T869,REPS!$A$2:$D$40,2,0),""))</f>
        <v/>
      </c>
      <c r="V869" s="31" t="str">
        <f aca="false">IF(O869="","",IF(U869="",0,O869*IF(U869&gt;1,U869/100,U869)))</f>
        <v/>
      </c>
      <c r="W869" s="28"/>
      <c r="X869" s="34" t="str">
        <f aca="false">IF(W869="","",IFERROR(VLOOKUP(W869,REPS!$A$2:$D$40,3,0),""))</f>
        <v/>
      </c>
      <c r="Y869" s="31" t="str">
        <f aca="false">IF(O869="","",IF(X869="",0,O869*IF(X869&gt;1,X869/100,X869)))</f>
        <v/>
      </c>
      <c r="Z869" s="28"/>
      <c r="AA869" s="34" t="str">
        <f aca="false">IF(Z869="","",IFERROR(VLOOKUP(Z869,REPS!$A$2:$D$40,4,0),""))</f>
        <v/>
      </c>
      <c r="AB869" s="31" t="str">
        <f aca="false">IF(O869="","",IF(AA869="",0,O869*IF(AA869&gt;1,AA869/100,AA869)))</f>
        <v/>
      </c>
      <c r="AC869" s="31" t="str">
        <f aca="false">IF(O869="","",V869+Y869+AB869)</f>
        <v/>
      </c>
      <c r="AD869" s="19" t="str">
        <f aca="false">IF(O869="","",O869-R869-AC869)</f>
        <v/>
      </c>
      <c r="AE869" s="20"/>
      <c r="AF869" s="27"/>
      <c r="AG869" s="21" t="n">
        <f aca="false">IF(OR(AE869="",AE869=0),0,AE869*IF(U869="",0,IF(U869&gt;1,U869/100,U869)))</f>
        <v>0</v>
      </c>
      <c r="AH869" s="21" t="n">
        <f aca="false">IF(OR(AE869="",AE869=0),0,AE869*IF(X869="",0,IF(X869&gt;1,X869/100,X869)))</f>
        <v>0</v>
      </c>
      <c r="AI869" s="21" t="n">
        <f aca="false">IF(OR(AE869="",AE869=0),0,AE869*IF(AA869="",0,IF(AA869&gt;1,AA869/100,AA869)))</f>
        <v>0</v>
      </c>
      <c r="AJ869" s="21" t="n">
        <f aca="false">AG869+AH869+AI869</f>
        <v>0</v>
      </c>
      <c r="AK869" s="21" t="n">
        <f aca="false">IF(OR(AE869="",AE869=0),0,AE869-AJ869)</f>
        <v>0</v>
      </c>
      <c r="AL869" s="19" t="str">
        <f aca="false">IF(AD869="","",AD869-AK869)</f>
        <v/>
      </c>
      <c r="AM869" s="26" t="str">
        <f aca="false">IF(C869="","","Waiting for payment")</f>
        <v/>
      </c>
      <c r="AN869" s="27"/>
      <c r="AO869" s="27"/>
      <c r="AP869" s="35" t="str">
        <f aca="false">IF(OR(C869="",I869="",K869=""),"",IF(K869="Monthly",EDATE(C869,ROUND(I869*SETTINGS!$I$8,0)),WORKDAY(C869,ROUND(I869*SETTINGS!$I$8,0))))</f>
        <v/>
      </c>
      <c r="AQ869" s="26" t="str">
        <f aca="true">IF(C869="","",IF(AND(AP869&lt;&gt;"",TODAY()&gt;=AP869),"Refi Ready",IF(TODAY()-C869&gt;=SETTINGS!$I$11,"Prospecting","Performing")))</f>
        <v/>
      </c>
      <c r="AR869" s="35" t="str">
        <f aca="false">IF(OR(C869="",I869="",K869=""),"",IF(K869="Monthly",EDATE(C869,I869),WORKDAY(C869,I869)))</f>
        <v/>
      </c>
      <c r="AS869" s="28"/>
      <c r="AT869" s="36" t="str">
        <f aca="true">IF(C869="","",IF(AM869="Clawed Back","CLAWED",IF(TODAY()&lt;=C869+SETTINGS!$I$2,"⚠ AT RISK","SAFE")))</f>
        <v/>
      </c>
      <c r="AU869" s="28"/>
      <c r="AW869" s="24" t="n">
        <f aca="false">AW868+IF(AND(C869&lt;&gt;"",AO869&lt;&gt;"",OR('REP COMMISSION'!$B$3="",T869='REP COMMISSION'!$B$3,W869='REP COMMISSION'!$B$3,Z869='REP COMMISSION'!$B$3)),1,0)</f>
        <v>0</v>
      </c>
      <c r="AX869" s="24" t="n">
        <f aca="false">AX868+IF(AND(C869&lt;&gt;"",OR(F869="LOC - INITIAL",F869="CONSOLIDATION - UPFRONT COMM",F869="REVERSE - TOTAL FUNDING")),1,0)</f>
        <v>0</v>
      </c>
    </row>
    <row r="870" customFormat="false" ht="15" hidden="false" customHeight="false" outlineLevel="0" collapsed="false">
      <c r="A870" s="8" t="str">
        <f aca="false">IF(C870&lt;&gt;"","F27-"&amp;COUNT($C$4:C870),"")</f>
        <v/>
      </c>
      <c r="B870" s="9" t="str">
        <f aca="false">IF(OR(F870="LOC - INITIAL",F870="CONSOLIDATION - UPFRONT COMM",F870="REVERSE - TOTAL FUNDING"),A870,"")</f>
        <v/>
      </c>
      <c r="C870" s="10"/>
      <c r="D870" s="11"/>
      <c r="E870" s="11"/>
      <c r="F870" s="11"/>
      <c r="G870" s="12"/>
      <c r="H870" s="13"/>
      <c r="I870" s="11"/>
      <c r="J870" s="14" t="str">
        <f aca="false">IF(AND(G870&lt;&gt;"",H870&lt;&gt;""),G870*H870,"")</f>
        <v/>
      </c>
      <c r="K870" s="11"/>
      <c r="L870" s="15"/>
      <c r="M870" s="15"/>
      <c r="N870" s="14" t="n">
        <f aca="false">IF(OR(G870="",M870=""),0,IF(M870&gt;100,M870,G870*IF(M870&gt;1,M870/100,M870)))</f>
        <v>0</v>
      </c>
      <c r="O870" s="14" t="str">
        <f aca="false">IF(G870="","",G870*IF(L870="",0,IF(L870&gt;1,L870/100,L870))+N870)</f>
        <v/>
      </c>
      <c r="P870" s="11"/>
      <c r="Q870" s="16" t="str">
        <f aca="false">IF(P870="","",IFERROR(VLOOKUP(P870,PARTNERS!$A$2:$B$30,2,0),""))</f>
        <v/>
      </c>
      <c r="R870" s="17" t="str">
        <f aca="false">IF(O870="","",IF(OR(P870="",Q870=""),0,(O870-N870)*IF(Q870&gt;1,Q870/100,Q870)))</f>
        <v/>
      </c>
      <c r="S870" s="14" t="str">
        <f aca="false">IF(O870="","",O870-R870)</f>
        <v/>
      </c>
      <c r="T870" s="11"/>
      <c r="U870" s="18" t="str">
        <f aca="false">IF(T870="","",IFERROR(VLOOKUP(T870,REPS!$A$2:$D$40,2,0),""))</f>
        <v/>
      </c>
      <c r="V870" s="14" t="str">
        <f aca="false">IF(O870="","",IF(U870="",0,O870*IF(U870&gt;1,U870/100,U870)))</f>
        <v/>
      </c>
      <c r="W870" s="11"/>
      <c r="X870" s="18" t="str">
        <f aca="false">IF(W870="","",IFERROR(VLOOKUP(W870,REPS!$A$2:$D$40,3,0),""))</f>
        <v/>
      </c>
      <c r="Y870" s="14" t="str">
        <f aca="false">IF(O870="","",IF(X870="",0,O870*IF(X870&gt;1,X870/100,X870)))</f>
        <v/>
      </c>
      <c r="Z870" s="11"/>
      <c r="AA870" s="18" t="str">
        <f aca="false">IF(Z870="","",IFERROR(VLOOKUP(Z870,REPS!$A$2:$D$40,4,0),""))</f>
        <v/>
      </c>
      <c r="AB870" s="14" t="str">
        <f aca="false">IF(O870="","",IF(AA870="",0,O870*IF(AA870&gt;1,AA870/100,AA870)))</f>
        <v/>
      </c>
      <c r="AC870" s="14" t="str">
        <f aca="false">IF(O870="","",V870+Y870+AB870)</f>
        <v/>
      </c>
      <c r="AD870" s="19" t="str">
        <f aca="false">IF(O870="","",O870-R870-AC870)</f>
        <v/>
      </c>
      <c r="AE870" s="20"/>
      <c r="AF870" s="10"/>
      <c r="AG870" s="21" t="n">
        <f aca="false">IF(OR(AE870="",AE870=0),0,AE870*IF(U870="",0,IF(U870&gt;1,U870/100,U870)))</f>
        <v>0</v>
      </c>
      <c r="AH870" s="21" t="n">
        <f aca="false">IF(OR(AE870="",AE870=0),0,AE870*IF(X870="",0,IF(X870&gt;1,X870/100,X870)))</f>
        <v>0</v>
      </c>
      <c r="AI870" s="21" t="n">
        <f aca="false">IF(OR(AE870="",AE870=0),0,AE870*IF(AA870="",0,IF(AA870&gt;1,AA870/100,AA870)))</f>
        <v>0</v>
      </c>
      <c r="AJ870" s="21" t="n">
        <f aca="false">AG870+AH870+AI870</f>
        <v>0</v>
      </c>
      <c r="AK870" s="21" t="n">
        <f aca="false">IF(OR(AE870="",AE870=0),0,AE870-AJ870)</f>
        <v>0</v>
      </c>
      <c r="AL870" s="19" t="str">
        <f aca="false">IF(AD870="","",AD870-AK870)</f>
        <v/>
      </c>
      <c r="AM870" s="9" t="str">
        <f aca="false">IF(C870="","","Waiting for payment")</f>
        <v/>
      </c>
      <c r="AN870" s="10"/>
      <c r="AO870" s="10"/>
      <c r="AP870" s="22" t="str">
        <f aca="false">IF(OR(C870="",I870="",K870=""),"",IF(K870="Monthly",EDATE(C870,ROUND(I870*SETTINGS!$I$8,0)),WORKDAY(C870,ROUND(I870*SETTINGS!$I$8,0))))</f>
        <v/>
      </c>
      <c r="AQ870" s="9" t="str">
        <f aca="true">IF(C870="","",IF(AND(AP870&lt;&gt;"",TODAY()&gt;=AP870),"Refi Ready",IF(TODAY()-C870&gt;=SETTINGS!$I$11,"Prospecting","Performing")))</f>
        <v/>
      </c>
      <c r="AR870" s="22" t="str">
        <f aca="false">IF(OR(C870="",I870="",K870=""),"",IF(K870="Monthly",EDATE(C870,I870),WORKDAY(C870,I870)))</f>
        <v/>
      </c>
      <c r="AS870" s="11"/>
      <c r="AT870" s="23" t="str">
        <f aca="true">IF(C870="","",IF(AM870="Clawed Back","CLAWED",IF(TODAY()&lt;=C870+SETTINGS!$I$2,"⚠ AT RISK","SAFE")))</f>
        <v/>
      </c>
      <c r="AU870" s="11"/>
      <c r="AW870" s="24" t="n">
        <f aca="false">AW869+IF(AND(C870&lt;&gt;"",AO870&lt;&gt;"",OR('REP COMMISSION'!$B$3="",T870='REP COMMISSION'!$B$3,W870='REP COMMISSION'!$B$3,Z870='REP COMMISSION'!$B$3)),1,0)</f>
        <v>0</v>
      </c>
      <c r="AX870" s="24" t="n">
        <f aca="false">AX869+IF(AND(C870&lt;&gt;"",OR(F870="LOC - INITIAL",F870="CONSOLIDATION - UPFRONT COMM",F870="REVERSE - TOTAL FUNDING")),1,0)</f>
        <v>0</v>
      </c>
    </row>
    <row r="871" customFormat="false" ht="15" hidden="false" customHeight="false" outlineLevel="0" collapsed="false">
      <c r="A871" s="25" t="str">
        <f aca="false">IF(C871&lt;&gt;"","F27-"&amp;COUNT($C$4:C871),"")</f>
        <v/>
      </c>
      <c r="B871" s="26" t="str">
        <f aca="false">IF(OR(F871="LOC - INITIAL",F871="CONSOLIDATION - UPFRONT COMM",F871="REVERSE - TOTAL FUNDING"),A871,"")</f>
        <v/>
      </c>
      <c r="C871" s="27"/>
      <c r="D871" s="28"/>
      <c r="E871" s="28"/>
      <c r="F871" s="28"/>
      <c r="G871" s="29"/>
      <c r="H871" s="30"/>
      <c r="I871" s="28"/>
      <c r="J871" s="31" t="str">
        <f aca="false">IF(AND(G871&lt;&gt;"",H871&lt;&gt;""),G871*H871,"")</f>
        <v/>
      </c>
      <c r="K871" s="28"/>
      <c r="L871" s="32"/>
      <c r="M871" s="32"/>
      <c r="N871" s="31" t="n">
        <f aca="false">IF(OR(G871="",M871=""),0,IF(M871&gt;100,M871,G871*IF(M871&gt;1,M871/100,M871)))</f>
        <v>0</v>
      </c>
      <c r="O871" s="31" t="str">
        <f aca="false">IF(G871="","",G871*IF(L871="",0,IF(L871&gt;1,L871/100,L871))+N871)</f>
        <v/>
      </c>
      <c r="P871" s="28"/>
      <c r="Q871" s="33" t="str">
        <f aca="false">IF(P871="","",IFERROR(VLOOKUP(P871,PARTNERS!$A$2:$B$30,2,0),""))</f>
        <v/>
      </c>
      <c r="R871" s="17" t="str">
        <f aca="false">IF(O871="","",IF(OR(P871="",Q871=""),0,(O871-N871)*IF(Q871&gt;1,Q871/100,Q871)))</f>
        <v/>
      </c>
      <c r="S871" s="31" t="str">
        <f aca="false">IF(O871="","",O871-R871)</f>
        <v/>
      </c>
      <c r="T871" s="28"/>
      <c r="U871" s="34" t="str">
        <f aca="false">IF(T871="","",IFERROR(VLOOKUP(T871,REPS!$A$2:$D$40,2,0),""))</f>
        <v/>
      </c>
      <c r="V871" s="31" t="str">
        <f aca="false">IF(O871="","",IF(U871="",0,O871*IF(U871&gt;1,U871/100,U871)))</f>
        <v/>
      </c>
      <c r="W871" s="28"/>
      <c r="X871" s="34" t="str">
        <f aca="false">IF(W871="","",IFERROR(VLOOKUP(W871,REPS!$A$2:$D$40,3,0),""))</f>
        <v/>
      </c>
      <c r="Y871" s="31" t="str">
        <f aca="false">IF(O871="","",IF(X871="",0,O871*IF(X871&gt;1,X871/100,X871)))</f>
        <v/>
      </c>
      <c r="Z871" s="28"/>
      <c r="AA871" s="34" t="str">
        <f aca="false">IF(Z871="","",IFERROR(VLOOKUP(Z871,REPS!$A$2:$D$40,4,0),""))</f>
        <v/>
      </c>
      <c r="AB871" s="31" t="str">
        <f aca="false">IF(O871="","",IF(AA871="",0,O871*IF(AA871&gt;1,AA871/100,AA871)))</f>
        <v/>
      </c>
      <c r="AC871" s="31" t="str">
        <f aca="false">IF(O871="","",V871+Y871+AB871)</f>
        <v/>
      </c>
      <c r="AD871" s="19" t="str">
        <f aca="false">IF(O871="","",O871-R871-AC871)</f>
        <v/>
      </c>
      <c r="AE871" s="20"/>
      <c r="AF871" s="27"/>
      <c r="AG871" s="21" t="n">
        <f aca="false">IF(OR(AE871="",AE871=0),0,AE871*IF(U871="",0,IF(U871&gt;1,U871/100,U871)))</f>
        <v>0</v>
      </c>
      <c r="AH871" s="21" t="n">
        <f aca="false">IF(OR(AE871="",AE871=0),0,AE871*IF(X871="",0,IF(X871&gt;1,X871/100,X871)))</f>
        <v>0</v>
      </c>
      <c r="AI871" s="21" t="n">
        <f aca="false">IF(OR(AE871="",AE871=0),0,AE871*IF(AA871="",0,IF(AA871&gt;1,AA871/100,AA871)))</f>
        <v>0</v>
      </c>
      <c r="AJ871" s="21" t="n">
        <f aca="false">AG871+AH871+AI871</f>
        <v>0</v>
      </c>
      <c r="AK871" s="21" t="n">
        <f aca="false">IF(OR(AE871="",AE871=0),0,AE871-AJ871)</f>
        <v>0</v>
      </c>
      <c r="AL871" s="19" t="str">
        <f aca="false">IF(AD871="","",AD871-AK871)</f>
        <v/>
      </c>
      <c r="AM871" s="26" t="str">
        <f aca="false">IF(C871="","","Waiting for payment")</f>
        <v/>
      </c>
      <c r="AN871" s="27"/>
      <c r="AO871" s="27"/>
      <c r="AP871" s="35" t="str">
        <f aca="false">IF(OR(C871="",I871="",K871=""),"",IF(K871="Monthly",EDATE(C871,ROUND(I871*SETTINGS!$I$8,0)),WORKDAY(C871,ROUND(I871*SETTINGS!$I$8,0))))</f>
        <v/>
      </c>
      <c r="AQ871" s="26" t="str">
        <f aca="true">IF(C871="","",IF(AND(AP871&lt;&gt;"",TODAY()&gt;=AP871),"Refi Ready",IF(TODAY()-C871&gt;=SETTINGS!$I$11,"Prospecting","Performing")))</f>
        <v/>
      </c>
      <c r="AR871" s="35" t="str">
        <f aca="false">IF(OR(C871="",I871="",K871=""),"",IF(K871="Monthly",EDATE(C871,I871),WORKDAY(C871,I871)))</f>
        <v/>
      </c>
      <c r="AS871" s="28"/>
      <c r="AT871" s="36" t="str">
        <f aca="true">IF(C871="","",IF(AM871="Clawed Back","CLAWED",IF(TODAY()&lt;=C871+SETTINGS!$I$2,"⚠ AT RISK","SAFE")))</f>
        <v/>
      </c>
      <c r="AU871" s="28"/>
      <c r="AW871" s="24" t="n">
        <f aca="false">AW870+IF(AND(C871&lt;&gt;"",AO871&lt;&gt;"",OR('REP COMMISSION'!$B$3="",T871='REP COMMISSION'!$B$3,W871='REP COMMISSION'!$B$3,Z871='REP COMMISSION'!$B$3)),1,0)</f>
        <v>0</v>
      </c>
      <c r="AX871" s="24" t="n">
        <f aca="false">AX870+IF(AND(C871&lt;&gt;"",OR(F871="LOC - INITIAL",F871="CONSOLIDATION - UPFRONT COMM",F871="REVERSE - TOTAL FUNDING")),1,0)</f>
        <v>0</v>
      </c>
    </row>
    <row r="872" customFormat="false" ht="15" hidden="false" customHeight="false" outlineLevel="0" collapsed="false">
      <c r="A872" s="8" t="str">
        <f aca="false">IF(C872&lt;&gt;"","F27-"&amp;COUNT($C$4:C872),"")</f>
        <v/>
      </c>
      <c r="B872" s="9" t="str">
        <f aca="false">IF(OR(F872="LOC - INITIAL",F872="CONSOLIDATION - UPFRONT COMM",F872="REVERSE - TOTAL FUNDING"),A872,"")</f>
        <v/>
      </c>
      <c r="C872" s="10"/>
      <c r="D872" s="11"/>
      <c r="E872" s="11"/>
      <c r="F872" s="11"/>
      <c r="G872" s="12"/>
      <c r="H872" s="13"/>
      <c r="I872" s="11"/>
      <c r="J872" s="14" t="str">
        <f aca="false">IF(AND(G872&lt;&gt;"",H872&lt;&gt;""),G872*H872,"")</f>
        <v/>
      </c>
      <c r="K872" s="11"/>
      <c r="L872" s="15"/>
      <c r="M872" s="15"/>
      <c r="N872" s="14" t="n">
        <f aca="false">IF(OR(G872="",M872=""),0,IF(M872&gt;100,M872,G872*IF(M872&gt;1,M872/100,M872)))</f>
        <v>0</v>
      </c>
      <c r="O872" s="14" t="str">
        <f aca="false">IF(G872="","",G872*IF(L872="",0,IF(L872&gt;1,L872/100,L872))+N872)</f>
        <v/>
      </c>
      <c r="P872" s="11"/>
      <c r="Q872" s="16" t="str">
        <f aca="false">IF(P872="","",IFERROR(VLOOKUP(P872,PARTNERS!$A$2:$B$30,2,0),""))</f>
        <v/>
      </c>
      <c r="R872" s="17" t="str">
        <f aca="false">IF(O872="","",IF(OR(P872="",Q872=""),0,(O872-N872)*IF(Q872&gt;1,Q872/100,Q872)))</f>
        <v/>
      </c>
      <c r="S872" s="14" t="str">
        <f aca="false">IF(O872="","",O872-R872)</f>
        <v/>
      </c>
      <c r="T872" s="11"/>
      <c r="U872" s="18" t="str">
        <f aca="false">IF(T872="","",IFERROR(VLOOKUP(T872,REPS!$A$2:$D$40,2,0),""))</f>
        <v/>
      </c>
      <c r="V872" s="14" t="str">
        <f aca="false">IF(O872="","",IF(U872="",0,O872*IF(U872&gt;1,U872/100,U872)))</f>
        <v/>
      </c>
      <c r="W872" s="11"/>
      <c r="X872" s="18" t="str">
        <f aca="false">IF(W872="","",IFERROR(VLOOKUP(W872,REPS!$A$2:$D$40,3,0),""))</f>
        <v/>
      </c>
      <c r="Y872" s="14" t="str">
        <f aca="false">IF(O872="","",IF(X872="",0,O872*IF(X872&gt;1,X872/100,X872)))</f>
        <v/>
      </c>
      <c r="Z872" s="11"/>
      <c r="AA872" s="18" t="str">
        <f aca="false">IF(Z872="","",IFERROR(VLOOKUP(Z872,REPS!$A$2:$D$40,4,0),""))</f>
        <v/>
      </c>
      <c r="AB872" s="14" t="str">
        <f aca="false">IF(O872="","",IF(AA872="",0,O872*IF(AA872&gt;1,AA872/100,AA872)))</f>
        <v/>
      </c>
      <c r="AC872" s="14" t="str">
        <f aca="false">IF(O872="","",V872+Y872+AB872)</f>
        <v/>
      </c>
      <c r="AD872" s="19" t="str">
        <f aca="false">IF(O872="","",O872-R872-AC872)</f>
        <v/>
      </c>
      <c r="AE872" s="20"/>
      <c r="AF872" s="10"/>
      <c r="AG872" s="21" t="n">
        <f aca="false">IF(OR(AE872="",AE872=0),0,AE872*IF(U872="",0,IF(U872&gt;1,U872/100,U872)))</f>
        <v>0</v>
      </c>
      <c r="AH872" s="21" t="n">
        <f aca="false">IF(OR(AE872="",AE872=0),0,AE872*IF(X872="",0,IF(X872&gt;1,X872/100,X872)))</f>
        <v>0</v>
      </c>
      <c r="AI872" s="21" t="n">
        <f aca="false">IF(OR(AE872="",AE872=0),0,AE872*IF(AA872="",0,IF(AA872&gt;1,AA872/100,AA872)))</f>
        <v>0</v>
      </c>
      <c r="AJ872" s="21" t="n">
        <f aca="false">AG872+AH872+AI872</f>
        <v>0</v>
      </c>
      <c r="AK872" s="21" t="n">
        <f aca="false">IF(OR(AE872="",AE872=0),0,AE872-AJ872)</f>
        <v>0</v>
      </c>
      <c r="AL872" s="19" t="str">
        <f aca="false">IF(AD872="","",AD872-AK872)</f>
        <v/>
      </c>
      <c r="AM872" s="9" t="str">
        <f aca="false">IF(C872="","","Waiting for payment")</f>
        <v/>
      </c>
      <c r="AN872" s="10"/>
      <c r="AO872" s="10"/>
      <c r="AP872" s="22" t="str">
        <f aca="false">IF(OR(C872="",I872="",K872=""),"",IF(K872="Monthly",EDATE(C872,ROUND(I872*SETTINGS!$I$8,0)),WORKDAY(C872,ROUND(I872*SETTINGS!$I$8,0))))</f>
        <v/>
      </c>
      <c r="AQ872" s="9" t="str">
        <f aca="true">IF(C872="","",IF(AND(AP872&lt;&gt;"",TODAY()&gt;=AP872),"Refi Ready",IF(TODAY()-C872&gt;=SETTINGS!$I$11,"Prospecting","Performing")))</f>
        <v/>
      </c>
      <c r="AR872" s="22" t="str">
        <f aca="false">IF(OR(C872="",I872="",K872=""),"",IF(K872="Monthly",EDATE(C872,I872),WORKDAY(C872,I872)))</f>
        <v/>
      </c>
      <c r="AS872" s="11"/>
      <c r="AT872" s="23" t="str">
        <f aca="true">IF(C872="","",IF(AM872="Clawed Back","CLAWED",IF(TODAY()&lt;=C872+SETTINGS!$I$2,"⚠ AT RISK","SAFE")))</f>
        <v/>
      </c>
      <c r="AU872" s="11"/>
      <c r="AW872" s="24" t="n">
        <f aca="false">AW871+IF(AND(C872&lt;&gt;"",AO872&lt;&gt;"",OR('REP COMMISSION'!$B$3="",T872='REP COMMISSION'!$B$3,W872='REP COMMISSION'!$B$3,Z872='REP COMMISSION'!$B$3)),1,0)</f>
        <v>0</v>
      </c>
      <c r="AX872" s="24" t="n">
        <f aca="false">AX871+IF(AND(C872&lt;&gt;"",OR(F872="LOC - INITIAL",F872="CONSOLIDATION - UPFRONT COMM",F872="REVERSE - TOTAL FUNDING")),1,0)</f>
        <v>0</v>
      </c>
    </row>
    <row r="873" customFormat="false" ht="15" hidden="false" customHeight="false" outlineLevel="0" collapsed="false">
      <c r="A873" s="25" t="str">
        <f aca="false">IF(C873&lt;&gt;"","F27-"&amp;COUNT($C$4:C873),"")</f>
        <v/>
      </c>
      <c r="B873" s="26" t="str">
        <f aca="false">IF(OR(F873="LOC - INITIAL",F873="CONSOLIDATION - UPFRONT COMM",F873="REVERSE - TOTAL FUNDING"),A873,"")</f>
        <v/>
      </c>
      <c r="C873" s="27"/>
      <c r="D873" s="28"/>
      <c r="E873" s="28"/>
      <c r="F873" s="28"/>
      <c r="G873" s="29"/>
      <c r="H873" s="30"/>
      <c r="I873" s="28"/>
      <c r="J873" s="31" t="str">
        <f aca="false">IF(AND(G873&lt;&gt;"",H873&lt;&gt;""),G873*H873,"")</f>
        <v/>
      </c>
      <c r="K873" s="28"/>
      <c r="L873" s="32"/>
      <c r="M873" s="32"/>
      <c r="N873" s="31" t="n">
        <f aca="false">IF(OR(G873="",M873=""),0,IF(M873&gt;100,M873,G873*IF(M873&gt;1,M873/100,M873)))</f>
        <v>0</v>
      </c>
      <c r="O873" s="31" t="str">
        <f aca="false">IF(G873="","",G873*IF(L873="",0,IF(L873&gt;1,L873/100,L873))+N873)</f>
        <v/>
      </c>
      <c r="P873" s="28"/>
      <c r="Q873" s="33" t="str">
        <f aca="false">IF(P873="","",IFERROR(VLOOKUP(P873,PARTNERS!$A$2:$B$30,2,0),""))</f>
        <v/>
      </c>
      <c r="R873" s="17" t="str">
        <f aca="false">IF(O873="","",IF(OR(P873="",Q873=""),0,(O873-N873)*IF(Q873&gt;1,Q873/100,Q873)))</f>
        <v/>
      </c>
      <c r="S873" s="31" t="str">
        <f aca="false">IF(O873="","",O873-R873)</f>
        <v/>
      </c>
      <c r="T873" s="28"/>
      <c r="U873" s="34" t="str">
        <f aca="false">IF(T873="","",IFERROR(VLOOKUP(T873,REPS!$A$2:$D$40,2,0),""))</f>
        <v/>
      </c>
      <c r="V873" s="31" t="str">
        <f aca="false">IF(O873="","",IF(U873="",0,O873*IF(U873&gt;1,U873/100,U873)))</f>
        <v/>
      </c>
      <c r="W873" s="28"/>
      <c r="X873" s="34" t="str">
        <f aca="false">IF(W873="","",IFERROR(VLOOKUP(W873,REPS!$A$2:$D$40,3,0),""))</f>
        <v/>
      </c>
      <c r="Y873" s="31" t="str">
        <f aca="false">IF(O873="","",IF(X873="",0,O873*IF(X873&gt;1,X873/100,X873)))</f>
        <v/>
      </c>
      <c r="Z873" s="28"/>
      <c r="AA873" s="34" t="str">
        <f aca="false">IF(Z873="","",IFERROR(VLOOKUP(Z873,REPS!$A$2:$D$40,4,0),""))</f>
        <v/>
      </c>
      <c r="AB873" s="31" t="str">
        <f aca="false">IF(O873="","",IF(AA873="",0,O873*IF(AA873&gt;1,AA873/100,AA873)))</f>
        <v/>
      </c>
      <c r="AC873" s="31" t="str">
        <f aca="false">IF(O873="","",V873+Y873+AB873)</f>
        <v/>
      </c>
      <c r="AD873" s="19" t="str">
        <f aca="false">IF(O873="","",O873-R873-AC873)</f>
        <v/>
      </c>
      <c r="AE873" s="20"/>
      <c r="AF873" s="27"/>
      <c r="AG873" s="21" t="n">
        <f aca="false">IF(OR(AE873="",AE873=0),0,AE873*IF(U873="",0,IF(U873&gt;1,U873/100,U873)))</f>
        <v>0</v>
      </c>
      <c r="AH873" s="21" t="n">
        <f aca="false">IF(OR(AE873="",AE873=0),0,AE873*IF(X873="",0,IF(X873&gt;1,X873/100,X873)))</f>
        <v>0</v>
      </c>
      <c r="AI873" s="21" t="n">
        <f aca="false">IF(OR(AE873="",AE873=0),0,AE873*IF(AA873="",0,IF(AA873&gt;1,AA873/100,AA873)))</f>
        <v>0</v>
      </c>
      <c r="AJ873" s="21" t="n">
        <f aca="false">AG873+AH873+AI873</f>
        <v>0</v>
      </c>
      <c r="AK873" s="21" t="n">
        <f aca="false">IF(OR(AE873="",AE873=0),0,AE873-AJ873)</f>
        <v>0</v>
      </c>
      <c r="AL873" s="19" t="str">
        <f aca="false">IF(AD873="","",AD873-AK873)</f>
        <v/>
      </c>
      <c r="AM873" s="26" t="str">
        <f aca="false">IF(C873="","","Waiting for payment")</f>
        <v/>
      </c>
      <c r="AN873" s="27"/>
      <c r="AO873" s="27"/>
      <c r="AP873" s="35" t="str">
        <f aca="false">IF(OR(C873="",I873="",K873=""),"",IF(K873="Monthly",EDATE(C873,ROUND(I873*SETTINGS!$I$8,0)),WORKDAY(C873,ROUND(I873*SETTINGS!$I$8,0))))</f>
        <v/>
      </c>
      <c r="AQ873" s="26" t="str">
        <f aca="true">IF(C873="","",IF(AND(AP873&lt;&gt;"",TODAY()&gt;=AP873),"Refi Ready",IF(TODAY()-C873&gt;=SETTINGS!$I$11,"Prospecting","Performing")))</f>
        <v/>
      </c>
      <c r="AR873" s="35" t="str">
        <f aca="false">IF(OR(C873="",I873="",K873=""),"",IF(K873="Monthly",EDATE(C873,I873),WORKDAY(C873,I873)))</f>
        <v/>
      </c>
      <c r="AS873" s="28"/>
      <c r="AT873" s="36" t="str">
        <f aca="true">IF(C873="","",IF(AM873="Clawed Back","CLAWED",IF(TODAY()&lt;=C873+SETTINGS!$I$2,"⚠ AT RISK","SAFE")))</f>
        <v/>
      </c>
      <c r="AU873" s="28"/>
      <c r="AW873" s="24" t="n">
        <f aca="false">AW872+IF(AND(C873&lt;&gt;"",AO873&lt;&gt;"",OR('REP COMMISSION'!$B$3="",T873='REP COMMISSION'!$B$3,W873='REP COMMISSION'!$B$3,Z873='REP COMMISSION'!$B$3)),1,0)</f>
        <v>0</v>
      </c>
      <c r="AX873" s="24" t="n">
        <f aca="false">AX872+IF(AND(C873&lt;&gt;"",OR(F873="LOC - INITIAL",F873="CONSOLIDATION - UPFRONT COMM",F873="REVERSE - TOTAL FUNDING")),1,0)</f>
        <v>0</v>
      </c>
    </row>
    <row r="874" customFormat="false" ht="15" hidden="false" customHeight="false" outlineLevel="0" collapsed="false">
      <c r="A874" s="8" t="str">
        <f aca="false">IF(C874&lt;&gt;"","F27-"&amp;COUNT($C$4:C874),"")</f>
        <v/>
      </c>
      <c r="B874" s="9" t="str">
        <f aca="false">IF(OR(F874="LOC - INITIAL",F874="CONSOLIDATION - UPFRONT COMM",F874="REVERSE - TOTAL FUNDING"),A874,"")</f>
        <v/>
      </c>
      <c r="C874" s="10"/>
      <c r="D874" s="11"/>
      <c r="E874" s="11"/>
      <c r="F874" s="11"/>
      <c r="G874" s="12"/>
      <c r="H874" s="13"/>
      <c r="I874" s="11"/>
      <c r="J874" s="14" t="str">
        <f aca="false">IF(AND(G874&lt;&gt;"",H874&lt;&gt;""),G874*H874,"")</f>
        <v/>
      </c>
      <c r="K874" s="11"/>
      <c r="L874" s="15"/>
      <c r="M874" s="15"/>
      <c r="N874" s="14" t="n">
        <f aca="false">IF(OR(G874="",M874=""),0,IF(M874&gt;100,M874,G874*IF(M874&gt;1,M874/100,M874)))</f>
        <v>0</v>
      </c>
      <c r="O874" s="14" t="str">
        <f aca="false">IF(G874="","",G874*IF(L874="",0,IF(L874&gt;1,L874/100,L874))+N874)</f>
        <v/>
      </c>
      <c r="P874" s="11"/>
      <c r="Q874" s="16" t="str">
        <f aca="false">IF(P874="","",IFERROR(VLOOKUP(P874,PARTNERS!$A$2:$B$30,2,0),""))</f>
        <v/>
      </c>
      <c r="R874" s="17" t="str">
        <f aca="false">IF(O874="","",IF(OR(P874="",Q874=""),0,(O874-N874)*IF(Q874&gt;1,Q874/100,Q874)))</f>
        <v/>
      </c>
      <c r="S874" s="14" t="str">
        <f aca="false">IF(O874="","",O874-R874)</f>
        <v/>
      </c>
      <c r="T874" s="11"/>
      <c r="U874" s="18" t="str">
        <f aca="false">IF(T874="","",IFERROR(VLOOKUP(T874,REPS!$A$2:$D$40,2,0),""))</f>
        <v/>
      </c>
      <c r="V874" s="14" t="str">
        <f aca="false">IF(O874="","",IF(U874="",0,O874*IF(U874&gt;1,U874/100,U874)))</f>
        <v/>
      </c>
      <c r="W874" s="11"/>
      <c r="X874" s="18" t="str">
        <f aca="false">IF(W874="","",IFERROR(VLOOKUP(W874,REPS!$A$2:$D$40,3,0),""))</f>
        <v/>
      </c>
      <c r="Y874" s="14" t="str">
        <f aca="false">IF(O874="","",IF(X874="",0,O874*IF(X874&gt;1,X874/100,X874)))</f>
        <v/>
      </c>
      <c r="Z874" s="11"/>
      <c r="AA874" s="18" t="str">
        <f aca="false">IF(Z874="","",IFERROR(VLOOKUP(Z874,REPS!$A$2:$D$40,4,0),""))</f>
        <v/>
      </c>
      <c r="AB874" s="14" t="str">
        <f aca="false">IF(O874="","",IF(AA874="",0,O874*IF(AA874&gt;1,AA874/100,AA874)))</f>
        <v/>
      </c>
      <c r="AC874" s="14" t="str">
        <f aca="false">IF(O874="","",V874+Y874+AB874)</f>
        <v/>
      </c>
      <c r="AD874" s="19" t="str">
        <f aca="false">IF(O874="","",O874-R874-AC874)</f>
        <v/>
      </c>
      <c r="AE874" s="20"/>
      <c r="AF874" s="10"/>
      <c r="AG874" s="21" t="n">
        <f aca="false">IF(OR(AE874="",AE874=0),0,AE874*IF(U874="",0,IF(U874&gt;1,U874/100,U874)))</f>
        <v>0</v>
      </c>
      <c r="AH874" s="21" t="n">
        <f aca="false">IF(OR(AE874="",AE874=0),0,AE874*IF(X874="",0,IF(X874&gt;1,X874/100,X874)))</f>
        <v>0</v>
      </c>
      <c r="AI874" s="21" t="n">
        <f aca="false">IF(OR(AE874="",AE874=0),0,AE874*IF(AA874="",0,IF(AA874&gt;1,AA874/100,AA874)))</f>
        <v>0</v>
      </c>
      <c r="AJ874" s="21" t="n">
        <f aca="false">AG874+AH874+AI874</f>
        <v>0</v>
      </c>
      <c r="AK874" s="21" t="n">
        <f aca="false">IF(OR(AE874="",AE874=0),0,AE874-AJ874)</f>
        <v>0</v>
      </c>
      <c r="AL874" s="19" t="str">
        <f aca="false">IF(AD874="","",AD874-AK874)</f>
        <v/>
      </c>
      <c r="AM874" s="9" t="str">
        <f aca="false">IF(C874="","","Waiting for payment")</f>
        <v/>
      </c>
      <c r="AN874" s="10"/>
      <c r="AO874" s="10"/>
      <c r="AP874" s="22" t="str">
        <f aca="false">IF(OR(C874="",I874="",K874=""),"",IF(K874="Monthly",EDATE(C874,ROUND(I874*SETTINGS!$I$8,0)),WORKDAY(C874,ROUND(I874*SETTINGS!$I$8,0))))</f>
        <v/>
      </c>
      <c r="AQ874" s="9" t="str">
        <f aca="true">IF(C874="","",IF(AND(AP874&lt;&gt;"",TODAY()&gt;=AP874),"Refi Ready",IF(TODAY()-C874&gt;=SETTINGS!$I$11,"Prospecting","Performing")))</f>
        <v/>
      </c>
      <c r="AR874" s="22" t="str">
        <f aca="false">IF(OR(C874="",I874="",K874=""),"",IF(K874="Monthly",EDATE(C874,I874),WORKDAY(C874,I874)))</f>
        <v/>
      </c>
      <c r="AS874" s="11"/>
      <c r="AT874" s="23" t="str">
        <f aca="true">IF(C874="","",IF(AM874="Clawed Back","CLAWED",IF(TODAY()&lt;=C874+SETTINGS!$I$2,"⚠ AT RISK","SAFE")))</f>
        <v/>
      </c>
      <c r="AU874" s="11"/>
      <c r="AW874" s="24" t="n">
        <f aca="false">AW873+IF(AND(C874&lt;&gt;"",AO874&lt;&gt;"",OR('REP COMMISSION'!$B$3="",T874='REP COMMISSION'!$B$3,W874='REP COMMISSION'!$B$3,Z874='REP COMMISSION'!$B$3)),1,0)</f>
        <v>0</v>
      </c>
      <c r="AX874" s="24" t="n">
        <f aca="false">AX873+IF(AND(C874&lt;&gt;"",OR(F874="LOC - INITIAL",F874="CONSOLIDATION - UPFRONT COMM",F874="REVERSE - TOTAL FUNDING")),1,0)</f>
        <v>0</v>
      </c>
    </row>
    <row r="875" customFormat="false" ht="15" hidden="false" customHeight="false" outlineLevel="0" collapsed="false">
      <c r="A875" s="25" t="str">
        <f aca="false">IF(C875&lt;&gt;"","F27-"&amp;COUNT($C$4:C875),"")</f>
        <v/>
      </c>
      <c r="B875" s="26" t="str">
        <f aca="false">IF(OR(F875="LOC - INITIAL",F875="CONSOLIDATION - UPFRONT COMM",F875="REVERSE - TOTAL FUNDING"),A875,"")</f>
        <v/>
      </c>
      <c r="C875" s="27"/>
      <c r="D875" s="28"/>
      <c r="E875" s="28"/>
      <c r="F875" s="28"/>
      <c r="G875" s="29"/>
      <c r="H875" s="30"/>
      <c r="I875" s="28"/>
      <c r="J875" s="31" t="str">
        <f aca="false">IF(AND(G875&lt;&gt;"",H875&lt;&gt;""),G875*H875,"")</f>
        <v/>
      </c>
      <c r="K875" s="28"/>
      <c r="L875" s="32"/>
      <c r="M875" s="32"/>
      <c r="N875" s="31" t="n">
        <f aca="false">IF(OR(G875="",M875=""),0,IF(M875&gt;100,M875,G875*IF(M875&gt;1,M875/100,M875)))</f>
        <v>0</v>
      </c>
      <c r="O875" s="31" t="str">
        <f aca="false">IF(G875="","",G875*IF(L875="",0,IF(L875&gt;1,L875/100,L875))+N875)</f>
        <v/>
      </c>
      <c r="P875" s="28"/>
      <c r="Q875" s="33" t="str">
        <f aca="false">IF(P875="","",IFERROR(VLOOKUP(P875,PARTNERS!$A$2:$B$30,2,0),""))</f>
        <v/>
      </c>
      <c r="R875" s="17" t="str">
        <f aca="false">IF(O875="","",IF(OR(P875="",Q875=""),0,(O875-N875)*IF(Q875&gt;1,Q875/100,Q875)))</f>
        <v/>
      </c>
      <c r="S875" s="31" t="str">
        <f aca="false">IF(O875="","",O875-R875)</f>
        <v/>
      </c>
      <c r="T875" s="28"/>
      <c r="U875" s="34" t="str">
        <f aca="false">IF(T875="","",IFERROR(VLOOKUP(T875,REPS!$A$2:$D$40,2,0),""))</f>
        <v/>
      </c>
      <c r="V875" s="31" t="str">
        <f aca="false">IF(O875="","",IF(U875="",0,O875*IF(U875&gt;1,U875/100,U875)))</f>
        <v/>
      </c>
      <c r="W875" s="28"/>
      <c r="X875" s="34" t="str">
        <f aca="false">IF(W875="","",IFERROR(VLOOKUP(W875,REPS!$A$2:$D$40,3,0),""))</f>
        <v/>
      </c>
      <c r="Y875" s="31" t="str">
        <f aca="false">IF(O875="","",IF(X875="",0,O875*IF(X875&gt;1,X875/100,X875)))</f>
        <v/>
      </c>
      <c r="Z875" s="28"/>
      <c r="AA875" s="34" t="str">
        <f aca="false">IF(Z875="","",IFERROR(VLOOKUP(Z875,REPS!$A$2:$D$40,4,0),""))</f>
        <v/>
      </c>
      <c r="AB875" s="31" t="str">
        <f aca="false">IF(O875="","",IF(AA875="",0,O875*IF(AA875&gt;1,AA875/100,AA875)))</f>
        <v/>
      </c>
      <c r="AC875" s="31" t="str">
        <f aca="false">IF(O875="","",V875+Y875+AB875)</f>
        <v/>
      </c>
      <c r="AD875" s="19" t="str">
        <f aca="false">IF(O875="","",O875-R875-AC875)</f>
        <v/>
      </c>
      <c r="AE875" s="20"/>
      <c r="AF875" s="27"/>
      <c r="AG875" s="21" t="n">
        <f aca="false">IF(OR(AE875="",AE875=0),0,AE875*IF(U875="",0,IF(U875&gt;1,U875/100,U875)))</f>
        <v>0</v>
      </c>
      <c r="AH875" s="21" t="n">
        <f aca="false">IF(OR(AE875="",AE875=0),0,AE875*IF(X875="",0,IF(X875&gt;1,X875/100,X875)))</f>
        <v>0</v>
      </c>
      <c r="AI875" s="21" t="n">
        <f aca="false">IF(OR(AE875="",AE875=0),0,AE875*IF(AA875="",0,IF(AA875&gt;1,AA875/100,AA875)))</f>
        <v>0</v>
      </c>
      <c r="AJ875" s="21" t="n">
        <f aca="false">AG875+AH875+AI875</f>
        <v>0</v>
      </c>
      <c r="AK875" s="21" t="n">
        <f aca="false">IF(OR(AE875="",AE875=0),0,AE875-AJ875)</f>
        <v>0</v>
      </c>
      <c r="AL875" s="19" t="str">
        <f aca="false">IF(AD875="","",AD875-AK875)</f>
        <v/>
      </c>
      <c r="AM875" s="26" t="str">
        <f aca="false">IF(C875="","","Waiting for payment")</f>
        <v/>
      </c>
      <c r="AN875" s="27"/>
      <c r="AO875" s="27"/>
      <c r="AP875" s="35" t="str">
        <f aca="false">IF(OR(C875="",I875="",K875=""),"",IF(K875="Monthly",EDATE(C875,ROUND(I875*SETTINGS!$I$8,0)),WORKDAY(C875,ROUND(I875*SETTINGS!$I$8,0))))</f>
        <v/>
      </c>
      <c r="AQ875" s="26" t="str">
        <f aca="true">IF(C875="","",IF(AND(AP875&lt;&gt;"",TODAY()&gt;=AP875),"Refi Ready",IF(TODAY()-C875&gt;=SETTINGS!$I$11,"Prospecting","Performing")))</f>
        <v/>
      </c>
      <c r="AR875" s="35" t="str">
        <f aca="false">IF(OR(C875="",I875="",K875=""),"",IF(K875="Monthly",EDATE(C875,I875),WORKDAY(C875,I875)))</f>
        <v/>
      </c>
      <c r="AS875" s="28"/>
      <c r="AT875" s="36" t="str">
        <f aca="true">IF(C875="","",IF(AM875="Clawed Back","CLAWED",IF(TODAY()&lt;=C875+SETTINGS!$I$2,"⚠ AT RISK","SAFE")))</f>
        <v/>
      </c>
      <c r="AU875" s="28"/>
      <c r="AW875" s="24" t="n">
        <f aca="false">AW874+IF(AND(C875&lt;&gt;"",AO875&lt;&gt;"",OR('REP COMMISSION'!$B$3="",T875='REP COMMISSION'!$B$3,W875='REP COMMISSION'!$B$3,Z875='REP COMMISSION'!$B$3)),1,0)</f>
        <v>0</v>
      </c>
      <c r="AX875" s="24" t="n">
        <f aca="false">AX874+IF(AND(C875&lt;&gt;"",OR(F875="LOC - INITIAL",F875="CONSOLIDATION - UPFRONT COMM",F875="REVERSE - TOTAL FUNDING")),1,0)</f>
        <v>0</v>
      </c>
    </row>
    <row r="876" customFormat="false" ht="15" hidden="false" customHeight="false" outlineLevel="0" collapsed="false">
      <c r="A876" s="8" t="str">
        <f aca="false">IF(C876&lt;&gt;"","F27-"&amp;COUNT($C$4:C876),"")</f>
        <v/>
      </c>
      <c r="B876" s="9" t="str">
        <f aca="false">IF(OR(F876="LOC - INITIAL",F876="CONSOLIDATION - UPFRONT COMM",F876="REVERSE - TOTAL FUNDING"),A876,"")</f>
        <v/>
      </c>
      <c r="C876" s="10"/>
      <c r="D876" s="11"/>
      <c r="E876" s="11"/>
      <c r="F876" s="11"/>
      <c r="G876" s="12"/>
      <c r="H876" s="13"/>
      <c r="I876" s="11"/>
      <c r="J876" s="14" t="str">
        <f aca="false">IF(AND(G876&lt;&gt;"",H876&lt;&gt;""),G876*H876,"")</f>
        <v/>
      </c>
      <c r="K876" s="11"/>
      <c r="L876" s="15"/>
      <c r="M876" s="15"/>
      <c r="N876" s="14" t="n">
        <f aca="false">IF(OR(G876="",M876=""),0,IF(M876&gt;100,M876,G876*IF(M876&gt;1,M876/100,M876)))</f>
        <v>0</v>
      </c>
      <c r="O876" s="14" t="str">
        <f aca="false">IF(G876="","",G876*IF(L876="",0,IF(L876&gt;1,L876/100,L876))+N876)</f>
        <v/>
      </c>
      <c r="P876" s="11"/>
      <c r="Q876" s="16" t="str">
        <f aca="false">IF(P876="","",IFERROR(VLOOKUP(P876,PARTNERS!$A$2:$B$30,2,0),""))</f>
        <v/>
      </c>
      <c r="R876" s="17" t="str">
        <f aca="false">IF(O876="","",IF(OR(P876="",Q876=""),0,(O876-N876)*IF(Q876&gt;1,Q876/100,Q876)))</f>
        <v/>
      </c>
      <c r="S876" s="14" t="str">
        <f aca="false">IF(O876="","",O876-R876)</f>
        <v/>
      </c>
      <c r="T876" s="11"/>
      <c r="U876" s="18" t="str">
        <f aca="false">IF(T876="","",IFERROR(VLOOKUP(T876,REPS!$A$2:$D$40,2,0),""))</f>
        <v/>
      </c>
      <c r="V876" s="14" t="str">
        <f aca="false">IF(O876="","",IF(U876="",0,O876*IF(U876&gt;1,U876/100,U876)))</f>
        <v/>
      </c>
      <c r="W876" s="11"/>
      <c r="X876" s="18" t="str">
        <f aca="false">IF(W876="","",IFERROR(VLOOKUP(W876,REPS!$A$2:$D$40,3,0),""))</f>
        <v/>
      </c>
      <c r="Y876" s="14" t="str">
        <f aca="false">IF(O876="","",IF(X876="",0,O876*IF(X876&gt;1,X876/100,X876)))</f>
        <v/>
      </c>
      <c r="Z876" s="11"/>
      <c r="AA876" s="18" t="str">
        <f aca="false">IF(Z876="","",IFERROR(VLOOKUP(Z876,REPS!$A$2:$D$40,4,0),""))</f>
        <v/>
      </c>
      <c r="AB876" s="14" t="str">
        <f aca="false">IF(O876="","",IF(AA876="",0,O876*IF(AA876&gt;1,AA876/100,AA876)))</f>
        <v/>
      </c>
      <c r="AC876" s="14" t="str">
        <f aca="false">IF(O876="","",V876+Y876+AB876)</f>
        <v/>
      </c>
      <c r="AD876" s="19" t="str">
        <f aca="false">IF(O876="","",O876-R876-AC876)</f>
        <v/>
      </c>
      <c r="AE876" s="20"/>
      <c r="AF876" s="10"/>
      <c r="AG876" s="21" t="n">
        <f aca="false">IF(OR(AE876="",AE876=0),0,AE876*IF(U876="",0,IF(U876&gt;1,U876/100,U876)))</f>
        <v>0</v>
      </c>
      <c r="AH876" s="21" t="n">
        <f aca="false">IF(OR(AE876="",AE876=0),0,AE876*IF(X876="",0,IF(X876&gt;1,X876/100,X876)))</f>
        <v>0</v>
      </c>
      <c r="AI876" s="21" t="n">
        <f aca="false">IF(OR(AE876="",AE876=0),0,AE876*IF(AA876="",0,IF(AA876&gt;1,AA876/100,AA876)))</f>
        <v>0</v>
      </c>
      <c r="AJ876" s="21" t="n">
        <f aca="false">AG876+AH876+AI876</f>
        <v>0</v>
      </c>
      <c r="AK876" s="21" t="n">
        <f aca="false">IF(OR(AE876="",AE876=0),0,AE876-AJ876)</f>
        <v>0</v>
      </c>
      <c r="AL876" s="19" t="str">
        <f aca="false">IF(AD876="","",AD876-AK876)</f>
        <v/>
      </c>
      <c r="AM876" s="9" t="str">
        <f aca="false">IF(C876="","","Waiting for payment")</f>
        <v/>
      </c>
      <c r="AN876" s="10"/>
      <c r="AO876" s="10"/>
      <c r="AP876" s="22" t="str">
        <f aca="false">IF(OR(C876="",I876="",K876=""),"",IF(K876="Monthly",EDATE(C876,ROUND(I876*SETTINGS!$I$8,0)),WORKDAY(C876,ROUND(I876*SETTINGS!$I$8,0))))</f>
        <v/>
      </c>
      <c r="AQ876" s="9" t="str">
        <f aca="true">IF(C876="","",IF(AND(AP876&lt;&gt;"",TODAY()&gt;=AP876),"Refi Ready",IF(TODAY()-C876&gt;=SETTINGS!$I$11,"Prospecting","Performing")))</f>
        <v/>
      </c>
      <c r="AR876" s="22" t="str">
        <f aca="false">IF(OR(C876="",I876="",K876=""),"",IF(K876="Monthly",EDATE(C876,I876),WORKDAY(C876,I876)))</f>
        <v/>
      </c>
      <c r="AS876" s="11"/>
      <c r="AT876" s="23" t="str">
        <f aca="true">IF(C876="","",IF(AM876="Clawed Back","CLAWED",IF(TODAY()&lt;=C876+SETTINGS!$I$2,"⚠ AT RISK","SAFE")))</f>
        <v/>
      </c>
      <c r="AU876" s="11"/>
      <c r="AW876" s="24" t="n">
        <f aca="false">AW875+IF(AND(C876&lt;&gt;"",AO876&lt;&gt;"",OR('REP COMMISSION'!$B$3="",T876='REP COMMISSION'!$B$3,W876='REP COMMISSION'!$B$3,Z876='REP COMMISSION'!$B$3)),1,0)</f>
        <v>0</v>
      </c>
      <c r="AX876" s="24" t="n">
        <f aca="false">AX875+IF(AND(C876&lt;&gt;"",OR(F876="LOC - INITIAL",F876="CONSOLIDATION - UPFRONT COMM",F876="REVERSE - TOTAL FUNDING")),1,0)</f>
        <v>0</v>
      </c>
    </row>
    <row r="877" customFormat="false" ht="15" hidden="false" customHeight="false" outlineLevel="0" collapsed="false">
      <c r="A877" s="25" t="str">
        <f aca="false">IF(C877&lt;&gt;"","F27-"&amp;COUNT($C$4:C877),"")</f>
        <v/>
      </c>
      <c r="B877" s="26" t="str">
        <f aca="false">IF(OR(F877="LOC - INITIAL",F877="CONSOLIDATION - UPFRONT COMM",F877="REVERSE - TOTAL FUNDING"),A877,"")</f>
        <v/>
      </c>
      <c r="C877" s="27"/>
      <c r="D877" s="28"/>
      <c r="E877" s="28"/>
      <c r="F877" s="28"/>
      <c r="G877" s="29"/>
      <c r="H877" s="30"/>
      <c r="I877" s="28"/>
      <c r="J877" s="31" t="str">
        <f aca="false">IF(AND(G877&lt;&gt;"",H877&lt;&gt;""),G877*H877,"")</f>
        <v/>
      </c>
      <c r="K877" s="28"/>
      <c r="L877" s="32"/>
      <c r="M877" s="32"/>
      <c r="N877" s="31" t="n">
        <f aca="false">IF(OR(G877="",M877=""),0,IF(M877&gt;100,M877,G877*IF(M877&gt;1,M877/100,M877)))</f>
        <v>0</v>
      </c>
      <c r="O877" s="31" t="str">
        <f aca="false">IF(G877="","",G877*IF(L877="",0,IF(L877&gt;1,L877/100,L877))+N877)</f>
        <v/>
      </c>
      <c r="P877" s="28"/>
      <c r="Q877" s="33" t="str">
        <f aca="false">IF(P877="","",IFERROR(VLOOKUP(P877,PARTNERS!$A$2:$B$30,2,0),""))</f>
        <v/>
      </c>
      <c r="R877" s="17" t="str">
        <f aca="false">IF(O877="","",IF(OR(P877="",Q877=""),0,(O877-N877)*IF(Q877&gt;1,Q877/100,Q877)))</f>
        <v/>
      </c>
      <c r="S877" s="31" t="str">
        <f aca="false">IF(O877="","",O877-R877)</f>
        <v/>
      </c>
      <c r="T877" s="28"/>
      <c r="U877" s="34" t="str">
        <f aca="false">IF(T877="","",IFERROR(VLOOKUP(T877,REPS!$A$2:$D$40,2,0),""))</f>
        <v/>
      </c>
      <c r="V877" s="31" t="str">
        <f aca="false">IF(O877="","",IF(U877="",0,O877*IF(U877&gt;1,U877/100,U877)))</f>
        <v/>
      </c>
      <c r="W877" s="28"/>
      <c r="X877" s="34" t="str">
        <f aca="false">IF(W877="","",IFERROR(VLOOKUP(W877,REPS!$A$2:$D$40,3,0),""))</f>
        <v/>
      </c>
      <c r="Y877" s="31" t="str">
        <f aca="false">IF(O877="","",IF(X877="",0,O877*IF(X877&gt;1,X877/100,X877)))</f>
        <v/>
      </c>
      <c r="Z877" s="28"/>
      <c r="AA877" s="34" t="str">
        <f aca="false">IF(Z877="","",IFERROR(VLOOKUP(Z877,REPS!$A$2:$D$40,4,0),""))</f>
        <v/>
      </c>
      <c r="AB877" s="31" t="str">
        <f aca="false">IF(O877="","",IF(AA877="",0,O877*IF(AA877&gt;1,AA877/100,AA877)))</f>
        <v/>
      </c>
      <c r="AC877" s="31" t="str">
        <f aca="false">IF(O877="","",V877+Y877+AB877)</f>
        <v/>
      </c>
      <c r="AD877" s="19" t="str">
        <f aca="false">IF(O877="","",O877-R877-AC877)</f>
        <v/>
      </c>
      <c r="AE877" s="20"/>
      <c r="AF877" s="27"/>
      <c r="AG877" s="21" t="n">
        <f aca="false">IF(OR(AE877="",AE877=0),0,AE877*IF(U877="",0,IF(U877&gt;1,U877/100,U877)))</f>
        <v>0</v>
      </c>
      <c r="AH877" s="21" t="n">
        <f aca="false">IF(OR(AE877="",AE877=0),0,AE877*IF(X877="",0,IF(X877&gt;1,X877/100,X877)))</f>
        <v>0</v>
      </c>
      <c r="AI877" s="21" t="n">
        <f aca="false">IF(OR(AE877="",AE877=0),0,AE877*IF(AA877="",0,IF(AA877&gt;1,AA877/100,AA877)))</f>
        <v>0</v>
      </c>
      <c r="AJ877" s="21" t="n">
        <f aca="false">AG877+AH877+AI877</f>
        <v>0</v>
      </c>
      <c r="AK877" s="21" t="n">
        <f aca="false">IF(OR(AE877="",AE877=0),0,AE877-AJ877)</f>
        <v>0</v>
      </c>
      <c r="AL877" s="19" t="str">
        <f aca="false">IF(AD877="","",AD877-AK877)</f>
        <v/>
      </c>
      <c r="AM877" s="26" t="str">
        <f aca="false">IF(C877="","","Waiting for payment")</f>
        <v/>
      </c>
      <c r="AN877" s="27"/>
      <c r="AO877" s="27"/>
      <c r="AP877" s="35" t="str">
        <f aca="false">IF(OR(C877="",I877="",K877=""),"",IF(K877="Monthly",EDATE(C877,ROUND(I877*SETTINGS!$I$8,0)),WORKDAY(C877,ROUND(I877*SETTINGS!$I$8,0))))</f>
        <v/>
      </c>
      <c r="AQ877" s="26" t="str">
        <f aca="true">IF(C877="","",IF(AND(AP877&lt;&gt;"",TODAY()&gt;=AP877),"Refi Ready",IF(TODAY()-C877&gt;=SETTINGS!$I$11,"Prospecting","Performing")))</f>
        <v/>
      </c>
      <c r="AR877" s="35" t="str">
        <f aca="false">IF(OR(C877="",I877="",K877=""),"",IF(K877="Monthly",EDATE(C877,I877),WORKDAY(C877,I877)))</f>
        <v/>
      </c>
      <c r="AS877" s="28"/>
      <c r="AT877" s="36" t="str">
        <f aca="true">IF(C877="","",IF(AM877="Clawed Back","CLAWED",IF(TODAY()&lt;=C877+SETTINGS!$I$2,"⚠ AT RISK","SAFE")))</f>
        <v/>
      </c>
      <c r="AU877" s="28"/>
      <c r="AW877" s="24" t="n">
        <f aca="false">AW876+IF(AND(C877&lt;&gt;"",AO877&lt;&gt;"",OR('REP COMMISSION'!$B$3="",T877='REP COMMISSION'!$B$3,W877='REP COMMISSION'!$B$3,Z877='REP COMMISSION'!$B$3)),1,0)</f>
        <v>0</v>
      </c>
      <c r="AX877" s="24" t="n">
        <f aca="false">AX876+IF(AND(C877&lt;&gt;"",OR(F877="LOC - INITIAL",F877="CONSOLIDATION - UPFRONT COMM",F877="REVERSE - TOTAL FUNDING")),1,0)</f>
        <v>0</v>
      </c>
    </row>
    <row r="878" customFormat="false" ht="15" hidden="false" customHeight="false" outlineLevel="0" collapsed="false">
      <c r="A878" s="8" t="str">
        <f aca="false">IF(C878&lt;&gt;"","F27-"&amp;COUNT($C$4:C878),"")</f>
        <v/>
      </c>
      <c r="B878" s="9" t="str">
        <f aca="false">IF(OR(F878="LOC - INITIAL",F878="CONSOLIDATION - UPFRONT COMM",F878="REVERSE - TOTAL FUNDING"),A878,"")</f>
        <v/>
      </c>
      <c r="C878" s="10"/>
      <c r="D878" s="11"/>
      <c r="E878" s="11"/>
      <c r="F878" s="11"/>
      <c r="G878" s="12"/>
      <c r="H878" s="13"/>
      <c r="I878" s="11"/>
      <c r="J878" s="14" t="str">
        <f aca="false">IF(AND(G878&lt;&gt;"",H878&lt;&gt;""),G878*H878,"")</f>
        <v/>
      </c>
      <c r="K878" s="11"/>
      <c r="L878" s="15"/>
      <c r="M878" s="15"/>
      <c r="N878" s="14" t="n">
        <f aca="false">IF(OR(G878="",M878=""),0,IF(M878&gt;100,M878,G878*IF(M878&gt;1,M878/100,M878)))</f>
        <v>0</v>
      </c>
      <c r="O878" s="14" t="str">
        <f aca="false">IF(G878="","",G878*IF(L878="",0,IF(L878&gt;1,L878/100,L878))+N878)</f>
        <v/>
      </c>
      <c r="P878" s="11"/>
      <c r="Q878" s="16" t="str">
        <f aca="false">IF(P878="","",IFERROR(VLOOKUP(P878,PARTNERS!$A$2:$B$30,2,0),""))</f>
        <v/>
      </c>
      <c r="R878" s="17" t="str">
        <f aca="false">IF(O878="","",IF(OR(P878="",Q878=""),0,(O878-N878)*IF(Q878&gt;1,Q878/100,Q878)))</f>
        <v/>
      </c>
      <c r="S878" s="14" t="str">
        <f aca="false">IF(O878="","",O878-R878)</f>
        <v/>
      </c>
      <c r="T878" s="11"/>
      <c r="U878" s="18" t="str">
        <f aca="false">IF(T878="","",IFERROR(VLOOKUP(T878,REPS!$A$2:$D$40,2,0),""))</f>
        <v/>
      </c>
      <c r="V878" s="14" t="str">
        <f aca="false">IF(O878="","",IF(U878="",0,O878*IF(U878&gt;1,U878/100,U878)))</f>
        <v/>
      </c>
      <c r="W878" s="11"/>
      <c r="X878" s="18" t="str">
        <f aca="false">IF(W878="","",IFERROR(VLOOKUP(W878,REPS!$A$2:$D$40,3,0),""))</f>
        <v/>
      </c>
      <c r="Y878" s="14" t="str">
        <f aca="false">IF(O878="","",IF(X878="",0,O878*IF(X878&gt;1,X878/100,X878)))</f>
        <v/>
      </c>
      <c r="Z878" s="11"/>
      <c r="AA878" s="18" t="str">
        <f aca="false">IF(Z878="","",IFERROR(VLOOKUP(Z878,REPS!$A$2:$D$40,4,0),""))</f>
        <v/>
      </c>
      <c r="AB878" s="14" t="str">
        <f aca="false">IF(O878="","",IF(AA878="",0,O878*IF(AA878&gt;1,AA878/100,AA878)))</f>
        <v/>
      </c>
      <c r="AC878" s="14" t="str">
        <f aca="false">IF(O878="","",V878+Y878+AB878)</f>
        <v/>
      </c>
      <c r="AD878" s="19" t="str">
        <f aca="false">IF(O878="","",O878-R878-AC878)</f>
        <v/>
      </c>
      <c r="AE878" s="20"/>
      <c r="AF878" s="10"/>
      <c r="AG878" s="21" t="n">
        <f aca="false">IF(OR(AE878="",AE878=0),0,AE878*IF(U878="",0,IF(U878&gt;1,U878/100,U878)))</f>
        <v>0</v>
      </c>
      <c r="AH878" s="21" t="n">
        <f aca="false">IF(OR(AE878="",AE878=0),0,AE878*IF(X878="",0,IF(X878&gt;1,X878/100,X878)))</f>
        <v>0</v>
      </c>
      <c r="AI878" s="21" t="n">
        <f aca="false">IF(OR(AE878="",AE878=0),0,AE878*IF(AA878="",0,IF(AA878&gt;1,AA878/100,AA878)))</f>
        <v>0</v>
      </c>
      <c r="AJ878" s="21" t="n">
        <f aca="false">AG878+AH878+AI878</f>
        <v>0</v>
      </c>
      <c r="AK878" s="21" t="n">
        <f aca="false">IF(OR(AE878="",AE878=0),0,AE878-AJ878)</f>
        <v>0</v>
      </c>
      <c r="AL878" s="19" t="str">
        <f aca="false">IF(AD878="","",AD878-AK878)</f>
        <v/>
      </c>
      <c r="AM878" s="9" t="str">
        <f aca="false">IF(C878="","","Waiting for payment")</f>
        <v/>
      </c>
      <c r="AN878" s="10"/>
      <c r="AO878" s="10"/>
      <c r="AP878" s="22" t="str">
        <f aca="false">IF(OR(C878="",I878="",K878=""),"",IF(K878="Monthly",EDATE(C878,ROUND(I878*SETTINGS!$I$8,0)),WORKDAY(C878,ROUND(I878*SETTINGS!$I$8,0))))</f>
        <v/>
      </c>
      <c r="AQ878" s="9" t="str">
        <f aca="true">IF(C878="","",IF(AND(AP878&lt;&gt;"",TODAY()&gt;=AP878),"Refi Ready",IF(TODAY()-C878&gt;=SETTINGS!$I$11,"Prospecting","Performing")))</f>
        <v/>
      </c>
      <c r="AR878" s="22" t="str">
        <f aca="false">IF(OR(C878="",I878="",K878=""),"",IF(K878="Monthly",EDATE(C878,I878),WORKDAY(C878,I878)))</f>
        <v/>
      </c>
      <c r="AS878" s="11"/>
      <c r="AT878" s="23" t="str">
        <f aca="true">IF(C878="","",IF(AM878="Clawed Back","CLAWED",IF(TODAY()&lt;=C878+SETTINGS!$I$2,"⚠ AT RISK","SAFE")))</f>
        <v/>
      </c>
      <c r="AU878" s="11"/>
      <c r="AW878" s="24" t="n">
        <f aca="false">AW877+IF(AND(C878&lt;&gt;"",AO878&lt;&gt;"",OR('REP COMMISSION'!$B$3="",T878='REP COMMISSION'!$B$3,W878='REP COMMISSION'!$B$3,Z878='REP COMMISSION'!$B$3)),1,0)</f>
        <v>0</v>
      </c>
      <c r="AX878" s="24" t="n">
        <f aca="false">AX877+IF(AND(C878&lt;&gt;"",OR(F878="LOC - INITIAL",F878="CONSOLIDATION - UPFRONT COMM",F878="REVERSE - TOTAL FUNDING")),1,0)</f>
        <v>0</v>
      </c>
    </row>
    <row r="879" customFormat="false" ht="15" hidden="false" customHeight="false" outlineLevel="0" collapsed="false">
      <c r="A879" s="25" t="str">
        <f aca="false">IF(C879&lt;&gt;"","F27-"&amp;COUNT($C$4:C879),"")</f>
        <v/>
      </c>
      <c r="B879" s="26" t="str">
        <f aca="false">IF(OR(F879="LOC - INITIAL",F879="CONSOLIDATION - UPFRONT COMM",F879="REVERSE - TOTAL FUNDING"),A879,"")</f>
        <v/>
      </c>
      <c r="C879" s="27"/>
      <c r="D879" s="28"/>
      <c r="E879" s="28"/>
      <c r="F879" s="28"/>
      <c r="G879" s="29"/>
      <c r="H879" s="30"/>
      <c r="I879" s="28"/>
      <c r="J879" s="31" t="str">
        <f aca="false">IF(AND(G879&lt;&gt;"",H879&lt;&gt;""),G879*H879,"")</f>
        <v/>
      </c>
      <c r="K879" s="28"/>
      <c r="L879" s="32"/>
      <c r="M879" s="32"/>
      <c r="N879" s="31" t="n">
        <f aca="false">IF(OR(G879="",M879=""),0,IF(M879&gt;100,M879,G879*IF(M879&gt;1,M879/100,M879)))</f>
        <v>0</v>
      </c>
      <c r="O879" s="31" t="str">
        <f aca="false">IF(G879="","",G879*IF(L879="",0,IF(L879&gt;1,L879/100,L879))+N879)</f>
        <v/>
      </c>
      <c r="P879" s="28"/>
      <c r="Q879" s="33" t="str">
        <f aca="false">IF(P879="","",IFERROR(VLOOKUP(P879,PARTNERS!$A$2:$B$30,2,0),""))</f>
        <v/>
      </c>
      <c r="R879" s="17" t="str">
        <f aca="false">IF(O879="","",IF(OR(P879="",Q879=""),0,(O879-N879)*IF(Q879&gt;1,Q879/100,Q879)))</f>
        <v/>
      </c>
      <c r="S879" s="31" t="str">
        <f aca="false">IF(O879="","",O879-R879)</f>
        <v/>
      </c>
      <c r="T879" s="28"/>
      <c r="U879" s="34" t="str">
        <f aca="false">IF(T879="","",IFERROR(VLOOKUP(T879,REPS!$A$2:$D$40,2,0),""))</f>
        <v/>
      </c>
      <c r="V879" s="31" t="str">
        <f aca="false">IF(O879="","",IF(U879="",0,O879*IF(U879&gt;1,U879/100,U879)))</f>
        <v/>
      </c>
      <c r="W879" s="28"/>
      <c r="X879" s="34" t="str">
        <f aca="false">IF(W879="","",IFERROR(VLOOKUP(W879,REPS!$A$2:$D$40,3,0),""))</f>
        <v/>
      </c>
      <c r="Y879" s="31" t="str">
        <f aca="false">IF(O879="","",IF(X879="",0,O879*IF(X879&gt;1,X879/100,X879)))</f>
        <v/>
      </c>
      <c r="Z879" s="28"/>
      <c r="AA879" s="34" t="str">
        <f aca="false">IF(Z879="","",IFERROR(VLOOKUP(Z879,REPS!$A$2:$D$40,4,0),""))</f>
        <v/>
      </c>
      <c r="AB879" s="31" t="str">
        <f aca="false">IF(O879="","",IF(AA879="",0,O879*IF(AA879&gt;1,AA879/100,AA879)))</f>
        <v/>
      </c>
      <c r="AC879" s="31" t="str">
        <f aca="false">IF(O879="","",V879+Y879+AB879)</f>
        <v/>
      </c>
      <c r="AD879" s="19" t="str">
        <f aca="false">IF(O879="","",O879-R879-AC879)</f>
        <v/>
      </c>
      <c r="AE879" s="20"/>
      <c r="AF879" s="27"/>
      <c r="AG879" s="21" t="n">
        <f aca="false">IF(OR(AE879="",AE879=0),0,AE879*IF(U879="",0,IF(U879&gt;1,U879/100,U879)))</f>
        <v>0</v>
      </c>
      <c r="AH879" s="21" t="n">
        <f aca="false">IF(OR(AE879="",AE879=0),0,AE879*IF(X879="",0,IF(X879&gt;1,X879/100,X879)))</f>
        <v>0</v>
      </c>
      <c r="AI879" s="21" t="n">
        <f aca="false">IF(OR(AE879="",AE879=0),0,AE879*IF(AA879="",0,IF(AA879&gt;1,AA879/100,AA879)))</f>
        <v>0</v>
      </c>
      <c r="AJ879" s="21" t="n">
        <f aca="false">AG879+AH879+AI879</f>
        <v>0</v>
      </c>
      <c r="AK879" s="21" t="n">
        <f aca="false">IF(OR(AE879="",AE879=0),0,AE879-AJ879)</f>
        <v>0</v>
      </c>
      <c r="AL879" s="19" t="str">
        <f aca="false">IF(AD879="","",AD879-AK879)</f>
        <v/>
      </c>
      <c r="AM879" s="26" t="str">
        <f aca="false">IF(C879="","","Waiting for payment")</f>
        <v/>
      </c>
      <c r="AN879" s="27"/>
      <c r="AO879" s="27"/>
      <c r="AP879" s="35" t="str">
        <f aca="false">IF(OR(C879="",I879="",K879=""),"",IF(K879="Monthly",EDATE(C879,ROUND(I879*SETTINGS!$I$8,0)),WORKDAY(C879,ROUND(I879*SETTINGS!$I$8,0))))</f>
        <v/>
      </c>
      <c r="AQ879" s="26" t="str">
        <f aca="true">IF(C879="","",IF(AND(AP879&lt;&gt;"",TODAY()&gt;=AP879),"Refi Ready",IF(TODAY()-C879&gt;=SETTINGS!$I$11,"Prospecting","Performing")))</f>
        <v/>
      </c>
      <c r="AR879" s="35" t="str">
        <f aca="false">IF(OR(C879="",I879="",K879=""),"",IF(K879="Monthly",EDATE(C879,I879),WORKDAY(C879,I879)))</f>
        <v/>
      </c>
      <c r="AS879" s="28"/>
      <c r="AT879" s="36" t="str">
        <f aca="true">IF(C879="","",IF(AM879="Clawed Back","CLAWED",IF(TODAY()&lt;=C879+SETTINGS!$I$2,"⚠ AT RISK","SAFE")))</f>
        <v/>
      </c>
      <c r="AU879" s="28"/>
      <c r="AW879" s="24" t="n">
        <f aca="false">AW878+IF(AND(C879&lt;&gt;"",AO879&lt;&gt;"",OR('REP COMMISSION'!$B$3="",T879='REP COMMISSION'!$B$3,W879='REP COMMISSION'!$B$3,Z879='REP COMMISSION'!$B$3)),1,0)</f>
        <v>0</v>
      </c>
      <c r="AX879" s="24" t="n">
        <f aca="false">AX878+IF(AND(C879&lt;&gt;"",OR(F879="LOC - INITIAL",F879="CONSOLIDATION - UPFRONT COMM",F879="REVERSE - TOTAL FUNDING")),1,0)</f>
        <v>0</v>
      </c>
    </row>
    <row r="880" customFormat="false" ht="15" hidden="false" customHeight="false" outlineLevel="0" collapsed="false">
      <c r="A880" s="8" t="str">
        <f aca="false">IF(C880&lt;&gt;"","F27-"&amp;COUNT($C$4:C880),"")</f>
        <v/>
      </c>
      <c r="B880" s="9" t="str">
        <f aca="false">IF(OR(F880="LOC - INITIAL",F880="CONSOLIDATION - UPFRONT COMM",F880="REVERSE - TOTAL FUNDING"),A880,"")</f>
        <v/>
      </c>
      <c r="C880" s="10"/>
      <c r="D880" s="11"/>
      <c r="E880" s="11"/>
      <c r="F880" s="11"/>
      <c r="G880" s="12"/>
      <c r="H880" s="13"/>
      <c r="I880" s="11"/>
      <c r="J880" s="14" t="str">
        <f aca="false">IF(AND(G880&lt;&gt;"",H880&lt;&gt;""),G880*H880,"")</f>
        <v/>
      </c>
      <c r="K880" s="11"/>
      <c r="L880" s="15"/>
      <c r="M880" s="15"/>
      <c r="N880" s="14" t="n">
        <f aca="false">IF(OR(G880="",M880=""),0,IF(M880&gt;100,M880,G880*IF(M880&gt;1,M880/100,M880)))</f>
        <v>0</v>
      </c>
      <c r="O880" s="14" t="str">
        <f aca="false">IF(G880="","",G880*IF(L880="",0,IF(L880&gt;1,L880/100,L880))+N880)</f>
        <v/>
      </c>
      <c r="P880" s="11"/>
      <c r="Q880" s="16" t="str">
        <f aca="false">IF(P880="","",IFERROR(VLOOKUP(P880,PARTNERS!$A$2:$B$30,2,0),""))</f>
        <v/>
      </c>
      <c r="R880" s="17" t="str">
        <f aca="false">IF(O880="","",IF(OR(P880="",Q880=""),0,(O880-N880)*IF(Q880&gt;1,Q880/100,Q880)))</f>
        <v/>
      </c>
      <c r="S880" s="14" t="str">
        <f aca="false">IF(O880="","",O880-R880)</f>
        <v/>
      </c>
      <c r="T880" s="11"/>
      <c r="U880" s="18" t="str">
        <f aca="false">IF(T880="","",IFERROR(VLOOKUP(T880,REPS!$A$2:$D$40,2,0),""))</f>
        <v/>
      </c>
      <c r="V880" s="14" t="str">
        <f aca="false">IF(O880="","",IF(U880="",0,O880*IF(U880&gt;1,U880/100,U880)))</f>
        <v/>
      </c>
      <c r="W880" s="11"/>
      <c r="X880" s="18" t="str">
        <f aca="false">IF(W880="","",IFERROR(VLOOKUP(W880,REPS!$A$2:$D$40,3,0),""))</f>
        <v/>
      </c>
      <c r="Y880" s="14" t="str">
        <f aca="false">IF(O880="","",IF(X880="",0,O880*IF(X880&gt;1,X880/100,X880)))</f>
        <v/>
      </c>
      <c r="Z880" s="11"/>
      <c r="AA880" s="18" t="str">
        <f aca="false">IF(Z880="","",IFERROR(VLOOKUP(Z880,REPS!$A$2:$D$40,4,0),""))</f>
        <v/>
      </c>
      <c r="AB880" s="14" t="str">
        <f aca="false">IF(O880="","",IF(AA880="",0,O880*IF(AA880&gt;1,AA880/100,AA880)))</f>
        <v/>
      </c>
      <c r="AC880" s="14" t="str">
        <f aca="false">IF(O880="","",V880+Y880+AB880)</f>
        <v/>
      </c>
      <c r="AD880" s="19" t="str">
        <f aca="false">IF(O880="","",O880-R880-AC880)</f>
        <v/>
      </c>
      <c r="AE880" s="20"/>
      <c r="AF880" s="10"/>
      <c r="AG880" s="21" t="n">
        <f aca="false">IF(OR(AE880="",AE880=0),0,AE880*IF(U880="",0,IF(U880&gt;1,U880/100,U880)))</f>
        <v>0</v>
      </c>
      <c r="AH880" s="21" t="n">
        <f aca="false">IF(OR(AE880="",AE880=0),0,AE880*IF(X880="",0,IF(X880&gt;1,X880/100,X880)))</f>
        <v>0</v>
      </c>
      <c r="AI880" s="21" t="n">
        <f aca="false">IF(OR(AE880="",AE880=0),0,AE880*IF(AA880="",0,IF(AA880&gt;1,AA880/100,AA880)))</f>
        <v>0</v>
      </c>
      <c r="AJ880" s="21" t="n">
        <f aca="false">AG880+AH880+AI880</f>
        <v>0</v>
      </c>
      <c r="AK880" s="21" t="n">
        <f aca="false">IF(OR(AE880="",AE880=0),0,AE880-AJ880)</f>
        <v>0</v>
      </c>
      <c r="AL880" s="19" t="str">
        <f aca="false">IF(AD880="","",AD880-AK880)</f>
        <v/>
      </c>
      <c r="AM880" s="9" t="str">
        <f aca="false">IF(C880="","","Waiting for payment")</f>
        <v/>
      </c>
      <c r="AN880" s="10"/>
      <c r="AO880" s="10"/>
      <c r="AP880" s="22" t="str">
        <f aca="false">IF(OR(C880="",I880="",K880=""),"",IF(K880="Monthly",EDATE(C880,ROUND(I880*SETTINGS!$I$8,0)),WORKDAY(C880,ROUND(I880*SETTINGS!$I$8,0))))</f>
        <v/>
      </c>
      <c r="AQ880" s="9" t="str">
        <f aca="true">IF(C880="","",IF(AND(AP880&lt;&gt;"",TODAY()&gt;=AP880),"Refi Ready",IF(TODAY()-C880&gt;=SETTINGS!$I$11,"Prospecting","Performing")))</f>
        <v/>
      </c>
      <c r="AR880" s="22" t="str">
        <f aca="false">IF(OR(C880="",I880="",K880=""),"",IF(K880="Monthly",EDATE(C880,I880),WORKDAY(C880,I880)))</f>
        <v/>
      </c>
      <c r="AS880" s="11"/>
      <c r="AT880" s="23" t="str">
        <f aca="true">IF(C880="","",IF(AM880="Clawed Back","CLAWED",IF(TODAY()&lt;=C880+SETTINGS!$I$2,"⚠ AT RISK","SAFE")))</f>
        <v/>
      </c>
      <c r="AU880" s="11"/>
      <c r="AW880" s="24" t="n">
        <f aca="false">AW879+IF(AND(C880&lt;&gt;"",AO880&lt;&gt;"",OR('REP COMMISSION'!$B$3="",T880='REP COMMISSION'!$B$3,W880='REP COMMISSION'!$B$3,Z880='REP COMMISSION'!$B$3)),1,0)</f>
        <v>0</v>
      </c>
      <c r="AX880" s="24" t="n">
        <f aca="false">AX879+IF(AND(C880&lt;&gt;"",OR(F880="LOC - INITIAL",F880="CONSOLIDATION - UPFRONT COMM",F880="REVERSE - TOTAL FUNDING")),1,0)</f>
        <v>0</v>
      </c>
    </row>
    <row r="881" customFormat="false" ht="15" hidden="false" customHeight="false" outlineLevel="0" collapsed="false">
      <c r="A881" s="25" t="str">
        <f aca="false">IF(C881&lt;&gt;"","F27-"&amp;COUNT($C$4:C881),"")</f>
        <v/>
      </c>
      <c r="B881" s="26" t="str">
        <f aca="false">IF(OR(F881="LOC - INITIAL",F881="CONSOLIDATION - UPFRONT COMM",F881="REVERSE - TOTAL FUNDING"),A881,"")</f>
        <v/>
      </c>
      <c r="C881" s="27"/>
      <c r="D881" s="28"/>
      <c r="E881" s="28"/>
      <c r="F881" s="28"/>
      <c r="G881" s="29"/>
      <c r="H881" s="30"/>
      <c r="I881" s="28"/>
      <c r="J881" s="31" t="str">
        <f aca="false">IF(AND(G881&lt;&gt;"",H881&lt;&gt;""),G881*H881,"")</f>
        <v/>
      </c>
      <c r="K881" s="28"/>
      <c r="L881" s="32"/>
      <c r="M881" s="32"/>
      <c r="N881" s="31" t="n">
        <f aca="false">IF(OR(G881="",M881=""),0,IF(M881&gt;100,M881,G881*IF(M881&gt;1,M881/100,M881)))</f>
        <v>0</v>
      </c>
      <c r="O881" s="31" t="str">
        <f aca="false">IF(G881="","",G881*IF(L881="",0,IF(L881&gt;1,L881/100,L881))+N881)</f>
        <v/>
      </c>
      <c r="P881" s="28"/>
      <c r="Q881" s="33" t="str">
        <f aca="false">IF(P881="","",IFERROR(VLOOKUP(P881,PARTNERS!$A$2:$B$30,2,0),""))</f>
        <v/>
      </c>
      <c r="R881" s="17" t="str">
        <f aca="false">IF(O881="","",IF(OR(P881="",Q881=""),0,(O881-N881)*IF(Q881&gt;1,Q881/100,Q881)))</f>
        <v/>
      </c>
      <c r="S881" s="31" t="str">
        <f aca="false">IF(O881="","",O881-R881)</f>
        <v/>
      </c>
      <c r="T881" s="28"/>
      <c r="U881" s="34" t="str">
        <f aca="false">IF(T881="","",IFERROR(VLOOKUP(T881,REPS!$A$2:$D$40,2,0),""))</f>
        <v/>
      </c>
      <c r="V881" s="31" t="str">
        <f aca="false">IF(O881="","",IF(U881="",0,O881*IF(U881&gt;1,U881/100,U881)))</f>
        <v/>
      </c>
      <c r="W881" s="28"/>
      <c r="X881" s="34" t="str">
        <f aca="false">IF(W881="","",IFERROR(VLOOKUP(W881,REPS!$A$2:$D$40,3,0),""))</f>
        <v/>
      </c>
      <c r="Y881" s="31" t="str">
        <f aca="false">IF(O881="","",IF(X881="",0,O881*IF(X881&gt;1,X881/100,X881)))</f>
        <v/>
      </c>
      <c r="Z881" s="28"/>
      <c r="AA881" s="34" t="str">
        <f aca="false">IF(Z881="","",IFERROR(VLOOKUP(Z881,REPS!$A$2:$D$40,4,0),""))</f>
        <v/>
      </c>
      <c r="AB881" s="31" t="str">
        <f aca="false">IF(O881="","",IF(AA881="",0,O881*IF(AA881&gt;1,AA881/100,AA881)))</f>
        <v/>
      </c>
      <c r="AC881" s="31" t="str">
        <f aca="false">IF(O881="","",V881+Y881+AB881)</f>
        <v/>
      </c>
      <c r="AD881" s="19" t="str">
        <f aca="false">IF(O881="","",O881-R881-AC881)</f>
        <v/>
      </c>
      <c r="AE881" s="20"/>
      <c r="AF881" s="27"/>
      <c r="AG881" s="21" t="n">
        <f aca="false">IF(OR(AE881="",AE881=0),0,AE881*IF(U881="",0,IF(U881&gt;1,U881/100,U881)))</f>
        <v>0</v>
      </c>
      <c r="AH881" s="21" t="n">
        <f aca="false">IF(OR(AE881="",AE881=0),0,AE881*IF(X881="",0,IF(X881&gt;1,X881/100,X881)))</f>
        <v>0</v>
      </c>
      <c r="AI881" s="21" t="n">
        <f aca="false">IF(OR(AE881="",AE881=0),0,AE881*IF(AA881="",0,IF(AA881&gt;1,AA881/100,AA881)))</f>
        <v>0</v>
      </c>
      <c r="AJ881" s="21" t="n">
        <f aca="false">AG881+AH881+AI881</f>
        <v>0</v>
      </c>
      <c r="AK881" s="21" t="n">
        <f aca="false">IF(OR(AE881="",AE881=0),0,AE881-AJ881)</f>
        <v>0</v>
      </c>
      <c r="AL881" s="19" t="str">
        <f aca="false">IF(AD881="","",AD881-AK881)</f>
        <v/>
      </c>
      <c r="AM881" s="26" t="str">
        <f aca="false">IF(C881="","","Waiting for payment")</f>
        <v/>
      </c>
      <c r="AN881" s="27"/>
      <c r="AO881" s="27"/>
      <c r="AP881" s="35" t="str">
        <f aca="false">IF(OR(C881="",I881="",K881=""),"",IF(K881="Monthly",EDATE(C881,ROUND(I881*SETTINGS!$I$8,0)),WORKDAY(C881,ROUND(I881*SETTINGS!$I$8,0))))</f>
        <v/>
      </c>
      <c r="AQ881" s="26" t="str">
        <f aca="true">IF(C881="","",IF(AND(AP881&lt;&gt;"",TODAY()&gt;=AP881),"Refi Ready",IF(TODAY()-C881&gt;=SETTINGS!$I$11,"Prospecting","Performing")))</f>
        <v/>
      </c>
      <c r="AR881" s="35" t="str">
        <f aca="false">IF(OR(C881="",I881="",K881=""),"",IF(K881="Monthly",EDATE(C881,I881),WORKDAY(C881,I881)))</f>
        <v/>
      </c>
      <c r="AS881" s="28"/>
      <c r="AT881" s="36" t="str">
        <f aca="true">IF(C881="","",IF(AM881="Clawed Back","CLAWED",IF(TODAY()&lt;=C881+SETTINGS!$I$2,"⚠ AT RISK","SAFE")))</f>
        <v/>
      </c>
      <c r="AU881" s="28"/>
      <c r="AW881" s="24" t="n">
        <f aca="false">AW880+IF(AND(C881&lt;&gt;"",AO881&lt;&gt;"",OR('REP COMMISSION'!$B$3="",T881='REP COMMISSION'!$B$3,W881='REP COMMISSION'!$B$3,Z881='REP COMMISSION'!$B$3)),1,0)</f>
        <v>0</v>
      </c>
      <c r="AX881" s="24" t="n">
        <f aca="false">AX880+IF(AND(C881&lt;&gt;"",OR(F881="LOC - INITIAL",F881="CONSOLIDATION - UPFRONT COMM",F881="REVERSE - TOTAL FUNDING")),1,0)</f>
        <v>0</v>
      </c>
    </row>
    <row r="882" customFormat="false" ht="15" hidden="false" customHeight="false" outlineLevel="0" collapsed="false">
      <c r="A882" s="8" t="str">
        <f aca="false">IF(C882&lt;&gt;"","F27-"&amp;COUNT($C$4:C882),"")</f>
        <v/>
      </c>
      <c r="B882" s="9" t="str">
        <f aca="false">IF(OR(F882="LOC - INITIAL",F882="CONSOLIDATION - UPFRONT COMM",F882="REVERSE - TOTAL FUNDING"),A882,"")</f>
        <v/>
      </c>
      <c r="C882" s="10"/>
      <c r="D882" s="11"/>
      <c r="E882" s="11"/>
      <c r="F882" s="11"/>
      <c r="G882" s="12"/>
      <c r="H882" s="13"/>
      <c r="I882" s="11"/>
      <c r="J882" s="14" t="str">
        <f aca="false">IF(AND(G882&lt;&gt;"",H882&lt;&gt;""),G882*H882,"")</f>
        <v/>
      </c>
      <c r="K882" s="11"/>
      <c r="L882" s="15"/>
      <c r="M882" s="15"/>
      <c r="N882" s="14" t="n">
        <f aca="false">IF(OR(G882="",M882=""),0,IF(M882&gt;100,M882,G882*IF(M882&gt;1,M882/100,M882)))</f>
        <v>0</v>
      </c>
      <c r="O882" s="14" t="str">
        <f aca="false">IF(G882="","",G882*IF(L882="",0,IF(L882&gt;1,L882/100,L882))+N882)</f>
        <v/>
      </c>
      <c r="P882" s="11"/>
      <c r="Q882" s="16" t="str">
        <f aca="false">IF(P882="","",IFERROR(VLOOKUP(P882,PARTNERS!$A$2:$B$30,2,0),""))</f>
        <v/>
      </c>
      <c r="R882" s="17" t="str">
        <f aca="false">IF(O882="","",IF(OR(P882="",Q882=""),0,(O882-N882)*IF(Q882&gt;1,Q882/100,Q882)))</f>
        <v/>
      </c>
      <c r="S882" s="14" t="str">
        <f aca="false">IF(O882="","",O882-R882)</f>
        <v/>
      </c>
      <c r="T882" s="11"/>
      <c r="U882" s="18" t="str">
        <f aca="false">IF(T882="","",IFERROR(VLOOKUP(T882,REPS!$A$2:$D$40,2,0),""))</f>
        <v/>
      </c>
      <c r="V882" s="14" t="str">
        <f aca="false">IF(O882="","",IF(U882="",0,O882*IF(U882&gt;1,U882/100,U882)))</f>
        <v/>
      </c>
      <c r="W882" s="11"/>
      <c r="X882" s="18" t="str">
        <f aca="false">IF(W882="","",IFERROR(VLOOKUP(W882,REPS!$A$2:$D$40,3,0),""))</f>
        <v/>
      </c>
      <c r="Y882" s="14" t="str">
        <f aca="false">IF(O882="","",IF(X882="",0,O882*IF(X882&gt;1,X882/100,X882)))</f>
        <v/>
      </c>
      <c r="Z882" s="11"/>
      <c r="AA882" s="18" t="str">
        <f aca="false">IF(Z882="","",IFERROR(VLOOKUP(Z882,REPS!$A$2:$D$40,4,0),""))</f>
        <v/>
      </c>
      <c r="AB882" s="14" t="str">
        <f aca="false">IF(O882="","",IF(AA882="",0,O882*IF(AA882&gt;1,AA882/100,AA882)))</f>
        <v/>
      </c>
      <c r="AC882" s="14" t="str">
        <f aca="false">IF(O882="","",V882+Y882+AB882)</f>
        <v/>
      </c>
      <c r="AD882" s="19" t="str">
        <f aca="false">IF(O882="","",O882-R882-AC882)</f>
        <v/>
      </c>
      <c r="AE882" s="20"/>
      <c r="AF882" s="10"/>
      <c r="AG882" s="21" t="n">
        <f aca="false">IF(OR(AE882="",AE882=0),0,AE882*IF(U882="",0,IF(U882&gt;1,U882/100,U882)))</f>
        <v>0</v>
      </c>
      <c r="AH882" s="21" t="n">
        <f aca="false">IF(OR(AE882="",AE882=0),0,AE882*IF(X882="",0,IF(X882&gt;1,X882/100,X882)))</f>
        <v>0</v>
      </c>
      <c r="AI882" s="21" t="n">
        <f aca="false">IF(OR(AE882="",AE882=0),0,AE882*IF(AA882="",0,IF(AA882&gt;1,AA882/100,AA882)))</f>
        <v>0</v>
      </c>
      <c r="AJ882" s="21" t="n">
        <f aca="false">AG882+AH882+AI882</f>
        <v>0</v>
      </c>
      <c r="AK882" s="21" t="n">
        <f aca="false">IF(OR(AE882="",AE882=0),0,AE882-AJ882)</f>
        <v>0</v>
      </c>
      <c r="AL882" s="19" t="str">
        <f aca="false">IF(AD882="","",AD882-AK882)</f>
        <v/>
      </c>
      <c r="AM882" s="9" t="str">
        <f aca="false">IF(C882="","","Waiting for payment")</f>
        <v/>
      </c>
      <c r="AN882" s="10"/>
      <c r="AO882" s="10"/>
      <c r="AP882" s="22" t="str">
        <f aca="false">IF(OR(C882="",I882="",K882=""),"",IF(K882="Monthly",EDATE(C882,ROUND(I882*SETTINGS!$I$8,0)),WORKDAY(C882,ROUND(I882*SETTINGS!$I$8,0))))</f>
        <v/>
      </c>
      <c r="AQ882" s="9" t="str">
        <f aca="true">IF(C882="","",IF(AND(AP882&lt;&gt;"",TODAY()&gt;=AP882),"Refi Ready",IF(TODAY()-C882&gt;=SETTINGS!$I$11,"Prospecting","Performing")))</f>
        <v/>
      </c>
      <c r="AR882" s="22" t="str">
        <f aca="false">IF(OR(C882="",I882="",K882=""),"",IF(K882="Monthly",EDATE(C882,I882),WORKDAY(C882,I882)))</f>
        <v/>
      </c>
      <c r="AS882" s="11"/>
      <c r="AT882" s="23" t="str">
        <f aca="true">IF(C882="","",IF(AM882="Clawed Back","CLAWED",IF(TODAY()&lt;=C882+SETTINGS!$I$2,"⚠ AT RISK","SAFE")))</f>
        <v/>
      </c>
      <c r="AU882" s="11"/>
      <c r="AW882" s="24" t="n">
        <f aca="false">AW881+IF(AND(C882&lt;&gt;"",AO882&lt;&gt;"",OR('REP COMMISSION'!$B$3="",T882='REP COMMISSION'!$B$3,W882='REP COMMISSION'!$B$3,Z882='REP COMMISSION'!$B$3)),1,0)</f>
        <v>0</v>
      </c>
      <c r="AX882" s="24" t="n">
        <f aca="false">AX881+IF(AND(C882&lt;&gt;"",OR(F882="LOC - INITIAL",F882="CONSOLIDATION - UPFRONT COMM",F882="REVERSE - TOTAL FUNDING")),1,0)</f>
        <v>0</v>
      </c>
    </row>
    <row r="883" customFormat="false" ht="15" hidden="false" customHeight="false" outlineLevel="0" collapsed="false">
      <c r="A883" s="25" t="str">
        <f aca="false">IF(C883&lt;&gt;"","F27-"&amp;COUNT($C$4:C883),"")</f>
        <v/>
      </c>
      <c r="B883" s="26" t="str">
        <f aca="false">IF(OR(F883="LOC - INITIAL",F883="CONSOLIDATION - UPFRONT COMM",F883="REVERSE - TOTAL FUNDING"),A883,"")</f>
        <v/>
      </c>
      <c r="C883" s="27"/>
      <c r="D883" s="28"/>
      <c r="E883" s="28"/>
      <c r="F883" s="28"/>
      <c r="G883" s="29"/>
      <c r="H883" s="30"/>
      <c r="I883" s="28"/>
      <c r="J883" s="31" t="str">
        <f aca="false">IF(AND(G883&lt;&gt;"",H883&lt;&gt;""),G883*H883,"")</f>
        <v/>
      </c>
      <c r="K883" s="28"/>
      <c r="L883" s="32"/>
      <c r="M883" s="32"/>
      <c r="N883" s="31" t="n">
        <f aca="false">IF(OR(G883="",M883=""),0,IF(M883&gt;100,M883,G883*IF(M883&gt;1,M883/100,M883)))</f>
        <v>0</v>
      </c>
      <c r="O883" s="31" t="str">
        <f aca="false">IF(G883="","",G883*IF(L883="",0,IF(L883&gt;1,L883/100,L883))+N883)</f>
        <v/>
      </c>
      <c r="P883" s="28"/>
      <c r="Q883" s="33" t="str">
        <f aca="false">IF(P883="","",IFERROR(VLOOKUP(P883,PARTNERS!$A$2:$B$30,2,0),""))</f>
        <v/>
      </c>
      <c r="R883" s="17" t="str">
        <f aca="false">IF(O883="","",IF(OR(P883="",Q883=""),0,(O883-N883)*IF(Q883&gt;1,Q883/100,Q883)))</f>
        <v/>
      </c>
      <c r="S883" s="31" t="str">
        <f aca="false">IF(O883="","",O883-R883)</f>
        <v/>
      </c>
      <c r="T883" s="28"/>
      <c r="U883" s="34" t="str">
        <f aca="false">IF(T883="","",IFERROR(VLOOKUP(T883,REPS!$A$2:$D$40,2,0),""))</f>
        <v/>
      </c>
      <c r="V883" s="31" t="str">
        <f aca="false">IF(O883="","",IF(U883="",0,O883*IF(U883&gt;1,U883/100,U883)))</f>
        <v/>
      </c>
      <c r="W883" s="28"/>
      <c r="X883" s="34" t="str">
        <f aca="false">IF(W883="","",IFERROR(VLOOKUP(W883,REPS!$A$2:$D$40,3,0),""))</f>
        <v/>
      </c>
      <c r="Y883" s="31" t="str">
        <f aca="false">IF(O883="","",IF(X883="",0,O883*IF(X883&gt;1,X883/100,X883)))</f>
        <v/>
      </c>
      <c r="Z883" s="28"/>
      <c r="AA883" s="34" t="str">
        <f aca="false">IF(Z883="","",IFERROR(VLOOKUP(Z883,REPS!$A$2:$D$40,4,0),""))</f>
        <v/>
      </c>
      <c r="AB883" s="31" t="str">
        <f aca="false">IF(O883="","",IF(AA883="",0,O883*IF(AA883&gt;1,AA883/100,AA883)))</f>
        <v/>
      </c>
      <c r="AC883" s="31" t="str">
        <f aca="false">IF(O883="","",V883+Y883+AB883)</f>
        <v/>
      </c>
      <c r="AD883" s="19" t="str">
        <f aca="false">IF(O883="","",O883-R883-AC883)</f>
        <v/>
      </c>
      <c r="AE883" s="20"/>
      <c r="AF883" s="27"/>
      <c r="AG883" s="21" t="n">
        <f aca="false">IF(OR(AE883="",AE883=0),0,AE883*IF(U883="",0,IF(U883&gt;1,U883/100,U883)))</f>
        <v>0</v>
      </c>
      <c r="AH883" s="21" t="n">
        <f aca="false">IF(OR(AE883="",AE883=0),0,AE883*IF(X883="",0,IF(X883&gt;1,X883/100,X883)))</f>
        <v>0</v>
      </c>
      <c r="AI883" s="21" t="n">
        <f aca="false">IF(OR(AE883="",AE883=0),0,AE883*IF(AA883="",0,IF(AA883&gt;1,AA883/100,AA883)))</f>
        <v>0</v>
      </c>
      <c r="AJ883" s="21" t="n">
        <f aca="false">AG883+AH883+AI883</f>
        <v>0</v>
      </c>
      <c r="AK883" s="21" t="n">
        <f aca="false">IF(OR(AE883="",AE883=0),0,AE883-AJ883)</f>
        <v>0</v>
      </c>
      <c r="AL883" s="19" t="str">
        <f aca="false">IF(AD883="","",AD883-AK883)</f>
        <v/>
      </c>
      <c r="AM883" s="26" t="str">
        <f aca="false">IF(C883="","","Waiting for payment")</f>
        <v/>
      </c>
      <c r="AN883" s="27"/>
      <c r="AO883" s="27"/>
      <c r="AP883" s="35" t="str">
        <f aca="false">IF(OR(C883="",I883="",K883=""),"",IF(K883="Monthly",EDATE(C883,ROUND(I883*SETTINGS!$I$8,0)),WORKDAY(C883,ROUND(I883*SETTINGS!$I$8,0))))</f>
        <v/>
      </c>
      <c r="AQ883" s="26" t="str">
        <f aca="true">IF(C883="","",IF(AND(AP883&lt;&gt;"",TODAY()&gt;=AP883),"Refi Ready",IF(TODAY()-C883&gt;=SETTINGS!$I$11,"Prospecting","Performing")))</f>
        <v/>
      </c>
      <c r="AR883" s="35" t="str">
        <f aca="false">IF(OR(C883="",I883="",K883=""),"",IF(K883="Monthly",EDATE(C883,I883),WORKDAY(C883,I883)))</f>
        <v/>
      </c>
      <c r="AS883" s="28"/>
      <c r="AT883" s="36" t="str">
        <f aca="true">IF(C883="","",IF(AM883="Clawed Back","CLAWED",IF(TODAY()&lt;=C883+SETTINGS!$I$2,"⚠ AT RISK","SAFE")))</f>
        <v/>
      </c>
      <c r="AU883" s="28"/>
      <c r="AW883" s="24" t="n">
        <f aca="false">AW882+IF(AND(C883&lt;&gt;"",AO883&lt;&gt;"",OR('REP COMMISSION'!$B$3="",T883='REP COMMISSION'!$B$3,W883='REP COMMISSION'!$B$3,Z883='REP COMMISSION'!$B$3)),1,0)</f>
        <v>0</v>
      </c>
      <c r="AX883" s="24" t="n">
        <f aca="false">AX882+IF(AND(C883&lt;&gt;"",OR(F883="LOC - INITIAL",F883="CONSOLIDATION - UPFRONT COMM",F883="REVERSE - TOTAL FUNDING")),1,0)</f>
        <v>0</v>
      </c>
    </row>
    <row r="884" customFormat="false" ht="15" hidden="false" customHeight="false" outlineLevel="0" collapsed="false">
      <c r="A884" s="8" t="str">
        <f aca="false">IF(C884&lt;&gt;"","F27-"&amp;COUNT($C$4:C884),"")</f>
        <v/>
      </c>
      <c r="B884" s="9" t="str">
        <f aca="false">IF(OR(F884="LOC - INITIAL",F884="CONSOLIDATION - UPFRONT COMM",F884="REVERSE - TOTAL FUNDING"),A884,"")</f>
        <v/>
      </c>
      <c r="C884" s="10"/>
      <c r="D884" s="11"/>
      <c r="E884" s="11"/>
      <c r="F884" s="11"/>
      <c r="G884" s="12"/>
      <c r="H884" s="13"/>
      <c r="I884" s="11"/>
      <c r="J884" s="14" t="str">
        <f aca="false">IF(AND(G884&lt;&gt;"",H884&lt;&gt;""),G884*H884,"")</f>
        <v/>
      </c>
      <c r="K884" s="11"/>
      <c r="L884" s="15"/>
      <c r="M884" s="15"/>
      <c r="N884" s="14" t="n">
        <f aca="false">IF(OR(G884="",M884=""),0,IF(M884&gt;100,M884,G884*IF(M884&gt;1,M884/100,M884)))</f>
        <v>0</v>
      </c>
      <c r="O884" s="14" t="str">
        <f aca="false">IF(G884="","",G884*IF(L884="",0,IF(L884&gt;1,L884/100,L884))+N884)</f>
        <v/>
      </c>
      <c r="P884" s="11"/>
      <c r="Q884" s="16" t="str">
        <f aca="false">IF(P884="","",IFERROR(VLOOKUP(P884,PARTNERS!$A$2:$B$30,2,0),""))</f>
        <v/>
      </c>
      <c r="R884" s="17" t="str">
        <f aca="false">IF(O884="","",IF(OR(P884="",Q884=""),0,(O884-N884)*IF(Q884&gt;1,Q884/100,Q884)))</f>
        <v/>
      </c>
      <c r="S884" s="14" t="str">
        <f aca="false">IF(O884="","",O884-R884)</f>
        <v/>
      </c>
      <c r="T884" s="11"/>
      <c r="U884" s="18" t="str">
        <f aca="false">IF(T884="","",IFERROR(VLOOKUP(T884,REPS!$A$2:$D$40,2,0),""))</f>
        <v/>
      </c>
      <c r="V884" s="14" t="str">
        <f aca="false">IF(O884="","",IF(U884="",0,O884*IF(U884&gt;1,U884/100,U884)))</f>
        <v/>
      </c>
      <c r="W884" s="11"/>
      <c r="X884" s="18" t="str">
        <f aca="false">IF(W884="","",IFERROR(VLOOKUP(W884,REPS!$A$2:$D$40,3,0),""))</f>
        <v/>
      </c>
      <c r="Y884" s="14" t="str">
        <f aca="false">IF(O884="","",IF(X884="",0,O884*IF(X884&gt;1,X884/100,X884)))</f>
        <v/>
      </c>
      <c r="Z884" s="11"/>
      <c r="AA884" s="18" t="str">
        <f aca="false">IF(Z884="","",IFERROR(VLOOKUP(Z884,REPS!$A$2:$D$40,4,0),""))</f>
        <v/>
      </c>
      <c r="AB884" s="14" t="str">
        <f aca="false">IF(O884="","",IF(AA884="",0,O884*IF(AA884&gt;1,AA884/100,AA884)))</f>
        <v/>
      </c>
      <c r="AC884" s="14" t="str">
        <f aca="false">IF(O884="","",V884+Y884+AB884)</f>
        <v/>
      </c>
      <c r="AD884" s="19" t="str">
        <f aca="false">IF(O884="","",O884-R884-AC884)</f>
        <v/>
      </c>
      <c r="AE884" s="20"/>
      <c r="AF884" s="10"/>
      <c r="AG884" s="21" t="n">
        <f aca="false">IF(OR(AE884="",AE884=0),0,AE884*IF(U884="",0,IF(U884&gt;1,U884/100,U884)))</f>
        <v>0</v>
      </c>
      <c r="AH884" s="21" t="n">
        <f aca="false">IF(OR(AE884="",AE884=0),0,AE884*IF(X884="",0,IF(X884&gt;1,X884/100,X884)))</f>
        <v>0</v>
      </c>
      <c r="AI884" s="21" t="n">
        <f aca="false">IF(OR(AE884="",AE884=0),0,AE884*IF(AA884="",0,IF(AA884&gt;1,AA884/100,AA884)))</f>
        <v>0</v>
      </c>
      <c r="AJ884" s="21" t="n">
        <f aca="false">AG884+AH884+AI884</f>
        <v>0</v>
      </c>
      <c r="AK884" s="21" t="n">
        <f aca="false">IF(OR(AE884="",AE884=0),0,AE884-AJ884)</f>
        <v>0</v>
      </c>
      <c r="AL884" s="19" t="str">
        <f aca="false">IF(AD884="","",AD884-AK884)</f>
        <v/>
      </c>
      <c r="AM884" s="9" t="str">
        <f aca="false">IF(C884="","","Waiting for payment")</f>
        <v/>
      </c>
      <c r="AN884" s="10"/>
      <c r="AO884" s="10"/>
      <c r="AP884" s="22" t="str">
        <f aca="false">IF(OR(C884="",I884="",K884=""),"",IF(K884="Monthly",EDATE(C884,ROUND(I884*SETTINGS!$I$8,0)),WORKDAY(C884,ROUND(I884*SETTINGS!$I$8,0))))</f>
        <v/>
      </c>
      <c r="AQ884" s="9" t="str">
        <f aca="true">IF(C884="","",IF(AND(AP884&lt;&gt;"",TODAY()&gt;=AP884),"Refi Ready",IF(TODAY()-C884&gt;=SETTINGS!$I$11,"Prospecting","Performing")))</f>
        <v/>
      </c>
      <c r="AR884" s="22" t="str">
        <f aca="false">IF(OR(C884="",I884="",K884=""),"",IF(K884="Monthly",EDATE(C884,I884),WORKDAY(C884,I884)))</f>
        <v/>
      </c>
      <c r="AS884" s="11"/>
      <c r="AT884" s="23" t="str">
        <f aca="true">IF(C884="","",IF(AM884="Clawed Back","CLAWED",IF(TODAY()&lt;=C884+SETTINGS!$I$2,"⚠ AT RISK","SAFE")))</f>
        <v/>
      </c>
      <c r="AU884" s="11"/>
      <c r="AW884" s="24" t="n">
        <f aca="false">AW883+IF(AND(C884&lt;&gt;"",AO884&lt;&gt;"",OR('REP COMMISSION'!$B$3="",T884='REP COMMISSION'!$B$3,W884='REP COMMISSION'!$B$3,Z884='REP COMMISSION'!$B$3)),1,0)</f>
        <v>0</v>
      </c>
      <c r="AX884" s="24" t="n">
        <f aca="false">AX883+IF(AND(C884&lt;&gt;"",OR(F884="LOC - INITIAL",F884="CONSOLIDATION - UPFRONT COMM",F884="REVERSE - TOTAL FUNDING")),1,0)</f>
        <v>0</v>
      </c>
    </row>
    <row r="885" customFormat="false" ht="15" hidden="false" customHeight="false" outlineLevel="0" collapsed="false">
      <c r="A885" s="25" t="str">
        <f aca="false">IF(C885&lt;&gt;"","F27-"&amp;COUNT($C$4:C885),"")</f>
        <v/>
      </c>
      <c r="B885" s="26" t="str">
        <f aca="false">IF(OR(F885="LOC - INITIAL",F885="CONSOLIDATION - UPFRONT COMM",F885="REVERSE - TOTAL FUNDING"),A885,"")</f>
        <v/>
      </c>
      <c r="C885" s="27"/>
      <c r="D885" s="28"/>
      <c r="E885" s="28"/>
      <c r="F885" s="28"/>
      <c r="G885" s="29"/>
      <c r="H885" s="30"/>
      <c r="I885" s="28"/>
      <c r="J885" s="31" t="str">
        <f aca="false">IF(AND(G885&lt;&gt;"",H885&lt;&gt;""),G885*H885,"")</f>
        <v/>
      </c>
      <c r="K885" s="28"/>
      <c r="L885" s="32"/>
      <c r="M885" s="32"/>
      <c r="N885" s="31" t="n">
        <f aca="false">IF(OR(G885="",M885=""),0,IF(M885&gt;100,M885,G885*IF(M885&gt;1,M885/100,M885)))</f>
        <v>0</v>
      </c>
      <c r="O885" s="31" t="str">
        <f aca="false">IF(G885="","",G885*IF(L885="",0,IF(L885&gt;1,L885/100,L885))+N885)</f>
        <v/>
      </c>
      <c r="P885" s="28"/>
      <c r="Q885" s="33" t="str">
        <f aca="false">IF(P885="","",IFERROR(VLOOKUP(P885,PARTNERS!$A$2:$B$30,2,0),""))</f>
        <v/>
      </c>
      <c r="R885" s="17" t="str">
        <f aca="false">IF(O885="","",IF(OR(P885="",Q885=""),0,(O885-N885)*IF(Q885&gt;1,Q885/100,Q885)))</f>
        <v/>
      </c>
      <c r="S885" s="31" t="str">
        <f aca="false">IF(O885="","",O885-R885)</f>
        <v/>
      </c>
      <c r="T885" s="28"/>
      <c r="U885" s="34" t="str">
        <f aca="false">IF(T885="","",IFERROR(VLOOKUP(T885,REPS!$A$2:$D$40,2,0),""))</f>
        <v/>
      </c>
      <c r="V885" s="31" t="str">
        <f aca="false">IF(O885="","",IF(U885="",0,O885*IF(U885&gt;1,U885/100,U885)))</f>
        <v/>
      </c>
      <c r="W885" s="28"/>
      <c r="X885" s="34" t="str">
        <f aca="false">IF(W885="","",IFERROR(VLOOKUP(W885,REPS!$A$2:$D$40,3,0),""))</f>
        <v/>
      </c>
      <c r="Y885" s="31" t="str">
        <f aca="false">IF(O885="","",IF(X885="",0,O885*IF(X885&gt;1,X885/100,X885)))</f>
        <v/>
      </c>
      <c r="Z885" s="28"/>
      <c r="AA885" s="34" t="str">
        <f aca="false">IF(Z885="","",IFERROR(VLOOKUP(Z885,REPS!$A$2:$D$40,4,0),""))</f>
        <v/>
      </c>
      <c r="AB885" s="31" t="str">
        <f aca="false">IF(O885="","",IF(AA885="",0,O885*IF(AA885&gt;1,AA885/100,AA885)))</f>
        <v/>
      </c>
      <c r="AC885" s="31" t="str">
        <f aca="false">IF(O885="","",V885+Y885+AB885)</f>
        <v/>
      </c>
      <c r="AD885" s="19" t="str">
        <f aca="false">IF(O885="","",O885-R885-AC885)</f>
        <v/>
      </c>
      <c r="AE885" s="20"/>
      <c r="AF885" s="27"/>
      <c r="AG885" s="21" t="n">
        <f aca="false">IF(OR(AE885="",AE885=0),0,AE885*IF(U885="",0,IF(U885&gt;1,U885/100,U885)))</f>
        <v>0</v>
      </c>
      <c r="AH885" s="21" t="n">
        <f aca="false">IF(OR(AE885="",AE885=0),0,AE885*IF(X885="",0,IF(X885&gt;1,X885/100,X885)))</f>
        <v>0</v>
      </c>
      <c r="AI885" s="21" t="n">
        <f aca="false">IF(OR(AE885="",AE885=0),0,AE885*IF(AA885="",0,IF(AA885&gt;1,AA885/100,AA885)))</f>
        <v>0</v>
      </c>
      <c r="AJ885" s="21" t="n">
        <f aca="false">AG885+AH885+AI885</f>
        <v>0</v>
      </c>
      <c r="AK885" s="21" t="n">
        <f aca="false">IF(OR(AE885="",AE885=0),0,AE885-AJ885)</f>
        <v>0</v>
      </c>
      <c r="AL885" s="19" t="str">
        <f aca="false">IF(AD885="","",AD885-AK885)</f>
        <v/>
      </c>
      <c r="AM885" s="26" t="str">
        <f aca="false">IF(C885="","","Waiting for payment")</f>
        <v/>
      </c>
      <c r="AN885" s="27"/>
      <c r="AO885" s="27"/>
      <c r="AP885" s="35" t="str">
        <f aca="false">IF(OR(C885="",I885="",K885=""),"",IF(K885="Monthly",EDATE(C885,ROUND(I885*SETTINGS!$I$8,0)),WORKDAY(C885,ROUND(I885*SETTINGS!$I$8,0))))</f>
        <v/>
      </c>
      <c r="AQ885" s="26" t="str">
        <f aca="true">IF(C885="","",IF(AND(AP885&lt;&gt;"",TODAY()&gt;=AP885),"Refi Ready",IF(TODAY()-C885&gt;=SETTINGS!$I$11,"Prospecting","Performing")))</f>
        <v/>
      </c>
      <c r="AR885" s="35" t="str">
        <f aca="false">IF(OR(C885="",I885="",K885=""),"",IF(K885="Monthly",EDATE(C885,I885),WORKDAY(C885,I885)))</f>
        <v/>
      </c>
      <c r="AS885" s="28"/>
      <c r="AT885" s="36" t="str">
        <f aca="true">IF(C885="","",IF(AM885="Clawed Back","CLAWED",IF(TODAY()&lt;=C885+SETTINGS!$I$2,"⚠ AT RISK","SAFE")))</f>
        <v/>
      </c>
      <c r="AU885" s="28"/>
      <c r="AW885" s="24" t="n">
        <f aca="false">AW884+IF(AND(C885&lt;&gt;"",AO885&lt;&gt;"",OR('REP COMMISSION'!$B$3="",T885='REP COMMISSION'!$B$3,W885='REP COMMISSION'!$B$3,Z885='REP COMMISSION'!$B$3)),1,0)</f>
        <v>0</v>
      </c>
      <c r="AX885" s="24" t="n">
        <f aca="false">AX884+IF(AND(C885&lt;&gt;"",OR(F885="LOC - INITIAL",F885="CONSOLIDATION - UPFRONT COMM",F885="REVERSE - TOTAL FUNDING")),1,0)</f>
        <v>0</v>
      </c>
    </row>
    <row r="886" customFormat="false" ht="15" hidden="false" customHeight="false" outlineLevel="0" collapsed="false">
      <c r="A886" s="8" t="str">
        <f aca="false">IF(C886&lt;&gt;"","F27-"&amp;COUNT($C$4:C886),"")</f>
        <v/>
      </c>
      <c r="B886" s="9" t="str">
        <f aca="false">IF(OR(F886="LOC - INITIAL",F886="CONSOLIDATION - UPFRONT COMM",F886="REVERSE - TOTAL FUNDING"),A886,"")</f>
        <v/>
      </c>
      <c r="C886" s="10"/>
      <c r="D886" s="11"/>
      <c r="E886" s="11"/>
      <c r="F886" s="11"/>
      <c r="G886" s="12"/>
      <c r="H886" s="13"/>
      <c r="I886" s="11"/>
      <c r="J886" s="14" t="str">
        <f aca="false">IF(AND(G886&lt;&gt;"",H886&lt;&gt;""),G886*H886,"")</f>
        <v/>
      </c>
      <c r="K886" s="11"/>
      <c r="L886" s="15"/>
      <c r="M886" s="15"/>
      <c r="N886" s="14" t="n">
        <f aca="false">IF(OR(G886="",M886=""),0,IF(M886&gt;100,M886,G886*IF(M886&gt;1,M886/100,M886)))</f>
        <v>0</v>
      </c>
      <c r="O886" s="14" t="str">
        <f aca="false">IF(G886="","",G886*IF(L886="",0,IF(L886&gt;1,L886/100,L886))+N886)</f>
        <v/>
      </c>
      <c r="P886" s="11"/>
      <c r="Q886" s="16" t="str">
        <f aca="false">IF(P886="","",IFERROR(VLOOKUP(P886,PARTNERS!$A$2:$B$30,2,0),""))</f>
        <v/>
      </c>
      <c r="R886" s="17" t="str">
        <f aca="false">IF(O886="","",IF(OR(P886="",Q886=""),0,(O886-N886)*IF(Q886&gt;1,Q886/100,Q886)))</f>
        <v/>
      </c>
      <c r="S886" s="14" t="str">
        <f aca="false">IF(O886="","",O886-R886)</f>
        <v/>
      </c>
      <c r="T886" s="11"/>
      <c r="U886" s="18" t="str">
        <f aca="false">IF(T886="","",IFERROR(VLOOKUP(T886,REPS!$A$2:$D$40,2,0),""))</f>
        <v/>
      </c>
      <c r="V886" s="14" t="str">
        <f aca="false">IF(O886="","",IF(U886="",0,O886*IF(U886&gt;1,U886/100,U886)))</f>
        <v/>
      </c>
      <c r="W886" s="11"/>
      <c r="X886" s="18" t="str">
        <f aca="false">IF(W886="","",IFERROR(VLOOKUP(W886,REPS!$A$2:$D$40,3,0),""))</f>
        <v/>
      </c>
      <c r="Y886" s="14" t="str">
        <f aca="false">IF(O886="","",IF(X886="",0,O886*IF(X886&gt;1,X886/100,X886)))</f>
        <v/>
      </c>
      <c r="Z886" s="11"/>
      <c r="AA886" s="18" t="str">
        <f aca="false">IF(Z886="","",IFERROR(VLOOKUP(Z886,REPS!$A$2:$D$40,4,0),""))</f>
        <v/>
      </c>
      <c r="AB886" s="14" t="str">
        <f aca="false">IF(O886="","",IF(AA886="",0,O886*IF(AA886&gt;1,AA886/100,AA886)))</f>
        <v/>
      </c>
      <c r="AC886" s="14" t="str">
        <f aca="false">IF(O886="","",V886+Y886+AB886)</f>
        <v/>
      </c>
      <c r="AD886" s="19" t="str">
        <f aca="false">IF(O886="","",O886-R886-AC886)</f>
        <v/>
      </c>
      <c r="AE886" s="20"/>
      <c r="AF886" s="10"/>
      <c r="AG886" s="21" t="n">
        <f aca="false">IF(OR(AE886="",AE886=0),0,AE886*IF(U886="",0,IF(U886&gt;1,U886/100,U886)))</f>
        <v>0</v>
      </c>
      <c r="AH886" s="21" t="n">
        <f aca="false">IF(OR(AE886="",AE886=0),0,AE886*IF(X886="",0,IF(X886&gt;1,X886/100,X886)))</f>
        <v>0</v>
      </c>
      <c r="AI886" s="21" t="n">
        <f aca="false">IF(OR(AE886="",AE886=0),0,AE886*IF(AA886="",0,IF(AA886&gt;1,AA886/100,AA886)))</f>
        <v>0</v>
      </c>
      <c r="AJ886" s="21" t="n">
        <f aca="false">AG886+AH886+AI886</f>
        <v>0</v>
      </c>
      <c r="AK886" s="21" t="n">
        <f aca="false">IF(OR(AE886="",AE886=0),0,AE886-AJ886)</f>
        <v>0</v>
      </c>
      <c r="AL886" s="19" t="str">
        <f aca="false">IF(AD886="","",AD886-AK886)</f>
        <v/>
      </c>
      <c r="AM886" s="9" t="str">
        <f aca="false">IF(C886="","","Waiting for payment")</f>
        <v/>
      </c>
      <c r="AN886" s="10"/>
      <c r="AO886" s="10"/>
      <c r="AP886" s="22" t="str">
        <f aca="false">IF(OR(C886="",I886="",K886=""),"",IF(K886="Monthly",EDATE(C886,ROUND(I886*SETTINGS!$I$8,0)),WORKDAY(C886,ROUND(I886*SETTINGS!$I$8,0))))</f>
        <v/>
      </c>
      <c r="AQ886" s="9" t="str">
        <f aca="true">IF(C886="","",IF(AND(AP886&lt;&gt;"",TODAY()&gt;=AP886),"Refi Ready",IF(TODAY()-C886&gt;=SETTINGS!$I$11,"Prospecting","Performing")))</f>
        <v/>
      </c>
      <c r="AR886" s="22" t="str">
        <f aca="false">IF(OR(C886="",I886="",K886=""),"",IF(K886="Monthly",EDATE(C886,I886),WORKDAY(C886,I886)))</f>
        <v/>
      </c>
      <c r="AS886" s="11"/>
      <c r="AT886" s="23" t="str">
        <f aca="true">IF(C886="","",IF(AM886="Clawed Back","CLAWED",IF(TODAY()&lt;=C886+SETTINGS!$I$2,"⚠ AT RISK","SAFE")))</f>
        <v/>
      </c>
      <c r="AU886" s="11"/>
      <c r="AW886" s="24" t="n">
        <f aca="false">AW885+IF(AND(C886&lt;&gt;"",AO886&lt;&gt;"",OR('REP COMMISSION'!$B$3="",T886='REP COMMISSION'!$B$3,W886='REP COMMISSION'!$B$3,Z886='REP COMMISSION'!$B$3)),1,0)</f>
        <v>0</v>
      </c>
      <c r="AX886" s="24" t="n">
        <f aca="false">AX885+IF(AND(C886&lt;&gt;"",OR(F886="LOC - INITIAL",F886="CONSOLIDATION - UPFRONT COMM",F886="REVERSE - TOTAL FUNDING")),1,0)</f>
        <v>0</v>
      </c>
    </row>
    <row r="887" customFormat="false" ht="15" hidden="false" customHeight="false" outlineLevel="0" collapsed="false">
      <c r="A887" s="25" t="str">
        <f aca="false">IF(C887&lt;&gt;"","F27-"&amp;COUNT($C$4:C887),"")</f>
        <v/>
      </c>
      <c r="B887" s="26" t="str">
        <f aca="false">IF(OR(F887="LOC - INITIAL",F887="CONSOLIDATION - UPFRONT COMM",F887="REVERSE - TOTAL FUNDING"),A887,"")</f>
        <v/>
      </c>
      <c r="C887" s="27"/>
      <c r="D887" s="28"/>
      <c r="E887" s="28"/>
      <c r="F887" s="28"/>
      <c r="G887" s="29"/>
      <c r="H887" s="30"/>
      <c r="I887" s="28"/>
      <c r="J887" s="31" t="str">
        <f aca="false">IF(AND(G887&lt;&gt;"",H887&lt;&gt;""),G887*H887,"")</f>
        <v/>
      </c>
      <c r="K887" s="28"/>
      <c r="L887" s="32"/>
      <c r="M887" s="32"/>
      <c r="N887" s="31" t="n">
        <f aca="false">IF(OR(G887="",M887=""),0,IF(M887&gt;100,M887,G887*IF(M887&gt;1,M887/100,M887)))</f>
        <v>0</v>
      </c>
      <c r="O887" s="31" t="str">
        <f aca="false">IF(G887="","",G887*IF(L887="",0,IF(L887&gt;1,L887/100,L887))+N887)</f>
        <v/>
      </c>
      <c r="P887" s="28"/>
      <c r="Q887" s="33" t="str">
        <f aca="false">IF(P887="","",IFERROR(VLOOKUP(P887,PARTNERS!$A$2:$B$30,2,0),""))</f>
        <v/>
      </c>
      <c r="R887" s="17" t="str">
        <f aca="false">IF(O887="","",IF(OR(P887="",Q887=""),0,(O887-N887)*IF(Q887&gt;1,Q887/100,Q887)))</f>
        <v/>
      </c>
      <c r="S887" s="31" t="str">
        <f aca="false">IF(O887="","",O887-R887)</f>
        <v/>
      </c>
      <c r="T887" s="28"/>
      <c r="U887" s="34" t="str">
        <f aca="false">IF(T887="","",IFERROR(VLOOKUP(T887,REPS!$A$2:$D$40,2,0),""))</f>
        <v/>
      </c>
      <c r="V887" s="31" t="str">
        <f aca="false">IF(O887="","",IF(U887="",0,O887*IF(U887&gt;1,U887/100,U887)))</f>
        <v/>
      </c>
      <c r="W887" s="28"/>
      <c r="X887" s="34" t="str">
        <f aca="false">IF(W887="","",IFERROR(VLOOKUP(W887,REPS!$A$2:$D$40,3,0),""))</f>
        <v/>
      </c>
      <c r="Y887" s="31" t="str">
        <f aca="false">IF(O887="","",IF(X887="",0,O887*IF(X887&gt;1,X887/100,X887)))</f>
        <v/>
      </c>
      <c r="Z887" s="28"/>
      <c r="AA887" s="34" t="str">
        <f aca="false">IF(Z887="","",IFERROR(VLOOKUP(Z887,REPS!$A$2:$D$40,4,0),""))</f>
        <v/>
      </c>
      <c r="AB887" s="31" t="str">
        <f aca="false">IF(O887="","",IF(AA887="",0,O887*IF(AA887&gt;1,AA887/100,AA887)))</f>
        <v/>
      </c>
      <c r="AC887" s="31" t="str">
        <f aca="false">IF(O887="","",V887+Y887+AB887)</f>
        <v/>
      </c>
      <c r="AD887" s="19" t="str">
        <f aca="false">IF(O887="","",O887-R887-AC887)</f>
        <v/>
      </c>
      <c r="AE887" s="20"/>
      <c r="AF887" s="27"/>
      <c r="AG887" s="21" t="n">
        <f aca="false">IF(OR(AE887="",AE887=0),0,AE887*IF(U887="",0,IF(U887&gt;1,U887/100,U887)))</f>
        <v>0</v>
      </c>
      <c r="AH887" s="21" t="n">
        <f aca="false">IF(OR(AE887="",AE887=0),0,AE887*IF(X887="",0,IF(X887&gt;1,X887/100,X887)))</f>
        <v>0</v>
      </c>
      <c r="AI887" s="21" t="n">
        <f aca="false">IF(OR(AE887="",AE887=0),0,AE887*IF(AA887="",0,IF(AA887&gt;1,AA887/100,AA887)))</f>
        <v>0</v>
      </c>
      <c r="AJ887" s="21" t="n">
        <f aca="false">AG887+AH887+AI887</f>
        <v>0</v>
      </c>
      <c r="AK887" s="21" t="n">
        <f aca="false">IF(OR(AE887="",AE887=0),0,AE887-AJ887)</f>
        <v>0</v>
      </c>
      <c r="AL887" s="19" t="str">
        <f aca="false">IF(AD887="","",AD887-AK887)</f>
        <v/>
      </c>
      <c r="AM887" s="26" t="str">
        <f aca="false">IF(C887="","","Waiting for payment")</f>
        <v/>
      </c>
      <c r="AN887" s="27"/>
      <c r="AO887" s="27"/>
      <c r="AP887" s="35" t="str">
        <f aca="false">IF(OR(C887="",I887="",K887=""),"",IF(K887="Monthly",EDATE(C887,ROUND(I887*SETTINGS!$I$8,0)),WORKDAY(C887,ROUND(I887*SETTINGS!$I$8,0))))</f>
        <v/>
      </c>
      <c r="AQ887" s="26" t="str">
        <f aca="true">IF(C887="","",IF(AND(AP887&lt;&gt;"",TODAY()&gt;=AP887),"Refi Ready",IF(TODAY()-C887&gt;=SETTINGS!$I$11,"Prospecting","Performing")))</f>
        <v/>
      </c>
      <c r="AR887" s="35" t="str">
        <f aca="false">IF(OR(C887="",I887="",K887=""),"",IF(K887="Monthly",EDATE(C887,I887),WORKDAY(C887,I887)))</f>
        <v/>
      </c>
      <c r="AS887" s="28"/>
      <c r="AT887" s="36" t="str">
        <f aca="true">IF(C887="","",IF(AM887="Clawed Back","CLAWED",IF(TODAY()&lt;=C887+SETTINGS!$I$2,"⚠ AT RISK","SAFE")))</f>
        <v/>
      </c>
      <c r="AU887" s="28"/>
      <c r="AW887" s="24" t="n">
        <f aca="false">AW886+IF(AND(C887&lt;&gt;"",AO887&lt;&gt;"",OR('REP COMMISSION'!$B$3="",T887='REP COMMISSION'!$B$3,W887='REP COMMISSION'!$B$3,Z887='REP COMMISSION'!$B$3)),1,0)</f>
        <v>0</v>
      </c>
      <c r="AX887" s="24" t="n">
        <f aca="false">AX886+IF(AND(C887&lt;&gt;"",OR(F887="LOC - INITIAL",F887="CONSOLIDATION - UPFRONT COMM",F887="REVERSE - TOTAL FUNDING")),1,0)</f>
        <v>0</v>
      </c>
    </row>
    <row r="888" customFormat="false" ht="15" hidden="false" customHeight="false" outlineLevel="0" collapsed="false">
      <c r="A888" s="8" t="str">
        <f aca="false">IF(C888&lt;&gt;"","F27-"&amp;COUNT($C$4:C888),"")</f>
        <v/>
      </c>
      <c r="B888" s="9" t="str">
        <f aca="false">IF(OR(F888="LOC - INITIAL",F888="CONSOLIDATION - UPFRONT COMM",F888="REVERSE - TOTAL FUNDING"),A888,"")</f>
        <v/>
      </c>
      <c r="C888" s="10"/>
      <c r="D888" s="11"/>
      <c r="E888" s="11"/>
      <c r="F888" s="11"/>
      <c r="G888" s="12"/>
      <c r="H888" s="13"/>
      <c r="I888" s="11"/>
      <c r="J888" s="14" t="str">
        <f aca="false">IF(AND(G888&lt;&gt;"",H888&lt;&gt;""),G888*H888,"")</f>
        <v/>
      </c>
      <c r="K888" s="11"/>
      <c r="L888" s="15"/>
      <c r="M888" s="15"/>
      <c r="N888" s="14" t="n">
        <f aca="false">IF(OR(G888="",M888=""),0,IF(M888&gt;100,M888,G888*IF(M888&gt;1,M888/100,M888)))</f>
        <v>0</v>
      </c>
      <c r="O888" s="14" t="str">
        <f aca="false">IF(G888="","",G888*IF(L888="",0,IF(L888&gt;1,L888/100,L888))+N888)</f>
        <v/>
      </c>
      <c r="P888" s="11"/>
      <c r="Q888" s="16" t="str">
        <f aca="false">IF(P888="","",IFERROR(VLOOKUP(P888,PARTNERS!$A$2:$B$30,2,0),""))</f>
        <v/>
      </c>
      <c r="R888" s="17" t="str">
        <f aca="false">IF(O888="","",IF(OR(P888="",Q888=""),0,(O888-N888)*IF(Q888&gt;1,Q888/100,Q888)))</f>
        <v/>
      </c>
      <c r="S888" s="14" t="str">
        <f aca="false">IF(O888="","",O888-R888)</f>
        <v/>
      </c>
      <c r="T888" s="11"/>
      <c r="U888" s="18" t="str">
        <f aca="false">IF(T888="","",IFERROR(VLOOKUP(T888,REPS!$A$2:$D$40,2,0),""))</f>
        <v/>
      </c>
      <c r="V888" s="14" t="str">
        <f aca="false">IF(O888="","",IF(U888="",0,O888*IF(U888&gt;1,U888/100,U888)))</f>
        <v/>
      </c>
      <c r="W888" s="11"/>
      <c r="X888" s="18" t="str">
        <f aca="false">IF(W888="","",IFERROR(VLOOKUP(W888,REPS!$A$2:$D$40,3,0),""))</f>
        <v/>
      </c>
      <c r="Y888" s="14" t="str">
        <f aca="false">IF(O888="","",IF(X888="",0,O888*IF(X888&gt;1,X888/100,X888)))</f>
        <v/>
      </c>
      <c r="Z888" s="11"/>
      <c r="AA888" s="18" t="str">
        <f aca="false">IF(Z888="","",IFERROR(VLOOKUP(Z888,REPS!$A$2:$D$40,4,0),""))</f>
        <v/>
      </c>
      <c r="AB888" s="14" t="str">
        <f aca="false">IF(O888="","",IF(AA888="",0,O888*IF(AA888&gt;1,AA888/100,AA888)))</f>
        <v/>
      </c>
      <c r="AC888" s="14" t="str">
        <f aca="false">IF(O888="","",V888+Y888+AB888)</f>
        <v/>
      </c>
      <c r="AD888" s="19" t="str">
        <f aca="false">IF(O888="","",O888-R888-AC888)</f>
        <v/>
      </c>
      <c r="AE888" s="20"/>
      <c r="AF888" s="10"/>
      <c r="AG888" s="21" t="n">
        <f aca="false">IF(OR(AE888="",AE888=0),0,AE888*IF(U888="",0,IF(U888&gt;1,U888/100,U888)))</f>
        <v>0</v>
      </c>
      <c r="AH888" s="21" t="n">
        <f aca="false">IF(OR(AE888="",AE888=0),0,AE888*IF(X888="",0,IF(X888&gt;1,X888/100,X888)))</f>
        <v>0</v>
      </c>
      <c r="AI888" s="21" t="n">
        <f aca="false">IF(OR(AE888="",AE888=0),0,AE888*IF(AA888="",0,IF(AA888&gt;1,AA888/100,AA888)))</f>
        <v>0</v>
      </c>
      <c r="AJ888" s="21" t="n">
        <f aca="false">AG888+AH888+AI888</f>
        <v>0</v>
      </c>
      <c r="AK888" s="21" t="n">
        <f aca="false">IF(OR(AE888="",AE888=0),0,AE888-AJ888)</f>
        <v>0</v>
      </c>
      <c r="AL888" s="19" t="str">
        <f aca="false">IF(AD888="","",AD888-AK888)</f>
        <v/>
      </c>
      <c r="AM888" s="9" t="str">
        <f aca="false">IF(C888="","","Waiting for payment")</f>
        <v/>
      </c>
      <c r="AN888" s="10"/>
      <c r="AO888" s="10"/>
      <c r="AP888" s="22" t="str">
        <f aca="false">IF(OR(C888="",I888="",K888=""),"",IF(K888="Monthly",EDATE(C888,ROUND(I888*SETTINGS!$I$8,0)),WORKDAY(C888,ROUND(I888*SETTINGS!$I$8,0))))</f>
        <v/>
      </c>
      <c r="AQ888" s="9" t="str">
        <f aca="true">IF(C888="","",IF(AND(AP888&lt;&gt;"",TODAY()&gt;=AP888),"Refi Ready",IF(TODAY()-C888&gt;=SETTINGS!$I$11,"Prospecting","Performing")))</f>
        <v/>
      </c>
      <c r="AR888" s="22" t="str">
        <f aca="false">IF(OR(C888="",I888="",K888=""),"",IF(K888="Monthly",EDATE(C888,I888),WORKDAY(C888,I888)))</f>
        <v/>
      </c>
      <c r="AS888" s="11"/>
      <c r="AT888" s="23" t="str">
        <f aca="true">IF(C888="","",IF(AM888="Clawed Back","CLAWED",IF(TODAY()&lt;=C888+SETTINGS!$I$2,"⚠ AT RISK","SAFE")))</f>
        <v/>
      </c>
      <c r="AU888" s="11"/>
      <c r="AW888" s="24" t="n">
        <f aca="false">AW887+IF(AND(C888&lt;&gt;"",AO888&lt;&gt;"",OR('REP COMMISSION'!$B$3="",T888='REP COMMISSION'!$B$3,W888='REP COMMISSION'!$B$3,Z888='REP COMMISSION'!$B$3)),1,0)</f>
        <v>0</v>
      </c>
      <c r="AX888" s="24" t="n">
        <f aca="false">AX887+IF(AND(C888&lt;&gt;"",OR(F888="LOC - INITIAL",F888="CONSOLIDATION - UPFRONT COMM",F888="REVERSE - TOTAL FUNDING")),1,0)</f>
        <v>0</v>
      </c>
    </row>
    <row r="889" customFormat="false" ht="15" hidden="false" customHeight="false" outlineLevel="0" collapsed="false">
      <c r="A889" s="25" t="str">
        <f aca="false">IF(C889&lt;&gt;"","F27-"&amp;COUNT($C$4:C889),"")</f>
        <v/>
      </c>
      <c r="B889" s="26" t="str">
        <f aca="false">IF(OR(F889="LOC - INITIAL",F889="CONSOLIDATION - UPFRONT COMM",F889="REVERSE - TOTAL FUNDING"),A889,"")</f>
        <v/>
      </c>
      <c r="C889" s="27"/>
      <c r="D889" s="28"/>
      <c r="E889" s="28"/>
      <c r="F889" s="28"/>
      <c r="G889" s="29"/>
      <c r="H889" s="30"/>
      <c r="I889" s="28"/>
      <c r="J889" s="31" t="str">
        <f aca="false">IF(AND(G889&lt;&gt;"",H889&lt;&gt;""),G889*H889,"")</f>
        <v/>
      </c>
      <c r="K889" s="28"/>
      <c r="L889" s="32"/>
      <c r="M889" s="32"/>
      <c r="N889" s="31" t="n">
        <f aca="false">IF(OR(G889="",M889=""),0,IF(M889&gt;100,M889,G889*IF(M889&gt;1,M889/100,M889)))</f>
        <v>0</v>
      </c>
      <c r="O889" s="31" t="str">
        <f aca="false">IF(G889="","",G889*IF(L889="",0,IF(L889&gt;1,L889/100,L889))+N889)</f>
        <v/>
      </c>
      <c r="P889" s="28"/>
      <c r="Q889" s="33" t="str">
        <f aca="false">IF(P889="","",IFERROR(VLOOKUP(P889,PARTNERS!$A$2:$B$30,2,0),""))</f>
        <v/>
      </c>
      <c r="R889" s="17" t="str">
        <f aca="false">IF(O889="","",IF(OR(P889="",Q889=""),0,(O889-N889)*IF(Q889&gt;1,Q889/100,Q889)))</f>
        <v/>
      </c>
      <c r="S889" s="31" t="str">
        <f aca="false">IF(O889="","",O889-R889)</f>
        <v/>
      </c>
      <c r="T889" s="28"/>
      <c r="U889" s="34" t="str">
        <f aca="false">IF(T889="","",IFERROR(VLOOKUP(T889,REPS!$A$2:$D$40,2,0),""))</f>
        <v/>
      </c>
      <c r="V889" s="31" t="str">
        <f aca="false">IF(O889="","",IF(U889="",0,O889*IF(U889&gt;1,U889/100,U889)))</f>
        <v/>
      </c>
      <c r="W889" s="28"/>
      <c r="X889" s="34" t="str">
        <f aca="false">IF(W889="","",IFERROR(VLOOKUP(W889,REPS!$A$2:$D$40,3,0),""))</f>
        <v/>
      </c>
      <c r="Y889" s="31" t="str">
        <f aca="false">IF(O889="","",IF(X889="",0,O889*IF(X889&gt;1,X889/100,X889)))</f>
        <v/>
      </c>
      <c r="Z889" s="28"/>
      <c r="AA889" s="34" t="str">
        <f aca="false">IF(Z889="","",IFERROR(VLOOKUP(Z889,REPS!$A$2:$D$40,4,0),""))</f>
        <v/>
      </c>
      <c r="AB889" s="31" t="str">
        <f aca="false">IF(O889="","",IF(AA889="",0,O889*IF(AA889&gt;1,AA889/100,AA889)))</f>
        <v/>
      </c>
      <c r="AC889" s="31" t="str">
        <f aca="false">IF(O889="","",V889+Y889+AB889)</f>
        <v/>
      </c>
      <c r="AD889" s="19" t="str">
        <f aca="false">IF(O889="","",O889-R889-AC889)</f>
        <v/>
      </c>
      <c r="AE889" s="20"/>
      <c r="AF889" s="27"/>
      <c r="AG889" s="21" t="n">
        <f aca="false">IF(OR(AE889="",AE889=0),0,AE889*IF(U889="",0,IF(U889&gt;1,U889/100,U889)))</f>
        <v>0</v>
      </c>
      <c r="AH889" s="21" t="n">
        <f aca="false">IF(OR(AE889="",AE889=0),0,AE889*IF(X889="",0,IF(X889&gt;1,X889/100,X889)))</f>
        <v>0</v>
      </c>
      <c r="AI889" s="21" t="n">
        <f aca="false">IF(OR(AE889="",AE889=0),0,AE889*IF(AA889="",0,IF(AA889&gt;1,AA889/100,AA889)))</f>
        <v>0</v>
      </c>
      <c r="AJ889" s="21" t="n">
        <f aca="false">AG889+AH889+AI889</f>
        <v>0</v>
      </c>
      <c r="AK889" s="21" t="n">
        <f aca="false">IF(OR(AE889="",AE889=0),0,AE889-AJ889)</f>
        <v>0</v>
      </c>
      <c r="AL889" s="19" t="str">
        <f aca="false">IF(AD889="","",AD889-AK889)</f>
        <v/>
      </c>
      <c r="AM889" s="26" t="str">
        <f aca="false">IF(C889="","","Waiting for payment")</f>
        <v/>
      </c>
      <c r="AN889" s="27"/>
      <c r="AO889" s="27"/>
      <c r="AP889" s="35" t="str">
        <f aca="false">IF(OR(C889="",I889="",K889=""),"",IF(K889="Monthly",EDATE(C889,ROUND(I889*SETTINGS!$I$8,0)),WORKDAY(C889,ROUND(I889*SETTINGS!$I$8,0))))</f>
        <v/>
      </c>
      <c r="AQ889" s="26" t="str">
        <f aca="true">IF(C889="","",IF(AND(AP889&lt;&gt;"",TODAY()&gt;=AP889),"Refi Ready",IF(TODAY()-C889&gt;=SETTINGS!$I$11,"Prospecting","Performing")))</f>
        <v/>
      </c>
      <c r="AR889" s="35" t="str">
        <f aca="false">IF(OR(C889="",I889="",K889=""),"",IF(K889="Monthly",EDATE(C889,I889),WORKDAY(C889,I889)))</f>
        <v/>
      </c>
      <c r="AS889" s="28"/>
      <c r="AT889" s="36" t="str">
        <f aca="true">IF(C889="","",IF(AM889="Clawed Back","CLAWED",IF(TODAY()&lt;=C889+SETTINGS!$I$2,"⚠ AT RISK","SAFE")))</f>
        <v/>
      </c>
      <c r="AU889" s="28"/>
      <c r="AW889" s="24" t="n">
        <f aca="false">AW888+IF(AND(C889&lt;&gt;"",AO889&lt;&gt;"",OR('REP COMMISSION'!$B$3="",T889='REP COMMISSION'!$B$3,W889='REP COMMISSION'!$B$3,Z889='REP COMMISSION'!$B$3)),1,0)</f>
        <v>0</v>
      </c>
      <c r="AX889" s="24" t="n">
        <f aca="false">AX888+IF(AND(C889&lt;&gt;"",OR(F889="LOC - INITIAL",F889="CONSOLIDATION - UPFRONT COMM",F889="REVERSE - TOTAL FUNDING")),1,0)</f>
        <v>0</v>
      </c>
    </row>
    <row r="890" customFormat="false" ht="15" hidden="false" customHeight="false" outlineLevel="0" collapsed="false">
      <c r="A890" s="8" t="str">
        <f aca="false">IF(C890&lt;&gt;"","F27-"&amp;COUNT($C$4:C890),"")</f>
        <v/>
      </c>
      <c r="B890" s="9" t="str">
        <f aca="false">IF(OR(F890="LOC - INITIAL",F890="CONSOLIDATION - UPFRONT COMM",F890="REVERSE - TOTAL FUNDING"),A890,"")</f>
        <v/>
      </c>
      <c r="C890" s="10"/>
      <c r="D890" s="11"/>
      <c r="E890" s="11"/>
      <c r="F890" s="11"/>
      <c r="G890" s="12"/>
      <c r="H890" s="13"/>
      <c r="I890" s="11"/>
      <c r="J890" s="14" t="str">
        <f aca="false">IF(AND(G890&lt;&gt;"",H890&lt;&gt;""),G890*H890,"")</f>
        <v/>
      </c>
      <c r="K890" s="11"/>
      <c r="L890" s="15"/>
      <c r="M890" s="15"/>
      <c r="N890" s="14" t="n">
        <f aca="false">IF(OR(G890="",M890=""),0,IF(M890&gt;100,M890,G890*IF(M890&gt;1,M890/100,M890)))</f>
        <v>0</v>
      </c>
      <c r="O890" s="14" t="str">
        <f aca="false">IF(G890="","",G890*IF(L890="",0,IF(L890&gt;1,L890/100,L890))+N890)</f>
        <v/>
      </c>
      <c r="P890" s="11"/>
      <c r="Q890" s="16" t="str">
        <f aca="false">IF(P890="","",IFERROR(VLOOKUP(P890,PARTNERS!$A$2:$B$30,2,0),""))</f>
        <v/>
      </c>
      <c r="R890" s="17" t="str">
        <f aca="false">IF(O890="","",IF(OR(P890="",Q890=""),0,(O890-N890)*IF(Q890&gt;1,Q890/100,Q890)))</f>
        <v/>
      </c>
      <c r="S890" s="14" t="str">
        <f aca="false">IF(O890="","",O890-R890)</f>
        <v/>
      </c>
      <c r="T890" s="11"/>
      <c r="U890" s="18" t="str">
        <f aca="false">IF(T890="","",IFERROR(VLOOKUP(T890,REPS!$A$2:$D$40,2,0),""))</f>
        <v/>
      </c>
      <c r="V890" s="14" t="str">
        <f aca="false">IF(O890="","",IF(U890="",0,O890*IF(U890&gt;1,U890/100,U890)))</f>
        <v/>
      </c>
      <c r="W890" s="11"/>
      <c r="X890" s="18" t="str">
        <f aca="false">IF(W890="","",IFERROR(VLOOKUP(W890,REPS!$A$2:$D$40,3,0),""))</f>
        <v/>
      </c>
      <c r="Y890" s="14" t="str">
        <f aca="false">IF(O890="","",IF(X890="",0,O890*IF(X890&gt;1,X890/100,X890)))</f>
        <v/>
      </c>
      <c r="Z890" s="11"/>
      <c r="AA890" s="18" t="str">
        <f aca="false">IF(Z890="","",IFERROR(VLOOKUP(Z890,REPS!$A$2:$D$40,4,0),""))</f>
        <v/>
      </c>
      <c r="AB890" s="14" t="str">
        <f aca="false">IF(O890="","",IF(AA890="",0,O890*IF(AA890&gt;1,AA890/100,AA890)))</f>
        <v/>
      </c>
      <c r="AC890" s="14" t="str">
        <f aca="false">IF(O890="","",V890+Y890+AB890)</f>
        <v/>
      </c>
      <c r="AD890" s="19" t="str">
        <f aca="false">IF(O890="","",O890-R890-AC890)</f>
        <v/>
      </c>
      <c r="AE890" s="20"/>
      <c r="AF890" s="10"/>
      <c r="AG890" s="21" t="n">
        <f aca="false">IF(OR(AE890="",AE890=0),0,AE890*IF(U890="",0,IF(U890&gt;1,U890/100,U890)))</f>
        <v>0</v>
      </c>
      <c r="AH890" s="21" t="n">
        <f aca="false">IF(OR(AE890="",AE890=0),0,AE890*IF(X890="",0,IF(X890&gt;1,X890/100,X890)))</f>
        <v>0</v>
      </c>
      <c r="AI890" s="21" t="n">
        <f aca="false">IF(OR(AE890="",AE890=0),0,AE890*IF(AA890="",0,IF(AA890&gt;1,AA890/100,AA890)))</f>
        <v>0</v>
      </c>
      <c r="AJ890" s="21" t="n">
        <f aca="false">AG890+AH890+AI890</f>
        <v>0</v>
      </c>
      <c r="AK890" s="21" t="n">
        <f aca="false">IF(OR(AE890="",AE890=0),0,AE890-AJ890)</f>
        <v>0</v>
      </c>
      <c r="AL890" s="19" t="str">
        <f aca="false">IF(AD890="","",AD890-AK890)</f>
        <v/>
      </c>
      <c r="AM890" s="9" t="str">
        <f aca="false">IF(C890="","","Waiting for payment")</f>
        <v/>
      </c>
      <c r="AN890" s="10"/>
      <c r="AO890" s="10"/>
      <c r="AP890" s="22" t="str">
        <f aca="false">IF(OR(C890="",I890="",K890=""),"",IF(K890="Monthly",EDATE(C890,ROUND(I890*SETTINGS!$I$8,0)),WORKDAY(C890,ROUND(I890*SETTINGS!$I$8,0))))</f>
        <v/>
      </c>
      <c r="AQ890" s="9" t="str">
        <f aca="true">IF(C890="","",IF(AND(AP890&lt;&gt;"",TODAY()&gt;=AP890),"Refi Ready",IF(TODAY()-C890&gt;=SETTINGS!$I$11,"Prospecting","Performing")))</f>
        <v/>
      </c>
      <c r="AR890" s="22" t="str">
        <f aca="false">IF(OR(C890="",I890="",K890=""),"",IF(K890="Monthly",EDATE(C890,I890),WORKDAY(C890,I890)))</f>
        <v/>
      </c>
      <c r="AS890" s="11"/>
      <c r="AT890" s="23" t="str">
        <f aca="true">IF(C890="","",IF(AM890="Clawed Back","CLAWED",IF(TODAY()&lt;=C890+SETTINGS!$I$2,"⚠ AT RISK","SAFE")))</f>
        <v/>
      </c>
      <c r="AU890" s="11"/>
      <c r="AW890" s="24" t="n">
        <f aca="false">AW889+IF(AND(C890&lt;&gt;"",AO890&lt;&gt;"",OR('REP COMMISSION'!$B$3="",T890='REP COMMISSION'!$B$3,W890='REP COMMISSION'!$B$3,Z890='REP COMMISSION'!$B$3)),1,0)</f>
        <v>0</v>
      </c>
      <c r="AX890" s="24" t="n">
        <f aca="false">AX889+IF(AND(C890&lt;&gt;"",OR(F890="LOC - INITIAL",F890="CONSOLIDATION - UPFRONT COMM",F890="REVERSE - TOTAL FUNDING")),1,0)</f>
        <v>0</v>
      </c>
    </row>
    <row r="891" customFormat="false" ht="15" hidden="false" customHeight="false" outlineLevel="0" collapsed="false">
      <c r="A891" s="25" t="str">
        <f aca="false">IF(C891&lt;&gt;"","F27-"&amp;COUNT($C$4:C891),"")</f>
        <v/>
      </c>
      <c r="B891" s="26" t="str">
        <f aca="false">IF(OR(F891="LOC - INITIAL",F891="CONSOLIDATION - UPFRONT COMM",F891="REVERSE - TOTAL FUNDING"),A891,"")</f>
        <v/>
      </c>
      <c r="C891" s="27"/>
      <c r="D891" s="28"/>
      <c r="E891" s="28"/>
      <c r="F891" s="28"/>
      <c r="G891" s="29"/>
      <c r="H891" s="30"/>
      <c r="I891" s="28"/>
      <c r="J891" s="31" t="str">
        <f aca="false">IF(AND(G891&lt;&gt;"",H891&lt;&gt;""),G891*H891,"")</f>
        <v/>
      </c>
      <c r="K891" s="28"/>
      <c r="L891" s="32"/>
      <c r="M891" s="32"/>
      <c r="N891" s="31" t="n">
        <f aca="false">IF(OR(G891="",M891=""),0,IF(M891&gt;100,M891,G891*IF(M891&gt;1,M891/100,M891)))</f>
        <v>0</v>
      </c>
      <c r="O891" s="31" t="str">
        <f aca="false">IF(G891="","",G891*IF(L891="",0,IF(L891&gt;1,L891/100,L891))+N891)</f>
        <v/>
      </c>
      <c r="P891" s="28"/>
      <c r="Q891" s="33" t="str">
        <f aca="false">IF(P891="","",IFERROR(VLOOKUP(P891,PARTNERS!$A$2:$B$30,2,0),""))</f>
        <v/>
      </c>
      <c r="R891" s="17" t="str">
        <f aca="false">IF(O891="","",IF(OR(P891="",Q891=""),0,(O891-N891)*IF(Q891&gt;1,Q891/100,Q891)))</f>
        <v/>
      </c>
      <c r="S891" s="31" t="str">
        <f aca="false">IF(O891="","",O891-R891)</f>
        <v/>
      </c>
      <c r="T891" s="28"/>
      <c r="U891" s="34" t="str">
        <f aca="false">IF(T891="","",IFERROR(VLOOKUP(T891,REPS!$A$2:$D$40,2,0),""))</f>
        <v/>
      </c>
      <c r="V891" s="31" t="str">
        <f aca="false">IF(O891="","",IF(U891="",0,O891*IF(U891&gt;1,U891/100,U891)))</f>
        <v/>
      </c>
      <c r="W891" s="28"/>
      <c r="X891" s="34" t="str">
        <f aca="false">IF(W891="","",IFERROR(VLOOKUP(W891,REPS!$A$2:$D$40,3,0),""))</f>
        <v/>
      </c>
      <c r="Y891" s="31" t="str">
        <f aca="false">IF(O891="","",IF(X891="",0,O891*IF(X891&gt;1,X891/100,X891)))</f>
        <v/>
      </c>
      <c r="Z891" s="28"/>
      <c r="AA891" s="34" t="str">
        <f aca="false">IF(Z891="","",IFERROR(VLOOKUP(Z891,REPS!$A$2:$D$40,4,0),""))</f>
        <v/>
      </c>
      <c r="AB891" s="31" t="str">
        <f aca="false">IF(O891="","",IF(AA891="",0,O891*IF(AA891&gt;1,AA891/100,AA891)))</f>
        <v/>
      </c>
      <c r="AC891" s="31" t="str">
        <f aca="false">IF(O891="","",V891+Y891+AB891)</f>
        <v/>
      </c>
      <c r="AD891" s="19" t="str">
        <f aca="false">IF(O891="","",O891-R891-AC891)</f>
        <v/>
      </c>
      <c r="AE891" s="20"/>
      <c r="AF891" s="27"/>
      <c r="AG891" s="21" t="n">
        <f aca="false">IF(OR(AE891="",AE891=0),0,AE891*IF(U891="",0,IF(U891&gt;1,U891/100,U891)))</f>
        <v>0</v>
      </c>
      <c r="AH891" s="21" t="n">
        <f aca="false">IF(OR(AE891="",AE891=0),0,AE891*IF(X891="",0,IF(X891&gt;1,X891/100,X891)))</f>
        <v>0</v>
      </c>
      <c r="AI891" s="21" t="n">
        <f aca="false">IF(OR(AE891="",AE891=0),0,AE891*IF(AA891="",0,IF(AA891&gt;1,AA891/100,AA891)))</f>
        <v>0</v>
      </c>
      <c r="AJ891" s="21" t="n">
        <f aca="false">AG891+AH891+AI891</f>
        <v>0</v>
      </c>
      <c r="AK891" s="21" t="n">
        <f aca="false">IF(OR(AE891="",AE891=0),0,AE891-AJ891)</f>
        <v>0</v>
      </c>
      <c r="AL891" s="19" t="str">
        <f aca="false">IF(AD891="","",AD891-AK891)</f>
        <v/>
      </c>
      <c r="AM891" s="26" t="str">
        <f aca="false">IF(C891="","","Waiting for payment")</f>
        <v/>
      </c>
      <c r="AN891" s="27"/>
      <c r="AO891" s="27"/>
      <c r="AP891" s="35" t="str">
        <f aca="false">IF(OR(C891="",I891="",K891=""),"",IF(K891="Monthly",EDATE(C891,ROUND(I891*SETTINGS!$I$8,0)),WORKDAY(C891,ROUND(I891*SETTINGS!$I$8,0))))</f>
        <v/>
      </c>
      <c r="AQ891" s="26" t="str">
        <f aca="true">IF(C891="","",IF(AND(AP891&lt;&gt;"",TODAY()&gt;=AP891),"Refi Ready",IF(TODAY()-C891&gt;=SETTINGS!$I$11,"Prospecting","Performing")))</f>
        <v/>
      </c>
      <c r="AR891" s="35" t="str">
        <f aca="false">IF(OR(C891="",I891="",K891=""),"",IF(K891="Monthly",EDATE(C891,I891),WORKDAY(C891,I891)))</f>
        <v/>
      </c>
      <c r="AS891" s="28"/>
      <c r="AT891" s="36" t="str">
        <f aca="true">IF(C891="","",IF(AM891="Clawed Back","CLAWED",IF(TODAY()&lt;=C891+SETTINGS!$I$2,"⚠ AT RISK","SAFE")))</f>
        <v/>
      </c>
      <c r="AU891" s="28"/>
      <c r="AW891" s="24" t="n">
        <f aca="false">AW890+IF(AND(C891&lt;&gt;"",AO891&lt;&gt;"",OR('REP COMMISSION'!$B$3="",T891='REP COMMISSION'!$B$3,W891='REP COMMISSION'!$B$3,Z891='REP COMMISSION'!$B$3)),1,0)</f>
        <v>0</v>
      </c>
      <c r="AX891" s="24" t="n">
        <f aca="false">AX890+IF(AND(C891&lt;&gt;"",OR(F891="LOC - INITIAL",F891="CONSOLIDATION - UPFRONT COMM",F891="REVERSE - TOTAL FUNDING")),1,0)</f>
        <v>0</v>
      </c>
    </row>
    <row r="892" customFormat="false" ht="15" hidden="false" customHeight="false" outlineLevel="0" collapsed="false">
      <c r="A892" s="8" t="str">
        <f aca="false">IF(C892&lt;&gt;"","F27-"&amp;COUNT($C$4:C892),"")</f>
        <v/>
      </c>
      <c r="B892" s="9" t="str">
        <f aca="false">IF(OR(F892="LOC - INITIAL",F892="CONSOLIDATION - UPFRONT COMM",F892="REVERSE - TOTAL FUNDING"),A892,"")</f>
        <v/>
      </c>
      <c r="C892" s="10"/>
      <c r="D892" s="11"/>
      <c r="E892" s="11"/>
      <c r="F892" s="11"/>
      <c r="G892" s="12"/>
      <c r="H892" s="13"/>
      <c r="I892" s="11"/>
      <c r="J892" s="14" t="str">
        <f aca="false">IF(AND(G892&lt;&gt;"",H892&lt;&gt;""),G892*H892,"")</f>
        <v/>
      </c>
      <c r="K892" s="11"/>
      <c r="L892" s="15"/>
      <c r="M892" s="15"/>
      <c r="N892" s="14" t="n">
        <f aca="false">IF(OR(G892="",M892=""),0,IF(M892&gt;100,M892,G892*IF(M892&gt;1,M892/100,M892)))</f>
        <v>0</v>
      </c>
      <c r="O892" s="14" t="str">
        <f aca="false">IF(G892="","",G892*IF(L892="",0,IF(L892&gt;1,L892/100,L892))+N892)</f>
        <v/>
      </c>
      <c r="P892" s="11"/>
      <c r="Q892" s="16" t="str">
        <f aca="false">IF(P892="","",IFERROR(VLOOKUP(P892,PARTNERS!$A$2:$B$30,2,0),""))</f>
        <v/>
      </c>
      <c r="R892" s="17" t="str">
        <f aca="false">IF(O892="","",IF(OR(P892="",Q892=""),0,(O892-N892)*IF(Q892&gt;1,Q892/100,Q892)))</f>
        <v/>
      </c>
      <c r="S892" s="14" t="str">
        <f aca="false">IF(O892="","",O892-R892)</f>
        <v/>
      </c>
      <c r="T892" s="11"/>
      <c r="U892" s="18" t="str">
        <f aca="false">IF(T892="","",IFERROR(VLOOKUP(T892,REPS!$A$2:$D$40,2,0),""))</f>
        <v/>
      </c>
      <c r="V892" s="14" t="str">
        <f aca="false">IF(O892="","",IF(U892="",0,O892*IF(U892&gt;1,U892/100,U892)))</f>
        <v/>
      </c>
      <c r="W892" s="11"/>
      <c r="X892" s="18" t="str">
        <f aca="false">IF(W892="","",IFERROR(VLOOKUP(W892,REPS!$A$2:$D$40,3,0),""))</f>
        <v/>
      </c>
      <c r="Y892" s="14" t="str">
        <f aca="false">IF(O892="","",IF(X892="",0,O892*IF(X892&gt;1,X892/100,X892)))</f>
        <v/>
      </c>
      <c r="Z892" s="11"/>
      <c r="AA892" s="18" t="str">
        <f aca="false">IF(Z892="","",IFERROR(VLOOKUP(Z892,REPS!$A$2:$D$40,4,0),""))</f>
        <v/>
      </c>
      <c r="AB892" s="14" t="str">
        <f aca="false">IF(O892="","",IF(AA892="",0,O892*IF(AA892&gt;1,AA892/100,AA892)))</f>
        <v/>
      </c>
      <c r="AC892" s="14" t="str">
        <f aca="false">IF(O892="","",V892+Y892+AB892)</f>
        <v/>
      </c>
      <c r="AD892" s="19" t="str">
        <f aca="false">IF(O892="","",O892-R892-AC892)</f>
        <v/>
      </c>
      <c r="AE892" s="20"/>
      <c r="AF892" s="10"/>
      <c r="AG892" s="21" t="n">
        <f aca="false">IF(OR(AE892="",AE892=0),0,AE892*IF(U892="",0,IF(U892&gt;1,U892/100,U892)))</f>
        <v>0</v>
      </c>
      <c r="AH892" s="21" t="n">
        <f aca="false">IF(OR(AE892="",AE892=0),0,AE892*IF(X892="",0,IF(X892&gt;1,X892/100,X892)))</f>
        <v>0</v>
      </c>
      <c r="AI892" s="21" t="n">
        <f aca="false">IF(OR(AE892="",AE892=0),0,AE892*IF(AA892="",0,IF(AA892&gt;1,AA892/100,AA892)))</f>
        <v>0</v>
      </c>
      <c r="AJ892" s="21" t="n">
        <f aca="false">AG892+AH892+AI892</f>
        <v>0</v>
      </c>
      <c r="AK892" s="21" t="n">
        <f aca="false">IF(OR(AE892="",AE892=0),0,AE892-AJ892)</f>
        <v>0</v>
      </c>
      <c r="AL892" s="19" t="str">
        <f aca="false">IF(AD892="","",AD892-AK892)</f>
        <v/>
      </c>
      <c r="AM892" s="9" t="str">
        <f aca="false">IF(C892="","","Waiting for payment")</f>
        <v/>
      </c>
      <c r="AN892" s="10"/>
      <c r="AO892" s="10"/>
      <c r="AP892" s="22" t="str">
        <f aca="false">IF(OR(C892="",I892="",K892=""),"",IF(K892="Monthly",EDATE(C892,ROUND(I892*SETTINGS!$I$8,0)),WORKDAY(C892,ROUND(I892*SETTINGS!$I$8,0))))</f>
        <v/>
      </c>
      <c r="AQ892" s="9" t="str">
        <f aca="true">IF(C892="","",IF(AND(AP892&lt;&gt;"",TODAY()&gt;=AP892),"Refi Ready",IF(TODAY()-C892&gt;=SETTINGS!$I$11,"Prospecting","Performing")))</f>
        <v/>
      </c>
      <c r="AR892" s="22" t="str">
        <f aca="false">IF(OR(C892="",I892="",K892=""),"",IF(K892="Monthly",EDATE(C892,I892),WORKDAY(C892,I892)))</f>
        <v/>
      </c>
      <c r="AS892" s="11"/>
      <c r="AT892" s="23" t="str">
        <f aca="true">IF(C892="","",IF(AM892="Clawed Back","CLAWED",IF(TODAY()&lt;=C892+SETTINGS!$I$2,"⚠ AT RISK","SAFE")))</f>
        <v/>
      </c>
      <c r="AU892" s="11"/>
      <c r="AW892" s="24" t="n">
        <f aca="false">AW891+IF(AND(C892&lt;&gt;"",AO892&lt;&gt;"",OR('REP COMMISSION'!$B$3="",T892='REP COMMISSION'!$B$3,W892='REP COMMISSION'!$B$3,Z892='REP COMMISSION'!$B$3)),1,0)</f>
        <v>0</v>
      </c>
      <c r="AX892" s="24" t="n">
        <f aca="false">AX891+IF(AND(C892&lt;&gt;"",OR(F892="LOC - INITIAL",F892="CONSOLIDATION - UPFRONT COMM",F892="REVERSE - TOTAL FUNDING")),1,0)</f>
        <v>0</v>
      </c>
    </row>
    <row r="893" customFormat="false" ht="15" hidden="false" customHeight="false" outlineLevel="0" collapsed="false">
      <c r="A893" s="25" t="str">
        <f aca="false">IF(C893&lt;&gt;"","F27-"&amp;COUNT($C$4:C893),"")</f>
        <v/>
      </c>
      <c r="B893" s="26" t="str">
        <f aca="false">IF(OR(F893="LOC - INITIAL",F893="CONSOLIDATION - UPFRONT COMM",F893="REVERSE - TOTAL FUNDING"),A893,"")</f>
        <v/>
      </c>
      <c r="C893" s="27"/>
      <c r="D893" s="28"/>
      <c r="E893" s="28"/>
      <c r="F893" s="28"/>
      <c r="G893" s="29"/>
      <c r="H893" s="30"/>
      <c r="I893" s="28"/>
      <c r="J893" s="31" t="str">
        <f aca="false">IF(AND(G893&lt;&gt;"",H893&lt;&gt;""),G893*H893,"")</f>
        <v/>
      </c>
      <c r="K893" s="28"/>
      <c r="L893" s="32"/>
      <c r="M893" s="32"/>
      <c r="N893" s="31" t="n">
        <f aca="false">IF(OR(G893="",M893=""),0,IF(M893&gt;100,M893,G893*IF(M893&gt;1,M893/100,M893)))</f>
        <v>0</v>
      </c>
      <c r="O893" s="31" t="str">
        <f aca="false">IF(G893="","",G893*IF(L893="",0,IF(L893&gt;1,L893/100,L893))+N893)</f>
        <v/>
      </c>
      <c r="P893" s="28"/>
      <c r="Q893" s="33" t="str">
        <f aca="false">IF(P893="","",IFERROR(VLOOKUP(P893,PARTNERS!$A$2:$B$30,2,0),""))</f>
        <v/>
      </c>
      <c r="R893" s="17" t="str">
        <f aca="false">IF(O893="","",IF(OR(P893="",Q893=""),0,(O893-N893)*IF(Q893&gt;1,Q893/100,Q893)))</f>
        <v/>
      </c>
      <c r="S893" s="31" t="str">
        <f aca="false">IF(O893="","",O893-R893)</f>
        <v/>
      </c>
      <c r="T893" s="28"/>
      <c r="U893" s="34" t="str">
        <f aca="false">IF(T893="","",IFERROR(VLOOKUP(T893,REPS!$A$2:$D$40,2,0),""))</f>
        <v/>
      </c>
      <c r="V893" s="31" t="str">
        <f aca="false">IF(O893="","",IF(U893="",0,O893*IF(U893&gt;1,U893/100,U893)))</f>
        <v/>
      </c>
      <c r="W893" s="28"/>
      <c r="X893" s="34" t="str">
        <f aca="false">IF(W893="","",IFERROR(VLOOKUP(W893,REPS!$A$2:$D$40,3,0),""))</f>
        <v/>
      </c>
      <c r="Y893" s="31" t="str">
        <f aca="false">IF(O893="","",IF(X893="",0,O893*IF(X893&gt;1,X893/100,X893)))</f>
        <v/>
      </c>
      <c r="Z893" s="28"/>
      <c r="AA893" s="34" t="str">
        <f aca="false">IF(Z893="","",IFERROR(VLOOKUP(Z893,REPS!$A$2:$D$40,4,0),""))</f>
        <v/>
      </c>
      <c r="AB893" s="31" t="str">
        <f aca="false">IF(O893="","",IF(AA893="",0,O893*IF(AA893&gt;1,AA893/100,AA893)))</f>
        <v/>
      </c>
      <c r="AC893" s="31" t="str">
        <f aca="false">IF(O893="","",V893+Y893+AB893)</f>
        <v/>
      </c>
      <c r="AD893" s="19" t="str">
        <f aca="false">IF(O893="","",O893-R893-AC893)</f>
        <v/>
      </c>
      <c r="AE893" s="20"/>
      <c r="AF893" s="27"/>
      <c r="AG893" s="21" t="n">
        <f aca="false">IF(OR(AE893="",AE893=0),0,AE893*IF(U893="",0,IF(U893&gt;1,U893/100,U893)))</f>
        <v>0</v>
      </c>
      <c r="AH893" s="21" t="n">
        <f aca="false">IF(OR(AE893="",AE893=0),0,AE893*IF(X893="",0,IF(X893&gt;1,X893/100,X893)))</f>
        <v>0</v>
      </c>
      <c r="AI893" s="21" t="n">
        <f aca="false">IF(OR(AE893="",AE893=0),0,AE893*IF(AA893="",0,IF(AA893&gt;1,AA893/100,AA893)))</f>
        <v>0</v>
      </c>
      <c r="AJ893" s="21" t="n">
        <f aca="false">AG893+AH893+AI893</f>
        <v>0</v>
      </c>
      <c r="AK893" s="21" t="n">
        <f aca="false">IF(OR(AE893="",AE893=0),0,AE893-AJ893)</f>
        <v>0</v>
      </c>
      <c r="AL893" s="19" t="str">
        <f aca="false">IF(AD893="","",AD893-AK893)</f>
        <v/>
      </c>
      <c r="AM893" s="26" t="str">
        <f aca="false">IF(C893="","","Waiting for payment")</f>
        <v/>
      </c>
      <c r="AN893" s="27"/>
      <c r="AO893" s="27"/>
      <c r="AP893" s="35" t="str">
        <f aca="false">IF(OR(C893="",I893="",K893=""),"",IF(K893="Monthly",EDATE(C893,ROUND(I893*SETTINGS!$I$8,0)),WORKDAY(C893,ROUND(I893*SETTINGS!$I$8,0))))</f>
        <v/>
      </c>
      <c r="AQ893" s="26" t="str">
        <f aca="true">IF(C893="","",IF(AND(AP893&lt;&gt;"",TODAY()&gt;=AP893),"Refi Ready",IF(TODAY()-C893&gt;=SETTINGS!$I$11,"Prospecting","Performing")))</f>
        <v/>
      </c>
      <c r="AR893" s="35" t="str">
        <f aca="false">IF(OR(C893="",I893="",K893=""),"",IF(K893="Monthly",EDATE(C893,I893),WORKDAY(C893,I893)))</f>
        <v/>
      </c>
      <c r="AS893" s="28"/>
      <c r="AT893" s="36" t="str">
        <f aca="true">IF(C893="","",IF(AM893="Clawed Back","CLAWED",IF(TODAY()&lt;=C893+SETTINGS!$I$2,"⚠ AT RISK","SAFE")))</f>
        <v/>
      </c>
      <c r="AU893" s="28"/>
      <c r="AW893" s="24" t="n">
        <f aca="false">AW892+IF(AND(C893&lt;&gt;"",AO893&lt;&gt;"",OR('REP COMMISSION'!$B$3="",T893='REP COMMISSION'!$B$3,W893='REP COMMISSION'!$B$3,Z893='REP COMMISSION'!$B$3)),1,0)</f>
        <v>0</v>
      </c>
      <c r="AX893" s="24" t="n">
        <f aca="false">AX892+IF(AND(C893&lt;&gt;"",OR(F893="LOC - INITIAL",F893="CONSOLIDATION - UPFRONT COMM",F893="REVERSE - TOTAL FUNDING")),1,0)</f>
        <v>0</v>
      </c>
    </row>
    <row r="894" customFormat="false" ht="15" hidden="false" customHeight="false" outlineLevel="0" collapsed="false">
      <c r="A894" s="8" t="str">
        <f aca="false">IF(C894&lt;&gt;"","F27-"&amp;COUNT($C$4:C894),"")</f>
        <v/>
      </c>
      <c r="B894" s="9" t="str">
        <f aca="false">IF(OR(F894="LOC - INITIAL",F894="CONSOLIDATION - UPFRONT COMM",F894="REVERSE - TOTAL FUNDING"),A894,"")</f>
        <v/>
      </c>
      <c r="C894" s="10"/>
      <c r="D894" s="11"/>
      <c r="E894" s="11"/>
      <c r="F894" s="11"/>
      <c r="G894" s="12"/>
      <c r="H894" s="13"/>
      <c r="I894" s="11"/>
      <c r="J894" s="14" t="str">
        <f aca="false">IF(AND(G894&lt;&gt;"",H894&lt;&gt;""),G894*H894,"")</f>
        <v/>
      </c>
      <c r="K894" s="11"/>
      <c r="L894" s="15"/>
      <c r="M894" s="15"/>
      <c r="N894" s="14" t="n">
        <f aca="false">IF(OR(G894="",M894=""),0,IF(M894&gt;100,M894,G894*IF(M894&gt;1,M894/100,M894)))</f>
        <v>0</v>
      </c>
      <c r="O894" s="14" t="str">
        <f aca="false">IF(G894="","",G894*IF(L894="",0,IF(L894&gt;1,L894/100,L894))+N894)</f>
        <v/>
      </c>
      <c r="P894" s="11"/>
      <c r="Q894" s="16" t="str">
        <f aca="false">IF(P894="","",IFERROR(VLOOKUP(P894,PARTNERS!$A$2:$B$30,2,0),""))</f>
        <v/>
      </c>
      <c r="R894" s="17" t="str">
        <f aca="false">IF(O894="","",IF(OR(P894="",Q894=""),0,(O894-N894)*IF(Q894&gt;1,Q894/100,Q894)))</f>
        <v/>
      </c>
      <c r="S894" s="14" t="str">
        <f aca="false">IF(O894="","",O894-R894)</f>
        <v/>
      </c>
      <c r="T894" s="11"/>
      <c r="U894" s="18" t="str">
        <f aca="false">IF(T894="","",IFERROR(VLOOKUP(T894,REPS!$A$2:$D$40,2,0),""))</f>
        <v/>
      </c>
      <c r="V894" s="14" t="str">
        <f aca="false">IF(O894="","",IF(U894="",0,O894*IF(U894&gt;1,U894/100,U894)))</f>
        <v/>
      </c>
      <c r="W894" s="11"/>
      <c r="X894" s="18" t="str">
        <f aca="false">IF(W894="","",IFERROR(VLOOKUP(W894,REPS!$A$2:$D$40,3,0),""))</f>
        <v/>
      </c>
      <c r="Y894" s="14" t="str">
        <f aca="false">IF(O894="","",IF(X894="",0,O894*IF(X894&gt;1,X894/100,X894)))</f>
        <v/>
      </c>
      <c r="Z894" s="11"/>
      <c r="AA894" s="18" t="str">
        <f aca="false">IF(Z894="","",IFERROR(VLOOKUP(Z894,REPS!$A$2:$D$40,4,0),""))</f>
        <v/>
      </c>
      <c r="AB894" s="14" t="str">
        <f aca="false">IF(O894="","",IF(AA894="",0,O894*IF(AA894&gt;1,AA894/100,AA894)))</f>
        <v/>
      </c>
      <c r="AC894" s="14" t="str">
        <f aca="false">IF(O894="","",V894+Y894+AB894)</f>
        <v/>
      </c>
      <c r="AD894" s="19" t="str">
        <f aca="false">IF(O894="","",O894-R894-AC894)</f>
        <v/>
      </c>
      <c r="AE894" s="20"/>
      <c r="AF894" s="10"/>
      <c r="AG894" s="21" t="n">
        <f aca="false">IF(OR(AE894="",AE894=0),0,AE894*IF(U894="",0,IF(U894&gt;1,U894/100,U894)))</f>
        <v>0</v>
      </c>
      <c r="AH894" s="21" t="n">
        <f aca="false">IF(OR(AE894="",AE894=0),0,AE894*IF(X894="",0,IF(X894&gt;1,X894/100,X894)))</f>
        <v>0</v>
      </c>
      <c r="AI894" s="21" t="n">
        <f aca="false">IF(OR(AE894="",AE894=0),0,AE894*IF(AA894="",0,IF(AA894&gt;1,AA894/100,AA894)))</f>
        <v>0</v>
      </c>
      <c r="AJ894" s="21" t="n">
        <f aca="false">AG894+AH894+AI894</f>
        <v>0</v>
      </c>
      <c r="AK894" s="21" t="n">
        <f aca="false">IF(OR(AE894="",AE894=0),0,AE894-AJ894)</f>
        <v>0</v>
      </c>
      <c r="AL894" s="19" t="str">
        <f aca="false">IF(AD894="","",AD894-AK894)</f>
        <v/>
      </c>
      <c r="AM894" s="9" t="str">
        <f aca="false">IF(C894="","","Waiting for payment")</f>
        <v/>
      </c>
      <c r="AN894" s="10"/>
      <c r="AO894" s="10"/>
      <c r="AP894" s="22" t="str">
        <f aca="false">IF(OR(C894="",I894="",K894=""),"",IF(K894="Monthly",EDATE(C894,ROUND(I894*SETTINGS!$I$8,0)),WORKDAY(C894,ROUND(I894*SETTINGS!$I$8,0))))</f>
        <v/>
      </c>
      <c r="AQ894" s="9" t="str">
        <f aca="true">IF(C894="","",IF(AND(AP894&lt;&gt;"",TODAY()&gt;=AP894),"Refi Ready",IF(TODAY()-C894&gt;=SETTINGS!$I$11,"Prospecting","Performing")))</f>
        <v/>
      </c>
      <c r="AR894" s="22" t="str">
        <f aca="false">IF(OR(C894="",I894="",K894=""),"",IF(K894="Monthly",EDATE(C894,I894),WORKDAY(C894,I894)))</f>
        <v/>
      </c>
      <c r="AS894" s="11"/>
      <c r="AT894" s="23" t="str">
        <f aca="true">IF(C894="","",IF(AM894="Clawed Back","CLAWED",IF(TODAY()&lt;=C894+SETTINGS!$I$2,"⚠ AT RISK","SAFE")))</f>
        <v/>
      </c>
      <c r="AU894" s="11"/>
      <c r="AW894" s="24" t="n">
        <f aca="false">AW893+IF(AND(C894&lt;&gt;"",AO894&lt;&gt;"",OR('REP COMMISSION'!$B$3="",T894='REP COMMISSION'!$B$3,W894='REP COMMISSION'!$B$3,Z894='REP COMMISSION'!$B$3)),1,0)</f>
        <v>0</v>
      </c>
      <c r="AX894" s="24" t="n">
        <f aca="false">AX893+IF(AND(C894&lt;&gt;"",OR(F894="LOC - INITIAL",F894="CONSOLIDATION - UPFRONT COMM",F894="REVERSE - TOTAL FUNDING")),1,0)</f>
        <v>0</v>
      </c>
    </row>
    <row r="895" customFormat="false" ht="15" hidden="false" customHeight="false" outlineLevel="0" collapsed="false">
      <c r="A895" s="25" t="str">
        <f aca="false">IF(C895&lt;&gt;"","F27-"&amp;COUNT($C$4:C895),"")</f>
        <v/>
      </c>
      <c r="B895" s="26" t="str">
        <f aca="false">IF(OR(F895="LOC - INITIAL",F895="CONSOLIDATION - UPFRONT COMM",F895="REVERSE - TOTAL FUNDING"),A895,"")</f>
        <v/>
      </c>
      <c r="C895" s="27"/>
      <c r="D895" s="28"/>
      <c r="E895" s="28"/>
      <c r="F895" s="28"/>
      <c r="G895" s="29"/>
      <c r="H895" s="30"/>
      <c r="I895" s="28"/>
      <c r="J895" s="31" t="str">
        <f aca="false">IF(AND(G895&lt;&gt;"",H895&lt;&gt;""),G895*H895,"")</f>
        <v/>
      </c>
      <c r="K895" s="28"/>
      <c r="L895" s="32"/>
      <c r="M895" s="32"/>
      <c r="N895" s="31" t="n">
        <f aca="false">IF(OR(G895="",M895=""),0,IF(M895&gt;100,M895,G895*IF(M895&gt;1,M895/100,M895)))</f>
        <v>0</v>
      </c>
      <c r="O895" s="31" t="str">
        <f aca="false">IF(G895="","",G895*IF(L895="",0,IF(L895&gt;1,L895/100,L895))+N895)</f>
        <v/>
      </c>
      <c r="P895" s="28"/>
      <c r="Q895" s="33" t="str">
        <f aca="false">IF(P895="","",IFERROR(VLOOKUP(P895,PARTNERS!$A$2:$B$30,2,0),""))</f>
        <v/>
      </c>
      <c r="R895" s="17" t="str">
        <f aca="false">IF(O895="","",IF(OR(P895="",Q895=""),0,(O895-N895)*IF(Q895&gt;1,Q895/100,Q895)))</f>
        <v/>
      </c>
      <c r="S895" s="31" t="str">
        <f aca="false">IF(O895="","",O895-R895)</f>
        <v/>
      </c>
      <c r="T895" s="28"/>
      <c r="U895" s="34" t="str">
        <f aca="false">IF(T895="","",IFERROR(VLOOKUP(T895,REPS!$A$2:$D$40,2,0),""))</f>
        <v/>
      </c>
      <c r="V895" s="31" t="str">
        <f aca="false">IF(O895="","",IF(U895="",0,O895*IF(U895&gt;1,U895/100,U895)))</f>
        <v/>
      </c>
      <c r="W895" s="28"/>
      <c r="X895" s="34" t="str">
        <f aca="false">IF(W895="","",IFERROR(VLOOKUP(W895,REPS!$A$2:$D$40,3,0),""))</f>
        <v/>
      </c>
      <c r="Y895" s="31" t="str">
        <f aca="false">IF(O895="","",IF(X895="",0,O895*IF(X895&gt;1,X895/100,X895)))</f>
        <v/>
      </c>
      <c r="Z895" s="28"/>
      <c r="AA895" s="34" t="str">
        <f aca="false">IF(Z895="","",IFERROR(VLOOKUP(Z895,REPS!$A$2:$D$40,4,0),""))</f>
        <v/>
      </c>
      <c r="AB895" s="31" t="str">
        <f aca="false">IF(O895="","",IF(AA895="",0,O895*IF(AA895&gt;1,AA895/100,AA895)))</f>
        <v/>
      </c>
      <c r="AC895" s="31" t="str">
        <f aca="false">IF(O895="","",V895+Y895+AB895)</f>
        <v/>
      </c>
      <c r="AD895" s="19" t="str">
        <f aca="false">IF(O895="","",O895-R895-AC895)</f>
        <v/>
      </c>
      <c r="AE895" s="20"/>
      <c r="AF895" s="27"/>
      <c r="AG895" s="21" t="n">
        <f aca="false">IF(OR(AE895="",AE895=0),0,AE895*IF(U895="",0,IF(U895&gt;1,U895/100,U895)))</f>
        <v>0</v>
      </c>
      <c r="AH895" s="21" t="n">
        <f aca="false">IF(OR(AE895="",AE895=0),0,AE895*IF(X895="",0,IF(X895&gt;1,X895/100,X895)))</f>
        <v>0</v>
      </c>
      <c r="AI895" s="21" t="n">
        <f aca="false">IF(OR(AE895="",AE895=0),0,AE895*IF(AA895="",0,IF(AA895&gt;1,AA895/100,AA895)))</f>
        <v>0</v>
      </c>
      <c r="AJ895" s="21" t="n">
        <f aca="false">AG895+AH895+AI895</f>
        <v>0</v>
      </c>
      <c r="AK895" s="21" t="n">
        <f aca="false">IF(OR(AE895="",AE895=0),0,AE895-AJ895)</f>
        <v>0</v>
      </c>
      <c r="AL895" s="19" t="str">
        <f aca="false">IF(AD895="","",AD895-AK895)</f>
        <v/>
      </c>
      <c r="AM895" s="26" t="str">
        <f aca="false">IF(C895="","","Waiting for payment")</f>
        <v/>
      </c>
      <c r="AN895" s="27"/>
      <c r="AO895" s="27"/>
      <c r="AP895" s="35" t="str">
        <f aca="false">IF(OR(C895="",I895="",K895=""),"",IF(K895="Monthly",EDATE(C895,ROUND(I895*SETTINGS!$I$8,0)),WORKDAY(C895,ROUND(I895*SETTINGS!$I$8,0))))</f>
        <v/>
      </c>
      <c r="AQ895" s="26" t="str">
        <f aca="true">IF(C895="","",IF(AND(AP895&lt;&gt;"",TODAY()&gt;=AP895),"Refi Ready",IF(TODAY()-C895&gt;=SETTINGS!$I$11,"Prospecting","Performing")))</f>
        <v/>
      </c>
      <c r="AR895" s="35" t="str">
        <f aca="false">IF(OR(C895="",I895="",K895=""),"",IF(K895="Monthly",EDATE(C895,I895),WORKDAY(C895,I895)))</f>
        <v/>
      </c>
      <c r="AS895" s="28"/>
      <c r="AT895" s="36" t="str">
        <f aca="true">IF(C895="","",IF(AM895="Clawed Back","CLAWED",IF(TODAY()&lt;=C895+SETTINGS!$I$2,"⚠ AT RISK","SAFE")))</f>
        <v/>
      </c>
      <c r="AU895" s="28"/>
      <c r="AW895" s="24" t="n">
        <f aca="false">AW894+IF(AND(C895&lt;&gt;"",AO895&lt;&gt;"",OR('REP COMMISSION'!$B$3="",T895='REP COMMISSION'!$B$3,W895='REP COMMISSION'!$B$3,Z895='REP COMMISSION'!$B$3)),1,0)</f>
        <v>0</v>
      </c>
      <c r="AX895" s="24" t="n">
        <f aca="false">AX894+IF(AND(C895&lt;&gt;"",OR(F895="LOC - INITIAL",F895="CONSOLIDATION - UPFRONT COMM",F895="REVERSE - TOTAL FUNDING")),1,0)</f>
        <v>0</v>
      </c>
    </row>
    <row r="896" customFormat="false" ht="15" hidden="false" customHeight="false" outlineLevel="0" collapsed="false">
      <c r="A896" s="8" t="str">
        <f aca="false">IF(C896&lt;&gt;"","F27-"&amp;COUNT($C$4:C896),"")</f>
        <v/>
      </c>
      <c r="B896" s="9" t="str">
        <f aca="false">IF(OR(F896="LOC - INITIAL",F896="CONSOLIDATION - UPFRONT COMM",F896="REVERSE - TOTAL FUNDING"),A896,"")</f>
        <v/>
      </c>
      <c r="C896" s="10"/>
      <c r="D896" s="11"/>
      <c r="E896" s="11"/>
      <c r="F896" s="11"/>
      <c r="G896" s="12"/>
      <c r="H896" s="13"/>
      <c r="I896" s="11"/>
      <c r="J896" s="14" t="str">
        <f aca="false">IF(AND(G896&lt;&gt;"",H896&lt;&gt;""),G896*H896,"")</f>
        <v/>
      </c>
      <c r="K896" s="11"/>
      <c r="L896" s="15"/>
      <c r="M896" s="15"/>
      <c r="N896" s="14" t="n">
        <f aca="false">IF(OR(G896="",M896=""),0,IF(M896&gt;100,M896,G896*IF(M896&gt;1,M896/100,M896)))</f>
        <v>0</v>
      </c>
      <c r="O896" s="14" t="str">
        <f aca="false">IF(G896="","",G896*IF(L896="",0,IF(L896&gt;1,L896/100,L896))+N896)</f>
        <v/>
      </c>
      <c r="P896" s="11"/>
      <c r="Q896" s="16" t="str">
        <f aca="false">IF(P896="","",IFERROR(VLOOKUP(P896,PARTNERS!$A$2:$B$30,2,0),""))</f>
        <v/>
      </c>
      <c r="R896" s="17" t="str">
        <f aca="false">IF(O896="","",IF(OR(P896="",Q896=""),0,(O896-N896)*IF(Q896&gt;1,Q896/100,Q896)))</f>
        <v/>
      </c>
      <c r="S896" s="14" t="str">
        <f aca="false">IF(O896="","",O896-R896)</f>
        <v/>
      </c>
      <c r="T896" s="11"/>
      <c r="U896" s="18" t="str">
        <f aca="false">IF(T896="","",IFERROR(VLOOKUP(T896,REPS!$A$2:$D$40,2,0),""))</f>
        <v/>
      </c>
      <c r="V896" s="14" t="str">
        <f aca="false">IF(O896="","",IF(U896="",0,O896*IF(U896&gt;1,U896/100,U896)))</f>
        <v/>
      </c>
      <c r="W896" s="11"/>
      <c r="X896" s="18" t="str">
        <f aca="false">IF(W896="","",IFERROR(VLOOKUP(W896,REPS!$A$2:$D$40,3,0),""))</f>
        <v/>
      </c>
      <c r="Y896" s="14" t="str">
        <f aca="false">IF(O896="","",IF(X896="",0,O896*IF(X896&gt;1,X896/100,X896)))</f>
        <v/>
      </c>
      <c r="Z896" s="11"/>
      <c r="AA896" s="18" t="str">
        <f aca="false">IF(Z896="","",IFERROR(VLOOKUP(Z896,REPS!$A$2:$D$40,4,0),""))</f>
        <v/>
      </c>
      <c r="AB896" s="14" t="str">
        <f aca="false">IF(O896="","",IF(AA896="",0,O896*IF(AA896&gt;1,AA896/100,AA896)))</f>
        <v/>
      </c>
      <c r="AC896" s="14" t="str">
        <f aca="false">IF(O896="","",V896+Y896+AB896)</f>
        <v/>
      </c>
      <c r="AD896" s="19" t="str">
        <f aca="false">IF(O896="","",O896-R896-AC896)</f>
        <v/>
      </c>
      <c r="AE896" s="20"/>
      <c r="AF896" s="10"/>
      <c r="AG896" s="21" t="n">
        <f aca="false">IF(OR(AE896="",AE896=0),0,AE896*IF(U896="",0,IF(U896&gt;1,U896/100,U896)))</f>
        <v>0</v>
      </c>
      <c r="AH896" s="21" t="n">
        <f aca="false">IF(OR(AE896="",AE896=0),0,AE896*IF(X896="",0,IF(X896&gt;1,X896/100,X896)))</f>
        <v>0</v>
      </c>
      <c r="AI896" s="21" t="n">
        <f aca="false">IF(OR(AE896="",AE896=0),0,AE896*IF(AA896="",0,IF(AA896&gt;1,AA896/100,AA896)))</f>
        <v>0</v>
      </c>
      <c r="AJ896" s="21" t="n">
        <f aca="false">AG896+AH896+AI896</f>
        <v>0</v>
      </c>
      <c r="AK896" s="21" t="n">
        <f aca="false">IF(OR(AE896="",AE896=0),0,AE896-AJ896)</f>
        <v>0</v>
      </c>
      <c r="AL896" s="19" t="str">
        <f aca="false">IF(AD896="","",AD896-AK896)</f>
        <v/>
      </c>
      <c r="AM896" s="9" t="str">
        <f aca="false">IF(C896="","","Waiting for payment")</f>
        <v/>
      </c>
      <c r="AN896" s="10"/>
      <c r="AO896" s="10"/>
      <c r="AP896" s="22" t="str">
        <f aca="false">IF(OR(C896="",I896="",K896=""),"",IF(K896="Monthly",EDATE(C896,ROUND(I896*SETTINGS!$I$8,0)),WORKDAY(C896,ROUND(I896*SETTINGS!$I$8,0))))</f>
        <v/>
      </c>
      <c r="AQ896" s="9" t="str">
        <f aca="true">IF(C896="","",IF(AND(AP896&lt;&gt;"",TODAY()&gt;=AP896),"Refi Ready",IF(TODAY()-C896&gt;=SETTINGS!$I$11,"Prospecting","Performing")))</f>
        <v/>
      </c>
      <c r="AR896" s="22" t="str">
        <f aca="false">IF(OR(C896="",I896="",K896=""),"",IF(K896="Monthly",EDATE(C896,I896),WORKDAY(C896,I896)))</f>
        <v/>
      </c>
      <c r="AS896" s="11"/>
      <c r="AT896" s="23" t="str">
        <f aca="true">IF(C896="","",IF(AM896="Clawed Back","CLAWED",IF(TODAY()&lt;=C896+SETTINGS!$I$2,"⚠ AT RISK","SAFE")))</f>
        <v/>
      </c>
      <c r="AU896" s="11"/>
      <c r="AW896" s="24" t="n">
        <f aca="false">AW895+IF(AND(C896&lt;&gt;"",AO896&lt;&gt;"",OR('REP COMMISSION'!$B$3="",T896='REP COMMISSION'!$B$3,W896='REP COMMISSION'!$B$3,Z896='REP COMMISSION'!$B$3)),1,0)</f>
        <v>0</v>
      </c>
      <c r="AX896" s="24" t="n">
        <f aca="false">AX895+IF(AND(C896&lt;&gt;"",OR(F896="LOC - INITIAL",F896="CONSOLIDATION - UPFRONT COMM",F896="REVERSE - TOTAL FUNDING")),1,0)</f>
        <v>0</v>
      </c>
    </row>
    <row r="897" customFormat="false" ht="15" hidden="false" customHeight="false" outlineLevel="0" collapsed="false">
      <c r="A897" s="25" t="str">
        <f aca="false">IF(C897&lt;&gt;"","F27-"&amp;COUNT($C$4:C897),"")</f>
        <v/>
      </c>
      <c r="B897" s="26" t="str">
        <f aca="false">IF(OR(F897="LOC - INITIAL",F897="CONSOLIDATION - UPFRONT COMM",F897="REVERSE - TOTAL FUNDING"),A897,"")</f>
        <v/>
      </c>
      <c r="C897" s="27"/>
      <c r="D897" s="28"/>
      <c r="E897" s="28"/>
      <c r="F897" s="28"/>
      <c r="G897" s="29"/>
      <c r="H897" s="30"/>
      <c r="I897" s="28"/>
      <c r="J897" s="31" t="str">
        <f aca="false">IF(AND(G897&lt;&gt;"",H897&lt;&gt;""),G897*H897,"")</f>
        <v/>
      </c>
      <c r="K897" s="28"/>
      <c r="L897" s="32"/>
      <c r="M897" s="32"/>
      <c r="N897" s="31" t="n">
        <f aca="false">IF(OR(G897="",M897=""),0,IF(M897&gt;100,M897,G897*IF(M897&gt;1,M897/100,M897)))</f>
        <v>0</v>
      </c>
      <c r="O897" s="31" t="str">
        <f aca="false">IF(G897="","",G897*IF(L897="",0,IF(L897&gt;1,L897/100,L897))+N897)</f>
        <v/>
      </c>
      <c r="P897" s="28"/>
      <c r="Q897" s="33" t="str">
        <f aca="false">IF(P897="","",IFERROR(VLOOKUP(P897,PARTNERS!$A$2:$B$30,2,0),""))</f>
        <v/>
      </c>
      <c r="R897" s="17" t="str">
        <f aca="false">IF(O897="","",IF(OR(P897="",Q897=""),0,(O897-N897)*IF(Q897&gt;1,Q897/100,Q897)))</f>
        <v/>
      </c>
      <c r="S897" s="31" t="str">
        <f aca="false">IF(O897="","",O897-R897)</f>
        <v/>
      </c>
      <c r="T897" s="28"/>
      <c r="U897" s="34" t="str">
        <f aca="false">IF(T897="","",IFERROR(VLOOKUP(T897,REPS!$A$2:$D$40,2,0),""))</f>
        <v/>
      </c>
      <c r="V897" s="31" t="str">
        <f aca="false">IF(O897="","",IF(U897="",0,O897*IF(U897&gt;1,U897/100,U897)))</f>
        <v/>
      </c>
      <c r="W897" s="28"/>
      <c r="X897" s="34" t="str">
        <f aca="false">IF(W897="","",IFERROR(VLOOKUP(W897,REPS!$A$2:$D$40,3,0),""))</f>
        <v/>
      </c>
      <c r="Y897" s="31" t="str">
        <f aca="false">IF(O897="","",IF(X897="",0,O897*IF(X897&gt;1,X897/100,X897)))</f>
        <v/>
      </c>
      <c r="Z897" s="28"/>
      <c r="AA897" s="34" t="str">
        <f aca="false">IF(Z897="","",IFERROR(VLOOKUP(Z897,REPS!$A$2:$D$40,4,0),""))</f>
        <v/>
      </c>
      <c r="AB897" s="31" t="str">
        <f aca="false">IF(O897="","",IF(AA897="",0,O897*IF(AA897&gt;1,AA897/100,AA897)))</f>
        <v/>
      </c>
      <c r="AC897" s="31" t="str">
        <f aca="false">IF(O897="","",V897+Y897+AB897)</f>
        <v/>
      </c>
      <c r="AD897" s="19" t="str">
        <f aca="false">IF(O897="","",O897-R897-AC897)</f>
        <v/>
      </c>
      <c r="AE897" s="20"/>
      <c r="AF897" s="27"/>
      <c r="AG897" s="21" t="n">
        <f aca="false">IF(OR(AE897="",AE897=0),0,AE897*IF(U897="",0,IF(U897&gt;1,U897/100,U897)))</f>
        <v>0</v>
      </c>
      <c r="AH897" s="21" t="n">
        <f aca="false">IF(OR(AE897="",AE897=0),0,AE897*IF(X897="",0,IF(X897&gt;1,X897/100,X897)))</f>
        <v>0</v>
      </c>
      <c r="AI897" s="21" t="n">
        <f aca="false">IF(OR(AE897="",AE897=0),0,AE897*IF(AA897="",0,IF(AA897&gt;1,AA897/100,AA897)))</f>
        <v>0</v>
      </c>
      <c r="AJ897" s="21" t="n">
        <f aca="false">AG897+AH897+AI897</f>
        <v>0</v>
      </c>
      <c r="AK897" s="21" t="n">
        <f aca="false">IF(OR(AE897="",AE897=0),0,AE897-AJ897)</f>
        <v>0</v>
      </c>
      <c r="AL897" s="19" t="str">
        <f aca="false">IF(AD897="","",AD897-AK897)</f>
        <v/>
      </c>
      <c r="AM897" s="26" t="str">
        <f aca="false">IF(C897="","","Waiting for payment")</f>
        <v/>
      </c>
      <c r="AN897" s="27"/>
      <c r="AO897" s="27"/>
      <c r="AP897" s="35" t="str">
        <f aca="false">IF(OR(C897="",I897="",K897=""),"",IF(K897="Monthly",EDATE(C897,ROUND(I897*SETTINGS!$I$8,0)),WORKDAY(C897,ROUND(I897*SETTINGS!$I$8,0))))</f>
        <v/>
      </c>
      <c r="AQ897" s="26" t="str">
        <f aca="true">IF(C897="","",IF(AND(AP897&lt;&gt;"",TODAY()&gt;=AP897),"Refi Ready",IF(TODAY()-C897&gt;=SETTINGS!$I$11,"Prospecting","Performing")))</f>
        <v/>
      </c>
      <c r="AR897" s="35" t="str">
        <f aca="false">IF(OR(C897="",I897="",K897=""),"",IF(K897="Monthly",EDATE(C897,I897),WORKDAY(C897,I897)))</f>
        <v/>
      </c>
      <c r="AS897" s="28"/>
      <c r="AT897" s="36" t="str">
        <f aca="true">IF(C897="","",IF(AM897="Clawed Back","CLAWED",IF(TODAY()&lt;=C897+SETTINGS!$I$2,"⚠ AT RISK","SAFE")))</f>
        <v/>
      </c>
      <c r="AU897" s="28"/>
      <c r="AW897" s="24" t="n">
        <f aca="false">AW896+IF(AND(C897&lt;&gt;"",AO897&lt;&gt;"",OR('REP COMMISSION'!$B$3="",T897='REP COMMISSION'!$B$3,W897='REP COMMISSION'!$B$3,Z897='REP COMMISSION'!$B$3)),1,0)</f>
        <v>0</v>
      </c>
      <c r="AX897" s="24" t="n">
        <f aca="false">AX896+IF(AND(C897&lt;&gt;"",OR(F897="LOC - INITIAL",F897="CONSOLIDATION - UPFRONT COMM",F897="REVERSE - TOTAL FUNDING")),1,0)</f>
        <v>0</v>
      </c>
    </row>
    <row r="898" customFormat="false" ht="15" hidden="false" customHeight="false" outlineLevel="0" collapsed="false">
      <c r="A898" s="8" t="str">
        <f aca="false">IF(C898&lt;&gt;"","F27-"&amp;COUNT($C$4:C898),"")</f>
        <v/>
      </c>
      <c r="B898" s="9" t="str">
        <f aca="false">IF(OR(F898="LOC - INITIAL",F898="CONSOLIDATION - UPFRONT COMM",F898="REVERSE - TOTAL FUNDING"),A898,"")</f>
        <v/>
      </c>
      <c r="C898" s="10"/>
      <c r="D898" s="11"/>
      <c r="E898" s="11"/>
      <c r="F898" s="11"/>
      <c r="G898" s="12"/>
      <c r="H898" s="13"/>
      <c r="I898" s="11"/>
      <c r="J898" s="14" t="str">
        <f aca="false">IF(AND(G898&lt;&gt;"",H898&lt;&gt;""),G898*H898,"")</f>
        <v/>
      </c>
      <c r="K898" s="11"/>
      <c r="L898" s="15"/>
      <c r="M898" s="15"/>
      <c r="N898" s="14" t="n">
        <f aca="false">IF(OR(G898="",M898=""),0,IF(M898&gt;100,M898,G898*IF(M898&gt;1,M898/100,M898)))</f>
        <v>0</v>
      </c>
      <c r="O898" s="14" t="str">
        <f aca="false">IF(G898="","",G898*IF(L898="",0,IF(L898&gt;1,L898/100,L898))+N898)</f>
        <v/>
      </c>
      <c r="P898" s="11"/>
      <c r="Q898" s="16" t="str">
        <f aca="false">IF(P898="","",IFERROR(VLOOKUP(P898,PARTNERS!$A$2:$B$30,2,0),""))</f>
        <v/>
      </c>
      <c r="R898" s="17" t="str">
        <f aca="false">IF(O898="","",IF(OR(P898="",Q898=""),0,(O898-N898)*IF(Q898&gt;1,Q898/100,Q898)))</f>
        <v/>
      </c>
      <c r="S898" s="14" t="str">
        <f aca="false">IF(O898="","",O898-R898)</f>
        <v/>
      </c>
      <c r="T898" s="11"/>
      <c r="U898" s="18" t="str">
        <f aca="false">IF(T898="","",IFERROR(VLOOKUP(T898,REPS!$A$2:$D$40,2,0),""))</f>
        <v/>
      </c>
      <c r="V898" s="14" t="str">
        <f aca="false">IF(O898="","",IF(U898="",0,O898*IF(U898&gt;1,U898/100,U898)))</f>
        <v/>
      </c>
      <c r="W898" s="11"/>
      <c r="X898" s="18" t="str">
        <f aca="false">IF(W898="","",IFERROR(VLOOKUP(W898,REPS!$A$2:$D$40,3,0),""))</f>
        <v/>
      </c>
      <c r="Y898" s="14" t="str">
        <f aca="false">IF(O898="","",IF(X898="",0,O898*IF(X898&gt;1,X898/100,X898)))</f>
        <v/>
      </c>
      <c r="Z898" s="11"/>
      <c r="AA898" s="18" t="str">
        <f aca="false">IF(Z898="","",IFERROR(VLOOKUP(Z898,REPS!$A$2:$D$40,4,0),""))</f>
        <v/>
      </c>
      <c r="AB898" s="14" t="str">
        <f aca="false">IF(O898="","",IF(AA898="",0,O898*IF(AA898&gt;1,AA898/100,AA898)))</f>
        <v/>
      </c>
      <c r="AC898" s="14" t="str">
        <f aca="false">IF(O898="","",V898+Y898+AB898)</f>
        <v/>
      </c>
      <c r="AD898" s="19" t="str">
        <f aca="false">IF(O898="","",O898-R898-AC898)</f>
        <v/>
      </c>
      <c r="AE898" s="20"/>
      <c r="AF898" s="10"/>
      <c r="AG898" s="21" t="n">
        <f aca="false">IF(OR(AE898="",AE898=0),0,AE898*IF(U898="",0,IF(U898&gt;1,U898/100,U898)))</f>
        <v>0</v>
      </c>
      <c r="AH898" s="21" t="n">
        <f aca="false">IF(OR(AE898="",AE898=0),0,AE898*IF(X898="",0,IF(X898&gt;1,X898/100,X898)))</f>
        <v>0</v>
      </c>
      <c r="AI898" s="21" t="n">
        <f aca="false">IF(OR(AE898="",AE898=0),0,AE898*IF(AA898="",0,IF(AA898&gt;1,AA898/100,AA898)))</f>
        <v>0</v>
      </c>
      <c r="AJ898" s="21" t="n">
        <f aca="false">AG898+AH898+AI898</f>
        <v>0</v>
      </c>
      <c r="AK898" s="21" t="n">
        <f aca="false">IF(OR(AE898="",AE898=0),0,AE898-AJ898)</f>
        <v>0</v>
      </c>
      <c r="AL898" s="19" t="str">
        <f aca="false">IF(AD898="","",AD898-AK898)</f>
        <v/>
      </c>
      <c r="AM898" s="9" t="str">
        <f aca="false">IF(C898="","","Waiting for payment")</f>
        <v/>
      </c>
      <c r="AN898" s="10"/>
      <c r="AO898" s="10"/>
      <c r="AP898" s="22" t="str">
        <f aca="false">IF(OR(C898="",I898="",K898=""),"",IF(K898="Monthly",EDATE(C898,ROUND(I898*SETTINGS!$I$8,0)),WORKDAY(C898,ROUND(I898*SETTINGS!$I$8,0))))</f>
        <v/>
      </c>
      <c r="AQ898" s="9" t="str">
        <f aca="true">IF(C898="","",IF(AND(AP898&lt;&gt;"",TODAY()&gt;=AP898),"Refi Ready",IF(TODAY()-C898&gt;=SETTINGS!$I$11,"Prospecting","Performing")))</f>
        <v/>
      </c>
      <c r="AR898" s="22" t="str">
        <f aca="false">IF(OR(C898="",I898="",K898=""),"",IF(K898="Monthly",EDATE(C898,I898),WORKDAY(C898,I898)))</f>
        <v/>
      </c>
      <c r="AS898" s="11"/>
      <c r="AT898" s="23" t="str">
        <f aca="true">IF(C898="","",IF(AM898="Clawed Back","CLAWED",IF(TODAY()&lt;=C898+SETTINGS!$I$2,"⚠ AT RISK","SAFE")))</f>
        <v/>
      </c>
      <c r="AU898" s="11"/>
      <c r="AW898" s="24" t="n">
        <f aca="false">AW897+IF(AND(C898&lt;&gt;"",AO898&lt;&gt;"",OR('REP COMMISSION'!$B$3="",T898='REP COMMISSION'!$B$3,W898='REP COMMISSION'!$B$3,Z898='REP COMMISSION'!$B$3)),1,0)</f>
        <v>0</v>
      </c>
      <c r="AX898" s="24" t="n">
        <f aca="false">AX897+IF(AND(C898&lt;&gt;"",OR(F898="LOC - INITIAL",F898="CONSOLIDATION - UPFRONT COMM",F898="REVERSE - TOTAL FUNDING")),1,0)</f>
        <v>0</v>
      </c>
    </row>
    <row r="899" customFormat="false" ht="15" hidden="false" customHeight="false" outlineLevel="0" collapsed="false">
      <c r="A899" s="25" t="str">
        <f aca="false">IF(C899&lt;&gt;"","F27-"&amp;COUNT($C$4:C899),"")</f>
        <v/>
      </c>
      <c r="B899" s="26" t="str">
        <f aca="false">IF(OR(F899="LOC - INITIAL",F899="CONSOLIDATION - UPFRONT COMM",F899="REVERSE - TOTAL FUNDING"),A899,"")</f>
        <v/>
      </c>
      <c r="C899" s="27"/>
      <c r="D899" s="28"/>
      <c r="E899" s="28"/>
      <c r="F899" s="28"/>
      <c r="G899" s="29"/>
      <c r="H899" s="30"/>
      <c r="I899" s="28"/>
      <c r="J899" s="31" t="str">
        <f aca="false">IF(AND(G899&lt;&gt;"",H899&lt;&gt;""),G899*H899,"")</f>
        <v/>
      </c>
      <c r="K899" s="28"/>
      <c r="L899" s="32"/>
      <c r="M899" s="32"/>
      <c r="N899" s="31" t="n">
        <f aca="false">IF(OR(G899="",M899=""),0,IF(M899&gt;100,M899,G899*IF(M899&gt;1,M899/100,M899)))</f>
        <v>0</v>
      </c>
      <c r="O899" s="31" t="str">
        <f aca="false">IF(G899="","",G899*IF(L899="",0,IF(L899&gt;1,L899/100,L899))+N899)</f>
        <v/>
      </c>
      <c r="P899" s="28"/>
      <c r="Q899" s="33" t="str">
        <f aca="false">IF(P899="","",IFERROR(VLOOKUP(P899,PARTNERS!$A$2:$B$30,2,0),""))</f>
        <v/>
      </c>
      <c r="R899" s="17" t="str">
        <f aca="false">IF(O899="","",IF(OR(P899="",Q899=""),0,(O899-N899)*IF(Q899&gt;1,Q899/100,Q899)))</f>
        <v/>
      </c>
      <c r="S899" s="31" t="str">
        <f aca="false">IF(O899="","",O899-R899)</f>
        <v/>
      </c>
      <c r="T899" s="28"/>
      <c r="U899" s="34" t="str">
        <f aca="false">IF(T899="","",IFERROR(VLOOKUP(T899,REPS!$A$2:$D$40,2,0),""))</f>
        <v/>
      </c>
      <c r="V899" s="31" t="str">
        <f aca="false">IF(O899="","",IF(U899="",0,O899*IF(U899&gt;1,U899/100,U899)))</f>
        <v/>
      </c>
      <c r="W899" s="28"/>
      <c r="X899" s="34" t="str">
        <f aca="false">IF(W899="","",IFERROR(VLOOKUP(W899,REPS!$A$2:$D$40,3,0),""))</f>
        <v/>
      </c>
      <c r="Y899" s="31" t="str">
        <f aca="false">IF(O899="","",IF(X899="",0,O899*IF(X899&gt;1,X899/100,X899)))</f>
        <v/>
      </c>
      <c r="Z899" s="28"/>
      <c r="AA899" s="34" t="str">
        <f aca="false">IF(Z899="","",IFERROR(VLOOKUP(Z899,REPS!$A$2:$D$40,4,0),""))</f>
        <v/>
      </c>
      <c r="AB899" s="31" t="str">
        <f aca="false">IF(O899="","",IF(AA899="",0,O899*IF(AA899&gt;1,AA899/100,AA899)))</f>
        <v/>
      </c>
      <c r="AC899" s="31" t="str">
        <f aca="false">IF(O899="","",V899+Y899+AB899)</f>
        <v/>
      </c>
      <c r="AD899" s="19" t="str">
        <f aca="false">IF(O899="","",O899-R899-AC899)</f>
        <v/>
      </c>
      <c r="AE899" s="20"/>
      <c r="AF899" s="27"/>
      <c r="AG899" s="21" t="n">
        <f aca="false">IF(OR(AE899="",AE899=0),0,AE899*IF(U899="",0,IF(U899&gt;1,U899/100,U899)))</f>
        <v>0</v>
      </c>
      <c r="AH899" s="21" t="n">
        <f aca="false">IF(OR(AE899="",AE899=0),0,AE899*IF(X899="",0,IF(X899&gt;1,X899/100,X899)))</f>
        <v>0</v>
      </c>
      <c r="AI899" s="21" t="n">
        <f aca="false">IF(OR(AE899="",AE899=0),0,AE899*IF(AA899="",0,IF(AA899&gt;1,AA899/100,AA899)))</f>
        <v>0</v>
      </c>
      <c r="AJ899" s="21" t="n">
        <f aca="false">AG899+AH899+AI899</f>
        <v>0</v>
      </c>
      <c r="AK899" s="21" t="n">
        <f aca="false">IF(OR(AE899="",AE899=0),0,AE899-AJ899)</f>
        <v>0</v>
      </c>
      <c r="AL899" s="19" t="str">
        <f aca="false">IF(AD899="","",AD899-AK899)</f>
        <v/>
      </c>
      <c r="AM899" s="26" t="str">
        <f aca="false">IF(C899="","","Waiting for payment")</f>
        <v/>
      </c>
      <c r="AN899" s="27"/>
      <c r="AO899" s="27"/>
      <c r="AP899" s="35" t="str">
        <f aca="false">IF(OR(C899="",I899="",K899=""),"",IF(K899="Monthly",EDATE(C899,ROUND(I899*SETTINGS!$I$8,0)),WORKDAY(C899,ROUND(I899*SETTINGS!$I$8,0))))</f>
        <v/>
      </c>
      <c r="AQ899" s="26" t="str">
        <f aca="true">IF(C899="","",IF(AND(AP899&lt;&gt;"",TODAY()&gt;=AP899),"Refi Ready",IF(TODAY()-C899&gt;=SETTINGS!$I$11,"Prospecting","Performing")))</f>
        <v/>
      </c>
      <c r="AR899" s="35" t="str">
        <f aca="false">IF(OR(C899="",I899="",K899=""),"",IF(K899="Monthly",EDATE(C899,I899),WORKDAY(C899,I899)))</f>
        <v/>
      </c>
      <c r="AS899" s="28"/>
      <c r="AT899" s="36" t="str">
        <f aca="true">IF(C899="","",IF(AM899="Clawed Back","CLAWED",IF(TODAY()&lt;=C899+SETTINGS!$I$2,"⚠ AT RISK","SAFE")))</f>
        <v/>
      </c>
      <c r="AU899" s="28"/>
      <c r="AW899" s="24" t="n">
        <f aca="false">AW898+IF(AND(C899&lt;&gt;"",AO899&lt;&gt;"",OR('REP COMMISSION'!$B$3="",T899='REP COMMISSION'!$B$3,W899='REP COMMISSION'!$B$3,Z899='REP COMMISSION'!$B$3)),1,0)</f>
        <v>0</v>
      </c>
      <c r="AX899" s="24" t="n">
        <f aca="false">AX898+IF(AND(C899&lt;&gt;"",OR(F899="LOC - INITIAL",F899="CONSOLIDATION - UPFRONT COMM",F899="REVERSE - TOTAL FUNDING")),1,0)</f>
        <v>0</v>
      </c>
    </row>
    <row r="900" customFormat="false" ht="15" hidden="false" customHeight="false" outlineLevel="0" collapsed="false">
      <c r="A900" s="8" t="str">
        <f aca="false">IF(C900&lt;&gt;"","F27-"&amp;COUNT($C$4:C900),"")</f>
        <v/>
      </c>
      <c r="B900" s="9" t="str">
        <f aca="false">IF(OR(F900="LOC - INITIAL",F900="CONSOLIDATION - UPFRONT COMM",F900="REVERSE - TOTAL FUNDING"),A900,"")</f>
        <v/>
      </c>
      <c r="C900" s="10"/>
      <c r="D900" s="11"/>
      <c r="E900" s="11"/>
      <c r="F900" s="11"/>
      <c r="G900" s="12"/>
      <c r="H900" s="13"/>
      <c r="I900" s="11"/>
      <c r="J900" s="14" t="str">
        <f aca="false">IF(AND(G900&lt;&gt;"",H900&lt;&gt;""),G900*H900,"")</f>
        <v/>
      </c>
      <c r="K900" s="11"/>
      <c r="L900" s="15"/>
      <c r="M900" s="15"/>
      <c r="N900" s="14" t="n">
        <f aca="false">IF(OR(G900="",M900=""),0,IF(M900&gt;100,M900,G900*IF(M900&gt;1,M900/100,M900)))</f>
        <v>0</v>
      </c>
      <c r="O900" s="14" t="str">
        <f aca="false">IF(G900="","",G900*IF(L900="",0,IF(L900&gt;1,L900/100,L900))+N900)</f>
        <v/>
      </c>
      <c r="P900" s="11"/>
      <c r="Q900" s="16" t="str">
        <f aca="false">IF(P900="","",IFERROR(VLOOKUP(P900,PARTNERS!$A$2:$B$30,2,0),""))</f>
        <v/>
      </c>
      <c r="R900" s="17" t="str">
        <f aca="false">IF(O900="","",IF(OR(P900="",Q900=""),0,(O900-N900)*IF(Q900&gt;1,Q900/100,Q900)))</f>
        <v/>
      </c>
      <c r="S900" s="14" t="str">
        <f aca="false">IF(O900="","",O900-R900)</f>
        <v/>
      </c>
      <c r="T900" s="11"/>
      <c r="U900" s="18" t="str">
        <f aca="false">IF(T900="","",IFERROR(VLOOKUP(T900,REPS!$A$2:$D$40,2,0),""))</f>
        <v/>
      </c>
      <c r="V900" s="14" t="str">
        <f aca="false">IF(O900="","",IF(U900="",0,O900*IF(U900&gt;1,U900/100,U900)))</f>
        <v/>
      </c>
      <c r="W900" s="11"/>
      <c r="X900" s="18" t="str">
        <f aca="false">IF(W900="","",IFERROR(VLOOKUP(W900,REPS!$A$2:$D$40,3,0),""))</f>
        <v/>
      </c>
      <c r="Y900" s="14" t="str">
        <f aca="false">IF(O900="","",IF(X900="",0,O900*IF(X900&gt;1,X900/100,X900)))</f>
        <v/>
      </c>
      <c r="Z900" s="11"/>
      <c r="AA900" s="18" t="str">
        <f aca="false">IF(Z900="","",IFERROR(VLOOKUP(Z900,REPS!$A$2:$D$40,4,0),""))</f>
        <v/>
      </c>
      <c r="AB900" s="14" t="str">
        <f aca="false">IF(O900="","",IF(AA900="",0,O900*IF(AA900&gt;1,AA900/100,AA900)))</f>
        <v/>
      </c>
      <c r="AC900" s="14" t="str">
        <f aca="false">IF(O900="","",V900+Y900+AB900)</f>
        <v/>
      </c>
      <c r="AD900" s="19" t="str">
        <f aca="false">IF(O900="","",O900-R900-AC900)</f>
        <v/>
      </c>
      <c r="AE900" s="20"/>
      <c r="AF900" s="10"/>
      <c r="AG900" s="21" t="n">
        <f aca="false">IF(OR(AE900="",AE900=0),0,AE900*IF(U900="",0,IF(U900&gt;1,U900/100,U900)))</f>
        <v>0</v>
      </c>
      <c r="AH900" s="21" t="n">
        <f aca="false">IF(OR(AE900="",AE900=0),0,AE900*IF(X900="",0,IF(X900&gt;1,X900/100,X900)))</f>
        <v>0</v>
      </c>
      <c r="AI900" s="21" t="n">
        <f aca="false">IF(OR(AE900="",AE900=0),0,AE900*IF(AA900="",0,IF(AA900&gt;1,AA900/100,AA900)))</f>
        <v>0</v>
      </c>
      <c r="AJ900" s="21" t="n">
        <f aca="false">AG900+AH900+AI900</f>
        <v>0</v>
      </c>
      <c r="AK900" s="21" t="n">
        <f aca="false">IF(OR(AE900="",AE900=0),0,AE900-AJ900)</f>
        <v>0</v>
      </c>
      <c r="AL900" s="19" t="str">
        <f aca="false">IF(AD900="","",AD900-AK900)</f>
        <v/>
      </c>
      <c r="AM900" s="9" t="str">
        <f aca="false">IF(C900="","","Waiting for payment")</f>
        <v/>
      </c>
      <c r="AN900" s="10"/>
      <c r="AO900" s="10"/>
      <c r="AP900" s="22" t="str">
        <f aca="false">IF(OR(C900="",I900="",K900=""),"",IF(K900="Monthly",EDATE(C900,ROUND(I900*SETTINGS!$I$8,0)),WORKDAY(C900,ROUND(I900*SETTINGS!$I$8,0))))</f>
        <v/>
      </c>
      <c r="AQ900" s="9" t="str">
        <f aca="true">IF(C900="","",IF(AND(AP900&lt;&gt;"",TODAY()&gt;=AP900),"Refi Ready",IF(TODAY()-C900&gt;=SETTINGS!$I$11,"Prospecting","Performing")))</f>
        <v/>
      </c>
      <c r="AR900" s="22" t="str">
        <f aca="false">IF(OR(C900="",I900="",K900=""),"",IF(K900="Monthly",EDATE(C900,I900),WORKDAY(C900,I900)))</f>
        <v/>
      </c>
      <c r="AS900" s="11"/>
      <c r="AT900" s="23" t="str">
        <f aca="true">IF(C900="","",IF(AM900="Clawed Back","CLAWED",IF(TODAY()&lt;=C900+SETTINGS!$I$2,"⚠ AT RISK","SAFE")))</f>
        <v/>
      </c>
      <c r="AU900" s="11"/>
      <c r="AW900" s="24" t="n">
        <f aca="false">AW899+IF(AND(C900&lt;&gt;"",AO900&lt;&gt;"",OR('REP COMMISSION'!$B$3="",T900='REP COMMISSION'!$B$3,W900='REP COMMISSION'!$B$3,Z900='REP COMMISSION'!$B$3)),1,0)</f>
        <v>0</v>
      </c>
      <c r="AX900" s="24" t="n">
        <f aca="false">AX899+IF(AND(C900&lt;&gt;"",OR(F900="LOC - INITIAL",F900="CONSOLIDATION - UPFRONT COMM",F900="REVERSE - TOTAL FUNDING")),1,0)</f>
        <v>0</v>
      </c>
    </row>
    <row r="901" customFormat="false" ht="15" hidden="false" customHeight="false" outlineLevel="0" collapsed="false">
      <c r="A901" s="25" t="str">
        <f aca="false">IF(C901&lt;&gt;"","F27-"&amp;COUNT($C$4:C901),"")</f>
        <v/>
      </c>
      <c r="B901" s="26" t="str">
        <f aca="false">IF(OR(F901="LOC - INITIAL",F901="CONSOLIDATION - UPFRONT COMM",F901="REVERSE - TOTAL FUNDING"),A901,"")</f>
        <v/>
      </c>
      <c r="C901" s="27"/>
      <c r="D901" s="28"/>
      <c r="E901" s="28"/>
      <c r="F901" s="28"/>
      <c r="G901" s="29"/>
      <c r="H901" s="30"/>
      <c r="I901" s="28"/>
      <c r="J901" s="31" t="str">
        <f aca="false">IF(AND(G901&lt;&gt;"",H901&lt;&gt;""),G901*H901,"")</f>
        <v/>
      </c>
      <c r="K901" s="28"/>
      <c r="L901" s="32"/>
      <c r="M901" s="32"/>
      <c r="N901" s="31" t="n">
        <f aca="false">IF(OR(G901="",M901=""),0,IF(M901&gt;100,M901,G901*IF(M901&gt;1,M901/100,M901)))</f>
        <v>0</v>
      </c>
      <c r="O901" s="31" t="str">
        <f aca="false">IF(G901="","",G901*IF(L901="",0,IF(L901&gt;1,L901/100,L901))+N901)</f>
        <v/>
      </c>
      <c r="P901" s="28"/>
      <c r="Q901" s="33" t="str">
        <f aca="false">IF(P901="","",IFERROR(VLOOKUP(P901,PARTNERS!$A$2:$B$30,2,0),""))</f>
        <v/>
      </c>
      <c r="R901" s="17" t="str">
        <f aca="false">IF(O901="","",IF(OR(P901="",Q901=""),0,(O901-N901)*IF(Q901&gt;1,Q901/100,Q901)))</f>
        <v/>
      </c>
      <c r="S901" s="31" t="str">
        <f aca="false">IF(O901="","",O901-R901)</f>
        <v/>
      </c>
      <c r="T901" s="28"/>
      <c r="U901" s="34" t="str">
        <f aca="false">IF(T901="","",IFERROR(VLOOKUP(T901,REPS!$A$2:$D$40,2,0),""))</f>
        <v/>
      </c>
      <c r="V901" s="31" t="str">
        <f aca="false">IF(O901="","",IF(U901="",0,O901*IF(U901&gt;1,U901/100,U901)))</f>
        <v/>
      </c>
      <c r="W901" s="28"/>
      <c r="X901" s="34" t="str">
        <f aca="false">IF(W901="","",IFERROR(VLOOKUP(W901,REPS!$A$2:$D$40,3,0),""))</f>
        <v/>
      </c>
      <c r="Y901" s="31" t="str">
        <f aca="false">IF(O901="","",IF(X901="",0,O901*IF(X901&gt;1,X901/100,X901)))</f>
        <v/>
      </c>
      <c r="Z901" s="28"/>
      <c r="AA901" s="34" t="str">
        <f aca="false">IF(Z901="","",IFERROR(VLOOKUP(Z901,REPS!$A$2:$D$40,4,0),""))</f>
        <v/>
      </c>
      <c r="AB901" s="31" t="str">
        <f aca="false">IF(O901="","",IF(AA901="",0,O901*IF(AA901&gt;1,AA901/100,AA901)))</f>
        <v/>
      </c>
      <c r="AC901" s="31" t="str">
        <f aca="false">IF(O901="","",V901+Y901+AB901)</f>
        <v/>
      </c>
      <c r="AD901" s="19" t="str">
        <f aca="false">IF(O901="","",O901-R901-AC901)</f>
        <v/>
      </c>
      <c r="AE901" s="20"/>
      <c r="AF901" s="27"/>
      <c r="AG901" s="21" t="n">
        <f aca="false">IF(OR(AE901="",AE901=0),0,AE901*IF(U901="",0,IF(U901&gt;1,U901/100,U901)))</f>
        <v>0</v>
      </c>
      <c r="AH901" s="21" t="n">
        <f aca="false">IF(OR(AE901="",AE901=0),0,AE901*IF(X901="",0,IF(X901&gt;1,X901/100,X901)))</f>
        <v>0</v>
      </c>
      <c r="AI901" s="21" t="n">
        <f aca="false">IF(OR(AE901="",AE901=0),0,AE901*IF(AA901="",0,IF(AA901&gt;1,AA901/100,AA901)))</f>
        <v>0</v>
      </c>
      <c r="AJ901" s="21" t="n">
        <f aca="false">AG901+AH901+AI901</f>
        <v>0</v>
      </c>
      <c r="AK901" s="21" t="n">
        <f aca="false">IF(OR(AE901="",AE901=0),0,AE901-AJ901)</f>
        <v>0</v>
      </c>
      <c r="AL901" s="19" t="str">
        <f aca="false">IF(AD901="","",AD901-AK901)</f>
        <v/>
      </c>
      <c r="AM901" s="26" t="str">
        <f aca="false">IF(C901="","","Waiting for payment")</f>
        <v/>
      </c>
      <c r="AN901" s="27"/>
      <c r="AO901" s="27"/>
      <c r="AP901" s="35" t="str">
        <f aca="false">IF(OR(C901="",I901="",K901=""),"",IF(K901="Monthly",EDATE(C901,ROUND(I901*SETTINGS!$I$8,0)),WORKDAY(C901,ROUND(I901*SETTINGS!$I$8,0))))</f>
        <v/>
      </c>
      <c r="AQ901" s="26" t="str">
        <f aca="true">IF(C901="","",IF(AND(AP901&lt;&gt;"",TODAY()&gt;=AP901),"Refi Ready",IF(TODAY()-C901&gt;=SETTINGS!$I$11,"Prospecting","Performing")))</f>
        <v/>
      </c>
      <c r="AR901" s="35" t="str">
        <f aca="false">IF(OR(C901="",I901="",K901=""),"",IF(K901="Monthly",EDATE(C901,I901),WORKDAY(C901,I901)))</f>
        <v/>
      </c>
      <c r="AS901" s="28"/>
      <c r="AT901" s="36" t="str">
        <f aca="true">IF(C901="","",IF(AM901="Clawed Back","CLAWED",IF(TODAY()&lt;=C901+SETTINGS!$I$2,"⚠ AT RISK","SAFE")))</f>
        <v/>
      </c>
      <c r="AU901" s="28"/>
      <c r="AW901" s="24" t="n">
        <f aca="false">AW900+IF(AND(C901&lt;&gt;"",AO901&lt;&gt;"",OR('REP COMMISSION'!$B$3="",T901='REP COMMISSION'!$B$3,W901='REP COMMISSION'!$B$3,Z901='REP COMMISSION'!$B$3)),1,0)</f>
        <v>0</v>
      </c>
      <c r="AX901" s="24" t="n">
        <f aca="false">AX900+IF(AND(C901&lt;&gt;"",OR(F901="LOC - INITIAL",F901="CONSOLIDATION - UPFRONT COMM",F901="REVERSE - TOTAL FUNDING")),1,0)</f>
        <v>0</v>
      </c>
    </row>
    <row r="902" customFormat="false" ht="15" hidden="false" customHeight="false" outlineLevel="0" collapsed="false">
      <c r="A902" s="8" t="str">
        <f aca="false">IF(C902&lt;&gt;"","F27-"&amp;COUNT($C$4:C902),"")</f>
        <v/>
      </c>
      <c r="B902" s="9" t="str">
        <f aca="false">IF(OR(F902="LOC - INITIAL",F902="CONSOLIDATION - UPFRONT COMM",F902="REVERSE - TOTAL FUNDING"),A902,"")</f>
        <v/>
      </c>
      <c r="C902" s="10"/>
      <c r="D902" s="11"/>
      <c r="E902" s="11"/>
      <c r="F902" s="11"/>
      <c r="G902" s="12"/>
      <c r="H902" s="13"/>
      <c r="I902" s="11"/>
      <c r="J902" s="14" t="str">
        <f aca="false">IF(AND(G902&lt;&gt;"",H902&lt;&gt;""),G902*H902,"")</f>
        <v/>
      </c>
      <c r="K902" s="11"/>
      <c r="L902" s="15"/>
      <c r="M902" s="15"/>
      <c r="N902" s="14" t="n">
        <f aca="false">IF(OR(G902="",M902=""),0,IF(M902&gt;100,M902,G902*IF(M902&gt;1,M902/100,M902)))</f>
        <v>0</v>
      </c>
      <c r="O902" s="14" t="str">
        <f aca="false">IF(G902="","",G902*IF(L902="",0,IF(L902&gt;1,L902/100,L902))+N902)</f>
        <v/>
      </c>
      <c r="P902" s="11"/>
      <c r="Q902" s="16" t="str">
        <f aca="false">IF(P902="","",IFERROR(VLOOKUP(P902,PARTNERS!$A$2:$B$30,2,0),""))</f>
        <v/>
      </c>
      <c r="R902" s="17" t="str">
        <f aca="false">IF(O902="","",IF(OR(P902="",Q902=""),0,(O902-N902)*IF(Q902&gt;1,Q902/100,Q902)))</f>
        <v/>
      </c>
      <c r="S902" s="14" t="str">
        <f aca="false">IF(O902="","",O902-R902)</f>
        <v/>
      </c>
      <c r="T902" s="11"/>
      <c r="U902" s="18" t="str">
        <f aca="false">IF(T902="","",IFERROR(VLOOKUP(T902,REPS!$A$2:$D$40,2,0),""))</f>
        <v/>
      </c>
      <c r="V902" s="14" t="str">
        <f aca="false">IF(O902="","",IF(U902="",0,O902*IF(U902&gt;1,U902/100,U902)))</f>
        <v/>
      </c>
      <c r="W902" s="11"/>
      <c r="X902" s="18" t="str">
        <f aca="false">IF(W902="","",IFERROR(VLOOKUP(W902,REPS!$A$2:$D$40,3,0),""))</f>
        <v/>
      </c>
      <c r="Y902" s="14" t="str">
        <f aca="false">IF(O902="","",IF(X902="",0,O902*IF(X902&gt;1,X902/100,X902)))</f>
        <v/>
      </c>
      <c r="Z902" s="11"/>
      <c r="AA902" s="18" t="str">
        <f aca="false">IF(Z902="","",IFERROR(VLOOKUP(Z902,REPS!$A$2:$D$40,4,0),""))</f>
        <v/>
      </c>
      <c r="AB902" s="14" t="str">
        <f aca="false">IF(O902="","",IF(AA902="",0,O902*IF(AA902&gt;1,AA902/100,AA902)))</f>
        <v/>
      </c>
      <c r="AC902" s="14" t="str">
        <f aca="false">IF(O902="","",V902+Y902+AB902)</f>
        <v/>
      </c>
      <c r="AD902" s="19" t="str">
        <f aca="false">IF(O902="","",O902-R902-AC902)</f>
        <v/>
      </c>
      <c r="AE902" s="20"/>
      <c r="AF902" s="10"/>
      <c r="AG902" s="21" t="n">
        <f aca="false">IF(OR(AE902="",AE902=0),0,AE902*IF(U902="",0,IF(U902&gt;1,U902/100,U902)))</f>
        <v>0</v>
      </c>
      <c r="AH902" s="21" t="n">
        <f aca="false">IF(OR(AE902="",AE902=0),0,AE902*IF(X902="",0,IF(X902&gt;1,X902/100,X902)))</f>
        <v>0</v>
      </c>
      <c r="AI902" s="21" t="n">
        <f aca="false">IF(OR(AE902="",AE902=0),0,AE902*IF(AA902="",0,IF(AA902&gt;1,AA902/100,AA902)))</f>
        <v>0</v>
      </c>
      <c r="AJ902" s="21" t="n">
        <f aca="false">AG902+AH902+AI902</f>
        <v>0</v>
      </c>
      <c r="AK902" s="21" t="n">
        <f aca="false">IF(OR(AE902="",AE902=0),0,AE902-AJ902)</f>
        <v>0</v>
      </c>
      <c r="AL902" s="19" t="str">
        <f aca="false">IF(AD902="","",AD902-AK902)</f>
        <v/>
      </c>
      <c r="AM902" s="9" t="str">
        <f aca="false">IF(C902="","","Waiting for payment")</f>
        <v/>
      </c>
      <c r="AN902" s="10"/>
      <c r="AO902" s="10"/>
      <c r="AP902" s="22" t="str">
        <f aca="false">IF(OR(C902="",I902="",K902=""),"",IF(K902="Monthly",EDATE(C902,ROUND(I902*SETTINGS!$I$8,0)),WORKDAY(C902,ROUND(I902*SETTINGS!$I$8,0))))</f>
        <v/>
      </c>
      <c r="AQ902" s="9" t="str">
        <f aca="true">IF(C902="","",IF(AND(AP902&lt;&gt;"",TODAY()&gt;=AP902),"Refi Ready",IF(TODAY()-C902&gt;=SETTINGS!$I$11,"Prospecting","Performing")))</f>
        <v/>
      </c>
      <c r="AR902" s="22" t="str">
        <f aca="false">IF(OR(C902="",I902="",K902=""),"",IF(K902="Monthly",EDATE(C902,I902),WORKDAY(C902,I902)))</f>
        <v/>
      </c>
      <c r="AS902" s="11"/>
      <c r="AT902" s="23" t="str">
        <f aca="true">IF(C902="","",IF(AM902="Clawed Back","CLAWED",IF(TODAY()&lt;=C902+SETTINGS!$I$2,"⚠ AT RISK","SAFE")))</f>
        <v/>
      </c>
      <c r="AU902" s="11"/>
      <c r="AW902" s="24" t="n">
        <f aca="false">AW901+IF(AND(C902&lt;&gt;"",AO902&lt;&gt;"",OR('REP COMMISSION'!$B$3="",T902='REP COMMISSION'!$B$3,W902='REP COMMISSION'!$B$3,Z902='REP COMMISSION'!$B$3)),1,0)</f>
        <v>0</v>
      </c>
      <c r="AX902" s="24" t="n">
        <f aca="false">AX901+IF(AND(C902&lt;&gt;"",OR(F902="LOC - INITIAL",F902="CONSOLIDATION - UPFRONT COMM",F902="REVERSE - TOTAL FUNDING")),1,0)</f>
        <v>0</v>
      </c>
    </row>
    <row r="903" customFormat="false" ht="15" hidden="false" customHeight="false" outlineLevel="0" collapsed="false">
      <c r="A903" s="25" t="str">
        <f aca="false">IF(C903&lt;&gt;"","F27-"&amp;COUNT($C$4:C903),"")</f>
        <v/>
      </c>
      <c r="B903" s="26" t="str">
        <f aca="false">IF(OR(F903="LOC - INITIAL",F903="CONSOLIDATION - UPFRONT COMM",F903="REVERSE - TOTAL FUNDING"),A903,"")</f>
        <v/>
      </c>
      <c r="C903" s="27"/>
      <c r="D903" s="28"/>
      <c r="E903" s="28"/>
      <c r="F903" s="28"/>
      <c r="G903" s="29"/>
      <c r="H903" s="30"/>
      <c r="I903" s="28"/>
      <c r="J903" s="31" t="str">
        <f aca="false">IF(AND(G903&lt;&gt;"",H903&lt;&gt;""),G903*H903,"")</f>
        <v/>
      </c>
      <c r="K903" s="28"/>
      <c r="L903" s="32"/>
      <c r="M903" s="32"/>
      <c r="N903" s="31" t="n">
        <f aca="false">IF(OR(G903="",M903=""),0,IF(M903&gt;100,M903,G903*IF(M903&gt;1,M903/100,M903)))</f>
        <v>0</v>
      </c>
      <c r="O903" s="31" t="str">
        <f aca="false">IF(G903="","",G903*IF(L903="",0,IF(L903&gt;1,L903/100,L903))+N903)</f>
        <v/>
      </c>
      <c r="P903" s="28"/>
      <c r="Q903" s="33" t="str">
        <f aca="false">IF(P903="","",IFERROR(VLOOKUP(P903,PARTNERS!$A$2:$B$30,2,0),""))</f>
        <v/>
      </c>
      <c r="R903" s="17" t="str">
        <f aca="false">IF(O903="","",IF(OR(P903="",Q903=""),0,(O903-N903)*IF(Q903&gt;1,Q903/100,Q903)))</f>
        <v/>
      </c>
      <c r="S903" s="31" t="str">
        <f aca="false">IF(O903="","",O903-R903)</f>
        <v/>
      </c>
      <c r="T903" s="28"/>
      <c r="U903" s="34" t="str">
        <f aca="false">IF(T903="","",IFERROR(VLOOKUP(T903,REPS!$A$2:$D$40,2,0),""))</f>
        <v/>
      </c>
      <c r="V903" s="31" t="str">
        <f aca="false">IF(O903="","",IF(U903="",0,O903*IF(U903&gt;1,U903/100,U903)))</f>
        <v/>
      </c>
      <c r="W903" s="28"/>
      <c r="X903" s="34" t="str">
        <f aca="false">IF(W903="","",IFERROR(VLOOKUP(W903,REPS!$A$2:$D$40,3,0),""))</f>
        <v/>
      </c>
      <c r="Y903" s="31" t="str">
        <f aca="false">IF(O903="","",IF(X903="",0,O903*IF(X903&gt;1,X903/100,X903)))</f>
        <v/>
      </c>
      <c r="Z903" s="28"/>
      <c r="AA903" s="34" t="str">
        <f aca="false">IF(Z903="","",IFERROR(VLOOKUP(Z903,REPS!$A$2:$D$40,4,0),""))</f>
        <v/>
      </c>
      <c r="AB903" s="31" t="str">
        <f aca="false">IF(O903="","",IF(AA903="",0,O903*IF(AA903&gt;1,AA903/100,AA903)))</f>
        <v/>
      </c>
      <c r="AC903" s="31" t="str">
        <f aca="false">IF(O903="","",V903+Y903+AB903)</f>
        <v/>
      </c>
      <c r="AD903" s="19" t="str">
        <f aca="false">IF(O903="","",O903-R903-AC903)</f>
        <v/>
      </c>
      <c r="AE903" s="20"/>
      <c r="AF903" s="27"/>
      <c r="AG903" s="21" t="n">
        <f aca="false">IF(OR(AE903="",AE903=0),0,AE903*IF(U903="",0,IF(U903&gt;1,U903/100,U903)))</f>
        <v>0</v>
      </c>
      <c r="AH903" s="21" t="n">
        <f aca="false">IF(OR(AE903="",AE903=0),0,AE903*IF(X903="",0,IF(X903&gt;1,X903/100,X903)))</f>
        <v>0</v>
      </c>
      <c r="AI903" s="21" t="n">
        <f aca="false">IF(OR(AE903="",AE903=0),0,AE903*IF(AA903="",0,IF(AA903&gt;1,AA903/100,AA903)))</f>
        <v>0</v>
      </c>
      <c r="AJ903" s="21" t="n">
        <f aca="false">AG903+AH903+AI903</f>
        <v>0</v>
      </c>
      <c r="AK903" s="21" t="n">
        <f aca="false">IF(OR(AE903="",AE903=0),0,AE903-AJ903)</f>
        <v>0</v>
      </c>
      <c r="AL903" s="19" t="str">
        <f aca="false">IF(AD903="","",AD903-AK903)</f>
        <v/>
      </c>
      <c r="AM903" s="26" t="str">
        <f aca="false">IF(C903="","","Waiting for payment")</f>
        <v/>
      </c>
      <c r="AN903" s="27"/>
      <c r="AO903" s="27"/>
      <c r="AP903" s="35" t="str">
        <f aca="false">IF(OR(C903="",I903="",K903=""),"",IF(K903="Monthly",EDATE(C903,ROUND(I903*SETTINGS!$I$8,0)),WORKDAY(C903,ROUND(I903*SETTINGS!$I$8,0))))</f>
        <v/>
      </c>
      <c r="AQ903" s="26" t="str">
        <f aca="true">IF(C903="","",IF(AND(AP903&lt;&gt;"",TODAY()&gt;=AP903),"Refi Ready",IF(TODAY()-C903&gt;=SETTINGS!$I$11,"Prospecting","Performing")))</f>
        <v/>
      </c>
      <c r="AR903" s="35" t="str">
        <f aca="false">IF(OR(C903="",I903="",K903=""),"",IF(K903="Monthly",EDATE(C903,I903),WORKDAY(C903,I903)))</f>
        <v/>
      </c>
      <c r="AS903" s="28"/>
      <c r="AT903" s="36" t="str">
        <f aca="true">IF(C903="","",IF(AM903="Clawed Back","CLAWED",IF(TODAY()&lt;=C903+SETTINGS!$I$2,"⚠ AT RISK","SAFE")))</f>
        <v/>
      </c>
      <c r="AU903" s="28"/>
      <c r="AW903" s="24" t="n">
        <f aca="false">AW902+IF(AND(C903&lt;&gt;"",AO903&lt;&gt;"",OR('REP COMMISSION'!$B$3="",T903='REP COMMISSION'!$B$3,W903='REP COMMISSION'!$B$3,Z903='REP COMMISSION'!$B$3)),1,0)</f>
        <v>0</v>
      </c>
      <c r="AX903" s="24" t="n">
        <f aca="false">AX902+IF(AND(C903&lt;&gt;"",OR(F903="LOC - INITIAL",F903="CONSOLIDATION - UPFRONT COMM",F903="REVERSE - TOTAL FUNDING")),1,0)</f>
        <v>0</v>
      </c>
    </row>
    <row r="904" customFormat="false" ht="15" hidden="false" customHeight="false" outlineLevel="0" collapsed="false">
      <c r="A904" s="8" t="str">
        <f aca="false">IF(C904&lt;&gt;"","F27-"&amp;COUNT($C$4:C904),"")</f>
        <v/>
      </c>
      <c r="B904" s="9" t="str">
        <f aca="false">IF(OR(F904="LOC - INITIAL",F904="CONSOLIDATION - UPFRONT COMM",F904="REVERSE - TOTAL FUNDING"),A904,"")</f>
        <v/>
      </c>
      <c r="C904" s="10"/>
      <c r="D904" s="11"/>
      <c r="E904" s="11"/>
      <c r="F904" s="11"/>
      <c r="G904" s="12"/>
      <c r="H904" s="13"/>
      <c r="I904" s="11"/>
      <c r="J904" s="14" t="str">
        <f aca="false">IF(AND(G904&lt;&gt;"",H904&lt;&gt;""),G904*H904,"")</f>
        <v/>
      </c>
      <c r="K904" s="11"/>
      <c r="L904" s="15"/>
      <c r="M904" s="15"/>
      <c r="N904" s="14" t="n">
        <f aca="false">IF(OR(G904="",M904=""),0,IF(M904&gt;100,M904,G904*IF(M904&gt;1,M904/100,M904)))</f>
        <v>0</v>
      </c>
      <c r="O904" s="14" t="str">
        <f aca="false">IF(G904="","",G904*IF(L904="",0,IF(L904&gt;1,L904/100,L904))+N904)</f>
        <v/>
      </c>
      <c r="P904" s="11"/>
      <c r="Q904" s="16" t="str">
        <f aca="false">IF(P904="","",IFERROR(VLOOKUP(P904,PARTNERS!$A$2:$B$30,2,0),""))</f>
        <v/>
      </c>
      <c r="R904" s="17" t="str">
        <f aca="false">IF(O904="","",IF(OR(P904="",Q904=""),0,(O904-N904)*IF(Q904&gt;1,Q904/100,Q904)))</f>
        <v/>
      </c>
      <c r="S904" s="14" t="str">
        <f aca="false">IF(O904="","",O904-R904)</f>
        <v/>
      </c>
      <c r="T904" s="11"/>
      <c r="U904" s="18" t="str">
        <f aca="false">IF(T904="","",IFERROR(VLOOKUP(T904,REPS!$A$2:$D$40,2,0),""))</f>
        <v/>
      </c>
      <c r="V904" s="14" t="str">
        <f aca="false">IF(O904="","",IF(U904="",0,O904*IF(U904&gt;1,U904/100,U904)))</f>
        <v/>
      </c>
      <c r="W904" s="11"/>
      <c r="X904" s="18" t="str">
        <f aca="false">IF(W904="","",IFERROR(VLOOKUP(W904,REPS!$A$2:$D$40,3,0),""))</f>
        <v/>
      </c>
      <c r="Y904" s="14" t="str">
        <f aca="false">IF(O904="","",IF(X904="",0,O904*IF(X904&gt;1,X904/100,X904)))</f>
        <v/>
      </c>
      <c r="Z904" s="11"/>
      <c r="AA904" s="18" t="str">
        <f aca="false">IF(Z904="","",IFERROR(VLOOKUP(Z904,REPS!$A$2:$D$40,4,0),""))</f>
        <v/>
      </c>
      <c r="AB904" s="14" t="str">
        <f aca="false">IF(O904="","",IF(AA904="",0,O904*IF(AA904&gt;1,AA904/100,AA904)))</f>
        <v/>
      </c>
      <c r="AC904" s="14" t="str">
        <f aca="false">IF(O904="","",V904+Y904+AB904)</f>
        <v/>
      </c>
      <c r="AD904" s="19" t="str">
        <f aca="false">IF(O904="","",O904-R904-AC904)</f>
        <v/>
      </c>
      <c r="AE904" s="20"/>
      <c r="AF904" s="10"/>
      <c r="AG904" s="21" t="n">
        <f aca="false">IF(OR(AE904="",AE904=0),0,AE904*IF(U904="",0,IF(U904&gt;1,U904/100,U904)))</f>
        <v>0</v>
      </c>
      <c r="AH904" s="21" t="n">
        <f aca="false">IF(OR(AE904="",AE904=0),0,AE904*IF(X904="",0,IF(X904&gt;1,X904/100,X904)))</f>
        <v>0</v>
      </c>
      <c r="AI904" s="21" t="n">
        <f aca="false">IF(OR(AE904="",AE904=0),0,AE904*IF(AA904="",0,IF(AA904&gt;1,AA904/100,AA904)))</f>
        <v>0</v>
      </c>
      <c r="AJ904" s="21" t="n">
        <f aca="false">AG904+AH904+AI904</f>
        <v>0</v>
      </c>
      <c r="AK904" s="21" t="n">
        <f aca="false">IF(OR(AE904="",AE904=0),0,AE904-AJ904)</f>
        <v>0</v>
      </c>
      <c r="AL904" s="19" t="str">
        <f aca="false">IF(AD904="","",AD904-AK904)</f>
        <v/>
      </c>
      <c r="AM904" s="9" t="str">
        <f aca="false">IF(C904="","","Waiting for payment")</f>
        <v/>
      </c>
      <c r="AN904" s="10"/>
      <c r="AO904" s="10"/>
      <c r="AP904" s="22" t="str">
        <f aca="false">IF(OR(C904="",I904="",K904=""),"",IF(K904="Monthly",EDATE(C904,ROUND(I904*SETTINGS!$I$8,0)),WORKDAY(C904,ROUND(I904*SETTINGS!$I$8,0))))</f>
        <v/>
      </c>
      <c r="AQ904" s="9" t="str">
        <f aca="true">IF(C904="","",IF(AND(AP904&lt;&gt;"",TODAY()&gt;=AP904),"Refi Ready",IF(TODAY()-C904&gt;=SETTINGS!$I$11,"Prospecting","Performing")))</f>
        <v/>
      </c>
      <c r="AR904" s="22" t="str">
        <f aca="false">IF(OR(C904="",I904="",K904=""),"",IF(K904="Monthly",EDATE(C904,I904),WORKDAY(C904,I904)))</f>
        <v/>
      </c>
      <c r="AS904" s="11"/>
      <c r="AT904" s="23" t="str">
        <f aca="true">IF(C904="","",IF(AM904="Clawed Back","CLAWED",IF(TODAY()&lt;=C904+SETTINGS!$I$2,"⚠ AT RISK","SAFE")))</f>
        <v/>
      </c>
      <c r="AU904" s="11"/>
      <c r="AW904" s="24" t="n">
        <f aca="false">AW903+IF(AND(C904&lt;&gt;"",AO904&lt;&gt;"",OR('REP COMMISSION'!$B$3="",T904='REP COMMISSION'!$B$3,W904='REP COMMISSION'!$B$3,Z904='REP COMMISSION'!$B$3)),1,0)</f>
        <v>0</v>
      </c>
      <c r="AX904" s="24" t="n">
        <f aca="false">AX903+IF(AND(C904&lt;&gt;"",OR(F904="LOC - INITIAL",F904="CONSOLIDATION - UPFRONT COMM",F904="REVERSE - TOTAL FUNDING")),1,0)</f>
        <v>0</v>
      </c>
    </row>
    <row r="905" customFormat="false" ht="15" hidden="false" customHeight="false" outlineLevel="0" collapsed="false">
      <c r="A905" s="25" t="str">
        <f aca="false">IF(C905&lt;&gt;"","F27-"&amp;COUNT($C$4:C905),"")</f>
        <v/>
      </c>
      <c r="B905" s="26" t="str">
        <f aca="false">IF(OR(F905="LOC - INITIAL",F905="CONSOLIDATION - UPFRONT COMM",F905="REVERSE - TOTAL FUNDING"),A905,"")</f>
        <v/>
      </c>
      <c r="C905" s="27"/>
      <c r="D905" s="28"/>
      <c r="E905" s="28"/>
      <c r="F905" s="28"/>
      <c r="G905" s="29"/>
      <c r="H905" s="30"/>
      <c r="I905" s="28"/>
      <c r="J905" s="31" t="str">
        <f aca="false">IF(AND(G905&lt;&gt;"",H905&lt;&gt;""),G905*H905,"")</f>
        <v/>
      </c>
      <c r="K905" s="28"/>
      <c r="L905" s="32"/>
      <c r="M905" s="32"/>
      <c r="N905" s="31" t="n">
        <f aca="false">IF(OR(G905="",M905=""),0,IF(M905&gt;100,M905,G905*IF(M905&gt;1,M905/100,M905)))</f>
        <v>0</v>
      </c>
      <c r="O905" s="31" t="str">
        <f aca="false">IF(G905="","",G905*IF(L905="",0,IF(L905&gt;1,L905/100,L905))+N905)</f>
        <v/>
      </c>
      <c r="P905" s="28"/>
      <c r="Q905" s="33" t="str">
        <f aca="false">IF(P905="","",IFERROR(VLOOKUP(P905,PARTNERS!$A$2:$B$30,2,0),""))</f>
        <v/>
      </c>
      <c r="R905" s="17" t="str">
        <f aca="false">IF(O905="","",IF(OR(P905="",Q905=""),0,(O905-N905)*IF(Q905&gt;1,Q905/100,Q905)))</f>
        <v/>
      </c>
      <c r="S905" s="31" t="str">
        <f aca="false">IF(O905="","",O905-R905)</f>
        <v/>
      </c>
      <c r="T905" s="28"/>
      <c r="U905" s="34" t="str">
        <f aca="false">IF(T905="","",IFERROR(VLOOKUP(T905,REPS!$A$2:$D$40,2,0),""))</f>
        <v/>
      </c>
      <c r="V905" s="31" t="str">
        <f aca="false">IF(O905="","",IF(U905="",0,O905*IF(U905&gt;1,U905/100,U905)))</f>
        <v/>
      </c>
      <c r="W905" s="28"/>
      <c r="X905" s="34" t="str">
        <f aca="false">IF(W905="","",IFERROR(VLOOKUP(W905,REPS!$A$2:$D$40,3,0),""))</f>
        <v/>
      </c>
      <c r="Y905" s="31" t="str">
        <f aca="false">IF(O905="","",IF(X905="",0,O905*IF(X905&gt;1,X905/100,X905)))</f>
        <v/>
      </c>
      <c r="Z905" s="28"/>
      <c r="AA905" s="34" t="str">
        <f aca="false">IF(Z905="","",IFERROR(VLOOKUP(Z905,REPS!$A$2:$D$40,4,0),""))</f>
        <v/>
      </c>
      <c r="AB905" s="31" t="str">
        <f aca="false">IF(O905="","",IF(AA905="",0,O905*IF(AA905&gt;1,AA905/100,AA905)))</f>
        <v/>
      </c>
      <c r="AC905" s="31" t="str">
        <f aca="false">IF(O905="","",V905+Y905+AB905)</f>
        <v/>
      </c>
      <c r="AD905" s="19" t="str">
        <f aca="false">IF(O905="","",O905-R905-AC905)</f>
        <v/>
      </c>
      <c r="AE905" s="20"/>
      <c r="AF905" s="27"/>
      <c r="AG905" s="21" t="n">
        <f aca="false">IF(OR(AE905="",AE905=0),0,AE905*IF(U905="",0,IF(U905&gt;1,U905/100,U905)))</f>
        <v>0</v>
      </c>
      <c r="AH905" s="21" t="n">
        <f aca="false">IF(OR(AE905="",AE905=0),0,AE905*IF(X905="",0,IF(X905&gt;1,X905/100,X905)))</f>
        <v>0</v>
      </c>
      <c r="AI905" s="21" t="n">
        <f aca="false">IF(OR(AE905="",AE905=0),0,AE905*IF(AA905="",0,IF(AA905&gt;1,AA905/100,AA905)))</f>
        <v>0</v>
      </c>
      <c r="AJ905" s="21" t="n">
        <f aca="false">AG905+AH905+AI905</f>
        <v>0</v>
      </c>
      <c r="AK905" s="21" t="n">
        <f aca="false">IF(OR(AE905="",AE905=0),0,AE905-AJ905)</f>
        <v>0</v>
      </c>
      <c r="AL905" s="19" t="str">
        <f aca="false">IF(AD905="","",AD905-AK905)</f>
        <v/>
      </c>
      <c r="AM905" s="26" t="str">
        <f aca="false">IF(C905="","","Waiting for payment")</f>
        <v/>
      </c>
      <c r="AN905" s="27"/>
      <c r="AO905" s="27"/>
      <c r="AP905" s="35" t="str">
        <f aca="false">IF(OR(C905="",I905="",K905=""),"",IF(K905="Monthly",EDATE(C905,ROUND(I905*SETTINGS!$I$8,0)),WORKDAY(C905,ROUND(I905*SETTINGS!$I$8,0))))</f>
        <v/>
      </c>
      <c r="AQ905" s="26" t="str">
        <f aca="true">IF(C905="","",IF(AND(AP905&lt;&gt;"",TODAY()&gt;=AP905),"Refi Ready",IF(TODAY()-C905&gt;=SETTINGS!$I$11,"Prospecting","Performing")))</f>
        <v/>
      </c>
      <c r="AR905" s="35" t="str">
        <f aca="false">IF(OR(C905="",I905="",K905=""),"",IF(K905="Monthly",EDATE(C905,I905),WORKDAY(C905,I905)))</f>
        <v/>
      </c>
      <c r="AS905" s="28"/>
      <c r="AT905" s="36" t="str">
        <f aca="true">IF(C905="","",IF(AM905="Clawed Back","CLAWED",IF(TODAY()&lt;=C905+SETTINGS!$I$2,"⚠ AT RISK","SAFE")))</f>
        <v/>
      </c>
      <c r="AU905" s="28"/>
      <c r="AW905" s="24" t="n">
        <f aca="false">AW904+IF(AND(C905&lt;&gt;"",AO905&lt;&gt;"",OR('REP COMMISSION'!$B$3="",T905='REP COMMISSION'!$B$3,W905='REP COMMISSION'!$B$3,Z905='REP COMMISSION'!$B$3)),1,0)</f>
        <v>0</v>
      </c>
      <c r="AX905" s="24" t="n">
        <f aca="false">AX904+IF(AND(C905&lt;&gt;"",OR(F905="LOC - INITIAL",F905="CONSOLIDATION - UPFRONT COMM",F905="REVERSE - TOTAL FUNDING")),1,0)</f>
        <v>0</v>
      </c>
    </row>
    <row r="906" customFormat="false" ht="15" hidden="false" customHeight="false" outlineLevel="0" collapsed="false">
      <c r="A906" s="8" t="str">
        <f aca="false">IF(C906&lt;&gt;"","F27-"&amp;COUNT($C$4:C906),"")</f>
        <v/>
      </c>
      <c r="B906" s="9" t="str">
        <f aca="false">IF(OR(F906="LOC - INITIAL",F906="CONSOLIDATION - UPFRONT COMM",F906="REVERSE - TOTAL FUNDING"),A906,"")</f>
        <v/>
      </c>
      <c r="C906" s="10"/>
      <c r="D906" s="11"/>
      <c r="E906" s="11"/>
      <c r="F906" s="11"/>
      <c r="G906" s="12"/>
      <c r="H906" s="13"/>
      <c r="I906" s="11"/>
      <c r="J906" s="14" t="str">
        <f aca="false">IF(AND(G906&lt;&gt;"",H906&lt;&gt;""),G906*H906,"")</f>
        <v/>
      </c>
      <c r="K906" s="11"/>
      <c r="L906" s="15"/>
      <c r="M906" s="15"/>
      <c r="N906" s="14" t="n">
        <f aca="false">IF(OR(G906="",M906=""),0,IF(M906&gt;100,M906,G906*IF(M906&gt;1,M906/100,M906)))</f>
        <v>0</v>
      </c>
      <c r="O906" s="14" t="str">
        <f aca="false">IF(G906="","",G906*IF(L906="",0,IF(L906&gt;1,L906/100,L906))+N906)</f>
        <v/>
      </c>
      <c r="P906" s="11"/>
      <c r="Q906" s="16" t="str">
        <f aca="false">IF(P906="","",IFERROR(VLOOKUP(P906,PARTNERS!$A$2:$B$30,2,0),""))</f>
        <v/>
      </c>
      <c r="R906" s="17" t="str">
        <f aca="false">IF(O906="","",IF(OR(P906="",Q906=""),0,(O906-N906)*IF(Q906&gt;1,Q906/100,Q906)))</f>
        <v/>
      </c>
      <c r="S906" s="14" t="str">
        <f aca="false">IF(O906="","",O906-R906)</f>
        <v/>
      </c>
      <c r="T906" s="11"/>
      <c r="U906" s="18" t="str">
        <f aca="false">IF(T906="","",IFERROR(VLOOKUP(T906,REPS!$A$2:$D$40,2,0),""))</f>
        <v/>
      </c>
      <c r="V906" s="14" t="str">
        <f aca="false">IF(O906="","",IF(U906="",0,O906*IF(U906&gt;1,U906/100,U906)))</f>
        <v/>
      </c>
      <c r="W906" s="11"/>
      <c r="X906" s="18" t="str">
        <f aca="false">IF(W906="","",IFERROR(VLOOKUP(W906,REPS!$A$2:$D$40,3,0),""))</f>
        <v/>
      </c>
      <c r="Y906" s="14" t="str">
        <f aca="false">IF(O906="","",IF(X906="",0,O906*IF(X906&gt;1,X906/100,X906)))</f>
        <v/>
      </c>
      <c r="Z906" s="11"/>
      <c r="AA906" s="18" t="str">
        <f aca="false">IF(Z906="","",IFERROR(VLOOKUP(Z906,REPS!$A$2:$D$40,4,0),""))</f>
        <v/>
      </c>
      <c r="AB906" s="14" t="str">
        <f aca="false">IF(O906="","",IF(AA906="",0,O906*IF(AA906&gt;1,AA906/100,AA906)))</f>
        <v/>
      </c>
      <c r="AC906" s="14" t="str">
        <f aca="false">IF(O906="","",V906+Y906+AB906)</f>
        <v/>
      </c>
      <c r="AD906" s="19" t="str">
        <f aca="false">IF(O906="","",O906-R906-AC906)</f>
        <v/>
      </c>
      <c r="AE906" s="20"/>
      <c r="AF906" s="10"/>
      <c r="AG906" s="21" t="n">
        <f aca="false">IF(OR(AE906="",AE906=0),0,AE906*IF(U906="",0,IF(U906&gt;1,U906/100,U906)))</f>
        <v>0</v>
      </c>
      <c r="AH906" s="21" t="n">
        <f aca="false">IF(OR(AE906="",AE906=0),0,AE906*IF(X906="",0,IF(X906&gt;1,X906/100,X906)))</f>
        <v>0</v>
      </c>
      <c r="AI906" s="21" t="n">
        <f aca="false">IF(OR(AE906="",AE906=0),0,AE906*IF(AA906="",0,IF(AA906&gt;1,AA906/100,AA906)))</f>
        <v>0</v>
      </c>
      <c r="AJ906" s="21" t="n">
        <f aca="false">AG906+AH906+AI906</f>
        <v>0</v>
      </c>
      <c r="AK906" s="21" t="n">
        <f aca="false">IF(OR(AE906="",AE906=0),0,AE906-AJ906)</f>
        <v>0</v>
      </c>
      <c r="AL906" s="19" t="str">
        <f aca="false">IF(AD906="","",AD906-AK906)</f>
        <v/>
      </c>
      <c r="AM906" s="9" t="str">
        <f aca="false">IF(C906="","","Waiting for payment")</f>
        <v/>
      </c>
      <c r="AN906" s="10"/>
      <c r="AO906" s="10"/>
      <c r="AP906" s="22" t="str">
        <f aca="false">IF(OR(C906="",I906="",K906=""),"",IF(K906="Monthly",EDATE(C906,ROUND(I906*SETTINGS!$I$8,0)),WORKDAY(C906,ROUND(I906*SETTINGS!$I$8,0))))</f>
        <v/>
      </c>
      <c r="AQ906" s="9" t="str">
        <f aca="true">IF(C906="","",IF(AND(AP906&lt;&gt;"",TODAY()&gt;=AP906),"Refi Ready",IF(TODAY()-C906&gt;=SETTINGS!$I$11,"Prospecting","Performing")))</f>
        <v/>
      </c>
      <c r="AR906" s="22" t="str">
        <f aca="false">IF(OR(C906="",I906="",K906=""),"",IF(K906="Monthly",EDATE(C906,I906),WORKDAY(C906,I906)))</f>
        <v/>
      </c>
      <c r="AS906" s="11"/>
      <c r="AT906" s="23" t="str">
        <f aca="true">IF(C906="","",IF(AM906="Clawed Back","CLAWED",IF(TODAY()&lt;=C906+SETTINGS!$I$2,"⚠ AT RISK","SAFE")))</f>
        <v/>
      </c>
      <c r="AU906" s="11"/>
      <c r="AW906" s="24" t="n">
        <f aca="false">AW905+IF(AND(C906&lt;&gt;"",AO906&lt;&gt;"",OR('REP COMMISSION'!$B$3="",T906='REP COMMISSION'!$B$3,W906='REP COMMISSION'!$B$3,Z906='REP COMMISSION'!$B$3)),1,0)</f>
        <v>0</v>
      </c>
      <c r="AX906" s="24" t="n">
        <f aca="false">AX905+IF(AND(C906&lt;&gt;"",OR(F906="LOC - INITIAL",F906="CONSOLIDATION - UPFRONT COMM",F906="REVERSE - TOTAL FUNDING")),1,0)</f>
        <v>0</v>
      </c>
    </row>
    <row r="907" customFormat="false" ht="15" hidden="false" customHeight="false" outlineLevel="0" collapsed="false">
      <c r="A907" s="25" t="str">
        <f aca="false">IF(C907&lt;&gt;"","F27-"&amp;COUNT($C$4:C907),"")</f>
        <v/>
      </c>
      <c r="B907" s="26" t="str">
        <f aca="false">IF(OR(F907="LOC - INITIAL",F907="CONSOLIDATION - UPFRONT COMM",F907="REVERSE - TOTAL FUNDING"),A907,"")</f>
        <v/>
      </c>
      <c r="C907" s="27"/>
      <c r="D907" s="28"/>
      <c r="E907" s="28"/>
      <c r="F907" s="28"/>
      <c r="G907" s="29"/>
      <c r="H907" s="30"/>
      <c r="I907" s="28"/>
      <c r="J907" s="31" t="str">
        <f aca="false">IF(AND(G907&lt;&gt;"",H907&lt;&gt;""),G907*H907,"")</f>
        <v/>
      </c>
      <c r="K907" s="28"/>
      <c r="L907" s="32"/>
      <c r="M907" s="32"/>
      <c r="N907" s="31" t="n">
        <f aca="false">IF(OR(G907="",M907=""),0,IF(M907&gt;100,M907,G907*IF(M907&gt;1,M907/100,M907)))</f>
        <v>0</v>
      </c>
      <c r="O907" s="31" t="str">
        <f aca="false">IF(G907="","",G907*IF(L907="",0,IF(L907&gt;1,L907/100,L907))+N907)</f>
        <v/>
      </c>
      <c r="P907" s="28"/>
      <c r="Q907" s="33" t="str">
        <f aca="false">IF(P907="","",IFERROR(VLOOKUP(P907,PARTNERS!$A$2:$B$30,2,0),""))</f>
        <v/>
      </c>
      <c r="R907" s="17" t="str">
        <f aca="false">IF(O907="","",IF(OR(P907="",Q907=""),0,(O907-N907)*IF(Q907&gt;1,Q907/100,Q907)))</f>
        <v/>
      </c>
      <c r="S907" s="31" t="str">
        <f aca="false">IF(O907="","",O907-R907)</f>
        <v/>
      </c>
      <c r="T907" s="28"/>
      <c r="U907" s="34" t="str">
        <f aca="false">IF(T907="","",IFERROR(VLOOKUP(T907,REPS!$A$2:$D$40,2,0),""))</f>
        <v/>
      </c>
      <c r="V907" s="31" t="str">
        <f aca="false">IF(O907="","",IF(U907="",0,O907*IF(U907&gt;1,U907/100,U907)))</f>
        <v/>
      </c>
      <c r="W907" s="28"/>
      <c r="X907" s="34" t="str">
        <f aca="false">IF(W907="","",IFERROR(VLOOKUP(W907,REPS!$A$2:$D$40,3,0),""))</f>
        <v/>
      </c>
      <c r="Y907" s="31" t="str">
        <f aca="false">IF(O907="","",IF(X907="",0,O907*IF(X907&gt;1,X907/100,X907)))</f>
        <v/>
      </c>
      <c r="Z907" s="28"/>
      <c r="AA907" s="34" t="str">
        <f aca="false">IF(Z907="","",IFERROR(VLOOKUP(Z907,REPS!$A$2:$D$40,4,0),""))</f>
        <v/>
      </c>
      <c r="AB907" s="31" t="str">
        <f aca="false">IF(O907="","",IF(AA907="",0,O907*IF(AA907&gt;1,AA907/100,AA907)))</f>
        <v/>
      </c>
      <c r="AC907" s="31" t="str">
        <f aca="false">IF(O907="","",V907+Y907+AB907)</f>
        <v/>
      </c>
      <c r="AD907" s="19" t="str">
        <f aca="false">IF(O907="","",O907-R907-AC907)</f>
        <v/>
      </c>
      <c r="AE907" s="20"/>
      <c r="AF907" s="27"/>
      <c r="AG907" s="21" t="n">
        <f aca="false">IF(OR(AE907="",AE907=0),0,AE907*IF(U907="",0,IF(U907&gt;1,U907/100,U907)))</f>
        <v>0</v>
      </c>
      <c r="AH907" s="21" t="n">
        <f aca="false">IF(OR(AE907="",AE907=0),0,AE907*IF(X907="",0,IF(X907&gt;1,X907/100,X907)))</f>
        <v>0</v>
      </c>
      <c r="AI907" s="21" t="n">
        <f aca="false">IF(OR(AE907="",AE907=0),0,AE907*IF(AA907="",0,IF(AA907&gt;1,AA907/100,AA907)))</f>
        <v>0</v>
      </c>
      <c r="AJ907" s="21" t="n">
        <f aca="false">AG907+AH907+AI907</f>
        <v>0</v>
      </c>
      <c r="AK907" s="21" t="n">
        <f aca="false">IF(OR(AE907="",AE907=0),0,AE907-AJ907)</f>
        <v>0</v>
      </c>
      <c r="AL907" s="19" t="str">
        <f aca="false">IF(AD907="","",AD907-AK907)</f>
        <v/>
      </c>
      <c r="AM907" s="26" t="str">
        <f aca="false">IF(C907="","","Waiting for payment")</f>
        <v/>
      </c>
      <c r="AN907" s="27"/>
      <c r="AO907" s="27"/>
      <c r="AP907" s="35" t="str">
        <f aca="false">IF(OR(C907="",I907="",K907=""),"",IF(K907="Monthly",EDATE(C907,ROUND(I907*SETTINGS!$I$8,0)),WORKDAY(C907,ROUND(I907*SETTINGS!$I$8,0))))</f>
        <v/>
      </c>
      <c r="AQ907" s="26" t="str">
        <f aca="true">IF(C907="","",IF(AND(AP907&lt;&gt;"",TODAY()&gt;=AP907),"Refi Ready",IF(TODAY()-C907&gt;=SETTINGS!$I$11,"Prospecting","Performing")))</f>
        <v/>
      </c>
      <c r="AR907" s="35" t="str">
        <f aca="false">IF(OR(C907="",I907="",K907=""),"",IF(K907="Monthly",EDATE(C907,I907),WORKDAY(C907,I907)))</f>
        <v/>
      </c>
      <c r="AS907" s="28"/>
      <c r="AT907" s="36" t="str">
        <f aca="true">IF(C907="","",IF(AM907="Clawed Back","CLAWED",IF(TODAY()&lt;=C907+SETTINGS!$I$2,"⚠ AT RISK","SAFE")))</f>
        <v/>
      </c>
      <c r="AU907" s="28"/>
      <c r="AW907" s="24" t="n">
        <f aca="false">AW906+IF(AND(C907&lt;&gt;"",AO907&lt;&gt;"",OR('REP COMMISSION'!$B$3="",T907='REP COMMISSION'!$B$3,W907='REP COMMISSION'!$B$3,Z907='REP COMMISSION'!$B$3)),1,0)</f>
        <v>0</v>
      </c>
      <c r="AX907" s="24" t="n">
        <f aca="false">AX906+IF(AND(C907&lt;&gt;"",OR(F907="LOC - INITIAL",F907="CONSOLIDATION - UPFRONT COMM",F907="REVERSE - TOTAL FUNDING")),1,0)</f>
        <v>0</v>
      </c>
    </row>
    <row r="908" customFormat="false" ht="15" hidden="false" customHeight="false" outlineLevel="0" collapsed="false">
      <c r="A908" s="8" t="str">
        <f aca="false">IF(C908&lt;&gt;"","F27-"&amp;COUNT($C$4:C908),"")</f>
        <v/>
      </c>
      <c r="B908" s="9" t="str">
        <f aca="false">IF(OR(F908="LOC - INITIAL",F908="CONSOLIDATION - UPFRONT COMM",F908="REVERSE - TOTAL FUNDING"),A908,"")</f>
        <v/>
      </c>
      <c r="C908" s="10"/>
      <c r="D908" s="11"/>
      <c r="E908" s="11"/>
      <c r="F908" s="11"/>
      <c r="G908" s="12"/>
      <c r="H908" s="13"/>
      <c r="I908" s="11"/>
      <c r="J908" s="14" t="str">
        <f aca="false">IF(AND(G908&lt;&gt;"",H908&lt;&gt;""),G908*H908,"")</f>
        <v/>
      </c>
      <c r="K908" s="11"/>
      <c r="L908" s="15"/>
      <c r="M908" s="15"/>
      <c r="N908" s="14" t="n">
        <f aca="false">IF(OR(G908="",M908=""),0,IF(M908&gt;100,M908,G908*IF(M908&gt;1,M908/100,M908)))</f>
        <v>0</v>
      </c>
      <c r="O908" s="14" t="str">
        <f aca="false">IF(G908="","",G908*IF(L908="",0,IF(L908&gt;1,L908/100,L908))+N908)</f>
        <v/>
      </c>
      <c r="P908" s="11"/>
      <c r="Q908" s="16" t="str">
        <f aca="false">IF(P908="","",IFERROR(VLOOKUP(P908,PARTNERS!$A$2:$B$30,2,0),""))</f>
        <v/>
      </c>
      <c r="R908" s="17" t="str">
        <f aca="false">IF(O908="","",IF(OR(P908="",Q908=""),0,(O908-N908)*IF(Q908&gt;1,Q908/100,Q908)))</f>
        <v/>
      </c>
      <c r="S908" s="14" t="str">
        <f aca="false">IF(O908="","",O908-R908)</f>
        <v/>
      </c>
      <c r="T908" s="11"/>
      <c r="U908" s="18" t="str">
        <f aca="false">IF(T908="","",IFERROR(VLOOKUP(T908,REPS!$A$2:$D$40,2,0),""))</f>
        <v/>
      </c>
      <c r="V908" s="14" t="str">
        <f aca="false">IF(O908="","",IF(U908="",0,O908*IF(U908&gt;1,U908/100,U908)))</f>
        <v/>
      </c>
      <c r="W908" s="11"/>
      <c r="X908" s="18" t="str">
        <f aca="false">IF(W908="","",IFERROR(VLOOKUP(W908,REPS!$A$2:$D$40,3,0),""))</f>
        <v/>
      </c>
      <c r="Y908" s="14" t="str">
        <f aca="false">IF(O908="","",IF(X908="",0,O908*IF(X908&gt;1,X908/100,X908)))</f>
        <v/>
      </c>
      <c r="Z908" s="11"/>
      <c r="AA908" s="18" t="str">
        <f aca="false">IF(Z908="","",IFERROR(VLOOKUP(Z908,REPS!$A$2:$D$40,4,0),""))</f>
        <v/>
      </c>
      <c r="AB908" s="14" t="str">
        <f aca="false">IF(O908="","",IF(AA908="",0,O908*IF(AA908&gt;1,AA908/100,AA908)))</f>
        <v/>
      </c>
      <c r="AC908" s="14" t="str">
        <f aca="false">IF(O908="","",V908+Y908+AB908)</f>
        <v/>
      </c>
      <c r="AD908" s="19" t="str">
        <f aca="false">IF(O908="","",O908-R908-AC908)</f>
        <v/>
      </c>
      <c r="AE908" s="20"/>
      <c r="AF908" s="10"/>
      <c r="AG908" s="21" t="n">
        <f aca="false">IF(OR(AE908="",AE908=0),0,AE908*IF(U908="",0,IF(U908&gt;1,U908/100,U908)))</f>
        <v>0</v>
      </c>
      <c r="AH908" s="21" t="n">
        <f aca="false">IF(OR(AE908="",AE908=0),0,AE908*IF(X908="",0,IF(X908&gt;1,X908/100,X908)))</f>
        <v>0</v>
      </c>
      <c r="AI908" s="21" t="n">
        <f aca="false">IF(OR(AE908="",AE908=0),0,AE908*IF(AA908="",0,IF(AA908&gt;1,AA908/100,AA908)))</f>
        <v>0</v>
      </c>
      <c r="AJ908" s="21" t="n">
        <f aca="false">AG908+AH908+AI908</f>
        <v>0</v>
      </c>
      <c r="AK908" s="21" t="n">
        <f aca="false">IF(OR(AE908="",AE908=0),0,AE908-AJ908)</f>
        <v>0</v>
      </c>
      <c r="AL908" s="19" t="str">
        <f aca="false">IF(AD908="","",AD908-AK908)</f>
        <v/>
      </c>
      <c r="AM908" s="9" t="str">
        <f aca="false">IF(C908="","","Waiting for payment")</f>
        <v/>
      </c>
      <c r="AN908" s="10"/>
      <c r="AO908" s="10"/>
      <c r="AP908" s="22" t="str">
        <f aca="false">IF(OR(C908="",I908="",K908=""),"",IF(K908="Monthly",EDATE(C908,ROUND(I908*SETTINGS!$I$8,0)),WORKDAY(C908,ROUND(I908*SETTINGS!$I$8,0))))</f>
        <v/>
      </c>
      <c r="AQ908" s="9" t="str">
        <f aca="true">IF(C908="","",IF(AND(AP908&lt;&gt;"",TODAY()&gt;=AP908),"Refi Ready",IF(TODAY()-C908&gt;=SETTINGS!$I$11,"Prospecting","Performing")))</f>
        <v/>
      </c>
      <c r="AR908" s="22" t="str">
        <f aca="false">IF(OR(C908="",I908="",K908=""),"",IF(K908="Monthly",EDATE(C908,I908),WORKDAY(C908,I908)))</f>
        <v/>
      </c>
      <c r="AS908" s="11"/>
      <c r="AT908" s="23" t="str">
        <f aca="true">IF(C908="","",IF(AM908="Clawed Back","CLAWED",IF(TODAY()&lt;=C908+SETTINGS!$I$2,"⚠ AT RISK","SAFE")))</f>
        <v/>
      </c>
      <c r="AU908" s="11"/>
      <c r="AW908" s="24" t="n">
        <f aca="false">AW907+IF(AND(C908&lt;&gt;"",AO908&lt;&gt;"",OR('REP COMMISSION'!$B$3="",T908='REP COMMISSION'!$B$3,W908='REP COMMISSION'!$B$3,Z908='REP COMMISSION'!$B$3)),1,0)</f>
        <v>0</v>
      </c>
      <c r="AX908" s="24" t="n">
        <f aca="false">AX907+IF(AND(C908&lt;&gt;"",OR(F908="LOC - INITIAL",F908="CONSOLIDATION - UPFRONT COMM",F908="REVERSE - TOTAL FUNDING")),1,0)</f>
        <v>0</v>
      </c>
    </row>
    <row r="909" customFormat="false" ht="15" hidden="false" customHeight="false" outlineLevel="0" collapsed="false">
      <c r="A909" s="25" t="str">
        <f aca="false">IF(C909&lt;&gt;"","F27-"&amp;COUNT($C$4:C909),"")</f>
        <v/>
      </c>
      <c r="B909" s="26" t="str">
        <f aca="false">IF(OR(F909="LOC - INITIAL",F909="CONSOLIDATION - UPFRONT COMM",F909="REVERSE - TOTAL FUNDING"),A909,"")</f>
        <v/>
      </c>
      <c r="C909" s="27"/>
      <c r="D909" s="28"/>
      <c r="E909" s="28"/>
      <c r="F909" s="28"/>
      <c r="G909" s="29"/>
      <c r="H909" s="30"/>
      <c r="I909" s="28"/>
      <c r="J909" s="31" t="str">
        <f aca="false">IF(AND(G909&lt;&gt;"",H909&lt;&gt;""),G909*H909,"")</f>
        <v/>
      </c>
      <c r="K909" s="28"/>
      <c r="L909" s="32"/>
      <c r="M909" s="32"/>
      <c r="N909" s="31" t="n">
        <f aca="false">IF(OR(G909="",M909=""),0,IF(M909&gt;100,M909,G909*IF(M909&gt;1,M909/100,M909)))</f>
        <v>0</v>
      </c>
      <c r="O909" s="31" t="str">
        <f aca="false">IF(G909="","",G909*IF(L909="",0,IF(L909&gt;1,L909/100,L909))+N909)</f>
        <v/>
      </c>
      <c r="P909" s="28"/>
      <c r="Q909" s="33" t="str">
        <f aca="false">IF(P909="","",IFERROR(VLOOKUP(P909,PARTNERS!$A$2:$B$30,2,0),""))</f>
        <v/>
      </c>
      <c r="R909" s="17" t="str">
        <f aca="false">IF(O909="","",IF(OR(P909="",Q909=""),0,(O909-N909)*IF(Q909&gt;1,Q909/100,Q909)))</f>
        <v/>
      </c>
      <c r="S909" s="31" t="str">
        <f aca="false">IF(O909="","",O909-R909)</f>
        <v/>
      </c>
      <c r="T909" s="28"/>
      <c r="U909" s="34" t="str">
        <f aca="false">IF(T909="","",IFERROR(VLOOKUP(T909,REPS!$A$2:$D$40,2,0),""))</f>
        <v/>
      </c>
      <c r="V909" s="31" t="str">
        <f aca="false">IF(O909="","",IF(U909="",0,O909*IF(U909&gt;1,U909/100,U909)))</f>
        <v/>
      </c>
      <c r="W909" s="28"/>
      <c r="X909" s="34" t="str">
        <f aca="false">IF(W909="","",IFERROR(VLOOKUP(W909,REPS!$A$2:$D$40,3,0),""))</f>
        <v/>
      </c>
      <c r="Y909" s="31" t="str">
        <f aca="false">IF(O909="","",IF(X909="",0,O909*IF(X909&gt;1,X909/100,X909)))</f>
        <v/>
      </c>
      <c r="Z909" s="28"/>
      <c r="AA909" s="34" t="str">
        <f aca="false">IF(Z909="","",IFERROR(VLOOKUP(Z909,REPS!$A$2:$D$40,4,0),""))</f>
        <v/>
      </c>
      <c r="AB909" s="31" t="str">
        <f aca="false">IF(O909="","",IF(AA909="",0,O909*IF(AA909&gt;1,AA909/100,AA909)))</f>
        <v/>
      </c>
      <c r="AC909" s="31" t="str">
        <f aca="false">IF(O909="","",V909+Y909+AB909)</f>
        <v/>
      </c>
      <c r="AD909" s="19" t="str">
        <f aca="false">IF(O909="","",O909-R909-AC909)</f>
        <v/>
      </c>
      <c r="AE909" s="20"/>
      <c r="AF909" s="27"/>
      <c r="AG909" s="21" t="n">
        <f aca="false">IF(OR(AE909="",AE909=0),0,AE909*IF(U909="",0,IF(U909&gt;1,U909/100,U909)))</f>
        <v>0</v>
      </c>
      <c r="AH909" s="21" t="n">
        <f aca="false">IF(OR(AE909="",AE909=0),0,AE909*IF(X909="",0,IF(X909&gt;1,X909/100,X909)))</f>
        <v>0</v>
      </c>
      <c r="AI909" s="21" t="n">
        <f aca="false">IF(OR(AE909="",AE909=0),0,AE909*IF(AA909="",0,IF(AA909&gt;1,AA909/100,AA909)))</f>
        <v>0</v>
      </c>
      <c r="AJ909" s="21" t="n">
        <f aca="false">AG909+AH909+AI909</f>
        <v>0</v>
      </c>
      <c r="AK909" s="21" t="n">
        <f aca="false">IF(OR(AE909="",AE909=0),0,AE909-AJ909)</f>
        <v>0</v>
      </c>
      <c r="AL909" s="19" t="str">
        <f aca="false">IF(AD909="","",AD909-AK909)</f>
        <v/>
      </c>
      <c r="AM909" s="26" t="str">
        <f aca="false">IF(C909="","","Waiting for payment")</f>
        <v/>
      </c>
      <c r="AN909" s="27"/>
      <c r="AO909" s="27"/>
      <c r="AP909" s="35" t="str">
        <f aca="false">IF(OR(C909="",I909="",K909=""),"",IF(K909="Monthly",EDATE(C909,ROUND(I909*SETTINGS!$I$8,0)),WORKDAY(C909,ROUND(I909*SETTINGS!$I$8,0))))</f>
        <v/>
      </c>
      <c r="AQ909" s="26" t="str">
        <f aca="true">IF(C909="","",IF(AND(AP909&lt;&gt;"",TODAY()&gt;=AP909),"Refi Ready",IF(TODAY()-C909&gt;=SETTINGS!$I$11,"Prospecting","Performing")))</f>
        <v/>
      </c>
      <c r="AR909" s="35" t="str">
        <f aca="false">IF(OR(C909="",I909="",K909=""),"",IF(K909="Monthly",EDATE(C909,I909),WORKDAY(C909,I909)))</f>
        <v/>
      </c>
      <c r="AS909" s="28"/>
      <c r="AT909" s="36" t="str">
        <f aca="true">IF(C909="","",IF(AM909="Clawed Back","CLAWED",IF(TODAY()&lt;=C909+SETTINGS!$I$2,"⚠ AT RISK","SAFE")))</f>
        <v/>
      </c>
      <c r="AU909" s="28"/>
      <c r="AW909" s="24" t="n">
        <f aca="false">AW908+IF(AND(C909&lt;&gt;"",AO909&lt;&gt;"",OR('REP COMMISSION'!$B$3="",T909='REP COMMISSION'!$B$3,W909='REP COMMISSION'!$B$3,Z909='REP COMMISSION'!$B$3)),1,0)</f>
        <v>0</v>
      </c>
      <c r="AX909" s="24" t="n">
        <f aca="false">AX908+IF(AND(C909&lt;&gt;"",OR(F909="LOC - INITIAL",F909="CONSOLIDATION - UPFRONT COMM",F909="REVERSE - TOTAL FUNDING")),1,0)</f>
        <v>0</v>
      </c>
    </row>
    <row r="910" customFormat="false" ht="15" hidden="false" customHeight="false" outlineLevel="0" collapsed="false">
      <c r="A910" s="8" t="str">
        <f aca="false">IF(C910&lt;&gt;"","F27-"&amp;COUNT($C$4:C910),"")</f>
        <v/>
      </c>
      <c r="B910" s="9" t="str">
        <f aca="false">IF(OR(F910="LOC - INITIAL",F910="CONSOLIDATION - UPFRONT COMM",F910="REVERSE - TOTAL FUNDING"),A910,"")</f>
        <v/>
      </c>
      <c r="C910" s="10"/>
      <c r="D910" s="11"/>
      <c r="E910" s="11"/>
      <c r="F910" s="11"/>
      <c r="G910" s="12"/>
      <c r="H910" s="13"/>
      <c r="I910" s="11"/>
      <c r="J910" s="14" t="str">
        <f aca="false">IF(AND(G910&lt;&gt;"",H910&lt;&gt;""),G910*H910,"")</f>
        <v/>
      </c>
      <c r="K910" s="11"/>
      <c r="L910" s="15"/>
      <c r="M910" s="15"/>
      <c r="N910" s="14" t="n">
        <f aca="false">IF(OR(G910="",M910=""),0,IF(M910&gt;100,M910,G910*IF(M910&gt;1,M910/100,M910)))</f>
        <v>0</v>
      </c>
      <c r="O910" s="14" t="str">
        <f aca="false">IF(G910="","",G910*IF(L910="",0,IF(L910&gt;1,L910/100,L910))+N910)</f>
        <v/>
      </c>
      <c r="P910" s="11"/>
      <c r="Q910" s="16" t="str">
        <f aca="false">IF(P910="","",IFERROR(VLOOKUP(P910,PARTNERS!$A$2:$B$30,2,0),""))</f>
        <v/>
      </c>
      <c r="R910" s="17" t="str">
        <f aca="false">IF(O910="","",IF(OR(P910="",Q910=""),0,(O910-N910)*IF(Q910&gt;1,Q910/100,Q910)))</f>
        <v/>
      </c>
      <c r="S910" s="14" t="str">
        <f aca="false">IF(O910="","",O910-R910)</f>
        <v/>
      </c>
      <c r="T910" s="11"/>
      <c r="U910" s="18" t="str">
        <f aca="false">IF(T910="","",IFERROR(VLOOKUP(T910,REPS!$A$2:$D$40,2,0),""))</f>
        <v/>
      </c>
      <c r="V910" s="14" t="str">
        <f aca="false">IF(O910="","",IF(U910="",0,O910*IF(U910&gt;1,U910/100,U910)))</f>
        <v/>
      </c>
      <c r="W910" s="11"/>
      <c r="X910" s="18" t="str">
        <f aca="false">IF(W910="","",IFERROR(VLOOKUP(W910,REPS!$A$2:$D$40,3,0),""))</f>
        <v/>
      </c>
      <c r="Y910" s="14" t="str">
        <f aca="false">IF(O910="","",IF(X910="",0,O910*IF(X910&gt;1,X910/100,X910)))</f>
        <v/>
      </c>
      <c r="Z910" s="11"/>
      <c r="AA910" s="18" t="str">
        <f aca="false">IF(Z910="","",IFERROR(VLOOKUP(Z910,REPS!$A$2:$D$40,4,0),""))</f>
        <v/>
      </c>
      <c r="AB910" s="14" t="str">
        <f aca="false">IF(O910="","",IF(AA910="",0,O910*IF(AA910&gt;1,AA910/100,AA910)))</f>
        <v/>
      </c>
      <c r="AC910" s="14" t="str">
        <f aca="false">IF(O910="","",V910+Y910+AB910)</f>
        <v/>
      </c>
      <c r="AD910" s="19" t="str">
        <f aca="false">IF(O910="","",O910-R910-AC910)</f>
        <v/>
      </c>
      <c r="AE910" s="20"/>
      <c r="AF910" s="10"/>
      <c r="AG910" s="21" t="n">
        <f aca="false">IF(OR(AE910="",AE910=0),0,AE910*IF(U910="",0,IF(U910&gt;1,U910/100,U910)))</f>
        <v>0</v>
      </c>
      <c r="AH910" s="21" t="n">
        <f aca="false">IF(OR(AE910="",AE910=0),0,AE910*IF(X910="",0,IF(X910&gt;1,X910/100,X910)))</f>
        <v>0</v>
      </c>
      <c r="AI910" s="21" t="n">
        <f aca="false">IF(OR(AE910="",AE910=0),0,AE910*IF(AA910="",0,IF(AA910&gt;1,AA910/100,AA910)))</f>
        <v>0</v>
      </c>
      <c r="AJ910" s="21" t="n">
        <f aca="false">AG910+AH910+AI910</f>
        <v>0</v>
      </c>
      <c r="AK910" s="21" t="n">
        <f aca="false">IF(OR(AE910="",AE910=0),0,AE910-AJ910)</f>
        <v>0</v>
      </c>
      <c r="AL910" s="19" t="str">
        <f aca="false">IF(AD910="","",AD910-AK910)</f>
        <v/>
      </c>
      <c r="AM910" s="9" t="str">
        <f aca="false">IF(C910="","","Waiting for payment")</f>
        <v/>
      </c>
      <c r="AN910" s="10"/>
      <c r="AO910" s="10"/>
      <c r="AP910" s="22" t="str">
        <f aca="false">IF(OR(C910="",I910="",K910=""),"",IF(K910="Monthly",EDATE(C910,ROUND(I910*SETTINGS!$I$8,0)),WORKDAY(C910,ROUND(I910*SETTINGS!$I$8,0))))</f>
        <v/>
      </c>
      <c r="AQ910" s="9" t="str">
        <f aca="true">IF(C910="","",IF(AND(AP910&lt;&gt;"",TODAY()&gt;=AP910),"Refi Ready",IF(TODAY()-C910&gt;=SETTINGS!$I$11,"Prospecting","Performing")))</f>
        <v/>
      </c>
      <c r="AR910" s="22" t="str">
        <f aca="false">IF(OR(C910="",I910="",K910=""),"",IF(K910="Monthly",EDATE(C910,I910),WORKDAY(C910,I910)))</f>
        <v/>
      </c>
      <c r="AS910" s="11"/>
      <c r="AT910" s="23" t="str">
        <f aca="true">IF(C910="","",IF(AM910="Clawed Back","CLAWED",IF(TODAY()&lt;=C910+SETTINGS!$I$2,"⚠ AT RISK","SAFE")))</f>
        <v/>
      </c>
      <c r="AU910" s="11"/>
      <c r="AW910" s="24" t="n">
        <f aca="false">AW909+IF(AND(C910&lt;&gt;"",AO910&lt;&gt;"",OR('REP COMMISSION'!$B$3="",T910='REP COMMISSION'!$B$3,W910='REP COMMISSION'!$B$3,Z910='REP COMMISSION'!$B$3)),1,0)</f>
        <v>0</v>
      </c>
      <c r="AX910" s="24" t="n">
        <f aca="false">AX909+IF(AND(C910&lt;&gt;"",OR(F910="LOC - INITIAL",F910="CONSOLIDATION - UPFRONT COMM",F910="REVERSE - TOTAL FUNDING")),1,0)</f>
        <v>0</v>
      </c>
    </row>
    <row r="911" customFormat="false" ht="15" hidden="false" customHeight="false" outlineLevel="0" collapsed="false">
      <c r="A911" s="25" t="str">
        <f aca="false">IF(C911&lt;&gt;"","F27-"&amp;COUNT($C$4:C911),"")</f>
        <v/>
      </c>
      <c r="B911" s="26" t="str">
        <f aca="false">IF(OR(F911="LOC - INITIAL",F911="CONSOLIDATION - UPFRONT COMM",F911="REVERSE - TOTAL FUNDING"),A911,"")</f>
        <v/>
      </c>
      <c r="C911" s="27"/>
      <c r="D911" s="28"/>
      <c r="E911" s="28"/>
      <c r="F911" s="28"/>
      <c r="G911" s="29"/>
      <c r="H911" s="30"/>
      <c r="I911" s="28"/>
      <c r="J911" s="31" t="str">
        <f aca="false">IF(AND(G911&lt;&gt;"",H911&lt;&gt;""),G911*H911,"")</f>
        <v/>
      </c>
      <c r="K911" s="28"/>
      <c r="L911" s="32"/>
      <c r="M911" s="32"/>
      <c r="N911" s="31" t="n">
        <f aca="false">IF(OR(G911="",M911=""),0,IF(M911&gt;100,M911,G911*IF(M911&gt;1,M911/100,M911)))</f>
        <v>0</v>
      </c>
      <c r="O911" s="31" t="str">
        <f aca="false">IF(G911="","",G911*IF(L911="",0,IF(L911&gt;1,L911/100,L911))+N911)</f>
        <v/>
      </c>
      <c r="P911" s="28"/>
      <c r="Q911" s="33" t="str">
        <f aca="false">IF(P911="","",IFERROR(VLOOKUP(P911,PARTNERS!$A$2:$B$30,2,0),""))</f>
        <v/>
      </c>
      <c r="R911" s="17" t="str">
        <f aca="false">IF(O911="","",IF(OR(P911="",Q911=""),0,(O911-N911)*IF(Q911&gt;1,Q911/100,Q911)))</f>
        <v/>
      </c>
      <c r="S911" s="31" t="str">
        <f aca="false">IF(O911="","",O911-R911)</f>
        <v/>
      </c>
      <c r="T911" s="28"/>
      <c r="U911" s="34" t="str">
        <f aca="false">IF(T911="","",IFERROR(VLOOKUP(T911,REPS!$A$2:$D$40,2,0),""))</f>
        <v/>
      </c>
      <c r="V911" s="31" t="str">
        <f aca="false">IF(O911="","",IF(U911="",0,O911*IF(U911&gt;1,U911/100,U911)))</f>
        <v/>
      </c>
      <c r="W911" s="28"/>
      <c r="X911" s="34" t="str">
        <f aca="false">IF(W911="","",IFERROR(VLOOKUP(W911,REPS!$A$2:$D$40,3,0),""))</f>
        <v/>
      </c>
      <c r="Y911" s="31" t="str">
        <f aca="false">IF(O911="","",IF(X911="",0,O911*IF(X911&gt;1,X911/100,X911)))</f>
        <v/>
      </c>
      <c r="Z911" s="28"/>
      <c r="AA911" s="34" t="str">
        <f aca="false">IF(Z911="","",IFERROR(VLOOKUP(Z911,REPS!$A$2:$D$40,4,0),""))</f>
        <v/>
      </c>
      <c r="AB911" s="31" t="str">
        <f aca="false">IF(O911="","",IF(AA911="",0,O911*IF(AA911&gt;1,AA911/100,AA911)))</f>
        <v/>
      </c>
      <c r="AC911" s="31" t="str">
        <f aca="false">IF(O911="","",V911+Y911+AB911)</f>
        <v/>
      </c>
      <c r="AD911" s="19" t="str">
        <f aca="false">IF(O911="","",O911-R911-AC911)</f>
        <v/>
      </c>
      <c r="AE911" s="20"/>
      <c r="AF911" s="27"/>
      <c r="AG911" s="21" t="n">
        <f aca="false">IF(OR(AE911="",AE911=0),0,AE911*IF(U911="",0,IF(U911&gt;1,U911/100,U911)))</f>
        <v>0</v>
      </c>
      <c r="AH911" s="21" t="n">
        <f aca="false">IF(OR(AE911="",AE911=0),0,AE911*IF(X911="",0,IF(X911&gt;1,X911/100,X911)))</f>
        <v>0</v>
      </c>
      <c r="AI911" s="21" t="n">
        <f aca="false">IF(OR(AE911="",AE911=0),0,AE911*IF(AA911="",0,IF(AA911&gt;1,AA911/100,AA911)))</f>
        <v>0</v>
      </c>
      <c r="AJ911" s="21" t="n">
        <f aca="false">AG911+AH911+AI911</f>
        <v>0</v>
      </c>
      <c r="AK911" s="21" t="n">
        <f aca="false">IF(OR(AE911="",AE911=0),0,AE911-AJ911)</f>
        <v>0</v>
      </c>
      <c r="AL911" s="19" t="str">
        <f aca="false">IF(AD911="","",AD911-AK911)</f>
        <v/>
      </c>
      <c r="AM911" s="26" t="str">
        <f aca="false">IF(C911="","","Waiting for payment")</f>
        <v/>
      </c>
      <c r="AN911" s="27"/>
      <c r="AO911" s="27"/>
      <c r="AP911" s="35" t="str">
        <f aca="false">IF(OR(C911="",I911="",K911=""),"",IF(K911="Monthly",EDATE(C911,ROUND(I911*SETTINGS!$I$8,0)),WORKDAY(C911,ROUND(I911*SETTINGS!$I$8,0))))</f>
        <v/>
      </c>
      <c r="AQ911" s="26" t="str">
        <f aca="true">IF(C911="","",IF(AND(AP911&lt;&gt;"",TODAY()&gt;=AP911),"Refi Ready",IF(TODAY()-C911&gt;=SETTINGS!$I$11,"Prospecting","Performing")))</f>
        <v/>
      </c>
      <c r="AR911" s="35" t="str">
        <f aca="false">IF(OR(C911="",I911="",K911=""),"",IF(K911="Monthly",EDATE(C911,I911),WORKDAY(C911,I911)))</f>
        <v/>
      </c>
      <c r="AS911" s="28"/>
      <c r="AT911" s="36" t="str">
        <f aca="true">IF(C911="","",IF(AM911="Clawed Back","CLAWED",IF(TODAY()&lt;=C911+SETTINGS!$I$2,"⚠ AT RISK","SAFE")))</f>
        <v/>
      </c>
      <c r="AU911" s="28"/>
      <c r="AW911" s="24" t="n">
        <f aca="false">AW910+IF(AND(C911&lt;&gt;"",AO911&lt;&gt;"",OR('REP COMMISSION'!$B$3="",T911='REP COMMISSION'!$B$3,W911='REP COMMISSION'!$B$3,Z911='REP COMMISSION'!$B$3)),1,0)</f>
        <v>0</v>
      </c>
      <c r="AX911" s="24" t="n">
        <f aca="false">AX910+IF(AND(C911&lt;&gt;"",OR(F911="LOC - INITIAL",F911="CONSOLIDATION - UPFRONT COMM",F911="REVERSE - TOTAL FUNDING")),1,0)</f>
        <v>0</v>
      </c>
    </row>
    <row r="912" customFormat="false" ht="15" hidden="false" customHeight="false" outlineLevel="0" collapsed="false">
      <c r="A912" s="8" t="str">
        <f aca="false">IF(C912&lt;&gt;"","F27-"&amp;COUNT($C$4:C912),"")</f>
        <v/>
      </c>
      <c r="B912" s="9" t="str">
        <f aca="false">IF(OR(F912="LOC - INITIAL",F912="CONSOLIDATION - UPFRONT COMM",F912="REVERSE - TOTAL FUNDING"),A912,"")</f>
        <v/>
      </c>
      <c r="C912" s="10"/>
      <c r="D912" s="11"/>
      <c r="E912" s="11"/>
      <c r="F912" s="11"/>
      <c r="G912" s="12"/>
      <c r="H912" s="13"/>
      <c r="I912" s="11"/>
      <c r="J912" s="14" t="str">
        <f aca="false">IF(AND(G912&lt;&gt;"",H912&lt;&gt;""),G912*H912,"")</f>
        <v/>
      </c>
      <c r="K912" s="11"/>
      <c r="L912" s="15"/>
      <c r="M912" s="15"/>
      <c r="N912" s="14" t="n">
        <f aca="false">IF(OR(G912="",M912=""),0,IF(M912&gt;100,M912,G912*IF(M912&gt;1,M912/100,M912)))</f>
        <v>0</v>
      </c>
      <c r="O912" s="14" t="str">
        <f aca="false">IF(G912="","",G912*IF(L912="",0,IF(L912&gt;1,L912/100,L912))+N912)</f>
        <v/>
      </c>
      <c r="P912" s="11"/>
      <c r="Q912" s="16" t="str">
        <f aca="false">IF(P912="","",IFERROR(VLOOKUP(P912,PARTNERS!$A$2:$B$30,2,0),""))</f>
        <v/>
      </c>
      <c r="R912" s="17" t="str">
        <f aca="false">IF(O912="","",IF(OR(P912="",Q912=""),0,(O912-N912)*IF(Q912&gt;1,Q912/100,Q912)))</f>
        <v/>
      </c>
      <c r="S912" s="14" t="str">
        <f aca="false">IF(O912="","",O912-R912)</f>
        <v/>
      </c>
      <c r="T912" s="11"/>
      <c r="U912" s="18" t="str">
        <f aca="false">IF(T912="","",IFERROR(VLOOKUP(T912,REPS!$A$2:$D$40,2,0),""))</f>
        <v/>
      </c>
      <c r="V912" s="14" t="str">
        <f aca="false">IF(O912="","",IF(U912="",0,O912*IF(U912&gt;1,U912/100,U912)))</f>
        <v/>
      </c>
      <c r="W912" s="11"/>
      <c r="X912" s="18" t="str">
        <f aca="false">IF(W912="","",IFERROR(VLOOKUP(W912,REPS!$A$2:$D$40,3,0),""))</f>
        <v/>
      </c>
      <c r="Y912" s="14" t="str">
        <f aca="false">IF(O912="","",IF(X912="",0,O912*IF(X912&gt;1,X912/100,X912)))</f>
        <v/>
      </c>
      <c r="Z912" s="11"/>
      <c r="AA912" s="18" t="str">
        <f aca="false">IF(Z912="","",IFERROR(VLOOKUP(Z912,REPS!$A$2:$D$40,4,0),""))</f>
        <v/>
      </c>
      <c r="AB912" s="14" t="str">
        <f aca="false">IF(O912="","",IF(AA912="",0,O912*IF(AA912&gt;1,AA912/100,AA912)))</f>
        <v/>
      </c>
      <c r="AC912" s="14" t="str">
        <f aca="false">IF(O912="","",V912+Y912+AB912)</f>
        <v/>
      </c>
      <c r="AD912" s="19" t="str">
        <f aca="false">IF(O912="","",O912-R912-AC912)</f>
        <v/>
      </c>
      <c r="AE912" s="20"/>
      <c r="AF912" s="10"/>
      <c r="AG912" s="21" t="n">
        <f aca="false">IF(OR(AE912="",AE912=0),0,AE912*IF(U912="",0,IF(U912&gt;1,U912/100,U912)))</f>
        <v>0</v>
      </c>
      <c r="AH912" s="21" t="n">
        <f aca="false">IF(OR(AE912="",AE912=0),0,AE912*IF(X912="",0,IF(X912&gt;1,X912/100,X912)))</f>
        <v>0</v>
      </c>
      <c r="AI912" s="21" t="n">
        <f aca="false">IF(OR(AE912="",AE912=0),0,AE912*IF(AA912="",0,IF(AA912&gt;1,AA912/100,AA912)))</f>
        <v>0</v>
      </c>
      <c r="AJ912" s="21" t="n">
        <f aca="false">AG912+AH912+AI912</f>
        <v>0</v>
      </c>
      <c r="AK912" s="21" t="n">
        <f aca="false">IF(OR(AE912="",AE912=0),0,AE912-AJ912)</f>
        <v>0</v>
      </c>
      <c r="AL912" s="19" t="str">
        <f aca="false">IF(AD912="","",AD912-AK912)</f>
        <v/>
      </c>
      <c r="AM912" s="9" t="str">
        <f aca="false">IF(C912="","","Waiting for payment")</f>
        <v/>
      </c>
      <c r="AN912" s="10"/>
      <c r="AO912" s="10"/>
      <c r="AP912" s="22" t="str">
        <f aca="false">IF(OR(C912="",I912="",K912=""),"",IF(K912="Monthly",EDATE(C912,ROUND(I912*SETTINGS!$I$8,0)),WORKDAY(C912,ROUND(I912*SETTINGS!$I$8,0))))</f>
        <v/>
      </c>
      <c r="AQ912" s="9" t="str">
        <f aca="true">IF(C912="","",IF(AND(AP912&lt;&gt;"",TODAY()&gt;=AP912),"Refi Ready",IF(TODAY()-C912&gt;=SETTINGS!$I$11,"Prospecting","Performing")))</f>
        <v/>
      </c>
      <c r="AR912" s="22" t="str">
        <f aca="false">IF(OR(C912="",I912="",K912=""),"",IF(K912="Monthly",EDATE(C912,I912),WORKDAY(C912,I912)))</f>
        <v/>
      </c>
      <c r="AS912" s="11"/>
      <c r="AT912" s="23" t="str">
        <f aca="true">IF(C912="","",IF(AM912="Clawed Back","CLAWED",IF(TODAY()&lt;=C912+SETTINGS!$I$2,"⚠ AT RISK","SAFE")))</f>
        <v/>
      </c>
      <c r="AU912" s="11"/>
      <c r="AW912" s="24" t="n">
        <f aca="false">AW911+IF(AND(C912&lt;&gt;"",AO912&lt;&gt;"",OR('REP COMMISSION'!$B$3="",T912='REP COMMISSION'!$B$3,W912='REP COMMISSION'!$B$3,Z912='REP COMMISSION'!$B$3)),1,0)</f>
        <v>0</v>
      </c>
      <c r="AX912" s="24" t="n">
        <f aca="false">AX911+IF(AND(C912&lt;&gt;"",OR(F912="LOC - INITIAL",F912="CONSOLIDATION - UPFRONT COMM",F912="REVERSE - TOTAL FUNDING")),1,0)</f>
        <v>0</v>
      </c>
    </row>
    <row r="913" customFormat="false" ht="15" hidden="false" customHeight="false" outlineLevel="0" collapsed="false">
      <c r="A913" s="25" t="str">
        <f aca="false">IF(C913&lt;&gt;"","F27-"&amp;COUNT($C$4:C913),"")</f>
        <v/>
      </c>
      <c r="B913" s="26" t="str">
        <f aca="false">IF(OR(F913="LOC - INITIAL",F913="CONSOLIDATION - UPFRONT COMM",F913="REVERSE - TOTAL FUNDING"),A913,"")</f>
        <v/>
      </c>
      <c r="C913" s="27"/>
      <c r="D913" s="28"/>
      <c r="E913" s="28"/>
      <c r="F913" s="28"/>
      <c r="G913" s="29"/>
      <c r="H913" s="30"/>
      <c r="I913" s="28"/>
      <c r="J913" s="31" t="str">
        <f aca="false">IF(AND(G913&lt;&gt;"",H913&lt;&gt;""),G913*H913,"")</f>
        <v/>
      </c>
      <c r="K913" s="28"/>
      <c r="L913" s="32"/>
      <c r="M913" s="32"/>
      <c r="N913" s="31" t="n">
        <f aca="false">IF(OR(G913="",M913=""),0,IF(M913&gt;100,M913,G913*IF(M913&gt;1,M913/100,M913)))</f>
        <v>0</v>
      </c>
      <c r="O913" s="31" t="str">
        <f aca="false">IF(G913="","",G913*IF(L913="",0,IF(L913&gt;1,L913/100,L913))+N913)</f>
        <v/>
      </c>
      <c r="P913" s="28"/>
      <c r="Q913" s="33" t="str">
        <f aca="false">IF(P913="","",IFERROR(VLOOKUP(P913,PARTNERS!$A$2:$B$30,2,0),""))</f>
        <v/>
      </c>
      <c r="R913" s="17" t="str">
        <f aca="false">IF(O913="","",IF(OR(P913="",Q913=""),0,(O913-N913)*IF(Q913&gt;1,Q913/100,Q913)))</f>
        <v/>
      </c>
      <c r="S913" s="31" t="str">
        <f aca="false">IF(O913="","",O913-R913)</f>
        <v/>
      </c>
      <c r="T913" s="28"/>
      <c r="U913" s="34" t="str">
        <f aca="false">IF(T913="","",IFERROR(VLOOKUP(T913,REPS!$A$2:$D$40,2,0),""))</f>
        <v/>
      </c>
      <c r="V913" s="31" t="str">
        <f aca="false">IF(O913="","",IF(U913="",0,O913*IF(U913&gt;1,U913/100,U913)))</f>
        <v/>
      </c>
      <c r="W913" s="28"/>
      <c r="X913" s="34" t="str">
        <f aca="false">IF(W913="","",IFERROR(VLOOKUP(W913,REPS!$A$2:$D$40,3,0),""))</f>
        <v/>
      </c>
      <c r="Y913" s="31" t="str">
        <f aca="false">IF(O913="","",IF(X913="",0,O913*IF(X913&gt;1,X913/100,X913)))</f>
        <v/>
      </c>
      <c r="Z913" s="28"/>
      <c r="AA913" s="34" t="str">
        <f aca="false">IF(Z913="","",IFERROR(VLOOKUP(Z913,REPS!$A$2:$D$40,4,0),""))</f>
        <v/>
      </c>
      <c r="AB913" s="31" t="str">
        <f aca="false">IF(O913="","",IF(AA913="",0,O913*IF(AA913&gt;1,AA913/100,AA913)))</f>
        <v/>
      </c>
      <c r="AC913" s="31" t="str">
        <f aca="false">IF(O913="","",V913+Y913+AB913)</f>
        <v/>
      </c>
      <c r="AD913" s="19" t="str">
        <f aca="false">IF(O913="","",O913-R913-AC913)</f>
        <v/>
      </c>
      <c r="AE913" s="20"/>
      <c r="AF913" s="27"/>
      <c r="AG913" s="21" t="n">
        <f aca="false">IF(OR(AE913="",AE913=0),0,AE913*IF(U913="",0,IF(U913&gt;1,U913/100,U913)))</f>
        <v>0</v>
      </c>
      <c r="AH913" s="21" t="n">
        <f aca="false">IF(OR(AE913="",AE913=0),0,AE913*IF(X913="",0,IF(X913&gt;1,X913/100,X913)))</f>
        <v>0</v>
      </c>
      <c r="AI913" s="21" t="n">
        <f aca="false">IF(OR(AE913="",AE913=0),0,AE913*IF(AA913="",0,IF(AA913&gt;1,AA913/100,AA913)))</f>
        <v>0</v>
      </c>
      <c r="AJ913" s="21" t="n">
        <f aca="false">AG913+AH913+AI913</f>
        <v>0</v>
      </c>
      <c r="AK913" s="21" t="n">
        <f aca="false">IF(OR(AE913="",AE913=0),0,AE913-AJ913)</f>
        <v>0</v>
      </c>
      <c r="AL913" s="19" t="str">
        <f aca="false">IF(AD913="","",AD913-AK913)</f>
        <v/>
      </c>
      <c r="AM913" s="26" t="str">
        <f aca="false">IF(C913="","","Waiting for payment")</f>
        <v/>
      </c>
      <c r="AN913" s="27"/>
      <c r="AO913" s="27"/>
      <c r="AP913" s="35" t="str">
        <f aca="false">IF(OR(C913="",I913="",K913=""),"",IF(K913="Monthly",EDATE(C913,ROUND(I913*SETTINGS!$I$8,0)),WORKDAY(C913,ROUND(I913*SETTINGS!$I$8,0))))</f>
        <v/>
      </c>
      <c r="AQ913" s="26" t="str">
        <f aca="true">IF(C913="","",IF(AND(AP913&lt;&gt;"",TODAY()&gt;=AP913),"Refi Ready",IF(TODAY()-C913&gt;=SETTINGS!$I$11,"Prospecting","Performing")))</f>
        <v/>
      </c>
      <c r="AR913" s="35" t="str">
        <f aca="false">IF(OR(C913="",I913="",K913=""),"",IF(K913="Monthly",EDATE(C913,I913),WORKDAY(C913,I913)))</f>
        <v/>
      </c>
      <c r="AS913" s="28"/>
      <c r="AT913" s="36" t="str">
        <f aca="true">IF(C913="","",IF(AM913="Clawed Back","CLAWED",IF(TODAY()&lt;=C913+SETTINGS!$I$2,"⚠ AT RISK","SAFE")))</f>
        <v/>
      </c>
      <c r="AU913" s="28"/>
      <c r="AW913" s="24" t="n">
        <f aca="false">AW912+IF(AND(C913&lt;&gt;"",AO913&lt;&gt;"",OR('REP COMMISSION'!$B$3="",T913='REP COMMISSION'!$B$3,W913='REP COMMISSION'!$B$3,Z913='REP COMMISSION'!$B$3)),1,0)</f>
        <v>0</v>
      </c>
      <c r="AX913" s="24" t="n">
        <f aca="false">AX912+IF(AND(C913&lt;&gt;"",OR(F913="LOC - INITIAL",F913="CONSOLIDATION - UPFRONT COMM",F913="REVERSE - TOTAL FUNDING")),1,0)</f>
        <v>0</v>
      </c>
    </row>
    <row r="914" customFormat="false" ht="15" hidden="false" customHeight="false" outlineLevel="0" collapsed="false">
      <c r="A914" s="8" t="str">
        <f aca="false">IF(C914&lt;&gt;"","F27-"&amp;COUNT($C$4:C914),"")</f>
        <v/>
      </c>
      <c r="B914" s="9" t="str">
        <f aca="false">IF(OR(F914="LOC - INITIAL",F914="CONSOLIDATION - UPFRONT COMM",F914="REVERSE - TOTAL FUNDING"),A914,"")</f>
        <v/>
      </c>
      <c r="C914" s="10"/>
      <c r="D914" s="11"/>
      <c r="E914" s="11"/>
      <c r="F914" s="11"/>
      <c r="G914" s="12"/>
      <c r="H914" s="13"/>
      <c r="I914" s="11"/>
      <c r="J914" s="14" t="str">
        <f aca="false">IF(AND(G914&lt;&gt;"",H914&lt;&gt;""),G914*H914,"")</f>
        <v/>
      </c>
      <c r="K914" s="11"/>
      <c r="L914" s="15"/>
      <c r="M914" s="15"/>
      <c r="N914" s="14" t="n">
        <f aca="false">IF(OR(G914="",M914=""),0,IF(M914&gt;100,M914,G914*IF(M914&gt;1,M914/100,M914)))</f>
        <v>0</v>
      </c>
      <c r="O914" s="14" t="str">
        <f aca="false">IF(G914="","",G914*IF(L914="",0,IF(L914&gt;1,L914/100,L914))+N914)</f>
        <v/>
      </c>
      <c r="P914" s="11"/>
      <c r="Q914" s="16" t="str">
        <f aca="false">IF(P914="","",IFERROR(VLOOKUP(P914,PARTNERS!$A$2:$B$30,2,0),""))</f>
        <v/>
      </c>
      <c r="R914" s="17" t="str">
        <f aca="false">IF(O914="","",IF(OR(P914="",Q914=""),0,(O914-N914)*IF(Q914&gt;1,Q914/100,Q914)))</f>
        <v/>
      </c>
      <c r="S914" s="14" t="str">
        <f aca="false">IF(O914="","",O914-R914)</f>
        <v/>
      </c>
      <c r="T914" s="11"/>
      <c r="U914" s="18" t="str">
        <f aca="false">IF(T914="","",IFERROR(VLOOKUP(T914,REPS!$A$2:$D$40,2,0),""))</f>
        <v/>
      </c>
      <c r="V914" s="14" t="str">
        <f aca="false">IF(O914="","",IF(U914="",0,O914*IF(U914&gt;1,U914/100,U914)))</f>
        <v/>
      </c>
      <c r="W914" s="11"/>
      <c r="X914" s="18" t="str">
        <f aca="false">IF(W914="","",IFERROR(VLOOKUP(W914,REPS!$A$2:$D$40,3,0),""))</f>
        <v/>
      </c>
      <c r="Y914" s="14" t="str">
        <f aca="false">IF(O914="","",IF(X914="",0,O914*IF(X914&gt;1,X914/100,X914)))</f>
        <v/>
      </c>
      <c r="Z914" s="11"/>
      <c r="AA914" s="18" t="str">
        <f aca="false">IF(Z914="","",IFERROR(VLOOKUP(Z914,REPS!$A$2:$D$40,4,0),""))</f>
        <v/>
      </c>
      <c r="AB914" s="14" t="str">
        <f aca="false">IF(O914="","",IF(AA914="",0,O914*IF(AA914&gt;1,AA914/100,AA914)))</f>
        <v/>
      </c>
      <c r="AC914" s="14" t="str">
        <f aca="false">IF(O914="","",V914+Y914+AB914)</f>
        <v/>
      </c>
      <c r="AD914" s="19" t="str">
        <f aca="false">IF(O914="","",O914-R914-AC914)</f>
        <v/>
      </c>
      <c r="AE914" s="20"/>
      <c r="AF914" s="10"/>
      <c r="AG914" s="21" t="n">
        <f aca="false">IF(OR(AE914="",AE914=0),0,AE914*IF(U914="",0,IF(U914&gt;1,U914/100,U914)))</f>
        <v>0</v>
      </c>
      <c r="AH914" s="21" t="n">
        <f aca="false">IF(OR(AE914="",AE914=0),0,AE914*IF(X914="",0,IF(X914&gt;1,X914/100,X914)))</f>
        <v>0</v>
      </c>
      <c r="AI914" s="21" t="n">
        <f aca="false">IF(OR(AE914="",AE914=0),0,AE914*IF(AA914="",0,IF(AA914&gt;1,AA914/100,AA914)))</f>
        <v>0</v>
      </c>
      <c r="AJ914" s="21" t="n">
        <f aca="false">AG914+AH914+AI914</f>
        <v>0</v>
      </c>
      <c r="AK914" s="21" t="n">
        <f aca="false">IF(OR(AE914="",AE914=0),0,AE914-AJ914)</f>
        <v>0</v>
      </c>
      <c r="AL914" s="19" t="str">
        <f aca="false">IF(AD914="","",AD914-AK914)</f>
        <v/>
      </c>
      <c r="AM914" s="9" t="str">
        <f aca="false">IF(C914="","","Waiting for payment")</f>
        <v/>
      </c>
      <c r="AN914" s="10"/>
      <c r="AO914" s="10"/>
      <c r="AP914" s="22" t="str">
        <f aca="false">IF(OR(C914="",I914="",K914=""),"",IF(K914="Monthly",EDATE(C914,ROUND(I914*SETTINGS!$I$8,0)),WORKDAY(C914,ROUND(I914*SETTINGS!$I$8,0))))</f>
        <v/>
      </c>
      <c r="AQ914" s="9" t="str">
        <f aca="true">IF(C914="","",IF(AND(AP914&lt;&gt;"",TODAY()&gt;=AP914),"Refi Ready",IF(TODAY()-C914&gt;=SETTINGS!$I$11,"Prospecting","Performing")))</f>
        <v/>
      </c>
      <c r="AR914" s="22" t="str">
        <f aca="false">IF(OR(C914="",I914="",K914=""),"",IF(K914="Monthly",EDATE(C914,I914),WORKDAY(C914,I914)))</f>
        <v/>
      </c>
      <c r="AS914" s="11"/>
      <c r="AT914" s="23" t="str">
        <f aca="true">IF(C914="","",IF(AM914="Clawed Back","CLAWED",IF(TODAY()&lt;=C914+SETTINGS!$I$2,"⚠ AT RISK","SAFE")))</f>
        <v/>
      </c>
      <c r="AU914" s="11"/>
      <c r="AW914" s="24" t="n">
        <f aca="false">AW913+IF(AND(C914&lt;&gt;"",AO914&lt;&gt;"",OR('REP COMMISSION'!$B$3="",T914='REP COMMISSION'!$B$3,W914='REP COMMISSION'!$B$3,Z914='REP COMMISSION'!$B$3)),1,0)</f>
        <v>0</v>
      </c>
      <c r="AX914" s="24" t="n">
        <f aca="false">AX913+IF(AND(C914&lt;&gt;"",OR(F914="LOC - INITIAL",F914="CONSOLIDATION - UPFRONT COMM",F914="REVERSE - TOTAL FUNDING")),1,0)</f>
        <v>0</v>
      </c>
    </row>
    <row r="915" customFormat="false" ht="15" hidden="false" customHeight="false" outlineLevel="0" collapsed="false">
      <c r="A915" s="25" t="str">
        <f aca="false">IF(C915&lt;&gt;"","F27-"&amp;COUNT($C$4:C915),"")</f>
        <v/>
      </c>
      <c r="B915" s="26" t="str">
        <f aca="false">IF(OR(F915="LOC - INITIAL",F915="CONSOLIDATION - UPFRONT COMM",F915="REVERSE - TOTAL FUNDING"),A915,"")</f>
        <v/>
      </c>
      <c r="C915" s="27"/>
      <c r="D915" s="28"/>
      <c r="E915" s="28"/>
      <c r="F915" s="28"/>
      <c r="G915" s="29"/>
      <c r="H915" s="30"/>
      <c r="I915" s="28"/>
      <c r="J915" s="31" t="str">
        <f aca="false">IF(AND(G915&lt;&gt;"",H915&lt;&gt;""),G915*H915,"")</f>
        <v/>
      </c>
      <c r="K915" s="28"/>
      <c r="L915" s="32"/>
      <c r="M915" s="32"/>
      <c r="N915" s="31" t="n">
        <f aca="false">IF(OR(G915="",M915=""),0,IF(M915&gt;100,M915,G915*IF(M915&gt;1,M915/100,M915)))</f>
        <v>0</v>
      </c>
      <c r="O915" s="31" t="str">
        <f aca="false">IF(G915="","",G915*IF(L915="",0,IF(L915&gt;1,L915/100,L915))+N915)</f>
        <v/>
      </c>
      <c r="P915" s="28"/>
      <c r="Q915" s="33" t="str">
        <f aca="false">IF(P915="","",IFERROR(VLOOKUP(P915,PARTNERS!$A$2:$B$30,2,0),""))</f>
        <v/>
      </c>
      <c r="R915" s="17" t="str">
        <f aca="false">IF(O915="","",IF(OR(P915="",Q915=""),0,(O915-N915)*IF(Q915&gt;1,Q915/100,Q915)))</f>
        <v/>
      </c>
      <c r="S915" s="31" t="str">
        <f aca="false">IF(O915="","",O915-R915)</f>
        <v/>
      </c>
      <c r="T915" s="28"/>
      <c r="U915" s="34" t="str">
        <f aca="false">IF(T915="","",IFERROR(VLOOKUP(T915,REPS!$A$2:$D$40,2,0),""))</f>
        <v/>
      </c>
      <c r="V915" s="31" t="str">
        <f aca="false">IF(O915="","",IF(U915="",0,O915*IF(U915&gt;1,U915/100,U915)))</f>
        <v/>
      </c>
      <c r="W915" s="28"/>
      <c r="X915" s="34" t="str">
        <f aca="false">IF(W915="","",IFERROR(VLOOKUP(W915,REPS!$A$2:$D$40,3,0),""))</f>
        <v/>
      </c>
      <c r="Y915" s="31" t="str">
        <f aca="false">IF(O915="","",IF(X915="",0,O915*IF(X915&gt;1,X915/100,X915)))</f>
        <v/>
      </c>
      <c r="Z915" s="28"/>
      <c r="AA915" s="34" t="str">
        <f aca="false">IF(Z915="","",IFERROR(VLOOKUP(Z915,REPS!$A$2:$D$40,4,0),""))</f>
        <v/>
      </c>
      <c r="AB915" s="31" t="str">
        <f aca="false">IF(O915="","",IF(AA915="",0,O915*IF(AA915&gt;1,AA915/100,AA915)))</f>
        <v/>
      </c>
      <c r="AC915" s="31" t="str">
        <f aca="false">IF(O915="","",V915+Y915+AB915)</f>
        <v/>
      </c>
      <c r="AD915" s="19" t="str">
        <f aca="false">IF(O915="","",O915-R915-AC915)</f>
        <v/>
      </c>
      <c r="AE915" s="20"/>
      <c r="AF915" s="27"/>
      <c r="AG915" s="21" t="n">
        <f aca="false">IF(OR(AE915="",AE915=0),0,AE915*IF(U915="",0,IF(U915&gt;1,U915/100,U915)))</f>
        <v>0</v>
      </c>
      <c r="AH915" s="21" t="n">
        <f aca="false">IF(OR(AE915="",AE915=0),0,AE915*IF(X915="",0,IF(X915&gt;1,X915/100,X915)))</f>
        <v>0</v>
      </c>
      <c r="AI915" s="21" t="n">
        <f aca="false">IF(OR(AE915="",AE915=0),0,AE915*IF(AA915="",0,IF(AA915&gt;1,AA915/100,AA915)))</f>
        <v>0</v>
      </c>
      <c r="AJ915" s="21" t="n">
        <f aca="false">AG915+AH915+AI915</f>
        <v>0</v>
      </c>
      <c r="AK915" s="21" t="n">
        <f aca="false">IF(OR(AE915="",AE915=0),0,AE915-AJ915)</f>
        <v>0</v>
      </c>
      <c r="AL915" s="19" t="str">
        <f aca="false">IF(AD915="","",AD915-AK915)</f>
        <v/>
      </c>
      <c r="AM915" s="26" t="str">
        <f aca="false">IF(C915="","","Waiting for payment")</f>
        <v/>
      </c>
      <c r="AN915" s="27"/>
      <c r="AO915" s="27"/>
      <c r="AP915" s="35" t="str">
        <f aca="false">IF(OR(C915="",I915="",K915=""),"",IF(K915="Monthly",EDATE(C915,ROUND(I915*SETTINGS!$I$8,0)),WORKDAY(C915,ROUND(I915*SETTINGS!$I$8,0))))</f>
        <v/>
      </c>
      <c r="AQ915" s="26" t="str">
        <f aca="true">IF(C915="","",IF(AND(AP915&lt;&gt;"",TODAY()&gt;=AP915),"Refi Ready",IF(TODAY()-C915&gt;=SETTINGS!$I$11,"Prospecting","Performing")))</f>
        <v/>
      </c>
      <c r="AR915" s="35" t="str">
        <f aca="false">IF(OR(C915="",I915="",K915=""),"",IF(K915="Monthly",EDATE(C915,I915),WORKDAY(C915,I915)))</f>
        <v/>
      </c>
      <c r="AS915" s="28"/>
      <c r="AT915" s="36" t="str">
        <f aca="true">IF(C915="","",IF(AM915="Clawed Back","CLAWED",IF(TODAY()&lt;=C915+SETTINGS!$I$2,"⚠ AT RISK","SAFE")))</f>
        <v/>
      </c>
      <c r="AU915" s="28"/>
      <c r="AW915" s="24" t="n">
        <f aca="false">AW914+IF(AND(C915&lt;&gt;"",AO915&lt;&gt;"",OR('REP COMMISSION'!$B$3="",T915='REP COMMISSION'!$B$3,W915='REP COMMISSION'!$B$3,Z915='REP COMMISSION'!$B$3)),1,0)</f>
        <v>0</v>
      </c>
      <c r="AX915" s="24" t="n">
        <f aca="false">AX914+IF(AND(C915&lt;&gt;"",OR(F915="LOC - INITIAL",F915="CONSOLIDATION - UPFRONT COMM",F915="REVERSE - TOTAL FUNDING")),1,0)</f>
        <v>0</v>
      </c>
    </row>
    <row r="916" customFormat="false" ht="15" hidden="false" customHeight="false" outlineLevel="0" collapsed="false">
      <c r="A916" s="8" t="str">
        <f aca="false">IF(C916&lt;&gt;"","F27-"&amp;COUNT($C$4:C916),"")</f>
        <v/>
      </c>
      <c r="B916" s="9" t="str">
        <f aca="false">IF(OR(F916="LOC - INITIAL",F916="CONSOLIDATION - UPFRONT COMM",F916="REVERSE - TOTAL FUNDING"),A916,"")</f>
        <v/>
      </c>
      <c r="C916" s="10"/>
      <c r="D916" s="11"/>
      <c r="E916" s="11"/>
      <c r="F916" s="11"/>
      <c r="G916" s="12"/>
      <c r="H916" s="13"/>
      <c r="I916" s="11"/>
      <c r="J916" s="14" t="str">
        <f aca="false">IF(AND(G916&lt;&gt;"",H916&lt;&gt;""),G916*H916,"")</f>
        <v/>
      </c>
      <c r="K916" s="11"/>
      <c r="L916" s="15"/>
      <c r="M916" s="15"/>
      <c r="N916" s="14" t="n">
        <f aca="false">IF(OR(G916="",M916=""),0,IF(M916&gt;100,M916,G916*IF(M916&gt;1,M916/100,M916)))</f>
        <v>0</v>
      </c>
      <c r="O916" s="14" t="str">
        <f aca="false">IF(G916="","",G916*IF(L916="",0,IF(L916&gt;1,L916/100,L916))+N916)</f>
        <v/>
      </c>
      <c r="P916" s="11"/>
      <c r="Q916" s="16" t="str">
        <f aca="false">IF(P916="","",IFERROR(VLOOKUP(P916,PARTNERS!$A$2:$B$30,2,0),""))</f>
        <v/>
      </c>
      <c r="R916" s="17" t="str">
        <f aca="false">IF(O916="","",IF(OR(P916="",Q916=""),0,(O916-N916)*IF(Q916&gt;1,Q916/100,Q916)))</f>
        <v/>
      </c>
      <c r="S916" s="14" t="str">
        <f aca="false">IF(O916="","",O916-R916)</f>
        <v/>
      </c>
      <c r="T916" s="11"/>
      <c r="U916" s="18" t="str">
        <f aca="false">IF(T916="","",IFERROR(VLOOKUP(T916,REPS!$A$2:$D$40,2,0),""))</f>
        <v/>
      </c>
      <c r="V916" s="14" t="str">
        <f aca="false">IF(O916="","",IF(U916="",0,O916*IF(U916&gt;1,U916/100,U916)))</f>
        <v/>
      </c>
      <c r="W916" s="11"/>
      <c r="X916" s="18" t="str">
        <f aca="false">IF(W916="","",IFERROR(VLOOKUP(W916,REPS!$A$2:$D$40,3,0),""))</f>
        <v/>
      </c>
      <c r="Y916" s="14" t="str">
        <f aca="false">IF(O916="","",IF(X916="",0,O916*IF(X916&gt;1,X916/100,X916)))</f>
        <v/>
      </c>
      <c r="Z916" s="11"/>
      <c r="AA916" s="18" t="str">
        <f aca="false">IF(Z916="","",IFERROR(VLOOKUP(Z916,REPS!$A$2:$D$40,4,0),""))</f>
        <v/>
      </c>
      <c r="AB916" s="14" t="str">
        <f aca="false">IF(O916="","",IF(AA916="",0,O916*IF(AA916&gt;1,AA916/100,AA916)))</f>
        <v/>
      </c>
      <c r="AC916" s="14" t="str">
        <f aca="false">IF(O916="","",V916+Y916+AB916)</f>
        <v/>
      </c>
      <c r="AD916" s="19" t="str">
        <f aca="false">IF(O916="","",O916-R916-AC916)</f>
        <v/>
      </c>
      <c r="AE916" s="20"/>
      <c r="AF916" s="10"/>
      <c r="AG916" s="21" t="n">
        <f aca="false">IF(OR(AE916="",AE916=0),0,AE916*IF(U916="",0,IF(U916&gt;1,U916/100,U916)))</f>
        <v>0</v>
      </c>
      <c r="AH916" s="21" t="n">
        <f aca="false">IF(OR(AE916="",AE916=0),0,AE916*IF(X916="",0,IF(X916&gt;1,X916/100,X916)))</f>
        <v>0</v>
      </c>
      <c r="AI916" s="21" t="n">
        <f aca="false">IF(OR(AE916="",AE916=0),0,AE916*IF(AA916="",0,IF(AA916&gt;1,AA916/100,AA916)))</f>
        <v>0</v>
      </c>
      <c r="AJ916" s="21" t="n">
        <f aca="false">AG916+AH916+AI916</f>
        <v>0</v>
      </c>
      <c r="AK916" s="21" t="n">
        <f aca="false">IF(OR(AE916="",AE916=0),0,AE916-AJ916)</f>
        <v>0</v>
      </c>
      <c r="AL916" s="19" t="str">
        <f aca="false">IF(AD916="","",AD916-AK916)</f>
        <v/>
      </c>
      <c r="AM916" s="9" t="str">
        <f aca="false">IF(C916="","","Waiting for payment")</f>
        <v/>
      </c>
      <c r="AN916" s="10"/>
      <c r="AO916" s="10"/>
      <c r="AP916" s="22" t="str">
        <f aca="false">IF(OR(C916="",I916="",K916=""),"",IF(K916="Monthly",EDATE(C916,ROUND(I916*SETTINGS!$I$8,0)),WORKDAY(C916,ROUND(I916*SETTINGS!$I$8,0))))</f>
        <v/>
      </c>
      <c r="AQ916" s="9" t="str">
        <f aca="true">IF(C916="","",IF(AND(AP916&lt;&gt;"",TODAY()&gt;=AP916),"Refi Ready",IF(TODAY()-C916&gt;=SETTINGS!$I$11,"Prospecting","Performing")))</f>
        <v/>
      </c>
      <c r="AR916" s="22" t="str">
        <f aca="false">IF(OR(C916="",I916="",K916=""),"",IF(K916="Monthly",EDATE(C916,I916),WORKDAY(C916,I916)))</f>
        <v/>
      </c>
      <c r="AS916" s="11"/>
      <c r="AT916" s="23" t="str">
        <f aca="true">IF(C916="","",IF(AM916="Clawed Back","CLAWED",IF(TODAY()&lt;=C916+SETTINGS!$I$2,"⚠ AT RISK","SAFE")))</f>
        <v/>
      </c>
      <c r="AU916" s="11"/>
      <c r="AW916" s="24" t="n">
        <f aca="false">AW915+IF(AND(C916&lt;&gt;"",AO916&lt;&gt;"",OR('REP COMMISSION'!$B$3="",T916='REP COMMISSION'!$B$3,W916='REP COMMISSION'!$B$3,Z916='REP COMMISSION'!$B$3)),1,0)</f>
        <v>0</v>
      </c>
      <c r="AX916" s="24" t="n">
        <f aca="false">AX915+IF(AND(C916&lt;&gt;"",OR(F916="LOC - INITIAL",F916="CONSOLIDATION - UPFRONT COMM",F916="REVERSE - TOTAL FUNDING")),1,0)</f>
        <v>0</v>
      </c>
    </row>
    <row r="917" customFormat="false" ht="15" hidden="false" customHeight="false" outlineLevel="0" collapsed="false">
      <c r="A917" s="25" t="str">
        <f aca="false">IF(C917&lt;&gt;"","F27-"&amp;COUNT($C$4:C917),"")</f>
        <v/>
      </c>
      <c r="B917" s="26" t="str">
        <f aca="false">IF(OR(F917="LOC - INITIAL",F917="CONSOLIDATION - UPFRONT COMM",F917="REVERSE - TOTAL FUNDING"),A917,"")</f>
        <v/>
      </c>
      <c r="C917" s="27"/>
      <c r="D917" s="28"/>
      <c r="E917" s="28"/>
      <c r="F917" s="28"/>
      <c r="G917" s="29"/>
      <c r="H917" s="30"/>
      <c r="I917" s="28"/>
      <c r="J917" s="31" t="str">
        <f aca="false">IF(AND(G917&lt;&gt;"",H917&lt;&gt;""),G917*H917,"")</f>
        <v/>
      </c>
      <c r="K917" s="28"/>
      <c r="L917" s="32"/>
      <c r="M917" s="32"/>
      <c r="N917" s="31" t="n">
        <f aca="false">IF(OR(G917="",M917=""),0,IF(M917&gt;100,M917,G917*IF(M917&gt;1,M917/100,M917)))</f>
        <v>0</v>
      </c>
      <c r="O917" s="31" t="str">
        <f aca="false">IF(G917="","",G917*IF(L917="",0,IF(L917&gt;1,L917/100,L917))+N917)</f>
        <v/>
      </c>
      <c r="P917" s="28"/>
      <c r="Q917" s="33" t="str">
        <f aca="false">IF(P917="","",IFERROR(VLOOKUP(P917,PARTNERS!$A$2:$B$30,2,0),""))</f>
        <v/>
      </c>
      <c r="R917" s="17" t="str">
        <f aca="false">IF(O917="","",IF(OR(P917="",Q917=""),0,(O917-N917)*IF(Q917&gt;1,Q917/100,Q917)))</f>
        <v/>
      </c>
      <c r="S917" s="31" t="str">
        <f aca="false">IF(O917="","",O917-R917)</f>
        <v/>
      </c>
      <c r="T917" s="28"/>
      <c r="U917" s="34" t="str">
        <f aca="false">IF(T917="","",IFERROR(VLOOKUP(T917,REPS!$A$2:$D$40,2,0),""))</f>
        <v/>
      </c>
      <c r="V917" s="31" t="str">
        <f aca="false">IF(O917="","",IF(U917="",0,O917*IF(U917&gt;1,U917/100,U917)))</f>
        <v/>
      </c>
      <c r="W917" s="28"/>
      <c r="X917" s="34" t="str">
        <f aca="false">IF(W917="","",IFERROR(VLOOKUP(W917,REPS!$A$2:$D$40,3,0),""))</f>
        <v/>
      </c>
      <c r="Y917" s="31" t="str">
        <f aca="false">IF(O917="","",IF(X917="",0,O917*IF(X917&gt;1,X917/100,X917)))</f>
        <v/>
      </c>
      <c r="Z917" s="28"/>
      <c r="AA917" s="34" t="str">
        <f aca="false">IF(Z917="","",IFERROR(VLOOKUP(Z917,REPS!$A$2:$D$40,4,0),""))</f>
        <v/>
      </c>
      <c r="AB917" s="31" t="str">
        <f aca="false">IF(O917="","",IF(AA917="",0,O917*IF(AA917&gt;1,AA917/100,AA917)))</f>
        <v/>
      </c>
      <c r="AC917" s="31" t="str">
        <f aca="false">IF(O917="","",V917+Y917+AB917)</f>
        <v/>
      </c>
      <c r="AD917" s="19" t="str">
        <f aca="false">IF(O917="","",O917-R917-AC917)</f>
        <v/>
      </c>
      <c r="AE917" s="20"/>
      <c r="AF917" s="27"/>
      <c r="AG917" s="21" t="n">
        <f aca="false">IF(OR(AE917="",AE917=0),0,AE917*IF(U917="",0,IF(U917&gt;1,U917/100,U917)))</f>
        <v>0</v>
      </c>
      <c r="AH917" s="21" t="n">
        <f aca="false">IF(OR(AE917="",AE917=0),0,AE917*IF(X917="",0,IF(X917&gt;1,X917/100,X917)))</f>
        <v>0</v>
      </c>
      <c r="AI917" s="21" t="n">
        <f aca="false">IF(OR(AE917="",AE917=0),0,AE917*IF(AA917="",0,IF(AA917&gt;1,AA917/100,AA917)))</f>
        <v>0</v>
      </c>
      <c r="AJ917" s="21" t="n">
        <f aca="false">AG917+AH917+AI917</f>
        <v>0</v>
      </c>
      <c r="AK917" s="21" t="n">
        <f aca="false">IF(OR(AE917="",AE917=0),0,AE917-AJ917)</f>
        <v>0</v>
      </c>
      <c r="AL917" s="19" t="str">
        <f aca="false">IF(AD917="","",AD917-AK917)</f>
        <v/>
      </c>
      <c r="AM917" s="26" t="str">
        <f aca="false">IF(C917="","","Waiting for payment")</f>
        <v/>
      </c>
      <c r="AN917" s="27"/>
      <c r="AO917" s="27"/>
      <c r="AP917" s="35" t="str">
        <f aca="false">IF(OR(C917="",I917="",K917=""),"",IF(K917="Monthly",EDATE(C917,ROUND(I917*SETTINGS!$I$8,0)),WORKDAY(C917,ROUND(I917*SETTINGS!$I$8,0))))</f>
        <v/>
      </c>
      <c r="AQ917" s="26" t="str">
        <f aca="true">IF(C917="","",IF(AND(AP917&lt;&gt;"",TODAY()&gt;=AP917),"Refi Ready",IF(TODAY()-C917&gt;=SETTINGS!$I$11,"Prospecting","Performing")))</f>
        <v/>
      </c>
      <c r="AR917" s="35" t="str">
        <f aca="false">IF(OR(C917="",I917="",K917=""),"",IF(K917="Monthly",EDATE(C917,I917),WORKDAY(C917,I917)))</f>
        <v/>
      </c>
      <c r="AS917" s="28"/>
      <c r="AT917" s="36" t="str">
        <f aca="true">IF(C917="","",IF(AM917="Clawed Back","CLAWED",IF(TODAY()&lt;=C917+SETTINGS!$I$2,"⚠ AT RISK","SAFE")))</f>
        <v/>
      </c>
      <c r="AU917" s="28"/>
      <c r="AW917" s="24" t="n">
        <f aca="false">AW916+IF(AND(C917&lt;&gt;"",AO917&lt;&gt;"",OR('REP COMMISSION'!$B$3="",T917='REP COMMISSION'!$B$3,W917='REP COMMISSION'!$B$3,Z917='REP COMMISSION'!$B$3)),1,0)</f>
        <v>0</v>
      </c>
      <c r="AX917" s="24" t="n">
        <f aca="false">AX916+IF(AND(C917&lt;&gt;"",OR(F917="LOC - INITIAL",F917="CONSOLIDATION - UPFRONT COMM",F917="REVERSE - TOTAL FUNDING")),1,0)</f>
        <v>0</v>
      </c>
    </row>
    <row r="918" customFormat="false" ht="15" hidden="false" customHeight="false" outlineLevel="0" collapsed="false">
      <c r="A918" s="8" t="str">
        <f aca="false">IF(C918&lt;&gt;"","F27-"&amp;COUNT($C$4:C918),"")</f>
        <v/>
      </c>
      <c r="B918" s="9" t="str">
        <f aca="false">IF(OR(F918="LOC - INITIAL",F918="CONSOLIDATION - UPFRONT COMM",F918="REVERSE - TOTAL FUNDING"),A918,"")</f>
        <v/>
      </c>
      <c r="C918" s="10"/>
      <c r="D918" s="11"/>
      <c r="E918" s="11"/>
      <c r="F918" s="11"/>
      <c r="G918" s="12"/>
      <c r="H918" s="13"/>
      <c r="I918" s="11"/>
      <c r="J918" s="14" t="str">
        <f aca="false">IF(AND(G918&lt;&gt;"",H918&lt;&gt;""),G918*H918,"")</f>
        <v/>
      </c>
      <c r="K918" s="11"/>
      <c r="L918" s="15"/>
      <c r="M918" s="15"/>
      <c r="N918" s="14" t="n">
        <f aca="false">IF(OR(G918="",M918=""),0,IF(M918&gt;100,M918,G918*IF(M918&gt;1,M918/100,M918)))</f>
        <v>0</v>
      </c>
      <c r="O918" s="14" t="str">
        <f aca="false">IF(G918="","",G918*IF(L918="",0,IF(L918&gt;1,L918/100,L918))+N918)</f>
        <v/>
      </c>
      <c r="P918" s="11"/>
      <c r="Q918" s="16" t="str">
        <f aca="false">IF(P918="","",IFERROR(VLOOKUP(P918,PARTNERS!$A$2:$B$30,2,0),""))</f>
        <v/>
      </c>
      <c r="R918" s="17" t="str">
        <f aca="false">IF(O918="","",IF(OR(P918="",Q918=""),0,(O918-N918)*IF(Q918&gt;1,Q918/100,Q918)))</f>
        <v/>
      </c>
      <c r="S918" s="14" t="str">
        <f aca="false">IF(O918="","",O918-R918)</f>
        <v/>
      </c>
      <c r="T918" s="11"/>
      <c r="U918" s="18" t="str">
        <f aca="false">IF(T918="","",IFERROR(VLOOKUP(T918,REPS!$A$2:$D$40,2,0),""))</f>
        <v/>
      </c>
      <c r="V918" s="14" t="str">
        <f aca="false">IF(O918="","",IF(U918="",0,O918*IF(U918&gt;1,U918/100,U918)))</f>
        <v/>
      </c>
      <c r="W918" s="11"/>
      <c r="X918" s="18" t="str">
        <f aca="false">IF(W918="","",IFERROR(VLOOKUP(W918,REPS!$A$2:$D$40,3,0),""))</f>
        <v/>
      </c>
      <c r="Y918" s="14" t="str">
        <f aca="false">IF(O918="","",IF(X918="",0,O918*IF(X918&gt;1,X918/100,X918)))</f>
        <v/>
      </c>
      <c r="Z918" s="11"/>
      <c r="AA918" s="18" t="str">
        <f aca="false">IF(Z918="","",IFERROR(VLOOKUP(Z918,REPS!$A$2:$D$40,4,0),""))</f>
        <v/>
      </c>
      <c r="AB918" s="14" t="str">
        <f aca="false">IF(O918="","",IF(AA918="",0,O918*IF(AA918&gt;1,AA918/100,AA918)))</f>
        <v/>
      </c>
      <c r="AC918" s="14" t="str">
        <f aca="false">IF(O918="","",V918+Y918+AB918)</f>
        <v/>
      </c>
      <c r="AD918" s="19" t="str">
        <f aca="false">IF(O918="","",O918-R918-AC918)</f>
        <v/>
      </c>
      <c r="AE918" s="20"/>
      <c r="AF918" s="10"/>
      <c r="AG918" s="21" t="n">
        <f aca="false">IF(OR(AE918="",AE918=0),0,AE918*IF(U918="",0,IF(U918&gt;1,U918/100,U918)))</f>
        <v>0</v>
      </c>
      <c r="AH918" s="21" t="n">
        <f aca="false">IF(OR(AE918="",AE918=0),0,AE918*IF(X918="",0,IF(X918&gt;1,X918/100,X918)))</f>
        <v>0</v>
      </c>
      <c r="AI918" s="21" t="n">
        <f aca="false">IF(OR(AE918="",AE918=0),0,AE918*IF(AA918="",0,IF(AA918&gt;1,AA918/100,AA918)))</f>
        <v>0</v>
      </c>
      <c r="AJ918" s="21" t="n">
        <f aca="false">AG918+AH918+AI918</f>
        <v>0</v>
      </c>
      <c r="AK918" s="21" t="n">
        <f aca="false">IF(OR(AE918="",AE918=0),0,AE918-AJ918)</f>
        <v>0</v>
      </c>
      <c r="AL918" s="19" t="str">
        <f aca="false">IF(AD918="","",AD918-AK918)</f>
        <v/>
      </c>
      <c r="AM918" s="9" t="str">
        <f aca="false">IF(C918="","","Waiting for payment")</f>
        <v/>
      </c>
      <c r="AN918" s="10"/>
      <c r="AO918" s="10"/>
      <c r="AP918" s="22" t="str">
        <f aca="false">IF(OR(C918="",I918="",K918=""),"",IF(K918="Monthly",EDATE(C918,ROUND(I918*SETTINGS!$I$8,0)),WORKDAY(C918,ROUND(I918*SETTINGS!$I$8,0))))</f>
        <v/>
      </c>
      <c r="AQ918" s="9" t="str">
        <f aca="true">IF(C918="","",IF(AND(AP918&lt;&gt;"",TODAY()&gt;=AP918),"Refi Ready",IF(TODAY()-C918&gt;=SETTINGS!$I$11,"Prospecting","Performing")))</f>
        <v/>
      </c>
      <c r="AR918" s="22" t="str">
        <f aca="false">IF(OR(C918="",I918="",K918=""),"",IF(K918="Monthly",EDATE(C918,I918),WORKDAY(C918,I918)))</f>
        <v/>
      </c>
      <c r="AS918" s="11"/>
      <c r="AT918" s="23" t="str">
        <f aca="true">IF(C918="","",IF(AM918="Clawed Back","CLAWED",IF(TODAY()&lt;=C918+SETTINGS!$I$2,"⚠ AT RISK","SAFE")))</f>
        <v/>
      </c>
      <c r="AU918" s="11"/>
      <c r="AW918" s="24" t="n">
        <f aca="false">AW917+IF(AND(C918&lt;&gt;"",AO918&lt;&gt;"",OR('REP COMMISSION'!$B$3="",T918='REP COMMISSION'!$B$3,W918='REP COMMISSION'!$B$3,Z918='REP COMMISSION'!$B$3)),1,0)</f>
        <v>0</v>
      </c>
      <c r="AX918" s="24" t="n">
        <f aca="false">AX917+IF(AND(C918&lt;&gt;"",OR(F918="LOC - INITIAL",F918="CONSOLIDATION - UPFRONT COMM",F918="REVERSE - TOTAL FUNDING")),1,0)</f>
        <v>0</v>
      </c>
    </row>
    <row r="919" customFormat="false" ht="15" hidden="false" customHeight="false" outlineLevel="0" collapsed="false">
      <c r="A919" s="25" t="str">
        <f aca="false">IF(C919&lt;&gt;"","F27-"&amp;COUNT($C$4:C919),"")</f>
        <v/>
      </c>
      <c r="B919" s="26" t="str">
        <f aca="false">IF(OR(F919="LOC - INITIAL",F919="CONSOLIDATION - UPFRONT COMM",F919="REVERSE - TOTAL FUNDING"),A919,"")</f>
        <v/>
      </c>
      <c r="C919" s="27"/>
      <c r="D919" s="28"/>
      <c r="E919" s="28"/>
      <c r="F919" s="28"/>
      <c r="G919" s="29"/>
      <c r="H919" s="30"/>
      <c r="I919" s="28"/>
      <c r="J919" s="31" t="str">
        <f aca="false">IF(AND(G919&lt;&gt;"",H919&lt;&gt;""),G919*H919,"")</f>
        <v/>
      </c>
      <c r="K919" s="28"/>
      <c r="L919" s="32"/>
      <c r="M919" s="32"/>
      <c r="N919" s="31" t="n">
        <f aca="false">IF(OR(G919="",M919=""),0,IF(M919&gt;100,M919,G919*IF(M919&gt;1,M919/100,M919)))</f>
        <v>0</v>
      </c>
      <c r="O919" s="31" t="str">
        <f aca="false">IF(G919="","",G919*IF(L919="",0,IF(L919&gt;1,L919/100,L919))+N919)</f>
        <v/>
      </c>
      <c r="P919" s="28"/>
      <c r="Q919" s="33" t="str">
        <f aca="false">IF(P919="","",IFERROR(VLOOKUP(P919,PARTNERS!$A$2:$B$30,2,0),""))</f>
        <v/>
      </c>
      <c r="R919" s="17" t="str">
        <f aca="false">IF(O919="","",IF(OR(P919="",Q919=""),0,(O919-N919)*IF(Q919&gt;1,Q919/100,Q919)))</f>
        <v/>
      </c>
      <c r="S919" s="31" t="str">
        <f aca="false">IF(O919="","",O919-R919)</f>
        <v/>
      </c>
      <c r="T919" s="28"/>
      <c r="U919" s="34" t="str">
        <f aca="false">IF(T919="","",IFERROR(VLOOKUP(T919,REPS!$A$2:$D$40,2,0),""))</f>
        <v/>
      </c>
      <c r="V919" s="31" t="str">
        <f aca="false">IF(O919="","",IF(U919="",0,O919*IF(U919&gt;1,U919/100,U919)))</f>
        <v/>
      </c>
      <c r="W919" s="28"/>
      <c r="X919" s="34" t="str">
        <f aca="false">IF(W919="","",IFERROR(VLOOKUP(W919,REPS!$A$2:$D$40,3,0),""))</f>
        <v/>
      </c>
      <c r="Y919" s="31" t="str">
        <f aca="false">IF(O919="","",IF(X919="",0,O919*IF(X919&gt;1,X919/100,X919)))</f>
        <v/>
      </c>
      <c r="Z919" s="28"/>
      <c r="AA919" s="34" t="str">
        <f aca="false">IF(Z919="","",IFERROR(VLOOKUP(Z919,REPS!$A$2:$D$40,4,0),""))</f>
        <v/>
      </c>
      <c r="AB919" s="31" t="str">
        <f aca="false">IF(O919="","",IF(AA919="",0,O919*IF(AA919&gt;1,AA919/100,AA919)))</f>
        <v/>
      </c>
      <c r="AC919" s="31" t="str">
        <f aca="false">IF(O919="","",V919+Y919+AB919)</f>
        <v/>
      </c>
      <c r="AD919" s="19" t="str">
        <f aca="false">IF(O919="","",O919-R919-AC919)</f>
        <v/>
      </c>
      <c r="AE919" s="20"/>
      <c r="AF919" s="27"/>
      <c r="AG919" s="21" t="n">
        <f aca="false">IF(OR(AE919="",AE919=0),0,AE919*IF(U919="",0,IF(U919&gt;1,U919/100,U919)))</f>
        <v>0</v>
      </c>
      <c r="AH919" s="21" t="n">
        <f aca="false">IF(OR(AE919="",AE919=0),0,AE919*IF(X919="",0,IF(X919&gt;1,X919/100,X919)))</f>
        <v>0</v>
      </c>
      <c r="AI919" s="21" t="n">
        <f aca="false">IF(OR(AE919="",AE919=0),0,AE919*IF(AA919="",0,IF(AA919&gt;1,AA919/100,AA919)))</f>
        <v>0</v>
      </c>
      <c r="AJ919" s="21" t="n">
        <f aca="false">AG919+AH919+AI919</f>
        <v>0</v>
      </c>
      <c r="AK919" s="21" t="n">
        <f aca="false">IF(OR(AE919="",AE919=0),0,AE919-AJ919)</f>
        <v>0</v>
      </c>
      <c r="AL919" s="19" t="str">
        <f aca="false">IF(AD919="","",AD919-AK919)</f>
        <v/>
      </c>
      <c r="AM919" s="26" t="str">
        <f aca="false">IF(C919="","","Waiting for payment")</f>
        <v/>
      </c>
      <c r="AN919" s="27"/>
      <c r="AO919" s="27"/>
      <c r="AP919" s="35" t="str">
        <f aca="false">IF(OR(C919="",I919="",K919=""),"",IF(K919="Monthly",EDATE(C919,ROUND(I919*SETTINGS!$I$8,0)),WORKDAY(C919,ROUND(I919*SETTINGS!$I$8,0))))</f>
        <v/>
      </c>
      <c r="AQ919" s="26" t="str">
        <f aca="true">IF(C919="","",IF(AND(AP919&lt;&gt;"",TODAY()&gt;=AP919),"Refi Ready",IF(TODAY()-C919&gt;=SETTINGS!$I$11,"Prospecting","Performing")))</f>
        <v/>
      </c>
      <c r="AR919" s="35" t="str">
        <f aca="false">IF(OR(C919="",I919="",K919=""),"",IF(K919="Monthly",EDATE(C919,I919),WORKDAY(C919,I919)))</f>
        <v/>
      </c>
      <c r="AS919" s="28"/>
      <c r="AT919" s="36" t="str">
        <f aca="true">IF(C919="","",IF(AM919="Clawed Back","CLAWED",IF(TODAY()&lt;=C919+SETTINGS!$I$2,"⚠ AT RISK","SAFE")))</f>
        <v/>
      </c>
      <c r="AU919" s="28"/>
      <c r="AW919" s="24" t="n">
        <f aca="false">AW918+IF(AND(C919&lt;&gt;"",AO919&lt;&gt;"",OR('REP COMMISSION'!$B$3="",T919='REP COMMISSION'!$B$3,W919='REP COMMISSION'!$B$3,Z919='REP COMMISSION'!$B$3)),1,0)</f>
        <v>0</v>
      </c>
      <c r="AX919" s="24" t="n">
        <f aca="false">AX918+IF(AND(C919&lt;&gt;"",OR(F919="LOC - INITIAL",F919="CONSOLIDATION - UPFRONT COMM",F919="REVERSE - TOTAL FUNDING")),1,0)</f>
        <v>0</v>
      </c>
    </row>
    <row r="920" customFormat="false" ht="18" hidden="false" customHeight="true" outlineLevel="0" collapsed="false">
      <c r="A920" s="37" t="s">
        <v>59</v>
      </c>
      <c r="B920" s="38"/>
      <c r="C920" s="38"/>
      <c r="D920" s="37" t="str">
        <f aca="false">COUNT(C820:C919)&amp;" units"</f>
        <v>0 units</v>
      </c>
      <c r="E920" s="38"/>
      <c r="F920" s="38"/>
      <c r="G920" s="39" t="n">
        <f aca="false">SUM(G820:G919)</f>
        <v>0</v>
      </c>
      <c r="H920" s="38"/>
      <c r="I920" s="38"/>
      <c r="J920" s="38"/>
      <c r="K920" s="38"/>
      <c r="L920" s="38"/>
      <c r="M920" s="38"/>
      <c r="N920" s="39" t="n">
        <f aca="false">SUM(N820:N919)</f>
        <v>0</v>
      </c>
      <c r="O920" s="39" t="n">
        <f aca="false">SUM(O820:O919)</f>
        <v>0</v>
      </c>
      <c r="P920" s="38"/>
      <c r="Q920" s="38"/>
      <c r="R920" s="39" t="n">
        <f aca="false">SUM(R820:R919)</f>
        <v>0</v>
      </c>
      <c r="S920" s="39" t="n">
        <f aca="false">SUM(S820:S919)</f>
        <v>0</v>
      </c>
      <c r="T920" s="38"/>
      <c r="U920" s="38"/>
      <c r="V920" s="38"/>
      <c r="W920" s="38"/>
      <c r="X920" s="38"/>
      <c r="Y920" s="38"/>
      <c r="Z920" s="38"/>
      <c r="AA920" s="38"/>
      <c r="AB920" s="38"/>
      <c r="AC920" s="39" t="n">
        <f aca="false">SUM(AC820:AC919)</f>
        <v>0</v>
      </c>
      <c r="AD920" s="39" t="n">
        <f aca="false">SUM(AD820:AD919)</f>
        <v>0</v>
      </c>
      <c r="AE920" s="39" t="n">
        <f aca="false">SUM(AE820:AE919)</f>
        <v>0</v>
      </c>
      <c r="AF920" s="38"/>
      <c r="AG920" s="38"/>
      <c r="AH920" s="38"/>
      <c r="AI920" s="38"/>
      <c r="AJ920" s="39" t="n">
        <f aca="false">SUM(AJ820:AJ919)</f>
        <v>0</v>
      </c>
      <c r="AK920" s="39" t="n">
        <f aca="false">SUM(AK820:AK919)</f>
        <v>0</v>
      </c>
      <c r="AL920" s="39" t="n">
        <f aca="false">SUM(AL820:AL919)</f>
        <v>0</v>
      </c>
      <c r="AM920" s="38"/>
      <c r="AN920" s="38"/>
      <c r="AO920" s="38"/>
      <c r="AP920" s="38"/>
      <c r="AQ920" s="38"/>
      <c r="AR920" s="38"/>
      <c r="AS920" s="38"/>
      <c r="AT920" s="38"/>
      <c r="AU920" s="38"/>
      <c r="AW920" s="24" t="n">
        <f aca="false">AW919</f>
        <v>0</v>
      </c>
      <c r="AX920" s="24" t="n">
        <f aca="false">AX919</f>
        <v>0</v>
      </c>
    </row>
    <row r="921" customFormat="false" ht="19.5" hidden="false" customHeight="true" outlineLevel="0" collapsed="false">
      <c r="A921" s="6" t="s">
        <v>79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W921" s="24" t="n">
        <f aca="false">AW920</f>
        <v>0</v>
      </c>
      <c r="AX921" s="24" t="n">
        <f aca="false">AX920</f>
        <v>0</v>
      </c>
    </row>
    <row r="922" customFormat="false" ht="15" hidden="false" customHeight="false" outlineLevel="0" collapsed="false">
      <c r="A922" s="8" t="str">
        <f aca="false">IF(C922&lt;&gt;"","F27-"&amp;COUNT($C$4:C922),"")</f>
        <v/>
      </c>
      <c r="B922" s="9" t="str">
        <f aca="false">IF(OR(F922="LOC - INITIAL",F922="CONSOLIDATION - UPFRONT COMM",F922="REVERSE - TOTAL FUNDING"),A922,"")</f>
        <v/>
      </c>
      <c r="C922" s="10"/>
      <c r="D922" s="11"/>
      <c r="E922" s="11"/>
      <c r="F922" s="11"/>
      <c r="G922" s="12"/>
      <c r="H922" s="13"/>
      <c r="I922" s="11"/>
      <c r="J922" s="14" t="str">
        <f aca="false">IF(AND(G922&lt;&gt;"",H922&lt;&gt;""),G922*H922,"")</f>
        <v/>
      </c>
      <c r="K922" s="11"/>
      <c r="L922" s="15"/>
      <c r="M922" s="15"/>
      <c r="N922" s="14" t="n">
        <f aca="false">IF(OR(G922="",M922=""),0,IF(M922&gt;100,M922,G922*IF(M922&gt;1,M922/100,M922)))</f>
        <v>0</v>
      </c>
      <c r="O922" s="14" t="str">
        <f aca="false">IF(G922="","",G922*IF(L922="",0,IF(L922&gt;1,L922/100,L922))+N922)</f>
        <v/>
      </c>
      <c r="P922" s="11"/>
      <c r="Q922" s="16" t="str">
        <f aca="false">IF(P922="","",IFERROR(VLOOKUP(P922,PARTNERS!$A$2:$B$30,2,0),""))</f>
        <v/>
      </c>
      <c r="R922" s="17" t="str">
        <f aca="false">IF(O922="","",IF(OR(P922="",Q922=""),0,(O922-N922)*IF(Q922&gt;1,Q922/100,Q922)))</f>
        <v/>
      </c>
      <c r="S922" s="14" t="str">
        <f aca="false">IF(O922="","",O922-R922)</f>
        <v/>
      </c>
      <c r="T922" s="11"/>
      <c r="U922" s="18" t="str">
        <f aca="false">IF(T922="","",IFERROR(VLOOKUP(T922,REPS!$A$2:$D$40,2,0),""))</f>
        <v/>
      </c>
      <c r="V922" s="14" t="str">
        <f aca="false">IF(O922="","",IF(U922="",0,O922*IF(U922&gt;1,U922/100,U922)))</f>
        <v/>
      </c>
      <c r="W922" s="11"/>
      <c r="X922" s="18" t="str">
        <f aca="false">IF(W922="","",IFERROR(VLOOKUP(W922,REPS!$A$2:$D$40,3,0),""))</f>
        <v/>
      </c>
      <c r="Y922" s="14" t="str">
        <f aca="false">IF(O922="","",IF(X922="",0,O922*IF(X922&gt;1,X922/100,X922)))</f>
        <v/>
      </c>
      <c r="Z922" s="11"/>
      <c r="AA922" s="18" t="str">
        <f aca="false">IF(Z922="","",IFERROR(VLOOKUP(Z922,REPS!$A$2:$D$40,4,0),""))</f>
        <v/>
      </c>
      <c r="AB922" s="14" t="str">
        <f aca="false">IF(O922="","",IF(AA922="",0,O922*IF(AA922&gt;1,AA922/100,AA922)))</f>
        <v/>
      </c>
      <c r="AC922" s="14" t="str">
        <f aca="false">IF(O922="","",V922+Y922+AB922)</f>
        <v/>
      </c>
      <c r="AD922" s="19" t="str">
        <f aca="false">IF(O922="","",O922-R922-AC922)</f>
        <v/>
      </c>
      <c r="AE922" s="20"/>
      <c r="AF922" s="10"/>
      <c r="AG922" s="21" t="n">
        <f aca="false">IF(OR(AE922="",AE922=0),0,AE922*IF(U922="",0,IF(U922&gt;1,U922/100,U922)))</f>
        <v>0</v>
      </c>
      <c r="AH922" s="21" t="n">
        <f aca="false">IF(OR(AE922="",AE922=0),0,AE922*IF(X922="",0,IF(X922&gt;1,X922/100,X922)))</f>
        <v>0</v>
      </c>
      <c r="AI922" s="21" t="n">
        <f aca="false">IF(OR(AE922="",AE922=0),0,AE922*IF(AA922="",0,IF(AA922&gt;1,AA922/100,AA922)))</f>
        <v>0</v>
      </c>
      <c r="AJ922" s="21" t="n">
        <f aca="false">AG922+AH922+AI922</f>
        <v>0</v>
      </c>
      <c r="AK922" s="21" t="n">
        <f aca="false">IF(OR(AE922="",AE922=0),0,AE922-AJ922)</f>
        <v>0</v>
      </c>
      <c r="AL922" s="19" t="str">
        <f aca="false">IF(AD922="","",AD922-AK922)</f>
        <v/>
      </c>
      <c r="AM922" s="9" t="str">
        <f aca="false">IF(C922="","","Waiting for payment")</f>
        <v/>
      </c>
      <c r="AN922" s="10"/>
      <c r="AO922" s="10"/>
      <c r="AP922" s="22" t="str">
        <f aca="false">IF(OR(C922="",I922="",K922=""),"",IF(K922="Monthly",EDATE(C922,ROUND(I922*SETTINGS!$I$8,0)),WORKDAY(C922,ROUND(I922*SETTINGS!$I$8,0))))</f>
        <v/>
      </c>
      <c r="AQ922" s="9" t="str">
        <f aca="true">IF(C922="","",IF(AND(AP922&lt;&gt;"",TODAY()&gt;=AP922),"Refi Ready",IF(TODAY()-C922&gt;=SETTINGS!$I$11,"Prospecting","Performing")))</f>
        <v/>
      </c>
      <c r="AR922" s="22" t="str">
        <f aca="false">IF(OR(C922="",I922="",K922=""),"",IF(K922="Monthly",EDATE(C922,I922),WORKDAY(C922,I922)))</f>
        <v/>
      </c>
      <c r="AS922" s="11"/>
      <c r="AT922" s="23" t="str">
        <f aca="true">IF(C922="","",IF(AM922="Clawed Back","CLAWED",IF(TODAY()&lt;=C922+SETTINGS!$I$2,"⚠ AT RISK","SAFE")))</f>
        <v/>
      </c>
      <c r="AU922" s="11"/>
      <c r="AW922" s="24" t="n">
        <f aca="false">AW921+IF(AND(C922&lt;&gt;"",AO922&lt;&gt;"",OR('REP COMMISSION'!$B$3="",T922='REP COMMISSION'!$B$3,W922='REP COMMISSION'!$B$3,Z922='REP COMMISSION'!$B$3)),1,0)</f>
        <v>0</v>
      </c>
      <c r="AX922" s="24" t="n">
        <f aca="false">AX921+IF(AND(C922&lt;&gt;"",OR(F922="LOC - INITIAL",F922="CONSOLIDATION - UPFRONT COMM",F922="REVERSE - TOTAL FUNDING")),1,0)</f>
        <v>0</v>
      </c>
    </row>
    <row r="923" customFormat="false" ht="15" hidden="false" customHeight="false" outlineLevel="0" collapsed="false">
      <c r="A923" s="25" t="str">
        <f aca="false">IF(C923&lt;&gt;"","F27-"&amp;COUNT($C$4:C923),"")</f>
        <v/>
      </c>
      <c r="B923" s="26" t="str">
        <f aca="false">IF(OR(F923="LOC - INITIAL",F923="CONSOLIDATION - UPFRONT COMM",F923="REVERSE - TOTAL FUNDING"),A923,"")</f>
        <v/>
      </c>
      <c r="C923" s="27"/>
      <c r="D923" s="28"/>
      <c r="E923" s="28"/>
      <c r="F923" s="28"/>
      <c r="G923" s="29"/>
      <c r="H923" s="30"/>
      <c r="I923" s="28"/>
      <c r="J923" s="31" t="str">
        <f aca="false">IF(AND(G923&lt;&gt;"",H923&lt;&gt;""),G923*H923,"")</f>
        <v/>
      </c>
      <c r="K923" s="28"/>
      <c r="L923" s="32"/>
      <c r="M923" s="32"/>
      <c r="N923" s="31" t="n">
        <f aca="false">IF(OR(G923="",M923=""),0,IF(M923&gt;100,M923,G923*IF(M923&gt;1,M923/100,M923)))</f>
        <v>0</v>
      </c>
      <c r="O923" s="31" t="str">
        <f aca="false">IF(G923="","",G923*IF(L923="",0,IF(L923&gt;1,L923/100,L923))+N923)</f>
        <v/>
      </c>
      <c r="P923" s="28"/>
      <c r="Q923" s="33" t="str">
        <f aca="false">IF(P923="","",IFERROR(VLOOKUP(P923,PARTNERS!$A$2:$B$30,2,0),""))</f>
        <v/>
      </c>
      <c r="R923" s="17" t="str">
        <f aca="false">IF(O923="","",IF(OR(P923="",Q923=""),0,(O923-N923)*IF(Q923&gt;1,Q923/100,Q923)))</f>
        <v/>
      </c>
      <c r="S923" s="31" t="str">
        <f aca="false">IF(O923="","",O923-R923)</f>
        <v/>
      </c>
      <c r="T923" s="28"/>
      <c r="U923" s="34" t="str">
        <f aca="false">IF(T923="","",IFERROR(VLOOKUP(T923,REPS!$A$2:$D$40,2,0),""))</f>
        <v/>
      </c>
      <c r="V923" s="31" t="str">
        <f aca="false">IF(O923="","",IF(U923="",0,O923*IF(U923&gt;1,U923/100,U923)))</f>
        <v/>
      </c>
      <c r="W923" s="28"/>
      <c r="X923" s="34" t="str">
        <f aca="false">IF(W923="","",IFERROR(VLOOKUP(W923,REPS!$A$2:$D$40,3,0),""))</f>
        <v/>
      </c>
      <c r="Y923" s="31" t="str">
        <f aca="false">IF(O923="","",IF(X923="",0,O923*IF(X923&gt;1,X923/100,X923)))</f>
        <v/>
      </c>
      <c r="Z923" s="28"/>
      <c r="AA923" s="34" t="str">
        <f aca="false">IF(Z923="","",IFERROR(VLOOKUP(Z923,REPS!$A$2:$D$40,4,0),""))</f>
        <v/>
      </c>
      <c r="AB923" s="31" t="str">
        <f aca="false">IF(O923="","",IF(AA923="",0,O923*IF(AA923&gt;1,AA923/100,AA923)))</f>
        <v/>
      </c>
      <c r="AC923" s="31" t="str">
        <f aca="false">IF(O923="","",V923+Y923+AB923)</f>
        <v/>
      </c>
      <c r="AD923" s="19" t="str">
        <f aca="false">IF(O923="","",O923-R923-AC923)</f>
        <v/>
      </c>
      <c r="AE923" s="20"/>
      <c r="AF923" s="27"/>
      <c r="AG923" s="21" t="n">
        <f aca="false">IF(OR(AE923="",AE923=0),0,AE923*IF(U923="",0,IF(U923&gt;1,U923/100,U923)))</f>
        <v>0</v>
      </c>
      <c r="AH923" s="21" t="n">
        <f aca="false">IF(OR(AE923="",AE923=0),0,AE923*IF(X923="",0,IF(X923&gt;1,X923/100,X923)))</f>
        <v>0</v>
      </c>
      <c r="AI923" s="21" t="n">
        <f aca="false">IF(OR(AE923="",AE923=0),0,AE923*IF(AA923="",0,IF(AA923&gt;1,AA923/100,AA923)))</f>
        <v>0</v>
      </c>
      <c r="AJ923" s="21" t="n">
        <f aca="false">AG923+AH923+AI923</f>
        <v>0</v>
      </c>
      <c r="AK923" s="21" t="n">
        <f aca="false">IF(OR(AE923="",AE923=0),0,AE923-AJ923)</f>
        <v>0</v>
      </c>
      <c r="AL923" s="19" t="str">
        <f aca="false">IF(AD923="","",AD923-AK923)</f>
        <v/>
      </c>
      <c r="AM923" s="26" t="str">
        <f aca="false">IF(C923="","","Waiting for payment")</f>
        <v/>
      </c>
      <c r="AN923" s="27"/>
      <c r="AO923" s="27"/>
      <c r="AP923" s="35" t="str">
        <f aca="false">IF(OR(C923="",I923="",K923=""),"",IF(K923="Monthly",EDATE(C923,ROUND(I923*SETTINGS!$I$8,0)),WORKDAY(C923,ROUND(I923*SETTINGS!$I$8,0))))</f>
        <v/>
      </c>
      <c r="AQ923" s="26" t="str">
        <f aca="true">IF(C923="","",IF(AND(AP923&lt;&gt;"",TODAY()&gt;=AP923),"Refi Ready",IF(TODAY()-C923&gt;=SETTINGS!$I$11,"Prospecting","Performing")))</f>
        <v/>
      </c>
      <c r="AR923" s="35" t="str">
        <f aca="false">IF(OR(C923="",I923="",K923=""),"",IF(K923="Monthly",EDATE(C923,I923),WORKDAY(C923,I923)))</f>
        <v/>
      </c>
      <c r="AS923" s="28"/>
      <c r="AT923" s="36" t="str">
        <f aca="true">IF(C923="","",IF(AM923="Clawed Back","CLAWED",IF(TODAY()&lt;=C923+SETTINGS!$I$2,"⚠ AT RISK","SAFE")))</f>
        <v/>
      </c>
      <c r="AU923" s="28"/>
      <c r="AW923" s="24" t="n">
        <f aca="false">AW922+IF(AND(C923&lt;&gt;"",AO923&lt;&gt;"",OR('REP COMMISSION'!$B$3="",T923='REP COMMISSION'!$B$3,W923='REP COMMISSION'!$B$3,Z923='REP COMMISSION'!$B$3)),1,0)</f>
        <v>0</v>
      </c>
      <c r="AX923" s="24" t="n">
        <f aca="false">AX922+IF(AND(C923&lt;&gt;"",OR(F923="LOC - INITIAL",F923="CONSOLIDATION - UPFRONT COMM",F923="REVERSE - TOTAL FUNDING")),1,0)</f>
        <v>0</v>
      </c>
    </row>
    <row r="924" customFormat="false" ht="15" hidden="false" customHeight="false" outlineLevel="0" collapsed="false">
      <c r="A924" s="8" t="str">
        <f aca="false">IF(C924&lt;&gt;"","F27-"&amp;COUNT($C$4:C924),"")</f>
        <v/>
      </c>
      <c r="B924" s="9" t="str">
        <f aca="false">IF(OR(F924="LOC - INITIAL",F924="CONSOLIDATION - UPFRONT COMM",F924="REVERSE - TOTAL FUNDING"),A924,"")</f>
        <v/>
      </c>
      <c r="C924" s="10"/>
      <c r="D924" s="11"/>
      <c r="E924" s="11"/>
      <c r="F924" s="11"/>
      <c r="G924" s="12"/>
      <c r="H924" s="13"/>
      <c r="I924" s="11"/>
      <c r="J924" s="14" t="str">
        <f aca="false">IF(AND(G924&lt;&gt;"",H924&lt;&gt;""),G924*H924,"")</f>
        <v/>
      </c>
      <c r="K924" s="11"/>
      <c r="L924" s="15"/>
      <c r="M924" s="15"/>
      <c r="N924" s="14" t="n">
        <f aca="false">IF(OR(G924="",M924=""),0,IF(M924&gt;100,M924,G924*IF(M924&gt;1,M924/100,M924)))</f>
        <v>0</v>
      </c>
      <c r="O924" s="14" t="str">
        <f aca="false">IF(G924="","",G924*IF(L924="",0,IF(L924&gt;1,L924/100,L924))+N924)</f>
        <v/>
      </c>
      <c r="P924" s="11"/>
      <c r="Q924" s="16" t="str">
        <f aca="false">IF(P924="","",IFERROR(VLOOKUP(P924,PARTNERS!$A$2:$B$30,2,0),""))</f>
        <v/>
      </c>
      <c r="R924" s="17" t="str">
        <f aca="false">IF(O924="","",IF(OR(P924="",Q924=""),0,(O924-N924)*IF(Q924&gt;1,Q924/100,Q924)))</f>
        <v/>
      </c>
      <c r="S924" s="14" t="str">
        <f aca="false">IF(O924="","",O924-R924)</f>
        <v/>
      </c>
      <c r="T924" s="11"/>
      <c r="U924" s="18" t="str">
        <f aca="false">IF(T924="","",IFERROR(VLOOKUP(T924,REPS!$A$2:$D$40,2,0),""))</f>
        <v/>
      </c>
      <c r="V924" s="14" t="str">
        <f aca="false">IF(O924="","",IF(U924="",0,O924*IF(U924&gt;1,U924/100,U924)))</f>
        <v/>
      </c>
      <c r="W924" s="11"/>
      <c r="X924" s="18" t="str">
        <f aca="false">IF(W924="","",IFERROR(VLOOKUP(W924,REPS!$A$2:$D$40,3,0),""))</f>
        <v/>
      </c>
      <c r="Y924" s="14" t="str">
        <f aca="false">IF(O924="","",IF(X924="",0,O924*IF(X924&gt;1,X924/100,X924)))</f>
        <v/>
      </c>
      <c r="Z924" s="11"/>
      <c r="AA924" s="18" t="str">
        <f aca="false">IF(Z924="","",IFERROR(VLOOKUP(Z924,REPS!$A$2:$D$40,4,0),""))</f>
        <v/>
      </c>
      <c r="AB924" s="14" t="str">
        <f aca="false">IF(O924="","",IF(AA924="",0,O924*IF(AA924&gt;1,AA924/100,AA924)))</f>
        <v/>
      </c>
      <c r="AC924" s="14" t="str">
        <f aca="false">IF(O924="","",V924+Y924+AB924)</f>
        <v/>
      </c>
      <c r="AD924" s="19" t="str">
        <f aca="false">IF(O924="","",O924-R924-AC924)</f>
        <v/>
      </c>
      <c r="AE924" s="20"/>
      <c r="AF924" s="10"/>
      <c r="AG924" s="21" t="n">
        <f aca="false">IF(OR(AE924="",AE924=0),0,AE924*IF(U924="",0,IF(U924&gt;1,U924/100,U924)))</f>
        <v>0</v>
      </c>
      <c r="AH924" s="21" t="n">
        <f aca="false">IF(OR(AE924="",AE924=0),0,AE924*IF(X924="",0,IF(X924&gt;1,X924/100,X924)))</f>
        <v>0</v>
      </c>
      <c r="AI924" s="21" t="n">
        <f aca="false">IF(OR(AE924="",AE924=0),0,AE924*IF(AA924="",0,IF(AA924&gt;1,AA924/100,AA924)))</f>
        <v>0</v>
      </c>
      <c r="AJ924" s="21" t="n">
        <f aca="false">AG924+AH924+AI924</f>
        <v>0</v>
      </c>
      <c r="AK924" s="21" t="n">
        <f aca="false">IF(OR(AE924="",AE924=0),0,AE924-AJ924)</f>
        <v>0</v>
      </c>
      <c r="AL924" s="19" t="str">
        <f aca="false">IF(AD924="","",AD924-AK924)</f>
        <v/>
      </c>
      <c r="AM924" s="9" t="str">
        <f aca="false">IF(C924="","","Waiting for payment")</f>
        <v/>
      </c>
      <c r="AN924" s="10"/>
      <c r="AO924" s="10"/>
      <c r="AP924" s="22" t="str">
        <f aca="false">IF(OR(C924="",I924="",K924=""),"",IF(K924="Monthly",EDATE(C924,ROUND(I924*SETTINGS!$I$8,0)),WORKDAY(C924,ROUND(I924*SETTINGS!$I$8,0))))</f>
        <v/>
      </c>
      <c r="AQ924" s="9" t="str">
        <f aca="true">IF(C924="","",IF(AND(AP924&lt;&gt;"",TODAY()&gt;=AP924),"Refi Ready",IF(TODAY()-C924&gt;=SETTINGS!$I$11,"Prospecting","Performing")))</f>
        <v/>
      </c>
      <c r="AR924" s="22" t="str">
        <f aca="false">IF(OR(C924="",I924="",K924=""),"",IF(K924="Monthly",EDATE(C924,I924),WORKDAY(C924,I924)))</f>
        <v/>
      </c>
      <c r="AS924" s="11"/>
      <c r="AT924" s="23" t="str">
        <f aca="true">IF(C924="","",IF(AM924="Clawed Back","CLAWED",IF(TODAY()&lt;=C924+SETTINGS!$I$2,"⚠ AT RISK","SAFE")))</f>
        <v/>
      </c>
      <c r="AU924" s="11"/>
      <c r="AW924" s="24" t="n">
        <f aca="false">AW923+IF(AND(C924&lt;&gt;"",AO924&lt;&gt;"",OR('REP COMMISSION'!$B$3="",T924='REP COMMISSION'!$B$3,W924='REP COMMISSION'!$B$3,Z924='REP COMMISSION'!$B$3)),1,0)</f>
        <v>0</v>
      </c>
      <c r="AX924" s="24" t="n">
        <f aca="false">AX923+IF(AND(C924&lt;&gt;"",OR(F924="LOC - INITIAL",F924="CONSOLIDATION - UPFRONT COMM",F924="REVERSE - TOTAL FUNDING")),1,0)</f>
        <v>0</v>
      </c>
    </row>
    <row r="925" customFormat="false" ht="15" hidden="false" customHeight="false" outlineLevel="0" collapsed="false">
      <c r="A925" s="25" t="str">
        <f aca="false">IF(C925&lt;&gt;"","F27-"&amp;COUNT($C$4:C925),"")</f>
        <v/>
      </c>
      <c r="B925" s="26" t="str">
        <f aca="false">IF(OR(F925="LOC - INITIAL",F925="CONSOLIDATION - UPFRONT COMM",F925="REVERSE - TOTAL FUNDING"),A925,"")</f>
        <v/>
      </c>
      <c r="C925" s="27"/>
      <c r="D925" s="28"/>
      <c r="E925" s="28"/>
      <c r="F925" s="28"/>
      <c r="G925" s="29"/>
      <c r="H925" s="30"/>
      <c r="I925" s="28"/>
      <c r="J925" s="31" t="str">
        <f aca="false">IF(AND(G925&lt;&gt;"",H925&lt;&gt;""),G925*H925,"")</f>
        <v/>
      </c>
      <c r="K925" s="28"/>
      <c r="L925" s="32"/>
      <c r="M925" s="32"/>
      <c r="N925" s="31" t="n">
        <f aca="false">IF(OR(G925="",M925=""),0,IF(M925&gt;100,M925,G925*IF(M925&gt;1,M925/100,M925)))</f>
        <v>0</v>
      </c>
      <c r="O925" s="31" t="str">
        <f aca="false">IF(G925="","",G925*IF(L925="",0,IF(L925&gt;1,L925/100,L925))+N925)</f>
        <v/>
      </c>
      <c r="P925" s="28"/>
      <c r="Q925" s="33" t="str">
        <f aca="false">IF(P925="","",IFERROR(VLOOKUP(P925,PARTNERS!$A$2:$B$30,2,0),""))</f>
        <v/>
      </c>
      <c r="R925" s="17" t="str">
        <f aca="false">IF(O925="","",IF(OR(P925="",Q925=""),0,(O925-N925)*IF(Q925&gt;1,Q925/100,Q925)))</f>
        <v/>
      </c>
      <c r="S925" s="31" t="str">
        <f aca="false">IF(O925="","",O925-R925)</f>
        <v/>
      </c>
      <c r="T925" s="28"/>
      <c r="U925" s="34" t="str">
        <f aca="false">IF(T925="","",IFERROR(VLOOKUP(T925,REPS!$A$2:$D$40,2,0),""))</f>
        <v/>
      </c>
      <c r="V925" s="31" t="str">
        <f aca="false">IF(O925="","",IF(U925="",0,O925*IF(U925&gt;1,U925/100,U925)))</f>
        <v/>
      </c>
      <c r="W925" s="28"/>
      <c r="X925" s="34" t="str">
        <f aca="false">IF(W925="","",IFERROR(VLOOKUP(W925,REPS!$A$2:$D$40,3,0),""))</f>
        <v/>
      </c>
      <c r="Y925" s="31" t="str">
        <f aca="false">IF(O925="","",IF(X925="",0,O925*IF(X925&gt;1,X925/100,X925)))</f>
        <v/>
      </c>
      <c r="Z925" s="28"/>
      <c r="AA925" s="34" t="str">
        <f aca="false">IF(Z925="","",IFERROR(VLOOKUP(Z925,REPS!$A$2:$D$40,4,0),""))</f>
        <v/>
      </c>
      <c r="AB925" s="31" t="str">
        <f aca="false">IF(O925="","",IF(AA925="",0,O925*IF(AA925&gt;1,AA925/100,AA925)))</f>
        <v/>
      </c>
      <c r="AC925" s="31" t="str">
        <f aca="false">IF(O925="","",V925+Y925+AB925)</f>
        <v/>
      </c>
      <c r="AD925" s="19" t="str">
        <f aca="false">IF(O925="","",O925-R925-AC925)</f>
        <v/>
      </c>
      <c r="AE925" s="20"/>
      <c r="AF925" s="27"/>
      <c r="AG925" s="21" t="n">
        <f aca="false">IF(OR(AE925="",AE925=0),0,AE925*IF(U925="",0,IF(U925&gt;1,U925/100,U925)))</f>
        <v>0</v>
      </c>
      <c r="AH925" s="21" t="n">
        <f aca="false">IF(OR(AE925="",AE925=0),0,AE925*IF(X925="",0,IF(X925&gt;1,X925/100,X925)))</f>
        <v>0</v>
      </c>
      <c r="AI925" s="21" t="n">
        <f aca="false">IF(OR(AE925="",AE925=0),0,AE925*IF(AA925="",0,IF(AA925&gt;1,AA925/100,AA925)))</f>
        <v>0</v>
      </c>
      <c r="AJ925" s="21" t="n">
        <f aca="false">AG925+AH925+AI925</f>
        <v>0</v>
      </c>
      <c r="AK925" s="21" t="n">
        <f aca="false">IF(OR(AE925="",AE925=0),0,AE925-AJ925)</f>
        <v>0</v>
      </c>
      <c r="AL925" s="19" t="str">
        <f aca="false">IF(AD925="","",AD925-AK925)</f>
        <v/>
      </c>
      <c r="AM925" s="26" t="str">
        <f aca="false">IF(C925="","","Waiting for payment")</f>
        <v/>
      </c>
      <c r="AN925" s="27"/>
      <c r="AO925" s="27"/>
      <c r="AP925" s="35" t="str">
        <f aca="false">IF(OR(C925="",I925="",K925=""),"",IF(K925="Monthly",EDATE(C925,ROUND(I925*SETTINGS!$I$8,0)),WORKDAY(C925,ROUND(I925*SETTINGS!$I$8,0))))</f>
        <v/>
      </c>
      <c r="AQ925" s="26" t="str">
        <f aca="true">IF(C925="","",IF(AND(AP925&lt;&gt;"",TODAY()&gt;=AP925),"Refi Ready",IF(TODAY()-C925&gt;=SETTINGS!$I$11,"Prospecting","Performing")))</f>
        <v/>
      </c>
      <c r="AR925" s="35" t="str">
        <f aca="false">IF(OR(C925="",I925="",K925=""),"",IF(K925="Monthly",EDATE(C925,I925),WORKDAY(C925,I925)))</f>
        <v/>
      </c>
      <c r="AS925" s="28"/>
      <c r="AT925" s="36" t="str">
        <f aca="true">IF(C925="","",IF(AM925="Clawed Back","CLAWED",IF(TODAY()&lt;=C925+SETTINGS!$I$2,"⚠ AT RISK","SAFE")))</f>
        <v/>
      </c>
      <c r="AU925" s="28"/>
      <c r="AW925" s="24" t="n">
        <f aca="false">AW924+IF(AND(C925&lt;&gt;"",AO925&lt;&gt;"",OR('REP COMMISSION'!$B$3="",T925='REP COMMISSION'!$B$3,W925='REP COMMISSION'!$B$3,Z925='REP COMMISSION'!$B$3)),1,0)</f>
        <v>0</v>
      </c>
      <c r="AX925" s="24" t="n">
        <f aca="false">AX924+IF(AND(C925&lt;&gt;"",OR(F925="LOC - INITIAL",F925="CONSOLIDATION - UPFRONT COMM",F925="REVERSE - TOTAL FUNDING")),1,0)</f>
        <v>0</v>
      </c>
    </row>
    <row r="926" customFormat="false" ht="15" hidden="false" customHeight="false" outlineLevel="0" collapsed="false">
      <c r="A926" s="8" t="str">
        <f aca="false">IF(C926&lt;&gt;"","F27-"&amp;COUNT($C$4:C926),"")</f>
        <v/>
      </c>
      <c r="B926" s="9" t="str">
        <f aca="false">IF(OR(F926="LOC - INITIAL",F926="CONSOLIDATION - UPFRONT COMM",F926="REVERSE - TOTAL FUNDING"),A926,"")</f>
        <v/>
      </c>
      <c r="C926" s="10"/>
      <c r="D926" s="11"/>
      <c r="E926" s="11"/>
      <c r="F926" s="11"/>
      <c r="G926" s="12"/>
      <c r="H926" s="13"/>
      <c r="I926" s="11"/>
      <c r="J926" s="14" t="str">
        <f aca="false">IF(AND(G926&lt;&gt;"",H926&lt;&gt;""),G926*H926,"")</f>
        <v/>
      </c>
      <c r="K926" s="11"/>
      <c r="L926" s="15"/>
      <c r="M926" s="15"/>
      <c r="N926" s="14" t="n">
        <f aca="false">IF(OR(G926="",M926=""),0,IF(M926&gt;100,M926,G926*IF(M926&gt;1,M926/100,M926)))</f>
        <v>0</v>
      </c>
      <c r="O926" s="14" t="str">
        <f aca="false">IF(G926="","",G926*IF(L926="",0,IF(L926&gt;1,L926/100,L926))+N926)</f>
        <v/>
      </c>
      <c r="P926" s="11"/>
      <c r="Q926" s="16" t="str">
        <f aca="false">IF(P926="","",IFERROR(VLOOKUP(P926,PARTNERS!$A$2:$B$30,2,0),""))</f>
        <v/>
      </c>
      <c r="R926" s="17" t="str">
        <f aca="false">IF(O926="","",IF(OR(P926="",Q926=""),0,(O926-N926)*IF(Q926&gt;1,Q926/100,Q926)))</f>
        <v/>
      </c>
      <c r="S926" s="14" t="str">
        <f aca="false">IF(O926="","",O926-R926)</f>
        <v/>
      </c>
      <c r="T926" s="11"/>
      <c r="U926" s="18" t="str">
        <f aca="false">IF(T926="","",IFERROR(VLOOKUP(T926,REPS!$A$2:$D$40,2,0),""))</f>
        <v/>
      </c>
      <c r="V926" s="14" t="str">
        <f aca="false">IF(O926="","",IF(U926="",0,O926*IF(U926&gt;1,U926/100,U926)))</f>
        <v/>
      </c>
      <c r="W926" s="11"/>
      <c r="X926" s="18" t="str">
        <f aca="false">IF(W926="","",IFERROR(VLOOKUP(W926,REPS!$A$2:$D$40,3,0),""))</f>
        <v/>
      </c>
      <c r="Y926" s="14" t="str">
        <f aca="false">IF(O926="","",IF(X926="",0,O926*IF(X926&gt;1,X926/100,X926)))</f>
        <v/>
      </c>
      <c r="Z926" s="11"/>
      <c r="AA926" s="18" t="str">
        <f aca="false">IF(Z926="","",IFERROR(VLOOKUP(Z926,REPS!$A$2:$D$40,4,0),""))</f>
        <v/>
      </c>
      <c r="AB926" s="14" t="str">
        <f aca="false">IF(O926="","",IF(AA926="",0,O926*IF(AA926&gt;1,AA926/100,AA926)))</f>
        <v/>
      </c>
      <c r="AC926" s="14" t="str">
        <f aca="false">IF(O926="","",V926+Y926+AB926)</f>
        <v/>
      </c>
      <c r="AD926" s="19" t="str">
        <f aca="false">IF(O926="","",O926-R926-AC926)</f>
        <v/>
      </c>
      <c r="AE926" s="20"/>
      <c r="AF926" s="10"/>
      <c r="AG926" s="21" t="n">
        <f aca="false">IF(OR(AE926="",AE926=0),0,AE926*IF(U926="",0,IF(U926&gt;1,U926/100,U926)))</f>
        <v>0</v>
      </c>
      <c r="AH926" s="21" t="n">
        <f aca="false">IF(OR(AE926="",AE926=0),0,AE926*IF(X926="",0,IF(X926&gt;1,X926/100,X926)))</f>
        <v>0</v>
      </c>
      <c r="AI926" s="21" t="n">
        <f aca="false">IF(OR(AE926="",AE926=0),0,AE926*IF(AA926="",0,IF(AA926&gt;1,AA926/100,AA926)))</f>
        <v>0</v>
      </c>
      <c r="AJ926" s="21" t="n">
        <f aca="false">AG926+AH926+AI926</f>
        <v>0</v>
      </c>
      <c r="AK926" s="21" t="n">
        <f aca="false">IF(OR(AE926="",AE926=0),0,AE926-AJ926)</f>
        <v>0</v>
      </c>
      <c r="AL926" s="19" t="str">
        <f aca="false">IF(AD926="","",AD926-AK926)</f>
        <v/>
      </c>
      <c r="AM926" s="9" t="str">
        <f aca="false">IF(C926="","","Waiting for payment")</f>
        <v/>
      </c>
      <c r="AN926" s="10"/>
      <c r="AO926" s="10"/>
      <c r="AP926" s="22" t="str">
        <f aca="false">IF(OR(C926="",I926="",K926=""),"",IF(K926="Monthly",EDATE(C926,ROUND(I926*SETTINGS!$I$8,0)),WORKDAY(C926,ROUND(I926*SETTINGS!$I$8,0))))</f>
        <v/>
      </c>
      <c r="AQ926" s="9" t="str">
        <f aca="true">IF(C926="","",IF(AND(AP926&lt;&gt;"",TODAY()&gt;=AP926),"Refi Ready",IF(TODAY()-C926&gt;=SETTINGS!$I$11,"Prospecting","Performing")))</f>
        <v/>
      </c>
      <c r="AR926" s="22" t="str">
        <f aca="false">IF(OR(C926="",I926="",K926=""),"",IF(K926="Monthly",EDATE(C926,I926),WORKDAY(C926,I926)))</f>
        <v/>
      </c>
      <c r="AS926" s="11"/>
      <c r="AT926" s="23" t="str">
        <f aca="true">IF(C926="","",IF(AM926="Clawed Back","CLAWED",IF(TODAY()&lt;=C926+SETTINGS!$I$2,"⚠ AT RISK","SAFE")))</f>
        <v/>
      </c>
      <c r="AU926" s="11"/>
      <c r="AW926" s="24" t="n">
        <f aca="false">AW925+IF(AND(C926&lt;&gt;"",AO926&lt;&gt;"",OR('REP COMMISSION'!$B$3="",T926='REP COMMISSION'!$B$3,W926='REP COMMISSION'!$B$3,Z926='REP COMMISSION'!$B$3)),1,0)</f>
        <v>0</v>
      </c>
      <c r="AX926" s="24" t="n">
        <f aca="false">AX925+IF(AND(C926&lt;&gt;"",OR(F926="LOC - INITIAL",F926="CONSOLIDATION - UPFRONT COMM",F926="REVERSE - TOTAL FUNDING")),1,0)</f>
        <v>0</v>
      </c>
    </row>
    <row r="927" customFormat="false" ht="15" hidden="false" customHeight="false" outlineLevel="0" collapsed="false">
      <c r="A927" s="25" t="str">
        <f aca="false">IF(C927&lt;&gt;"","F27-"&amp;COUNT($C$4:C927),"")</f>
        <v/>
      </c>
      <c r="B927" s="26" t="str">
        <f aca="false">IF(OR(F927="LOC - INITIAL",F927="CONSOLIDATION - UPFRONT COMM",F927="REVERSE - TOTAL FUNDING"),A927,"")</f>
        <v/>
      </c>
      <c r="C927" s="27"/>
      <c r="D927" s="28"/>
      <c r="E927" s="28"/>
      <c r="F927" s="28"/>
      <c r="G927" s="29"/>
      <c r="H927" s="30"/>
      <c r="I927" s="28"/>
      <c r="J927" s="31" t="str">
        <f aca="false">IF(AND(G927&lt;&gt;"",H927&lt;&gt;""),G927*H927,"")</f>
        <v/>
      </c>
      <c r="K927" s="28"/>
      <c r="L927" s="32"/>
      <c r="M927" s="32"/>
      <c r="N927" s="31" t="n">
        <f aca="false">IF(OR(G927="",M927=""),0,IF(M927&gt;100,M927,G927*IF(M927&gt;1,M927/100,M927)))</f>
        <v>0</v>
      </c>
      <c r="O927" s="31" t="str">
        <f aca="false">IF(G927="","",G927*IF(L927="",0,IF(L927&gt;1,L927/100,L927))+N927)</f>
        <v/>
      </c>
      <c r="P927" s="28"/>
      <c r="Q927" s="33" t="str">
        <f aca="false">IF(P927="","",IFERROR(VLOOKUP(P927,PARTNERS!$A$2:$B$30,2,0),""))</f>
        <v/>
      </c>
      <c r="R927" s="17" t="str">
        <f aca="false">IF(O927="","",IF(OR(P927="",Q927=""),0,(O927-N927)*IF(Q927&gt;1,Q927/100,Q927)))</f>
        <v/>
      </c>
      <c r="S927" s="31" t="str">
        <f aca="false">IF(O927="","",O927-R927)</f>
        <v/>
      </c>
      <c r="T927" s="28"/>
      <c r="U927" s="34" t="str">
        <f aca="false">IF(T927="","",IFERROR(VLOOKUP(T927,REPS!$A$2:$D$40,2,0),""))</f>
        <v/>
      </c>
      <c r="V927" s="31" t="str">
        <f aca="false">IF(O927="","",IF(U927="",0,O927*IF(U927&gt;1,U927/100,U927)))</f>
        <v/>
      </c>
      <c r="W927" s="28"/>
      <c r="X927" s="34" t="str">
        <f aca="false">IF(W927="","",IFERROR(VLOOKUP(W927,REPS!$A$2:$D$40,3,0),""))</f>
        <v/>
      </c>
      <c r="Y927" s="31" t="str">
        <f aca="false">IF(O927="","",IF(X927="",0,O927*IF(X927&gt;1,X927/100,X927)))</f>
        <v/>
      </c>
      <c r="Z927" s="28"/>
      <c r="AA927" s="34" t="str">
        <f aca="false">IF(Z927="","",IFERROR(VLOOKUP(Z927,REPS!$A$2:$D$40,4,0),""))</f>
        <v/>
      </c>
      <c r="AB927" s="31" t="str">
        <f aca="false">IF(O927="","",IF(AA927="",0,O927*IF(AA927&gt;1,AA927/100,AA927)))</f>
        <v/>
      </c>
      <c r="AC927" s="31" t="str">
        <f aca="false">IF(O927="","",V927+Y927+AB927)</f>
        <v/>
      </c>
      <c r="AD927" s="19" t="str">
        <f aca="false">IF(O927="","",O927-R927-AC927)</f>
        <v/>
      </c>
      <c r="AE927" s="20"/>
      <c r="AF927" s="27"/>
      <c r="AG927" s="21" t="n">
        <f aca="false">IF(OR(AE927="",AE927=0),0,AE927*IF(U927="",0,IF(U927&gt;1,U927/100,U927)))</f>
        <v>0</v>
      </c>
      <c r="AH927" s="21" t="n">
        <f aca="false">IF(OR(AE927="",AE927=0),0,AE927*IF(X927="",0,IF(X927&gt;1,X927/100,X927)))</f>
        <v>0</v>
      </c>
      <c r="AI927" s="21" t="n">
        <f aca="false">IF(OR(AE927="",AE927=0),0,AE927*IF(AA927="",0,IF(AA927&gt;1,AA927/100,AA927)))</f>
        <v>0</v>
      </c>
      <c r="AJ927" s="21" t="n">
        <f aca="false">AG927+AH927+AI927</f>
        <v>0</v>
      </c>
      <c r="AK927" s="21" t="n">
        <f aca="false">IF(OR(AE927="",AE927=0),0,AE927-AJ927)</f>
        <v>0</v>
      </c>
      <c r="AL927" s="19" t="str">
        <f aca="false">IF(AD927="","",AD927-AK927)</f>
        <v/>
      </c>
      <c r="AM927" s="26" t="str">
        <f aca="false">IF(C927="","","Waiting for payment")</f>
        <v/>
      </c>
      <c r="AN927" s="27"/>
      <c r="AO927" s="27"/>
      <c r="AP927" s="35" t="str">
        <f aca="false">IF(OR(C927="",I927="",K927=""),"",IF(K927="Monthly",EDATE(C927,ROUND(I927*SETTINGS!$I$8,0)),WORKDAY(C927,ROUND(I927*SETTINGS!$I$8,0))))</f>
        <v/>
      </c>
      <c r="AQ927" s="26" t="str">
        <f aca="true">IF(C927="","",IF(AND(AP927&lt;&gt;"",TODAY()&gt;=AP927),"Refi Ready",IF(TODAY()-C927&gt;=SETTINGS!$I$11,"Prospecting","Performing")))</f>
        <v/>
      </c>
      <c r="AR927" s="35" t="str">
        <f aca="false">IF(OR(C927="",I927="",K927=""),"",IF(K927="Monthly",EDATE(C927,I927),WORKDAY(C927,I927)))</f>
        <v/>
      </c>
      <c r="AS927" s="28"/>
      <c r="AT927" s="36" t="str">
        <f aca="true">IF(C927="","",IF(AM927="Clawed Back","CLAWED",IF(TODAY()&lt;=C927+SETTINGS!$I$2,"⚠ AT RISK","SAFE")))</f>
        <v/>
      </c>
      <c r="AU927" s="28"/>
      <c r="AW927" s="24" t="n">
        <f aca="false">AW926+IF(AND(C927&lt;&gt;"",AO927&lt;&gt;"",OR('REP COMMISSION'!$B$3="",T927='REP COMMISSION'!$B$3,W927='REP COMMISSION'!$B$3,Z927='REP COMMISSION'!$B$3)),1,0)</f>
        <v>0</v>
      </c>
      <c r="AX927" s="24" t="n">
        <f aca="false">AX926+IF(AND(C927&lt;&gt;"",OR(F927="LOC - INITIAL",F927="CONSOLIDATION - UPFRONT COMM",F927="REVERSE - TOTAL FUNDING")),1,0)</f>
        <v>0</v>
      </c>
    </row>
    <row r="928" customFormat="false" ht="15" hidden="false" customHeight="false" outlineLevel="0" collapsed="false">
      <c r="A928" s="8" t="str">
        <f aca="false">IF(C928&lt;&gt;"","F27-"&amp;COUNT($C$4:C928),"")</f>
        <v/>
      </c>
      <c r="B928" s="9" t="str">
        <f aca="false">IF(OR(F928="LOC - INITIAL",F928="CONSOLIDATION - UPFRONT COMM",F928="REVERSE - TOTAL FUNDING"),A928,"")</f>
        <v/>
      </c>
      <c r="C928" s="10"/>
      <c r="D928" s="11"/>
      <c r="E928" s="11"/>
      <c r="F928" s="11"/>
      <c r="G928" s="12"/>
      <c r="H928" s="13"/>
      <c r="I928" s="11"/>
      <c r="J928" s="14" t="str">
        <f aca="false">IF(AND(G928&lt;&gt;"",H928&lt;&gt;""),G928*H928,"")</f>
        <v/>
      </c>
      <c r="K928" s="11"/>
      <c r="L928" s="15"/>
      <c r="M928" s="15"/>
      <c r="N928" s="14" t="n">
        <f aca="false">IF(OR(G928="",M928=""),0,IF(M928&gt;100,M928,G928*IF(M928&gt;1,M928/100,M928)))</f>
        <v>0</v>
      </c>
      <c r="O928" s="14" t="str">
        <f aca="false">IF(G928="","",G928*IF(L928="",0,IF(L928&gt;1,L928/100,L928))+N928)</f>
        <v/>
      </c>
      <c r="P928" s="11"/>
      <c r="Q928" s="16" t="str">
        <f aca="false">IF(P928="","",IFERROR(VLOOKUP(P928,PARTNERS!$A$2:$B$30,2,0),""))</f>
        <v/>
      </c>
      <c r="R928" s="17" t="str">
        <f aca="false">IF(O928="","",IF(OR(P928="",Q928=""),0,(O928-N928)*IF(Q928&gt;1,Q928/100,Q928)))</f>
        <v/>
      </c>
      <c r="S928" s="14" t="str">
        <f aca="false">IF(O928="","",O928-R928)</f>
        <v/>
      </c>
      <c r="T928" s="11"/>
      <c r="U928" s="18" t="str">
        <f aca="false">IF(T928="","",IFERROR(VLOOKUP(T928,REPS!$A$2:$D$40,2,0),""))</f>
        <v/>
      </c>
      <c r="V928" s="14" t="str">
        <f aca="false">IF(O928="","",IF(U928="",0,O928*IF(U928&gt;1,U928/100,U928)))</f>
        <v/>
      </c>
      <c r="W928" s="11"/>
      <c r="X928" s="18" t="str">
        <f aca="false">IF(W928="","",IFERROR(VLOOKUP(W928,REPS!$A$2:$D$40,3,0),""))</f>
        <v/>
      </c>
      <c r="Y928" s="14" t="str">
        <f aca="false">IF(O928="","",IF(X928="",0,O928*IF(X928&gt;1,X928/100,X928)))</f>
        <v/>
      </c>
      <c r="Z928" s="11"/>
      <c r="AA928" s="18" t="str">
        <f aca="false">IF(Z928="","",IFERROR(VLOOKUP(Z928,REPS!$A$2:$D$40,4,0),""))</f>
        <v/>
      </c>
      <c r="AB928" s="14" t="str">
        <f aca="false">IF(O928="","",IF(AA928="",0,O928*IF(AA928&gt;1,AA928/100,AA928)))</f>
        <v/>
      </c>
      <c r="AC928" s="14" t="str">
        <f aca="false">IF(O928="","",V928+Y928+AB928)</f>
        <v/>
      </c>
      <c r="AD928" s="19" t="str">
        <f aca="false">IF(O928="","",O928-R928-AC928)</f>
        <v/>
      </c>
      <c r="AE928" s="20"/>
      <c r="AF928" s="10"/>
      <c r="AG928" s="21" t="n">
        <f aca="false">IF(OR(AE928="",AE928=0),0,AE928*IF(U928="",0,IF(U928&gt;1,U928/100,U928)))</f>
        <v>0</v>
      </c>
      <c r="AH928" s="21" t="n">
        <f aca="false">IF(OR(AE928="",AE928=0),0,AE928*IF(X928="",0,IF(X928&gt;1,X928/100,X928)))</f>
        <v>0</v>
      </c>
      <c r="AI928" s="21" t="n">
        <f aca="false">IF(OR(AE928="",AE928=0),0,AE928*IF(AA928="",0,IF(AA928&gt;1,AA928/100,AA928)))</f>
        <v>0</v>
      </c>
      <c r="AJ928" s="21" t="n">
        <f aca="false">AG928+AH928+AI928</f>
        <v>0</v>
      </c>
      <c r="AK928" s="21" t="n">
        <f aca="false">IF(OR(AE928="",AE928=0),0,AE928-AJ928)</f>
        <v>0</v>
      </c>
      <c r="AL928" s="19" t="str">
        <f aca="false">IF(AD928="","",AD928-AK928)</f>
        <v/>
      </c>
      <c r="AM928" s="9" t="str">
        <f aca="false">IF(C928="","","Waiting for payment")</f>
        <v/>
      </c>
      <c r="AN928" s="10"/>
      <c r="AO928" s="10"/>
      <c r="AP928" s="22" t="str">
        <f aca="false">IF(OR(C928="",I928="",K928=""),"",IF(K928="Monthly",EDATE(C928,ROUND(I928*SETTINGS!$I$8,0)),WORKDAY(C928,ROUND(I928*SETTINGS!$I$8,0))))</f>
        <v/>
      </c>
      <c r="AQ928" s="9" t="str">
        <f aca="true">IF(C928="","",IF(AND(AP928&lt;&gt;"",TODAY()&gt;=AP928),"Refi Ready",IF(TODAY()-C928&gt;=SETTINGS!$I$11,"Prospecting","Performing")))</f>
        <v/>
      </c>
      <c r="AR928" s="22" t="str">
        <f aca="false">IF(OR(C928="",I928="",K928=""),"",IF(K928="Monthly",EDATE(C928,I928),WORKDAY(C928,I928)))</f>
        <v/>
      </c>
      <c r="AS928" s="11"/>
      <c r="AT928" s="23" t="str">
        <f aca="true">IF(C928="","",IF(AM928="Clawed Back","CLAWED",IF(TODAY()&lt;=C928+SETTINGS!$I$2,"⚠ AT RISK","SAFE")))</f>
        <v/>
      </c>
      <c r="AU928" s="11"/>
      <c r="AW928" s="24" t="n">
        <f aca="false">AW927+IF(AND(C928&lt;&gt;"",AO928&lt;&gt;"",OR('REP COMMISSION'!$B$3="",T928='REP COMMISSION'!$B$3,W928='REP COMMISSION'!$B$3,Z928='REP COMMISSION'!$B$3)),1,0)</f>
        <v>0</v>
      </c>
      <c r="AX928" s="24" t="n">
        <f aca="false">AX927+IF(AND(C928&lt;&gt;"",OR(F928="LOC - INITIAL",F928="CONSOLIDATION - UPFRONT COMM",F928="REVERSE - TOTAL FUNDING")),1,0)</f>
        <v>0</v>
      </c>
    </row>
    <row r="929" customFormat="false" ht="15" hidden="false" customHeight="false" outlineLevel="0" collapsed="false">
      <c r="A929" s="25" t="str">
        <f aca="false">IF(C929&lt;&gt;"","F27-"&amp;COUNT($C$4:C929),"")</f>
        <v/>
      </c>
      <c r="B929" s="26" t="str">
        <f aca="false">IF(OR(F929="LOC - INITIAL",F929="CONSOLIDATION - UPFRONT COMM",F929="REVERSE - TOTAL FUNDING"),A929,"")</f>
        <v/>
      </c>
      <c r="C929" s="27"/>
      <c r="D929" s="28"/>
      <c r="E929" s="28"/>
      <c r="F929" s="28"/>
      <c r="G929" s="29"/>
      <c r="H929" s="30"/>
      <c r="I929" s="28"/>
      <c r="J929" s="31" t="str">
        <f aca="false">IF(AND(G929&lt;&gt;"",H929&lt;&gt;""),G929*H929,"")</f>
        <v/>
      </c>
      <c r="K929" s="28"/>
      <c r="L929" s="32"/>
      <c r="M929" s="32"/>
      <c r="N929" s="31" t="n">
        <f aca="false">IF(OR(G929="",M929=""),0,IF(M929&gt;100,M929,G929*IF(M929&gt;1,M929/100,M929)))</f>
        <v>0</v>
      </c>
      <c r="O929" s="31" t="str">
        <f aca="false">IF(G929="","",G929*IF(L929="",0,IF(L929&gt;1,L929/100,L929))+N929)</f>
        <v/>
      </c>
      <c r="P929" s="28"/>
      <c r="Q929" s="33" t="str">
        <f aca="false">IF(P929="","",IFERROR(VLOOKUP(P929,PARTNERS!$A$2:$B$30,2,0),""))</f>
        <v/>
      </c>
      <c r="R929" s="17" t="str">
        <f aca="false">IF(O929="","",IF(OR(P929="",Q929=""),0,(O929-N929)*IF(Q929&gt;1,Q929/100,Q929)))</f>
        <v/>
      </c>
      <c r="S929" s="31" t="str">
        <f aca="false">IF(O929="","",O929-R929)</f>
        <v/>
      </c>
      <c r="T929" s="28"/>
      <c r="U929" s="34" t="str">
        <f aca="false">IF(T929="","",IFERROR(VLOOKUP(T929,REPS!$A$2:$D$40,2,0),""))</f>
        <v/>
      </c>
      <c r="V929" s="31" t="str">
        <f aca="false">IF(O929="","",IF(U929="",0,O929*IF(U929&gt;1,U929/100,U929)))</f>
        <v/>
      </c>
      <c r="W929" s="28"/>
      <c r="X929" s="34" t="str">
        <f aca="false">IF(W929="","",IFERROR(VLOOKUP(W929,REPS!$A$2:$D$40,3,0),""))</f>
        <v/>
      </c>
      <c r="Y929" s="31" t="str">
        <f aca="false">IF(O929="","",IF(X929="",0,O929*IF(X929&gt;1,X929/100,X929)))</f>
        <v/>
      </c>
      <c r="Z929" s="28"/>
      <c r="AA929" s="34" t="str">
        <f aca="false">IF(Z929="","",IFERROR(VLOOKUP(Z929,REPS!$A$2:$D$40,4,0),""))</f>
        <v/>
      </c>
      <c r="AB929" s="31" t="str">
        <f aca="false">IF(O929="","",IF(AA929="",0,O929*IF(AA929&gt;1,AA929/100,AA929)))</f>
        <v/>
      </c>
      <c r="AC929" s="31" t="str">
        <f aca="false">IF(O929="","",V929+Y929+AB929)</f>
        <v/>
      </c>
      <c r="AD929" s="19" t="str">
        <f aca="false">IF(O929="","",O929-R929-AC929)</f>
        <v/>
      </c>
      <c r="AE929" s="20"/>
      <c r="AF929" s="27"/>
      <c r="AG929" s="21" t="n">
        <f aca="false">IF(OR(AE929="",AE929=0),0,AE929*IF(U929="",0,IF(U929&gt;1,U929/100,U929)))</f>
        <v>0</v>
      </c>
      <c r="AH929" s="21" t="n">
        <f aca="false">IF(OR(AE929="",AE929=0),0,AE929*IF(X929="",0,IF(X929&gt;1,X929/100,X929)))</f>
        <v>0</v>
      </c>
      <c r="AI929" s="21" t="n">
        <f aca="false">IF(OR(AE929="",AE929=0),0,AE929*IF(AA929="",0,IF(AA929&gt;1,AA929/100,AA929)))</f>
        <v>0</v>
      </c>
      <c r="AJ929" s="21" t="n">
        <f aca="false">AG929+AH929+AI929</f>
        <v>0</v>
      </c>
      <c r="AK929" s="21" t="n">
        <f aca="false">IF(OR(AE929="",AE929=0),0,AE929-AJ929)</f>
        <v>0</v>
      </c>
      <c r="AL929" s="19" t="str">
        <f aca="false">IF(AD929="","",AD929-AK929)</f>
        <v/>
      </c>
      <c r="AM929" s="26" t="str">
        <f aca="false">IF(C929="","","Waiting for payment")</f>
        <v/>
      </c>
      <c r="AN929" s="27"/>
      <c r="AO929" s="27"/>
      <c r="AP929" s="35" t="str">
        <f aca="false">IF(OR(C929="",I929="",K929=""),"",IF(K929="Monthly",EDATE(C929,ROUND(I929*SETTINGS!$I$8,0)),WORKDAY(C929,ROUND(I929*SETTINGS!$I$8,0))))</f>
        <v/>
      </c>
      <c r="AQ929" s="26" t="str">
        <f aca="true">IF(C929="","",IF(AND(AP929&lt;&gt;"",TODAY()&gt;=AP929),"Refi Ready",IF(TODAY()-C929&gt;=SETTINGS!$I$11,"Prospecting","Performing")))</f>
        <v/>
      </c>
      <c r="AR929" s="35" t="str">
        <f aca="false">IF(OR(C929="",I929="",K929=""),"",IF(K929="Monthly",EDATE(C929,I929),WORKDAY(C929,I929)))</f>
        <v/>
      </c>
      <c r="AS929" s="28"/>
      <c r="AT929" s="36" t="str">
        <f aca="true">IF(C929="","",IF(AM929="Clawed Back","CLAWED",IF(TODAY()&lt;=C929+SETTINGS!$I$2,"⚠ AT RISK","SAFE")))</f>
        <v/>
      </c>
      <c r="AU929" s="28"/>
      <c r="AW929" s="24" t="n">
        <f aca="false">AW928+IF(AND(C929&lt;&gt;"",AO929&lt;&gt;"",OR('REP COMMISSION'!$B$3="",T929='REP COMMISSION'!$B$3,W929='REP COMMISSION'!$B$3,Z929='REP COMMISSION'!$B$3)),1,0)</f>
        <v>0</v>
      </c>
      <c r="AX929" s="24" t="n">
        <f aca="false">AX928+IF(AND(C929&lt;&gt;"",OR(F929="LOC - INITIAL",F929="CONSOLIDATION - UPFRONT COMM",F929="REVERSE - TOTAL FUNDING")),1,0)</f>
        <v>0</v>
      </c>
    </row>
    <row r="930" customFormat="false" ht="15" hidden="false" customHeight="false" outlineLevel="0" collapsed="false">
      <c r="A930" s="8" t="str">
        <f aca="false">IF(C930&lt;&gt;"","F27-"&amp;COUNT($C$4:C930),"")</f>
        <v/>
      </c>
      <c r="B930" s="9" t="str">
        <f aca="false">IF(OR(F930="LOC - INITIAL",F930="CONSOLIDATION - UPFRONT COMM",F930="REVERSE - TOTAL FUNDING"),A930,"")</f>
        <v/>
      </c>
      <c r="C930" s="10"/>
      <c r="D930" s="11"/>
      <c r="E930" s="11"/>
      <c r="F930" s="11"/>
      <c r="G930" s="12"/>
      <c r="H930" s="13"/>
      <c r="I930" s="11"/>
      <c r="J930" s="14" t="str">
        <f aca="false">IF(AND(G930&lt;&gt;"",H930&lt;&gt;""),G930*H930,"")</f>
        <v/>
      </c>
      <c r="K930" s="11"/>
      <c r="L930" s="15"/>
      <c r="M930" s="15"/>
      <c r="N930" s="14" t="n">
        <f aca="false">IF(OR(G930="",M930=""),0,IF(M930&gt;100,M930,G930*IF(M930&gt;1,M930/100,M930)))</f>
        <v>0</v>
      </c>
      <c r="O930" s="14" t="str">
        <f aca="false">IF(G930="","",G930*IF(L930="",0,IF(L930&gt;1,L930/100,L930))+N930)</f>
        <v/>
      </c>
      <c r="P930" s="11"/>
      <c r="Q930" s="16" t="str">
        <f aca="false">IF(P930="","",IFERROR(VLOOKUP(P930,PARTNERS!$A$2:$B$30,2,0),""))</f>
        <v/>
      </c>
      <c r="R930" s="17" t="str">
        <f aca="false">IF(O930="","",IF(OR(P930="",Q930=""),0,(O930-N930)*IF(Q930&gt;1,Q930/100,Q930)))</f>
        <v/>
      </c>
      <c r="S930" s="14" t="str">
        <f aca="false">IF(O930="","",O930-R930)</f>
        <v/>
      </c>
      <c r="T930" s="11"/>
      <c r="U930" s="18" t="str">
        <f aca="false">IF(T930="","",IFERROR(VLOOKUP(T930,REPS!$A$2:$D$40,2,0),""))</f>
        <v/>
      </c>
      <c r="V930" s="14" t="str">
        <f aca="false">IF(O930="","",IF(U930="",0,O930*IF(U930&gt;1,U930/100,U930)))</f>
        <v/>
      </c>
      <c r="W930" s="11"/>
      <c r="X930" s="18" t="str">
        <f aca="false">IF(W930="","",IFERROR(VLOOKUP(W930,REPS!$A$2:$D$40,3,0),""))</f>
        <v/>
      </c>
      <c r="Y930" s="14" t="str">
        <f aca="false">IF(O930="","",IF(X930="",0,O930*IF(X930&gt;1,X930/100,X930)))</f>
        <v/>
      </c>
      <c r="Z930" s="11"/>
      <c r="AA930" s="18" t="str">
        <f aca="false">IF(Z930="","",IFERROR(VLOOKUP(Z930,REPS!$A$2:$D$40,4,0),""))</f>
        <v/>
      </c>
      <c r="AB930" s="14" t="str">
        <f aca="false">IF(O930="","",IF(AA930="",0,O930*IF(AA930&gt;1,AA930/100,AA930)))</f>
        <v/>
      </c>
      <c r="AC930" s="14" t="str">
        <f aca="false">IF(O930="","",V930+Y930+AB930)</f>
        <v/>
      </c>
      <c r="AD930" s="19" t="str">
        <f aca="false">IF(O930="","",O930-R930-AC930)</f>
        <v/>
      </c>
      <c r="AE930" s="20"/>
      <c r="AF930" s="10"/>
      <c r="AG930" s="21" t="n">
        <f aca="false">IF(OR(AE930="",AE930=0),0,AE930*IF(U930="",0,IF(U930&gt;1,U930/100,U930)))</f>
        <v>0</v>
      </c>
      <c r="AH930" s="21" t="n">
        <f aca="false">IF(OR(AE930="",AE930=0),0,AE930*IF(X930="",0,IF(X930&gt;1,X930/100,X930)))</f>
        <v>0</v>
      </c>
      <c r="AI930" s="21" t="n">
        <f aca="false">IF(OR(AE930="",AE930=0),0,AE930*IF(AA930="",0,IF(AA930&gt;1,AA930/100,AA930)))</f>
        <v>0</v>
      </c>
      <c r="AJ930" s="21" t="n">
        <f aca="false">AG930+AH930+AI930</f>
        <v>0</v>
      </c>
      <c r="AK930" s="21" t="n">
        <f aca="false">IF(OR(AE930="",AE930=0),0,AE930-AJ930)</f>
        <v>0</v>
      </c>
      <c r="AL930" s="19" t="str">
        <f aca="false">IF(AD930="","",AD930-AK930)</f>
        <v/>
      </c>
      <c r="AM930" s="9" t="str">
        <f aca="false">IF(C930="","","Waiting for payment")</f>
        <v/>
      </c>
      <c r="AN930" s="10"/>
      <c r="AO930" s="10"/>
      <c r="AP930" s="22" t="str">
        <f aca="false">IF(OR(C930="",I930="",K930=""),"",IF(K930="Monthly",EDATE(C930,ROUND(I930*SETTINGS!$I$8,0)),WORKDAY(C930,ROUND(I930*SETTINGS!$I$8,0))))</f>
        <v/>
      </c>
      <c r="AQ930" s="9" t="str">
        <f aca="true">IF(C930="","",IF(AND(AP930&lt;&gt;"",TODAY()&gt;=AP930),"Refi Ready",IF(TODAY()-C930&gt;=SETTINGS!$I$11,"Prospecting","Performing")))</f>
        <v/>
      </c>
      <c r="AR930" s="22" t="str">
        <f aca="false">IF(OR(C930="",I930="",K930=""),"",IF(K930="Monthly",EDATE(C930,I930),WORKDAY(C930,I930)))</f>
        <v/>
      </c>
      <c r="AS930" s="11"/>
      <c r="AT930" s="23" t="str">
        <f aca="true">IF(C930="","",IF(AM930="Clawed Back","CLAWED",IF(TODAY()&lt;=C930+SETTINGS!$I$2,"⚠ AT RISK","SAFE")))</f>
        <v/>
      </c>
      <c r="AU930" s="11"/>
      <c r="AW930" s="24" t="n">
        <f aca="false">AW929+IF(AND(C930&lt;&gt;"",AO930&lt;&gt;"",OR('REP COMMISSION'!$B$3="",T930='REP COMMISSION'!$B$3,W930='REP COMMISSION'!$B$3,Z930='REP COMMISSION'!$B$3)),1,0)</f>
        <v>0</v>
      </c>
      <c r="AX930" s="24" t="n">
        <f aca="false">AX929+IF(AND(C930&lt;&gt;"",OR(F930="LOC - INITIAL",F930="CONSOLIDATION - UPFRONT COMM",F930="REVERSE - TOTAL FUNDING")),1,0)</f>
        <v>0</v>
      </c>
    </row>
    <row r="931" customFormat="false" ht="15" hidden="false" customHeight="false" outlineLevel="0" collapsed="false">
      <c r="A931" s="25" t="str">
        <f aca="false">IF(C931&lt;&gt;"","F27-"&amp;COUNT($C$4:C931),"")</f>
        <v/>
      </c>
      <c r="B931" s="26" t="str">
        <f aca="false">IF(OR(F931="LOC - INITIAL",F931="CONSOLIDATION - UPFRONT COMM",F931="REVERSE - TOTAL FUNDING"),A931,"")</f>
        <v/>
      </c>
      <c r="C931" s="27"/>
      <c r="D931" s="28"/>
      <c r="E931" s="28"/>
      <c r="F931" s="28"/>
      <c r="G931" s="29"/>
      <c r="H931" s="30"/>
      <c r="I931" s="28"/>
      <c r="J931" s="31" t="str">
        <f aca="false">IF(AND(G931&lt;&gt;"",H931&lt;&gt;""),G931*H931,"")</f>
        <v/>
      </c>
      <c r="K931" s="28"/>
      <c r="L931" s="32"/>
      <c r="M931" s="32"/>
      <c r="N931" s="31" t="n">
        <f aca="false">IF(OR(G931="",M931=""),0,IF(M931&gt;100,M931,G931*IF(M931&gt;1,M931/100,M931)))</f>
        <v>0</v>
      </c>
      <c r="O931" s="31" t="str">
        <f aca="false">IF(G931="","",G931*IF(L931="",0,IF(L931&gt;1,L931/100,L931))+N931)</f>
        <v/>
      </c>
      <c r="P931" s="28"/>
      <c r="Q931" s="33" t="str">
        <f aca="false">IF(P931="","",IFERROR(VLOOKUP(P931,PARTNERS!$A$2:$B$30,2,0),""))</f>
        <v/>
      </c>
      <c r="R931" s="17" t="str">
        <f aca="false">IF(O931="","",IF(OR(P931="",Q931=""),0,(O931-N931)*IF(Q931&gt;1,Q931/100,Q931)))</f>
        <v/>
      </c>
      <c r="S931" s="31" t="str">
        <f aca="false">IF(O931="","",O931-R931)</f>
        <v/>
      </c>
      <c r="T931" s="28"/>
      <c r="U931" s="34" t="str">
        <f aca="false">IF(T931="","",IFERROR(VLOOKUP(T931,REPS!$A$2:$D$40,2,0),""))</f>
        <v/>
      </c>
      <c r="V931" s="31" t="str">
        <f aca="false">IF(O931="","",IF(U931="",0,O931*IF(U931&gt;1,U931/100,U931)))</f>
        <v/>
      </c>
      <c r="W931" s="28"/>
      <c r="X931" s="34" t="str">
        <f aca="false">IF(W931="","",IFERROR(VLOOKUP(W931,REPS!$A$2:$D$40,3,0),""))</f>
        <v/>
      </c>
      <c r="Y931" s="31" t="str">
        <f aca="false">IF(O931="","",IF(X931="",0,O931*IF(X931&gt;1,X931/100,X931)))</f>
        <v/>
      </c>
      <c r="Z931" s="28"/>
      <c r="AA931" s="34" t="str">
        <f aca="false">IF(Z931="","",IFERROR(VLOOKUP(Z931,REPS!$A$2:$D$40,4,0),""))</f>
        <v/>
      </c>
      <c r="AB931" s="31" t="str">
        <f aca="false">IF(O931="","",IF(AA931="",0,O931*IF(AA931&gt;1,AA931/100,AA931)))</f>
        <v/>
      </c>
      <c r="AC931" s="31" t="str">
        <f aca="false">IF(O931="","",V931+Y931+AB931)</f>
        <v/>
      </c>
      <c r="AD931" s="19" t="str">
        <f aca="false">IF(O931="","",O931-R931-AC931)</f>
        <v/>
      </c>
      <c r="AE931" s="20"/>
      <c r="AF931" s="27"/>
      <c r="AG931" s="21" t="n">
        <f aca="false">IF(OR(AE931="",AE931=0),0,AE931*IF(U931="",0,IF(U931&gt;1,U931/100,U931)))</f>
        <v>0</v>
      </c>
      <c r="AH931" s="21" t="n">
        <f aca="false">IF(OR(AE931="",AE931=0),0,AE931*IF(X931="",0,IF(X931&gt;1,X931/100,X931)))</f>
        <v>0</v>
      </c>
      <c r="AI931" s="21" t="n">
        <f aca="false">IF(OR(AE931="",AE931=0),0,AE931*IF(AA931="",0,IF(AA931&gt;1,AA931/100,AA931)))</f>
        <v>0</v>
      </c>
      <c r="AJ931" s="21" t="n">
        <f aca="false">AG931+AH931+AI931</f>
        <v>0</v>
      </c>
      <c r="AK931" s="21" t="n">
        <f aca="false">IF(OR(AE931="",AE931=0),0,AE931-AJ931)</f>
        <v>0</v>
      </c>
      <c r="AL931" s="19" t="str">
        <f aca="false">IF(AD931="","",AD931-AK931)</f>
        <v/>
      </c>
      <c r="AM931" s="26" t="str">
        <f aca="false">IF(C931="","","Waiting for payment")</f>
        <v/>
      </c>
      <c r="AN931" s="27"/>
      <c r="AO931" s="27"/>
      <c r="AP931" s="35" t="str">
        <f aca="false">IF(OR(C931="",I931="",K931=""),"",IF(K931="Monthly",EDATE(C931,ROUND(I931*SETTINGS!$I$8,0)),WORKDAY(C931,ROUND(I931*SETTINGS!$I$8,0))))</f>
        <v/>
      </c>
      <c r="AQ931" s="26" t="str">
        <f aca="true">IF(C931="","",IF(AND(AP931&lt;&gt;"",TODAY()&gt;=AP931),"Refi Ready",IF(TODAY()-C931&gt;=SETTINGS!$I$11,"Prospecting","Performing")))</f>
        <v/>
      </c>
      <c r="AR931" s="35" t="str">
        <f aca="false">IF(OR(C931="",I931="",K931=""),"",IF(K931="Monthly",EDATE(C931,I931),WORKDAY(C931,I931)))</f>
        <v/>
      </c>
      <c r="AS931" s="28"/>
      <c r="AT931" s="36" t="str">
        <f aca="true">IF(C931="","",IF(AM931="Clawed Back","CLAWED",IF(TODAY()&lt;=C931+SETTINGS!$I$2,"⚠ AT RISK","SAFE")))</f>
        <v/>
      </c>
      <c r="AU931" s="28"/>
      <c r="AW931" s="24" t="n">
        <f aca="false">AW930+IF(AND(C931&lt;&gt;"",AO931&lt;&gt;"",OR('REP COMMISSION'!$B$3="",T931='REP COMMISSION'!$B$3,W931='REP COMMISSION'!$B$3,Z931='REP COMMISSION'!$B$3)),1,0)</f>
        <v>0</v>
      </c>
      <c r="AX931" s="24" t="n">
        <f aca="false">AX930+IF(AND(C931&lt;&gt;"",OR(F931="LOC - INITIAL",F931="CONSOLIDATION - UPFRONT COMM",F931="REVERSE - TOTAL FUNDING")),1,0)</f>
        <v>0</v>
      </c>
    </row>
    <row r="932" customFormat="false" ht="15" hidden="false" customHeight="false" outlineLevel="0" collapsed="false">
      <c r="A932" s="8" t="str">
        <f aca="false">IF(C932&lt;&gt;"","F27-"&amp;COUNT($C$4:C932),"")</f>
        <v/>
      </c>
      <c r="B932" s="9" t="str">
        <f aca="false">IF(OR(F932="LOC - INITIAL",F932="CONSOLIDATION - UPFRONT COMM",F932="REVERSE - TOTAL FUNDING"),A932,"")</f>
        <v/>
      </c>
      <c r="C932" s="10"/>
      <c r="D932" s="11"/>
      <c r="E932" s="11"/>
      <c r="F932" s="11"/>
      <c r="G932" s="12"/>
      <c r="H932" s="13"/>
      <c r="I932" s="11"/>
      <c r="J932" s="14" t="str">
        <f aca="false">IF(AND(G932&lt;&gt;"",H932&lt;&gt;""),G932*H932,"")</f>
        <v/>
      </c>
      <c r="K932" s="11"/>
      <c r="L932" s="15"/>
      <c r="M932" s="15"/>
      <c r="N932" s="14" t="n">
        <f aca="false">IF(OR(G932="",M932=""),0,IF(M932&gt;100,M932,G932*IF(M932&gt;1,M932/100,M932)))</f>
        <v>0</v>
      </c>
      <c r="O932" s="14" t="str">
        <f aca="false">IF(G932="","",G932*IF(L932="",0,IF(L932&gt;1,L932/100,L932))+N932)</f>
        <v/>
      </c>
      <c r="P932" s="11"/>
      <c r="Q932" s="16" t="str">
        <f aca="false">IF(P932="","",IFERROR(VLOOKUP(P932,PARTNERS!$A$2:$B$30,2,0),""))</f>
        <v/>
      </c>
      <c r="R932" s="17" t="str">
        <f aca="false">IF(O932="","",IF(OR(P932="",Q932=""),0,(O932-N932)*IF(Q932&gt;1,Q932/100,Q932)))</f>
        <v/>
      </c>
      <c r="S932" s="14" t="str">
        <f aca="false">IF(O932="","",O932-R932)</f>
        <v/>
      </c>
      <c r="T932" s="11"/>
      <c r="U932" s="18" t="str">
        <f aca="false">IF(T932="","",IFERROR(VLOOKUP(T932,REPS!$A$2:$D$40,2,0),""))</f>
        <v/>
      </c>
      <c r="V932" s="14" t="str">
        <f aca="false">IF(O932="","",IF(U932="",0,O932*IF(U932&gt;1,U932/100,U932)))</f>
        <v/>
      </c>
      <c r="W932" s="11"/>
      <c r="X932" s="18" t="str">
        <f aca="false">IF(W932="","",IFERROR(VLOOKUP(W932,REPS!$A$2:$D$40,3,0),""))</f>
        <v/>
      </c>
      <c r="Y932" s="14" t="str">
        <f aca="false">IF(O932="","",IF(X932="",0,O932*IF(X932&gt;1,X932/100,X932)))</f>
        <v/>
      </c>
      <c r="Z932" s="11"/>
      <c r="AA932" s="18" t="str">
        <f aca="false">IF(Z932="","",IFERROR(VLOOKUP(Z932,REPS!$A$2:$D$40,4,0),""))</f>
        <v/>
      </c>
      <c r="AB932" s="14" t="str">
        <f aca="false">IF(O932="","",IF(AA932="",0,O932*IF(AA932&gt;1,AA932/100,AA932)))</f>
        <v/>
      </c>
      <c r="AC932" s="14" t="str">
        <f aca="false">IF(O932="","",V932+Y932+AB932)</f>
        <v/>
      </c>
      <c r="AD932" s="19" t="str">
        <f aca="false">IF(O932="","",O932-R932-AC932)</f>
        <v/>
      </c>
      <c r="AE932" s="20"/>
      <c r="AF932" s="10"/>
      <c r="AG932" s="21" t="n">
        <f aca="false">IF(OR(AE932="",AE932=0),0,AE932*IF(U932="",0,IF(U932&gt;1,U932/100,U932)))</f>
        <v>0</v>
      </c>
      <c r="AH932" s="21" t="n">
        <f aca="false">IF(OR(AE932="",AE932=0),0,AE932*IF(X932="",0,IF(X932&gt;1,X932/100,X932)))</f>
        <v>0</v>
      </c>
      <c r="AI932" s="21" t="n">
        <f aca="false">IF(OR(AE932="",AE932=0),0,AE932*IF(AA932="",0,IF(AA932&gt;1,AA932/100,AA932)))</f>
        <v>0</v>
      </c>
      <c r="AJ932" s="21" t="n">
        <f aca="false">AG932+AH932+AI932</f>
        <v>0</v>
      </c>
      <c r="AK932" s="21" t="n">
        <f aca="false">IF(OR(AE932="",AE932=0),0,AE932-AJ932)</f>
        <v>0</v>
      </c>
      <c r="AL932" s="19" t="str">
        <f aca="false">IF(AD932="","",AD932-AK932)</f>
        <v/>
      </c>
      <c r="AM932" s="9" t="str">
        <f aca="false">IF(C932="","","Waiting for payment")</f>
        <v/>
      </c>
      <c r="AN932" s="10"/>
      <c r="AO932" s="10"/>
      <c r="AP932" s="22" t="str">
        <f aca="false">IF(OR(C932="",I932="",K932=""),"",IF(K932="Monthly",EDATE(C932,ROUND(I932*SETTINGS!$I$8,0)),WORKDAY(C932,ROUND(I932*SETTINGS!$I$8,0))))</f>
        <v/>
      </c>
      <c r="AQ932" s="9" t="str">
        <f aca="true">IF(C932="","",IF(AND(AP932&lt;&gt;"",TODAY()&gt;=AP932),"Refi Ready",IF(TODAY()-C932&gt;=SETTINGS!$I$11,"Prospecting","Performing")))</f>
        <v/>
      </c>
      <c r="AR932" s="22" t="str">
        <f aca="false">IF(OR(C932="",I932="",K932=""),"",IF(K932="Monthly",EDATE(C932,I932),WORKDAY(C932,I932)))</f>
        <v/>
      </c>
      <c r="AS932" s="11"/>
      <c r="AT932" s="23" t="str">
        <f aca="true">IF(C932="","",IF(AM932="Clawed Back","CLAWED",IF(TODAY()&lt;=C932+SETTINGS!$I$2,"⚠ AT RISK","SAFE")))</f>
        <v/>
      </c>
      <c r="AU932" s="11"/>
      <c r="AW932" s="24" t="n">
        <f aca="false">AW931+IF(AND(C932&lt;&gt;"",AO932&lt;&gt;"",OR('REP COMMISSION'!$B$3="",T932='REP COMMISSION'!$B$3,W932='REP COMMISSION'!$B$3,Z932='REP COMMISSION'!$B$3)),1,0)</f>
        <v>0</v>
      </c>
      <c r="AX932" s="24" t="n">
        <f aca="false">AX931+IF(AND(C932&lt;&gt;"",OR(F932="LOC - INITIAL",F932="CONSOLIDATION - UPFRONT COMM",F932="REVERSE - TOTAL FUNDING")),1,0)</f>
        <v>0</v>
      </c>
    </row>
    <row r="933" customFormat="false" ht="15" hidden="false" customHeight="false" outlineLevel="0" collapsed="false">
      <c r="A933" s="25" t="str">
        <f aca="false">IF(C933&lt;&gt;"","F27-"&amp;COUNT($C$4:C933),"")</f>
        <v/>
      </c>
      <c r="B933" s="26" t="str">
        <f aca="false">IF(OR(F933="LOC - INITIAL",F933="CONSOLIDATION - UPFRONT COMM",F933="REVERSE - TOTAL FUNDING"),A933,"")</f>
        <v/>
      </c>
      <c r="C933" s="27"/>
      <c r="D933" s="28"/>
      <c r="E933" s="28"/>
      <c r="F933" s="28"/>
      <c r="G933" s="29"/>
      <c r="H933" s="30"/>
      <c r="I933" s="28"/>
      <c r="J933" s="31" t="str">
        <f aca="false">IF(AND(G933&lt;&gt;"",H933&lt;&gt;""),G933*H933,"")</f>
        <v/>
      </c>
      <c r="K933" s="28"/>
      <c r="L933" s="32"/>
      <c r="M933" s="32"/>
      <c r="N933" s="31" t="n">
        <f aca="false">IF(OR(G933="",M933=""),0,IF(M933&gt;100,M933,G933*IF(M933&gt;1,M933/100,M933)))</f>
        <v>0</v>
      </c>
      <c r="O933" s="31" t="str">
        <f aca="false">IF(G933="","",G933*IF(L933="",0,IF(L933&gt;1,L933/100,L933))+N933)</f>
        <v/>
      </c>
      <c r="P933" s="28"/>
      <c r="Q933" s="33" t="str">
        <f aca="false">IF(P933="","",IFERROR(VLOOKUP(P933,PARTNERS!$A$2:$B$30,2,0),""))</f>
        <v/>
      </c>
      <c r="R933" s="17" t="str">
        <f aca="false">IF(O933="","",IF(OR(P933="",Q933=""),0,(O933-N933)*IF(Q933&gt;1,Q933/100,Q933)))</f>
        <v/>
      </c>
      <c r="S933" s="31" t="str">
        <f aca="false">IF(O933="","",O933-R933)</f>
        <v/>
      </c>
      <c r="T933" s="28"/>
      <c r="U933" s="34" t="str">
        <f aca="false">IF(T933="","",IFERROR(VLOOKUP(T933,REPS!$A$2:$D$40,2,0),""))</f>
        <v/>
      </c>
      <c r="V933" s="31" t="str">
        <f aca="false">IF(O933="","",IF(U933="",0,O933*IF(U933&gt;1,U933/100,U933)))</f>
        <v/>
      </c>
      <c r="W933" s="28"/>
      <c r="X933" s="34" t="str">
        <f aca="false">IF(W933="","",IFERROR(VLOOKUP(W933,REPS!$A$2:$D$40,3,0),""))</f>
        <v/>
      </c>
      <c r="Y933" s="31" t="str">
        <f aca="false">IF(O933="","",IF(X933="",0,O933*IF(X933&gt;1,X933/100,X933)))</f>
        <v/>
      </c>
      <c r="Z933" s="28"/>
      <c r="AA933" s="34" t="str">
        <f aca="false">IF(Z933="","",IFERROR(VLOOKUP(Z933,REPS!$A$2:$D$40,4,0),""))</f>
        <v/>
      </c>
      <c r="AB933" s="31" t="str">
        <f aca="false">IF(O933="","",IF(AA933="",0,O933*IF(AA933&gt;1,AA933/100,AA933)))</f>
        <v/>
      </c>
      <c r="AC933" s="31" t="str">
        <f aca="false">IF(O933="","",V933+Y933+AB933)</f>
        <v/>
      </c>
      <c r="AD933" s="19" t="str">
        <f aca="false">IF(O933="","",O933-R933-AC933)</f>
        <v/>
      </c>
      <c r="AE933" s="20"/>
      <c r="AF933" s="27"/>
      <c r="AG933" s="21" t="n">
        <f aca="false">IF(OR(AE933="",AE933=0),0,AE933*IF(U933="",0,IF(U933&gt;1,U933/100,U933)))</f>
        <v>0</v>
      </c>
      <c r="AH933" s="21" t="n">
        <f aca="false">IF(OR(AE933="",AE933=0),0,AE933*IF(X933="",0,IF(X933&gt;1,X933/100,X933)))</f>
        <v>0</v>
      </c>
      <c r="AI933" s="21" t="n">
        <f aca="false">IF(OR(AE933="",AE933=0),0,AE933*IF(AA933="",0,IF(AA933&gt;1,AA933/100,AA933)))</f>
        <v>0</v>
      </c>
      <c r="AJ933" s="21" t="n">
        <f aca="false">AG933+AH933+AI933</f>
        <v>0</v>
      </c>
      <c r="AK933" s="21" t="n">
        <f aca="false">IF(OR(AE933="",AE933=0),0,AE933-AJ933)</f>
        <v>0</v>
      </c>
      <c r="AL933" s="19" t="str">
        <f aca="false">IF(AD933="","",AD933-AK933)</f>
        <v/>
      </c>
      <c r="AM933" s="26" t="str">
        <f aca="false">IF(C933="","","Waiting for payment")</f>
        <v/>
      </c>
      <c r="AN933" s="27"/>
      <c r="AO933" s="27"/>
      <c r="AP933" s="35" t="str">
        <f aca="false">IF(OR(C933="",I933="",K933=""),"",IF(K933="Monthly",EDATE(C933,ROUND(I933*SETTINGS!$I$8,0)),WORKDAY(C933,ROUND(I933*SETTINGS!$I$8,0))))</f>
        <v/>
      </c>
      <c r="AQ933" s="26" t="str">
        <f aca="true">IF(C933="","",IF(AND(AP933&lt;&gt;"",TODAY()&gt;=AP933),"Refi Ready",IF(TODAY()-C933&gt;=SETTINGS!$I$11,"Prospecting","Performing")))</f>
        <v/>
      </c>
      <c r="AR933" s="35" t="str">
        <f aca="false">IF(OR(C933="",I933="",K933=""),"",IF(K933="Monthly",EDATE(C933,I933),WORKDAY(C933,I933)))</f>
        <v/>
      </c>
      <c r="AS933" s="28"/>
      <c r="AT933" s="36" t="str">
        <f aca="true">IF(C933="","",IF(AM933="Clawed Back","CLAWED",IF(TODAY()&lt;=C933+SETTINGS!$I$2,"⚠ AT RISK","SAFE")))</f>
        <v/>
      </c>
      <c r="AU933" s="28"/>
      <c r="AW933" s="24" t="n">
        <f aca="false">AW932+IF(AND(C933&lt;&gt;"",AO933&lt;&gt;"",OR('REP COMMISSION'!$B$3="",T933='REP COMMISSION'!$B$3,W933='REP COMMISSION'!$B$3,Z933='REP COMMISSION'!$B$3)),1,0)</f>
        <v>0</v>
      </c>
      <c r="AX933" s="24" t="n">
        <f aca="false">AX932+IF(AND(C933&lt;&gt;"",OR(F933="LOC - INITIAL",F933="CONSOLIDATION - UPFRONT COMM",F933="REVERSE - TOTAL FUNDING")),1,0)</f>
        <v>0</v>
      </c>
    </row>
    <row r="934" customFormat="false" ht="15" hidden="false" customHeight="false" outlineLevel="0" collapsed="false">
      <c r="A934" s="8" t="str">
        <f aca="false">IF(C934&lt;&gt;"","F27-"&amp;COUNT($C$4:C934),"")</f>
        <v/>
      </c>
      <c r="B934" s="9" t="str">
        <f aca="false">IF(OR(F934="LOC - INITIAL",F934="CONSOLIDATION - UPFRONT COMM",F934="REVERSE - TOTAL FUNDING"),A934,"")</f>
        <v/>
      </c>
      <c r="C934" s="10"/>
      <c r="D934" s="11"/>
      <c r="E934" s="11"/>
      <c r="F934" s="11"/>
      <c r="G934" s="12"/>
      <c r="H934" s="13"/>
      <c r="I934" s="11"/>
      <c r="J934" s="14" t="str">
        <f aca="false">IF(AND(G934&lt;&gt;"",H934&lt;&gt;""),G934*H934,"")</f>
        <v/>
      </c>
      <c r="K934" s="11"/>
      <c r="L934" s="15"/>
      <c r="M934" s="15"/>
      <c r="N934" s="14" t="n">
        <f aca="false">IF(OR(G934="",M934=""),0,IF(M934&gt;100,M934,G934*IF(M934&gt;1,M934/100,M934)))</f>
        <v>0</v>
      </c>
      <c r="O934" s="14" t="str">
        <f aca="false">IF(G934="","",G934*IF(L934="",0,IF(L934&gt;1,L934/100,L934))+N934)</f>
        <v/>
      </c>
      <c r="P934" s="11"/>
      <c r="Q934" s="16" t="str">
        <f aca="false">IF(P934="","",IFERROR(VLOOKUP(P934,PARTNERS!$A$2:$B$30,2,0),""))</f>
        <v/>
      </c>
      <c r="R934" s="17" t="str">
        <f aca="false">IF(O934="","",IF(OR(P934="",Q934=""),0,(O934-N934)*IF(Q934&gt;1,Q934/100,Q934)))</f>
        <v/>
      </c>
      <c r="S934" s="14" t="str">
        <f aca="false">IF(O934="","",O934-R934)</f>
        <v/>
      </c>
      <c r="T934" s="11"/>
      <c r="U934" s="18" t="str">
        <f aca="false">IF(T934="","",IFERROR(VLOOKUP(T934,REPS!$A$2:$D$40,2,0),""))</f>
        <v/>
      </c>
      <c r="V934" s="14" t="str">
        <f aca="false">IF(O934="","",IF(U934="",0,O934*IF(U934&gt;1,U934/100,U934)))</f>
        <v/>
      </c>
      <c r="W934" s="11"/>
      <c r="X934" s="18" t="str">
        <f aca="false">IF(W934="","",IFERROR(VLOOKUP(W934,REPS!$A$2:$D$40,3,0),""))</f>
        <v/>
      </c>
      <c r="Y934" s="14" t="str">
        <f aca="false">IF(O934="","",IF(X934="",0,O934*IF(X934&gt;1,X934/100,X934)))</f>
        <v/>
      </c>
      <c r="Z934" s="11"/>
      <c r="AA934" s="18" t="str">
        <f aca="false">IF(Z934="","",IFERROR(VLOOKUP(Z934,REPS!$A$2:$D$40,4,0),""))</f>
        <v/>
      </c>
      <c r="AB934" s="14" t="str">
        <f aca="false">IF(O934="","",IF(AA934="",0,O934*IF(AA934&gt;1,AA934/100,AA934)))</f>
        <v/>
      </c>
      <c r="AC934" s="14" t="str">
        <f aca="false">IF(O934="","",V934+Y934+AB934)</f>
        <v/>
      </c>
      <c r="AD934" s="19" t="str">
        <f aca="false">IF(O934="","",O934-R934-AC934)</f>
        <v/>
      </c>
      <c r="AE934" s="20"/>
      <c r="AF934" s="10"/>
      <c r="AG934" s="21" t="n">
        <f aca="false">IF(OR(AE934="",AE934=0),0,AE934*IF(U934="",0,IF(U934&gt;1,U934/100,U934)))</f>
        <v>0</v>
      </c>
      <c r="AH934" s="21" t="n">
        <f aca="false">IF(OR(AE934="",AE934=0),0,AE934*IF(X934="",0,IF(X934&gt;1,X934/100,X934)))</f>
        <v>0</v>
      </c>
      <c r="AI934" s="21" t="n">
        <f aca="false">IF(OR(AE934="",AE934=0),0,AE934*IF(AA934="",0,IF(AA934&gt;1,AA934/100,AA934)))</f>
        <v>0</v>
      </c>
      <c r="AJ934" s="21" t="n">
        <f aca="false">AG934+AH934+AI934</f>
        <v>0</v>
      </c>
      <c r="AK934" s="21" t="n">
        <f aca="false">IF(OR(AE934="",AE934=0),0,AE934-AJ934)</f>
        <v>0</v>
      </c>
      <c r="AL934" s="19" t="str">
        <f aca="false">IF(AD934="","",AD934-AK934)</f>
        <v/>
      </c>
      <c r="AM934" s="9" t="str">
        <f aca="false">IF(C934="","","Waiting for payment")</f>
        <v/>
      </c>
      <c r="AN934" s="10"/>
      <c r="AO934" s="10"/>
      <c r="AP934" s="22" t="str">
        <f aca="false">IF(OR(C934="",I934="",K934=""),"",IF(K934="Monthly",EDATE(C934,ROUND(I934*SETTINGS!$I$8,0)),WORKDAY(C934,ROUND(I934*SETTINGS!$I$8,0))))</f>
        <v/>
      </c>
      <c r="AQ934" s="9" t="str">
        <f aca="true">IF(C934="","",IF(AND(AP934&lt;&gt;"",TODAY()&gt;=AP934),"Refi Ready",IF(TODAY()-C934&gt;=SETTINGS!$I$11,"Prospecting","Performing")))</f>
        <v/>
      </c>
      <c r="AR934" s="22" t="str">
        <f aca="false">IF(OR(C934="",I934="",K934=""),"",IF(K934="Monthly",EDATE(C934,I934),WORKDAY(C934,I934)))</f>
        <v/>
      </c>
      <c r="AS934" s="11"/>
      <c r="AT934" s="23" t="str">
        <f aca="true">IF(C934="","",IF(AM934="Clawed Back","CLAWED",IF(TODAY()&lt;=C934+SETTINGS!$I$2,"⚠ AT RISK","SAFE")))</f>
        <v/>
      </c>
      <c r="AU934" s="11"/>
      <c r="AW934" s="24" t="n">
        <f aca="false">AW933+IF(AND(C934&lt;&gt;"",AO934&lt;&gt;"",OR('REP COMMISSION'!$B$3="",T934='REP COMMISSION'!$B$3,W934='REP COMMISSION'!$B$3,Z934='REP COMMISSION'!$B$3)),1,0)</f>
        <v>0</v>
      </c>
      <c r="AX934" s="24" t="n">
        <f aca="false">AX933+IF(AND(C934&lt;&gt;"",OR(F934="LOC - INITIAL",F934="CONSOLIDATION - UPFRONT COMM",F934="REVERSE - TOTAL FUNDING")),1,0)</f>
        <v>0</v>
      </c>
    </row>
    <row r="935" customFormat="false" ht="15" hidden="false" customHeight="false" outlineLevel="0" collapsed="false">
      <c r="A935" s="25" t="str">
        <f aca="false">IF(C935&lt;&gt;"","F27-"&amp;COUNT($C$4:C935),"")</f>
        <v/>
      </c>
      <c r="B935" s="26" t="str">
        <f aca="false">IF(OR(F935="LOC - INITIAL",F935="CONSOLIDATION - UPFRONT COMM",F935="REVERSE - TOTAL FUNDING"),A935,"")</f>
        <v/>
      </c>
      <c r="C935" s="27"/>
      <c r="D935" s="28"/>
      <c r="E935" s="28"/>
      <c r="F935" s="28"/>
      <c r="G935" s="29"/>
      <c r="H935" s="30"/>
      <c r="I935" s="28"/>
      <c r="J935" s="31" t="str">
        <f aca="false">IF(AND(G935&lt;&gt;"",H935&lt;&gt;""),G935*H935,"")</f>
        <v/>
      </c>
      <c r="K935" s="28"/>
      <c r="L935" s="32"/>
      <c r="M935" s="32"/>
      <c r="N935" s="31" t="n">
        <f aca="false">IF(OR(G935="",M935=""),0,IF(M935&gt;100,M935,G935*IF(M935&gt;1,M935/100,M935)))</f>
        <v>0</v>
      </c>
      <c r="O935" s="31" t="str">
        <f aca="false">IF(G935="","",G935*IF(L935="",0,IF(L935&gt;1,L935/100,L935))+N935)</f>
        <v/>
      </c>
      <c r="P935" s="28"/>
      <c r="Q935" s="33" t="str">
        <f aca="false">IF(P935="","",IFERROR(VLOOKUP(P935,PARTNERS!$A$2:$B$30,2,0),""))</f>
        <v/>
      </c>
      <c r="R935" s="17" t="str">
        <f aca="false">IF(O935="","",IF(OR(P935="",Q935=""),0,(O935-N935)*IF(Q935&gt;1,Q935/100,Q935)))</f>
        <v/>
      </c>
      <c r="S935" s="31" t="str">
        <f aca="false">IF(O935="","",O935-R935)</f>
        <v/>
      </c>
      <c r="T935" s="28"/>
      <c r="U935" s="34" t="str">
        <f aca="false">IF(T935="","",IFERROR(VLOOKUP(T935,REPS!$A$2:$D$40,2,0),""))</f>
        <v/>
      </c>
      <c r="V935" s="31" t="str">
        <f aca="false">IF(O935="","",IF(U935="",0,O935*IF(U935&gt;1,U935/100,U935)))</f>
        <v/>
      </c>
      <c r="W935" s="28"/>
      <c r="X935" s="34" t="str">
        <f aca="false">IF(W935="","",IFERROR(VLOOKUP(W935,REPS!$A$2:$D$40,3,0),""))</f>
        <v/>
      </c>
      <c r="Y935" s="31" t="str">
        <f aca="false">IF(O935="","",IF(X935="",0,O935*IF(X935&gt;1,X935/100,X935)))</f>
        <v/>
      </c>
      <c r="Z935" s="28"/>
      <c r="AA935" s="34" t="str">
        <f aca="false">IF(Z935="","",IFERROR(VLOOKUP(Z935,REPS!$A$2:$D$40,4,0),""))</f>
        <v/>
      </c>
      <c r="AB935" s="31" t="str">
        <f aca="false">IF(O935="","",IF(AA935="",0,O935*IF(AA935&gt;1,AA935/100,AA935)))</f>
        <v/>
      </c>
      <c r="AC935" s="31" t="str">
        <f aca="false">IF(O935="","",V935+Y935+AB935)</f>
        <v/>
      </c>
      <c r="AD935" s="19" t="str">
        <f aca="false">IF(O935="","",O935-R935-AC935)</f>
        <v/>
      </c>
      <c r="AE935" s="20"/>
      <c r="AF935" s="27"/>
      <c r="AG935" s="21" t="n">
        <f aca="false">IF(OR(AE935="",AE935=0),0,AE935*IF(U935="",0,IF(U935&gt;1,U935/100,U935)))</f>
        <v>0</v>
      </c>
      <c r="AH935" s="21" t="n">
        <f aca="false">IF(OR(AE935="",AE935=0),0,AE935*IF(X935="",0,IF(X935&gt;1,X935/100,X935)))</f>
        <v>0</v>
      </c>
      <c r="AI935" s="21" t="n">
        <f aca="false">IF(OR(AE935="",AE935=0),0,AE935*IF(AA935="",0,IF(AA935&gt;1,AA935/100,AA935)))</f>
        <v>0</v>
      </c>
      <c r="AJ935" s="21" t="n">
        <f aca="false">AG935+AH935+AI935</f>
        <v>0</v>
      </c>
      <c r="AK935" s="21" t="n">
        <f aca="false">IF(OR(AE935="",AE935=0),0,AE935-AJ935)</f>
        <v>0</v>
      </c>
      <c r="AL935" s="19" t="str">
        <f aca="false">IF(AD935="","",AD935-AK935)</f>
        <v/>
      </c>
      <c r="AM935" s="26" t="str">
        <f aca="false">IF(C935="","","Waiting for payment")</f>
        <v/>
      </c>
      <c r="AN935" s="27"/>
      <c r="AO935" s="27"/>
      <c r="AP935" s="35" t="str">
        <f aca="false">IF(OR(C935="",I935="",K935=""),"",IF(K935="Monthly",EDATE(C935,ROUND(I935*SETTINGS!$I$8,0)),WORKDAY(C935,ROUND(I935*SETTINGS!$I$8,0))))</f>
        <v/>
      </c>
      <c r="AQ935" s="26" t="str">
        <f aca="true">IF(C935="","",IF(AND(AP935&lt;&gt;"",TODAY()&gt;=AP935),"Refi Ready",IF(TODAY()-C935&gt;=SETTINGS!$I$11,"Prospecting","Performing")))</f>
        <v/>
      </c>
      <c r="AR935" s="35" t="str">
        <f aca="false">IF(OR(C935="",I935="",K935=""),"",IF(K935="Monthly",EDATE(C935,I935),WORKDAY(C935,I935)))</f>
        <v/>
      </c>
      <c r="AS935" s="28"/>
      <c r="AT935" s="36" t="str">
        <f aca="true">IF(C935="","",IF(AM935="Clawed Back","CLAWED",IF(TODAY()&lt;=C935+SETTINGS!$I$2,"⚠ AT RISK","SAFE")))</f>
        <v/>
      </c>
      <c r="AU935" s="28"/>
      <c r="AW935" s="24" t="n">
        <f aca="false">AW934+IF(AND(C935&lt;&gt;"",AO935&lt;&gt;"",OR('REP COMMISSION'!$B$3="",T935='REP COMMISSION'!$B$3,W935='REP COMMISSION'!$B$3,Z935='REP COMMISSION'!$B$3)),1,0)</f>
        <v>0</v>
      </c>
      <c r="AX935" s="24" t="n">
        <f aca="false">AX934+IF(AND(C935&lt;&gt;"",OR(F935="LOC - INITIAL",F935="CONSOLIDATION - UPFRONT COMM",F935="REVERSE - TOTAL FUNDING")),1,0)</f>
        <v>0</v>
      </c>
    </row>
    <row r="936" customFormat="false" ht="15" hidden="false" customHeight="false" outlineLevel="0" collapsed="false">
      <c r="A936" s="8" t="str">
        <f aca="false">IF(C936&lt;&gt;"","F27-"&amp;COUNT($C$4:C936),"")</f>
        <v/>
      </c>
      <c r="B936" s="9" t="str">
        <f aca="false">IF(OR(F936="LOC - INITIAL",F936="CONSOLIDATION - UPFRONT COMM",F936="REVERSE - TOTAL FUNDING"),A936,"")</f>
        <v/>
      </c>
      <c r="C936" s="10"/>
      <c r="D936" s="11"/>
      <c r="E936" s="11"/>
      <c r="F936" s="11"/>
      <c r="G936" s="12"/>
      <c r="H936" s="13"/>
      <c r="I936" s="11"/>
      <c r="J936" s="14" t="str">
        <f aca="false">IF(AND(G936&lt;&gt;"",H936&lt;&gt;""),G936*H936,"")</f>
        <v/>
      </c>
      <c r="K936" s="11"/>
      <c r="L936" s="15"/>
      <c r="M936" s="15"/>
      <c r="N936" s="14" t="n">
        <f aca="false">IF(OR(G936="",M936=""),0,IF(M936&gt;100,M936,G936*IF(M936&gt;1,M936/100,M936)))</f>
        <v>0</v>
      </c>
      <c r="O936" s="14" t="str">
        <f aca="false">IF(G936="","",G936*IF(L936="",0,IF(L936&gt;1,L936/100,L936))+N936)</f>
        <v/>
      </c>
      <c r="P936" s="11"/>
      <c r="Q936" s="16" t="str">
        <f aca="false">IF(P936="","",IFERROR(VLOOKUP(P936,PARTNERS!$A$2:$B$30,2,0),""))</f>
        <v/>
      </c>
      <c r="R936" s="17" t="str">
        <f aca="false">IF(O936="","",IF(OR(P936="",Q936=""),0,(O936-N936)*IF(Q936&gt;1,Q936/100,Q936)))</f>
        <v/>
      </c>
      <c r="S936" s="14" t="str">
        <f aca="false">IF(O936="","",O936-R936)</f>
        <v/>
      </c>
      <c r="T936" s="11"/>
      <c r="U936" s="18" t="str">
        <f aca="false">IF(T936="","",IFERROR(VLOOKUP(T936,REPS!$A$2:$D$40,2,0),""))</f>
        <v/>
      </c>
      <c r="V936" s="14" t="str">
        <f aca="false">IF(O936="","",IF(U936="",0,O936*IF(U936&gt;1,U936/100,U936)))</f>
        <v/>
      </c>
      <c r="W936" s="11"/>
      <c r="X936" s="18" t="str">
        <f aca="false">IF(W936="","",IFERROR(VLOOKUP(W936,REPS!$A$2:$D$40,3,0),""))</f>
        <v/>
      </c>
      <c r="Y936" s="14" t="str">
        <f aca="false">IF(O936="","",IF(X936="",0,O936*IF(X936&gt;1,X936/100,X936)))</f>
        <v/>
      </c>
      <c r="Z936" s="11"/>
      <c r="AA936" s="18" t="str">
        <f aca="false">IF(Z936="","",IFERROR(VLOOKUP(Z936,REPS!$A$2:$D$40,4,0),""))</f>
        <v/>
      </c>
      <c r="AB936" s="14" t="str">
        <f aca="false">IF(O936="","",IF(AA936="",0,O936*IF(AA936&gt;1,AA936/100,AA936)))</f>
        <v/>
      </c>
      <c r="AC936" s="14" t="str">
        <f aca="false">IF(O936="","",V936+Y936+AB936)</f>
        <v/>
      </c>
      <c r="AD936" s="19" t="str">
        <f aca="false">IF(O936="","",O936-R936-AC936)</f>
        <v/>
      </c>
      <c r="AE936" s="20"/>
      <c r="AF936" s="10"/>
      <c r="AG936" s="21" t="n">
        <f aca="false">IF(OR(AE936="",AE936=0),0,AE936*IF(U936="",0,IF(U936&gt;1,U936/100,U936)))</f>
        <v>0</v>
      </c>
      <c r="AH936" s="21" t="n">
        <f aca="false">IF(OR(AE936="",AE936=0),0,AE936*IF(X936="",0,IF(X936&gt;1,X936/100,X936)))</f>
        <v>0</v>
      </c>
      <c r="AI936" s="21" t="n">
        <f aca="false">IF(OR(AE936="",AE936=0),0,AE936*IF(AA936="",0,IF(AA936&gt;1,AA936/100,AA936)))</f>
        <v>0</v>
      </c>
      <c r="AJ936" s="21" t="n">
        <f aca="false">AG936+AH936+AI936</f>
        <v>0</v>
      </c>
      <c r="AK936" s="21" t="n">
        <f aca="false">IF(OR(AE936="",AE936=0),0,AE936-AJ936)</f>
        <v>0</v>
      </c>
      <c r="AL936" s="19" t="str">
        <f aca="false">IF(AD936="","",AD936-AK936)</f>
        <v/>
      </c>
      <c r="AM936" s="9" t="str">
        <f aca="false">IF(C936="","","Waiting for payment")</f>
        <v/>
      </c>
      <c r="AN936" s="10"/>
      <c r="AO936" s="10"/>
      <c r="AP936" s="22" t="str">
        <f aca="false">IF(OR(C936="",I936="",K936=""),"",IF(K936="Monthly",EDATE(C936,ROUND(I936*SETTINGS!$I$8,0)),WORKDAY(C936,ROUND(I936*SETTINGS!$I$8,0))))</f>
        <v/>
      </c>
      <c r="AQ936" s="9" t="str">
        <f aca="true">IF(C936="","",IF(AND(AP936&lt;&gt;"",TODAY()&gt;=AP936),"Refi Ready",IF(TODAY()-C936&gt;=SETTINGS!$I$11,"Prospecting","Performing")))</f>
        <v/>
      </c>
      <c r="AR936" s="22" t="str">
        <f aca="false">IF(OR(C936="",I936="",K936=""),"",IF(K936="Monthly",EDATE(C936,I936),WORKDAY(C936,I936)))</f>
        <v/>
      </c>
      <c r="AS936" s="11"/>
      <c r="AT936" s="23" t="str">
        <f aca="true">IF(C936="","",IF(AM936="Clawed Back","CLAWED",IF(TODAY()&lt;=C936+SETTINGS!$I$2,"⚠ AT RISK","SAFE")))</f>
        <v/>
      </c>
      <c r="AU936" s="11"/>
      <c r="AW936" s="24" t="n">
        <f aca="false">AW935+IF(AND(C936&lt;&gt;"",AO936&lt;&gt;"",OR('REP COMMISSION'!$B$3="",T936='REP COMMISSION'!$B$3,W936='REP COMMISSION'!$B$3,Z936='REP COMMISSION'!$B$3)),1,0)</f>
        <v>0</v>
      </c>
      <c r="AX936" s="24" t="n">
        <f aca="false">AX935+IF(AND(C936&lt;&gt;"",OR(F936="LOC - INITIAL",F936="CONSOLIDATION - UPFRONT COMM",F936="REVERSE - TOTAL FUNDING")),1,0)</f>
        <v>0</v>
      </c>
    </row>
    <row r="937" customFormat="false" ht="15" hidden="false" customHeight="false" outlineLevel="0" collapsed="false">
      <c r="A937" s="25" t="str">
        <f aca="false">IF(C937&lt;&gt;"","F27-"&amp;COUNT($C$4:C937),"")</f>
        <v/>
      </c>
      <c r="B937" s="26" t="str">
        <f aca="false">IF(OR(F937="LOC - INITIAL",F937="CONSOLIDATION - UPFRONT COMM",F937="REVERSE - TOTAL FUNDING"),A937,"")</f>
        <v/>
      </c>
      <c r="C937" s="27"/>
      <c r="D937" s="28"/>
      <c r="E937" s="28"/>
      <c r="F937" s="28"/>
      <c r="G937" s="29"/>
      <c r="H937" s="30"/>
      <c r="I937" s="28"/>
      <c r="J937" s="31" t="str">
        <f aca="false">IF(AND(G937&lt;&gt;"",H937&lt;&gt;""),G937*H937,"")</f>
        <v/>
      </c>
      <c r="K937" s="28"/>
      <c r="L937" s="32"/>
      <c r="M937" s="32"/>
      <c r="N937" s="31" t="n">
        <f aca="false">IF(OR(G937="",M937=""),0,IF(M937&gt;100,M937,G937*IF(M937&gt;1,M937/100,M937)))</f>
        <v>0</v>
      </c>
      <c r="O937" s="31" t="str">
        <f aca="false">IF(G937="","",G937*IF(L937="",0,IF(L937&gt;1,L937/100,L937))+N937)</f>
        <v/>
      </c>
      <c r="P937" s="28"/>
      <c r="Q937" s="33" t="str">
        <f aca="false">IF(P937="","",IFERROR(VLOOKUP(P937,PARTNERS!$A$2:$B$30,2,0),""))</f>
        <v/>
      </c>
      <c r="R937" s="17" t="str">
        <f aca="false">IF(O937="","",IF(OR(P937="",Q937=""),0,(O937-N937)*IF(Q937&gt;1,Q937/100,Q937)))</f>
        <v/>
      </c>
      <c r="S937" s="31" t="str">
        <f aca="false">IF(O937="","",O937-R937)</f>
        <v/>
      </c>
      <c r="T937" s="28"/>
      <c r="U937" s="34" t="str">
        <f aca="false">IF(T937="","",IFERROR(VLOOKUP(T937,REPS!$A$2:$D$40,2,0),""))</f>
        <v/>
      </c>
      <c r="V937" s="31" t="str">
        <f aca="false">IF(O937="","",IF(U937="",0,O937*IF(U937&gt;1,U937/100,U937)))</f>
        <v/>
      </c>
      <c r="W937" s="28"/>
      <c r="X937" s="34" t="str">
        <f aca="false">IF(W937="","",IFERROR(VLOOKUP(W937,REPS!$A$2:$D$40,3,0),""))</f>
        <v/>
      </c>
      <c r="Y937" s="31" t="str">
        <f aca="false">IF(O937="","",IF(X937="",0,O937*IF(X937&gt;1,X937/100,X937)))</f>
        <v/>
      </c>
      <c r="Z937" s="28"/>
      <c r="AA937" s="34" t="str">
        <f aca="false">IF(Z937="","",IFERROR(VLOOKUP(Z937,REPS!$A$2:$D$40,4,0),""))</f>
        <v/>
      </c>
      <c r="AB937" s="31" t="str">
        <f aca="false">IF(O937="","",IF(AA937="",0,O937*IF(AA937&gt;1,AA937/100,AA937)))</f>
        <v/>
      </c>
      <c r="AC937" s="31" t="str">
        <f aca="false">IF(O937="","",V937+Y937+AB937)</f>
        <v/>
      </c>
      <c r="AD937" s="19" t="str">
        <f aca="false">IF(O937="","",O937-R937-AC937)</f>
        <v/>
      </c>
      <c r="AE937" s="20"/>
      <c r="AF937" s="27"/>
      <c r="AG937" s="21" t="n">
        <f aca="false">IF(OR(AE937="",AE937=0),0,AE937*IF(U937="",0,IF(U937&gt;1,U937/100,U937)))</f>
        <v>0</v>
      </c>
      <c r="AH937" s="21" t="n">
        <f aca="false">IF(OR(AE937="",AE937=0),0,AE937*IF(X937="",0,IF(X937&gt;1,X937/100,X937)))</f>
        <v>0</v>
      </c>
      <c r="AI937" s="21" t="n">
        <f aca="false">IF(OR(AE937="",AE937=0),0,AE937*IF(AA937="",0,IF(AA937&gt;1,AA937/100,AA937)))</f>
        <v>0</v>
      </c>
      <c r="AJ937" s="21" t="n">
        <f aca="false">AG937+AH937+AI937</f>
        <v>0</v>
      </c>
      <c r="AK937" s="21" t="n">
        <f aca="false">IF(OR(AE937="",AE937=0),0,AE937-AJ937)</f>
        <v>0</v>
      </c>
      <c r="AL937" s="19" t="str">
        <f aca="false">IF(AD937="","",AD937-AK937)</f>
        <v/>
      </c>
      <c r="AM937" s="26" t="str">
        <f aca="false">IF(C937="","","Waiting for payment")</f>
        <v/>
      </c>
      <c r="AN937" s="27"/>
      <c r="AO937" s="27"/>
      <c r="AP937" s="35" t="str">
        <f aca="false">IF(OR(C937="",I937="",K937=""),"",IF(K937="Monthly",EDATE(C937,ROUND(I937*SETTINGS!$I$8,0)),WORKDAY(C937,ROUND(I937*SETTINGS!$I$8,0))))</f>
        <v/>
      </c>
      <c r="AQ937" s="26" t="str">
        <f aca="true">IF(C937="","",IF(AND(AP937&lt;&gt;"",TODAY()&gt;=AP937),"Refi Ready",IF(TODAY()-C937&gt;=SETTINGS!$I$11,"Prospecting","Performing")))</f>
        <v/>
      </c>
      <c r="AR937" s="35" t="str">
        <f aca="false">IF(OR(C937="",I937="",K937=""),"",IF(K937="Monthly",EDATE(C937,I937),WORKDAY(C937,I937)))</f>
        <v/>
      </c>
      <c r="AS937" s="28"/>
      <c r="AT937" s="36" t="str">
        <f aca="true">IF(C937="","",IF(AM937="Clawed Back","CLAWED",IF(TODAY()&lt;=C937+SETTINGS!$I$2,"⚠ AT RISK","SAFE")))</f>
        <v/>
      </c>
      <c r="AU937" s="28"/>
      <c r="AW937" s="24" t="n">
        <f aca="false">AW936+IF(AND(C937&lt;&gt;"",AO937&lt;&gt;"",OR('REP COMMISSION'!$B$3="",T937='REP COMMISSION'!$B$3,W937='REP COMMISSION'!$B$3,Z937='REP COMMISSION'!$B$3)),1,0)</f>
        <v>0</v>
      </c>
      <c r="AX937" s="24" t="n">
        <f aca="false">AX936+IF(AND(C937&lt;&gt;"",OR(F937="LOC - INITIAL",F937="CONSOLIDATION - UPFRONT COMM",F937="REVERSE - TOTAL FUNDING")),1,0)</f>
        <v>0</v>
      </c>
    </row>
    <row r="938" customFormat="false" ht="15" hidden="false" customHeight="false" outlineLevel="0" collapsed="false">
      <c r="A938" s="8" t="str">
        <f aca="false">IF(C938&lt;&gt;"","F27-"&amp;COUNT($C$4:C938),"")</f>
        <v/>
      </c>
      <c r="B938" s="9" t="str">
        <f aca="false">IF(OR(F938="LOC - INITIAL",F938="CONSOLIDATION - UPFRONT COMM",F938="REVERSE - TOTAL FUNDING"),A938,"")</f>
        <v/>
      </c>
      <c r="C938" s="10"/>
      <c r="D938" s="11"/>
      <c r="E938" s="11"/>
      <c r="F938" s="11"/>
      <c r="G938" s="12"/>
      <c r="H938" s="13"/>
      <c r="I938" s="11"/>
      <c r="J938" s="14" t="str">
        <f aca="false">IF(AND(G938&lt;&gt;"",H938&lt;&gt;""),G938*H938,"")</f>
        <v/>
      </c>
      <c r="K938" s="11"/>
      <c r="L938" s="15"/>
      <c r="M938" s="15"/>
      <c r="N938" s="14" t="n">
        <f aca="false">IF(OR(G938="",M938=""),0,IF(M938&gt;100,M938,G938*IF(M938&gt;1,M938/100,M938)))</f>
        <v>0</v>
      </c>
      <c r="O938" s="14" t="str">
        <f aca="false">IF(G938="","",G938*IF(L938="",0,IF(L938&gt;1,L938/100,L938))+N938)</f>
        <v/>
      </c>
      <c r="P938" s="11"/>
      <c r="Q938" s="16" t="str">
        <f aca="false">IF(P938="","",IFERROR(VLOOKUP(P938,PARTNERS!$A$2:$B$30,2,0),""))</f>
        <v/>
      </c>
      <c r="R938" s="17" t="str">
        <f aca="false">IF(O938="","",IF(OR(P938="",Q938=""),0,(O938-N938)*IF(Q938&gt;1,Q938/100,Q938)))</f>
        <v/>
      </c>
      <c r="S938" s="14" t="str">
        <f aca="false">IF(O938="","",O938-R938)</f>
        <v/>
      </c>
      <c r="T938" s="11"/>
      <c r="U938" s="18" t="str">
        <f aca="false">IF(T938="","",IFERROR(VLOOKUP(T938,REPS!$A$2:$D$40,2,0),""))</f>
        <v/>
      </c>
      <c r="V938" s="14" t="str">
        <f aca="false">IF(O938="","",IF(U938="",0,O938*IF(U938&gt;1,U938/100,U938)))</f>
        <v/>
      </c>
      <c r="W938" s="11"/>
      <c r="X938" s="18" t="str">
        <f aca="false">IF(W938="","",IFERROR(VLOOKUP(W938,REPS!$A$2:$D$40,3,0),""))</f>
        <v/>
      </c>
      <c r="Y938" s="14" t="str">
        <f aca="false">IF(O938="","",IF(X938="",0,O938*IF(X938&gt;1,X938/100,X938)))</f>
        <v/>
      </c>
      <c r="Z938" s="11"/>
      <c r="AA938" s="18" t="str">
        <f aca="false">IF(Z938="","",IFERROR(VLOOKUP(Z938,REPS!$A$2:$D$40,4,0),""))</f>
        <v/>
      </c>
      <c r="AB938" s="14" t="str">
        <f aca="false">IF(O938="","",IF(AA938="",0,O938*IF(AA938&gt;1,AA938/100,AA938)))</f>
        <v/>
      </c>
      <c r="AC938" s="14" t="str">
        <f aca="false">IF(O938="","",V938+Y938+AB938)</f>
        <v/>
      </c>
      <c r="AD938" s="19" t="str">
        <f aca="false">IF(O938="","",O938-R938-AC938)</f>
        <v/>
      </c>
      <c r="AE938" s="20"/>
      <c r="AF938" s="10"/>
      <c r="AG938" s="21" t="n">
        <f aca="false">IF(OR(AE938="",AE938=0),0,AE938*IF(U938="",0,IF(U938&gt;1,U938/100,U938)))</f>
        <v>0</v>
      </c>
      <c r="AH938" s="21" t="n">
        <f aca="false">IF(OR(AE938="",AE938=0),0,AE938*IF(X938="",0,IF(X938&gt;1,X938/100,X938)))</f>
        <v>0</v>
      </c>
      <c r="AI938" s="21" t="n">
        <f aca="false">IF(OR(AE938="",AE938=0),0,AE938*IF(AA938="",0,IF(AA938&gt;1,AA938/100,AA938)))</f>
        <v>0</v>
      </c>
      <c r="AJ938" s="21" t="n">
        <f aca="false">AG938+AH938+AI938</f>
        <v>0</v>
      </c>
      <c r="AK938" s="21" t="n">
        <f aca="false">IF(OR(AE938="",AE938=0),0,AE938-AJ938)</f>
        <v>0</v>
      </c>
      <c r="AL938" s="19" t="str">
        <f aca="false">IF(AD938="","",AD938-AK938)</f>
        <v/>
      </c>
      <c r="AM938" s="9" t="str">
        <f aca="false">IF(C938="","","Waiting for payment")</f>
        <v/>
      </c>
      <c r="AN938" s="10"/>
      <c r="AO938" s="10"/>
      <c r="AP938" s="22" t="str">
        <f aca="false">IF(OR(C938="",I938="",K938=""),"",IF(K938="Monthly",EDATE(C938,ROUND(I938*SETTINGS!$I$8,0)),WORKDAY(C938,ROUND(I938*SETTINGS!$I$8,0))))</f>
        <v/>
      </c>
      <c r="AQ938" s="9" t="str">
        <f aca="true">IF(C938="","",IF(AND(AP938&lt;&gt;"",TODAY()&gt;=AP938),"Refi Ready",IF(TODAY()-C938&gt;=SETTINGS!$I$11,"Prospecting","Performing")))</f>
        <v/>
      </c>
      <c r="AR938" s="22" t="str">
        <f aca="false">IF(OR(C938="",I938="",K938=""),"",IF(K938="Monthly",EDATE(C938,I938),WORKDAY(C938,I938)))</f>
        <v/>
      </c>
      <c r="AS938" s="11"/>
      <c r="AT938" s="23" t="str">
        <f aca="true">IF(C938="","",IF(AM938="Clawed Back","CLAWED",IF(TODAY()&lt;=C938+SETTINGS!$I$2,"⚠ AT RISK","SAFE")))</f>
        <v/>
      </c>
      <c r="AU938" s="11"/>
      <c r="AW938" s="24" t="n">
        <f aca="false">AW937+IF(AND(C938&lt;&gt;"",AO938&lt;&gt;"",OR('REP COMMISSION'!$B$3="",T938='REP COMMISSION'!$B$3,W938='REP COMMISSION'!$B$3,Z938='REP COMMISSION'!$B$3)),1,0)</f>
        <v>0</v>
      </c>
      <c r="AX938" s="24" t="n">
        <f aca="false">AX937+IF(AND(C938&lt;&gt;"",OR(F938="LOC - INITIAL",F938="CONSOLIDATION - UPFRONT COMM",F938="REVERSE - TOTAL FUNDING")),1,0)</f>
        <v>0</v>
      </c>
    </row>
    <row r="939" customFormat="false" ht="15" hidden="false" customHeight="false" outlineLevel="0" collapsed="false">
      <c r="A939" s="25" t="str">
        <f aca="false">IF(C939&lt;&gt;"","F27-"&amp;COUNT($C$4:C939),"")</f>
        <v/>
      </c>
      <c r="B939" s="26" t="str">
        <f aca="false">IF(OR(F939="LOC - INITIAL",F939="CONSOLIDATION - UPFRONT COMM",F939="REVERSE - TOTAL FUNDING"),A939,"")</f>
        <v/>
      </c>
      <c r="C939" s="27"/>
      <c r="D939" s="28"/>
      <c r="E939" s="28"/>
      <c r="F939" s="28"/>
      <c r="G939" s="29"/>
      <c r="H939" s="30"/>
      <c r="I939" s="28"/>
      <c r="J939" s="31" t="str">
        <f aca="false">IF(AND(G939&lt;&gt;"",H939&lt;&gt;""),G939*H939,"")</f>
        <v/>
      </c>
      <c r="K939" s="28"/>
      <c r="L939" s="32"/>
      <c r="M939" s="32"/>
      <c r="N939" s="31" t="n">
        <f aca="false">IF(OR(G939="",M939=""),0,IF(M939&gt;100,M939,G939*IF(M939&gt;1,M939/100,M939)))</f>
        <v>0</v>
      </c>
      <c r="O939" s="31" t="str">
        <f aca="false">IF(G939="","",G939*IF(L939="",0,IF(L939&gt;1,L939/100,L939))+N939)</f>
        <v/>
      </c>
      <c r="P939" s="28"/>
      <c r="Q939" s="33" t="str">
        <f aca="false">IF(P939="","",IFERROR(VLOOKUP(P939,PARTNERS!$A$2:$B$30,2,0),""))</f>
        <v/>
      </c>
      <c r="R939" s="17" t="str">
        <f aca="false">IF(O939="","",IF(OR(P939="",Q939=""),0,(O939-N939)*IF(Q939&gt;1,Q939/100,Q939)))</f>
        <v/>
      </c>
      <c r="S939" s="31" t="str">
        <f aca="false">IF(O939="","",O939-R939)</f>
        <v/>
      </c>
      <c r="T939" s="28"/>
      <c r="U939" s="34" t="str">
        <f aca="false">IF(T939="","",IFERROR(VLOOKUP(T939,REPS!$A$2:$D$40,2,0),""))</f>
        <v/>
      </c>
      <c r="V939" s="31" t="str">
        <f aca="false">IF(O939="","",IF(U939="",0,O939*IF(U939&gt;1,U939/100,U939)))</f>
        <v/>
      </c>
      <c r="W939" s="28"/>
      <c r="X939" s="34" t="str">
        <f aca="false">IF(W939="","",IFERROR(VLOOKUP(W939,REPS!$A$2:$D$40,3,0),""))</f>
        <v/>
      </c>
      <c r="Y939" s="31" t="str">
        <f aca="false">IF(O939="","",IF(X939="",0,O939*IF(X939&gt;1,X939/100,X939)))</f>
        <v/>
      </c>
      <c r="Z939" s="28"/>
      <c r="AA939" s="34" t="str">
        <f aca="false">IF(Z939="","",IFERROR(VLOOKUP(Z939,REPS!$A$2:$D$40,4,0),""))</f>
        <v/>
      </c>
      <c r="AB939" s="31" t="str">
        <f aca="false">IF(O939="","",IF(AA939="",0,O939*IF(AA939&gt;1,AA939/100,AA939)))</f>
        <v/>
      </c>
      <c r="AC939" s="31" t="str">
        <f aca="false">IF(O939="","",V939+Y939+AB939)</f>
        <v/>
      </c>
      <c r="AD939" s="19" t="str">
        <f aca="false">IF(O939="","",O939-R939-AC939)</f>
        <v/>
      </c>
      <c r="AE939" s="20"/>
      <c r="AF939" s="27"/>
      <c r="AG939" s="21" t="n">
        <f aca="false">IF(OR(AE939="",AE939=0),0,AE939*IF(U939="",0,IF(U939&gt;1,U939/100,U939)))</f>
        <v>0</v>
      </c>
      <c r="AH939" s="21" t="n">
        <f aca="false">IF(OR(AE939="",AE939=0),0,AE939*IF(X939="",0,IF(X939&gt;1,X939/100,X939)))</f>
        <v>0</v>
      </c>
      <c r="AI939" s="21" t="n">
        <f aca="false">IF(OR(AE939="",AE939=0),0,AE939*IF(AA939="",0,IF(AA939&gt;1,AA939/100,AA939)))</f>
        <v>0</v>
      </c>
      <c r="AJ939" s="21" t="n">
        <f aca="false">AG939+AH939+AI939</f>
        <v>0</v>
      </c>
      <c r="AK939" s="21" t="n">
        <f aca="false">IF(OR(AE939="",AE939=0),0,AE939-AJ939)</f>
        <v>0</v>
      </c>
      <c r="AL939" s="19" t="str">
        <f aca="false">IF(AD939="","",AD939-AK939)</f>
        <v/>
      </c>
      <c r="AM939" s="26" t="str">
        <f aca="false">IF(C939="","","Waiting for payment")</f>
        <v/>
      </c>
      <c r="AN939" s="27"/>
      <c r="AO939" s="27"/>
      <c r="AP939" s="35" t="str">
        <f aca="false">IF(OR(C939="",I939="",K939=""),"",IF(K939="Monthly",EDATE(C939,ROUND(I939*SETTINGS!$I$8,0)),WORKDAY(C939,ROUND(I939*SETTINGS!$I$8,0))))</f>
        <v/>
      </c>
      <c r="AQ939" s="26" t="str">
        <f aca="true">IF(C939="","",IF(AND(AP939&lt;&gt;"",TODAY()&gt;=AP939),"Refi Ready",IF(TODAY()-C939&gt;=SETTINGS!$I$11,"Prospecting","Performing")))</f>
        <v/>
      </c>
      <c r="AR939" s="35" t="str">
        <f aca="false">IF(OR(C939="",I939="",K939=""),"",IF(K939="Monthly",EDATE(C939,I939),WORKDAY(C939,I939)))</f>
        <v/>
      </c>
      <c r="AS939" s="28"/>
      <c r="AT939" s="36" t="str">
        <f aca="true">IF(C939="","",IF(AM939="Clawed Back","CLAWED",IF(TODAY()&lt;=C939+SETTINGS!$I$2,"⚠ AT RISK","SAFE")))</f>
        <v/>
      </c>
      <c r="AU939" s="28"/>
      <c r="AW939" s="24" t="n">
        <f aca="false">AW938+IF(AND(C939&lt;&gt;"",AO939&lt;&gt;"",OR('REP COMMISSION'!$B$3="",T939='REP COMMISSION'!$B$3,W939='REP COMMISSION'!$B$3,Z939='REP COMMISSION'!$B$3)),1,0)</f>
        <v>0</v>
      </c>
      <c r="AX939" s="24" t="n">
        <f aca="false">AX938+IF(AND(C939&lt;&gt;"",OR(F939="LOC - INITIAL",F939="CONSOLIDATION - UPFRONT COMM",F939="REVERSE - TOTAL FUNDING")),1,0)</f>
        <v>0</v>
      </c>
    </row>
    <row r="940" customFormat="false" ht="15" hidden="false" customHeight="false" outlineLevel="0" collapsed="false">
      <c r="A940" s="8" t="str">
        <f aca="false">IF(C940&lt;&gt;"","F27-"&amp;COUNT($C$4:C940),"")</f>
        <v/>
      </c>
      <c r="B940" s="9" t="str">
        <f aca="false">IF(OR(F940="LOC - INITIAL",F940="CONSOLIDATION - UPFRONT COMM",F940="REVERSE - TOTAL FUNDING"),A940,"")</f>
        <v/>
      </c>
      <c r="C940" s="10"/>
      <c r="D940" s="11"/>
      <c r="E940" s="11"/>
      <c r="F940" s="11"/>
      <c r="G940" s="12"/>
      <c r="H940" s="13"/>
      <c r="I940" s="11"/>
      <c r="J940" s="14" t="str">
        <f aca="false">IF(AND(G940&lt;&gt;"",H940&lt;&gt;""),G940*H940,"")</f>
        <v/>
      </c>
      <c r="K940" s="11"/>
      <c r="L940" s="15"/>
      <c r="M940" s="15"/>
      <c r="N940" s="14" t="n">
        <f aca="false">IF(OR(G940="",M940=""),0,IF(M940&gt;100,M940,G940*IF(M940&gt;1,M940/100,M940)))</f>
        <v>0</v>
      </c>
      <c r="O940" s="14" t="str">
        <f aca="false">IF(G940="","",G940*IF(L940="",0,IF(L940&gt;1,L940/100,L940))+N940)</f>
        <v/>
      </c>
      <c r="P940" s="11"/>
      <c r="Q940" s="16" t="str">
        <f aca="false">IF(P940="","",IFERROR(VLOOKUP(P940,PARTNERS!$A$2:$B$30,2,0),""))</f>
        <v/>
      </c>
      <c r="R940" s="17" t="str">
        <f aca="false">IF(O940="","",IF(OR(P940="",Q940=""),0,(O940-N940)*IF(Q940&gt;1,Q940/100,Q940)))</f>
        <v/>
      </c>
      <c r="S940" s="14" t="str">
        <f aca="false">IF(O940="","",O940-R940)</f>
        <v/>
      </c>
      <c r="T940" s="11"/>
      <c r="U940" s="18" t="str">
        <f aca="false">IF(T940="","",IFERROR(VLOOKUP(T940,REPS!$A$2:$D$40,2,0),""))</f>
        <v/>
      </c>
      <c r="V940" s="14" t="str">
        <f aca="false">IF(O940="","",IF(U940="",0,O940*IF(U940&gt;1,U940/100,U940)))</f>
        <v/>
      </c>
      <c r="W940" s="11"/>
      <c r="X940" s="18" t="str">
        <f aca="false">IF(W940="","",IFERROR(VLOOKUP(W940,REPS!$A$2:$D$40,3,0),""))</f>
        <v/>
      </c>
      <c r="Y940" s="14" t="str">
        <f aca="false">IF(O940="","",IF(X940="",0,O940*IF(X940&gt;1,X940/100,X940)))</f>
        <v/>
      </c>
      <c r="Z940" s="11"/>
      <c r="AA940" s="18" t="str">
        <f aca="false">IF(Z940="","",IFERROR(VLOOKUP(Z940,REPS!$A$2:$D$40,4,0),""))</f>
        <v/>
      </c>
      <c r="AB940" s="14" t="str">
        <f aca="false">IF(O940="","",IF(AA940="",0,O940*IF(AA940&gt;1,AA940/100,AA940)))</f>
        <v/>
      </c>
      <c r="AC940" s="14" t="str">
        <f aca="false">IF(O940="","",V940+Y940+AB940)</f>
        <v/>
      </c>
      <c r="AD940" s="19" t="str">
        <f aca="false">IF(O940="","",O940-R940-AC940)</f>
        <v/>
      </c>
      <c r="AE940" s="20"/>
      <c r="AF940" s="10"/>
      <c r="AG940" s="21" t="n">
        <f aca="false">IF(OR(AE940="",AE940=0),0,AE940*IF(U940="",0,IF(U940&gt;1,U940/100,U940)))</f>
        <v>0</v>
      </c>
      <c r="AH940" s="21" t="n">
        <f aca="false">IF(OR(AE940="",AE940=0),0,AE940*IF(X940="",0,IF(X940&gt;1,X940/100,X940)))</f>
        <v>0</v>
      </c>
      <c r="AI940" s="21" t="n">
        <f aca="false">IF(OR(AE940="",AE940=0),0,AE940*IF(AA940="",0,IF(AA940&gt;1,AA940/100,AA940)))</f>
        <v>0</v>
      </c>
      <c r="AJ940" s="21" t="n">
        <f aca="false">AG940+AH940+AI940</f>
        <v>0</v>
      </c>
      <c r="AK940" s="21" t="n">
        <f aca="false">IF(OR(AE940="",AE940=0),0,AE940-AJ940)</f>
        <v>0</v>
      </c>
      <c r="AL940" s="19" t="str">
        <f aca="false">IF(AD940="","",AD940-AK940)</f>
        <v/>
      </c>
      <c r="AM940" s="9" t="str">
        <f aca="false">IF(C940="","","Waiting for payment")</f>
        <v/>
      </c>
      <c r="AN940" s="10"/>
      <c r="AO940" s="10"/>
      <c r="AP940" s="22" t="str">
        <f aca="false">IF(OR(C940="",I940="",K940=""),"",IF(K940="Monthly",EDATE(C940,ROUND(I940*SETTINGS!$I$8,0)),WORKDAY(C940,ROUND(I940*SETTINGS!$I$8,0))))</f>
        <v/>
      </c>
      <c r="AQ940" s="9" t="str">
        <f aca="true">IF(C940="","",IF(AND(AP940&lt;&gt;"",TODAY()&gt;=AP940),"Refi Ready",IF(TODAY()-C940&gt;=SETTINGS!$I$11,"Prospecting","Performing")))</f>
        <v/>
      </c>
      <c r="AR940" s="22" t="str">
        <f aca="false">IF(OR(C940="",I940="",K940=""),"",IF(K940="Monthly",EDATE(C940,I940),WORKDAY(C940,I940)))</f>
        <v/>
      </c>
      <c r="AS940" s="11"/>
      <c r="AT940" s="23" t="str">
        <f aca="true">IF(C940="","",IF(AM940="Clawed Back","CLAWED",IF(TODAY()&lt;=C940+SETTINGS!$I$2,"⚠ AT RISK","SAFE")))</f>
        <v/>
      </c>
      <c r="AU940" s="11"/>
      <c r="AW940" s="24" t="n">
        <f aca="false">AW939+IF(AND(C940&lt;&gt;"",AO940&lt;&gt;"",OR('REP COMMISSION'!$B$3="",T940='REP COMMISSION'!$B$3,W940='REP COMMISSION'!$B$3,Z940='REP COMMISSION'!$B$3)),1,0)</f>
        <v>0</v>
      </c>
      <c r="AX940" s="24" t="n">
        <f aca="false">AX939+IF(AND(C940&lt;&gt;"",OR(F940="LOC - INITIAL",F940="CONSOLIDATION - UPFRONT COMM",F940="REVERSE - TOTAL FUNDING")),1,0)</f>
        <v>0</v>
      </c>
    </row>
    <row r="941" customFormat="false" ht="15" hidden="false" customHeight="false" outlineLevel="0" collapsed="false">
      <c r="A941" s="25" t="str">
        <f aca="false">IF(C941&lt;&gt;"","F27-"&amp;COUNT($C$4:C941),"")</f>
        <v/>
      </c>
      <c r="B941" s="26" t="str">
        <f aca="false">IF(OR(F941="LOC - INITIAL",F941="CONSOLIDATION - UPFRONT COMM",F941="REVERSE - TOTAL FUNDING"),A941,"")</f>
        <v/>
      </c>
      <c r="C941" s="27"/>
      <c r="D941" s="28"/>
      <c r="E941" s="28"/>
      <c r="F941" s="28"/>
      <c r="G941" s="29"/>
      <c r="H941" s="30"/>
      <c r="I941" s="28"/>
      <c r="J941" s="31" t="str">
        <f aca="false">IF(AND(G941&lt;&gt;"",H941&lt;&gt;""),G941*H941,"")</f>
        <v/>
      </c>
      <c r="K941" s="28"/>
      <c r="L941" s="32"/>
      <c r="M941" s="32"/>
      <c r="N941" s="31" t="n">
        <f aca="false">IF(OR(G941="",M941=""),0,IF(M941&gt;100,M941,G941*IF(M941&gt;1,M941/100,M941)))</f>
        <v>0</v>
      </c>
      <c r="O941" s="31" t="str">
        <f aca="false">IF(G941="","",G941*IF(L941="",0,IF(L941&gt;1,L941/100,L941))+N941)</f>
        <v/>
      </c>
      <c r="P941" s="28"/>
      <c r="Q941" s="33" t="str">
        <f aca="false">IF(P941="","",IFERROR(VLOOKUP(P941,PARTNERS!$A$2:$B$30,2,0),""))</f>
        <v/>
      </c>
      <c r="R941" s="17" t="str">
        <f aca="false">IF(O941="","",IF(OR(P941="",Q941=""),0,(O941-N941)*IF(Q941&gt;1,Q941/100,Q941)))</f>
        <v/>
      </c>
      <c r="S941" s="31" t="str">
        <f aca="false">IF(O941="","",O941-R941)</f>
        <v/>
      </c>
      <c r="T941" s="28"/>
      <c r="U941" s="34" t="str">
        <f aca="false">IF(T941="","",IFERROR(VLOOKUP(T941,REPS!$A$2:$D$40,2,0),""))</f>
        <v/>
      </c>
      <c r="V941" s="31" t="str">
        <f aca="false">IF(O941="","",IF(U941="",0,O941*IF(U941&gt;1,U941/100,U941)))</f>
        <v/>
      </c>
      <c r="W941" s="28"/>
      <c r="X941" s="34" t="str">
        <f aca="false">IF(W941="","",IFERROR(VLOOKUP(W941,REPS!$A$2:$D$40,3,0),""))</f>
        <v/>
      </c>
      <c r="Y941" s="31" t="str">
        <f aca="false">IF(O941="","",IF(X941="",0,O941*IF(X941&gt;1,X941/100,X941)))</f>
        <v/>
      </c>
      <c r="Z941" s="28"/>
      <c r="AA941" s="34" t="str">
        <f aca="false">IF(Z941="","",IFERROR(VLOOKUP(Z941,REPS!$A$2:$D$40,4,0),""))</f>
        <v/>
      </c>
      <c r="AB941" s="31" t="str">
        <f aca="false">IF(O941="","",IF(AA941="",0,O941*IF(AA941&gt;1,AA941/100,AA941)))</f>
        <v/>
      </c>
      <c r="AC941" s="31" t="str">
        <f aca="false">IF(O941="","",V941+Y941+AB941)</f>
        <v/>
      </c>
      <c r="AD941" s="19" t="str">
        <f aca="false">IF(O941="","",O941-R941-AC941)</f>
        <v/>
      </c>
      <c r="AE941" s="20"/>
      <c r="AF941" s="27"/>
      <c r="AG941" s="21" t="n">
        <f aca="false">IF(OR(AE941="",AE941=0),0,AE941*IF(U941="",0,IF(U941&gt;1,U941/100,U941)))</f>
        <v>0</v>
      </c>
      <c r="AH941" s="21" t="n">
        <f aca="false">IF(OR(AE941="",AE941=0),0,AE941*IF(X941="",0,IF(X941&gt;1,X941/100,X941)))</f>
        <v>0</v>
      </c>
      <c r="AI941" s="21" t="n">
        <f aca="false">IF(OR(AE941="",AE941=0),0,AE941*IF(AA941="",0,IF(AA941&gt;1,AA941/100,AA941)))</f>
        <v>0</v>
      </c>
      <c r="AJ941" s="21" t="n">
        <f aca="false">AG941+AH941+AI941</f>
        <v>0</v>
      </c>
      <c r="AK941" s="21" t="n">
        <f aca="false">IF(OR(AE941="",AE941=0),0,AE941-AJ941)</f>
        <v>0</v>
      </c>
      <c r="AL941" s="19" t="str">
        <f aca="false">IF(AD941="","",AD941-AK941)</f>
        <v/>
      </c>
      <c r="AM941" s="26" t="str">
        <f aca="false">IF(C941="","","Waiting for payment")</f>
        <v/>
      </c>
      <c r="AN941" s="27"/>
      <c r="AO941" s="27"/>
      <c r="AP941" s="35" t="str">
        <f aca="false">IF(OR(C941="",I941="",K941=""),"",IF(K941="Monthly",EDATE(C941,ROUND(I941*SETTINGS!$I$8,0)),WORKDAY(C941,ROUND(I941*SETTINGS!$I$8,0))))</f>
        <v/>
      </c>
      <c r="AQ941" s="26" t="str">
        <f aca="true">IF(C941="","",IF(AND(AP941&lt;&gt;"",TODAY()&gt;=AP941),"Refi Ready",IF(TODAY()-C941&gt;=SETTINGS!$I$11,"Prospecting","Performing")))</f>
        <v/>
      </c>
      <c r="AR941" s="35" t="str">
        <f aca="false">IF(OR(C941="",I941="",K941=""),"",IF(K941="Monthly",EDATE(C941,I941),WORKDAY(C941,I941)))</f>
        <v/>
      </c>
      <c r="AS941" s="28"/>
      <c r="AT941" s="36" t="str">
        <f aca="true">IF(C941="","",IF(AM941="Clawed Back","CLAWED",IF(TODAY()&lt;=C941+SETTINGS!$I$2,"⚠ AT RISK","SAFE")))</f>
        <v/>
      </c>
      <c r="AU941" s="28"/>
      <c r="AW941" s="24" t="n">
        <f aca="false">AW940+IF(AND(C941&lt;&gt;"",AO941&lt;&gt;"",OR('REP COMMISSION'!$B$3="",T941='REP COMMISSION'!$B$3,W941='REP COMMISSION'!$B$3,Z941='REP COMMISSION'!$B$3)),1,0)</f>
        <v>0</v>
      </c>
      <c r="AX941" s="24" t="n">
        <f aca="false">AX940+IF(AND(C941&lt;&gt;"",OR(F941="LOC - INITIAL",F941="CONSOLIDATION - UPFRONT COMM",F941="REVERSE - TOTAL FUNDING")),1,0)</f>
        <v>0</v>
      </c>
    </row>
    <row r="942" customFormat="false" ht="15" hidden="false" customHeight="false" outlineLevel="0" collapsed="false">
      <c r="A942" s="8" t="str">
        <f aca="false">IF(C942&lt;&gt;"","F27-"&amp;COUNT($C$4:C942),"")</f>
        <v/>
      </c>
      <c r="B942" s="9" t="str">
        <f aca="false">IF(OR(F942="LOC - INITIAL",F942="CONSOLIDATION - UPFRONT COMM",F942="REVERSE - TOTAL FUNDING"),A942,"")</f>
        <v/>
      </c>
      <c r="C942" s="10"/>
      <c r="D942" s="11"/>
      <c r="E942" s="11"/>
      <c r="F942" s="11"/>
      <c r="G942" s="12"/>
      <c r="H942" s="13"/>
      <c r="I942" s="11"/>
      <c r="J942" s="14" t="str">
        <f aca="false">IF(AND(G942&lt;&gt;"",H942&lt;&gt;""),G942*H942,"")</f>
        <v/>
      </c>
      <c r="K942" s="11"/>
      <c r="L942" s="15"/>
      <c r="M942" s="15"/>
      <c r="N942" s="14" t="n">
        <f aca="false">IF(OR(G942="",M942=""),0,IF(M942&gt;100,M942,G942*IF(M942&gt;1,M942/100,M942)))</f>
        <v>0</v>
      </c>
      <c r="O942" s="14" t="str">
        <f aca="false">IF(G942="","",G942*IF(L942="",0,IF(L942&gt;1,L942/100,L942))+N942)</f>
        <v/>
      </c>
      <c r="P942" s="11"/>
      <c r="Q942" s="16" t="str">
        <f aca="false">IF(P942="","",IFERROR(VLOOKUP(P942,PARTNERS!$A$2:$B$30,2,0),""))</f>
        <v/>
      </c>
      <c r="R942" s="17" t="str">
        <f aca="false">IF(O942="","",IF(OR(P942="",Q942=""),0,(O942-N942)*IF(Q942&gt;1,Q942/100,Q942)))</f>
        <v/>
      </c>
      <c r="S942" s="14" t="str">
        <f aca="false">IF(O942="","",O942-R942)</f>
        <v/>
      </c>
      <c r="T942" s="11"/>
      <c r="U942" s="18" t="str">
        <f aca="false">IF(T942="","",IFERROR(VLOOKUP(T942,REPS!$A$2:$D$40,2,0),""))</f>
        <v/>
      </c>
      <c r="V942" s="14" t="str">
        <f aca="false">IF(O942="","",IF(U942="",0,O942*IF(U942&gt;1,U942/100,U942)))</f>
        <v/>
      </c>
      <c r="W942" s="11"/>
      <c r="X942" s="18" t="str">
        <f aca="false">IF(W942="","",IFERROR(VLOOKUP(W942,REPS!$A$2:$D$40,3,0),""))</f>
        <v/>
      </c>
      <c r="Y942" s="14" t="str">
        <f aca="false">IF(O942="","",IF(X942="",0,O942*IF(X942&gt;1,X942/100,X942)))</f>
        <v/>
      </c>
      <c r="Z942" s="11"/>
      <c r="AA942" s="18" t="str">
        <f aca="false">IF(Z942="","",IFERROR(VLOOKUP(Z942,REPS!$A$2:$D$40,4,0),""))</f>
        <v/>
      </c>
      <c r="AB942" s="14" t="str">
        <f aca="false">IF(O942="","",IF(AA942="",0,O942*IF(AA942&gt;1,AA942/100,AA942)))</f>
        <v/>
      </c>
      <c r="AC942" s="14" t="str">
        <f aca="false">IF(O942="","",V942+Y942+AB942)</f>
        <v/>
      </c>
      <c r="AD942" s="19" t="str">
        <f aca="false">IF(O942="","",O942-R942-AC942)</f>
        <v/>
      </c>
      <c r="AE942" s="20"/>
      <c r="AF942" s="10"/>
      <c r="AG942" s="21" t="n">
        <f aca="false">IF(OR(AE942="",AE942=0),0,AE942*IF(U942="",0,IF(U942&gt;1,U942/100,U942)))</f>
        <v>0</v>
      </c>
      <c r="AH942" s="21" t="n">
        <f aca="false">IF(OR(AE942="",AE942=0),0,AE942*IF(X942="",0,IF(X942&gt;1,X942/100,X942)))</f>
        <v>0</v>
      </c>
      <c r="AI942" s="21" t="n">
        <f aca="false">IF(OR(AE942="",AE942=0),0,AE942*IF(AA942="",0,IF(AA942&gt;1,AA942/100,AA942)))</f>
        <v>0</v>
      </c>
      <c r="AJ942" s="21" t="n">
        <f aca="false">AG942+AH942+AI942</f>
        <v>0</v>
      </c>
      <c r="AK942" s="21" t="n">
        <f aca="false">IF(OR(AE942="",AE942=0),0,AE942-AJ942)</f>
        <v>0</v>
      </c>
      <c r="AL942" s="19" t="str">
        <f aca="false">IF(AD942="","",AD942-AK942)</f>
        <v/>
      </c>
      <c r="AM942" s="9" t="str">
        <f aca="false">IF(C942="","","Waiting for payment")</f>
        <v/>
      </c>
      <c r="AN942" s="10"/>
      <c r="AO942" s="10"/>
      <c r="AP942" s="22" t="str">
        <f aca="false">IF(OR(C942="",I942="",K942=""),"",IF(K942="Monthly",EDATE(C942,ROUND(I942*SETTINGS!$I$8,0)),WORKDAY(C942,ROUND(I942*SETTINGS!$I$8,0))))</f>
        <v/>
      </c>
      <c r="AQ942" s="9" t="str">
        <f aca="true">IF(C942="","",IF(AND(AP942&lt;&gt;"",TODAY()&gt;=AP942),"Refi Ready",IF(TODAY()-C942&gt;=SETTINGS!$I$11,"Prospecting","Performing")))</f>
        <v/>
      </c>
      <c r="AR942" s="22" t="str">
        <f aca="false">IF(OR(C942="",I942="",K942=""),"",IF(K942="Monthly",EDATE(C942,I942),WORKDAY(C942,I942)))</f>
        <v/>
      </c>
      <c r="AS942" s="11"/>
      <c r="AT942" s="23" t="str">
        <f aca="true">IF(C942="","",IF(AM942="Clawed Back","CLAWED",IF(TODAY()&lt;=C942+SETTINGS!$I$2,"⚠ AT RISK","SAFE")))</f>
        <v/>
      </c>
      <c r="AU942" s="11"/>
      <c r="AW942" s="24" t="n">
        <f aca="false">AW941+IF(AND(C942&lt;&gt;"",AO942&lt;&gt;"",OR('REP COMMISSION'!$B$3="",T942='REP COMMISSION'!$B$3,W942='REP COMMISSION'!$B$3,Z942='REP COMMISSION'!$B$3)),1,0)</f>
        <v>0</v>
      </c>
      <c r="AX942" s="24" t="n">
        <f aca="false">AX941+IF(AND(C942&lt;&gt;"",OR(F942="LOC - INITIAL",F942="CONSOLIDATION - UPFRONT COMM",F942="REVERSE - TOTAL FUNDING")),1,0)</f>
        <v>0</v>
      </c>
    </row>
    <row r="943" customFormat="false" ht="15" hidden="false" customHeight="false" outlineLevel="0" collapsed="false">
      <c r="A943" s="25" t="str">
        <f aca="false">IF(C943&lt;&gt;"","F27-"&amp;COUNT($C$4:C943),"")</f>
        <v/>
      </c>
      <c r="B943" s="26" t="str">
        <f aca="false">IF(OR(F943="LOC - INITIAL",F943="CONSOLIDATION - UPFRONT COMM",F943="REVERSE - TOTAL FUNDING"),A943,"")</f>
        <v/>
      </c>
      <c r="C943" s="27"/>
      <c r="D943" s="28"/>
      <c r="E943" s="28"/>
      <c r="F943" s="28"/>
      <c r="G943" s="29"/>
      <c r="H943" s="30"/>
      <c r="I943" s="28"/>
      <c r="J943" s="31" t="str">
        <f aca="false">IF(AND(G943&lt;&gt;"",H943&lt;&gt;""),G943*H943,"")</f>
        <v/>
      </c>
      <c r="K943" s="28"/>
      <c r="L943" s="32"/>
      <c r="M943" s="32"/>
      <c r="N943" s="31" t="n">
        <f aca="false">IF(OR(G943="",M943=""),0,IF(M943&gt;100,M943,G943*IF(M943&gt;1,M943/100,M943)))</f>
        <v>0</v>
      </c>
      <c r="O943" s="31" t="str">
        <f aca="false">IF(G943="","",G943*IF(L943="",0,IF(L943&gt;1,L943/100,L943))+N943)</f>
        <v/>
      </c>
      <c r="P943" s="28"/>
      <c r="Q943" s="33" t="str">
        <f aca="false">IF(P943="","",IFERROR(VLOOKUP(P943,PARTNERS!$A$2:$B$30,2,0),""))</f>
        <v/>
      </c>
      <c r="R943" s="17" t="str">
        <f aca="false">IF(O943="","",IF(OR(P943="",Q943=""),0,(O943-N943)*IF(Q943&gt;1,Q943/100,Q943)))</f>
        <v/>
      </c>
      <c r="S943" s="31" t="str">
        <f aca="false">IF(O943="","",O943-R943)</f>
        <v/>
      </c>
      <c r="T943" s="28"/>
      <c r="U943" s="34" t="str">
        <f aca="false">IF(T943="","",IFERROR(VLOOKUP(T943,REPS!$A$2:$D$40,2,0),""))</f>
        <v/>
      </c>
      <c r="V943" s="31" t="str">
        <f aca="false">IF(O943="","",IF(U943="",0,O943*IF(U943&gt;1,U943/100,U943)))</f>
        <v/>
      </c>
      <c r="W943" s="28"/>
      <c r="X943" s="34" t="str">
        <f aca="false">IF(W943="","",IFERROR(VLOOKUP(W943,REPS!$A$2:$D$40,3,0),""))</f>
        <v/>
      </c>
      <c r="Y943" s="31" t="str">
        <f aca="false">IF(O943="","",IF(X943="",0,O943*IF(X943&gt;1,X943/100,X943)))</f>
        <v/>
      </c>
      <c r="Z943" s="28"/>
      <c r="AA943" s="34" t="str">
        <f aca="false">IF(Z943="","",IFERROR(VLOOKUP(Z943,REPS!$A$2:$D$40,4,0),""))</f>
        <v/>
      </c>
      <c r="AB943" s="31" t="str">
        <f aca="false">IF(O943="","",IF(AA943="",0,O943*IF(AA943&gt;1,AA943/100,AA943)))</f>
        <v/>
      </c>
      <c r="AC943" s="31" t="str">
        <f aca="false">IF(O943="","",V943+Y943+AB943)</f>
        <v/>
      </c>
      <c r="AD943" s="19" t="str">
        <f aca="false">IF(O943="","",O943-R943-AC943)</f>
        <v/>
      </c>
      <c r="AE943" s="20"/>
      <c r="AF943" s="27"/>
      <c r="AG943" s="21" t="n">
        <f aca="false">IF(OR(AE943="",AE943=0),0,AE943*IF(U943="",0,IF(U943&gt;1,U943/100,U943)))</f>
        <v>0</v>
      </c>
      <c r="AH943" s="21" t="n">
        <f aca="false">IF(OR(AE943="",AE943=0),0,AE943*IF(X943="",0,IF(X943&gt;1,X943/100,X943)))</f>
        <v>0</v>
      </c>
      <c r="AI943" s="21" t="n">
        <f aca="false">IF(OR(AE943="",AE943=0),0,AE943*IF(AA943="",0,IF(AA943&gt;1,AA943/100,AA943)))</f>
        <v>0</v>
      </c>
      <c r="AJ943" s="21" t="n">
        <f aca="false">AG943+AH943+AI943</f>
        <v>0</v>
      </c>
      <c r="AK943" s="21" t="n">
        <f aca="false">IF(OR(AE943="",AE943=0),0,AE943-AJ943)</f>
        <v>0</v>
      </c>
      <c r="AL943" s="19" t="str">
        <f aca="false">IF(AD943="","",AD943-AK943)</f>
        <v/>
      </c>
      <c r="AM943" s="26" t="str">
        <f aca="false">IF(C943="","","Waiting for payment")</f>
        <v/>
      </c>
      <c r="AN943" s="27"/>
      <c r="AO943" s="27"/>
      <c r="AP943" s="35" t="str">
        <f aca="false">IF(OR(C943="",I943="",K943=""),"",IF(K943="Monthly",EDATE(C943,ROUND(I943*SETTINGS!$I$8,0)),WORKDAY(C943,ROUND(I943*SETTINGS!$I$8,0))))</f>
        <v/>
      </c>
      <c r="AQ943" s="26" t="str">
        <f aca="true">IF(C943="","",IF(AND(AP943&lt;&gt;"",TODAY()&gt;=AP943),"Refi Ready",IF(TODAY()-C943&gt;=SETTINGS!$I$11,"Prospecting","Performing")))</f>
        <v/>
      </c>
      <c r="AR943" s="35" t="str">
        <f aca="false">IF(OR(C943="",I943="",K943=""),"",IF(K943="Monthly",EDATE(C943,I943),WORKDAY(C943,I943)))</f>
        <v/>
      </c>
      <c r="AS943" s="28"/>
      <c r="AT943" s="36" t="str">
        <f aca="true">IF(C943="","",IF(AM943="Clawed Back","CLAWED",IF(TODAY()&lt;=C943+SETTINGS!$I$2,"⚠ AT RISK","SAFE")))</f>
        <v/>
      </c>
      <c r="AU943" s="28"/>
      <c r="AW943" s="24" t="n">
        <f aca="false">AW942+IF(AND(C943&lt;&gt;"",AO943&lt;&gt;"",OR('REP COMMISSION'!$B$3="",T943='REP COMMISSION'!$B$3,W943='REP COMMISSION'!$B$3,Z943='REP COMMISSION'!$B$3)),1,0)</f>
        <v>0</v>
      </c>
      <c r="AX943" s="24" t="n">
        <f aca="false">AX942+IF(AND(C943&lt;&gt;"",OR(F943="LOC - INITIAL",F943="CONSOLIDATION - UPFRONT COMM",F943="REVERSE - TOTAL FUNDING")),1,0)</f>
        <v>0</v>
      </c>
    </row>
    <row r="944" customFormat="false" ht="15" hidden="false" customHeight="false" outlineLevel="0" collapsed="false">
      <c r="A944" s="8" t="str">
        <f aca="false">IF(C944&lt;&gt;"","F27-"&amp;COUNT($C$4:C944),"")</f>
        <v/>
      </c>
      <c r="B944" s="9" t="str">
        <f aca="false">IF(OR(F944="LOC - INITIAL",F944="CONSOLIDATION - UPFRONT COMM",F944="REVERSE - TOTAL FUNDING"),A944,"")</f>
        <v/>
      </c>
      <c r="C944" s="10"/>
      <c r="D944" s="11"/>
      <c r="E944" s="11"/>
      <c r="F944" s="11"/>
      <c r="G944" s="12"/>
      <c r="H944" s="13"/>
      <c r="I944" s="11"/>
      <c r="J944" s="14" t="str">
        <f aca="false">IF(AND(G944&lt;&gt;"",H944&lt;&gt;""),G944*H944,"")</f>
        <v/>
      </c>
      <c r="K944" s="11"/>
      <c r="L944" s="15"/>
      <c r="M944" s="15"/>
      <c r="N944" s="14" t="n">
        <f aca="false">IF(OR(G944="",M944=""),0,IF(M944&gt;100,M944,G944*IF(M944&gt;1,M944/100,M944)))</f>
        <v>0</v>
      </c>
      <c r="O944" s="14" t="str">
        <f aca="false">IF(G944="","",G944*IF(L944="",0,IF(L944&gt;1,L944/100,L944))+N944)</f>
        <v/>
      </c>
      <c r="P944" s="11"/>
      <c r="Q944" s="16" t="str">
        <f aca="false">IF(P944="","",IFERROR(VLOOKUP(P944,PARTNERS!$A$2:$B$30,2,0),""))</f>
        <v/>
      </c>
      <c r="R944" s="17" t="str">
        <f aca="false">IF(O944="","",IF(OR(P944="",Q944=""),0,(O944-N944)*IF(Q944&gt;1,Q944/100,Q944)))</f>
        <v/>
      </c>
      <c r="S944" s="14" t="str">
        <f aca="false">IF(O944="","",O944-R944)</f>
        <v/>
      </c>
      <c r="T944" s="11"/>
      <c r="U944" s="18" t="str">
        <f aca="false">IF(T944="","",IFERROR(VLOOKUP(T944,REPS!$A$2:$D$40,2,0),""))</f>
        <v/>
      </c>
      <c r="V944" s="14" t="str">
        <f aca="false">IF(O944="","",IF(U944="",0,O944*IF(U944&gt;1,U944/100,U944)))</f>
        <v/>
      </c>
      <c r="W944" s="11"/>
      <c r="X944" s="18" t="str">
        <f aca="false">IF(W944="","",IFERROR(VLOOKUP(W944,REPS!$A$2:$D$40,3,0),""))</f>
        <v/>
      </c>
      <c r="Y944" s="14" t="str">
        <f aca="false">IF(O944="","",IF(X944="",0,O944*IF(X944&gt;1,X944/100,X944)))</f>
        <v/>
      </c>
      <c r="Z944" s="11"/>
      <c r="AA944" s="18" t="str">
        <f aca="false">IF(Z944="","",IFERROR(VLOOKUP(Z944,REPS!$A$2:$D$40,4,0),""))</f>
        <v/>
      </c>
      <c r="AB944" s="14" t="str">
        <f aca="false">IF(O944="","",IF(AA944="",0,O944*IF(AA944&gt;1,AA944/100,AA944)))</f>
        <v/>
      </c>
      <c r="AC944" s="14" t="str">
        <f aca="false">IF(O944="","",V944+Y944+AB944)</f>
        <v/>
      </c>
      <c r="AD944" s="19" t="str">
        <f aca="false">IF(O944="","",O944-R944-AC944)</f>
        <v/>
      </c>
      <c r="AE944" s="20"/>
      <c r="AF944" s="10"/>
      <c r="AG944" s="21" t="n">
        <f aca="false">IF(OR(AE944="",AE944=0),0,AE944*IF(U944="",0,IF(U944&gt;1,U944/100,U944)))</f>
        <v>0</v>
      </c>
      <c r="AH944" s="21" t="n">
        <f aca="false">IF(OR(AE944="",AE944=0),0,AE944*IF(X944="",0,IF(X944&gt;1,X944/100,X944)))</f>
        <v>0</v>
      </c>
      <c r="AI944" s="21" t="n">
        <f aca="false">IF(OR(AE944="",AE944=0),0,AE944*IF(AA944="",0,IF(AA944&gt;1,AA944/100,AA944)))</f>
        <v>0</v>
      </c>
      <c r="AJ944" s="21" t="n">
        <f aca="false">AG944+AH944+AI944</f>
        <v>0</v>
      </c>
      <c r="AK944" s="21" t="n">
        <f aca="false">IF(OR(AE944="",AE944=0),0,AE944-AJ944)</f>
        <v>0</v>
      </c>
      <c r="AL944" s="19" t="str">
        <f aca="false">IF(AD944="","",AD944-AK944)</f>
        <v/>
      </c>
      <c r="AM944" s="9" t="str">
        <f aca="false">IF(C944="","","Waiting for payment")</f>
        <v/>
      </c>
      <c r="AN944" s="10"/>
      <c r="AO944" s="10"/>
      <c r="AP944" s="22" t="str">
        <f aca="false">IF(OR(C944="",I944="",K944=""),"",IF(K944="Monthly",EDATE(C944,ROUND(I944*SETTINGS!$I$8,0)),WORKDAY(C944,ROUND(I944*SETTINGS!$I$8,0))))</f>
        <v/>
      </c>
      <c r="AQ944" s="9" t="str">
        <f aca="true">IF(C944="","",IF(AND(AP944&lt;&gt;"",TODAY()&gt;=AP944),"Refi Ready",IF(TODAY()-C944&gt;=SETTINGS!$I$11,"Prospecting","Performing")))</f>
        <v/>
      </c>
      <c r="AR944" s="22" t="str">
        <f aca="false">IF(OR(C944="",I944="",K944=""),"",IF(K944="Monthly",EDATE(C944,I944),WORKDAY(C944,I944)))</f>
        <v/>
      </c>
      <c r="AS944" s="11"/>
      <c r="AT944" s="23" t="str">
        <f aca="true">IF(C944="","",IF(AM944="Clawed Back","CLAWED",IF(TODAY()&lt;=C944+SETTINGS!$I$2,"⚠ AT RISK","SAFE")))</f>
        <v/>
      </c>
      <c r="AU944" s="11"/>
      <c r="AW944" s="24" t="n">
        <f aca="false">AW943+IF(AND(C944&lt;&gt;"",AO944&lt;&gt;"",OR('REP COMMISSION'!$B$3="",T944='REP COMMISSION'!$B$3,W944='REP COMMISSION'!$B$3,Z944='REP COMMISSION'!$B$3)),1,0)</f>
        <v>0</v>
      </c>
      <c r="AX944" s="24" t="n">
        <f aca="false">AX943+IF(AND(C944&lt;&gt;"",OR(F944="LOC - INITIAL",F944="CONSOLIDATION - UPFRONT COMM",F944="REVERSE - TOTAL FUNDING")),1,0)</f>
        <v>0</v>
      </c>
    </row>
    <row r="945" customFormat="false" ht="15" hidden="false" customHeight="false" outlineLevel="0" collapsed="false">
      <c r="A945" s="25" t="str">
        <f aca="false">IF(C945&lt;&gt;"","F27-"&amp;COUNT($C$4:C945),"")</f>
        <v/>
      </c>
      <c r="B945" s="26" t="str">
        <f aca="false">IF(OR(F945="LOC - INITIAL",F945="CONSOLIDATION - UPFRONT COMM",F945="REVERSE - TOTAL FUNDING"),A945,"")</f>
        <v/>
      </c>
      <c r="C945" s="27"/>
      <c r="D945" s="28"/>
      <c r="E945" s="28"/>
      <c r="F945" s="28"/>
      <c r="G945" s="29"/>
      <c r="H945" s="30"/>
      <c r="I945" s="28"/>
      <c r="J945" s="31" t="str">
        <f aca="false">IF(AND(G945&lt;&gt;"",H945&lt;&gt;""),G945*H945,"")</f>
        <v/>
      </c>
      <c r="K945" s="28"/>
      <c r="L945" s="32"/>
      <c r="M945" s="32"/>
      <c r="N945" s="31" t="n">
        <f aca="false">IF(OR(G945="",M945=""),0,IF(M945&gt;100,M945,G945*IF(M945&gt;1,M945/100,M945)))</f>
        <v>0</v>
      </c>
      <c r="O945" s="31" t="str">
        <f aca="false">IF(G945="","",G945*IF(L945="",0,IF(L945&gt;1,L945/100,L945))+N945)</f>
        <v/>
      </c>
      <c r="P945" s="28"/>
      <c r="Q945" s="33" t="str">
        <f aca="false">IF(P945="","",IFERROR(VLOOKUP(P945,PARTNERS!$A$2:$B$30,2,0),""))</f>
        <v/>
      </c>
      <c r="R945" s="17" t="str">
        <f aca="false">IF(O945="","",IF(OR(P945="",Q945=""),0,(O945-N945)*IF(Q945&gt;1,Q945/100,Q945)))</f>
        <v/>
      </c>
      <c r="S945" s="31" t="str">
        <f aca="false">IF(O945="","",O945-R945)</f>
        <v/>
      </c>
      <c r="T945" s="28"/>
      <c r="U945" s="34" t="str">
        <f aca="false">IF(T945="","",IFERROR(VLOOKUP(T945,REPS!$A$2:$D$40,2,0),""))</f>
        <v/>
      </c>
      <c r="V945" s="31" t="str">
        <f aca="false">IF(O945="","",IF(U945="",0,O945*IF(U945&gt;1,U945/100,U945)))</f>
        <v/>
      </c>
      <c r="W945" s="28"/>
      <c r="X945" s="34" t="str">
        <f aca="false">IF(W945="","",IFERROR(VLOOKUP(W945,REPS!$A$2:$D$40,3,0),""))</f>
        <v/>
      </c>
      <c r="Y945" s="31" t="str">
        <f aca="false">IF(O945="","",IF(X945="",0,O945*IF(X945&gt;1,X945/100,X945)))</f>
        <v/>
      </c>
      <c r="Z945" s="28"/>
      <c r="AA945" s="34" t="str">
        <f aca="false">IF(Z945="","",IFERROR(VLOOKUP(Z945,REPS!$A$2:$D$40,4,0),""))</f>
        <v/>
      </c>
      <c r="AB945" s="31" t="str">
        <f aca="false">IF(O945="","",IF(AA945="",0,O945*IF(AA945&gt;1,AA945/100,AA945)))</f>
        <v/>
      </c>
      <c r="AC945" s="31" t="str">
        <f aca="false">IF(O945="","",V945+Y945+AB945)</f>
        <v/>
      </c>
      <c r="AD945" s="19" t="str">
        <f aca="false">IF(O945="","",O945-R945-AC945)</f>
        <v/>
      </c>
      <c r="AE945" s="20"/>
      <c r="AF945" s="27"/>
      <c r="AG945" s="21" t="n">
        <f aca="false">IF(OR(AE945="",AE945=0),0,AE945*IF(U945="",0,IF(U945&gt;1,U945/100,U945)))</f>
        <v>0</v>
      </c>
      <c r="AH945" s="21" t="n">
        <f aca="false">IF(OR(AE945="",AE945=0),0,AE945*IF(X945="",0,IF(X945&gt;1,X945/100,X945)))</f>
        <v>0</v>
      </c>
      <c r="AI945" s="21" t="n">
        <f aca="false">IF(OR(AE945="",AE945=0),0,AE945*IF(AA945="",0,IF(AA945&gt;1,AA945/100,AA945)))</f>
        <v>0</v>
      </c>
      <c r="AJ945" s="21" t="n">
        <f aca="false">AG945+AH945+AI945</f>
        <v>0</v>
      </c>
      <c r="AK945" s="21" t="n">
        <f aca="false">IF(OR(AE945="",AE945=0),0,AE945-AJ945)</f>
        <v>0</v>
      </c>
      <c r="AL945" s="19" t="str">
        <f aca="false">IF(AD945="","",AD945-AK945)</f>
        <v/>
      </c>
      <c r="AM945" s="26" t="str">
        <f aca="false">IF(C945="","","Waiting for payment")</f>
        <v/>
      </c>
      <c r="AN945" s="27"/>
      <c r="AO945" s="27"/>
      <c r="AP945" s="35" t="str">
        <f aca="false">IF(OR(C945="",I945="",K945=""),"",IF(K945="Monthly",EDATE(C945,ROUND(I945*SETTINGS!$I$8,0)),WORKDAY(C945,ROUND(I945*SETTINGS!$I$8,0))))</f>
        <v/>
      </c>
      <c r="AQ945" s="26" t="str">
        <f aca="true">IF(C945="","",IF(AND(AP945&lt;&gt;"",TODAY()&gt;=AP945),"Refi Ready",IF(TODAY()-C945&gt;=SETTINGS!$I$11,"Prospecting","Performing")))</f>
        <v/>
      </c>
      <c r="AR945" s="35" t="str">
        <f aca="false">IF(OR(C945="",I945="",K945=""),"",IF(K945="Monthly",EDATE(C945,I945),WORKDAY(C945,I945)))</f>
        <v/>
      </c>
      <c r="AS945" s="28"/>
      <c r="AT945" s="36" t="str">
        <f aca="true">IF(C945="","",IF(AM945="Clawed Back","CLAWED",IF(TODAY()&lt;=C945+SETTINGS!$I$2,"⚠ AT RISK","SAFE")))</f>
        <v/>
      </c>
      <c r="AU945" s="28"/>
      <c r="AW945" s="24" t="n">
        <f aca="false">AW944+IF(AND(C945&lt;&gt;"",AO945&lt;&gt;"",OR('REP COMMISSION'!$B$3="",T945='REP COMMISSION'!$B$3,W945='REP COMMISSION'!$B$3,Z945='REP COMMISSION'!$B$3)),1,0)</f>
        <v>0</v>
      </c>
      <c r="AX945" s="24" t="n">
        <f aca="false">AX944+IF(AND(C945&lt;&gt;"",OR(F945="LOC - INITIAL",F945="CONSOLIDATION - UPFRONT COMM",F945="REVERSE - TOTAL FUNDING")),1,0)</f>
        <v>0</v>
      </c>
    </row>
    <row r="946" customFormat="false" ht="15" hidden="false" customHeight="false" outlineLevel="0" collapsed="false">
      <c r="A946" s="8" t="str">
        <f aca="false">IF(C946&lt;&gt;"","F27-"&amp;COUNT($C$4:C946),"")</f>
        <v/>
      </c>
      <c r="B946" s="9" t="str">
        <f aca="false">IF(OR(F946="LOC - INITIAL",F946="CONSOLIDATION - UPFRONT COMM",F946="REVERSE - TOTAL FUNDING"),A946,"")</f>
        <v/>
      </c>
      <c r="C946" s="10"/>
      <c r="D946" s="11"/>
      <c r="E946" s="11"/>
      <c r="F946" s="11"/>
      <c r="G946" s="12"/>
      <c r="H946" s="13"/>
      <c r="I946" s="11"/>
      <c r="J946" s="14" t="str">
        <f aca="false">IF(AND(G946&lt;&gt;"",H946&lt;&gt;""),G946*H946,"")</f>
        <v/>
      </c>
      <c r="K946" s="11"/>
      <c r="L946" s="15"/>
      <c r="M946" s="15"/>
      <c r="N946" s="14" t="n">
        <f aca="false">IF(OR(G946="",M946=""),0,IF(M946&gt;100,M946,G946*IF(M946&gt;1,M946/100,M946)))</f>
        <v>0</v>
      </c>
      <c r="O946" s="14" t="str">
        <f aca="false">IF(G946="","",G946*IF(L946="",0,IF(L946&gt;1,L946/100,L946))+N946)</f>
        <v/>
      </c>
      <c r="P946" s="11"/>
      <c r="Q946" s="16" t="str">
        <f aca="false">IF(P946="","",IFERROR(VLOOKUP(P946,PARTNERS!$A$2:$B$30,2,0),""))</f>
        <v/>
      </c>
      <c r="R946" s="17" t="str">
        <f aca="false">IF(O946="","",IF(OR(P946="",Q946=""),0,(O946-N946)*IF(Q946&gt;1,Q946/100,Q946)))</f>
        <v/>
      </c>
      <c r="S946" s="14" t="str">
        <f aca="false">IF(O946="","",O946-R946)</f>
        <v/>
      </c>
      <c r="T946" s="11"/>
      <c r="U946" s="18" t="str">
        <f aca="false">IF(T946="","",IFERROR(VLOOKUP(T946,REPS!$A$2:$D$40,2,0),""))</f>
        <v/>
      </c>
      <c r="V946" s="14" t="str">
        <f aca="false">IF(O946="","",IF(U946="",0,O946*IF(U946&gt;1,U946/100,U946)))</f>
        <v/>
      </c>
      <c r="W946" s="11"/>
      <c r="X946" s="18" t="str">
        <f aca="false">IF(W946="","",IFERROR(VLOOKUP(W946,REPS!$A$2:$D$40,3,0),""))</f>
        <v/>
      </c>
      <c r="Y946" s="14" t="str">
        <f aca="false">IF(O946="","",IF(X946="",0,O946*IF(X946&gt;1,X946/100,X946)))</f>
        <v/>
      </c>
      <c r="Z946" s="11"/>
      <c r="AA946" s="18" t="str">
        <f aca="false">IF(Z946="","",IFERROR(VLOOKUP(Z946,REPS!$A$2:$D$40,4,0),""))</f>
        <v/>
      </c>
      <c r="AB946" s="14" t="str">
        <f aca="false">IF(O946="","",IF(AA946="",0,O946*IF(AA946&gt;1,AA946/100,AA946)))</f>
        <v/>
      </c>
      <c r="AC946" s="14" t="str">
        <f aca="false">IF(O946="","",V946+Y946+AB946)</f>
        <v/>
      </c>
      <c r="AD946" s="19" t="str">
        <f aca="false">IF(O946="","",O946-R946-AC946)</f>
        <v/>
      </c>
      <c r="AE946" s="20"/>
      <c r="AF946" s="10"/>
      <c r="AG946" s="21" t="n">
        <f aca="false">IF(OR(AE946="",AE946=0),0,AE946*IF(U946="",0,IF(U946&gt;1,U946/100,U946)))</f>
        <v>0</v>
      </c>
      <c r="AH946" s="21" t="n">
        <f aca="false">IF(OR(AE946="",AE946=0),0,AE946*IF(X946="",0,IF(X946&gt;1,X946/100,X946)))</f>
        <v>0</v>
      </c>
      <c r="AI946" s="21" t="n">
        <f aca="false">IF(OR(AE946="",AE946=0),0,AE946*IF(AA946="",0,IF(AA946&gt;1,AA946/100,AA946)))</f>
        <v>0</v>
      </c>
      <c r="AJ946" s="21" t="n">
        <f aca="false">AG946+AH946+AI946</f>
        <v>0</v>
      </c>
      <c r="AK946" s="21" t="n">
        <f aca="false">IF(OR(AE946="",AE946=0),0,AE946-AJ946)</f>
        <v>0</v>
      </c>
      <c r="AL946" s="19" t="str">
        <f aca="false">IF(AD946="","",AD946-AK946)</f>
        <v/>
      </c>
      <c r="AM946" s="9" t="str">
        <f aca="false">IF(C946="","","Waiting for payment")</f>
        <v/>
      </c>
      <c r="AN946" s="10"/>
      <c r="AO946" s="10"/>
      <c r="AP946" s="22" t="str">
        <f aca="false">IF(OR(C946="",I946="",K946=""),"",IF(K946="Monthly",EDATE(C946,ROUND(I946*SETTINGS!$I$8,0)),WORKDAY(C946,ROUND(I946*SETTINGS!$I$8,0))))</f>
        <v/>
      </c>
      <c r="AQ946" s="9" t="str">
        <f aca="true">IF(C946="","",IF(AND(AP946&lt;&gt;"",TODAY()&gt;=AP946),"Refi Ready",IF(TODAY()-C946&gt;=SETTINGS!$I$11,"Prospecting","Performing")))</f>
        <v/>
      </c>
      <c r="AR946" s="22" t="str">
        <f aca="false">IF(OR(C946="",I946="",K946=""),"",IF(K946="Monthly",EDATE(C946,I946),WORKDAY(C946,I946)))</f>
        <v/>
      </c>
      <c r="AS946" s="11"/>
      <c r="AT946" s="23" t="str">
        <f aca="true">IF(C946="","",IF(AM946="Clawed Back","CLAWED",IF(TODAY()&lt;=C946+SETTINGS!$I$2,"⚠ AT RISK","SAFE")))</f>
        <v/>
      </c>
      <c r="AU946" s="11"/>
      <c r="AW946" s="24" t="n">
        <f aca="false">AW945+IF(AND(C946&lt;&gt;"",AO946&lt;&gt;"",OR('REP COMMISSION'!$B$3="",T946='REP COMMISSION'!$B$3,W946='REP COMMISSION'!$B$3,Z946='REP COMMISSION'!$B$3)),1,0)</f>
        <v>0</v>
      </c>
      <c r="AX946" s="24" t="n">
        <f aca="false">AX945+IF(AND(C946&lt;&gt;"",OR(F946="LOC - INITIAL",F946="CONSOLIDATION - UPFRONT COMM",F946="REVERSE - TOTAL FUNDING")),1,0)</f>
        <v>0</v>
      </c>
    </row>
    <row r="947" customFormat="false" ht="15" hidden="false" customHeight="false" outlineLevel="0" collapsed="false">
      <c r="A947" s="25" t="str">
        <f aca="false">IF(C947&lt;&gt;"","F27-"&amp;COUNT($C$4:C947),"")</f>
        <v/>
      </c>
      <c r="B947" s="26" t="str">
        <f aca="false">IF(OR(F947="LOC - INITIAL",F947="CONSOLIDATION - UPFRONT COMM",F947="REVERSE - TOTAL FUNDING"),A947,"")</f>
        <v/>
      </c>
      <c r="C947" s="27"/>
      <c r="D947" s="28"/>
      <c r="E947" s="28"/>
      <c r="F947" s="28"/>
      <c r="G947" s="29"/>
      <c r="H947" s="30"/>
      <c r="I947" s="28"/>
      <c r="J947" s="31" t="str">
        <f aca="false">IF(AND(G947&lt;&gt;"",H947&lt;&gt;""),G947*H947,"")</f>
        <v/>
      </c>
      <c r="K947" s="28"/>
      <c r="L947" s="32"/>
      <c r="M947" s="32"/>
      <c r="N947" s="31" t="n">
        <f aca="false">IF(OR(G947="",M947=""),0,IF(M947&gt;100,M947,G947*IF(M947&gt;1,M947/100,M947)))</f>
        <v>0</v>
      </c>
      <c r="O947" s="31" t="str">
        <f aca="false">IF(G947="","",G947*IF(L947="",0,IF(L947&gt;1,L947/100,L947))+N947)</f>
        <v/>
      </c>
      <c r="P947" s="28"/>
      <c r="Q947" s="33" t="str">
        <f aca="false">IF(P947="","",IFERROR(VLOOKUP(P947,PARTNERS!$A$2:$B$30,2,0),""))</f>
        <v/>
      </c>
      <c r="R947" s="17" t="str">
        <f aca="false">IF(O947="","",IF(OR(P947="",Q947=""),0,(O947-N947)*IF(Q947&gt;1,Q947/100,Q947)))</f>
        <v/>
      </c>
      <c r="S947" s="31" t="str">
        <f aca="false">IF(O947="","",O947-R947)</f>
        <v/>
      </c>
      <c r="T947" s="28"/>
      <c r="U947" s="34" t="str">
        <f aca="false">IF(T947="","",IFERROR(VLOOKUP(T947,REPS!$A$2:$D$40,2,0),""))</f>
        <v/>
      </c>
      <c r="V947" s="31" t="str">
        <f aca="false">IF(O947="","",IF(U947="",0,O947*IF(U947&gt;1,U947/100,U947)))</f>
        <v/>
      </c>
      <c r="W947" s="28"/>
      <c r="X947" s="34" t="str">
        <f aca="false">IF(W947="","",IFERROR(VLOOKUP(W947,REPS!$A$2:$D$40,3,0),""))</f>
        <v/>
      </c>
      <c r="Y947" s="31" t="str">
        <f aca="false">IF(O947="","",IF(X947="",0,O947*IF(X947&gt;1,X947/100,X947)))</f>
        <v/>
      </c>
      <c r="Z947" s="28"/>
      <c r="AA947" s="34" t="str">
        <f aca="false">IF(Z947="","",IFERROR(VLOOKUP(Z947,REPS!$A$2:$D$40,4,0),""))</f>
        <v/>
      </c>
      <c r="AB947" s="31" t="str">
        <f aca="false">IF(O947="","",IF(AA947="",0,O947*IF(AA947&gt;1,AA947/100,AA947)))</f>
        <v/>
      </c>
      <c r="AC947" s="31" t="str">
        <f aca="false">IF(O947="","",V947+Y947+AB947)</f>
        <v/>
      </c>
      <c r="AD947" s="19" t="str">
        <f aca="false">IF(O947="","",O947-R947-AC947)</f>
        <v/>
      </c>
      <c r="AE947" s="20"/>
      <c r="AF947" s="27"/>
      <c r="AG947" s="21" t="n">
        <f aca="false">IF(OR(AE947="",AE947=0),0,AE947*IF(U947="",0,IF(U947&gt;1,U947/100,U947)))</f>
        <v>0</v>
      </c>
      <c r="AH947" s="21" t="n">
        <f aca="false">IF(OR(AE947="",AE947=0),0,AE947*IF(X947="",0,IF(X947&gt;1,X947/100,X947)))</f>
        <v>0</v>
      </c>
      <c r="AI947" s="21" t="n">
        <f aca="false">IF(OR(AE947="",AE947=0),0,AE947*IF(AA947="",0,IF(AA947&gt;1,AA947/100,AA947)))</f>
        <v>0</v>
      </c>
      <c r="AJ947" s="21" t="n">
        <f aca="false">AG947+AH947+AI947</f>
        <v>0</v>
      </c>
      <c r="AK947" s="21" t="n">
        <f aca="false">IF(OR(AE947="",AE947=0),0,AE947-AJ947)</f>
        <v>0</v>
      </c>
      <c r="AL947" s="19" t="str">
        <f aca="false">IF(AD947="","",AD947-AK947)</f>
        <v/>
      </c>
      <c r="AM947" s="26" t="str">
        <f aca="false">IF(C947="","","Waiting for payment")</f>
        <v/>
      </c>
      <c r="AN947" s="27"/>
      <c r="AO947" s="27"/>
      <c r="AP947" s="35" t="str">
        <f aca="false">IF(OR(C947="",I947="",K947=""),"",IF(K947="Monthly",EDATE(C947,ROUND(I947*SETTINGS!$I$8,0)),WORKDAY(C947,ROUND(I947*SETTINGS!$I$8,0))))</f>
        <v/>
      </c>
      <c r="AQ947" s="26" t="str">
        <f aca="true">IF(C947="","",IF(AND(AP947&lt;&gt;"",TODAY()&gt;=AP947),"Refi Ready",IF(TODAY()-C947&gt;=SETTINGS!$I$11,"Prospecting","Performing")))</f>
        <v/>
      </c>
      <c r="AR947" s="35" t="str">
        <f aca="false">IF(OR(C947="",I947="",K947=""),"",IF(K947="Monthly",EDATE(C947,I947),WORKDAY(C947,I947)))</f>
        <v/>
      </c>
      <c r="AS947" s="28"/>
      <c r="AT947" s="36" t="str">
        <f aca="true">IF(C947="","",IF(AM947="Clawed Back","CLAWED",IF(TODAY()&lt;=C947+SETTINGS!$I$2,"⚠ AT RISK","SAFE")))</f>
        <v/>
      </c>
      <c r="AU947" s="28"/>
      <c r="AW947" s="24" t="n">
        <f aca="false">AW946+IF(AND(C947&lt;&gt;"",AO947&lt;&gt;"",OR('REP COMMISSION'!$B$3="",T947='REP COMMISSION'!$B$3,W947='REP COMMISSION'!$B$3,Z947='REP COMMISSION'!$B$3)),1,0)</f>
        <v>0</v>
      </c>
      <c r="AX947" s="24" t="n">
        <f aca="false">AX946+IF(AND(C947&lt;&gt;"",OR(F947="LOC - INITIAL",F947="CONSOLIDATION - UPFRONT COMM",F947="REVERSE - TOTAL FUNDING")),1,0)</f>
        <v>0</v>
      </c>
    </row>
    <row r="948" customFormat="false" ht="15" hidden="false" customHeight="false" outlineLevel="0" collapsed="false">
      <c r="A948" s="8" t="str">
        <f aca="false">IF(C948&lt;&gt;"","F27-"&amp;COUNT($C$4:C948),"")</f>
        <v/>
      </c>
      <c r="B948" s="9" t="str">
        <f aca="false">IF(OR(F948="LOC - INITIAL",F948="CONSOLIDATION - UPFRONT COMM",F948="REVERSE - TOTAL FUNDING"),A948,"")</f>
        <v/>
      </c>
      <c r="C948" s="10"/>
      <c r="D948" s="11"/>
      <c r="E948" s="11"/>
      <c r="F948" s="11"/>
      <c r="G948" s="12"/>
      <c r="H948" s="13"/>
      <c r="I948" s="11"/>
      <c r="J948" s="14" t="str">
        <f aca="false">IF(AND(G948&lt;&gt;"",H948&lt;&gt;""),G948*H948,"")</f>
        <v/>
      </c>
      <c r="K948" s="11"/>
      <c r="L948" s="15"/>
      <c r="M948" s="15"/>
      <c r="N948" s="14" t="n">
        <f aca="false">IF(OR(G948="",M948=""),0,IF(M948&gt;100,M948,G948*IF(M948&gt;1,M948/100,M948)))</f>
        <v>0</v>
      </c>
      <c r="O948" s="14" t="str">
        <f aca="false">IF(G948="","",G948*IF(L948="",0,IF(L948&gt;1,L948/100,L948))+N948)</f>
        <v/>
      </c>
      <c r="P948" s="11"/>
      <c r="Q948" s="16" t="str">
        <f aca="false">IF(P948="","",IFERROR(VLOOKUP(P948,PARTNERS!$A$2:$B$30,2,0),""))</f>
        <v/>
      </c>
      <c r="R948" s="17" t="str">
        <f aca="false">IF(O948="","",IF(OR(P948="",Q948=""),0,(O948-N948)*IF(Q948&gt;1,Q948/100,Q948)))</f>
        <v/>
      </c>
      <c r="S948" s="14" t="str">
        <f aca="false">IF(O948="","",O948-R948)</f>
        <v/>
      </c>
      <c r="T948" s="11"/>
      <c r="U948" s="18" t="str">
        <f aca="false">IF(T948="","",IFERROR(VLOOKUP(T948,REPS!$A$2:$D$40,2,0),""))</f>
        <v/>
      </c>
      <c r="V948" s="14" t="str">
        <f aca="false">IF(O948="","",IF(U948="",0,O948*IF(U948&gt;1,U948/100,U948)))</f>
        <v/>
      </c>
      <c r="W948" s="11"/>
      <c r="X948" s="18" t="str">
        <f aca="false">IF(W948="","",IFERROR(VLOOKUP(W948,REPS!$A$2:$D$40,3,0),""))</f>
        <v/>
      </c>
      <c r="Y948" s="14" t="str">
        <f aca="false">IF(O948="","",IF(X948="",0,O948*IF(X948&gt;1,X948/100,X948)))</f>
        <v/>
      </c>
      <c r="Z948" s="11"/>
      <c r="AA948" s="18" t="str">
        <f aca="false">IF(Z948="","",IFERROR(VLOOKUP(Z948,REPS!$A$2:$D$40,4,0),""))</f>
        <v/>
      </c>
      <c r="AB948" s="14" t="str">
        <f aca="false">IF(O948="","",IF(AA948="",0,O948*IF(AA948&gt;1,AA948/100,AA948)))</f>
        <v/>
      </c>
      <c r="AC948" s="14" t="str">
        <f aca="false">IF(O948="","",V948+Y948+AB948)</f>
        <v/>
      </c>
      <c r="AD948" s="19" t="str">
        <f aca="false">IF(O948="","",O948-R948-AC948)</f>
        <v/>
      </c>
      <c r="AE948" s="20"/>
      <c r="AF948" s="10"/>
      <c r="AG948" s="21" t="n">
        <f aca="false">IF(OR(AE948="",AE948=0),0,AE948*IF(U948="",0,IF(U948&gt;1,U948/100,U948)))</f>
        <v>0</v>
      </c>
      <c r="AH948" s="21" t="n">
        <f aca="false">IF(OR(AE948="",AE948=0),0,AE948*IF(X948="",0,IF(X948&gt;1,X948/100,X948)))</f>
        <v>0</v>
      </c>
      <c r="AI948" s="21" t="n">
        <f aca="false">IF(OR(AE948="",AE948=0),0,AE948*IF(AA948="",0,IF(AA948&gt;1,AA948/100,AA948)))</f>
        <v>0</v>
      </c>
      <c r="AJ948" s="21" t="n">
        <f aca="false">AG948+AH948+AI948</f>
        <v>0</v>
      </c>
      <c r="AK948" s="21" t="n">
        <f aca="false">IF(OR(AE948="",AE948=0),0,AE948-AJ948)</f>
        <v>0</v>
      </c>
      <c r="AL948" s="19" t="str">
        <f aca="false">IF(AD948="","",AD948-AK948)</f>
        <v/>
      </c>
      <c r="AM948" s="9" t="str">
        <f aca="false">IF(C948="","","Waiting for payment")</f>
        <v/>
      </c>
      <c r="AN948" s="10"/>
      <c r="AO948" s="10"/>
      <c r="AP948" s="22" t="str">
        <f aca="false">IF(OR(C948="",I948="",K948=""),"",IF(K948="Monthly",EDATE(C948,ROUND(I948*SETTINGS!$I$8,0)),WORKDAY(C948,ROUND(I948*SETTINGS!$I$8,0))))</f>
        <v/>
      </c>
      <c r="AQ948" s="9" t="str">
        <f aca="true">IF(C948="","",IF(AND(AP948&lt;&gt;"",TODAY()&gt;=AP948),"Refi Ready",IF(TODAY()-C948&gt;=SETTINGS!$I$11,"Prospecting","Performing")))</f>
        <v/>
      </c>
      <c r="AR948" s="22" t="str">
        <f aca="false">IF(OR(C948="",I948="",K948=""),"",IF(K948="Monthly",EDATE(C948,I948),WORKDAY(C948,I948)))</f>
        <v/>
      </c>
      <c r="AS948" s="11"/>
      <c r="AT948" s="23" t="str">
        <f aca="true">IF(C948="","",IF(AM948="Clawed Back","CLAWED",IF(TODAY()&lt;=C948+SETTINGS!$I$2,"⚠ AT RISK","SAFE")))</f>
        <v/>
      </c>
      <c r="AU948" s="11"/>
      <c r="AW948" s="24" t="n">
        <f aca="false">AW947+IF(AND(C948&lt;&gt;"",AO948&lt;&gt;"",OR('REP COMMISSION'!$B$3="",T948='REP COMMISSION'!$B$3,W948='REP COMMISSION'!$B$3,Z948='REP COMMISSION'!$B$3)),1,0)</f>
        <v>0</v>
      </c>
      <c r="AX948" s="24" t="n">
        <f aca="false">AX947+IF(AND(C948&lt;&gt;"",OR(F948="LOC - INITIAL",F948="CONSOLIDATION - UPFRONT COMM",F948="REVERSE - TOTAL FUNDING")),1,0)</f>
        <v>0</v>
      </c>
    </row>
    <row r="949" customFormat="false" ht="15" hidden="false" customHeight="false" outlineLevel="0" collapsed="false">
      <c r="A949" s="25" t="str">
        <f aca="false">IF(C949&lt;&gt;"","F27-"&amp;COUNT($C$4:C949),"")</f>
        <v/>
      </c>
      <c r="B949" s="26" t="str">
        <f aca="false">IF(OR(F949="LOC - INITIAL",F949="CONSOLIDATION - UPFRONT COMM",F949="REVERSE - TOTAL FUNDING"),A949,"")</f>
        <v/>
      </c>
      <c r="C949" s="27"/>
      <c r="D949" s="28"/>
      <c r="E949" s="28"/>
      <c r="F949" s="28"/>
      <c r="G949" s="29"/>
      <c r="H949" s="30"/>
      <c r="I949" s="28"/>
      <c r="J949" s="31" t="str">
        <f aca="false">IF(AND(G949&lt;&gt;"",H949&lt;&gt;""),G949*H949,"")</f>
        <v/>
      </c>
      <c r="K949" s="28"/>
      <c r="L949" s="32"/>
      <c r="M949" s="32"/>
      <c r="N949" s="31" t="n">
        <f aca="false">IF(OR(G949="",M949=""),0,IF(M949&gt;100,M949,G949*IF(M949&gt;1,M949/100,M949)))</f>
        <v>0</v>
      </c>
      <c r="O949" s="31" t="str">
        <f aca="false">IF(G949="","",G949*IF(L949="",0,IF(L949&gt;1,L949/100,L949))+N949)</f>
        <v/>
      </c>
      <c r="P949" s="28"/>
      <c r="Q949" s="33" t="str">
        <f aca="false">IF(P949="","",IFERROR(VLOOKUP(P949,PARTNERS!$A$2:$B$30,2,0),""))</f>
        <v/>
      </c>
      <c r="R949" s="17" t="str">
        <f aca="false">IF(O949="","",IF(OR(P949="",Q949=""),0,(O949-N949)*IF(Q949&gt;1,Q949/100,Q949)))</f>
        <v/>
      </c>
      <c r="S949" s="31" t="str">
        <f aca="false">IF(O949="","",O949-R949)</f>
        <v/>
      </c>
      <c r="T949" s="28"/>
      <c r="U949" s="34" t="str">
        <f aca="false">IF(T949="","",IFERROR(VLOOKUP(T949,REPS!$A$2:$D$40,2,0),""))</f>
        <v/>
      </c>
      <c r="V949" s="31" t="str">
        <f aca="false">IF(O949="","",IF(U949="",0,O949*IF(U949&gt;1,U949/100,U949)))</f>
        <v/>
      </c>
      <c r="W949" s="28"/>
      <c r="X949" s="34" t="str">
        <f aca="false">IF(W949="","",IFERROR(VLOOKUP(W949,REPS!$A$2:$D$40,3,0),""))</f>
        <v/>
      </c>
      <c r="Y949" s="31" t="str">
        <f aca="false">IF(O949="","",IF(X949="",0,O949*IF(X949&gt;1,X949/100,X949)))</f>
        <v/>
      </c>
      <c r="Z949" s="28"/>
      <c r="AA949" s="34" t="str">
        <f aca="false">IF(Z949="","",IFERROR(VLOOKUP(Z949,REPS!$A$2:$D$40,4,0),""))</f>
        <v/>
      </c>
      <c r="AB949" s="31" t="str">
        <f aca="false">IF(O949="","",IF(AA949="",0,O949*IF(AA949&gt;1,AA949/100,AA949)))</f>
        <v/>
      </c>
      <c r="AC949" s="31" t="str">
        <f aca="false">IF(O949="","",V949+Y949+AB949)</f>
        <v/>
      </c>
      <c r="AD949" s="19" t="str">
        <f aca="false">IF(O949="","",O949-R949-AC949)</f>
        <v/>
      </c>
      <c r="AE949" s="20"/>
      <c r="AF949" s="27"/>
      <c r="AG949" s="21" t="n">
        <f aca="false">IF(OR(AE949="",AE949=0),0,AE949*IF(U949="",0,IF(U949&gt;1,U949/100,U949)))</f>
        <v>0</v>
      </c>
      <c r="AH949" s="21" t="n">
        <f aca="false">IF(OR(AE949="",AE949=0),0,AE949*IF(X949="",0,IF(X949&gt;1,X949/100,X949)))</f>
        <v>0</v>
      </c>
      <c r="AI949" s="21" t="n">
        <f aca="false">IF(OR(AE949="",AE949=0),0,AE949*IF(AA949="",0,IF(AA949&gt;1,AA949/100,AA949)))</f>
        <v>0</v>
      </c>
      <c r="AJ949" s="21" t="n">
        <f aca="false">AG949+AH949+AI949</f>
        <v>0</v>
      </c>
      <c r="AK949" s="21" t="n">
        <f aca="false">IF(OR(AE949="",AE949=0),0,AE949-AJ949)</f>
        <v>0</v>
      </c>
      <c r="AL949" s="19" t="str">
        <f aca="false">IF(AD949="","",AD949-AK949)</f>
        <v/>
      </c>
      <c r="AM949" s="26" t="str">
        <f aca="false">IF(C949="","","Waiting for payment")</f>
        <v/>
      </c>
      <c r="AN949" s="27"/>
      <c r="AO949" s="27"/>
      <c r="AP949" s="35" t="str">
        <f aca="false">IF(OR(C949="",I949="",K949=""),"",IF(K949="Monthly",EDATE(C949,ROUND(I949*SETTINGS!$I$8,0)),WORKDAY(C949,ROUND(I949*SETTINGS!$I$8,0))))</f>
        <v/>
      </c>
      <c r="AQ949" s="26" t="str">
        <f aca="true">IF(C949="","",IF(AND(AP949&lt;&gt;"",TODAY()&gt;=AP949),"Refi Ready",IF(TODAY()-C949&gt;=SETTINGS!$I$11,"Prospecting","Performing")))</f>
        <v/>
      </c>
      <c r="AR949" s="35" t="str">
        <f aca="false">IF(OR(C949="",I949="",K949=""),"",IF(K949="Monthly",EDATE(C949,I949),WORKDAY(C949,I949)))</f>
        <v/>
      </c>
      <c r="AS949" s="28"/>
      <c r="AT949" s="36" t="str">
        <f aca="true">IF(C949="","",IF(AM949="Clawed Back","CLAWED",IF(TODAY()&lt;=C949+SETTINGS!$I$2,"⚠ AT RISK","SAFE")))</f>
        <v/>
      </c>
      <c r="AU949" s="28"/>
      <c r="AW949" s="24" t="n">
        <f aca="false">AW948+IF(AND(C949&lt;&gt;"",AO949&lt;&gt;"",OR('REP COMMISSION'!$B$3="",T949='REP COMMISSION'!$B$3,W949='REP COMMISSION'!$B$3,Z949='REP COMMISSION'!$B$3)),1,0)</f>
        <v>0</v>
      </c>
      <c r="AX949" s="24" t="n">
        <f aca="false">AX948+IF(AND(C949&lt;&gt;"",OR(F949="LOC - INITIAL",F949="CONSOLIDATION - UPFRONT COMM",F949="REVERSE - TOTAL FUNDING")),1,0)</f>
        <v>0</v>
      </c>
    </row>
    <row r="950" customFormat="false" ht="15" hidden="false" customHeight="false" outlineLevel="0" collapsed="false">
      <c r="A950" s="8" t="str">
        <f aca="false">IF(C950&lt;&gt;"","F27-"&amp;COUNT($C$4:C950),"")</f>
        <v/>
      </c>
      <c r="B950" s="9" t="str">
        <f aca="false">IF(OR(F950="LOC - INITIAL",F950="CONSOLIDATION - UPFRONT COMM",F950="REVERSE - TOTAL FUNDING"),A950,"")</f>
        <v/>
      </c>
      <c r="C950" s="10"/>
      <c r="D950" s="11"/>
      <c r="E950" s="11"/>
      <c r="F950" s="11"/>
      <c r="G950" s="12"/>
      <c r="H950" s="13"/>
      <c r="I950" s="11"/>
      <c r="J950" s="14" t="str">
        <f aca="false">IF(AND(G950&lt;&gt;"",H950&lt;&gt;""),G950*H950,"")</f>
        <v/>
      </c>
      <c r="K950" s="11"/>
      <c r="L950" s="15"/>
      <c r="M950" s="15"/>
      <c r="N950" s="14" t="n">
        <f aca="false">IF(OR(G950="",M950=""),0,IF(M950&gt;100,M950,G950*IF(M950&gt;1,M950/100,M950)))</f>
        <v>0</v>
      </c>
      <c r="O950" s="14" t="str">
        <f aca="false">IF(G950="","",G950*IF(L950="",0,IF(L950&gt;1,L950/100,L950))+N950)</f>
        <v/>
      </c>
      <c r="P950" s="11"/>
      <c r="Q950" s="16" t="str">
        <f aca="false">IF(P950="","",IFERROR(VLOOKUP(P950,PARTNERS!$A$2:$B$30,2,0),""))</f>
        <v/>
      </c>
      <c r="R950" s="17" t="str">
        <f aca="false">IF(O950="","",IF(OR(P950="",Q950=""),0,(O950-N950)*IF(Q950&gt;1,Q950/100,Q950)))</f>
        <v/>
      </c>
      <c r="S950" s="14" t="str">
        <f aca="false">IF(O950="","",O950-R950)</f>
        <v/>
      </c>
      <c r="T950" s="11"/>
      <c r="U950" s="18" t="str">
        <f aca="false">IF(T950="","",IFERROR(VLOOKUP(T950,REPS!$A$2:$D$40,2,0),""))</f>
        <v/>
      </c>
      <c r="V950" s="14" t="str">
        <f aca="false">IF(O950="","",IF(U950="",0,O950*IF(U950&gt;1,U950/100,U950)))</f>
        <v/>
      </c>
      <c r="W950" s="11"/>
      <c r="X950" s="18" t="str">
        <f aca="false">IF(W950="","",IFERROR(VLOOKUP(W950,REPS!$A$2:$D$40,3,0),""))</f>
        <v/>
      </c>
      <c r="Y950" s="14" t="str">
        <f aca="false">IF(O950="","",IF(X950="",0,O950*IF(X950&gt;1,X950/100,X950)))</f>
        <v/>
      </c>
      <c r="Z950" s="11"/>
      <c r="AA950" s="18" t="str">
        <f aca="false">IF(Z950="","",IFERROR(VLOOKUP(Z950,REPS!$A$2:$D$40,4,0),""))</f>
        <v/>
      </c>
      <c r="AB950" s="14" t="str">
        <f aca="false">IF(O950="","",IF(AA950="",0,O950*IF(AA950&gt;1,AA950/100,AA950)))</f>
        <v/>
      </c>
      <c r="AC950" s="14" t="str">
        <f aca="false">IF(O950="","",V950+Y950+AB950)</f>
        <v/>
      </c>
      <c r="AD950" s="19" t="str">
        <f aca="false">IF(O950="","",O950-R950-AC950)</f>
        <v/>
      </c>
      <c r="AE950" s="20"/>
      <c r="AF950" s="10"/>
      <c r="AG950" s="21" t="n">
        <f aca="false">IF(OR(AE950="",AE950=0),0,AE950*IF(U950="",0,IF(U950&gt;1,U950/100,U950)))</f>
        <v>0</v>
      </c>
      <c r="AH950" s="21" t="n">
        <f aca="false">IF(OR(AE950="",AE950=0),0,AE950*IF(X950="",0,IF(X950&gt;1,X950/100,X950)))</f>
        <v>0</v>
      </c>
      <c r="AI950" s="21" t="n">
        <f aca="false">IF(OR(AE950="",AE950=0),0,AE950*IF(AA950="",0,IF(AA950&gt;1,AA950/100,AA950)))</f>
        <v>0</v>
      </c>
      <c r="AJ950" s="21" t="n">
        <f aca="false">AG950+AH950+AI950</f>
        <v>0</v>
      </c>
      <c r="AK950" s="21" t="n">
        <f aca="false">IF(OR(AE950="",AE950=0),0,AE950-AJ950)</f>
        <v>0</v>
      </c>
      <c r="AL950" s="19" t="str">
        <f aca="false">IF(AD950="","",AD950-AK950)</f>
        <v/>
      </c>
      <c r="AM950" s="9" t="str">
        <f aca="false">IF(C950="","","Waiting for payment")</f>
        <v/>
      </c>
      <c r="AN950" s="10"/>
      <c r="AO950" s="10"/>
      <c r="AP950" s="22" t="str">
        <f aca="false">IF(OR(C950="",I950="",K950=""),"",IF(K950="Monthly",EDATE(C950,ROUND(I950*SETTINGS!$I$8,0)),WORKDAY(C950,ROUND(I950*SETTINGS!$I$8,0))))</f>
        <v/>
      </c>
      <c r="AQ950" s="9" t="str">
        <f aca="true">IF(C950="","",IF(AND(AP950&lt;&gt;"",TODAY()&gt;=AP950),"Refi Ready",IF(TODAY()-C950&gt;=SETTINGS!$I$11,"Prospecting","Performing")))</f>
        <v/>
      </c>
      <c r="AR950" s="22" t="str">
        <f aca="false">IF(OR(C950="",I950="",K950=""),"",IF(K950="Monthly",EDATE(C950,I950),WORKDAY(C950,I950)))</f>
        <v/>
      </c>
      <c r="AS950" s="11"/>
      <c r="AT950" s="23" t="str">
        <f aca="true">IF(C950="","",IF(AM950="Clawed Back","CLAWED",IF(TODAY()&lt;=C950+SETTINGS!$I$2,"⚠ AT RISK","SAFE")))</f>
        <v/>
      </c>
      <c r="AU950" s="11"/>
      <c r="AW950" s="24" t="n">
        <f aca="false">AW949+IF(AND(C950&lt;&gt;"",AO950&lt;&gt;"",OR('REP COMMISSION'!$B$3="",T950='REP COMMISSION'!$B$3,W950='REP COMMISSION'!$B$3,Z950='REP COMMISSION'!$B$3)),1,0)</f>
        <v>0</v>
      </c>
      <c r="AX950" s="24" t="n">
        <f aca="false">AX949+IF(AND(C950&lt;&gt;"",OR(F950="LOC - INITIAL",F950="CONSOLIDATION - UPFRONT COMM",F950="REVERSE - TOTAL FUNDING")),1,0)</f>
        <v>0</v>
      </c>
    </row>
    <row r="951" customFormat="false" ht="15" hidden="false" customHeight="false" outlineLevel="0" collapsed="false">
      <c r="A951" s="25" t="str">
        <f aca="false">IF(C951&lt;&gt;"","F27-"&amp;COUNT($C$4:C951),"")</f>
        <v/>
      </c>
      <c r="B951" s="26" t="str">
        <f aca="false">IF(OR(F951="LOC - INITIAL",F951="CONSOLIDATION - UPFRONT COMM",F951="REVERSE - TOTAL FUNDING"),A951,"")</f>
        <v/>
      </c>
      <c r="C951" s="27"/>
      <c r="D951" s="28"/>
      <c r="E951" s="28"/>
      <c r="F951" s="28"/>
      <c r="G951" s="29"/>
      <c r="H951" s="30"/>
      <c r="I951" s="28"/>
      <c r="J951" s="31" t="str">
        <f aca="false">IF(AND(G951&lt;&gt;"",H951&lt;&gt;""),G951*H951,"")</f>
        <v/>
      </c>
      <c r="K951" s="28"/>
      <c r="L951" s="32"/>
      <c r="M951" s="32"/>
      <c r="N951" s="31" t="n">
        <f aca="false">IF(OR(G951="",M951=""),0,IF(M951&gt;100,M951,G951*IF(M951&gt;1,M951/100,M951)))</f>
        <v>0</v>
      </c>
      <c r="O951" s="31" t="str">
        <f aca="false">IF(G951="","",G951*IF(L951="",0,IF(L951&gt;1,L951/100,L951))+N951)</f>
        <v/>
      </c>
      <c r="P951" s="28"/>
      <c r="Q951" s="33" t="str">
        <f aca="false">IF(P951="","",IFERROR(VLOOKUP(P951,PARTNERS!$A$2:$B$30,2,0),""))</f>
        <v/>
      </c>
      <c r="R951" s="17" t="str">
        <f aca="false">IF(O951="","",IF(OR(P951="",Q951=""),0,(O951-N951)*IF(Q951&gt;1,Q951/100,Q951)))</f>
        <v/>
      </c>
      <c r="S951" s="31" t="str">
        <f aca="false">IF(O951="","",O951-R951)</f>
        <v/>
      </c>
      <c r="T951" s="28"/>
      <c r="U951" s="34" t="str">
        <f aca="false">IF(T951="","",IFERROR(VLOOKUP(T951,REPS!$A$2:$D$40,2,0),""))</f>
        <v/>
      </c>
      <c r="V951" s="31" t="str">
        <f aca="false">IF(O951="","",IF(U951="",0,O951*IF(U951&gt;1,U951/100,U951)))</f>
        <v/>
      </c>
      <c r="W951" s="28"/>
      <c r="X951" s="34" t="str">
        <f aca="false">IF(W951="","",IFERROR(VLOOKUP(W951,REPS!$A$2:$D$40,3,0),""))</f>
        <v/>
      </c>
      <c r="Y951" s="31" t="str">
        <f aca="false">IF(O951="","",IF(X951="",0,O951*IF(X951&gt;1,X951/100,X951)))</f>
        <v/>
      </c>
      <c r="Z951" s="28"/>
      <c r="AA951" s="34" t="str">
        <f aca="false">IF(Z951="","",IFERROR(VLOOKUP(Z951,REPS!$A$2:$D$40,4,0),""))</f>
        <v/>
      </c>
      <c r="AB951" s="31" t="str">
        <f aca="false">IF(O951="","",IF(AA951="",0,O951*IF(AA951&gt;1,AA951/100,AA951)))</f>
        <v/>
      </c>
      <c r="AC951" s="31" t="str">
        <f aca="false">IF(O951="","",V951+Y951+AB951)</f>
        <v/>
      </c>
      <c r="AD951" s="19" t="str">
        <f aca="false">IF(O951="","",O951-R951-AC951)</f>
        <v/>
      </c>
      <c r="AE951" s="20"/>
      <c r="AF951" s="27"/>
      <c r="AG951" s="21" t="n">
        <f aca="false">IF(OR(AE951="",AE951=0),0,AE951*IF(U951="",0,IF(U951&gt;1,U951/100,U951)))</f>
        <v>0</v>
      </c>
      <c r="AH951" s="21" t="n">
        <f aca="false">IF(OR(AE951="",AE951=0),0,AE951*IF(X951="",0,IF(X951&gt;1,X951/100,X951)))</f>
        <v>0</v>
      </c>
      <c r="AI951" s="21" t="n">
        <f aca="false">IF(OR(AE951="",AE951=0),0,AE951*IF(AA951="",0,IF(AA951&gt;1,AA951/100,AA951)))</f>
        <v>0</v>
      </c>
      <c r="AJ951" s="21" t="n">
        <f aca="false">AG951+AH951+AI951</f>
        <v>0</v>
      </c>
      <c r="AK951" s="21" t="n">
        <f aca="false">IF(OR(AE951="",AE951=0),0,AE951-AJ951)</f>
        <v>0</v>
      </c>
      <c r="AL951" s="19" t="str">
        <f aca="false">IF(AD951="","",AD951-AK951)</f>
        <v/>
      </c>
      <c r="AM951" s="26" t="str">
        <f aca="false">IF(C951="","","Waiting for payment")</f>
        <v/>
      </c>
      <c r="AN951" s="27"/>
      <c r="AO951" s="27"/>
      <c r="AP951" s="35" t="str">
        <f aca="false">IF(OR(C951="",I951="",K951=""),"",IF(K951="Monthly",EDATE(C951,ROUND(I951*SETTINGS!$I$8,0)),WORKDAY(C951,ROUND(I951*SETTINGS!$I$8,0))))</f>
        <v/>
      </c>
      <c r="AQ951" s="26" t="str">
        <f aca="true">IF(C951="","",IF(AND(AP951&lt;&gt;"",TODAY()&gt;=AP951),"Refi Ready",IF(TODAY()-C951&gt;=SETTINGS!$I$11,"Prospecting","Performing")))</f>
        <v/>
      </c>
      <c r="AR951" s="35" t="str">
        <f aca="false">IF(OR(C951="",I951="",K951=""),"",IF(K951="Monthly",EDATE(C951,I951),WORKDAY(C951,I951)))</f>
        <v/>
      </c>
      <c r="AS951" s="28"/>
      <c r="AT951" s="36" t="str">
        <f aca="true">IF(C951="","",IF(AM951="Clawed Back","CLAWED",IF(TODAY()&lt;=C951+SETTINGS!$I$2,"⚠ AT RISK","SAFE")))</f>
        <v/>
      </c>
      <c r="AU951" s="28"/>
      <c r="AW951" s="24" t="n">
        <f aca="false">AW950+IF(AND(C951&lt;&gt;"",AO951&lt;&gt;"",OR('REP COMMISSION'!$B$3="",T951='REP COMMISSION'!$B$3,W951='REP COMMISSION'!$B$3,Z951='REP COMMISSION'!$B$3)),1,0)</f>
        <v>0</v>
      </c>
      <c r="AX951" s="24" t="n">
        <f aca="false">AX950+IF(AND(C951&lt;&gt;"",OR(F951="LOC - INITIAL",F951="CONSOLIDATION - UPFRONT COMM",F951="REVERSE - TOTAL FUNDING")),1,0)</f>
        <v>0</v>
      </c>
    </row>
    <row r="952" customFormat="false" ht="15" hidden="false" customHeight="false" outlineLevel="0" collapsed="false">
      <c r="A952" s="8" t="str">
        <f aca="false">IF(C952&lt;&gt;"","F27-"&amp;COUNT($C$4:C952),"")</f>
        <v/>
      </c>
      <c r="B952" s="9" t="str">
        <f aca="false">IF(OR(F952="LOC - INITIAL",F952="CONSOLIDATION - UPFRONT COMM",F952="REVERSE - TOTAL FUNDING"),A952,"")</f>
        <v/>
      </c>
      <c r="C952" s="10"/>
      <c r="D952" s="11"/>
      <c r="E952" s="11"/>
      <c r="F952" s="11"/>
      <c r="G952" s="12"/>
      <c r="H952" s="13"/>
      <c r="I952" s="11"/>
      <c r="J952" s="14" t="str">
        <f aca="false">IF(AND(G952&lt;&gt;"",H952&lt;&gt;""),G952*H952,"")</f>
        <v/>
      </c>
      <c r="K952" s="11"/>
      <c r="L952" s="15"/>
      <c r="M952" s="15"/>
      <c r="N952" s="14" t="n">
        <f aca="false">IF(OR(G952="",M952=""),0,IF(M952&gt;100,M952,G952*IF(M952&gt;1,M952/100,M952)))</f>
        <v>0</v>
      </c>
      <c r="O952" s="14" t="str">
        <f aca="false">IF(G952="","",G952*IF(L952="",0,IF(L952&gt;1,L952/100,L952))+N952)</f>
        <v/>
      </c>
      <c r="P952" s="11"/>
      <c r="Q952" s="16" t="str">
        <f aca="false">IF(P952="","",IFERROR(VLOOKUP(P952,PARTNERS!$A$2:$B$30,2,0),""))</f>
        <v/>
      </c>
      <c r="R952" s="17" t="str">
        <f aca="false">IF(O952="","",IF(OR(P952="",Q952=""),0,(O952-N952)*IF(Q952&gt;1,Q952/100,Q952)))</f>
        <v/>
      </c>
      <c r="S952" s="14" t="str">
        <f aca="false">IF(O952="","",O952-R952)</f>
        <v/>
      </c>
      <c r="T952" s="11"/>
      <c r="U952" s="18" t="str">
        <f aca="false">IF(T952="","",IFERROR(VLOOKUP(T952,REPS!$A$2:$D$40,2,0),""))</f>
        <v/>
      </c>
      <c r="V952" s="14" t="str">
        <f aca="false">IF(O952="","",IF(U952="",0,O952*IF(U952&gt;1,U952/100,U952)))</f>
        <v/>
      </c>
      <c r="W952" s="11"/>
      <c r="X952" s="18" t="str">
        <f aca="false">IF(W952="","",IFERROR(VLOOKUP(W952,REPS!$A$2:$D$40,3,0),""))</f>
        <v/>
      </c>
      <c r="Y952" s="14" t="str">
        <f aca="false">IF(O952="","",IF(X952="",0,O952*IF(X952&gt;1,X952/100,X952)))</f>
        <v/>
      </c>
      <c r="Z952" s="11"/>
      <c r="AA952" s="18" t="str">
        <f aca="false">IF(Z952="","",IFERROR(VLOOKUP(Z952,REPS!$A$2:$D$40,4,0),""))</f>
        <v/>
      </c>
      <c r="AB952" s="14" t="str">
        <f aca="false">IF(O952="","",IF(AA952="",0,O952*IF(AA952&gt;1,AA952/100,AA952)))</f>
        <v/>
      </c>
      <c r="AC952" s="14" t="str">
        <f aca="false">IF(O952="","",V952+Y952+AB952)</f>
        <v/>
      </c>
      <c r="AD952" s="19" t="str">
        <f aca="false">IF(O952="","",O952-R952-AC952)</f>
        <v/>
      </c>
      <c r="AE952" s="20"/>
      <c r="AF952" s="10"/>
      <c r="AG952" s="21" t="n">
        <f aca="false">IF(OR(AE952="",AE952=0),0,AE952*IF(U952="",0,IF(U952&gt;1,U952/100,U952)))</f>
        <v>0</v>
      </c>
      <c r="AH952" s="21" t="n">
        <f aca="false">IF(OR(AE952="",AE952=0),0,AE952*IF(X952="",0,IF(X952&gt;1,X952/100,X952)))</f>
        <v>0</v>
      </c>
      <c r="AI952" s="21" t="n">
        <f aca="false">IF(OR(AE952="",AE952=0),0,AE952*IF(AA952="",0,IF(AA952&gt;1,AA952/100,AA952)))</f>
        <v>0</v>
      </c>
      <c r="AJ952" s="21" t="n">
        <f aca="false">AG952+AH952+AI952</f>
        <v>0</v>
      </c>
      <c r="AK952" s="21" t="n">
        <f aca="false">IF(OR(AE952="",AE952=0),0,AE952-AJ952)</f>
        <v>0</v>
      </c>
      <c r="AL952" s="19" t="str">
        <f aca="false">IF(AD952="","",AD952-AK952)</f>
        <v/>
      </c>
      <c r="AM952" s="9" t="str">
        <f aca="false">IF(C952="","","Waiting for payment")</f>
        <v/>
      </c>
      <c r="AN952" s="10"/>
      <c r="AO952" s="10"/>
      <c r="AP952" s="22" t="str">
        <f aca="false">IF(OR(C952="",I952="",K952=""),"",IF(K952="Monthly",EDATE(C952,ROUND(I952*SETTINGS!$I$8,0)),WORKDAY(C952,ROUND(I952*SETTINGS!$I$8,0))))</f>
        <v/>
      </c>
      <c r="AQ952" s="9" t="str">
        <f aca="true">IF(C952="","",IF(AND(AP952&lt;&gt;"",TODAY()&gt;=AP952),"Refi Ready",IF(TODAY()-C952&gt;=SETTINGS!$I$11,"Prospecting","Performing")))</f>
        <v/>
      </c>
      <c r="AR952" s="22" t="str">
        <f aca="false">IF(OR(C952="",I952="",K952=""),"",IF(K952="Monthly",EDATE(C952,I952),WORKDAY(C952,I952)))</f>
        <v/>
      </c>
      <c r="AS952" s="11"/>
      <c r="AT952" s="23" t="str">
        <f aca="true">IF(C952="","",IF(AM952="Clawed Back","CLAWED",IF(TODAY()&lt;=C952+SETTINGS!$I$2,"⚠ AT RISK","SAFE")))</f>
        <v/>
      </c>
      <c r="AU952" s="11"/>
      <c r="AW952" s="24" t="n">
        <f aca="false">AW951+IF(AND(C952&lt;&gt;"",AO952&lt;&gt;"",OR('REP COMMISSION'!$B$3="",T952='REP COMMISSION'!$B$3,W952='REP COMMISSION'!$B$3,Z952='REP COMMISSION'!$B$3)),1,0)</f>
        <v>0</v>
      </c>
      <c r="AX952" s="24" t="n">
        <f aca="false">AX951+IF(AND(C952&lt;&gt;"",OR(F952="LOC - INITIAL",F952="CONSOLIDATION - UPFRONT COMM",F952="REVERSE - TOTAL FUNDING")),1,0)</f>
        <v>0</v>
      </c>
    </row>
    <row r="953" customFormat="false" ht="15" hidden="false" customHeight="false" outlineLevel="0" collapsed="false">
      <c r="A953" s="25" t="str">
        <f aca="false">IF(C953&lt;&gt;"","F27-"&amp;COUNT($C$4:C953),"")</f>
        <v/>
      </c>
      <c r="B953" s="26" t="str">
        <f aca="false">IF(OR(F953="LOC - INITIAL",F953="CONSOLIDATION - UPFRONT COMM",F953="REVERSE - TOTAL FUNDING"),A953,"")</f>
        <v/>
      </c>
      <c r="C953" s="27"/>
      <c r="D953" s="28"/>
      <c r="E953" s="28"/>
      <c r="F953" s="28"/>
      <c r="G953" s="29"/>
      <c r="H953" s="30"/>
      <c r="I953" s="28"/>
      <c r="J953" s="31" t="str">
        <f aca="false">IF(AND(G953&lt;&gt;"",H953&lt;&gt;""),G953*H953,"")</f>
        <v/>
      </c>
      <c r="K953" s="28"/>
      <c r="L953" s="32"/>
      <c r="M953" s="32"/>
      <c r="N953" s="31" t="n">
        <f aca="false">IF(OR(G953="",M953=""),0,IF(M953&gt;100,M953,G953*IF(M953&gt;1,M953/100,M953)))</f>
        <v>0</v>
      </c>
      <c r="O953" s="31" t="str">
        <f aca="false">IF(G953="","",G953*IF(L953="",0,IF(L953&gt;1,L953/100,L953))+N953)</f>
        <v/>
      </c>
      <c r="P953" s="28"/>
      <c r="Q953" s="33" t="str">
        <f aca="false">IF(P953="","",IFERROR(VLOOKUP(P953,PARTNERS!$A$2:$B$30,2,0),""))</f>
        <v/>
      </c>
      <c r="R953" s="17" t="str">
        <f aca="false">IF(O953="","",IF(OR(P953="",Q953=""),0,(O953-N953)*IF(Q953&gt;1,Q953/100,Q953)))</f>
        <v/>
      </c>
      <c r="S953" s="31" t="str">
        <f aca="false">IF(O953="","",O953-R953)</f>
        <v/>
      </c>
      <c r="T953" s="28"/>
      <c r="U953" s="34" t="str">
        <f aca="false">IF(T953="","",IFERROR(VLOOKUP(T953,REPS!$A$2:$D$40,2,0),""))</f>
        <v/>
      </c>
      <c r="V953" s="31" t="str">
        <f aca="false">IF(O953="","",IF(U953="",0,O953*IF(U953&gt;1,U953/100,U953)))</f>
        <v/>
      </c>
      <c r="W953" s="28"/>
      <c r="X953" s="34" t="str">
        <f aca="false">IF(W953="","",IFERROR(VLOOKUP(W953,REPS!$A$2:$D$40,3,0),""))</f>
        <v/>
      </c>
      <c r="Y953" s="31" t="str">
        <f aca="false">IF(O953="","",IF(X953="",0,O953*IF(X953&gt;1,X953/100,X953)))</f>
        <v/>
      </c>
      <c r="Z953" s="28"/>
      <c r="AA953" s="34" t="str">
        <f aca="false">IF(Z953="","",IFERROR(VLOOKUP(Z953,REPS!$A$2:$D$40,4,0),""))</f>
        <v/>
      </c>
      <c r="AB953" s="31" t="str">
        <f aca="false">IF(O953="","",IF(AA953="",0,O953*IF(AA953&gt;1,AA953/100,AA953)))</f>
        <v/>
      </c>
      <c r="AC953" s="31" t="str">
        <f aca="false">IF(O953="","",V953+Y953+AB953)</f>
        <v/>
      </c>
      <c r="AD953" s="19" t="str">
        <f aca="false">IF(O953="","",O953-R953-AC953)</f>
        <v/>
      </c>
      <c r="AE953" s="20"/>
      <c r="AF953" s="27"/>
      <c r="AG953" s="21" t="n">
        <f aca="false">IF(OR(AE953="",AE953=0),0,AE953*IF(U953="",0,IF(U953&gt;1,U953/100,U953)))</f>
        <v>0</v>
      </c>
      <c r="AH953" s="21" t="n">
        <f aca="false">IF(OR(AE953="",AE953=0),0,AE953*IF(X953="",0,IF(X953&gt;1,X953/100,X953)))</f>
        <v>0</v>
      </c>
      <c r="AI953" s="21" t="n">
        <f aca="false">IF(OR(AE953="",AE953=0),0,AE953*IF(AA953="",0,IF(AA953&gt;1,AA953/100,AA953)))</f>
        <v>0</v>
      </c>
      <c r="AJ953" s="21" t="n">
        <f aca="false">AG953+AH953+AI953</f>
        <v>0</v>
      </c>
      <c r="AK953" s="21" t="n">
        <f aca="false">IF(OR(AE953="",AE953=0),0,AE953-AJ953)</f>
        <v>0</v>
      </c>
      <c r="AL953" s="19" t="str">
        <f aca="false">IF(AD953="","",AD953-AK953)</f>
        <v/>
      </c>
      <c r="AM953" s="26" t="str">
        <f aca="false">IF(C953="","","Waiting for payment")</f>
        <v/>
      </c>
      <c r="AN953" s="27"/>
      <c r="AO953" s="27"/>
      <c r="AP953" s="35" t="str">
        <f aca="false">IF(OR(C953="",I953="",K953=""),"",IF(K953="Monthly",EDATE(C953,ROUND(I953*SETTINGS!$I$8,0)),WORKDAY(C953,ROUND(I953*SETTINGS!$I$8,0))))</f>
        <v/>
      </c>
      <c r="AQ953" s="26" t="str">
        <f aca="true">IF(C953="","",IF(AND(AP953&lt;&gt;"",TODAY()&gt;=AP953),"Refi Ready",IF(TODAY()-C953&gt;=SETTINGS!$I$11,"Prospecting","Performing")))</f>
        <v/>
      </c>
      <c r="AR953" s="35" t="str">
        <f aca="false">IF(OR(C953="",I953="",K953=""),"",IF(K953="Monthly",EDATE(C953,I953),WORKDAY(C953,I953)))</f>
        <v/>
      </c>
      <c r="AS953" s="28"/>
      <c r="AT953" s="36" t="str">
        <f aca="true">IF(C953="","",IF(AM953="Clawed Back","CLAWED",IF(TODAY()&lt;=C953+SETTINGS!$I$2,"⚠ AT RISK","SAFE")))</f>
        <v/>
      </c>
      <c r="AU953" s="28"/>
      <c r="AW953" s="24" t="n">
        <f aca="false">AW952+IF(AND(C953&lt;&gt;"",AO953&lt;&gt;"",OR('REP COMMISSION'!$B$3="",T953='REP COMMISSION'!$B$3,W953='REP COMMISSION'!$B$3,Z953='REP COMMISSION'!$B$3)),1,0)</f>
        <v>0</v>
      </c>
      <c r="AX953" s="24" t="n">
        <f aca="false">AX952+IF(AND(C953&lt;&gt;"",OR(F953="LOC - INITIAL",F953="CONSOLIDATION - UPFRONT COMM",F953="REVERSE - TOTAL FUNDING")),1,0)</f>
        <v>0</v>
      </c>
    </row>
    <row r="954" customFormat="false" ht="15" hidden="false" customHeight="false" outlineLevel="0" collapsed="false">
      <c r="A954" s="8" t="str">
        <f aca="false">IF(C954&lt;&gt;"","F27-"&amp;COUNT($C$4:C954),"")</f>
        <v/>
      </c>
      <c r="B954" s="9" t="str">
        <f aca="false">IF(OR(F954="LOC - INITIAL",F954="CONSOLIDATION - UPFRONT COMM",F954="REVERSE - TOTAL FUNDING"),A954,"")</f>
        <v/>
      </c>
      <c r="C954" s="10"/>
      <c r="D954" s="11"/>
      <c r="E954" s="11"/>
      <c r="F954" s="11"/>
      <c r="G954" s="12"/>
      <c r="H954" s="13"/>
      <c r="I954" s="11"/>
      <c r="J954" s="14" t="str">
        <f aca="false">IF(AND(G954&lt;&gt;"",H954&lt;&gt;""),G954*H954,"")</f>
        <v/>
      </c>
      <c r="K954" s="11"/>
      <c r="L954" s="15"/>
      <c r="M954" s="15"/>
      <c r="N954" s="14" t="n">
        <f aca="false">IF(OR(G954="",M954=""),0,IF(M954&gt;100,M954,G954*IF(M954&gt;1,M954/100,M954)))</f>
        <v>0</v>
      </c>
      <c r="O954" s="14" t="str">
        <f aca="false">IF(G954="","",G954*IF(L954="",0,IF(L954&gt;1,L954/100,L954))+N954)</f>
        <v/>
      </c>
      <c r="P954" s="11"/>
      <c r="Q954" s="16" t="str">
        <f aca="false">IF(P954="","",IFERROR(VLOOKUP(P954,PARTNERS!$A$2:$B$30,2,0),""))</f>
        <v/>
      </c>
      <c r="R954" s="17" t="str">
        <f aca="false">IF(O954="","",IF(OR(P954="",Q954=""),0,(O954-N954)*IF(Q954&gt;1,Q954/100,Q954)))</f>
        <v/>
      </c>
      <c r="S954" s="14" t="str">
        <f aca="false">IF(O954="","",O954-R954)</f>
        <v/>
      </c>
      <c r="T954" s="11"/>
      <c r="U954" s="18" t="str">
        <f aca="false">IF(T954="","",IFERROR(VLOOKUP(T954,REPS!$A$2:$D$40,2,0),""))</f>
        <v/>
      </c>
      <c r="V954" s="14" t="str">
        <f aca="false">IF(O954="","",IF(U954="",0,O954*IF(U954&gt;1,U954/100,U954)))</f>
        <v/>
      </c>
      <c r="W954" s="11"/>
      <c r="X954" s="18" t="str">
        <f aca="false">IF(W954="","",IFERROR(VLOOKUP(W954,REPS!$A$2:$D$40,3,0),""))</f>
        <v/>
      </c>
      <c r="Y954" s="14" t="str">
        <f aca="false">IF(O954="","",IF(X954="",0,O954*IF(X954&gt;1,X954/100,X954)))</f>
        <v/>
      </c>
      <c r="Z954" s="11"/>
      <c r="AA954" s="18" t="str">
        <f aca="false">IF(Z954="","",IFERROR(VLOOKUP(Z954,REPS!$A$2:$D$40,4,0),""))</f>
        <v/>
      </c>
      <c r="AB954" s="14" t="str">
        <f aca="false">IF(O954="","",IF(AA954="",0,O954*IF(AA954&gt;1,AA954/100,AA954)))</f>
        <v/>
      </c>
      <c r="AC954" s="14" t="str">
        <f aca="false">IF(O954="","",V954+Y954+AB954)</f>
        <v/>
      </c>
      <c r="AD954" s="19" t="str">
        <f aca="false">IF(O954="","",O954-R954-AC954)</f>
        <v/>
      </c>
      <c r="AE954" s="20"/>
      <c r="AF954" s="10"/>
      <c r="AG954" s="21" t="n">
        <f aca="false">IF(OR(AE954="",AE954=0),0,AE954*IF(U954="",0,IF(U954&gt;1,U954/100,U954)))</f>
        <v>0</v>
      </c>
      <c r="AH954" s="21" t="n">
        <f aca="false">IF(OR(AE954="",AE954=0),0,AE954*IF(X954="",0,IF(X954&gt;1,X954/100,X954)))</f>
        <v>0</v>
      </c>
      <c r="AI954" s="21" t="n">
        <f aca="false">IF(OR(AE954="",AE954=0),0,AE954*IF(AA954="",0,IF(AA954&gt;1,AA954/100,AA954)))</f>
        <v>0</v>
      </c>
      <c r="AJ954" s="21" t="n">
        <f aca="false">AG954+AH954+AI954</f>
        <v>0</v>
      </c>
      <c r="AK954" s="21" t="n">
        <f aca="false">IF(OR(AE954="",AE954=0),0,AE954-AJ954)</f>
        <v>0</v>
      </c>
      <c r="AL954" s="19" t="str">
        <f aca="false">IF(AD954="","",AD954-AK954)</f>
        <v/>
      </c>
      <c r="AM954" s="9" t="str">
        <f aca="false">IF(C954="","","Waiting for payment")</f>
        <v/>
      </c>
      <c r="AN954" s="10"/>
      <c r="AO954" s="10"/>
      <c r="AP954" s="22" t="str">
        <f aca="false">IF(OR(C954="",I954="",K954=""),"",IF(K954="Monthly",EDATE(C954,ROUND(I954*SETTINGS!$I$8,0)),WORKDAY(C954,ROUND(I954*SETTINGS!$I$8,0))))</f>
        <v/>
      </c>
      <c r="AQ954" s="9" t="str">
        <f aca="true">IF(C954="","",IF(AND(AP954&lt;&gt;"",TODAY()&gt;=AP954),"Refi Ready",IF(TODAY()-C954&gt;=SETTINGS!$I$11,"Prospecting","Performing")))</f>
        <v/>
      </c>
      <c r="AR954" s="22" t="str">
        <f aca="false">IF(OR(C954="",I954="",K954=""),"",IF(K954="Monthly",EDATE(C954,I954),WORKDAY(C954,I954)))</f>
        <v/>
      </c>
      <c r="AS954" s="11"/>
      <c r="AT954" s="23" t="str">
        <f aca="true">IF(C954="","",IF(AM954="Clawed Back","CLAWED",IF(TODAY()&lt;=C954+SETTINGS!$I$2,"⚠ AT RISK","SAFE")))</f>
        <v/>
      </c>
      <c r="AU954" s="11"/>
      <c r="AW954" s="24" t="n">
        <f aca="false">AW953+IF(AND(C954&lt;&gt;"",AO954&lt;&gt;"",OR('REP COMMISSION'!$B$3="",T954='REP COMMISSION'!$B$3,W954='REP COMMISSION'!$B$3,Z954='REP COMMISSION'!$B$3)),1,0)</f>
        <v>0</v>
      </c>
      <c r="AX954" s="24" t="n">
        <f aca="false">AX953+IF(AND(C954&lt;&gt;"",OR(F954="LOC - INITIAL",F954="CONSOLIDATION - UPFRONT COMM",F954="REVERSE - TOTAL FUNDING")),1,0)</f>
        <v>0</v>
      </c>
    </row>
    <row r="955" customFormat="false" ht="15" hidden="false" customHeight="false" outlineLevel="0" collapsed="false">
      <c r="A955" s="25" t="str">
        <f aca="false">IF(C955&lt;&gt;"","F27-"&amp;COUNT($C$4:C955),"")</f>
        <v/>
      </c>
      <c r="B955" s="26" t="str">
        <f aca="false">IF(OR(F955="LOC - INITIAL",F955="CONSOLIDATION - UPFRONT COMM",F955="REVERSE - TOTAL FUNDING"),A955,"")</f>
        <v/>
      </c>
      <c r="C955" s="27"/>
      <c r="D955" s="28"/>
      <c r="E955" s="28"/>
      <c r="F955" s="28"/>
      <c r="G955" s="29"/>
      <c r="H955" s="30"/>
      <c r="I955" s="28"/>
      <c r="J955" s="31" t="str">
        <f aca="false">IF(AND(G955&lt;&gt;"",H955&lt;&gt;""),G955*H955,"")</f>
        <v/>
      </c>
      <c r="K955" s="28"/>
      <c r="L955" s="32"/>
      <c r="M955" s="32"/>
      <c r="N955" s="31" t="n">
        <f aca="false">IF(OR(G955="",M955=""),0,IF(M955&gt;100,M955,G955*IF(M955&gt;1,M955/100,M955)))</f>
        <v>0</v>
      </c>
      <c r="O955" s="31" t="str">
        <f aca="false">IF(G955="","",G955*IF(L955="",0,IF(L955&gt;1,L955/100,L955))+N955)</f>
        <v/>
      </c>
      <c r="P955" s="28"/>
      <c r="Q955" s="33" t="str">
        <f aca="false">IF(P955="","",IFERROR(VLOOKUP(P955,PARTNERS!$A$2:$B$30,2,0),""))</f>
        <v/>
      </c>
      <c r="R955" s="17" t="str">
        <f aca="false">IF(O955="","",IF(OR(P955="",Q955=""),0,(O955-N955)*IF(Q955&gt;1,Q955/100,Q955)))</f>
        <v/>
      </c>
      <c r="S955" s="31" t="str">
        <f aca="false">IF(O955="","",O955-R955)</f>
        <v/>
      </c>
      <c r="T955" s="28"/>
      <c r="U955" s="34" t="str">
        <f aca="false">IF(T955="","",IFERROR(VLOOKUP(T955,REPS!$A$2:$D$40,2,0),""))</f>
        <v/>
      </c>
      <c r="V955" s="31" t="str">
        <f aca="false">IF(O955="","",IF(U955="",0,O955*IF(U955&gt;1,U955/100,U955)))</f>
        <v/>
      </c>
      <c r="W955" s="28"/>
      <c r="X955" s="34" t="str">
        <f aca="false">IF(W955="","",IFERROR(VLOOKUP(W955,REPS!$A$2:$D$40,3,0),""))</f>
        <v/>
      </c>
      <c r="Y955" s="31" t="str">
        <f aca="false">IF(O955="","",IF(X955="",0,O955*IF(X955&gt;1,X955/100,X955)))</f>
        <v/>
      </c>
      <c r="Z955" s="28"/>
      <c r="AA955" s="34" t="str">
        <f aca="false">IF(Z955="","",IFERROR(VLOOKUP(Z955,REPS!$A$2:$D$40,4,0),""))</f>
        <v/>
      </c>
      <c r="AB955" s="31" t="str">
        <f aca="false">IF(O955="","",IF(AA955="",0,O955*IF(AA955&gt;1,AA955/100,AA955)))</f>
        <v/>
      </c>
      <c r="AC955" s="31" t="str">
        <f aca="false">IF(O955="","",V955+Y955+AB955)</f>
        <v/>
      </c>
      <c r="AD955" s="19" t="str">
        <f aca="false">IF(O955="","",O955-R955-AC955)</f>
        <v/>
      </c>
      <c r="AE955" s="20"/>
      <c r="AF955" s="27"/>
      <c r="AG955" s="21" t="n">
        <f aca="false">IF(OR(AE955="",AE955=0),0,AE955*IF(U955="",0,IF(U955&gt;1,U955/100,U955)))</f>
        <v>0</v>
      </c>
      <c r="AH955" s="21" t="n">
        <f aca="false">IF(OR(AE955="",AE955=0),0,AE955*IF(X955="",0,IF(X955&gt;1,X955/100,X955)))</f>
        <v>0</v>
      </c>
      <c r="AI955" s="21" t="n">
        <f aca="false">IF(OR(AE955="",AE955=0),0,AE955*IF(AA955="",0,IF(AA955&gt;1,AA955/100,AA955)))</f>
        <v>0</v>
      </c>
      <c r="AJ955" s="21" t="n">
        <f aca="false">AG955+AH955+AI955</f>
        <v>0</v>
      </c>
      <c r="AK955" s="21" t="n">
        <f aca="false">IF(OR(AE955="",AE955=0),0,AE955-AJ955)</f>
        <v>0</v>
      </c>
      <c r="AL955" s="19" t="str">
        <f aca="false">IF(AD955="","",AD955-AK955)</f>
        <v/>
      </c>
      <c r="AM955" s="26" t="str">
        <f aca="false">IF(C955="","","Waiting for payment")</f>
        <v/>
      </c>
      <c r="AN955" s="27"/>
      <c r="AO955" s="27"/>
      <c r="AP955" s="35" t="str">
        <f aca="false">IF(OR(C955="",I955="",K955=""),"",IF(K955="Monthly",EDATE(C955,ROUND(I955*SETTINGS!$I$8,0)),WORKDAY(C955,ROUND(I955*SETTINGS!$I$8,0))))</f>
        <v/>
      </c>
      <c r="AQ955" s="26" t="str">
        <f aca="true">IF(C955="","",IF(AND(AP955&lt;&gt;"",TODAY()&gt;=AP955),"Refi Ready",IF(TODAY()-C955&gt;=SETTINGS!$I$11,"Prospecting","Performing")))</f>
        <v/>
      </c>
      <c r="AR955" s="35" t="str">
        <f aca="false">IF(OR(C955="",I955="",K955=""),"",IF(K955="Monthly",EDATE(C955,I955),WORKDAY(C955,I955)))</f>
        <v/>
      </c>
      <c r="AS955" s="28"/>
      <c r="AT955" s="36" t="str">
        <f aca="true">IF(C955="","",IF(AM955="Clawed Back","CLAWED",IF(TODAY()&lt;=C955+SETTINGS!$I$2,"⚠ AT RISK","SAFE")))</f>
        <v/>
      </c>
      <c r="AU955" s="28"/>
      <c r="AW955" s="24" t="n">
        <f aca="false">AW954+IF(AND(C955&lt;&gt;"",AO955&lt;&gt;"",OR('REP COMMISSION'!$B$3="",T955='REP COMMISSION'!$B$3,W955='REP COMMISSION'!$B$3,Z955='REP COMMISSION'!$B$3)),1,0)</f>
        <v>0</v>
      </c>
      <c r="AX955" s="24" t="n">
        <f aca="false">AX954+IF(AND(C955&lt;&gt;"",OR(F955="LOC - INITIAL",F955="CONSOLIDATION - UPFRONT COMM",F955="REVERSE - TOTAL FUNDING")),1,0)</f>
        <v>0</v>
      </c>
    </row>
    <row r="956" customFormat="false" ht="15" hidden="false" customHeight="false" outlineLevel="0" collapsed="false">
      <c r="A956" s="8" t="str">
        <f aca="false">IF(C956&lt;&gt;"","F27-"&amp;COUNT($C$4:C956),"")</f>
        <v/>
      </c>
      <c r="B956" s="9" t="str">
        <f aca="false">IF(OR(F956="LOC - INITIAL",F956="CONSOLIDATION - UPFRONT COMM",F956="REVERSE - TOTAL FUNDING"),A956,"")</f>
        <v/>
      </c>
      <c r="C956" s="10"/>
      <c r="D956" s="11"/>
      <c r="E956" s="11"/>
      <c r="F956" s="11"/>
      <c r="G956" s="12"/>
      <c r="H956" s="13"/>
      <c r="I956" s="11"/>
      <c r="J956" s="14" t="str">
        <f aca="false">IF(AND(G956&lt;&gt;"",H956&lt;&gt;""),G956*H956,"")</f>
        <v/>
      </c>
      <c r="K956" s="11"/>
      <c r="L956" s="15"/>
      <c r="M956" s="15"/>
      <c r="N956" s="14" t="n">
        <f aca="false">IF(OR(G956="",M956=""),0,IF(M956&gt;100,M956,G956*IF(M956&gt;1,M956/100,M956)))</f>
        <v>0</v>
      </c>
      <c r="O956" s="14" t="str">
        <f aca="false">IF(G956="","",G956*IF(L956="",0,IF(L956&gt;1,L956/100,L956))+N956)</f>
        <v/>
      </c>
      <c r="P956" s="11"/>
      <c r="Q956" s="16" t="str">
        <f aca="false">IF(P956="","",IFERROR(VLOOKUP(P956,PARTNERS!$A$2:$B$30,2,0),""))</f>
        <v/>
      </c>
      <c r="R956" s="17" t="str">
        <f aca="false">IF(O956="","",IF(OR(P956="",Q956=""),0,(O956-N956)*IF(Q956&gt;1,Q956/100,Q956)))</f>
        <v/>
      </c>
      <c r="S956" s="14" t="str">
        <f aca="false">IF(O956="","",O956-R956)</f>
        <v/>
      </c>
      <c r="T956" s="11"/>
      <c r="U956" s="18" t="str">
        <f aca="false">IF(T956="","",IFERROR(VLOOKUP(T956,REPS!$A$2:$D$40,2,0),""))</f>
        <v/>
      </c>
      <c r="V956" s="14" t="str">
        <f aca="false">IF(O956="","",IF(U956="",0,O956*IF(U956&gt;1,U956/100,U956)))</f>
        <v/>
      </c>
      <c r="W956" s="11"/>
      <c r="X956" s="18" t="str">
        <f aca="false">IF(W956="","",IFERROR(VLOOKUP(W956,REPS!$A$2:$D$40,3,0),""))</f>
        <v/>
      </c>
      <c r="Y956" s="14" t="str">
        <f aca="false">IF(O956="","",IF(X956="",0,O956*IF(X956&gt;1,X956/100,X956)))</f>
        <v/>
      </c>
      <c r="Z956" s="11"/>
      <c r="AA956" s="18" t="str">
        <f aca="false">IF(Z956="","",IFERROR(VLOOKUP(Z956,REPS!$A$2:$D$40,4,0),""))</f>
        <v/>
      </c>
      <c r="AB956" s="14" t="str">
        <f aca="false">IF(O956="","",IF(AA956="",0,O956*IF(AA956&gt;1,AA956/100,AA956)))</f>
        <v/>
      </c>
      <c r="AC956" s="14" t="str">
        <f aca="false">IF(O956="","",V956+Y956+AB956)</f>
        <v/>
      </c>
      <c r="AD956" s="19" t="str">
        <f aca="false">IF(O956="","",O956-R956-AC956)</f>
        <v/>
      </c>
      <c r="AE956" s="20"/>
      <c r="AF956" s="10"/>
      <c r="AG956" s="21" t="n">
        <f aca="false">IF(OR(AE956="",AE956=0),0,AE956*IF(U956="",0,IF(U956&gt;1,U956/100,U956)))</f>
        <v>0</v>
      </c>
      <c r="AH956" s="21" t="n">
        <f aca="false">IF(OR(AE956="",AE956=0),0,AE956*IF(X956="",0,IF(X956&gt;1,X956/100,X956)))</f>
        <v>0</v>
      </c>
      <c r="AI956" s="21" t="n">
        <f aca="false">IF(OR(AE956="",AE956=0),0,AE956*IF(AA956="",0,IF(AA956&gt;1,AA956/100,AA956)))</f>
        <v>0</v>
      </c>
      <c r="AJ956" s="21" t="n">
        <f aca="false">AG956+AH956+AI956</f>
        <v>0</v>
      </c>
      <c r="AK956" s="21" t="n">
        <f aca="false">IF(OR(AE956="",AE956=0),0,AE956-AJ956)</f>
        <v>0</v>
      </c>
      <c r="AL956" s="19" t="str">
        <f aca="false">IF(AD956="","",AD956-AK956)</f>
        <v/>
      </c>
      <c r="AM956" s="9" t="str">
        <f aca="false">IF(C956="","","Waiting for payment")</f>
        <v/>
      </c>
      <c r="AN956" s="10"/>
      <c r="AO956" s="10"/>
      <c r="AP956" s="22" t="str">
        <f aca="false">IF(OR(C956="",I956="",K956=""),"",IF(K956="Monthly",EDATE(C956,ROUND(I956*SETTINGS!$I$8,0)),WORKDAY(C956,ROUND(I956*SETTINGS!$I$8,0))))</f>
        <v/>
      </c>
      <c r="AQ956" s="9" t="str">
        <f aca="true">IF(C956="","",IF(AND(AP956&lt;&gt;"",TODAY()&gt;=AP956),"Refi Ready",IF(TODAY()-C956&gt;=SETTINGS!$I$11,"Prospecting","Performing")))</f>
        <v/>
      </c>
      <c r="AR956" s="22" t="str">
        <f aca="false">IF(OR(C956="",I956="",K956=""),"",IF(K956="Monthly",EDATE(C956,I956),WORKDAY(C956,I956)))</f>
        <v/>
      </c>
      <c r="AS956" s="11"/>
      <c r="AT956" s="23" t="str">
        <f aca="true">IF(C956="","",IF(AM956="Clawed Back","CLAWED",IF(TODAY()&lt;=C956+SETTINGS!$I$2,"⚠ AT RISK","SAFE")))</f>
        <v/>
      </c>
      <c r="AU956" s="11"/>
      <c r="AW956" s="24" t="n">
        <f aca="false">AW955+IF(AND(C956&lt;&gt;"",AO956&lt;&gt;"",OR('REP COMMISSION'!$B$3="",T956='REP COMMISSION'!$B$3,W956='REP COMMISSION'!$B$3,Z956='REP COMMISSION'!$B$3)),1,0)</f>
        <v>0</v>
      </c>
      <c r="AX956" s="24" t="n">
        <f aca="false">AX955+IF(AND(C956&lt;&gt;"",OR(F956="LOC - INITIAL",F956="CONSOLIDATION - UPFRONT COMM",F956="REVERSE - TOTAL FUNDING")),1,0)</f>
        <v>0</v>
      </c>
    </row>
    <row r="957" customFormat="false" ht="15" hidden="false" customHeight="false" outlineLevel="0" collapsed="false">
      <c r="A957" s="25" t="str">
        <f aca="false">IF(C957&lt;&gt;"","F27-"&amp;COUNT($C$4:C957),"")</f>
        <v/>
      </c>
      <c r="B957" s="26" t="str">
        <f aca="false">IF(OR(F957="LOC - INITIAL",F957="CONSOLIDATION - UPFRONT COMM",F957="REVERSE - TOTAL FUNDING"),A957,"")</f>
        <v/>
      </c>
      <c r="C957" s="27"/>
      <c r="D957" s="28"/>
      <c r="E957" s="28"/>
      <c r="F957" s="28"/>
      <c r="G957" s="29"/>
      <c r="H957" s="30"/>
      <c r="I957" s="28"/>
      <c r="J957" s="31" t="str">
        <f aca="false">IF(AND(G957&lt;&gt;"",H957&lt;&gt;""),G957*H957,"")</f>
        <v/>
      </c>
      <c r="K957" s="28"/>
      <c r="L957" s="32"/>
      <c r="M957" s="32"/>
      <c r="N957" s="31" t="n">
        <f aca="false">IF(OR(G957="",M957=""),0,IF(M957&gt;100,M957,G957*IF(M957&gt;1,M957/100,M957)))</f>
        <v>0</v>
      </c>
      <c r="O957" s="31" t="str">
        <f aca="false">IF(G957="","",G957*IF(L957="",0,IF(L957&gt;1,L957/100,L957))+N957)</f>
        <v/>
      </c>
      <c r="P957" s="28"/>
      <c r="Q957" s="33" t="str">
        <f aca="false">IF(P957="","",IFERROR(VLOOKUP(P957,PARTNERS!$A$2:$B$30,2,0),""))</f>
        <v/>
      </c>
      <c r="R957" s="17" t="str">
        <f aca="false">IF(O957="","",IF(OR(P957="",Q957=""),0,(O957-N957)*IF(Q957&gt;1,Q957/100,Q957)))</f>
        <v/>
      </c>
      <c r="S957" s="31" t="str">
        <f aca="false">IF(O957="","",O957-R957)</f>
        <v/>
      </c>
      <c r="T957" s="28"/>
      <c r="U957" s="34" t="str">
        <f aca="false">IF(T957="","",IFERROR(VLOOKUP(T957,REPS!$A$2:$D$40,2,0),""))</f>
        <v/>
      </c>
      <c r="V957" s="31" t="str">
        <f aca="false">IF(O957="","",IF(U957="",0,O957*IF(U957&gt;1,U957/100,U957)))</f>
        <v/>
      </c>
      <c r="W957" s="28"/>
      <c r="X957" s="34" t="str">
        <f aca="false">IF(W957="","",IFERROR(VLOOKUP(W957,REPS!$A$2:$D$40,3,0),""))</f>
        <v/>
      </c>
      <c r="Y957" s="31" t="str">
        <f aca="false">IF(O957="","",IF(X957="",0,O957*IF(X957&gt;1,X957/100,X957)))</f>
        <v/>
      </c>
      <c r="Z957" s="28"/>
      <c r="AA957" s="34" t="str">
        <f aca="false">IF(Z957="","",IFERROR(VLOOKUP(Z957,REPS!$A$2:$D$40,4,0),""))</f>
        <v/>
      </c>
      <c r="AB957" s="31" t="str">
        <f aca="false">IF(O957="","",IF(AA957="",0,O957*IF(AA957&gt;1,AA957/100,AA957)))</f>
        <v/>
      </c>
      <c r="AC957" s="31" t="str">
        <f aca="false">IF(O957="","",V957+Y957+AB957)</f>
        <v/>
      </c>
      <c r="AD957" s="19" t="str">
        <f aca="false">IF(O957="","",O957-R957-AC957)</f>
        <v/>
      </c>
      <c r="AE957" s="20"/>
      <c r="AF957" s="27"/>
      <c r="AG957" s="21" t="n">
        <f aca="false">IF(OR(AE957="",AE957=0),0,AE957*IF(U957="",0,IF(U957&gt;1,U957/100,U957)))</f>
        <v>0</v>
      </c>
      <c r="AH957" s="21" t="n">
        <f aca="false">IF(OR(AE957="",AE957=0),0,AE957*IF(X957="",0,IF(X957&gt;1,X957/100,X957)))</f>
        <v>0</v>
      </c>
      <c r="AI957" s="21" t="n">
        <f aca="false">IF(OR(AE957="",AE957=0),0,AE957*IF(AA957="",0,IF(AA957&gt;1,AA957/100,AA957)))</f>
        <v>0</v>
      </c>
      <c r="AJ957" s="21" t="n">
        <f aca="false">AG957+AH957+AI957</f>
        <v>0</v>
      </c>
      <c r="AK957" s="21" t="n">
        <f aca="false">IF(OR(AE957="",AE957=0),0,AE957-AJ957)</f>
        <v>0</v>
      </c>
      <c r="AL957" s="19" t="str">
        <f aca="false">IF(AD957="","",AD957-AK957)</f>
        <v/>
      </c>
      <c r="AM957" s="26" t="str">
        <f aca="false">IF(C957="","","Waiting for payment")</f>
        <v/>
      </c>
      <c r="AN957" s="27"/>
      <c r="AO957" s="27"/>
      <c r="AP957" s="35" t="str">
        <f aca="false">IF(OR(C957="",I957="",K957=""),"",IF(K957="Monthly",EDATE(C957,ROUND(I957*SETTINGS!$I$8,0)),WORKDAY(C957,ROUND(I957*SETTINGS!$I$8,0))))</f>
        <v/>
      </c>
      <c r="AQ957" s="26" t="str">
        <f aca="true">IF(C957="","",IF(AND(AP957&lt;&gt;"",TODAY()&gt;=AP957),"Refi Ready",IF(TODAY()-C957&gt;=SETTINGS!$I$11,"Prospecting","Performing")))</f>
        <v/>
      </c>
      <c r="AR957" s="35" t="str">
        <f aca="false">IF(OR(C957="",I957="",K957=""),"",IF(K957="Monthly",EDATE(C957,I957),WORKDAY(C957,I957)))</f>
        <v/>
      </c>
      <c r="AS957" s="28"/>
      <c r="AT957" s="36" t="str">
        <f aca="true">IF(C957="","",IF(AM957="Clawed Back","CLAWED",IF(TODAY()&lt;=C957+SETTINGS!$I$2,"⚠ AT RISK","SAFE")))</f>
        <v/>
      </c>
      <c r="AU957" s="28"/>
      <c r="AW957" s="24" t="n">
        <f aca="false">AW956+IF(AND(C957&lt;&gt;"",AO957&lt;&gt;"",OR('REP COMMISSION'!$B$3="",T957='REP COMMISSION'!$B$3,W957='REP COMMISSION'!$B$3,Z957='REP COMMISSION'!$B$3)),1,0)</f>
        <v>0</v>
      </c>
      <c r="AX957" s="24" t="n">
        <f aca="false">AX956+IF(AND(C957&lt;&gt;"",OR(F957="LOC - INITIAL",F957="CONSOLIDATION - UPFRONT COMM",F957="REVERSE - TOTAL FUNDING")),1,0)</f>
        <v>0</v>
      </c>
    </row>
    <row r="958" customFormat="false" ht="15" hidden="false" customHeight="false" outlineLevel="0" collapsed="false">
      <c r="A958" s="8" t="str">
        <f aca="false">IF(C958&lt;&gt;"","F27-"&amp;COUNT($C$4:C958),"")</f>
        <v/>
      </c>
      <c r="B958" s="9" t="str">
        <f aca="false">IF(OR(F958="LOC - INITIAL",F958="CONSOLIDATION - UPFRONT COMM",F958="REVERSE - TOTAL FUNDING"),A958,"")</f>
        <v/>
      </c>
      <c r="C958" s="10"/>
      <c r="D958" s="11"/>
      <c r="E958" s="11"/>
      <c r="F958" s="11"/>
      <c r="G958" s="12"/>
      <c r="H958" s="13"/>
      <c r="I958" s="11"/>
      <c r="J958" s="14" t="str">
        <f aca="false">IF(AND(G958&lt;&gt;"",H958&lt;&gt;""),G958*H958,"")</f>
        <v/>
      </c>
      <c r="K958" s="11"/>
      <c r="L958" s="15"/>
      <c r="M958" s="15"/>
      <c r="N958" s="14" t="n">
        <f aca="false">IF(OR(G958="",M958=""),0,IF(M958&gt;100,M958,G958*IF(M958&gt;1,M958/100,M958)))</f>
        <v>0</v>
      </c>
      <c r="O958" s="14" t="str">
        <f aca="false">IF(G958="","",G958*IF(L958="",0,IF(L958&gt;1,L958/100,L958))+N958)</f>
        <v/>
      </c>
      <c r="P958" s="11"/>
      <c r="Q958" s="16" t="str">
        <f aca="false">IF(P958="","",IFERROR(VLOOKUP(P958,PARTNERS!$A$2:$B$30,2,0),""))</f>
        <v/>
      </c>
      <c r="R958" s="17" t="str">
        <f aca="false">IF(O958="","",IF(OR(P958="",Q958=""),0,(O958-N958)*IF(Q958&gt;1,Q958/100,Q958)))</f>
        <v/>
      </c>
      <c r="S958" s="14" t="str">
        <f aca="false">IF(O958="","",O958-R958)</f>
        <v/>
      </c>
      <c r="T958" s="11"/>
      <c r="U958" s="18" t="str">
        <f aca="false">IF(T958="","",IFERROR(VLOOKUP(T958,REPS!$A$2:$D$40,2,0),""))</f>
        <v/>
      </c>
      <c r="V958" s="14" t="str">
        <f aca="false">IF(O958="","",IF(U958="",0,O958*IF(U958&gt;1,U958/100,U958)))</f>
        <v/>
      </c>
      <c r="W958" s="11"/>
      <c r="X958" s="18" t="str">
        <f aca="false">IF(W958="","",IFERROR(VLOOKUP(W958,REPS!$A$2:$D$40,3,0),""))</f>
        <v/>
      </c>
      <c r="Y958" s="14" t="str">
        <f aca="false">IF(O958="","",IF(X958="",0,O958*IF(X958&gt;1,X958/100,X958)))</f>
        <v/>
      </c>
      <c r="Z958" s="11"/>
      <c r="AA958" s="18" t="str">
        <f aca="false">IF(Z958="","",IFERROR(VLOOKUP(Z958,REPS!$A$2:$D$40,4,0),""))</f>
        <v/>
      </c>
      <c r="AB958" s="14" t="str">
        <f aca="false">IF(O958="","",IF(AA958="",0,O958*IF(AA958&gt;1,AA958/100,AA958)))</f>
        <v/>
      </c>
      <c r="AC958" s="14" t="str">
        <f aca="false">IF(O958="","",V958+Y958+AB958)</f>
        <v/>
      </c>
      <c r="AD958" s="19" t="str">
        <f aca="false">IF(O958="","",O958-R958-AC958)</f>
        <v/>
      </c>
      <c r="AE958" s="20"/>
      <c r="AF958" s="10"/>
      <c r="AG958" s="21" t="n">
        <f aca="false">IF(OR(AE958="",AE958=0),0,AE958*IF(U958="",0,IF(U958&gt;1,U958/100,U958)))</f>
        <v>0</v>
      </c>
      <c r="AH958" s="21" t="n">
        <f aca="false">IF(OR(AE958="",AE958=0),0,AE958*IF(X958="",0,IF(X958&gt;1,X958/100,X958)))</f>
        <v>0</v>
      </c>
      <c r="AI958" s="21" t="n">
        <f aca="false">IF(OR(AE958="",AE958=0),0,AE958*IF(AA958="",0,IF(AA958&gt;1,AA958/100,AA958)))</f>
        <v>0</v>
      </c>
      <c r="AJ958" s="21" t="n">
        <f aca="false">AG958+AH958+AI958</f>
        <v>0</v>
      </c>
      <c r="AK958" s="21" t="n">
        <f aca="false">IF(OR(AE958="",AE958=0),0,AE958-AJ958)</f>
        <v>0</v>
      </c>
      <c r="AL958" s="19" t="str">
        <f aca="false">IF(AD958="","",AD958-AK958)</f>
        <v/>
      </c>
      <c r="AM958" s="9" t="str">
        <f aca="false">IF(C958="","","Waiting for payment")</f>
        <v/>
      </c>
      <c r="AN958" s="10"/>
      <c r="AO958" s="10"/>
      <c r="AP958" s="22" t="str">
        <f aca="false">IF(OR(C958="",I958="",K958=""),"",IF(K958="Monthly",EDATE(C958,ROUND(I958*SETTINGS!$I$8,0)),WORKDAY(C958,ROUND(I958*SETTINGS!$I$8,0))))</f>
        <v/>
      </c>
      <c r="AQ958" s="9" t="str">
        <f aca="true">IF(C958="","",IF(AND(AP958&lt;&gt;"",TODAY()&gt;=AP958),"Refi Ready",IF(TODAY()-C958&gt;=SETTINGS!$I$11,"Prospecting","Performing")))</f>
        <v/>
      </c>
      <c r="AR958" s="22" t="str">
        <f aca="false">IF(OR(C958="",I958="",K958=""),"",IF(K958="Monthly",EDATE(C958,I958),WORKDAY(C958,I958)))</f>
        <v/>
      </c>
      <c r="AS958" s="11"/>
      <c r="AT958" s="23" t="str">
        <f aca="true">IF(C958="","",IF(AM958="Clawed Back","CLAWED",IF(TODAY()&lt;=C958+SETTINGS!$I$2,"⚠ AT RISK","SAFE")))</f>
        <v/>
      </c>
      <c r="AU958" s="11"/>
      <c r="AW958" s="24" t="n">
        <f aca="false">AW957+IF(AND(C958&lt;&gt;"",AO958&lt;&gt;"",OR('REP COMMISSION'!$B$3="",T958='REP COMMISSION'!$B$3,W958='REP COMMISSION'!$B$3,Z958='REP COMMISSION'!$B$3)),1,0)</f>
        <v>0</v>
      </c>
      <c r="AX958" s="24" t="n">
        <f aca="false">AX957+IF(AND(C958&lt;&gt;"",OR(F958="LOC - INITIAL",F958="CONSOLIDATION - UPFRONT COMM",F958="REVERSE - TOTAL FUNDING")),1,0)</f>
        <v>0</v>
      </c>
    </row>
    <row r="959" customFormat="false" ht="15" hidden="false" customHeight="false" outlineLevel="0" collapsed="false">
      <c r="A959" s="25" t="str">
        <f aca="false">IF(C959&lt;&gt;"","F27-"&amp;COUNT($C$4:C959),"")</f>
        <v/>
      </c>
      <c r="B959" s="26" t="str">
        <f aca="false">IF(OR(F959="LOC - INITIAL",F959="CONSOLIDATION - UPFRONT COMM",F959="REVERSE - TOTAL FUNDING"),A959,"")</f>
        <v/>
      </c>
      <c r="C959" s="27"/>
      <c r="D959" s="28"/>
      <c r="E959" s="28"/>
      <c r="F959" s="28"/>
      <c r="G959" s="29"/>
      <c r="H959" s="30"/>
      <c r="I959" s="28"/>
      <c r="J959" s="31" t="str">
        <f aca="false">IF(AND(G959&lt;&gt;"",H959&lt;&gt;""),G959*H959,"")</f>
        <v/>
      </c>
      <c r="K959" s="28"/>
      <c r="L959" s="32"/>
      <c r="M959" s="32"/>
      <c r="N959" s="31" t="n">
        <f aca="false">IF(OR(G959="",M959=""),0,IF(M959&gt;100,M959,G959*IF(M959&gt;1,M959/100,M959)))</f>
        <v>0</v>
      </c>
      <c r="O959" s="31" t="str">
        <f aca="false">IF(G959="","",G959*IF(L959="",0,IF(L959&gt;1,L959/100,L959))+N959)</f>
        <v/>
      </c>
      <c r="P959" s="28"/>
      <c r="Q959" s="33" t="str">
        <f aca="false">IF(P959="","",IFERROR(VLOOKUP(P959,PARTNERS!$A$2:$B$30,2,0),""))</f>
        <v/>
      </c>
      <c r="R959" s="17" t="str">
        <f aca="false">IF(O959="","",IF(OR(P959="",Q959=""),0,(O959-N959)*IF(Q959&gt;1,Q959/100,Q959)))</f>
        <v/>
      </c>
      <c r="S959" s="31" t="str">
        <f aca="false">IF(O959="","",O959-R959)</f>
        <v/>
      </c>
      <c r="T959" s="28"/>
      <c r="U959" s="34" t="str">
        <f aca="false">IF(T959="","",IFERROR(VLOOKUP(T959,REPS!$A$2:$D$40,2,0),""))</f>
        <v/>
      </c>
      <c r="V959" s="31" t="str">
        <f aca="false">IF(O959="","",IF(U959="",0,O959*IF(U959&gt;1,U959/100,U959)))</f>
        <v/>
      </c>
      <c r="W959" s="28"/>
      <c r="X959" s="34" t="str">
        <f aca="false">IF(W959="","",IFERROR(VLOOKUP(W959,REPS!$A$2:$D$40,3,0),""))</f>
        <v/>
      </c>
      <c r="Y959" s="31" t="str">
        <f aca="false">IF(O959="","",IF(X959="",0,O959*IF(X959&gt;1,X959/100,X959)))</f>
        <v/>
      </c>
      <c r="Z959" s="28"/>
      <c r="AA959" s="34" t="str">
        <f aca="false">IF(Z959="","",IFERROR(VLOOKUP(Z959,REPS!$A$2:$D$40,4,0),""))</f>
        <v/>
      </c>
      <c r="AB959" s="31" t="str">
        <f aca="false">IF(O959="","",IF(AA959="",0,O959*IF(AA959&gt;1,AA959/100,AA959)))</f>
        <v/>
      </c>
      <c r="AC959" s="31" t="str">
        <f aca="false">IF(O959="","",V959+Y959+AB959)</f>
        <v/>
      </c>
      <c r="AD959" s="19" t="str">
        <f aca="false">IF(O959="","",O959-R959-AC959)</f>
        <v/>
      </c>
      <c r="AE959" s="20"/>
      <c r="AF959" s="27"/>
      <c r="AG959" s="21" t="n">
        <f aca="false">IF(OR(AE959="",AE959=0),0,AE959*IF(U959="",0,IF(U959&gt;1,U959/100,U959)))</f>
        <v>0</v>
      </c>
      <c r="AH959" s="21" t="n">
        <f aca="false">IF(OR(AE959="",AE959=0),0,AE959*IF(X959="",0,IF(X959&gt;1,X959/100,X959)))</f>
        <v>0</v>
      </c>
      <c r="AI959" s="21" t="n">
        <f aca="false">IF(OR(AE959="",AE959=0),0,AE959*IF(AA959="",0,IF(AA959&gt;1,AA959/100,AA959)))</f>
        <v>0</v>
      </c>
      <c r="AJ959" s="21" t="n">
        <f aca="false">AG959+AH959+AI959</f>
        <v>0</v>
      </c>
      <c r="AK959" s="21" t="n">
        <f aca="false">IF(OR(AE959="",AE959=0),0,AE959-AJ959)</f>
        <v>0</v>
      </c>
      <c r="AL959" s="19" t="str">
        <f aca="false">IF(AD959="","",AD959-AK959)</f>
        <v/>
      </c>
      <c r="AM959" s="26" t="str">
        <f aca="false">IF(C959="","","Waiting for payment")</f>
        <v/>
      </c>
      <c r="AN959" s="27"/>
      <c r="AO959" s="27"/>
      <c r="AP959" s="35" t="str">
        <f aca="false">IF(OR(C959="",I959="",K959=""),"",IF(K959="Monthly",EDATE(C959,ROUND(I959*SETTINGS!$I$8,0)),WORKDAY(C959,ROUND(I959*SETTINGS!$I$8,0))))</f>
        <v/>
      </c>
      <c r="AQ959" s="26" t="str">
        <f aca="true">IF(C959="","",IF(AND(AP959&lt;&gt;"",TODAY()&gt;=AP959),"Refi Ready",IF(TODAY()-C959&gt;=SETTINGS!$I$11,"Prospecting","Performing")))</f>
        <v/>
      </c>
      <c r="AR959" s="35" t="str">
        <f aca="false">IF(OR(C959="",I959="",K959=""),"",IF(K959="Monthly",EDATE(C959,I959),WORKDAY(C959,I959)))</f>
        <v/>
      </c>
      <c r="AS959" s="28"/>
      <c r="AT959" s="36" t="str">
        <f aca="true">IF(C959="","",IF(AM959="Clawed Back","CLAWED",IF(TODAY()&lt;=C959+SETTINGS!$I$2,"⚠ AT RISK","SAFE")))</f>
        <v/>
      </c>
      <c r="AU959" s="28"/>
      <c r="AW959" s="24" t="n">
        <f aca="false">AW958+IF(AND(C959&lt;&gt;"",AO959&lt;&gt;"",OR('REP COMMISSION'!$B$3="",T959='REP COMMISSION'!$B$3,W959='REP COMMISSION'!$B$3,Z959='REP COMMISSION'!$B$3)),1,0)</f>
        <v>0</v>
      </c>
      <c r="AX959" s="24" t="n">
        <f aca="false">AX958+IF(AND(C959&lt;&gt;"",OR(F959="LOC - INITIAL",F959="CONSOLIDATION - UPFRONT COMM",F959="REVERSE - TOTAL FUNDING")),1,0)</f>
        <v>0</v>
      </c>
    </row>
    <row r="960" customFormat="false" ht="15" hidden="false" customHeight="false" outlineLevel="0" collapsed="false">
      <c r="A960" s="8" t="str">
        <f aca="false">IF(C960&lt;&gt;"","F27-"&amp;COUNT($C$4:C960),"")</f>
        <v/>
      </c>
      <c r="B960" s="9" t="str">
        <f aca="false">IF(OR(F960="LOC - INITIAL",F960="CONSOLIDATION - UPFRONT COMM",F960="REVERSE - TOTAL FUNDING"),A960,"")</f>
        <v/>
      </c>
      <c r="C960" s="10"/>
      <c r="D960" s="11"/>
      <c r="E960" s="11"/>
      <c r="F960" s="11"/>
      <c r="G960" s="12"/>
      <c r="H960" s="13"/>
      <c r="I960" s="11"/>
      <c r="J960" s="14" t="str">
        <f aca="false">IF(AND(G960&lt;&gt;"",H960&lt;&gt;""),G960*H960,"")</f>
        <v/>
      </c>
      <c r="K960" s="11"/>
      <c r="L960" s="15"/>
      <c r="M960" s="15"/>
      <c r="N960" s="14" t="n">
        <f aca="false">IF(OR(G960="",M960=""),0,IF(M960&gt;100,M960,G960*IF(M960&gt;1,M960/100,M960)))</f>
        <v>0</v>
      </c>
      <c r="O960" s="14" t="str">
        <f aca="false">IF(G960="","",G960*IF(L960="",0,IF(L960&gt;1,L960/100,L960))+N960)</f>
        <v/>
      </c>
      <c r="P960" s="11"/>
      <c r="Q960" s="16" t="str">
        <f aca="false">IF(P960="","",IFERROR(VLOOKUP(P960,PARTNERS!$A$2:$B$30,2,0),""))</f>
        <v/>
      </c>
      <c r="R960" s="17" t="str">
        <f aca="false">IF(O960="","",IF(OR(P960="",Q960=""),0,(O960-N960)*IF(Q960&gt;1,Q960/100,Q960)))</f>
        <v/>
      </c>
      <c r="S960" s="14" t="str">
        <f aca="false">IF(O960="","",O960-R960)</f>
        <v/>
      </c>
      <c r="T960" s="11"/>
      <c r="U960" s="18" t="str">
        <f aca="false">IF(T960="","",IFERROR(VLOOKUP(T960,REPS!$A$2:$D$40,2,0),""))</f>
        <v/>
      </c>
      <c r="V960" s="14" t="str">
        <f aca="false">IF(O960="","",IF(U960="",0,O960*IF(U960&gt;1,U960/100,U960)))</f>
        <v/>
      </c>
      <c r="W960" s="11"/>
      <c r="X960" s="18" t="str">
        <f aca="false">IF(W960="","",IFERROR(VLOOKUP(W960,REPS!$A$2:$D$40,3,0),""))</f>
        <v/>
      </c>
      <c r="Y960" s="14" t="str">
        <f aca="false">IF(O960="","",IF(X960="",0,O960*IF(X960&gt;1,X960/100,X960)))</f>
        <v/>
      </c>
      <c r="Z960" s="11"/>
      <c r="AA960" s="18" t="str">
        <f aca="false">IF(Z960="","",IFERROR(VLOOKUP(Z960,REPS!$A$2:$D$40,4,0),""))</f>
        <v/>
      </c>
      <c r="AB960" s="14" t="str">
        <f aca="false">IF(O960="","",IF(AA960="",0,O960*IF(AA960&gt;1,AA960/100,AA960)))</f>
        <v/>
      </c>
      <c r="AC960" s="14" t="str">
        <f aca="false">IF(O960="","",V960+Y960+AB960)</f>
        <v/>
      </c>
      <c r="AD960" s="19" t="str">
        <f aca="false">IF(O960="","",O960-R960-AC960)</f>
        <v/>
      </c>
      <c r="AE960" s="20"/>
      <c r="AF960" s="10"/>
      <c r="AG960" s="21" t="n">
        <f aca="false">IF(OR(AE960="",AE960=0),0,AE960*IF(U960="",0,IF(U960&gt;1,U960/100,U960)))</f>
        <v>0</v>
      </c>
      <c r="AH960" s="21" t="n">
        <f aca="false">IF(OR(AE960="",AE960=0),0,AE960*IF(X960="",0,IF(X960&gt;1,X960/100,X960)))</f>
        <v>0</v>
      </c>
      <c r="AI960" s="21" t="n">
        <f aca="false">IF(OR(AE960="",AE960=0),0,AE960*IF(AA960="",0,IF(AA960&gt;1,AA960/100,AA960)))</f>
        <v>0</v>
      </c>
      <c r="AJ960" s="21" t="n">
        <f aca="false">AG960+AH960+AI960</f>
        <v>0</v>
      </c>
      <c r="AK960" s="21" t="n">
        <f aca="false">IF(OR(AE960="",AE960=0),0,AE960-AJ960)</f>
        <v>0</v>
      </c>
      <c r="AL960" s="19" t="str">
        <f aca="false">IF(AD960="","",AD960-AK960)</f>
        <v/>
      </c>
      <c r="AM960" s="9" t="str">
        <f aca="false">IF(C960="","","Waiting for payment")</f>
        <v/>
      </c>
      <c r="AN960" s="10"/>
      <c r="AO960" s="10"/>
      <c r="AP960" s="22" t="str">
        <f aca="false">IF(OR(C960="",I960="",K960=""),"",IF(K960="Monthly",EDATE(C960,ROUND(I960*SETTINGS!$I$8,0)),WORKDAY(C960,ROUND(I960*SETTINGS!$I$8,0))))</f>
        <v/>
      </c>
      <c r="AQ960" s="9" t="str">
        <f aca="true">IF(C960="","",IF(AND(AP960&lt;&gt;"",TODAY()&gt;=AP960),"Refi Ready",IF(TODAY()-C960&gt;=SETTINGS!$I$11,"Prospecting","Performing")))</f>
        <v/>
      </c>
      <c r="AR960" s="22" t="str">
        <f aca="false">IF(OR(C960="",I960="",K960=""),"",IF(K960="Monthly",EDATE(C960,I960),WORKDAY(C960,I960)))</f>
        <v/>
      </c>
      <c r="AS960" s="11"/>
      <c r="AT960" s="23" t="str">
        <f aca="true">IF(C960="","",IF(AM960="Clawed Back","CLAWED",IF(TODAY()&lt;=C960+SETTINGS!$I$2,"⚠ AT RISK","SAFE")))</f>
        <v/>
      </c>
      <c r="AU960" s="11"/>
      <c r="AW960" s="24" t="n">
        <f aca="false">AW959+IF(AND(C960&lt;&gt;"",AO960&lt;&gt;"",OR('REP COMMISSION'!$B$3="",T960='REP COMMISSION'!$B$3,W960='REP COMMISSION'!$B$3,Z960='REP COMMISSION'!$B$3)),1,0)</f>
        <v>0</v>
      </c>
      <c r="AX960" s="24" t="n">
        <f aca="false">AX959+IF(AND(C960&lt;&gt;"",OR(F960="LOC - INITIAL",F960="CONSOLIDATION - UPFRONT COMM",F960="REVERSE - TOTAL FUNDING")),1,0)</f>
        <v>0</v>
      </c>
    </row>
    <row r="961" customFormat="false" ht="15" hidden="false" customHeight="false" outlineLevel="0" collapsed="false">
      <c r="A961" s="25" t="str">
        <f aca="false">IF(C961&lt;&gt;"","F27-"&amp;COUNT($C$4:C961),"")</f>
        <v/>
      </c>
      <c r="B961" s="26" t="str">
        <f aca="false">IF(OR(F961="LOC - INITIAL",F961="CONSOLIDATION - UPFRONT COMM",F961="REVERSE - TOTAL FUNDING"),A961,"")</f>
        <v/>
      </c>
      <c r="C961" s="27"/>
      <c r="D961" s="28"/>
      <c r="E961" s="28"/>
      <c r="F961" s="28"/>
      <c r="G961" s="29"/>
      <c r="H961" s="30"/>
      <c r="I961" s="28"/>
      <c r="J961" s="31" t="str">
        <f aca="false">IF(AND(G961&lt;&gt;"",H961&lt;&gt;""),G961*H961,"")</f>
        <v/>
      </c>
      <c r="K961" s="28"/>
      <c r="L961" s="32"/>
      <c r="M961" s="32"/>
      <c r="N961" s="31" t="n">
        <f aca="false">IF(OR(G961="",M961=""),0,IF(M961&gt;100,M961,G961*IF(M961&gt;1,M961/100,M961)))</f>
        <v>0</v>
      </c>
      <c r="O961" s="31" t="str">
        <f aca="false">IF(G961="","",G961*IF(L961="",0,IF(L961&gt;1,L961/100,L961))+N961)</f>
        <v/>
      </c>
      <c r="P961" s="28"/>
      <c r="Q961" s="33" t="str">
        <f aca="false">IF(P961="","",IFERROR(VLOOKUP(P961,PARTNERS!$A$2:$B$30,2,0),""))</f>
        <v/>
      </c>
      <c r="R961" s="17" t="str">
        <f aca="false">IF(O961="","",IF(OR(P961="",Q961=""),0,(O961-N961)*IF(Q961&gt;1,Q961/100,Q961)))</f>
        <v/>
      </c>
      <c r="S961" s="31" t="str">
        <f aca="false">IF(O961="","",O961-R961)</f>
        <v/>
      </c>
      <c r="T961" s="28"/>
      <c r="U961" s="34" t="str">
        <f aca="false">IF(T961="","",IFERROR(VLOOKUP(T961,REPS!$A$2:$D$40,2,0),""))</f>
        <v/>
      </c>
      <c r="V961" s="31" t="str">
        <f aca="false">IF(O961="","",IF(U961="",0,O961*IF(U961&gt;1,U961/100,U961)))</f>
        <v/>
      </c>
      <c r="W961" s="28"/>
      <c r="X961" s="34" t="str">
        <f aca="false">IF(W961="","",IFERROR(VLOOKUP(W961,REPS!$A$2:$D$40,3,0),""))</f>
        <v/>
      </c>
      <c r="Y961" s="31" t="str">
        <f aca="false">IF(O961="","",IF(X961="",0,O961*IF(X961&gt;1,X961/100,X961)))</f>
        <v/>
      </c>
      <c r="Z961" s="28"/>
      <c r="AA961" s="34" t="str">
        <f aca="false">IF(Z961="","",IFERROR(VLOOKUP(Z961,REPS!$A$2:$D$40,4,0),""))</f>
        <v/>
      </c>
      <c r="AB961" s="31" t="str">
        <f aca="false">IF(O961="","",IF(AA961="",0,O961*IF(AA961&gt;1,AA961/100,AA961)))</f>
        <v/>
      </c>
      <c r="AC961" s="31" t="str">
        <f aca="false">IF(O961="","",V961+Y961+AB961)</f>
        <v/>
      </c>
      <c r="AD961" s="19" t="str">
        <f aca="false">IF(O961="","",O961-R961-AC961)</f>
        <v/>
      </c>
      <c r="AE961" s="20"/>
      <c r="AF961" s="27"/>
      <c r="AG961" s="21" t="n">
        <f aca="false">IF(OR(AE961="",AE961=0),0,AE961*IF(U961="",0,IF(U961&gt;1,U961/100,U961)))</f>
        <v>0</v>
      </c>
      <c r="AH961" s="21" t="n">
        <f aca="false">IF(OR(AE961="",AE961=0),0,AE961*IF(X961="",0,IF(X961&gt;1,X961/100,X961)))</f>
        <v>0</v>
      </c>
      <c r="AI961" s="21" t="n">
        <f aca="false">IF(OR(AE961="",AE961=0),0,AE961*IF(AA961="",0,IF(AA961&gt;1,AA961/100,AA961)))</f>
        <v>0</v>
      </c>
      <c r="AJ961" s="21" t="n">
        <f aca="false">AG961+AH961+AI961</f>
        <v>0</v>
      </c>
      <c r="AK961" s="21" t="n">
        <f aca="false">IF(OR(AE961="",AE961=0),0,AE961-AJ961)</f>
        <v>0</v>
      </c>
      <c r="AL961" s="19" t="str">
        <f aca="false">IF(AD961="","",AD961-AK961)</f>
        <v/>
      </c>
      <c r="AM961" s="26" t="str">
        <f aca="false">IF(C961="","","Waiting for payment")</f>
        <v/>
      </c>
      <c r="AN961" s="27"/>
      <c r="AO961" s="27"/>
      <c r="AP961" s="35" t="str">
        <f aca="false">IF(OR(C961="",I961="",K961=""),"",IF(K961="Monthly",EDATE(C961,ROUND(I961*SETTINGS!$I$8,0)),WORKDAY(C961,ROUND(I961*SETTINGS!$I$8,0))))</f>
        <v/>
      </c>
      <c r="AQ961" s="26" t="str">
        <f aca="true">IF(C961="","",IF(AND(AP961&lt;&gt;"",TODAY()&gt;=AP961),"Refi Ready",IF(TODAY()-C961&gt;=SETTINGS!$I$11,"Prospecting","Performing")))</f>
        <v/>
      </c>
      <c r="AR961" s="35" t="str">
        <f aca="false">IF(OR(C961="",I961="",K961=""),"",IF(K961="Monthly",EDATE(C961,I961),WORKDAY(C961,I961)))</f>
        <v/>
      </c>
      <c r="AS961" s="28"/>
      <c r="AT961" s="36" t="str">
        <f aca="true">IF(C961="","",IF(AM961="Clawed Back","CLAWED",IF(TODAY()&lt;=C961+SETTINGS!$I$2,"⚠ AT RISK","SAFE")))</f>
        <v/>
      </c>
      <c r="AU961" s="28"/>
      <c r="AW961" s="24" t="n">
        <f aca="false">AW960+IF(AND(C961&lt;&gt;"",AO961&lt;&gt;"",OR('REP COMMISSION'!$B$3="",T961='REP COMMISSION'!$B$3,W961='REP COMMISSION'!$B$3,Z961='REP COMMISSION'!$B$3)),1,0)</f>
        <v>0</v>
      </c>
      <c r="AX961" s="24" t="n">
        <f aca="false">AX960+IF(AND(C961&lt;&gt;"",OR(F961="LOC - INITIAL",F961="CONSOLIDATION - UPFRONT COMM",F961="REVERSE - TOTAL FUNDING")),1,0)</f>
        <v>0</v>
      </c>
    </row>
    <row r="962" customFormat="false" ht="15" hidden="false" customHeight="false" outlineLevel="0" collapsed="false">
      <c r="A962" s="8" t="str">
        <f aca="false">IF(C962&lt;&gt;"","F27-"&amp;COUNT($C$4:C962),"")</f>
        <v/>
      </c>
      <c r="B962" s="9" t="str">
        <f aca="false">IF(OR(F962="LOC - INITIAL",F962="CONSOLIDATION - UPFRONT COMM",F962="REVERSE - TOTAL FUNDING"),A962,"")</f>
        <v/>
      </c>
      <c r="C962" s="10"/>
      <c r="D962" s="11"/>
      <c r="E962" s="11"/>
      <c r="F962" s="11"/>
      <c r="G962" s="12"/>
      <c r="H962" s="13"/>
      <c r="I962" s="11"/>
      <c r="J962" s="14" t="str">
        <f aca="false">IF(AND(G962&lt;&gt;"",H962&lt;&gt;""),G962*H962,"")</f>
        <v/>
      </c>
      <c r="K962" s="11"/>
      <c r="L962" s="15"/>
      <c r="M962" s="15"/>
      <c r="N962" s="14" t="n">
        <f aca="false">IF(OR(G962="",M962=""),0,IF(M962&gt;100,M962,G962*IF(M962&gt;1,M962/100,M962)))</f>
        <v>0</v>
      </c>
      <c r="O962" s="14" t="str">
        <f aca="false">IF(G962="","",G962*IF(L962="",0,IF(L962&gt;1,L962/100,L962))+N962)</f>
        <v/>
      </c>
      <c r="P962" s="11"/>
      <c r="Q962" s="16" t="str">
        <f aca="false">IF(P962="","",IFERROR(VLOOKUP(P962,PARTNERS!$A$2:$B$30,2,0),""))</f>
        <v/>
      </c>
      <c r="R962" s="17" t="str">
        <f aca="false">IF(O962="","",IF(OR(P962="",Q962=""),0,(O962-N962)*IF(Q962&gt;1,Q962/100,Q962)))</f>
        <v/>
      </c>
      <c r="S962" s="14" t="str">
        <f aca="false">IF(O962="","",O962-R962)</f>
        <v/>
      </c>
      <c r="T962" s="11"/>
      <c r="U962" s="18" t="str">
        <f aca="false">IF(T962="","",IFERROR(VLOOKUP(T962,REPS!$A$2:$D$40,2,0),""))</f>
        <v/>
      </c>
      <c r="V962" s="14" t="str">
        <f aca="false">IF(O962="","",IF(U962="",0,O962*IF(U962&gt;1,U962/100,U962)))</f>
        <v/>
      </c>
      <c r="W962" s="11"/>
      <c r="X962" s="18" t="str">
        <f aca="false">IF(W962="","",IFERROR(VLOOKUP(W962,REPS!$A$2:$D$40,3,0),""))</f>
        <v/>
      </c>
      <c r="Y962" s="14" t="str">
        <f aca="false">IF(O962="","",IF(X962="",0,O962*IF(X962&gt;1,X962/100,X962)))</f>
        <v/>
      </c>
      <c r="Z962" s="11"/>
      <c r="AA962" s="18" t="str">
        <f aca="false">IF(Z962="","",IFERROR(VLOOKUP(Z962,REPS!$A$2:$D$40,4,0),""))</f>
        <v/>
      </c>
      <c r="AB962" s="14" t="str">
        <f aca="false">IF(O962="","",IF(AA962="",0,O962*IF(AA962&gt;1,AA962/100,AA962)))</f>
        <v/>
      </c>
      <c r="AC962" s="14" t="str">
        <f aca="false">IF(O962="","",V962+Y962+AB962)</f>
        <v/>
      </c>
      <c r="AD962" s="19" t="str">
        <f aca="false">IF(O962="","",O962-R962-AC962)</f>
        <v/>
      </c>
      <c r="AE962" s="20"/>
      <c r="AF962" s="10"/>
      <c r="AG962" s="21" t="n">
        <f aca="false">IF(OR(AE962="",AE962=0),0,AE962*IF(U962="",0,IF(U962&gt;1,U962/100,U962)))</f>
        <v>0</v>
      </c>
      <c r="AH962" s="21" t="n">
        <f aca="false">IF(OR(AE962="",AE962=0),0,AE962*IF(X962="",0,IF(X962&gt;1,X962/100,X962)))</f>
        <v>0</v>
      </c>
      <c r="AI962" s="21" t="n">
        <f aca="false">IF(OR(AE962="",AE962=0),0,AE962*IF(AA962="",0,IF(AA962&gt;1,AA962/100,AA962)))</f>
        <v>0</v>
      </c>
      <c r="AJ962" s="21" t="n">
        <f aca="false">AG962+AH962+AI962</f>
        <v>0</v>
      </c>
      <c r="AK962" s="21" t="n">
        <f aca="false">IF(OR(AE962="",AE962=0),0,AE962-AJ962)</f>
        <v>0</v>
      </c>
      <c r="AL962" s="19" t="str">
        <f aca="false">IF(AD962="","",AD962-AK962)</f>
        <v/>
      </c>
      <c r="AM962" s="9" t="str">
        <f aca="false">IF(C962="","","Waiting for payment")</f>
        <v/>
      </c>
      <c r="AN962" s="10"/>
      <c r="AO962" s="10"/>
      <c r="AP962" s="22" t="str">
        <f aca="false">IF(OR(C962="",I962="",K962=""),"",IF(K962="Monthly",EDATE(C962,ROUND(I962*SETTINGS!$I$8,0)),WORKDAY(C962,ROUND(I962*SETTINGS!$I$8,0))))</f>
        <v/>
      </c>
      <c r="AQ962" s="9" t="str">
        <f aca="true">IF(C962="","",IF(AND(AP962&lt;&gt;"",TODAY()&gt;=AP962),"Refi Ready",IF(TODAY()-C962&gt;=SETTINGS!$I$11,"Prospecting","Performing")))</f>
        <v/>
      </c>
      <c r="AR962" s="22" t="str">
        <f aca="false">IF(OR(C962="",I962="",K962=""),"",IF(K962="Monthly",EDATE(C962,I962),WORKDAY(C962,I962)))</f>
        <v/>
      </c>
      <c r="AS962" s="11"/>
      <c r="AT962" s="23" t="str">
        <f aca="true">IF(C962="","",IF(AM962="Clawed Back","CLAWED",IF(TODAY()&lt;=C962+SETTINGS!$I$2,"⚠ AT RISK","SAFE")))</f>
        <v/>
      </c>
      <c r="AU962" s="11"/>
      <c r="AW962" s="24" t="n">
        <f aca="false">AW961+IF(AND(C962&lt;&gt;"",AO962&lt;&gt;"",OR('REP COMMISSION'!$B$3="",T962='REP COMMISSION'!$B$3,W962='REP COMMISSION'!$B$3,Z962='REP COMMISSION'!$B$3)),1,0)</f>
        <v>0</v>
      </c>
      <c r="AX962" s="24" t="n">
        <f aca="false">AX961+IF(AND(C962&lt;&gt;"",OR(F962="LOC - INITIAL",F962="CONSOLIDATION - UPFRONT COMM",F962="REVERSE - TOTAL FUNDING")),1,0)</f>
        <v>0</v>
      </c>
    </row>
    <row r="963" customFormat="false" ht="15" hidden="false" customHeight="false" outlineLevel="0" collapsed="false">
      <c r="A963" s="25" t="str">
        <f aca="false">IF(C963&lt;&gt;"","F27-"&amp;COUNT($C$4:C963),"")</f>
        <v/>
      </c>
      <c r="B963" s="26" t="str">
        <f aca="false">IF(OR(F963="LOC - INITIAL",F963="CONSOLIDATION - UPFRONT COMM",F963="REVERSE - TOTAL FUNDING"),A963,"")</f>
        <v/>
      </c>
      <c r="C963" s="27"/>
      <c r="D963" s="28"/>
      <c r="E963" s="28"/>
      <c r="F963" s="28"/>
      <c r="G963" s="29"/>
      <c r="H963" s="30"/>
      <c r="I963" s="28"/>
      <c r="J963" s="31" t="str">
        <f aca="false">IF(AND(G963&lt;&gt;"",H963&lt;&gt;""),G963*H963,"")</f>
        <v/>
      </c>
      <c r="K963" s="28"/>
      <c r="L963" s="32"/>
      <c r="M963" s="32"/>
      <c r="N963" s="31" t="n">
        <f aca="false">IF(OR(G963="",M963=""),0,IF(M963&gt;100,M963,G963*IF(M963&gt;1,M963/100,M963)))</f>
        <v>0</v>
      </c>
      <c r="O963" s="31" t="str">
        <f aca="false">IF(G963="","",G963*IF(L963="",0,IF(L963&gt;1,L963/100,L963))+N963)</f>
        <v/>
      </c>
      <c r="P963" s="28"/>
      <c r="Q963" s="33" t="str">
        <f aca="false">IF(P963="","",IFERROR(VLOOKUP(P963,PARTNERS!$A$2:$B$30,2,0),""))</f>
        <v/>
      </c>
      <c r="R963" s="17" t="str">
        <f aca="false">IF(O963="","",IF(OR(P963="",Q963=""),0,(O963-N963)*IF(Q963&gt;1,Q963/100,Q963)))</f>
        <v/>
      </c>
      <c r="S963" s="31" t="str">
        <f aca="false">IF(O963="","",O963-R963)</f>
        <v/>
      </c>
      <c r="T963" s="28"/>
      <c r="U963" s="34" t="str">
        <f aca="false">IF(T963="","",IFERROR(VLOOKUP(T963,REPS!$A$2:$D$40,2,0),""))</f>
        <v/>
      </c>
      <c r="V963" s="31" t="str">
        <f aca="false">IF(O963="","",IF(U963="",0,O963*IF(U963&gt;1,U963/100,U963)))</f>
        <v/>
      </c>
      <c r="W963" s="28"/>
      <c r="X963" s="34" t="str">
        <f aca="false">IF(W963="","",IFERROR(VLOOKUP(W963,REPS!$A$2:$D$40,3,0),""))</f>
        <v/>
      </c>
      <c r="Y963" s="31" t="str">
        <f aca="false">IF(O963="","",IF(X963="",0,O963*IF(X963&gt;1,X963/100,X963)))</f>
        <v/>
      </c>
      <c r="Z963" s="28"/>
      <c r="AA963" s="34" t="str">
        <f aca="false">IF(Z963="","",IFERROR(VLOOKUP(Z963,REPS!$A$2:$D$40,4,0),""))</f>
        <v/>
      </c>
      <c r="AB963" s="31" t="str">
        <f aca="false">IF(O963="","",IF(AA963="",0,O963*IF(AA963&gt;1,AA963/100,AA963)))</f>
        <v/>
      </c>
      <c r="AC963" s="31" t="str">
        <f aca="false">IF(O963="","",V963+Y963+AB963)</f>
        <v/>
      </c>
      <c r="AD963" s="19" t="str">
        <f aca="false">IF(O963="","",O963-R963-AC963)</f>
        <v/>
      </c>
      <c r="AE963" s="20"/>
      <c r="AF963" s="27"/>
      <c r="AG963" s="21" t="n">
        <f aca="false">IF(OR(AE963="",AE963=0),0,AE963*IF(U963="",0,IF(U963&gt;1,U963/100,U963)))</f>
        <v>0</v>
      </c>
      <c r="AH963" s="21" t="n">
        <f aca="false">IF(OR(AE963="",AE963=0),0,AE963*IF(X963="",0,IF(X963&gt;1,X963/100,X963)))</f>
        <v>0</v>
      </c>
      <c r="AI963" s="21" t="n">
        <f aca="false">IF(OR(AE963="",AE963=0),0,AE963*IF(AA963="",0,IF(AA963&gt;1,AA963/100,AA963)))</f>
        <v>0</v>
      </c>
      <c r="AJ963" s="21" t="n">
        <f aca="false">AG963+AH963+AI963</f>
        <v>0</v>
      </c>
      <c r="AK963" s="21" t="n">
        <f aca="false">IF(OR(AE963="",AE963=0),0,AE963-AJ963)</f>
        <v>0</v>
      </c>
      <c r="AL963" s="19" t="str">
        <f aca="false">IF(AD963="","",AD963-AK963)</f>
        <v/>
      </c>
      <c r="AM963" s="26" t="str">
        <f aca="false">IF(C963="","","Waiting for payment")</f>
        <v/>
      </c>
      <c r="AN963" s="27"/>
      <c r="AO963" s="27"/>
      <c r="AP963" s="35" t="str">
        <f aca="false">IF(OR(C963="",I963="",K963=""),"",IF(K963="Monthly",EDATE(C963,ROUND(I963*SETTINGS!$I$8,0)),WORKDAY(C963,ROUND(I963*SETTINGS!$I$8,0))))</f>
        <v/>
      </c>
      <c r="AQ963" s="26" t="str">
        <f aca="true">IF(C963="","",IF(AND(AP963&lt;&gt;"",TODAY()&gt;=AP963),"Refi Ready",IF(TODAY()-C963&gt;=SETTINGS!$I$11,"Prospecting","Performing")))</f>
        <v/>
      </c>
      <c r="AR963" s="35" t="str">
        <f aca="false">IF(OR(C963="",I963="",K963=""),"",IF(K963="Monthly",EDATE(C963,I963),WORKDAY(C963,I963)))</f>
        <v/>
      </c>
      <c r="AS963" s="28"/>
      <c r="AT963" s="36" t="str">
        <f aca="true">IF(C963="","",IF(AM963="Clawed Back","CLAWED",IF(TODAY()&lt;=C963+SETTINGS!$I$2,"⚠ AT RISK","SAFE")))</f>
        <v/>
      </c>
      <c r="AU963" s="28"/>
      <c r="AW963" s="24" t="n">
        <f aca="false">AW962+IF(AND(C963&lt;&gt;"",AO963&lt;&gt;"",OR('REP COMMISSION'!$B$3="",T963='REP COMMISSION'!$B$3,W963='REP COMMISSION'!$B$3,Z963='REP COMMISSION'!$B$3)),1,0)</f>
        <v>0</v>
      </c>
      <c r="AX963" s="24" t="n">
        <f aca="false">AX962+IF(AND(C963&lt;&gt;"",OR(F963="LOC - INITIAL",F963="CONSOLIDATION - UPFRONT COMM",F963="REVERSE - TOTAL FUNDING")),1,0)</f>
        <v>0</v>
      </c>
    </row>
    <row r="964" customFormat="false" ht="15" hidden="false" customHeight="false" outlineLevel="0" collapsed="false">
      <c r="A964" s="8" t="str">
        <f aca="false">IF(C964&lt;&gt;"","F27-"&amp;COUNT($C$4:C964),"")</f>
        <v/>
      </c>
      <c r="B964" s="9" t="str">
        <f aca="false">IF(OR(F964="LOC - INITIAL",F964="CONSOLIDATION - UPFRONT COMM",F964="REVERSE - TOTAL FUNDING"),A964,"")</f>
        <v/>
      </c>
      <c r="C964" s="10"/>
      <c r="D964" s="11"/>
      <c r="E964" s="11"/>
      <c r="F964" s="11"/>
      <c r="G964" s="12"/>
      <c r="H964" s="13"/>
      <c r="I964" s="11"/>
      <c r="J964" s="14" t="str">
        <f aca="false">IF(AND(G964&lt;&gt;"",H964&lt;&gt;""),G964*H964,"")</f>
        <v/>
      </c>
      <c r="K964" s="11"/>
      <c r="L964" s="15"/>
      <c r="M964" s="15"/>
      <c r="N964" s="14" t="n">
        <f aca="false">IF(OR(G964="",M964=""),0,IF(M964&gt;100,M964,G964*IF(M964&gt;1,M964/100,M964)))</f>
        <v>0</v>
      </c>
      <c r="O964" s="14" t="str">
        <f aca="false">IF(G964="","",G964*IF(L964="",0,IF(L964&gt;1,L964/100,L964))+N964)</f>
        <v/>
      </c>
      <c r="P964" s="11"/>
      <c r="Q964" s="16" t="str">
        <f aca="false">IF(P964="","",IFERROR(VLOOKUP(P964,PARTNERS!$A$2:$B$30,2,0),""))</f>
        <v/>
      </c>
      <c r="R964" s="17" t="str">
        <f aca="false">IF(O964="","",IF(OR(P964="",Q964=""),0,(O964-N964)*IF(Q964&gt;1,Q964/100,Q964)))</f>
        <v/>
      </c>
      <c r="S964" s="14" t="str">
        <f aca="false">IF(O964="","",O964-R964)</f>
        <v/>
      </c>
      <c r="T964" s="11"/>
      <c r="U964" s="18" t="str">
        <f aca="false">IF(T964="","",IFERROR(VLOOKUP(T964,REPS!$A$2:$D$40,2,0),""))</f>
        <v/>
      </c>
      <c r="V964" s="14" t="str">
        <f aca="false">IF(O964="","",IF(U964="",0,O964*IF(U964&gt;1,U964/100,U964)))</f>
        <v/>
      </c>
      <c r="W964" s="11"/>
      <c r="X964" s="18" t="str">
        <f aca="false">IF(W964="","",IFERROR(VLOOKUP(W964,REPS!$A$2:$D$40,3,0),""))</f>
        <v/>
      </c>
      <c r="Y964" s="14" t="str">
        <f aca="false">IF(O964="","",IF(X964="",0,O964*IF(X964&gt;1,X964/100,X964)))</f>
        <v/>
      </c>
      <c r="Z964" s="11"/>
      <c r="AA964" s="18" t="str">
        <f aca="false">IF(Z964="","",IFERROR(VLOOKUP(Z964,REPS!$A$2:$D$40,4,0),""))</f>
        <v/>
      </c>
      <c r="AB964" s="14" t="str">
        <f aca="false">IF(O964="","",IF(AA964="",0,O964*IF(AA964&gt;1,AA964/100,AA964)))</f>
        <v/>
      </c>
      <c r="AC964" s="14" t="str">
        <f aca="false">IF(O964="","",V964+Y964+AB964)</f>
        <v/>
      </c>
      <c r="AD964" s="19" t="str">
        <f aca="false">IF(O964="","",O964-R964-AC964)</f>
        <v/>
      </c>
      <c r="AE964" s="20"/>
      <c r="AF964" s="10"/>
      <c r="AG964" s="21" t="n">
        <f aca="false">IF(OR(AE964="",AE964=0),0,AE964*IF(U964="",0,IF(U964&gt;1,U964/100,U964)))</f>
        <v>0</v>
      </c>
      <c r="AH964" s="21" t="n">
        <f aca="false">IF(OR(AE964="",AE964=0),0,AE964*IF(X964="",0,IF(X964&gt;1,X964/100,X964)))</f>
        <v>0</v>
      </c>
      <c r="AI964" s="21" t="n">
        <f aca="false">IF(OR(AE964="",AE964=0),0,AE964*IF(AA964="",0,IF(AA964&gt;1,AA964/100,AA964)))</f>
        <v>0</v>
      </c>
      <c r="AJ964" s="21" t="n">
        <f aca="false">AG964+AH964+AI964</f>
        <v>0</v>
      </c>
      <c r="AK964" s="21" t="n">
        <f aca="false">IF(OR(AE964="",AE964=0),0,AE964-AJ964)</f>
        <v>0</v>
      </c>
      <c r="AL964" s="19" t="str">
        <f aca="false">IF(AD964="","",AD964-AK964)</f>
        <v/>
      </c>
      <c r="AM964" s="9" t="str">
        <f aca="false">IF(C964="","","Waiting for payment")</f>
        <v/>
      </c>
      <c r="AN964" s="10"/>
      <c r="AO964" s="10"/>
      <c r="AP964" s="22" t="str">
        <f aca="false">IF(OR(C964="",I964="",K964=""),"",IF(K964="Monthly",EDATE(C964,ROUND(I964*SETTINGS!$I$8,0)),WORKDAY(C964,ROUND(I964*SETTINGS!$I$8,0))))</f>
        <v/>
      </c>
      <c r="AQ964" s="9" t="str">
        <f aca="true">IF(C964="","",IF(AND(AP964&lt;&gt;"",TODAY()&gt;=AP964),"Refi Ready",IF(TODAY()-C964&gt;=SETTINGS!$I$11,"Prospecting","Performing")))</f>
        <v/>
      </c>
      <c r="AR964" s="22" t="str">
        <f aca="false">IF(OR(C964="",I964="",K964=""),"",IF(K964="Monthly",EDATE(C964,I964),WORKDAY(C964,I964)))</f>
        <v/>
      </c>
      <c r="AS964" s="11"/>
      <c r="AT964" s="23" t="str">
        <f aca="true">IF(C964="","",IF(AM964="Clawed Back","CLAWED",IF(TODAY()&lt;=C964+SETTINGS!$I$2,"⚠ AT RISK","SAFE")))</f>
        <v/>
      </c>
      <c r="AU964" s="11"/>
      <c r="AW964" s="24" t="n">
        <f aca="false">AW963+IF(AND(C964&lt;&gt;"",AO964&lt;&gt;"",OR('REP COMMISSION'!$B$3="",T964='REP COMMISSION'!$B$3,W964='REP COMMISSION'!$B$3,Z964='REP COMMISSION'!$B$3)),1,0)</f>
        <v>0</v>
      </c>
      <c r="AX964" s="24" t="n">
        <f aca="false">AX963+IF(AND(C964&lt;&gt;"",OR(F964="LOC - INITIAL",F964="CONSOLIDATION - UPFRONT COMM",F964="REVERSE - TOTAL FUNDING")),1,0)</f>
        <v>0</v>
      </c>
    </row>
    <row r="965" customFormat="false" ht="15" hidden="false" customHeight="false" outlineLevel="0" collapsed="false">
      <c r="A965" s="25" t="str">
        <f aca="false">IF(C965&lt;&gt;"","F27-"&amp;COUNT($C$4:C965),"")</f>
        <v/>
      </c>
      <c r="B965" s="26" t="str">
        <f aca="false">IF(OR(F965="LOC - INITIAL",F965="CONSOLIDATION - UPFRONT COMM",F965="REVERSE - TOTAL FUNDING"),A965,"")</f>
        <v/>
      </c>
      <c r="C965" s="27"/>
      <c r="D965" s="28"/>
      <c r="E965" s="28"/>
      <c r="F965" s="28"/>
      <c r="G965" s="29"/>
      <c r="H965" s="30"/>
      <c r="I965" s="28"/>
      <c r="J965" s="31" t="str">
        <f aca="false">IF(AND(G965&lt;&gt;"",H965&lt;&gt;""),G965*H965,"")</f>
        <v/>
      </c>
      <c r="K965" s="28"/>
      <c r="L965" s="32"/>
      <c r="M965" s="32"/>
      <c r="N965" s="31" t="n">
        <f aca="false">IF(OR(G965="",M965=""),0,IF(M965&gt;100,M965,G965*IF(M965&gt;1,M965/100,M965)))</f>
        <v>0</v>
      </c>
      <c r="O965" s="31" t="str">
        <f aca="false">IF(G965="","",G965*IF(L965="",0,IF(L965&gt;1,L965/100,L965))+N965)</f>
        <v/>
      </c>
      <c r="P965" s="28"/>
      <c r="Q965" s="33" t="str">
        <f aca="false">IF(P965="","",IFERROR(VLOOKUP(P965,PARTNERS!$A$2:$B$30,2,0),""))</f>
        <v/>
      </c>
      <c r="R965" s="17" t="str">
        <f aca="false">IF(O965="","",IF(OR(P965="",Q965=""),0,(O965-N965)*IF(Q965&gt;1,Q965/100,Q965)))</f>
        <v/>
      </c>
      <c r="S965" s="31" t="str">
        <f aca="false">IF(O965="","",O965-R965)</f>
        <v/>
      </c>
      <c r="T965" s="28"/>
      <c r="U965" s="34" t="str">
        <f aca="false">IF(T965="","",IFERROR(VLOOKUP(T965,REPS!$A$2:$D$40,2,0),""))</f>
        <v/>
      </c>
      <c r="V965" s="31" t="str">
        <f aca="false">IF(O965="","",IF(U965="",0,O965*IF(U965&gt;1,U965/100,U965)))</f>
        <v/>
      </c>
      <c r="W965" s="28"/>
      <c r="X965" s="34" t="str">
        <f aca="false">IF(W965="","",IFERROR(VLOOKUP(W965,REPS!$A$2:$D$40,3,0),""))</f>
        <v/>
      </c>
      <c r="Y965" s="31" t="str">
        <f aca="false">IF(O965="","",IF(X965="",0,O965*IF(X965&gt;1,X965/100,X965)))</f>
        <v/>
      </c>
      <c r="Z965" s="28"/>
      <c r="AA965" s="34" t="str">
        <f aca="false">IF(Z965="","",IFERROR(VLOOKUP(Z965,REPS!$A$2:$D$40,4,0),""))</f>
        <v/>
      </c>
      <c r="AB965" s="31" t="str">
        <f aca="false">IF(O965="","",IF(AA965="",0,O965*IF(AA965&gt;1,AA965/100,AA965)))</f>
        <v/>
      </c>
      <c r="AC965" s="31" t="str">
        <f aca="false">IF(O965="","",V965+Y965+AB965)</f>
        <v/>
      </c>
      <c r="AD965" s="19" t="str">
        <f aca="false">IF(O965="","",O965-R965-AC965)</f>
        <v/>
      </c>
      <c r="AE965" s="20"/>
      <c r="AF965" s="27"/>
      <c r="AG965" s="21" t="n">
        <f aca="false">IF(OR(AE965="",AE965=0),0,AE965*IF(U965="",0,IF(U965&gt;1,U965/100,U965)))</f>
        <v>0</v>
      </c>
      <c r="AH965" s="21" t="n">
        <f aca="false">IF(OR(AE965="",AE965=0),0,AE965*IF(X965="",0,IF(X965&gt;1,X965/100,X965)))</f>
        <v>0</v>
      </c>
      <c r="AI965" s="21" t="n">
        <f aca="false">IF(OR(AE965="",AE965=0),0,AE965*IF(AA965="",0,IF(AA965&gt;1,AA965/100,AA965)))</f>
        <v>0</v>
      </c>
      <c r="AJ965" s="21" t="n">
        <f aca="false">AG965+AH965+AI965</f>
        <v>0</v>
      </c>
      <c r="AK965" s="21" t="n">
        <f aca="false">IF(OR(AE965="",AE965=0),0,AE965-AJ965)</f>
        <v>0</v>
      </c>
      <c r="AL965" s="19" t="str">
        <f aca="false">IF(AD965="","",AD965-AK965)</f>
        <v/>
      </c>
      <c r="AM965" s="26" t="str">
        <f aca="false">IF(C965="","","Waiting for payment")</f>
        <v/>
      </c>
      <c r="AN965" s="27"/>
      <c r="AO965" s="27"/>
      <c r="AP965" s="35" t="str">
        <f aca="false">IF(OR(C965="",I965="",K965=""),"",IF(K965="Monthly",EDATE(C965,ROUND(I965*SETTINGS!$I$8,0)),WORKDAY(C965,ROUND(I965*SETTINGS!$I$8,0))))</f>
        <v/>
      </c>
      <c r="AQ965" s="26" t="str">
        <f aca="true">IF(C965="","",IF(AND(AP965&lt;&gt;"",TODAY()&gt;=AP965),"Refi Ready",IF(TODAY()-C965&gt;=SETTINGS!$I$11,"Prospecting","Performing")))</f>
        <v/>
      </c>
      <c r="AR965" s="35" t="str">
        <f aca="false">IF(OR(C965="",I965="",K965=""),"",IF(K965="Monthly",EDATE(C965,I965),WORKDAY(C965,I965)))</f>
        <v/>
      </c>
      <c r="AS965" s="28"/>
      <c r="AT965" s="36" t="str">
        <f aca="true">IF(C965="","",IF(AM965="Clawed Back","CLAWED",IF(TODAY()&lt;=C965+SETTINGS!$I$2,"⚠ AT RISK","SAFE")))</f>
        <v/>
      </c>
      <c r="AU965" s="28"/>
      <c r="AW965" s="24" t="n">
        <f aca="false">AW964+IF(AND(C965&lt;&gt;"",AO965&lt;&gt;"",OR('REP COMMISSION'!$B$3="",T965='REP COMMISSION'!$B$3,W965='REP COMMISSION'!$B$3,Z965='REP COMMISSION'!$B$3)),1,0)</f>
        <v>0</v>
      </c>
      <c r="AX965" s="24" t="n">
        <f aca="false">AX964+IF(AND(C965&lt;&gt;"",OR(F965="LOC - INITIAL",F965="CONSOLIDATION - UPFRONT COMM",F965="REVERSE - TOTAL FUNDING")),1,0)</f>
        <v>0</v>
      </c>
    </row>
    <row r="966" customFormat="false" ht="15" hidden="false" customHeight="false" outlineLevel="0" collapsed="false">
      <c r="A966" s="8" t="str">
        <f aca="false">IF(C966&lt;&gt;"","F27-"&amp;COUNT($C$4:C966),"")</f>
        <v/>
      </c>
      <c r="B966" s="9" t="str">
        <f aca="false">IF(OR(F966="LOC - INITIAL",F966="CONSOLIDATION - UPFRONT COMM",F966="REVERSE - TOTAL FUNDING"),A966,"")</f>
        <v/>
      </c>
      <c r="C966" s="10"/>
      <c r="D966" s="11"/>
      <c r="E966" s="11"/>
      <c r="F966" s="11"/>
      <c r="G966" s="12"/>
      <c r="H966" s="13"/>
      <c r="I966" s="11"/>
      <c r="J966" s="14" t="str">
        <f aca="false">IF(AND(G966&lt;&gt;"",H966&lt;&gt;""),G966*H966,"")</f>
        <v/>
      </c>
      <c r="K966" s="11"/>
      <c r="L966" s="15"/>
      <c r="M966" s="15"/>
      <c r="N966" s="14" t="n">
        <f aca="false">IF(OR(G966="",M966=""),0,IF(M966&gt;100,M966,G966*IF(M966&gt;1,M966/100,M966)))</f>
        <v>0</v>
      </c>
      <c r="O966" s="14" t="str">
        <f aca="false">IF(G966="","",G966*IF(L966="",0,IF(L966&gt;1,L966/100,L966))+N966)</f>
        <v/>
      </c>
      <c r="P966" s="11"/>
      <c r="Q966" s="16" t="str">
        <f aca="false">IF(P966="","",IFERROR(VLOOKUP(P966,PARTNERS!$A$2:$B$30,2,0),""))</f>
        <v/>
      </c>
      <c r="R966" s="17" t="str">
        <f aca="false">IF(O966="","",IF(OR(P966="",Q966=""),0,(O966-N966)*IF(Q966&gt;1,Q966/100,Q966)))</f>
        <v/>
      </c>
      <c r="S966" s="14" t="str">
        <f aca="false">IF(O966="","",O966-R966)</f>
        <v/>
      </c>
      <c r="T966" s="11"/>
      <c r="U966" s="18" t="str">
        <f aca="false">IF(T966="","",IFERROR(VLOOKUP(T966,REPS!$A$2:$D$40,2,0),""))</f>
        <v/>
      </c>
      <c r="V966" s="14" t="str">
        <f aca="false">IF(O966="","",IF(U966="",0,O966*IF(U966&gt;1,U966/100,U966)))</f>
        <v/>
      </c>
      <c r="W966" s="11"/>
      <c r="X966" s="18" t="str">
        <f aca="false">IF(W966="","",IFERROR(VLOOKUP(W966,REPS!$A$2:$D$40,3,0),""))</f>
        <v/>
      </c>
      <c r="Y966" s="14" t="str">
        <f aca="false">IF(O966="","",IF(X966="",0,O966*IF(X966&gt;1,X966/100,X966)))</f>
        <v/>
      </c>
      <c r="Z966" s="11"/>
      <c r="AA966" s="18" t="str">
        <f aca="false">IF(Z966="","",IFERROR(VLOOKUP(Z966,REPS!$A$2:$D$40,4,0),""))</f>
        <v/>
      </c>
      <c r="AB966" s="14" t="str">
        <f aca="false">IF(O966="","",IF(AA966="",0,O966*IF(AA966&gt;1,AA966/100,AA966)))</f>
        <v/>
      </c>
      <c r="AC966" s="14" t="str">
        <f aca="false">IF(O966="","",V966+Y966+AB966)</f>
        <v/>
      </c>
      <c r="AD966" s="19" t="str">
        <f aca="false">IF(O966="","",O966-R966-AC966)</f>
        <v/>
      </c>
      <c r="AE966" s="20"/>
      <c r="AF966" s="10"/>
      <c r="AG966" s="21" t="n">
        <f aca="false">IF(OR(AE966="",AE966=0),0,AE966*IF(U966="",0,IF(U966&gt;1,U966/100,U966)))</f>
        <v>0</v>
      </c>
      <c r="AH966" s="21" t="n">
        <f aca="false">IF(OR(AE966="",AE966=0),0,AE966*IF(X966="",0,IF(X966&gt;1,X966/100,X966)))</f>
        <v>0</v>
      </c>
      <c r="AI966" s="21" t="n">
        <f aca="false">IF(OR(AE966="",AE966=0),0,AE966*IF(AA966="",0,IF(AA966&gt;1,AA966/100,AA966)))</f>
        <v>0</v>
      </c>
      <c r="AJ966" s="21" t="n">
        <f aca="false">AG966+AH966+AI966</f>
        <v>0</v>
      </c>
      <c r="AK966" s="21" t="n">
        <f aca="false">IF(OR(AE966="",AE966=0),0,AE966-AJ966)</f>
        <v>0</v>
      </c>
      <c r="AL966" s="19" t="str">
        <f aca="false">IF(AD966="","",AD966-AK966)</f>
        <v/>
      </c>
      <c r="AM966" s="9" t="str">
        <f aca="false">IF(C966="","","Waiting for payment")</f>
        <v/>
      </c>
      <c r="AN966" s="10"/>
      <c r="AO966" s="10"/>
      <c r="AP966" s="22" t="str">
        <f aca="false">IF(OR(C966="",I966="",K966=""),"",IF(K966="Monthly",EDATE(C966,ROUND(I966*SETTINGS!$I$8,0)),WORKDAY(C966,ROUND(I966*SETTINGS!$I$8,0))))</f>
        <v/>
      </c>
      <c r="AQ966" s="9" t="str">
        <f aca="true">IF(C966="","",IF(AND(AP966&lt;&gt;"",TODAY()&gt;=AP966),"Refi Ready",IF(TODAY()-C966&gt;=SETTINGS!$I$11,"Prospecting","Performing")))</f>
        <v/>
      </c>
      <c r="AR966" s="22" t="str">
        <f aca="false">IF(OR(C966="",I966="",K966=""),"",IF(K966="Monthly",EDATE(C966,I966),WORKDAY(C966,I966)))</f>
        <v/>
      </c>
      <c r="AS966" s="11"/>
      <c r="AT966" s="23" t="str">
        <f aca="true">IF(C966="","",IF(AM966="Clawed Back","CLAWED",IF(TODAY()&lt;=C966+SETTINGS!$I$2,"⚠ AT RISK","SAFE")))</f>
        <v/>
      </c>
      <c r="AU966" s="11"/>
      <c r="AW966" s="24" t="n">
        <f aca="false">AW965+IF(AND(C966&lt;&gt;"",AO966&lt;&gt;"",OR('REP COMMISSION'!$B$3="",T966='REP COMMISSION'!$B$3,W966='REP COMMISSION'!$B$3,Z966='REP COMMISSION'!$B$3)),1,0)</f>
        <v>0</v>
      </c>
      <c r="AX966" s="24" t="n">
        <f aca="false">AX965+IF(AND(C966&lt;&gt;"",OR(F966="LOC - INITIAL",F966="CONSOLIDATION - UPFRONT COMM",F966="REVERSE - TOTAL FUNDING")),1,0)</f>
        <v>0</v>
      </c>
    </row>
    <row r="967" customFormat="false" ht="15" hidden="false" customHeight="false" outlineLevel="0" collapsed="false">
      <c r="A967" s="25" t="str">
        <f aca="false">IF(C967&lt;&gt;"","F27-"&amp;COUNT($C$4:C967),"")</f>
        <v/>
      </c>
      <c r="B967" s="26" t="str">
        <f aca="false">IF(OR(F967="LOC - INITIAL",F967="CONSOLIDATION - UPFRONT COMM",F967="REVERSE - TOTAL FUNDING"),A967,"")</f>
        <v/>
      </c>
      <c r="C967" s="27"/>
      <c r="D967" s="28"/>
      <c r="E967" s="28"/>
      <c r="F967" s="28"/>
      <c r="G967" s="29"/>
      <c r="H967" s="30"/>
      <c r="I967" s="28"/>
      <c r="J967" s="31" t="str">
        <f aca="false">IF(AND(G967&lt;&gt;"",H967&lt;&gt;""),G967*H967,"")</f>
        <v/>
      </c>
      <c r="K967" s="28"/>
      <c r="L967" s="32"/>
      <c r="M967" s="32"/>
      <c r="N967" s="31" t="n">
        <f aca="false">IF(OR(G967="",M967=""),0,IF(M967&gt;100,M967,G967*IF(M967&gt;1,M967/100,M967)))</f>
        <v>0</v>
      </c>
      <c r="O967" s="31" t="str">
        <f aca="false">IF(G967="","",G967*IF(L967="",0,IF(L967&gt;1,L967/100,L967))+N967)</f>
        <v/>
      </c>
      <c r="P967" s="28"/>
      <c r="Q967" s="33" t="str">
        <f aca="false">IF(P967="","",IFERROR(VLOOKUP(P967,PARTNERS!$A$2:$B$30,2,0),""))</f>
        <v/>
      </c>
      <c r="R967" s="17" t="str">
        <f aca="false">IF(O967="","",IF(OR(P967="",Q967=""),0,(O967-N967)*IF(Q967&gt;1,Q967/100,Q967)))</f>
        <v/>
      </c>
      <c r="S967" s="31" t="str">
        <f aca="false">IF(O967="","",O967-R967)</f>
        <v/>
      </c>
      <c r="T967" s="28"/>
      <c r="U967" s="34" t="str">
        <f aca="false">IF(T967="","",IFERROR(VLOOKUP(T967,REPS!$A$2:$D$40,2,0),""))</f>
        <v/>
      </c>
      <c r="V967" s="31" t="str">
        <f aca="false">IF(O967="","",IF(U967="",0,O967*IF(U967&gt;1,U967/100,U967)))</f>
        <v/>
      </c>
      <c r="W967" s="28"/>
      <c r="X967" s="34" t="str">
        <f aca="false">IF(W967="","",IFERROR(VLOOKUP(W967,REPS!$A$2:$D$40,3,0),""))</f>
        <v/>
      </c>
      <c r="Y967" s="31" t="str">
        <f aca="false">IF(O967="","",IF(X967="",0,O967*IF(X967&gt;1,X967/100,X967)))</f>
        <v/>
      </c>
      <c r="Z967" s="28"/>
      <c r="AA967" s="34" t="str">
        <f aca="false">IF(Z967="","",IFERROR(VLOOKUP(Z967,REPS!$A$2:$D$40,4,0),""))</f>
        <v/>
      </c>
      <c r="AB967" s="31" t="str">
        <f aca="false">IF(O967="","",IF(AA967="",0,O967*IF(AA967&gt;1,AA967/100,AA967)))</f>
        <v/>
      </c>
      <c r="AC967" s="31" t="str">
        <f aca="false">IF(O967="","",V967+Y967+AB967)</f>
        <v/>
      </c>
      <c r="AD967" s="19" t="str">
        <f aca="false">IF(O967="","",O967-R967-AC967)</f>
        <v/>
      </c>
      <c r="AE967" s="20"/>
      <c r="AF967" s="27"/>
      <c r="AG967" s="21" t="n">
        <f aca="false">IF(OR(AE967="",AE967=0),0,AE967*IF(U967="",0,IF(U967&gt;1,U967/100,U967)))</f>
        <v>0</v>
      </c>
      <c r="AH967" s="21" t="n">
        <f aca="false">IF(OR(AE967="",AE967=0),0,AE967*IF(X967="",0,IF(X967&gt;1,X967/100,X967)))</f>
        <v>0</v>
      </c>
      <c r="AI967" s="21" t="n">
        <f aca="false">IF(OR(AE967="",AE967=0),0,AE967*IF(AA967="",0,IF(AA967&gt;1,AA967/100,AA967)))</f>
        <v>0</v>
      </c>
      <c r="AJ967" s="21" t="n">
        <f aca="false">AG967+AH967+AI967</f>
        <v>0</v>
      </c>
      <c r="AK967" s="21" t="n">
        <f aca="false">IF(OR(AE967="",AE967=0),0,AE967-AJ967)</f>
        <v>0</v>
      </c>
      <c r="AL967" s="19" t="str">
        <f aca="false">IF(AD967="","",AD967-AK967)</f>
        <v/>
      </c>
      <c r="AM967" s="26" t="str">
        <f aca="false">IF(C967="","","Waiting for payment")</f>
        <v/>
      </c>
      <c r="AN967" s="27"/>
      <c r="AO967" s="27"/>
      <c r="AP967" s="35" t="str">
        <f aca="false">IF(OR(C967="",I967="",K967=""),"",IF(K967="Monthly",EDATE(C967,ROUND(I967*SETTINGS!$I$8,0)),WORKDAY(C967,ROUND(I967*SETTINGS!$I$8,0))))</f>
        <v/>
      </c>
      <c r="AQ967" s="26" t="str">
        <f aca="true">IF(C967="","",IF(AND(AP967&lt;&gt;"",TODAY()&gt;=AP967),"Refi Ready",IF(TODAY()-C967&gt;=SETTINGS!$I$11,"Prospecting","Performing")))</f>
        <v/>
      </c>
      <c r="AR967" s="35" t="str">
        <f aca="false">IF(OR(C967="",I967="",K967=""),"",IF(K967="Monthly",EDATE(C967,I967),WORKDAY(C967,I967)))</f>
        <v/>
      </c>
      <c r="AS967" s="28"/>
      <c r="AT967" s="36" t="str">
        <f aca="true">IF(C967="","",IF(AM967="Clawed Back","CLAWED",IF(TODAY()&lt;=C967+SETTINGS!$I$2,"⚠ AT RISK","SAFE")))</f>
        <v/>
      </c>
      <c r="AU967" s="28"/>
      <c r="AW967" s="24" t="n">
        <f aca="false">AW966+IF(AND(C967&lt;&gt;"",AO967&lt;&gt;"",OR('REP COMMISSION'!$B$3="",T967='REP COMMISSION'!$B$3,W967='REP COMMISSION'!$B$3,Z967='REP COMMISSION'!$B$3)),1,0)</f>
        <v>0</v>
      </c>
      <c r="AX967" s="24" t="n">
        <f aca="false">AX966+IF(AND(C967&lt;&gt;"",OR(F967="LOC - INITIAL",F967="CONSOLIDATION - UPFRONT COMM",F967="REVERSE - TOTAL FUNDING")),1,0)</f>
        <v>0</v>
      </c>
    </row>
    <row r="968" customFormat="false" ht="15" hidden="false" customHeight="false" outlineLevel="0" collapsed="false">
      <c r="A968" s="8" t="str">
        <f aca="false">IF(C968&lt;&gt;"","F27-"&amp;COUNT($C$4:C968),"")</f>
        <v/>
      </c>
      <c r="B968" s="9" t="str">
        <f aca="false">IF(OR(F968="LOC - INITIAL",F968="CONSOLIDATION - UPFRONT COMM",F968="REVERSE - TOTAL FUNDING"),A968,"")</f>
        <v/>
      </c>
      <c r="C968" s="10"/>
      <c r="D968" s="11"/>
      <c r="E968" s="11"/>
      <c r="F968" s="11"/>
      <c r="G968" s="12"/>
      <c r="H968" s="13"/>
      <c r="I968" s="11"/>
      <c r="J968" s="14" t="str">
        <f aca="false">IF(AND(G968&lt;&gt;"",H968&lt;&gt;""),G968*H968,"")</f>
        <v/>
      </c>
      <c r="K968" s="11"/>
      <c r="L968" s="15"/>
      <c r="M968" s="15"/>
      <c r="N968" s="14" t="n">
        <f aca="false">IF(OR(G968="",M968=""),0,IF(M968&gt;100,M968,G968*IF(M968&gt;1,M968/100,M968)))</f>
        <v>0</v>
      </c>
      <c r="O968" s="14" t="str">
        <f aca="false">IF(G968="","",G968*IF(L968="",0,IF(L968&gt;1,L968/100,L968))+N968)</f>
        <v/>
      </c>
      <c r="P968" s="11"/>
      <c r="Q968" s="16" t="str">
        <f aca="false">IF(P968="","",IFERROR(VLOOKUP(P968,PARTNERS!$A$2:$B$30,2,0),""))</f>
        <v/>
      </c>
      <c r="R968" s="17" t="str">
        <f aca="false">IF(O968="","",IF(OR(P968="",Q968=""),0,(O968-N968)*IF(Q968&gt;1,Q968/100,Q968)))</f>
        <v/>
      </c>
      <c r="S968" s="14" t="str">
        <f aca="false">IF(O968="","",O968-R968)</f>
        <v/>
      </c>
      <c r="T968" s="11"/>
      <c r="U968" s="18" t="str">
        <f aca="false">IF(T968="","",IFERROR(VLOOKUP(T968,REPS!$A$2:$D$40,2,0),""))</f>
        <v/>
      </c>
      <c r="V968" s="14" t="str">
        <f aca="false">IF(O968="","",IF(U968="",0,O968*IF(U968&gt;1,U968/100,U968)))</f>
        <v/>
      </c>
      <c r="W968" s="11"/>
      <c r="X968" s="18" t="str">
        <f aca="false">IF(W968="","",IFERROR(VLOOKUP(W968,REPS!$A$2:$D$40,3,0),""))</f>
        <v/>
      </c>
      <c r="Y968" s="14" t="str">
        <f aca="false">IF(O968="","",IF(X968="",0,O968*IF(X968&gt;1,X968/100,X968)))</f>
        <v/>
      </c>
      <c r="Z968" s="11"/>
      <c r="AA968" s="18" t="str">
        <f aca="false">IF(Z968="","",IFERROR(VLOOKUP(Z968,REPS!$A$2:$D$40,4,0),""))</f>
        <v/>
      </c>
      <c r="AB968" s="14" t="str">
        <f aca="false">IF(O968="","",IF(AA968="",0,O968*IF(AA968&gt;1,AA968/100,AA968)))</f>
        <v/>
      </c>
      <c r="AC968" s="14" t="str">
        <f aca="false">IF(O968="","",V968+Y968+AB968)</f>
        <v/>
      </c>
      <c r="AD968" s="19" t="str">
        <f aca="false">IF(O968="","",O968-R968-AC968)</f>
        <v/>
      </c>
      <c r="AE968" s="20"/>
      <c r="AF968" s="10"/>
      <c r="AG968" s="21" t="n">
        <f aca="false">IF(OR(AE968="",AE968=0),0,AE968*IF(U968="",0,IF(U968&gt;1,U968/100,U968)))</f>
        <v>0</v>
      </c>
      <c r="AH968" s="21" t="n">
        <f aca="false">IF(OR(AE968="",AE968=0),0,AE968*IF(X968="",0,IF(X968&gt;1,X968/100,X968)))</f>
        <v>0</v>
      </c>
      <c r="AI968" s="21" t="n">
        <f aca="false">IF(OR(AE968="",AE968=0),0,AE968*IF(AA968="",0,IF(AA968&gt;1,AA968/100,AA968)))</f>
        <v>0</v>
      </c>
      <c r="AJ968" s="21" t="n">
        <f aca="false">AG968+AH968+AI968</f>
        <v>0</v>
      </c>
      <c r="AK968" s="21" t="n">
        <f aca="false">IF(OR(AE968="",AE968=0),0,AE968-AJ968)</f>
        <v>0</v>
      </c>
      <c r="AL968" s="19" t="str">
        <f aca="false">IF(AD968="","",AD968-AK968)</f>
        <v/>
      </c>
      <c r="AM968" s="9" t="str">
        <f aca="false">IF(C968="","","Waiting for payment")</f>
        <v/>
      </c>
      <c r="AN968" s="10"/>
      <c r="AO968" s="10"/>
      <c r="AP968" s="22" t="str">
        <f aca="false">IF(OR(C968="",I968="",K968=""),"",IF(K968="Monthly",EDATE(C968,ROUND(I968*SETTINGS!$I$8,0)),WORKDAY(C968,ROUND(I968*SETTINGS!$I$8,0))))</f>
        <v/>
      </c>
      <c r="AQ968" s="9" t="str">
        <f aca="true">IF(C968="","",IF(AND(AP968&lt;&gt;"",TODAY()&gt;=AP968),"Refi Ready",IF(TODAY()-C968&gt;=SETTINGS!$I$11,"Prospecting","Performing")))</f>
        <v/>
      </c>
      <c r="AR968" s="22" t="str">
        <f aca="false">IF(OR(C968="",I968="",K968=""),"",IF(K968="Monthly",EDATE(C968,I968),WORKDAY(C968,I968)))</f>
        <v/>
      </c>
      <c r="AS968" s="11"/>
      <c r="AT968" s="23" t="str">
        <f aca="true">IF(C968="","",IF(AM968="Clawed Back","CLAWED",IF(TODAY()&lt;=C968+SETTINGS!$I$2,"⚠ AT RISK","SAFE")))</f>
        <v/>
      </c>
      <c r="AU968" s="11"/>
      <c r="AW968" s="24" t="n">
        <f aca="false">AW967+IF(AND(C968&lt;&gt;"",AO968&lt;&gt;"",OR('REP COMMISSION'!$B$3="",T968='REP COMMISSION'!$B$3,W968='REP COMMISSION'!$B$3,Z968='REP COMMISSION'!$B$3)),1,0)</f>
        <v>0</v>
      </c>
      <c r="AX968" s="24" t="n">
        <f aca="false">AX967+IF(AND(C968&lt;&gt;"",OR(F968="LOC - INITIAL",F968="CONSOLIDATION - UPFRONT COMM",F968="REVERSE - TOTAL FUNDING")),1,0)</f>
        <v>0</v>
      </c>
    </row>
    <row r="969" customFormat="false" ht="15" hidden="false" customHeight="false" outlineLevel="0" collapsed="false">
      <c r="A969" s="25" t="str">
        <f aca="false">IF(C969&lt;&gt;"","F27-"&amp;COUNT($C$4:C969),"")</f>
        <v/>
      </c>
      <c r="B969" s="26" t="str">
        <f aca="false">IF(OR(F969="LOC - INITIAL",F969="CONSOLIDATION - UPFRONT COMM",F969="REVERSE - TOTAL FUNDING"),A969,"")</f>
        <v/>
      </c>
      <c r="C969" s="27"/>
      <c r="D969" s="28"/>
      <c r="E969" s="28"/>
      <c r="F969" s="28"/>
      <c r="G969" s="29"/>
      <c r="H969" s="30"/>
      <c r="I969" s="28"/>
      <c r="J969" s="31" t="str">
        <f aca="false">IF(AND(G969&lt;&gt;"",H969&lt;&gt;""),G969*H969,"")</f>
        <v/>
      </c>
      <c r="K969" s="28"/>
      <c r="L969" s="32"/>
      <c r="M969" s="32"/>
      <c r="N969" s="31" t="n">
        <f aca="false">IF(OR(G969="",M969=""),0,IF(M969&gt;100,M969,G969*IF(M969&gt;1,M969/100,M969)))</f>
        <v>0</v>
      </c>
      <c r="O969" s="31" t="str">
        <f aca="false">IF(G969="","",G969*IF(L969="",0,IF(L969&gt;1,L969/100,L969))+N969)</f>
        <v/>
      </c>
      <c r="P969" s="28"/>
      <c r="Q969" s="33" t="str">
        <f aca="false">IF(P969="","",IFERROR(VLOOKUP(P969,PARTNERS!$A$2:$B$30,2,0),""))</f>
        <v/>
      </c>
      <c r="R969" s="17" t="str">
        <f aca="false">IF(O969="","",IF(OR(P969="",Q969=""),0,(O969-N969)*IF(Q969&gt;1,Q969/100,Q969)))</f>
        <v/>
      </c>
      <c r="S969" s="31" t="str">
        <f aca="false">IF(O969="","",O969-R969)</f>
        <v/>
      </c>
      <c r="T969" s="28"/>
      <c r="U969" s="34" t="str">
        <f aca="false">IF(T969="","",IFERROR(VLOOKUP(T969,REPS!$A$2:$D$40,2,0),""))</f>
        <v/>
      </c>
      <c r="V969" s="31" t="str">
        <f aca="false">IF(O969="","",IF(U969="",0,O969*IF(U969&gt;1,U969/100,U969)))</f>
        <v/>
      </c>
      <c r="W969" s="28"/>
      <c r="X969" s="34" t="str">
        <f aca="false">IF(W969="","",IFERROR(VLOOKUP(W969,REPS!$A$2:$D$40,3,0),""))</f>
        <v/>
      </c>
      <c r="Y969" s="31" t="str">
        <f aca="false">IF(O969="","",IF(X969="",0,O969*IF(X969&gt;1,X969/100,X969)))</f>
        <v/>
      </c>
      <c r="Z969" s="28"/>
      <c r="AA969" s="34" t="str">
        <f aca="false">IF(Z969="","",IFERROR(VLOOKUP(Z969,REPS!$A$2:$D$40,4,0),""))</f>
        <v/>
      </c>
      <c r="AB969" s="31" t="str">
        <f aca="false">IF(O969="","",IF(AA969="",0,O969*IF(AA969&gt;1,AA969/100,AA969)))</f>
        <v/>
      </c>
      <c r="AC969" s="31" t="str">
        <f aca="false">IF(O969="","",V969+Y969+AB969)</f>
        <v/>
      </c>
      <c r="AD969" s="19" t="str">
        <f aca="false">IF(O969="","",O969-R969-AC969)</f>
        <v/>
      </c>
      <c r="AE969" s="20"/>
      <c r="AF969" s="27"/>
      <c r="AG969" s="21" t="n">
        <f aca="false">IF(OR(AE969="",AE969=0),0,AE969*IF(U969="",0,IF(U969&gt;1,U969/100,U969)))</f>
        <v>0</v>
      </c>
      <c r="AH969" s="21" t="n">
        <f aca="false">IF(OR(AE969="",AE969=0),0,AE969*IF(X969="",0,IF(X969&gt;1,X969/100,X969)))</f>
        <v>0</v>
      </c>
      <c r="AI969" s="21" t="n">
        <f aca="false">IF(OR(AE969="",AE969=0),0,AE969*IF(AA969="",0,IF(AA969&gt;1,AA969/100,AA969)))</f>
        <v>0</v>
      </c>
      <c r="AJ969" s="21" t="n">
        <f aca="false">AG969+AH969+AI969</f>
        <v>0</v>
      </c>
      <c r="AK969" s="21" t="n">
        <f aca="false">IF(OR(AE969="",AE969=0),0,AE969-AJ969)</f>
        <v>0</v>
      </c>
      <c r="AL969" s="19" t="str">
        <f aca="false">IF(AD969="","",AD969-AK969)</f>
        <v/>
      </c>
      <c r="AM969" s="26" t="str">
        <f aca="false">IF(C969="","","Waiting for payment")</f>
        <v/>
      </c>
      <c r="AN969" s="27"/>
      <c r="AO969" s="27"/>
      <c r="AP969" s="35" t="str">
        <f aca="false">IF(OR(C969="",I969="",K969=""),"",IF(K969="Monthly",EDATE(C969,ROUND(I969*SETTINGS!$I$8,0)),WORKDAY(C969,ROUND(I969*SETTINGS!$I$8,0))))</f>
        <v/>
      </c>
      <c r="AQ969" s="26" t="str">
        <f aca="true">IF(C969="","",IF(AND(AP969&lt;&gt;"",TODAY()&gt;=AP969),"Refi Ready",IF(TODAY()-C969&gt;=SETTINGS!$I$11,"Prospecting","Performing")))</f>
        <v/>
      </c>
      <c r="AR969" s="35" t="str">
        <f aca="false">IF(OR(C969="",I969="",K969=""),"",IF(K969="Monthly",EDATE(C969,I969),WORKDAY(C969,I969)))</f>
        <v/>
      </c>
      <c r="AS969" s="28"/>
      <c r="AT969" s="36" t="str">
        <f aca="true">IF(C969="","",IF(AM969="Clawed Back","CLAWED",IF(TODAY()&lt;=C969+SETTINGS!$I$2,"⚠ AT RISK","SAFE")))</f>
        <v/>
      </c>
      <c r="AU969" s="28"/>
      <c r="AW969" s="24" t="n">
        <f aca="false">AW968+IF(AND(C969&lt;&gt;"",AO969&lt;&gt;"",OR('REP COMMISSION'!$B$3="",T969='REP COMMISSION'!$B$3,W969='REP COMMISSION'!$B$3,Z969='REP COMMISSION'!$B$3)),1,0)</f>
        <v>0</v>
      </c>
      <c r="AX969" s="24" t="n">
        <f aca="false">AX968+IF(AND(C969&lt;&gt;"",OR(F969="LOC - INITIAL",F969="CONSOLIDATION - UPFRONT COMM",F969="REVERSE - TOTAL FUNDING")),1,0)</f>
        <v>0</v>
      </c>
    </row>
    <row r="970" customFormat="false" ht="15" hidden="false" customHeight="false" outlineLevel="0" collapsed="false">
      <c r="A970" s="8" t="str">
        <f aca="false">IF(C970&lt;&gt;"","F27-"&amp;COUNT($C$4:C970),"")</f>
        <v/>
      </c>
      <c r="B970" s="9" t="str">
        <f aca="false">IF(OR(F970="LOC - INITIAL",F970="CONSOLIDATION - UPFRONT COMM",F970="REVERSE - TOTAL FUNDING"),A970,"")</f>
        <v/>
      </c>
      <c r="C970" s="10"/>
      <c r="D970" s="11"/>
      <c r="E970" s="11"/>
      <c r="F970" s="11"/>
      <c r="G970" s="12"/>
      <c r="H970" s="13"/>
      <c r="I970" s="11"/>
      <c r="J970" s="14" t="str">
        <f aca="false">IF(AND(G970&lt;&gt;"",H970&lt;&gt;""),G970*H970,"")</f>
        <v/>
      </c>
      <c r="K970" s="11"/>
      <c r="L970" s="15"/>
      <c r="M970" s="15"/>
      <c r="N970" s="14" t="n">
        <f aca="false">IF(OR(G970="",M970=""),0,IF(M970&gt;100,M970,G970*IF(M970&gt;1,M970/100,M970)))</f>
        <v>0</v>
      </c>
      <c r="O970" s="14" t="str">
        <f aca="false">IF(G970="","",G970*IF(L970="",0,IF(L970&gt;1,L970/100,L970))+N970)</f>
        <v/>
      </c>
      <c r="P970" s="11"/>
      <c r="Q970" s="16" t="str">
        <f aca="false">IF(P970="","",IFERROR(VLOOKUP(P970,PARTNERS!$A$2:$B$30,2,0),""))</f>
        <v/>
      </c>
      <c r="R970" s="17" t="str">
        <f aca="false">IF(O970="","",IF(OR(P970="",Q970=""),0,(O970-N970)*IF(Q970&gt;1,Q970/100,Q970)))</f>
        <v/>
      </c>
      <c r="S970" s="14" t="str">
        <f aca="false">IF(O970="","",O970-R970)</f>
        <v/>
      </c>
      <c r="T970" s="11"/>
      <c r="U970" s="18" t="str">
        <f aca="false">IF(T970="","",IFERROR(VLOOKUP(T970,REPS!$A$2:$D$40,2,0),""))</f>
        <v/>
      </c>
      <c r="V970" s="14" t="str">
        <f aca="false">IF(O970="","",IF(U970="",0,O970*IF(U970&gt;1,U970/100,U970)))</f>
        <v/>
      </c>
      <c r="W970" s="11"/>
      <c r="X970" s="18" t="str">
        <f aca="false">IF(W970="","",IFERROR(VLOOKUP(W970,REPS!$A$2:$D$40,3,0),""))</f>
        <v/>
      </c>
      <c r="Y970" s="14" t="str">
        <f aca="false">IF(O970="","",IF(X970="",0,O970*IF(X970&gt;1,X970/100,X970)))</f>
        <v/>
      </c>
      <c r="Z970" s="11"/>
      <c r="AA970" s="18" t="str">
        <f aca="false">IF(Z970="","",IFERROR(VLOOKUP(Z970,REPS!$A$2:$D$40,4,0),""))</f>
        <v/>
      </c>
      <c r="AB970" s="14" t="str">
        <f aca="false">IF(O970="","",IF(AA970="",0,O970*IF(AA970&gt;1,AA970/100,AA970)))</f>
        <v/>
      </c>
      <c r="AC970" s="14" t="str">
        <f aca="false">IF(O970="","",V970+Y970+AB970)</f>
        <v/>
      </c>
      <c r="AD970" s="19" t="str">
        <f aca="false">IF(O970="","",O970-R970-AC970)</f>
        <v/>
      </c>
      <c r="AE970" s="20"/>
      <c r="AF970" s="10"/>
      <c r="AG970" s="21" t="n">
        <f aca="false">IF(OR(AE970="",AE970=0),0,AE970*IF(U970="",0,IF(U970&gt;1,U970/100,U970)))</f>
        <v>0</v>
      </c>
      <c r="AH970" s="21" t="n">
        <f aca="false">IF(OR(AE970="",AE970=0),0,AE970*IF(X970="",0,IF(X970&gt;1,X970/100,X970)))</f>
        <v>0</v>
      </c>
      <c r="AI970" s="21" t="n">
        <f aca="false">IF(OR(AE970="",AE970=0),0,AE970*IF(AA970="",0,IF(AA970&gt;1,AA970/100,AA970)))</f>
        <v>0</v>
      </c>
      <c r="AJ970" s="21" t="n">
        <f aca="false">AG970+AH970+AI970</f>
        <v>0</v>
      </c>
      <c r="AK970" s="21" t="n">
        <f aca="false">IF(OR(AE970="",AE970=0),0,AE970-AJ970)</f>
        <v>0</v>
      </c>
      <c r="AL970" s="19" t="str">
        <f aca="false">IF(AD970="","",AD970-AK970)</f>
        <v/>
      </c>
      <c r="AM970" s="9" t="str">
        <f aca="false">IF(C970="","","Waiting for payment")</f>
        <v/>
      </c>
      <c r="AN970" s="10"/>
      <c r="AO970" s="10"/>
      <c r="AP970" s="22" t="str">
        <f aca="false">IF(OR(C970="",I970="",K970=""),"",IF(K970="Monthly",EDATE(C970,ROUND(I970*SETTINGS!$I$8,0)),WORKDAY(C970,ROUND(I970*SETTINGS!$I$8,0))))</f>
        <v/>
      </c>
      <c r="AQ970" s="9" t="str">
        <f aca="true">IF(C970="","",IF(AND(AP970&lt;&gt;"",TODAY()&gt;=AP970),"Refi Ready",IF(TODAY()-C970&gt;=SETTINGS!$I$11,"Prospecting","Performing")))</f>
        <v/>
      </c>
      <c r="AR970" s="22" t="str">
        <f aca="false">IF(OR(C970="",I970="",K970=""),"",IF(K970="Monthly",EDATE(C970,I970),WORKDAY(C970,I970)))</f>
        <v/>
      </c>
      <c r="AS970" s="11"/>
      <c r="AT970" s="23" t="str">
        <f aca="true">IF(C970="","",IF(AM970="Clawed Back","CLAWED",IF(TODAY()&lt;=C970+SETTINGS!$I$2,"⚠ AT RISK","SAFE")))</f>
        <v/>
      </c>
      <c r="AU970" s="11"/>
      <c r="AW970" s="24" t="n">
        <f aca="false">AW969+IF(AND(C970&lt;&gt;"",AO970&lt;&gt;"",OR('REP COMMISSION'!$B$3="",T970='REP COMMISSION'!$B$3,W970='REP COMMISSION'!$B$3,Z970='REP COMMISSION'!$B$3)),1,0)</f>
        <v>0</v>
      </c>
      <c r="AX970" s="24" t="n">
        <f aca="false">AX969+IF(AND(C970&lt;&gt;"",OR(F970="LOC - INITIAL",F970="CONSOLIDATION - UPFRONT COMM",F970="REVERSE - TOTAL FUNDING")),1,0)</f>
        <v>0</v>
      </c>
    </row>
    <row r="971" customFormat="false" ht="15" hidden="false" customHeight="false" outlineLevel="0" collapsed="false">
      <c r="A971" s="25" t="str">
        <f aca="false">IF(C971&lt;&gt;"","F27-"&amp;COUNT($C$4:C971),"")</f>
        <v/>
      </c>
      <c r="B971" s="26" t="str">
        <f aca="false">IF(OR(F971="LOC - INITIAL",F971="CONSOLIDATION - UPFRONT COMM",F971="REVERSE - TOTAL FUNDING"),A971,"")</f>
        <v/>
      </c>
      <c r="C971" s="27"/>
      <c r="D971" s="28"/>
      <c r="E971" s="28"/>
      <c r="F971" s="28"/>
      <c r="G971" s="29"/>
      <c r="H971" s="30"/>
      <c r="I971" s="28"/>
      <c r="J971" s="31" t="str">
        <f aca="false">IF(AND(G971&lt;&gt;"",H971&lt;&gt;""),G971*H971,"")</f>
        <v/>
      </c>
      <c r="K971" s="28"/>
      <c r="L971" s="32"/>
      <c r="M971" s="32"/>
      <c r="N971" s="31" t="n">
        <f aca="false">IF(OR(G971="",M971=""),0,IF(M971&gt;100,M971,G971*IF(M971&gt;1,M971/100,M971)))</f>
        <v>0</v>
      </c>
      <c r="O971" s="31" t="str">
        <f aca="false">IF(G971="","",G971*IF(L971="",0,IF(L971&gt;1,L971/100,L971))+N971)</f>
        <v/>
      </c>
      <c r="P971" s="28"/>
      <c r="Q971" s="33" t="str">
        <f aca="false">IF(P971="","",IFERROR(VLOOKUP(P971,PARTNERS!$A$2:$B$30,2,0),""))</f>
        <v/>
      </c>
      <c r="R971" s="17" t="str">
        <f aca="false">IF(O971="","",IF(OR(P971="",Q971=""),0,(O971-N971)*IF(Q971&gt;1,Q971/100,Q971)))</f>
        <v/>
      </c>
      <c r="S971" s="31" t="str">
        <f aca="false">IF(O971="","",O971-R971)</f>
        <v/>
      </c>
      <c r="T971" s="28"/>
      <c r="U971" s="34" t="str">
        <f aca="false">IF(T971="","",IFERROR(VLOOKUP(T971,REPS!$A$2:$D$40,2,0),""))</f>
        <v/>
      </c>
      <c r="V971" s="31" t="str">
        <f aca="false">IF(O971="","",IF(U971="",0,O971*IF(U971&gt;1,U971/100,U971)))</f>
        <v/>
      </c>
      <c r="W971" s="28"/>
      <c r="X971" s="34" t="str">
        <f aca="false">IF(W971="","",IFERROR(VLOOKUP(W971,REPS!$A$2:$D$40,3,0),""))</f>
        <v/>
      </c>
      <c r="Y971" s="31" t="str">
        <f aca="false">IF(O971="","",IF(X971="",0,O971*IF(X971&gt;1,X971/100,X971)))</f>
        <v/>
      </c>
      <c r="Z971" s="28"/>
      <c r="AA971" s="34" t="str">
        <f aca="false">IF(Z971="","",IFERROR(VLOOKUP(Z971,REPS!$A$2:$D$40,4,0),""))</f>
        <v/>
      </c>
      <c r="AB971" s="31" t="str">
        <f aca="false">IF(O971="","",IF(AA971="",0,O971*IF(AA971&gt;1,AA971/100,AA971)))</f>
        <v/>
      </c>
      <c r="AC971" s="31" t="str">
        <f aca="false">IF(O971="","",V971+Y971+AB971)</f>
        <v/>
      </c>
      <c r="AD971" s="19" t="str">
        <f aca="false">IF(O971="","",O971-R971-AC971)</f>
        <v/>
      </c>
      <c r="AE971" s="20"/>
      <c r="AF971" s="27"/>
      <c r="AG971" s="21" t="n">
        <f aca="false">IF(OR(AE971="",AE971=0),0,AE971*IF(U971="",0,IF(U971&gt;1,U971/100,U971)))</f>
        <v>0</v>
      </c>
      <c r="AH971" s="21" t="n">
        <f aca="false">IF(OR(AE971="",AE971=0),0,AE971*IF(X971="",0,IF(X971&gt;1,X971/100,X971)))</f>
        <v>0</v>
      </c>
      <c r="AI971" s="21" t="n">
        <f aca="false">IF(OR(AE971="",AE971=0),0,AE971*IF(AA971="",0,IF(AA971&gt;1,AA971/100,AA971)))</f>
        <v>0</v>
      </c>
      <c r="AJ971" s="21" t="n">
        <f aca="false">AG971+AH971+AI971</f>
        <v>0</v>
      </c>
      <c r="AK971" s="21" t="n">
        <f aca="false">IF(OR(AE971="",AE971=0),0,AE971-AJ971)</f>
        <v>0</v>
      </c>
      <c r="AL971" s="19" t="str">
        <f aca="false">IF(AD971="","",AD971-AK971)</f>
        <v/>
      </c>
      <c r="AM971" s="26" t="str">
        <f aca="false">IF(C971="","","Waiting for payment")</f>
        <v/>
      </c>
      <c r="AN971" s="27"/>
      <c r="AO971" s="27"/>
      <c r="AP971" s="35" t="str">
        <f aca="false">IF(OR(C971="",I971="",K971=""),"",IF(K971="Monthly",EDATE(C971,ROUND(I971*SETTINGS!$I$8,0)),WORKDAY(C971,ROUND(I971*SETTINGS!$I$8,0))))</f>
        <v/>
      </c>
      <c r="AQ971" s="26" t="str">
        <f aca="true">IF(C971="","",IF(AND(AP971&lt;&gt;"",TODAY()&gt;=AP971),"Refi Ready",IF(TODAY()-C971&gt;=SETTINGS!$I$11,"Prospecting","Performing")))</f>
        <v/>
      </c>
      <c r="AR971" s="35" t="str">
        <f aca="false">IF(OR(C971="",I971="",K971=""),"",IF(K971="Monthly",EDATE(C971,I971),WORKDAY(C971,I971)))</f>
        <v/>
      </c>
      <c r="AS971" s="28"/>
      <c r="AT971" s="36" t="str">
        <f aca="true">IF(C971="","",IF(AM971="Clawed Back","CLAWED",IF(TODAY()&lt;=C971+SETTINGS!$I$2,"⚠ AT RISK","SAFE")))</f>
        <v/>
      </c>
      <c r="AU971" s="28"/>
      <c r="AW971" s="24" t="n">
        <f aca="false">AW970+IF(AND(C971&lt;&gt;"",AO971&lt;&gt;"",OR('REP COMMISSION'!$B$3="",T971='REP COMMISSION'!$B$3,W971='REP COMMISSION'!$B$3,Z971='REP COMMISSION'!$B$3)),1,0)</f>
        <v>0</v>
      </c>
      <c r="AX971" s="24" t="n">
        <f aca="false">AX970+IF(AND(C971&lt;&gt;"",OR(F971="LOC - INITIAL",F971="CONSOLIDATION - UPFRONT COMM",F971="REVERSE - TOTAL FUNDING")),1,0)</f>
        <v>0</v>
      </c>
    </row>
    <row r="972" customFormat="false" ht="15" hidden="false" customHeight="false" outlineLevel="0" collapsed="false">
      <c r="A972" s="8" t="str">
        <f aca="false">IF(C972&lt;&gt;"","F27-"&amp;COUNT($C$4:C972),"")</f>
        <v/>
      </c>
      <c r="B972" s="9" t="str">
        <f aca="false">IF(OR(F972="LOC - INITIAL",F972="CONSOLIDATION - UPFRONT COMM",F972="REVERSE - TOTAL FUNDING"),A972,"")</f>
        <v/>
      </c>
      <c r="C972" s="10"/>
      <c r="D972" s="11"/>
      <c r="E972" s="11"/>
      <c r="F972" s="11"/>
      <c r="G972" s="12"/>
      <c r="H972" s="13"/>
      <c r="I972" s="11"/>
      <c r="J972" s="14" t="str">
        <f aca="false">IF(AND(G972&lt;&gt;"",H972&lt;&gt;""),G972*H972,"")</f>
        <v/>
      </c>
      <c r="K972" s="11"/>
      <c r="L972" s="15"/>
      <c r="M972" s="15"/>
      <c r="N972" s="14" t="n">
        <f aca="false">IF(OR(G972="",M972=""),0,IF(M972&gt;100,M972,G972*IF(M972&gt;1,M972/100,M972)))</f>
        <v>0</v>
      </c>
      <c r="O972" s="14" t="str">
        <f aca="false">IF(G972="","",G972*IF(L972="",0,IF(L972&gt;1,L972/100,L972))+N972)</f>
        <v/>
      </c>
      <c r="P972" s="11"/>
      <c r="Q972" s="16" t="str">
        <f aca="false">IF(P972="","",IFERROR(VLOOKUP(P972,PARTNERS!$A$2:$B$30,2,0),""))</f>
        <v/>
      </c>
      <c r="R972" s="17" t="str">
        <f aca="false">IF(O972="","",IF(OR(P972="",Q972=""),0,(O972-N972)*IF(Q972&gt;1,Q972/100,Q972)))</f>
        <v/>
      </c>
      <c r="S972" s="14" t="str">
        <f aca="false">IF(O972="","",O972-R972)</f>
        <v/>
      </c>
      <c r="T972" s="11"/>
      <c r="U972" s="18" t="str">
        <f aca="false">IF(T972="","",IFERROR(VLOOKUP(T972,REPS!$A$2:$D$40,2,0),""))</f>
        <v/>
      </c>
      <c r="V972" s="14" t="str">
        <f aca="false">IF(O972="","",IF(U972="",0,O972*IF(U972&gt;1,U972/100,U972)))</f>
        <v/>
      </c>
      <c r="W972" s="11"/>
      <c r="X972" s="18" t="str">
        <f aca="false">IF(W972="","",IFERROR(VLOOKUP(W972,REPS!$A$2:$D$40,3,0),""))</f>
        <v/>
      </c>
      <c r="Y972" s="14" t="str">
        <f aca="false">IF(O972="","",IF(X972="",0,O972*IF(X972&gt;1,X972/100,X972)))</f>
        <v/>
      </c>
      <c r="Z972" s="11"/>
      <c r="AA972" s="18" t="str">
        <f aca="false">IF(Z972="","",IFERROR(VLOOKUP(Z972,REPS!$A$2:$D$40,4,0),""))</f>
        <v/>
      </c>
      <c r="AB972" s="14" t="str">
        <f aca="false">IF(O972="","",IF(AA972="",0,O972*IF(AA972&gt;1,AA972/100,AA972)))</f>
        <v/>
      </c>
      <c r="AC972" s="14" t="str">
        <f aca="false">IF(O972="","",V972+Y972+AB972)</f>
        <v/>
      </c>
      <c r="AD972" s="19" t="str">
        <f aca="false">IF(O972="","",O972-R972-AC972)</f>
        <v/>
      </c>
      <c r="AE972" s="20"/>
      <c r="AF972" s="10"/>
      <c r="AG972" s="21" t="n">
        <f aca="false">IF(OR(AE972="",AE972=0),0,AE972*IF(U972="",0,IF(U972&gt;1,U972/100,U972)))</f>
        <v>0</v>
      </c>
      <c r="AH972" s="21" t="n">
        <f aca="false">IF(OR(AE972="",AE972=0),0,AE972*IF(X972="",0,IF(X972&gt;1,X972/100,X972)))</f>
        <v>0</v>
      </c>
      <c r="AI972" s="21" t="n">
        <f aca="false">IF(OR(AE972="",AE972=0),0,AE972*IF(AA972="",0,IF(AA972&gt;1,AA972/100,AA972)))</f>
        <v>0</v>
      </c>
      <c r="AJ972" s="21" t="n">
        <f aca="false">AG972+AH972+AI972</f>
        <v>0</v>
      </c>
      <c r="AK972" s="21" t="n">
        <f aca="false">IF(OR(AE972="",AE972=0),0,AE972-AJ972)</f>
        <v>0</v>
      </c>
      <c r="AL972" s="19" t="str">
        <f aca="false">IF(AD972="","",AD972-AK972)</f>
        <v/>
      </c>
      <c r="AM972" s="9" t="str">
        <f aca="false">IF(C972="","","Waiting for payment")</f>
        <v/>
      </c>
      <c r="AN972" s="10"/>
      <c r="AO972" s="10"/>
      <c r="AP972" s="22" t="str">
        <f aca="false">IF(OR(C972="",I972="",K972=""),"",IF(K972="Monthly",EDATE(C972,ROUND(I972*SETTINGS!$I$8,0)),WORKDAY(C972,ROUND(I972*SETTINGS!$I$8,0))))</f>
        <v/>
      </c>
      <c r="AQ972" s="9" t="str">
        <f aca="true">IF(C972="","",IF(AND(AP972&lt;&gt;"",TODAY()&gt;=AP972),"Refi Ready",IF(TODAY()-C972&gt;=SETTINGS!$I$11,"Prospecting","Performing")))</f>
        <v/>
      </c>
      <c r="AR972" s="22" t="str">
        <f aca="false">IF(OR(C972="",I972="",K972=""),"",IF(K972="Monthly",EDATE(C972,I972),WORKDAY(C972,I972)))</f>
        <v/>
      </c>
      <c r="AS972" s="11"/>
      <c r="AT972" s="23" t="str">
        <f aca="true">IF(C972="","",IF(AM972="Clawed Back","CLAWED",IF(TODAY()&lt;=C972+SETTINGS!$I$2,"⚠ AT RISK","SAFE")))</f>
        <v/>
      </c>
      <c r="AU972" s="11"/>
      <c r="AW972" s="24" t="n">
        <f aca="false">AW971+IF(AND(C972&lt;&gt;"",AO972&lt;&gt;"",OR('REP COMMISSION'!$B$3="",T972='REP COMMISSION'!$B$3,W972='REP COMMISSION'!$B$3,Z972='REP COMMISSION'!$B$3)),1,0)</f>
        <v>0</v>
      </c>
      <c r="AX972" s="24" t="n">
        <f aca="false">AX971+IF(AND(C972&lt;&gt;"",OR(F972="LOC - INITIAL",F972="CONSOLIDATION - UPFRONT COMM",F972="REVERSE - TOTAL FUNDING")),1,0)</f>
        <v>0</v>
      </c>
    </row>
    <row r="973" customFormat="false" ht="15" hidden="false" customHeight="false" outlineLevel="0" collapsed="false">
      <c r="A973" s="25" t="str">
        <f aca="false">IF(C973&lt;&gt;"","F27-"&amp;COUNT($C$4:C973),"")</f>
        <v/>
      </c>
      <c r="B973" s="26" t="str">
        <f aca="false">IF(OR(F973="LOC - INITIAL",F973="CONSOLIDATION - UPFRONT COMM",F973="REVERSE - TOTAL FUNDING"),A973,"")</f>
        <v/>
      </c>
      <c r="C973" s="27"/>
      <c r="D973" s="28"/>
      <c r="E973" s="28"/>
      <c r="F973" s="28"/>
      <c r="G973" s="29"/>
      <c r="H973" s="30"/>
      <c r="I973" s="28"/>
      <c r="J973" s="31" t="str">
        <f aca="false">IF(AND(G973&lt;&gt;"",H973&lt;&gt;""),G973*H973,"")</f>
        <v/>
      </c>
      <c r="K973" s="28"/>
      <c r="L973" s="32"/>
      <c r="M973" s="32"/>
      <c r="N973" s="31" t="n">
        <f aca="false">IF(OR(G973="",M973=""),0,IF(M973&gt;100,M973,G973*IF(M973&gt;1,M973/100,M973)))</f>
        <v>0</v>
      </c>
      <c r="O973" s="31" t="str">
        <f aca="false">IF(G973="","",G973*IF(L973="",0,IF(L973&gt;1,L973/100,L973))+N973)</f>
        <v/>
      </c>
      <c r="P973" s="28"/>
      <c r="Q973" s="33" t="str">
        <f aca="false">IF(P973="","",IFERROR(VLOOKUP(P973,PARTNERS!$A$2:$B$30,2,0),""))</f>
        <v/>
      </c>
      <c r="R973" s="17" t="str">
        <f aca="false">IF(O973="","",IF(OR(P973="",Q973=""),0,(O973-N973)*IF(Q973&gt;1,Q973/100,Q973)))</f>
        <v/>
      </c>
      <c r="S973" s="31" t="str">
        <f aca="false">IF(O973="","",O973-R973)</f>
        <v/>
      </c>
      <c r="T973" s="28"/>
      <c r="U973" s="34" t="str">
        <f aca="false">IF(T973="","",IFERROR(VLOOKUP(T973,REPS!$A$2:$D$40,2,0),""))</f>
        <v/>
      </c>
      <c r="V973" s="31" t="str">
        <f aca="false">IF(O973="","",IF(U973="",0,O973*IF(U973&gt;1,U973/100,U973)))</f>
        <v/>
      </c>
      <c r="W973" s="28"/>
      <c r="X973" s="34" t="str">
        <f aca="false">IF(W973="","",IFERROR(VLOOKUP(W973,REPS!$A$2:$D$40,3,0),""))</f>
        <v/>
      </c>
      <c r="Y973" s="31" t="str">
        <f aca="false">IF(O973="","",IF(X973="",0,O973*IF(X973&gt;1,X973/100,X973)))</f>
        <v/>
      </c>
      <c r="Z973" s="28"/>
      <c r="AA973" s="34" t="str">
        <f aca="false">IF(Z973="","",IFERROR(VLOOKUP(Z973,REPS!$A$2:$D$40,4,0),""))</f>
        <v/>
      </c>
      <c r="AB973" s="31" t="str">
        <f aca="false">IF(O973="","",IF(AA973="",0,O973*IF(AA973&gt;1,AA973/100,AA973)))</f>
        <v/>
      </c>
      <c r="AC973" s="31" t="str">
        <f aca="false">IF(O973="","",V973+Y973+AB973)</f>
        <v/>
      </c>
      <c r="AD973" s="19" t="str">
        <f aca="false">IF(O973="","",O973-R973-AC973)</f>
        <v/>
      </c>
      <c r="AE973" s="20"/>
      <c r="AF973" s="27"/>
      <c r="AG973" s="21" t="n">
        <f aca="false">IF(OR(AE973="",AE973=0),0,AE973*IF(U973="",0,IF(U973&gt;1,U973/100,U973)))</f>
        <v>0</v>
      </c>
      <c r="AH973" s="21" t="n">
        <f aca="false">IF(OR(AE973="",AE973=0),0,AE973*IF(X973="",0,IF(X973&gt;1,X973/100,X973)))</f>
        <v>0</v>
      </c>
      <c r="AI973" s="21" t="n">
        <f aca="false">IF(OR(AE973="",AE973=0),0,AE973*IF(AA973="",0,IF(AA973&gt;1,AA973/100,AA973)))</f>
        <v>0</v>
      </c>
      <c r="AJ973" s="21" t="n">
        <f aca="false">AG973+AH973+AI973</f>
        <v>0</v>
      </c>
      <c r="AK973" s="21" t="n">
        <f aca="false">IF(OR(AE973="",AE973=0),0,AE973-AJ973)</f>
        <v>0</v>
      </c>
      <c r="AL973" s="19" t="str">
        <f aca="false">IF(AD973="","",AD973-AK973)</f>
        <v/>
      </c>
      <c r="AM973" s="26" t="str">
        <f aca="false">IF(C973="","","Waiting for payment")</f>
        <v/>
      </c>
      <c r="AN973" s="27"/>
      <c r="AO973" s="27"/>
      <c r="AP973" s="35" t="str">
        <f aca="false">IF(OR(C973="",I973="",K973=""),"",IF(K973="Monthly",EDATE(C973,ROUND(I973*SETTINGS!$I$8,0)),WORKDAY(C973,ROUND(I973*SETTINGS!$I$8,0))))</f>
        <v/>
      </c>
      <c r="AQ973" s="26" t="str">
        <f aca="true">IF(C973="","",IF(AND(AP973&lt;&gt;"",TODAY()&gt;=AP973),"Refi Ready",IF(TODAY()-C973&gt;=SETTINGS!$I$11,"Prospecting","Performing")))</f>
        <v/>
      </c>
      <c r="AR973" s="35" t="str">
        <f aca="false">IF(OR(C973="",I973="",K973=""),"",IF(K973="Monthly",EDATE(C973,I973),WORKDAY(C973,I973)))</f>
        <v/>
      </c>
      <c r="AS973" s="28"/>
      <c r="AT973" s="36" t="str">
        <f aca="true">IF(C973="","",IF(AM973="Clawed Back","CLAWED",IF(TODAY()&lt;=C973+SETTINGS!$I$2,"⚠ AT RISK","SAFE")))</f>
        <v/>
      </c>
      <c r="AU973" s="28"/>
      <c r="AW973" s="24" t="n">
        <f aca="false">AW972+IF(AND(C973&lt;&gt;"",AO973&lt;&gt;"",OR('REP COMMISSION'!$B$3="",T973='REP COMMISSION'!$B$3,W973='REP COMMISSION'!$B$3,Z973='REP COMMISSION'!$B$3)),1,0)</f>
        <v>0</v>
      </c>
      <c r="AX973" s="24" t="n">
        <f aca="false">AX972+IF(AND(C973&lt;&gt;"",OR(F973="LOC - INITIAL",F973="CONSOLIDATION - UPFRONT COMM",F973="REVERSE - TOTAL FUNDING")),1,0)</f>
        <v>0</v>
      </c>
    </row>
    <row r="974" customFormat="false" ht="15" hidden="false" customHeight="false" outlineLevel="0" collapsed="false">
      <c r="A974" s="8" t="str">
        <f aca="false">IF(C974&lt;&gt;"","F27-"&amp;COUNT($C$4:C974),"")</f>
        <v/>
      </c>
      <c r="B974" s="9" t="str">
        <f aca="false">IF(OR(F974="LOC - INITIAL",F974="CONSOLIDATION - UPFRONT COMM",F974="REVERSE - TOTAL FUNDING"),A974,"")</f>
        <v/>
      </c>
      <c r="C974" s="10"/>
      <c r="D974" s="11"/>
      <c r="E974" s="11"/>
      <c r="F974" s="11"/>
      <c r="G974" s="12"/>
      <c r="H974" s="13"/>
      <c r="I974" s="11"/>
      <c r="J974" s="14" t="str">
        <f aca="false">IF(AND(G974&lt;&gt;"",H974&lt;&gt;""),G974*H974,"")</f>
        <v/>
      </c>
      <c r="K974" s="11"/>
      <c r="L974" s="15"/>
      <c r="M974" s="15"/>
      <c r="N974" s="14" t="n">
        <f aca="false">IF(OR(G974="",M974=""),0,IF(M974&gt;100,M974,G974*IF(M974&gt;1,M974/100,M974)))</f>
        <v>0</v>
      </c>
      <c r="O974" s="14" t="str">
        <f aca="false">IF(G974="","",G974*IF(L974="",0,IF(L974&gt;1,L974/100,L974))+N974)</f>
        <v/>
      </c>
      <c r="P974" s="11"/>
      <c r="Q974" s="16" t="str">
        <f aca="false">IF(P974="","",IFERROR(VLOOKUP(P974,PARTNERS!$A$2:$B$30,2,0),""))</f>
        <v/>
      </c>
      <c r="R974" s="17" t="str">
        <f aca="false">IF(O974="","",IF(OR(P974="",Q974=""),0,(O974-N974)*IF(Q974&gt;1,Q974/100,Q974)))</f>
        <v/>
      </c>
      <c r="S974" s="14" t="str">
        <f aca="false">IF(O974="","",O974-R974)</f>
        <v/>
      </c>
      <c r="T974" s="11"/>
      <c r="U974" s="18" t="str">
        <f aca="false">IF(T974="","",IFERROR(VLOOKUP(T974,REPS!$A$2:$D$40,2,0),""))</f>
        <v/>
      </c>
      <c r="V974" s="14" t="str">
        <f aca="false">IF(O974="","",IF(U974="",0,O974*IF(U974&gt;1,U974/100,U974)))</f>
        <v/>
      </c>
      <c r="W974" s="11"/>
      <c r="X974" s="18" t="str">
        <f aca="false">IF(W974="","",IFERROR(VLOOKUP(W974,REPS!$A$2:$D$40,3,0),""))</f>
        <v/>
      </c>
      <c r="Y974" s="14" t="str">
        <f aca="false">IF(O974="","",IF(X974="",0,O974*IF(X974&gt;1,X974/100,X974)))</f>
        <v/>
      </c>
      <c r="Z974" s="11"/>
      <c r="AA974" s="18" t="str">
        <f aca="false">IF(Z974="","",IFERROR(VLOOKUP(Z974,REPS!$A$2:$D$40,4,0),""))</f>
        <v/>
      </c>
      <c r="AB974" s="14" t="str">
        <f aca="false">IF(O974="","",IF(AA974="",0,O974*IF(AA974&gt;1,AA974/100,AA974)))</f>
        <v/>
      </c>
      <c r="AC974" s="14" t="str">
        <f aca="false">IF(O974="","",V974+Y974+AB974)</f>
        <v/>
      </c>
      <c r="AD974" s="19" t="str">
        <f aca="false">IF(O974="","",O974-R974-AC974)</f>
        <v/>
      </c>
      <c r="AE974" s="20"/>
      <c r="AF974" s="10"/>
      <c r="AG974" s="21" t="n">
        <f aca="false">IF(OR(AE974="",AE974=0),0,AE974*IF(U974="",0,IF(U974&gt;1,U974/100,U974)))</f>
        <v>0</v>
      </c>
      <c r="AH974" s="21" t="n">
        <f aca="false">IF(OR(AE974="",AE974=0),0,AE974*IF(X974="",0,IF(X974&gt;1,X974/100,X974)))</f>
        <v>0</v>
      </c>
      <c r="AI974" s="21" t="n">
        <f aca="false">IF(OR(AE974="",AE974=0),0,AE974*IF(AA974="",0,IF(AA974&gt;1,AA974/100,AA974)))</f>
        <v>0</v>
      </c>
      <c r="AJ974" s="21" t="n">
        <f aca="false">AG974+AH974+AI974</f>
        <v>0</v>
      </c>
      <c r="AK974" s="21" t="n">
        <f aca="false">IF(OR(AE974="",AE974=0),0,AE974-AJ974)</f>
        <v>0</v>
      </c>
      <c r="AL974" s="19" t="str">
        <f aca="false">IF(AD974="","",AD974-AK974)</f>
        <v/>
      </c>
      <c r="AM974" s="9" t="str">
        <f aca="false">IF(C974="","","Waiting for payment")</f>
        <v/>
      </c>
      <c r="AN974" s="10"/>
      <c r="AO974" s="10"/>
      <c r="AP974" s="22" t="str">
        <f aca="false">IF(OR(C974="",I974="",K974=""),"",IF(K974="Monthly",EDATE(C974,ROUND(I974*SETTINGS!$I$8,0)),WORKDAY(C974,ROUND(I974*SETTINGS!$I$8,0))))</f>
        <v/>
      </c>
      <c r="AQ974" s="9" t="str">
        <f aca="true">IF(C974="","",IF(AND(AP974&lt;&gt;"",TODAY()&gt;=AP974),"Refi Ready",IF(TODAY()-C974&gt;=SETTINGS!$I$11,"Prospecting","Performing")))</f>
        <v/>
      </c>
      <c r="AR974" s="22" t="str">
        <f aca="false">IF(OR(C974="",I974="",K974=""),"",IF(K974="Monthly",EDATE(C974,I974),WORKDAY(C974,I974)))</f>
        <v/>
      </c>
      <c r="AS974" s="11"/>
      <c r="AT974" s="23" t="str">
        <f aca="true">IF(C974="","",IF(AM974="Clawed Back","CLAWED",IF(TODAY()&lt;=C974+SETTINGS!$I$2,"⚠ AT RISK","SAFE")))</f>
        <v/>
      </c>
      <c r="AU974" s="11"/>
      <c r="AW974" s="24" t="n">
        <f aca="false">AW973+IF(AND(C974&lt;&gt;"",AO974&lt;&gt;"",OR('REP COMMISSION'!$B$3="",T974='REP COMMISSION'!$B$3,W974='REP COMMISSION'!$B$3,Z974='REP COMMISSION'!$B$3)),1,0)</f>
        <v>0</v>
      </c>
      <c r="AX974" s="24" t="n">
        <f aca="false">AX973+IF(AND(C974&lt;&gt;"",OR(F974="LOC - INITIAL",F974="CONSOLIDATION - UPFRONT COMM",F974="REVERSE - TOTAL FUNDING")),1,0)</f>
        <v>0</v>
      </c>
    </row>
    <row r="975" customFormat="false" ht="15" hidden="false" customHeight="false" outlineLevel="0" collapsed="false">
      <c r="A975" s="25" t="str">
        <f aca="false">IF(C975&lt;&gt;"","F27-"&amp;COUNT($C$4:C975),"")</f>
        <v/>
      </c>
      <c r="B975" s="26" t="str">
        <f aca="false">IF(OR(F975="LOC - INITIAL",F975="CONSOLIDATION - UPFRONT COMM",F975="REVERSE - TOTAL FUNDING"),A975,"")</f>
        <v/>
      </c>
      <c r="C975" s="27"/>
      <c r="D975" s="28"/>
      <c r="E975" s="28"/>
      <c r="F975" s="28"/>
      <c r="G975" s="29"/>
      <c r="H975" s="30"/>
      <c r="I975" s="28"/>
      <c r="J975" s="31" t="str">
        <f aca="false">IF(AND(G975&lt;&gt;"",H975&lt;&gt;""),G975*H975,"")</f>
        <v/>
      </c>
      <c r="K975" s="28"/>
      <c r="L975" s="32"/>
      <c r="M975" s="32"/>
      <c r="N975" s="31" t="n">
        <f aca="false">IF(OR(G975="",M975=""),0,IF(M975&gt;100,M975,G975*IF(M975&gt;1,M975/100,M975)))</f>
        <v>0</v>
      </c>
      <c r="O975" s="31" t="str">
        <f aca="false">IF(G975="","",G975*IF(L975="",0,IF(L975&gt;1,L975/100,L975))+N975)</f>
        <v/>
      </c>
      <c r="P975" s="28"/>
      <c r="Q975" s="33" t="str">
        <f aca="false">IF(P975="","",IFERROR(VLOOKUP(P975,PARTNERS!$A$2:$B$30,2,0),""))</f>
        <v/>
      </c>
      <c r="R975" s="17" t="str">
        <f aca="false">IF(O975="","",IF(OR(P975="",Q975=""),0,(O975-N975)*IF(Q975&gt;1,Q975/100,Q975)))</f>
        <v/>
      </c>
      <c r="S975" s="31" t="str">
        <f aca="false">IF(O975="","",O975-R975)</f>
        <v/>
      </c>
      <c r="T975" s="28"/>
      <c r="U975" s="34" t="str">
        <f aca="false">IF(T975="","",IFERROR(VLOOKUP(T975,REPS!$A$2:$D$40,2,0),""))</f>
        <v/>
      </c>
      <c r="V975" s="31" t="str">
        <f aca="false">IF(O975="","",IF(U975="",0,O975*IF(U975&gt;1,U975/100,U975)))</f>
        <v/>
      </c>
      <c r="W975" s="28"/>
      <c r="X975" s="34" t="str">
        <f aca="false">IF(W975="","",IFERROR(VLOOKUP(W975,REPS!$A$2:$D$40,3,0),""))</f>
        <v/>
      </c>
      <c r="Y975" s="31" t="str">
        <f aca="false">IF(O975="","",IF(X975="",0,O975*IF(X975&gt;1,X975/100,X975)))</f>
        <v/>
      </c>
      <c r="Z975" s="28"/>
      <c r="AA975" s="34" t="str">
        <f aca="false">IF(Z975="","",IFERROR(VLOOKUP(Z975,REPS!$A$2:$D$40,4,0),""))</f>
        <v/>
      </c>
      <c r="AB975" s="31" t="str">
        <f aca="false">IF(O975="","",IF(AA975="",0,O975*IF(AA975&gt;1,AA975/100,AA975)))</f>
        <v/>
      </c>
      <c r="AC975" s="31" t="str">
        <f aca="false">IF(O975="","",V975+Y975+AB975)</f>
        <v/>
      </c>
      <c r="AD975" s="19" t="str">
        <f aca="false">IF(O975="","",O975-R975-AC975)</f>
        <v/>
      </c>
      <c r="AE975" s="20"/>
      <c r="AF975" s="27"/>
      <c r="AG975" s="21" t="n">
        <f aca="false">IF(OR(AE975="",AE975=0),0,AE975*IF(U975="",0,IF(U975&gt;1,U975/100,U975)))</f>
        <v>0</v>
      </c>
      <c r="AH975" s="21" t="n">
        <f aca="false">IF(OR(AE975="",AE975=0),0,AE975*IF(X975="",0,IF(X975&gt;1,X975/100,X975)))</f>
        <v>0</v>
      </c>
      <c r="AI975" s="21" t="n">
        <f aca="false">IF(OR(AE975="",AE975=0),0,AE975*IF(AA975="",0,IF(AA975&gt;1,AA975/100,AA975)))</f>
        <v>0</v>
      </c>
      <c r="AJ975" s="21" t="n">
        <f aca="false">AG975+AH975+AI975</f>
        <v>0</v>
      </c>
      <c r="AK975" s="21" t="n">
        <f aca="false">IF(OR(AE975="",AE975=0),0,AE975-AJ975)</f>
        <v>0</v>
      </c>
      <c r="AL975" s="19" t="str">
        <f aca="false">IF(AD975="","",AD975-AK975)</f>
        <v/>
      </c>
      <c r="AM975" s="26" t="str">
        <f aca="false">IF(C975="","","Waiting for payment")</f>
        <v/>
      </c>
      <c r="AN975" s="27"/>
      <c r="AO975" s="27"/>
      <c r="AP975" s="35" t="str">
        <f aca="false">IF(OR(C975="",I975="",K975=""),"",IF(K975="Monthly",EDATE(C975,ROUND(I975*SETTINGS!$I$8,0)),WORKDAY(C975,ROUND(I975*SETTINGS!$I$8,0))))</f>
        <v/>
      </c>
      <c r="AQ975" s="26" t="str">
        <f aca="true">IF(C975="","",IF(AND(AP975&lt;&gt;"",TODAY()&gt;=AP975),"Refi Ready",IF(TODAY()-C975&gt;=SETTINGS!$I$11,"Prospecting","Performing")))</f>
        <v/>
      </c>
      <c r="AR975" s="35" t="str">
        <f aca="false">IF(OR(C975="",I975="",K975=""),"",IF(K975="Monthly",EDATE(C975,I975),WORKDAY(C975,I975)))</f>
        <v/>
      </c>
      <c r="AS975" s="28"/>
      <c r="AT975" s="36" t="str">
        <f aca="true">IF(C975="","",IF(AM975="Clawed Back","CLAWED",IF(TODAY()&lt;=C975+SETTINGS!$I$2,"⚠ AT RISK","SAFE")))</f>
        <v/>
      </c>
      <c r="AU975" s="28"/>
      <c r="AW975" s="24" t="n">
        <f aca="false">AW974+IF(AND(C975&lt;&gt;"",AO975&lt;&gt;"",OR('REP COMMISSION'!$B$3="",T975='REP COMMISSION'!$B$3,W975='REP COMMISSION'!$B$3,Z975='REP COMMISSION'!$B$3)),1,0)</f>
        <v>0</v>
      </c>
      <c r="AX975" s="24" t="n">
        <f aca="false">AX974+IF(AND(C975&lt;&gt;"",OR(F975="LOC - INITIAL",F975="CONSOLIDATION - UPFRONT COMM",F975="REVERSE - TOTAL FUNDING")),1,0)</f>
        <v>0</v>
      </c>
    </row>
    <row r="976" customFormat="false" ht="15" hidden="false" customHeight="false" outlineLevel="0" collapsed="false">
      <c r="A976" s="8" t="str">
        <f aca="false">IF(C976&lt;&gt;"","F27-"&amp;COUNT($C$4:C976),"")</f>
        <v/>
      </c>
      <c r="B976" s="9" t="str">
        <f aca="false">IF(OR(F976="LOC - INITIAL",F976="CONSOLIDATION - UPFRONT COMM",F976="REVERSE - TOTAL FUNDING"),A976,"")</f>
        <v/>
      </c>
      <c r="C976" s="10"/>
      <c r="D976" s="11"/>
      <c r="E976" s="11"/>
      <c r="F976" s="11"/>
      <c r="G976" s="12"/>
      <c r="H976" s="13"/>
      <c r="I976" s="11"/>
      <c r="J976" s="14" t="str">
        <f aca="false">IF(AND(G976&lt;&gt;"",H976&lt;&gt;""),G976*H976,"")</f>
        <v/>
      </c>
      <c r="K976" s="11"/>
      <c r="L976" s="15"/>
      <c r="M976" s="15"/>
      <c r="N976" s="14" t="n">
        <f aca="false">IF(OR(G976="",M976=""),0,IF(M976&gt;100,M976,G976*IF(M976&gt;1,M976/100,M976)))</f>
        <v>0</v>
      </c>
      <c r="O976" s="14" t="str">
        <f aca="false">IF(G976="","",G976*IF(L976="",0,IF(L976&gt;1,L976/100,L976))+N976)</f>
        <v/>
      </c>
      <c r="P976" s="11"/>
      <c r="Q976" s="16" t="str">
        <f aca="false">IF(P976="","",IFERROR(VLOOKUP(P976,PARTNERS!$A$2:$B$30,2,0),""))</f>
        <v/>
      </c>
      <c r="R976" s="17" t="str">
        <f aca="false">IF(O976="","",IF(OR(P976="",Q976=""),0,(O976-N976)*IF(Q976&gt;1,Q976/100,Q976)))</f>
        <v/>
      </c>
      <c r="S976" s="14" t="str">
        <f aca="false">IF(O976="","",O976-R976)</f>
        <v/>
      </c>
      <c r="T976" s="11"/>
      <c r="U976" s="18" t="str">
        <f aca="false">IF(T976="","",IFERROR(VLOOKUP(T976,REPS!$A$2:$D$40,2,0),""))</f>
        <v/>
      </c>
      <c r="V976" s="14" t="str">
        <f aca="false">IF(O976="","",IF(U976="",0,O976*IF(U976&gt;1,U976/100,U976)))</f>
        <v/>
      </c>
      <c r="W976" s="11"/>
      <c r="X976" s="18" t="str">
        <f aca="false">IF(W976="","",IFERROR(VLOOKUP(W976,REPS!$A$2:$D$40,3,0),""))</f>
        <v/>
      </c>
      <c r="Y976" s="14" t="str">
        <f aca="false">IF(O976="","",IF(X976="",0,O976*IF(X976&gt;1,X976/100,X976)))</f>
        <v/>
      </c>
      <c r="Z976" s="11"/>
      <c r="AA976" s="18" t="str">
        <f aca="false">IF(Z976="","",IFERROR(VLOOKUP(Z976,REPS!$A$2:$D$40,4,0),""))</f>
        <v/>
      </c>
      <c r="AB976" s="14" t="str">
        <f aca="false">IF(O976="","",IF(AA976="",0,O976*IF(AA976&gt;1,AA976/100,AA976)))</f>
        <v/>
      </c>
      <c r="AC976" s="14" t="str">
        <f aca="false">IF(O976="","",V976+Y976+AB976)</f>
        <v/>
      </c>
      <c r="AD976" s="19" t="str">
        <f aca="false">IF(O976="","",O976-R976-AC976)</f>
        <v/>
      </c>
      <c r="AE976" s="20"/>
      <c r="AF976" s="10"/>
      <c r="AG976" s="21" t="n">
        <f aca="false">IF(OR(AE976="",AE976=0),0,AE976*IF(U976="",0,IF(U976&gt;1,U976/100,U976)))</f>
        <v>0</v>
      </c>
      <c r="AH976" s="21" t="n">
        <f aca="false">IF(OR(AE976="",AE976=0),0,AE976*IF(X976="",0,IF(X976&gt;1,X976/100,X976)))</f>
        <v>0</v>
      </c>
      <c r="AI976" s="21" t="n">
        <f aca="false">IF(OR(AE976="",AE976=0),0,AE976*IF(AA976="",0,IF(AA976&gt;1,AA976/100,AA976)))</f>
        <v>0</v>
      </c>
      <c r="AJ976" s="21" t="n">
        <f aca="false">AG976+AH976+AI976</f>
        <v>0</v>
      </c>
      <c r="AK976" s="21" t="n">
        <f aca="false">IF(OR(AE976="",AE976=0),0,AE976-AJ976)</f>
        <v>0</v>
      </c>
      <c r="AL976" s="19" t="str">
        <f aca="false">IF(AD976="","",AD976-AK976)</f>
        <v/>
      </c>
      <c r="AM976" s="9" t="str">
        <f aca="false">IF(C976="","","Waiting for payment")</f>
        <v/>
      </c>
      <c r="AN976" s="10"/>
      <c r="AO976" s="10"/>
      <c r="AP976" s="22" t="str">
        <f aca="false">IF(OR(C976="",I976="",K976=""),"",IF(K976="Monthly",EDATE(C976,ROUND(I976*SETTINGS!$I$8,0)),WORKDAY(C976,ROUND(I976*SETTINGS!$I$8,0))))</f>
        <v/>
      </c>
      <c r="AQ976" s="9" t="str">
        <f aca="true">IF(C976="","",IF(AND(AP976&lt;&gt;"",TODAY()&gt;=AP976),"Refi Ready",IF(TODAY()-C976&gt;=SETTINGS!$I$11,"Prospecting","Performing")))</f>
        <v/>
      </c>
      <c r="AR976" s="22" t="str">
        <f aca="false">IF(OR(C976="",I976="",K976=""),"",IF(K976="Monthly",EDATE(C976,I976),WORKDAY(C976,I976)))</f>
        <v/>
      </c>
      <c r="AS976" s="11"/>
      <c r="AT976" s="23" t="str">
        <f aca="true">IF(C976="","",IF(AM976="Clawed Back","CLAWED",IF(TODAY()&lt;=C976+SETTINGS!$I$2,"⚠ AT RISK","SAFE")))</f>
        <v/>
      </c>
      <c r="AU976" s="11"/>
      <c r="AW976" s="24" t="n">
        <f aca="false">AW975+IF(AND(C976&lt;&gt;"",AO976&lt;&gt;"",OR('REP COMMISSION'!$B$3="",T976='REP COMMISSION'!$B$3,W976='REP COMMISSION'!$B$3,Z976='REP COMMISSION'!$B$3)),1,0)</f>
        <v>0</v>
      </c>
      <c r="AX976" s="24" t="n">
        <f aca="false">AX975+IF(AND(C976&lt;&gt;"",OR(F976="LOC - INITIAL",F976="CONSOLIDATION - UPFRONT COMM",F976="REVERSE - TOTAL FUNDING")),1,0)</f>
        <v>0</v>
      </c>
    </row>
    <row r="977" customFormat="false" ht="15" hidden="false" customHeight="false" outlineLevel="0" collapsed="false">
      <c r="A977" s="25" t="str">
        <f aca="false">IF(C977&lt;&gt;"","F27-"&amp;COUNT($C$4:C977),"")</f>
        <v/>
      </c>
      <c r="B977" s="26" t="str">
        <f aca="false">IF(OR(F977="LOC - INITIAL",F977="CONSOLIDATION - UPFRONT COMM",F977="REVERSE - TOTAL FUNDING"),A977,"")</f>
        <v/>
      </c>
      <c r="C977" s="27"/>
      <c r="D977" s="28"/>
      <c r="E977" s="28"/>
      <c r="F977" s="28"/>
      <c r="G977" s="29"/>
      <c r="H977" s="30"/>
      <c r="I977" s="28"/>
      <c r="J977" s="31" t="str">
        <f aca="false">IF(AND(G977&lt;&gt;"",H977&lt;&gt;""),G977*H977,"")</f>
        <v/>
      </c>
      <c r="K977" s="28"/>
      <c r="L977" s="32"/>
      <c r="M977" s="32"/>
      <c r="N977" s="31" t="n">
        <f aca="false">IF(OR(G977="",M977=""),0,IF(M977&gt;100,M977,G977*IF(M977&gt;1,M977/100,M977)))</f>
        <v>0</v>
      </c>
      <c r="O977" s="31" t="str">
        <f aca="false">IF(G977="","",G977*IF(L977="",0,IF(L977&gt;1,L977/100,L977))+N977)</f>
        <v/>
      </c>
      <c r="P977" s="28"/>
      <c r="Q977" s="33" t="str">
        <f aca="false">IF(P977="","",IFERROR(VLOOKUP(P977,PARTNERS!$A$2:$B$30,2,0),""))</f>
        <v/>
      </c>
      <c r="R977" s="17" t="str">
        <f aca="false">IF(O977="","",IF(OR(P977="",Q977=""),0,(O977-N977)*IF(Q977&gt;1,Q977/100,Q977)))</f>
        <v/>
      </c>
      <c r="S977" s="31" t="str">
        <f aca="false">IF(O977="","",O977-R977)</f>
        <v/>
      </c>
      <c r="T977" s="28"/>
      <c r="U977" s="34" t="str">
        <f aca="false">IF(T977="","",IFERROR(VLOOKUP(T977,REPS!$A$2:$D$40,2,0),""))</f>
        <v/>
      </c>
      <c r="V977" s="31" t="str">
        <f aca="false">IF(O977="","",IF(U977="",0,O977*IF(U977&gt;1,U977/100,U977)))</f>
        <v/>
      </c>
      <c r="W977" s="28"/>
      <c r="X977" s="34" t="str">
        <f aca="false">IF(W977="","",IFERROR(VLOOKUP(W977,REPS!$A$2:$D$40,3,0),""))</f>
        <v/>
      </c>
      <c r="Y977" s="31" t="str">
        <f aca="false">IF(O977="","",IF(X977="",0,O977*IF(X977&gt;1,X977/100,X977)))</f>
        <v/>
      </c>
      <c r="Z977" s="28"/>
      <c r="AA977" s="34" t="str">
        <f aca="false">IF(Z977="","",IFERROR(VLOOKUP(Z977,REPS!$A$2:$D$40,4,0),""))</f>
        <v/>
      </c>
      <c r="AB977" s="31" t="str">
        <f aca="false">IF(O977="","",IF(AA977="",0,O977*IF(AA977&gt;1,AA977/100,AA977)))</f>
        <v/>
      </c>
      <c r="AC977" s="31" t="str">
        <f aca="false">IF(O977="","",V977+Y977+AB977)</f>
        <v/>
      </c>
      <c r="AD977" s="19" t="str">
        <f aca="false">IF(O977="","",O977-R977-AC977)</f>
        <v/>
      </c>
      <c r="AE977" s="20"/>
      <c r="AF977" s="27"/>
      <c r="AG977" s="21" t="n">
        <f aca="false">IF(OR(AE977="",AE977=0),0,AE977*IF(U977="",0,IF(U977&gt;1,U977/100,U977)))</f>
        <v>0</v>
      </c>
      <c r="AH977" s="21" t="n">
        <f aca="false">IF(OR(AE977="",AE977=0),0,AE977*IF(X977="",0,IF(X977&gt;1,X977/100,X977)))</f>
        <v>0</v>
      </c>
      <c r="AI977" s="21" t="n">
        <f aca="false">IF(OR(AE977="",AE977=0),0,AE977*IF(AA977="",0,IF(AA977&gt;1,AA977/100,AA977)))</f>
        <v>0</v>
      </c>
      <c r="AJ977" s="21" t="n">
        <f aca="false">AG977+AH977+AI977</f>
        <v>0</v>
      </c>
      <c r="AK977" s="21" t="n">
        <f aca="false">IF(OR(AE977="",AE977=0),0,AE977-AJ977)</f>
        <v>0</v>
      </c>
      <c r="AL977" s="19" t="str">
        <f aca="false">IF(AD977="","",AD977-AK977)</f>
        <v/>
      </c>
      <c r="AM977" s="26" t="str">
        <f aca="false">IF(C977="","","Waiting for payment")</f>
        <v/>
      </c>
      <c r="AN977" s="27"/>
      <c r="AO977" s="27"/>
      <c r="AP977" s="35" t="str">
        <f aca="false">IF(OR(C977="",I977="",K977=""),"",IF(K977="Monthly",EDATE(C977,ROUND(I977*SETTINGS!$I$8,0)),WORKDAY(C977,ROUND(I977*SETTINGS!$I$8,0))))</f>
        <v/>
      </c>
      <c r="AQ977" s="26" t="str">
        <f aca="true">IF(C977="","",IF(AND(AP977&lt;&gt;"",TODAY()&gt;=AP977),"Refi Ready",IF(TODAY()-C977&gt;=SETTINGS!$I$11,"Prospecting","Performing")))</f>
        <v/>
      </c>
      <c r="AR977" s="35" t="str">
        <f aca="false">IF(OR(C977="",I977="",K977=""),"",IF(K977="Monthly",EDATE(C977,I977),WORKDAY(C977,I977)))</f>
        <v/>
      </c>
      <c r="AS977" s="28"/>
      <c r="AT977" s="36" t="str">
        <f aca="true">IF(C977="","",IF(AM977="Clawed Back","CLAWED",IF(TODAY()&lt;=C977+SETTINGS!$I$2,"⚠ AT RISK","SAFE")))</f>
        <v/>
      </c>
      <c r="AU977" s="28"/>
      <c r="AW977" s="24" t="n">
        <f aca="false">AW976+IF(AND(C977&lt;&gt;"",AO977&lt;&gt;"",OR('REP COMMISSION'!$B$3="",T977='REP COMMISSION'!$B$3,W977='REP COMMISSION'!$B$3,Z977='REP COMMISSION'!$B$3)),1,0)</f>
        <v>0</v>
      </c>
      <c r="AX977" s="24" t="n">
        <f aca="false">AX976+IF(AND(C977&lt;&gt;"",OR(F977="LOC - INITIAL",F977="CONSOLIDATION - UPFRONT COMM",F977="REVERSE - TOTAL FUNDING")),1,0)</f>
        <v>0</v>
      </c>
    </row>
    <row r="978" customFormat="false" ht="15" hidden="false" customHeight="false" outlineLevel="0" collapsed="false">
      <c r="A978" s="8" t="str">
        <f aca="false">IF(C978&lt;&gt;"","F27-"&amp;COUNT($C$4:C978),"")</f>
        <v/>
      </c>
      <c r="B978" s="9" t="str">
        <f aca="false">IF(OR(F978="LOC - INITIAL",F978="CONSOLIDATION - UPFRONT COMM",F978="REVERSE - TOTAL FUNDING"),A978,"")</f>
        <v/>
      </c>
      <c r="C978" s="10"/>
      <c r="D978" s="11"/>
      <c r="E978" s="11"/>
      <c r="F978" s="11"/>
      <c r="G978" s="12"/>
      <c r="H978" s="13"/>
      <c r="I978" s="11"/>
      <c r="J978" s="14" t="str">
        <f aca="false">IF(AND(G978&lt;&gt;"",H978&lt;&gt;""),G978*H978,"")</f>
        <v/>
      </c>
      <c r="K978" s="11"/>
      <c r="L978" s="15"/>
      <c r="M978" s="15"/>
      <c r="N978" s="14" t="n">
        <f aca="false">IF(OR(G978="",M978=""),0,IF(M978&gt;100,M978,G978*IF(M978&gt;1,M978/100,M978)))</f>
        <v>0</v>
      </c>
      <c r="O978" s="14" t="str">
        <f aca="false">IF(G978="","",G978*IF(L978="",0,IF(L978&gt;1,L978/100,L978))+N978)</f>
        <v/>
      </c>
      <c r="P978" s="11"/>
      <c r="Q978" s="16" t="str">
        <f aca="false">IF(P978="","",IFERROR(VLOOKUP(P978,PARTNERS!$A$2:$B$30,2,0),""))</f>
        <v/>
      </c>
      <c r="R978" s="17" t="str">
        <f aca="false">IF(O978="","",IF(OR(P978="",Q978=""),0,(O978-N978)*IF(Q978&gt;1,Q978/100,Q978)))</f>
        <v/>
      </c>
      <c r="S978" s="14" t="str">
        <f aca="false">IF(O978="","",O978-R978)</f>
        <v/>
      </c>
      <c r="T978" s="11"/>
      <c r="U978" s="18" t="str">
        <f aca="false">IF(T978="","",IFERROR(VLOOKUP(T978,REPS!$A$2:$D$40,2,0),""))</f>
        <v/>
      </c>
      <c r="V978" s="14" t="str">
        <f aca="false">IF(O978="","",IF(U978="",0,O978*IF(U978&gt;1,U978/100,U978)))</f>
        <v/>
      </c>
      <c r="W978" s="11"/>
      <c r="X978" s="18" t="str">
        <f aca="false">IF(W978="","",IFERROR(VLOOKUP(W978,REPS!$A$2:$D$40,3,0),""))</f>
        <v/>
      </c>
      <c r="Y978" s="14" t="str">
        <f aca="false">IF(O978="","",IF(X978="",0,O978*IF(X978&gt;1,X978/100,X978)))</f>
        <v/>
      </c>
      <c r="Z978" s="11"/>
      <c r="AA978" s="18" t="str">
        <f aca="false">IF(Z978="","",IFERROR(VLOOKUP(Z978,REPS!$A$2:$D$40,4,0),""))</f>
        <v/>
      </c>
      <c r="AB978" s="14" t="str">
        <f aca="false">IF(O978="","",IF(AA978="",0,O978*IF(AA978&gt;1,AA978/100,AA978)))</f>
        <v/>
      </c>
      <c r="AC978" s="14" t="str">
        <f aca="false">IF(O978="","",V978+Y978+AB978)</f>
        <v/>
      </c>
      <c r="AD978" s="19" t="str">
        <f aca="false">IF(O978="","",O978-R978-AC978)</f>
        <v/>
      </c>
      <c r="AE978" s="20"/>
      <c r="AF978" s="10"/>
      <c r="AG978" s="21" t="n">
        <f aca="false">IF(OR(AE978="",AE978=0),0,AE978*IF(U978="",0,IF(U978&gt;1,U978/100,U978)))</f>
        <v>0</v>
      </c>
      <c r="AH978" s="21" t="n">
        <f aca="false">IF(OR(AE978="",AE978=0),0,AE978*IF(X978="",0,IF(X978&gt;1,X978/100,X978)))</f>
        <v>0</v>
      </c>
      <c r="AI978" s="21" t="n">
        <f aca="false">IF(OR(AE978="",AE978=0),0,AE978*IF(AA978="",0,IF(AA978&gt;1,AA978/100,AA978)))</f>
        <v>0</v>
      </c>
      <c r="AJ978" s="21" t="n">
        <f aca="false">AG978+AH978+AI978</f>
        <v>0</v>
      </c>
      <c r="AK978" s="21" t="n">
        <f aca="false">IF(OR(AE978="",AE978=0),0,AE978-AJ978)</f>
        <v>0</v>
      </c>
      <c r="AL978" s="19" t="str">
        <f aca="false">IF(AD978="","",AD978-AK978)</f>
        <v/>
      </c>
      <c r="AM978" s="9" t="str">
        <f aca="false">IF(C978="","","Waiting for payment")</f>
        <v/>
      </c>
      <c r="AN978" s="10"/>
      <c r="AO978" s="10"/>
      <c r="AP978" s="22" t="str">
        <f aca="false">IF(OR(C978="",I978="",K978=""),"",IF(K978="Monthly",EDATE(C978,ROUND(I978*SETTINGS!$I$8,0)),WORKDAY(C978,ROUND(I978*SETTINGS!$I$8,0))))</f>
        <v/>
      </c>
      <c r="AQ978" s="9" t="str">
        <f aca="true">IF(C978="","",IF(AND(AP978&lt;&gt;"",TODAY()&gt;=AP978),"Refi Ready",IF(TODAY()-C978&gt;=SETTINGS!$I$11,"Prospecting","Performing")))</f>
        <v/>
      </c>
      <c r="AR978" s="22" t="str">
        <f aca="false">IF(OR(C978="",I978="",K978=""),"",IF(K978="Monthly",EDATE(C978,I978),WORKDAY(C978,I978)))</f>
        <v/>
      </c>
      <c r="AS978" s="11"/>
      <c r="AT978" s="23" t="str">
        <f aca="true">IF(C978="","",IF(AM978="Clawed Back","CLAWED",IF(TODAY()&lt;=C978+SETTINGS!$I$2,"⚠ AT RISK","SAFE")))</f>
        <v/>
      </c>
      <c r="AU978" s="11"/>
      <c r="AW978" s="24" t="n">
        <f aca="false">AW977+IF(AND(C978&lt;&gt;"",AO978&lt;&gt;"",OR('REP COMMISSION'!$B$3="",T978='REP COMMISSION'!$B$3,W978='REP COMMISSION'!$B$3,Z978='REP COMMISSION'!$B$3)),1,0)</f>
        <v>0</v>
      </c>
      <c r="AX978" s="24" t="n">
        <f aca="false">AX977+IF(AND(C978&lt;&gt;"",OR(F978="LOC - INITIAL",F978="CONSOLIDATION - UPFRONT COMM",F978="REVERSE - TOTAL FUNDING")),1,0)</f>
        <v>0</v>
      </c>
    </row>
    <row r="979" customFormat="false" ht="15" hidden="false" customHeight="false" outlineLevel="0" collapsed="false">
      <c r="A979" s="25" t="str">
        <f aca="false">IF(C979&lt;&gt;"","F27-"&amp;COUNT($C$4:C979),"")</f>
        <v/>
      </c>
      <c r="B979" s="26" t="str">
        <f aca="false">IF(OR(F979="LOC - INITIAL",F979="CONSOLIDATION - UPFRONT COMM",F979="REVERSE - TOTAL FUNDING"),A979,"")</f>
        <v/>
      </c>
      <c r="C979" s="27"/>
      <c r="D979" s="28"/>
      <c r="E979" s="28"/>
      <c r="F979" s="28"/>
      <c r="G979" s="29"/>
      <c r="H979" s="30"/>
      <c r="I979" s="28"/>
      <c r="J979" s="31" t="str">
        <f aca="false">IF(AND(G979&lt;&gt;"",H979&lt;&gt;""),G979*H979,"")</f>
        <v/>
      </c>
      <c r="K979" s="28"/>
      <c r="L979" s="32"/>
      <c r="M979" s="32"/>
      <c r="N979" s="31" t="n">
        <f aca="false">IF(OR(G979="",M979=""),0,IF(M979&gt;100,M979,G979*IF(M979&gt;1,M979/100,M979)))</f>
        <v>0</v>
      </c>
      <c r="O979" s="31" t="str">
        <f aca="false">IF(G979="","",G979*IF(L979="",0,IF(L979&gt;1,L979/100,L979))+N979)</f>
        <v/>
      </c>
      <c r="P979" s="28"/>
      <c r="Q979" s="33" t="str">
        <f aca="false">IF(P979="","",IFERROR(VLOOKUP(P979,PARTNERS!$A$2:$B$30,2,0),""))</f>
        <v/>
      </c>
      <c r="R979" s="17" t="str">
        <f aca="false">IF(O979="","",IF(OR(P979="",Q979=""),0,(O979-N979)*IF(Q979&gt;1,Q979/100,Q979)))</f>
        <v/>
      </c>
      <c r="S979" s="31" t="str">
        <f aca="false">IF(O979="","",O979-R979)</f>
        <v/>
      </c>
      <c r="T979" s="28"/>
      <c r="U979" s="34" t="str">
        <f aca="false">IF(T979="","",IFERROR(VLOOKUP(T979,REPS!$A$2:$D$40,2,0),""))</f>
        <v/>
      </c>
      <c r="V979" s="31" t="str">
        <f aca="false">IF(O979="","",IF(U979="",0,O979*IF(U979&gt;1,U979/100,U979)))</f>
        <v/>
      </c>
      <c r="W979" s="28"/>
      <c r="X979" s="34" t="str">
        <f aca="false">IF(W979="","",IFERROR(VLOOKUP(W979,REPS!$A$2:$D$40,3,0),""))</f>
        <v/>
      </c>
      <c r="Y979" s="31" t="str">
        <f aca="false">IF(O979="","",IF(X979="",0,O979*IF(X979&gt;1,X979/100,X979)))</f>
        <v/>
      </c>
      <c r="Z979" s="28"/>
      <c r="AA979" s="34" t="str">
        <f aca="false">IF(Z979="","",IFERROR(VLOOKUP(Z979,REPS!$A$2:$D$40,4,0),""))</f>
        <v/>
      </c>
      <c r="AB979" s="31" t="str">
        <f aca="false">IF(O979="","",IF(AA979="",0,O979*IF(AA979&gt;1,AA979/100,AA979)))</f>
        <v/>
      </c>
      <c r="AC979" s="31" t="str">
        <f aca="false">IF(O979="","",V979+Y979+AB979)</f>
        <v/>
      </c>
      <c r="AD979" s="19" t="str">
        <f aca="false">IF(O979="","",O979-R979-AC979)</f>
        <v/>
      </c>
      <c r="AE979" s="20"/>
      <c r="AF979" s="27"/>
      <c r="AG979" s="21" t="n">
        <f aca="false">IF(OR(AE979="",AE979=0),0,AE979*IF(U979="",0,IF(U979&gt;1,U979/100,U979)))</f>
        <v>0</v>
      </c>
      <c r="AH979" s="21" t="n">
        <f aca="false">IF(OR(AE979="",AE979=0),0,AE979*IF(X979="",0,IF(X979&gt;1,X979/100,X979)))</f>
        <v>0</v>
      </c>
      <c r="AI979" s="21" t="n">
        <f aca="false">IF(OR(AE979="",AE979=0),0,AE979*IF(AA979="",0,IF(AA979&gt;1,AA979/100,AA979)))</f>
        <v>0</v>
      </c>
      <c r="AJ979" s="21" t="n">
        <f aca="false">AG979+AH979+AI979</f>
        <v>0</v>
      </c>
      <c r="AK979" s="21" t="n">
        <f aca="false">IF(OR(AE979="",AE979=0),0,AE979-AJ979)</f>
        <v>0</v>
      </c>
      <c r="AL979" s="19" t="str">
        <f aca="false">IF(AD979="","",AD979-AK979)</f>
        <v/>
      </c>
      <c r="AM979" s="26" t="str">
        <f aca="false">IF(C979="","","Waiting for payment")</f>
        <v/>
      </c>
      <c r="AN979" s="27"/>
      <c r="AO979" s="27"/>
      <c r="AP979" s="35" t="str">
        <f aca="false">IF(OR(C979="",I979="",K979=""),"",IF(K979="Monthly",EDATE(C979,ROUND(I979*SETTINGS!$I$8,0)),WORKDAY(C979,ROUND(I979*SETTINGS!$I$8,0))))</f>
        <v/>
      </c>
      <c r="AQ979" s="26" t="str">
        <f aca="true">IF(C979="","",IF(AND(AP979&lt;&gt;"",TODAY()&gt;=AP979),"Refi Ready",IF(TODAY()-C979&gt;=SETTINGS!$I$11,"Prospecting","Performing")))</f>
        <v/>
      </c>
      <c r="AR979" s="35" t="str">
        <f aca="false">IF(OR(C979="",I979="",K979=""),"",IF(K979="Monthly",EDATE(C979,I979),WORKDAY(C979,I979)))</f>
        <v/>
      </c>
      <c r="AS979" s="28"/>
      <c r="AT979" s="36" t="str">
        <f aca="true">IF(C979="","",IF(AM979="Clawed Back","CLAWED",IF(TODAY()&lt;=C979+SETTINGS!$I$2,"⚠ AT RISK","SAFE")))</f>
        <v/>
      </c>
      <c r="AU979" s="28"/>
      <c r="AW979" s="24" t="n">
        <f aca="false">AW978+IF(AND(C979&lt;&gt;"",AO979&lt;&gt;"",OR('REP COMMISSION'!$B$3="",T979='REP COMMISSION'!$B$3,W979='REP COMMISSION'!$B$3,Z979='REP COMMISSION'!$B$3)),1,0)</f>
        <v>0</v>
      </c>
      <c r="AX979" s="24" t="n">
        <f aca="false">AX978+IF(AND(C979&lt;&gt;"",OR(F979="LOC - INITIAL",F979="CONSOLIDATION - UPFRONT COMM",F979="REVERSE - TOTAL FUNDING")),1,0)</f>
        <v>0</v>
      </c>
    </row>
    <row r="980" customFormat="false" ht="15" hidden="false" customHeight="false" outlineLevel="0" collapsed="false">
      <c r="A980" s="8" t="str">
        <f aca="false">IF(C980&lt;&gt;"","F27-"&amp;COUNT($C$4:C980),"")</f>
        <v/>
      </c>
      <c r="B980" s="9" t="str">
        <f aca="false">IF(OR(F980="LOC - INITIAL",F980="CONSOLIDATION - UPFRONT COMM",F980="REVERSE - TOTAL FUNDING"),A980,"")</f>
        <v/>
      </c>
      <c r="C980" s="10"/>
      <c r="D980" s="11"/>
      <c r="E980" s="11"/>
      <c r="F980" s="11"/>
      <c r="G980" s="12"/>
      <c r="H980" s="13"/>
      <c r="I980" s="11"/>
      <c r="J980" s="14" t="str">
        <f aca="false">IF(AND(G980&lt;&gt;"",H980&lt;&gt;""),G980*H980,"")</f>
        <v/>
      </c>
      <c r="K980" s="11"/>
      <c r="L980" s="15"/>
      <c r="M980" s="15"/>
      <c r="N980" s="14" t="n">
        <f aca="false">IF(OR(G980="",M980=""),0,IF(M980&gt;100,M980,G980*IF(M980&gt;1,M980/100,M980)))</f>
        <v>0</v>
      </c>
      <c r="O980" s="14" t="str">
        <f aca="false">IF(G980="","",G980*IF(L980="",0,IF(L980&gt;1,L980/100,L980))+N980)</f>
        <v/>
      </c>
      <c r="P980" s="11"/>
      <c r="Q980" s="16" t="str">
        <f aca="false">IF(P980="","",IFERROR(VLOOKUP(P980,PARTNERS!$A$2:$B$30,2,0),""))</f>
        <v/>
      </c>
      <c r="R980" s="17" t="str">
        <f aca="false">IF(O980="","",IF(OR(P980="",Q980=""),0,(O980-N980)*IF(Q980&gt;1,Q980/100,Q980)))</f>
        <v/>
      </c>
      <c r="S980" s="14" t="str">
        <f aca="false">IF(O980="","",O980-R980)</f>
        <v/>
      </c>
      <c r="T980" s="11"/>
      <c r="U980" s="18" t="str">
        <f aca="false">IF(T980="","",IFERROR(VLOOKUP(T980,REPS!$A$2:$D$40,2,0),""))</f>
        <v/>
      </c>
      <c r="V980" s="14" t="str">
        <f aca="false">IF(O980="","",IF(U980="",0,O980*IF(U980&gt;1,U980/100,U980)))</f>
        <v/>
      </c>
      <c r="W980" s="11"/>
      <c r="X980" s="18" t="str">
        <f aca="false">IF(W980="","",IFERROR(VLOOKUP(W980,REPS!$A$2:$D$40,3,0),""))</f>
        <v/>
      </c>
      <c r="Y980" s="14" t="str">
        <f aca="false">IF(O980="","",IF(X980="",0,O980*IF(X980&gt;1,X980/100,X980)))</f>
        <v/>
      </c>
      <c r="Z980" s="11"/>
      <c r="AA980" s="18" t="str">
        <f aca="false">IF(Z980="","",IFERROR(VLOOKUP(Z980,REPS!$A$2:$D$40,4,0),""))</f>
        <v/>
      </c>
      <c r="AB980" s="14" t="str">
        <f aca="false">IF(O980="","",IF(AA980="",0,O980*IF(AA980&gt;1,AA980/100,AA980)))</f>
        <v/>
      </c>
      <c r="AC980" s="14" t="str">
        <f aca="false">IF(O980="","",V980+Y980+AB980)</f>
        <v/>
      </c>
      <c r="AD980" s="19" t="str">
        <f aca="false">IF(O980="","",O980-R980-AC980)</f>
        <v/>
      </c>
      <c r="AE980" s="20"/>
      <c r="AF980" s="10"/>
      <c r="AG980" s="21" t="n">
        <f aca="false">IF(OR(AE980="",AE980=0),0,AE980*IF(U980="",0,IF(U980&gt;1,U980/100,U980)))</f>
        <v>0</v>
      </c>
      <c r="AH980" s="21" t="n">
        <f aca="false">IF(OR(AE980="",AE980=0),0,AE980*IF(X980="",0,IF(X980&gt;1,X980/100,X980)))</f>
        <v>0</v>
      </c>
      <c r="AI980" s="21" t="n">
        <f aca="false">IF(OR(AE980="",AE980=0),0,AE980*IF(AA980="",0,IF(AA980&gt;1,AA980/100,AA980)))</f>
        <v>0</v>
      </c>
      <c r="AJ980" s="21" t="n">
        <f aca="false">AG980+AH980+AI980</f>
        <v>0</v>
      </c>
      <c r="AK980" s="21" t="n">
        <f aca="false">IF(OR(AE980="",AE980=0),0,AE980-AJ980)</f>
        <v>0</v>
      </c>
      <c r="AL980" s="19" t="str">
        <f aca="false">IF(AD980="","",AD980-AK980)</f>
        <v/>
      </c>
      <c r="AM980" s="9" t="str">
        <f aca="false">IF(C980="","","Waiting for payment")</f>
        <v/>
      </c>
      <c r="AN980" s="10"/>
      <c r="AO980" s="10"/>
      <c r="AP980" s="22" t="str">
        <f aca="false">IF(OR(C980="",I980="",K980=""),"",IF(K980="Monthly",EDATE(C980,ROUND(I980*SETTINGS!$I$8,0)),WORKDAY(C980,ROUND(I980*SETTINGS!$I$8,0))))</f>
        <v/>
      </c>
      <c r="AQ980" s="9" t="str">
        <f aca="true">IF(C980="","",IF(AND(AP980&lt;&gt;"",TODAY()&gt;=AP980),"Refi Ready",IF(TODAY()-C980&gt;=SETTINGS!$I$11,"Prospecting","Performing")))</f>
        <v/>
      </c>
      <c r="AR980" s="22" t="str">
        <f aca="false">IF(OR(C980="",I980="",K980=""),"",IF(K980="Monthly",EDATE(C980,I980),WORKDAY(C980,I980)))</f>
        <v/>
      </c>
      <c r="AS980" s="11"/>
      <c r="AT980" s="23" t="str">
        <f aca="true">IF(C980="","",IF(AM980="Clawed Back","CLAWED",IF(TODAY()&lt;=C980+SETTINGS!$I$2,"⚠ AT RISK","SAFE")))</f>
        <v/>
      </c>
      <c r="AU980" s="11"/>
      <c r="AW980" s="24" t="n">
        <f aca="false">AW979+IF(AND(C980&lt;&gt;"",AO980&lt;&gt;"",OR('REP COMMISSION'!$B$3="",T980='REP COMMISSION'!$B$3,W980='REP COMMISSION'!$B$3,Z980='REP COMMISSION'!$B$3)),1,0)</f>
        <v>0</v>
      </c>
      <c r="AX980" s="24" t="n">
        <f aca="false">AX979+IF(AND(C980&lt;&gt;"",OR(F980="LOC - INITIAL",F980="CONSOLIDATION - UPFRONT COMM",F980="REVERSE - TOTAL FUNDING")),1,0)</f>
        <v>0</v>
      </c>
    </row>
    <row r="981" customFormat="false" ht="15" hidden="false" customHeight="false" outlineLevel="0" collapsed="false">
      <c r="A981" s="25" t="str">
        <f aca="false">IF(C981&lt;&gt;"","F27-"&amp;COUNT($C$4:C981),"")</f>
        <v/>
      </c>
      <c r="B981" s="26" t="str">
        <f aca="false">IF(OR(F981="LOC - INITIAL",F981="CONSOLIDATION - UPFRONT COMM",F981="REVERSE - TOTAL FUNDING"),A981,"")</f>
        <v/>
      </c>
      <c r="C981" s="27"/>
      <c r="D981" s="28"/>
      <c r="E981" s="28"/>
      <c r="F981" s="28"/>
      <c r="G981" s="29"/>
      <c r="H981" s="30"/>
      <c r="I981" s="28"/>
      <c r="J981" s="31" t="str">
        <f aca="false">IF(AND(G981&lt;&gt;"",H981&lt;&gt;""),G981*H981,"")</f>
        <v/>
      </c>
      <c r="K981" s="28"/>
      <c r="L981" s="32"/>
      <c r="M981" s="32"/>
      <c r="N981" s="31" t="n">
        <f aca="false">IF(OR(G981="",M981=""),0,IF(M981&gt;100,M981,G981*IF(M981&gt;1,M981/100,M981)))</f>
        <v>0</v>
      </c>
      <c r="O981" s="31" t="str">
        <f aca="false">IF(G981="","",G981*IF(L981="",0,IF(L981&gt;1,L981/100,L981))+N981)</f>
        <v/>
      </c>
      <c r="P981" s="28"/>
      <c r="Q981" s="33" t="str">
        <f aca="false">IF(P981="","",IFERROR(VLOOKUP(P981,PARTNERS!$A$2:$B$30,2,0),""))</f>
        <v/>
      </c>
      <c r="R981" s="17" t="str">
        <f aca="false">IF(O981="","",IF(OR(P981="",Q981=""),0,(O981-N981)*IF(Q981&gt;1,Q981/100,Q981)))</f>
        <v/>
      </c>
      <c r="S981" s="31" t="str">
        <f aca="false">IF(O981="","",O981-R981)</f>
        <v/>
      </c>
      <c r="T981" s="28"/>
      <c r="U981" s="34" t="str">
        <f aca="false">IF(T981="","",IFERROR(VLOOKUP(T981,REPS!$A$2:$D$40,2,0),""))</f>
        <v/>
      </c>
      <c r="V981" s="31" t="str">
        <f aca="false">IF(O981="","",IF(U981="",0,O981*IF(U981&gt;1,U981/100,U981)))</f>
        <v/>
      </c>
      <c r="W981" s="28"/>
      <c r="X981" s="34" t="str">
        <f aca="false">IF(W981="","",IFERROR(VLOOKUP(W981,REPS!$A$2:$D$40,3,0),""))</f>
        <v/>
      </c>
      <c r="Y981" s="31" t="str">
        <f aca="false">IF(O981="","",IF(X981="",0,O981*IF(X981&gt;1,X981/100,X981)))</f>
        <v/>
      </c>
      <c r="Z981" s="28"/>
      <c r="AA981" s="34" t="str">
        <f aca="false">IF(Z981="","",IFERROR(VLOOKUP(Z981,REPS!$A$2:$D$40,4,0),""))</f>
        <v/>
      </c>
      <c r="AB981" s="31" t="str">
        <f aca="false">IF(O981="","",IF(AA981="",0,O981*IF(AA981&gt;1,AA981/100,AA981)))</f>
        <v/>
      </c>
      <c r="AC981" s="31" t="str">
        <f aca="false">IF(O981="","",V981+Y981+AB981)</f>
        <v/>
      </c>
      <c r="AD981" s="19" t="str">
        <f aca="false">IF(O981="","",O981-R981-AC981)</f>
        <v/>
      </c>
      <c r="AE981" s="20"/>
      <c r="AF981" s="27"/>
      <c r="AG981" s="21" t="n">
        <f aca="false">IF(OR(AE981="",AE981=0),0,AE981*IF(U981="",0,IF(U981&gt;1,U981/100,U981)))</f>
        <v>0</v>
      </c>
      <c r="AH981" s="21" t="n">
        <f aca="false">IF(OR(AE981="",AE981=0),0,AE981*IF(X981="",0,IF(X981&gt;1,X981/100,X981)))</f>
        <v>0</v>
      </c>
      <c r="AI981" s="21" t="n">
        <f aca="false">IF(OR(AE981="",AE981=0),0,AE981*IF(AA981="",0,IF(AA981&gt;1,AA981/100,AA981)))</f>
        <v>0</v>
      </c>
      <c r="AJ981" s="21" t="n">
        <f aca="false">AG981+AH981+AI981</f>
        <v>0</v>
      </c>
      <c r="AK981" s="21" t="n">
        <f aca="false">IF(OR(AE981="",AE981=0),0,AE981-AJ981)</f>
        <v>0</v>
      </c>
      <c r="AL981" s="19" t="str">
        <f aca="false">IF(AD981="","",AD981-AK981)</f>
        <v/>
      </c>
      <c r="AM981" s="26" t="str">
        <f aca="false">IF(C981="","","Waiting for payment")</f>
        <v/>
      </c>
      <c r="AN981" s="27"/>
      <c r="AO981" s="27"/>
      <c r="AP981" s="35" t="str">
        <f aca="false">IF(OR(C981="",I981="",K981=""),"",IF(K981="Monthly",EDATE(C981,ROUND(I981*SETTINGS!$I$8,0)),WORKDAY(C981,ROUND(I981*SETTINGS!$I$8,0))))</f>
        <v/>
      </c>
      <c r="AQ981" s="26" t="str">
        <f aca="true">IF(C981="","",IF(AND(AP981&lt;&gt;"",TODAY()&gt;=AP981),"Refi Ready",IF(TODAY()-C981&gt;=SETTINGS!$I$11,"Prospecting","Performing")))</f>
        <v/>
      </c>
      <c r="AR981" s="35" t="str">
        <f aca="false">IF(OR(C981="",I981="",K981=""),"",IF(K981="Monthly",EDATE(C981,I981),WORKDAY(C981,I981)))</f>
        <v/>
      </c>
      <c r="AS981" s="28"/>
      <c r="AT981" s="36" t="str">
        <f aca="true">IF(C981="","",IF(AM981="Clawed Back","CLAWED",IF(TODAY()&lt;=C981+SETTINGS!$I$2,"⚠ AT RISK","SAFE")))</f>
        <v/>
      </c>
      <c r="AU981" s="28"/>
      <c r="AW981" s="24" t="n">
        <f aca="false">AW980+IF(AND(C981&lt;&gt;"",AO981&lt;&gt;"",OR('REP COMMISSION'!$B$3="",T981='REP COMMISSION'!$B$3,W981='REP COMMISSION'!$B$3,Z981='REP COMMISSION'!$B$3)),1,0)</f>
        <v>0</v>
      </c>
      <c r="AX981" s="24" t="n">
        <f aca="false">AX980+IF(AND(C981&lt;&gt;"",OR(F981="LOC - INITIAL",F981="CONSOLIDATION - UPFRONT COMM",F981="REVERSE - TOTAL FUNDING")),1,0)</f>
        <v>0</v>
      </c>
    </row>
    <row r="982" customFormat="false" ht="15" hidden="false" customHeight="false" outlineLevel="0" collapsed="false">
      <c r="A982" s="8" t="str">
        <f aca="false">IF(C982&lt;&gt;"","F27-"&amp;COUNT($C$4:C982),"")</f>
        <v/>
      </c>
      <c r="B982" s="9" t="str">
        <f aca="false">IF(OR(F982="LOC - INITIAL",F982="CONSOLIDATION - UPFRONT COMM",F982="REVERSE - TOTAL FUNDING"),A982,"")</f>
        <v/>
      </c>
      <c r="C982" s="10"/>
      <c r="D982" s="11"/>
      <c r="E982" s="11"/>
      <c r="F982" s="11"/>
      <c r="G982" s="12"/>
      <c r="H982" s="13"/>
      <c r="I982" s="11"/>
      <c r="J982" s="14" t="str">
        <f aca="false">IF(AND(G982&lt;&gt;"",H982&lt;&gt;""),G982*H982,"")</f>
        <v/>
      </c>
      <c r="K982" s="11"/>
      <c r="L982" s="15"/>
      <c r="M982" s="15"/>
      <c r="N982" s="14" t="n">
        <f aca="false">IF(OR(G982="",M982=""),0,IF(M982&gt;100,M982,G982*IF(M982&gt;1,M982/100,M982)))</f>
        <v>0</v>
      </c>
      <c r="O982" s="14" t="str">
        <f aca="false">IF(G982="","",G982*IF(L982="",0,IF(L982&gt;1,L982/100,L982))+N982)</f>
        <v/>
      </c>
      <c r="P982" s="11"/>
      <c r="Q982" s="16" t="str">
        <f aca="false">IF(P982="","",IFERROR(VLOOKUP(P982,PARTNERS!$A$2:$B$30,2,0),""))</f>
        <v/>
      </c>
      <c r="R982" s="17" t="str">
        <f aca="false">IF(O982="","",IF(OR(P982="",Q982=""),0,(O982-N982)*IF(Q982&gt;1,Q982/100,Q982)))</f>
        <v/>
      </c>
      <c r="S982" s="14" t="str">
        <f aca="false">IF(O982="","",O982-R982)</f>
        <v/>
      </c>
      <c r="T982" s="11"/>
      <c r="U982" s="18" t="str">
        <f aca="false">IF(T982="","",IFERROR(VLOOKUP(T982,REPS!$A$2:$D$40,2,0),""))</f>
        <v/>
      </c>
      <c r="V982" s="14" t="str">
        <f aca="false">IF(O982="","",IF(U982="",0,O982*IF(U982&gt;1,U982/100,U982)))</f>
        <v/>
      </c>
      <c r="W982" s="11"/>
      <c r="X982" s="18" t="str">
        <f aca="false">IF(W982="","",IFERROR(VLOOKUP(W982,REPS!$A$2:$D$40,3,0),""))</f>
        <v/>
      </c>
      <c r="Y982" s="14" t="str">
        <f aca="false">IF(O982="","",IF(X982="",0,O982*IF(X982&gt;1,X982/100,X982)))</f>
        <v/>
      </c>
      <c r="Z982" s="11"/>
      <c r="AA982" s="18" t="str">
        <f aca="false">IF(Z982="","",IFERROR(VLOOKUP(Z982,REPS!$A$2:$D$40,4,0),""))</f>
        <v/>
      </c>
      <c r="AB982" s="14" t="str">
        <f aca="false">IF(O982="","",IF(AA982="",0,O982*IF(AA982&gt;1,AA982/100,AA982)))</f>
        <v/>
      </c>
      <c r="AC982" s="14" t="str">
        <f aca="false">IF(O982="","",V982+Y982+AB982)</f>
        <v/>
      </c>
      <c r="AD982" s="19" t="str">
        <f aca="false">IF(O982="","",O982-R982-AC982)</f>
        <v/>
      </c>
      <c r="AE982" s="20"/>
      <c r="AF982" s="10"/>
      <c r="AG982" s="21" t="n">
        <f aca="false">IF(OR(AE982="",AE982=0),0,AE982*IF(U982="",0,IF(U982&gt;1,U982/100,U982)))</f>
        <v>0</v>
      </c>
      <c r="AH982" s="21" t="n">
        <f aca="false">IF(OR(AE982="",AE982=0),0,AE982*IF(X982="",0,IF(X982&gt;1,X982/100,X982)))</f>
        <v>0</v>
      </c>
      <c r="AI982" s="21" t="n">
        <f aca="false">IF(OR(AE982="",AE982=0),0,AE982*IF(AA982="",0,IF(AA982&gt;1,AA982/100,AA982)))</f>
        <v>0</v>
      </c>
      <c r="AJ982" s="21" t="n">
        <f aca="false">AG982+AH982+AI982</f>
        <v>0</v>
      </c>
      <c r="AK982" s="21" t="n">
        <f aca="false">IF(OR(AE982="",AE982=0),0,AE982-AJ982)</f>
        <v>0</v>
      </c>
      <c r="AL982" s="19" t="str">
        <f aca="false">IF(AD982="","",AD982-AK982)</f>
        <v/>
      </c>
      <c r="AM982" s="9" t="str">
        <f aca="false">IF(C982="","","Waiting for payment")</f>
        <v/>
      </c>
      <c r="AN982" s="10"/>
      <c r="AO982" s="10"/>
      <c r="AP982" s="22" t="str">
        <f aca="false">IF(OR(C982="",I982="",K982=""),"",IF(K982="Monthly",EDATE(C982,ROUND(I982*SETTINGS!$I$8,0)),WORKDAY(C982,ROUND(I982*SETTINGS!$I$8,0))))</f>
        <v/>
      </c>
      <c r="AQ982" s="9" t="str">
        <f aca="true">IF(C982="","",IF(AND(AP982&lt;&gt;"",TODAY()&gt;=AP982),"Refi Ready",IF(TODAY()-C982&gt;=SETTINGS!$I$11,"Prospecting","Performing")))</f>
        <v/>
      </c>
      <c r="AR982" s="22" t="str">
        <f aca="false">IF(OR(C982="",I982="",K982=""),"",IF(K982="Monthly",EDATE(C982,I982),WORKDAY(C982,I982)))</f>
        <v/>
      </c>
      <c r="AS982" s="11"/>
      <c r="AT982" s="23" t="str">
        <f aca="true">IF(C982="","",IF(AM982="Clawed Back","CLAWED",IF(TODAY()&lt;=C982+SETTINGS!$I$2,"⚠ AT RISK","SAFE")))</f>
        <v/>
      </c>
      <c r="AU982" s="11"/>
      <c r="AW982" s="24" t="n">
        <f aca="false">AW981+IF(AND(C982&lt;&gt;"",AO982&lt;&gt;"",OR('REP COMMISSION'!$B$3="",T982='REP COMMISSION'!$B$3,W982='REP COMMISSION'!$B$3,Z982='REP COMMISSION'!$B$3)),1,0)</f>
        <v>0</v>
      </c>
      <c r="AX982" s="24" t="n">
        <f aca="false">AX981+IF(AND(C982&lt;&gt;"",OR(F982="LOC - INITIAL",F982="CONSOLIDATION - UPFRONT COMM",F982="REVERSE - TOTAL FUNDING")),1,0)</f>
        <v>0</v>
      </c>
    </row>
    <row r="983" customFormat="false" ht="15" hidden="false" customHeight="false" outlineLevel="0" collapsed="false">
      <c r="A983" s="25" t="str">
        <f aca="false">IF(C983&lt;&gt;"","F27-"&amp;COUNT($C$4:C983),"")</f>
        <v/>
      </c>
      <c r="B983" s="26" t="str">
        <f aca="false">IF(OR(F983="LOC - INITIAL",F983="CONSOLIDATION - UPFRONT COMM",F983="REVERSE - TOTAL FUNDING"),A983,"")</f>
        <v/>
      </c>
      <c r="C983" s="27"/>
      <c r="D983" s="28"/>
      <c r="E983" s="28"/>
      <c r="F983" s="28"/>
      <c r="G983" s="29"/>
      <c r="H983" s="30"/>
      <c r="I983" s="28"/>
      <c r="J983" s="31" t="str">
        <f aca="false">IF(AND(G983&lt;&gt;"",H983&lt;&gt;""),G983*H983,"")</f>
        <v/>
      </c>
      <c r="K983" s="28"/>
      <c r="L983" s="32"/>
      <c r="M983" s="32"/>
      <c r="N983" s="31" t="n">
        <f aca="false">IF(OR(G983="",M983=""),0,IF(M983&gt;100,M983,G983*IF(M983&gt;1,M983/100,M983)))</f>
        <v>0</v>
      </c>
      <c r="O983" s="31" t="str">
        <f aca="false">IF(G983="","",G983*IF(L983="",0,IF(L983&gt;1,L983/100,L983))+N983)</f>
        <v/>
      </c>
      <c r="P983" s="28"/>
      <c r="Q983" s="33" t="str">
        <f aca="false">IF(P983="","",IFERROR(VLOOKUP(P983,PARTNERS!$A$2:$B$30,2,0),""))</f>
        <v/>
      </c>
      <c r="R983" s="17" t="str">
        <f aca="false">IF(O983="","",IF(OR(P983="",Q983=""),0,(O983-N983)*IF(Q983&gt;1,Q983/100,Q983)))</f>
        <v/>
      </c>
      <c r="S983" s="31" t="str">
        <f aca="false">IF(O983="","",O983-R983)</f>
        <v/>
      </c>
      <c r="T983" s="28"/>
      <c r="U983" s="34" t="str">
        <f aca="false">IF(T983="","",IFERROR(VLOOKUP(T983,REPS!$A$2:$D$40,2,0),""))</f>
        <v/>
      </c>
      <c r="V983" s="31" t="str">
        <f aca="false">IF(O983="","",IF(U983="",0,O983*IF(U983&gt;1,U983/100,U983)))</f>
        <v/>
      </c>
      <c r="W983" s="28"/>
      <c r="X983" s="34" t="str">
        <f aca="false">IF(W983="","",IFERROR(VLOOKUP(W983,REPS!$A$2:$D$40,3,0),""))</f>
        <v/>
      </c>
      <c r="Y983" s="31" t="str">
        <f aca="false">IF(O983="","",IF(X983="",0,O983*IF(X983&gt;1,X983/100,X983)))</f>
        <v/>
      </c>
      <c r="Z983" s="28"/>
      <c r="AA983" s="34" t="str">
        <f aca="false">IF(Z983="","",IFERROR(VLOOKUP(Z983,REPS!$A$2:$D$40,4,0),""))</f>
        <v/>
      </c>
      <c r="AB983" s="31" t="str">
        <f aca="false">IF(O983="","",IF(AA983="",0,O983*IF(AA983&gt;1,AA983/100,AA983)))</f>
        <v/>
      </c>
      <c r="AC983" s="31" t="str">
        <f aca="false">IF(O983="","",V983+Y983+AB983)</f>
        <v/>
      </c>
      <c r="AD983" s="19" t="str">
        <f aca="false">IF(O983="","",O983-R983-AC983)</f>
        <v/>
      </c>
      <c r="AE983" s="20"/>
      <c r="AF983" s="27"/>
      <c r="AG983" s="21" t="n">
        <f aca="false">IF(OR(AE983="",AE983=0),0,AE983*IF(U983="",0,IF(U983&gt;1,U983/100,U983)))</f>
        <v>0</v>
      </c>
      <c r="AH983" s="21" t="n">
        <f aca="false">IF(OR(AE983="",AE983=0),0,AE983*IF(X983="",0,IF(X983&gt;1,X983/100,X983)))</f>
        <v>0</v>
      </c>
      <c r="AI983" s="21" t="n">
        <f aca="false">IF(OR(AE983="",AE983=0),0,AE983*IF(AA983="",0,IF(AA983&gt;1,AA983/100,AA983)))</f>
        <v>0</v>
      </c>
      <c r="AJ983" s="21" t="n">
        <f aca="false">AG983+AH983+AI983</f>
        <v>0</v>
      </c>
      <c r="AK983" s="21" t="n">
        <f aca="false">IF(OR(AE983="",AE983=0),0,AE983-AJ983)</f>
        <v>0</v>
      </c>
      <c r="AL983" s="19" t="str">
        <f aca="false">IF(AD983="","",AD983-AK983)</f>
        <v/>
      </c>
      <c r="AM983" s="26" t="str">
        <f aca="false">IF(C983="","","Waiting for payment")</f>
        <v/>
      </c>
      <c r="AN983" s="27"/>
      <c r="AO983" s="27"/>
      <c r="AP983" s="35" t="str">
        <f aca="false">IF(OR(C983="",I983="",K983=""),"",IF(K983="Monthly",EDATE(C983,ROUND(I983*SETTINGS!$I$8,0)),WORKDAY(C983,ROUND(I983*SETTINGS!$I$8,0))))</f>
        <v/>
      </c>
      <c r="AQ983" s="26" t="str">
        <f aca="true">IF(C983="","",IF(AND(AP983&lt;&gt;"",TODAY()&gt;=AP983),"Refi Ready",IF(TODAY()-C983&gt;=SETTINGS!$I$11,"Prospecting","Performing")))</f>
        <v/>
      </c>
      <c r="AR983" s="35" t="str">
        <f aca="false">IF(OR(C983="",I983="",K983=""),"",IF(K983="Monthly",EDATE(C983,I983),WORKDAY(C983,I983)))</f>
        <v/>
      </c>
      <c r="AS983" s="28"/>
      <c r="AT983" s="36" t="str">
        <f aca="true">IF(C983="","",IF(AM983="Clawed Back","CLAWED",IF(TODAY()&lt;=C983+SETTINGS!$I$2,"⚠ AT RISK","SAFE")))</f>
        <v/>
      </c>
      <c r="AU983" s="28"/>
      <c r="AW983" s="24" t="n">
        <f aca="false">AW982+IF(AND(C983&lt;&gt;"",AO983&lt;&gt;"",OR('REP COMMISSION'!$B$3="",T983='REP COMMISSION'!$B$3,W983='REP COMMISSION'!$B$3,Z983='REP COMMISSION'!$B$3)),1,0)</f>
        <v>0</v>
      </c>
      <c r="AX983" s="24" t="n">
        <f aca="false">AX982+IF(AND(C983&lt;&gt;"",OR(F983="LOC - INITIAL",F983="CONSOLIDATION - UPFRONT COMM",F983="REVERSE - TOTAL FUNDING")),1,0)</f>
        <v>0</v>
      </c>
    </row>
    <row r="984" customFormat="false" ht="15" hidden="false" customHeight="false" outlineLevel="0" collapsed="false">
      <c r="A984" s="8" t="str">
        <f aca="false">IF(C984&lt;&gt;"","F27-"&amp;COUNT($C$4:C984),"")</f>
        <v/>
      </c>
      <c r="B984" s="9" t="str">
        <f aca="false">IF(OR(F984="LOC - INITIAL",F984="CONSOLIDATION - UPFRONT COMM",F984="REVERSE - TOTAL FUNDING"),A984,"")</f>
        <v/>
      </c>
      <c r="C984" s="10"/>
      <c r="D984" s="11"/>
      <c r="E984" s="11"/>
      <c r="F984" s="11"/>
      <c r="G984" s="12"/>
      <c r="H984" s="13"/>
      <c r="I984" s="11"/>
      <c r="J984" s="14" t="str">
        <f aca="false">IF(AND(G984&lt;&gt;"",H984&lt;&gt;""),G984*H984,"")</f>
        <v/>
      </c>
      <c r="K984" s="11"/>
      <c r="L984" s="15"/>
      <c r="M984" s="15"/>
      <c r="N984" s="14" t="n">
        <f aca="false">IF(OR(G984="",M984=""),0,IF(M984&gt;100,M984,G984*IF(M984&gt;1,M984/100,M984)))</f>
        <v>0</v>
      </c>
      <c r="O984" s="14" t="str">
        <f aca="false">IF(G984="","",G984*IF(L984="",0,IF(L984&gt;1,L984/100,L984))+N984)</f>
        <v/>
      </c>
      <c r="P984" s="11"/>
      <c r="Q984" s="16" t="str">
        <f aca="false">IF(P984="","",IFERROR(VLOOKUP(P984,PARTNERS!$A$2:$B$30,2,0),""))</f>
        <v/>
      </c>
      <c r="R984" s="17" t="str">
        <f aca="false">IF(O984="","",IF(OR(P984="",Q984=""),0,(O984-N984)*IF(Q984&gt;1,Q984/100,Q984)))</f>
        <v/>
      </c>
      <c r="S984" s="14" t="str">
        <f aca="false">IF(O984="","",O984-R984)</f>
        <v/>
      </c>
      <c r="T984" s="11"/>
      <c r="U984" s="18" t="str">
        <f aca="false">IF(T984="","",IFERROR(VLOOKUP(T984,REPS!$A$2:$D$40,2,0),""))</f>
        <v/>
      </c>
      <c r="V984" s="14" t="str">
        <f aca="false">IF(O984="","",IF(U984="",0,O984*IF(U984&gt;1,U984/100,U984)))</f>
        <v/>
      </c>
      <c r="W984" s="11"/>
      <c r="X984" s="18" t="str">
        <f aca="false">IF(W984="","",IFERROR(VLOOKUP(W984,REPS!$A$2:$D$40,3,0),""))</f>
        <v/>
      </c>
      <c r="Y984" s="14" t="str">
        <f aca="false">IF(O984="","",IF(X984="",0,O984*IF(X984&gt;1,X984/100,X984)))</f>
        <v/>
      </c>
      <c r="Z984" s="11"/>
      <c r="AA984" s="18" t="str">
        <f aca="false">IF(Z984="","",IFERROR(VLOOKUP(Z984,REPS!$A$2:$D$40,4,0),""))</f>
        <v/>
      </c>
      <c r="AB984" s="14" t="str">
        <f aca="false">IF(O984="","",IF(AA984="",0,O984*IF(AA984&gt;1,AA984/100,AA984)))</f>
        <v/>
      </c>
      <c r="AC984" s="14" t="str">
        <f aca="false">IF(O984="","",V984+Y984+AB984)</f>
        <v/>
      </c>
      <c r="AD984" s="19" t="str">
        <f aca="false">IF(O984="","",O984-R984-AC984)</f>
        <v/>
      </c>
      <c r="AE984" s="20"/>
      <c r="AF984" s="10"/>
      <c r="AG984" s="21" t="n">
        <f aca="false">IF(OR(AE984="",AE984=0),0,AE984*IF(U984="",0,IF(U984&gt;1,U984/100,U984)))</f>
        <v>0</v>
      </c>
      <c r="AH984" s="21" t="n">
        <f aca="false">IF(OR(AE984="",AE984=0),0,AE984*IF(X984="",0,IF(X984&gt;1,X984/100,X984)))</f>
        <v>0</v>
      </c>
      <c r="AI984" s="21" t="n">
        <f aca="false">IF(OR(AE984="",AE984=0),0,AE984*IF(AA984="",0,IF(AA984&gt;1,AA984/100,AA984)))</f>
        <v>0</v>
      </c>
      <c r="AJ984" s="21" t="n">
        <f aca="false">AG984+AH984+AI984</f>
        <v>0</v>
      </c>
      <c r="AK984" s="21" t="n">
        <f aca="false">IF(OR(AE984="",AE984=0),0,AE984-AJ984)</f>
        <v>0</v>
      </c>
      <c r="AL984" s="19" t="str">
        <f aca="false">IF(AD984="","",AD984-AK984)</f>
        <v/>
      </c>
      <c r="AM984" s="9" t="str">
        <f aca="false">IF(C984="","","Waiting for payment")</f>
        <v/>
      </c>
      <c r="AN984" s="10"/>
      <c r="AO984" s="10"/>
      <c r="AP984" s="22" t="str">
        <f aca="false">IF(OR(C984="",I984="",K984=""),"",IF(K984="Monthly",EDATE(C984,ROUND(I984*SETTINGS!$I$8,0)),WORKDAY(C984,ROUND(I984*SETTINGS!$I$8,0))))</f>
        <v/>
      </c>
      <c r="AQ984" s="9" t="str">
        <f aca="true">IF(C984="","",IF(AND(AP984&lt;&gt;"",TODAY()&gt;=AP984),"Refi Ready",IF(TODAY()-C984&gt;=SETTINGS!$I$11,"Prospecting","Performing")))</f>
        <v/>
      </c>
      <c r="AR984" s="22" t="str">
        <f aca="false">IF(OR(C984="",I984="",K984=""),"",IF(K984="Monthly",EDATE(C984,I984),WORKDAY(C984,I984)))</f>
        <v/>
      </c>
      <c r="AS984" s="11"/>
      <c r="AT984" s="23" t="str">
        <f aca="true">IF(C984="","",IF(AM984="Clawed Back","CLAWED",IF(TODAY()&lt;=C984+SETTINGS!$I$2,"⚠ AT RISK","SAFE")))</f>
        <v/>
      </c>
      <c r="AU984" s="11"/>
      <c r="AW984" s="24" t="n">
        <f aca="false">AW983+IF(AND(C984&lt;&gt;"",AO984&lt;&gt;"",OR('REP COMMISSION'!$B$3="",T984='REP COMMISSION'!$B$3,W984='REP COMMISSION'!$B$3,Z984='REP COMMISSION'!$B$3)),1,0)</f>
        <v>0</v>
      </c>
      <c r="AX984" s="24" t="n">
        <f aca="false">AX983+IF(AND(C984&lt;&gt;"",OR(F984="LOC - INITIAL",F984="CONSOLIDATION - UPFRONT COMM",F984="REVERSE - TOTAL FUNDING")),1,0)</f>
        <v>0</v>
      </c>
    </row>
    <row r="985" customFormat="false" ht="15" hidden="false" customHeight="false" outlineLevel="0" collapsed="false">
      <c r="A985" s="25" t="str">
        <f aca="false">IF(C985&lt;&gt;"","F27-"&amp;COUNT($C$4:C985),"")</f>
        <v/>
      </c>
      <c r="B985" s="26" t="str">
        <f aca="false">IF(OR(F985="LOC - INITIAL",F985="CONSOLIDATION - UPFRONT COMM",F985="REVERSE - TOTAL FUNDING"),A985,"")</f>
        <v/>
      </c>
      <c r="C985" s="27"/>
      <c r="D985" s="28"/>
      <c r="E985" s="28"/>
      <c r="F985" s="28"/>
      <c r="G985" s="29"/>
      <c r="H985" s="30"/>
      <c r="I985" s="28"/>
      <c r="J985" s="31" t="str">
        <f aca="false">IF(AND(G985&lt;&gt;"",H985&lt;&gt;""),G985*H985,"")</f>
        <v/>
      </c>
      <c r="K985" s="28"/>
      <c r="L985" s="32"/>
      <c r="M985" s="32"/>
      <c r="N985" s="31" t="n">
        <f aca="false">IF(OR(G985="",M985=""),0,IF(M985&gt;100,M985,G985*IF(M985&gt;1,M985/100,M985)))</f>
        <v>0</v>
      </c>
      <c r="O985" s="31" t="str">
        <f aca="false">IF(G985="","",G985*IF(L985="",0,IF(L985&gt;1,L985/100,L985))+N985)</f>
        <v/>
      </c>
      <c r="P985" s="28"/>
      <c r="Q985" s="33" t="str">
        <f aca="false">IF(P985="","",IFERROR(VLOOKUP(P985,PARTNERS!$A$2:$B$30,2,0),""))</f>
        <v/>
      </c>
      <c r="R985" s="17" t="str">
        <f aca="false">IF(O985="","",IF(OR(P985="",Q985=""),0,(O985-N985)*IF(Q985&gt;1,Q985/100,Q985)))</f>
        <v/>
      </c>
      <c r="S985" s="31" t="str">
        <f aca="false">IF(O985="","",O985-R985)</f>
        <v/>
      </c>
      <c r="T985" s="28"/>
      <c r="U985" s="34" t="str">
        <f aca="false">IF(T985="","",IFERROR(VLOOKUP(T985,REPS!$A$2:$D$40,2,0),""))</f>
        <v/>
      </c>
      <c r="V985" s="31" t="str">
        <f aca="false">IF(O985="","",IF(U985="",0,O985*IF(U985&gt;1,U985/100,U985)))</f>
        <v/>
      </c>
      <c r="W985" s="28"/>
      <c r="X985" s="34" t="str">
        <f aca="false">IF(W985="","",IFERROR(VLOOKUP(W985,REPS!$A$2:$D$40,3,0),""))</f>
        <v/>
      </c>
      <c r="Y985" s="31" t="str">
        <f aca="false">IF(O985="","",IF(X985="",0,O985*IF(X985&gt;1,X985/100,X985)))</f>
        <v/>
      </c>
      <c r="Z985" s="28"/>
      <c r="AA985" s="34" t="str">
        <f aca="false">IF(Z985="","",IFERROR(VLOOKUP(Z985,REPS!$A$2:$D$40,4,0),""))</f>
        <v/>
      </c>
      <c r="AB985" s="31" t="str">
        <f aca="false">IF(O985="","",IF(AA985="",0,O985*IF(AA985&gt;1,AA985/100,AA985)))</f>
        <v/>
      </c>
      <c r="AC985" s="31" t="str">
        <f aca="false">IF(O985="","",V985+Y985+AB985)</f>
        <v/>
      </c>
      <c r="AD985" s="19" t="str">
        <f aca="false">IF(O985="","",O985-R985-AC985)</f>
        <v/>
      </c>
      <c r="AE985" s="20"/>
      <c r="AF985" s="27"/>
      <c r="AG985" s="21" t="n">
        <f aca="false">IF(OR(AE985="",AE985=0),0,AE985*IF(U985="",0,IF(U985&gt;1,U985/100,U985)))</f>
        <v>0</v>
      </c>
      <c r="AH985" s="21" t="n">
        <f aca="false">IF(OR(AE985="",AE985=0),0,AE985*IF(X985="",0,IF(X985&gt;1,X985/100,X985)))</f>
        <v>0</v>
      </c>
      <c r="AI985" s="21" t="n">
        <f aca="false">IF(OR(AE985="",AE985=0),0,AE985*IF(AA985="",0,IF(AA985&gt;1,AA985/100,AA985)))</f>
        <v>0</v>
      </c>
      <c r="AJ985" s="21" t="n">
        <f aca="false">AG985+AH985+AI985</f>
        <v>0</v>
      </c>
      <c r="AK985" s="21" t="n">
        <f aca="false">IF(OR(AE985="",AE985=0),0,AE985-AJ985)</f>
        <v>0</v>
      </c>
      <c r="AL985" s="19" t="str">
        <f aca="false">IF(AD985="","",AD985-AK985)</f>
        <v/>
      </c>
      <c r="AM985" s="26" t="str">
        <f aca="false">IF(C985="","","Waiting for payment")</f>
        <v/>
      </c>
      <c r="AN985" s="27"/>
      <c r="AO985" s="27"/>
      <c r="AP985" s="35" t="str">
        <f aca="false">IF(OR(C985="",I985="",K985=""),"",IF(K985="Monthly",EDATE(C985,ROUND(I985*SETTINGS!$I$8,0)),WORKDAY(C985,ROUND(I985*SETTINGS!$I$8,0))))</f>
        <v/>
      </c>
      <c r="AQ985" s="26" t="str">
        <f aca="true">IF(C985="","",IF(AND(AP985&lt;&gt;"",TODAY()&gt;=AP985),"Refi Ready",IF(TODAY()-C985&gt;=SETTINGS!$I$11,"Prospecting","Performing")))</f>
        <v/>
      </c>
      <c r="AR985" s="35" t="str">
        <f aca="false">IF(OR(C985="",I985="",K985=""),"",IF(K985="Monthly",EDATE(C985,I985),WORKDAY(C985,I985)))</f>
        <v/>
      </c>
      <c r="AS985" s="28"/>
      <c r="AT985" s="36" t="str">
        <f aca="true">IF(C985="","",IF(AM985="Clawed Back","CLAWED",IF(TODAY()&lt;=C985+SETTINGS!$I$2,"⚠ AT RISK","SAFE")))</f>
        <v/>
      </c>
      <c r="AU985" s="28"/>
      <c r="AW985" s="24" t="n">
        <f aca="false">AW984+IF(AND(C985&lt;&gt;"",AO985&lt;&gt;"",OR('REP COMMISSION'!$B$3="",T985='REP COMMISSION'!$B$3,W985='REP COMMISSION'!$B$3,Z985='REP COMMISSION'!$B$3)),1,0)</f>
        <v>0</v>
      </c>
      <c r="AX985" s="24" t="n">
        <f aca="false">AX984+IF(AND(C985&lt;&gt;"",OR(F985="LOC - INITIAL",F985="CONSOLIDATION - UPFRONT COMM",F985="REVERSE - TOTAL FUNDING")),1,0)</f>
        <v>0</v>
      </c>
    </row>
    <row r="986" customFormat="false" ht="15" hidden="false" customHeight="false" outlineLevel="0" collapsed="false">
      <c r="A986" s="8" t="str">
        <f aca="false">IF(C986&lt;&gt;"","F27-"&amp;COUNT($C$4:C986),"")</f>
        <v/>
      </c>
      <c r="B986" s="9" t="str">
        <f aca="false">IF(OR(F986="LOC - INITIAL",F986="CONSOLIDATION - UPFRONT COMM",F986="REVERSE - TOTAL FUNDING"),A986,"")</f>
        <v/>
      </c>
      <c r="C986" s="10"/>
      <c r="D986" s="11"/>
      <c r="E986" s="11"/>
      <c r="F986" s="11"/>
      <c r="G986" s="12"/>
      <c r="H986" s="13"/>
      <c r="I986" s="11"/>
      <c r="J986" s="14" t="str">
        <f aca="false">IF(AND(G986&lt;&gt;"",H986&lt;&gt;""),G986*H986,"")</f>
        <v/>
      </c>
      <c r="K986" s="11"/>
      <c r="L986" s="15"/>
      <c r="M986" s="15"/>
      <c r="N986" s="14" t="n">
        <f aca="false">IF(OR(G986="",M986=""),0,IF(M986&gt;100,M986,G986*IF(M986&gt;1,M986/100,M986)))</f>
        <v>0</v>
      </c>
      <c r="O986" s="14" t="str">
        <f aca="false">IF(G986="","",G986*IF(L986="",0,IF(L986&gt;1,L986/100,L986))+N986)</f>
        <v/>
      </c>
      <c r="P986" s="11"/>
      <c r="Q986" s="16" t="str">
        <f aca="false">IF(P986="","",IFERROR(VLOOKUP(P986,PARTNERS!$A$2:$B$30,2,0),""))</f>
        <v/>
      </c>
      <c r="R986" s="17" t="str">
        <f aca="false">IF(O986="","",IF(OR(P986="",Q986=""),0,(O986-N986)*IF(Q986&gt;1,Q986/100,Q986)))</f>
        <v/>
      </c>
      <c r="S986" s="14" t="str">
        <f aca="false">IF(O986="","",O986-R986)</f>
        <v/>
      </c>
      <c r="T986" s="11"/>
      <c r="U986" s="18" t="str">
        <f aca="false">IF(T986="","",IFERROR(VLOOKUP(T986,REPS!$A$2:$D$40,2,0),""))</f>
        <v/>
      </c>
      <c r="V986" s="14" t="str">
        <f aca="false">IF(O986="","",IF(U986="",0,O986*IF(U986&gt;1,U986/100,U986)))</f>
        <v/>
      </c>
      <c r="W986" s="11"/>
      <c r="X986" s="18" t="str">
        <f aca="false">IF(W986="","",IFERROR(VLOOKUP(W986,REPS!$A$2:$D$40,3,0),""))</f>
        <v/>
      </c>
      <c r="Y986" s="14" t="str">
        <f aca="false">IF(O986="","",IF(X986="",0,O986*IF(X986&gt;1,X986/100,X986)))</f>
        <v/>
      </c>
      <c r="Z986" s="11"/>
      <c r="AA986" s="18" t="str">
        <f aca="false">IF(Z986="","",IFERROR(VLOOKUP(Z986,REPS!$A$2:$D$40,4,0),""))</f>
        <v/>
      </c>
      <c r="AB986" s="14" t="str">
        <f aca="false">IF(O986="","",IF(AA986="",0,O986*IF(AA986&gt;1,AA986/100,AA986)))</f>
        <v/>
      </c>
      <c r="AC986" s="14" t="str">
        <f aca="false">IF(O986="","",V986+Y986+AB986)</f>
        <v/>
      </c>
      <c r="AD986" s="19" t="str">
        <f aca="false">IF(O986="","",O986-R986-AC986)</f>
        <v/>
      </c>
      <c r="AE986" s="20"/>
      <c r="AF986" s="10"/>
      <c r="AG986" s="21" t="n">
        <f aca="false">IF(OR(AE986="",AE986=0),0,AE986*IF(U986="",0,IF(U986&gt;1,U986/100,U986)))</f>
        <v>0</v>
      </c>
      <c r="AH986" s="21" t="n">
        <f aca="false">IF(OR(AE986="",AE986=0),0,AE986*IF(X986="",0,IF(X986&gt;1,X986/100,X986)))</f>
        <v>0</v>
      </c>
      <c r="AI986" s="21" t="n">
        <f aca="false">IF(OR(AE986="",AE986=0),0,AE986*IF(AA986="",0,IF(AA986&gt;1,AA986/100,AA986)))</f>
        <v>0</v>
      </c>
      <c r="AJ986" s="21" t="n">
        <f aca="false">AG986+AH986+AI986</f>
        <v>0</v>
      </c>
      <c r="AK986" s="21" t="n">
        <f aca="false">IF(OR(AE986="",AE986=0),0,AE986-AJ986)</f>
        <v>0</v>
      </c>
      <c r="AL986" s="19" t="str">
        <f aca="false">IF(AD986="","",AD986-AK986)</f>
        <v/>
      </c>
      <c r="AM986" s="9" t="str">
        <f aca="false">IF(C986="","","Waiting for payment")</f>
        <v/>
      </c>
      <c r="AN986" s="10"/>
      <c r="AO986" s="10"/>
      <c r="AP986" s="22" t="str">
        <f aca="false">IF(OR(C986="",I986="",K986=""),"",IF(K986="Monthly",EDATE(C986,ROUND(I986*SETTINGS!$I$8,0)),WORKDAY(C986,ROUND(I986*SETTINGS!$I$8,0))))</f>
        <v/>
      </c>
      <c r="AQ986" s="9" t="str">
        <f aca="true">IF(C986="","",IF(AND(AP986&lt;&gt;"",TODAY()&gt;=AP986),"Refi Ready",IF(TODAY()-C986&gt;=SETTINGS!$I$11,"Prospecting","Performing")))</f>
        <v/>
      </c>
      <c r="AR986" s="22" t="str">
        <f aca="false">IF(OR(C986="",I986="",K986=""),"",IF(K986="Monthly",EDATE(C986,I986),WORKDAY(C986,I986)))</f>
        <v/>
      </c>
      <c r="AS986" s="11"/>
      <c r="AT986" s="23" t="str">
        <f aca="true">IF(C986="","",IF(AM986="Clawed Back","CLAWED",IF(TODAY()&lt;=C986+SETTINGS!$I$2,"⚠ AT RISK","SAFE")))</f>
        <v/>
      </c>
      <c r="AU986" s="11"/>
      <c r="AW986" s="24" t="n">
        <f aca="false">AW985+IF(AND(C986&lt;&gt;"",AO986&lt;&gt;"",OR('REP COMMISSION'!$B$3="",T986='REP COMMISSION'!$B$3,W986='REP COMMISSION'!$B$3,Z986='REP COMMISSION'!$B$3)),1,0)</f>
        <v>0</v>
      </c>
      <c r="AX986" s="24" t="n">
        <f aca="false">AX985+IF(AND(C986&lt;&gt;"",OR(F986="LOC - INITIAL",F986="CONSOLIDATION - UPFRONT COMM",F986="REVERSE - TOTAL FUNDING")),1,0)</f>
        <v>0</v>
      </c>
    </row>
    <row r="987" customFormat="false" ht="15" hidden="false" customHeight="false" outlineLevel="0" collapsed="false">
      <c r="A987" s="25" t="str">
        <f aca="false">IF(C987&lt;&gt;"","F27-"&amp;COUNT($C$4:C987),"")</f>
        <v/>
      </c>
      <c r="B987" s="26" t="str">
        <f aca="false">IF(OR(F987="LOC - INITIAL",F987="CONSOLIDATION - UPFRONT COMM",F987="REVERSE - TOTAL FUNDING"),A987,"")</f>
        <v/>
      </c>
      <c r="C987" s="27"/>
      <c r="D987" s="28"/>
      <c r="E987" s="28"/>
      <c r="F987" s="28"/>
      <c r="G987" s="29"/>
      <c r="H987" s="30"/>
      <c r="I987" s="28"/>
      <c r="J987" s="31" t="str">
        <f aca="false">IF(AND(G987&lt;&gt;"",H987&lt;&gt;""),G987*H987,"")</f>
        <v/>
      </c>
      <c r="K987" s="28"/>
      <c r="L987" s="32"/>
      <c r="M987" s="32"/>
      <c r="N987" s="31" t="n">
        <f aca="false">IF(OR(G987="",M987=""),0,IF(M987&gt;100,M987,G987*IF(M987&gt;1,M987/100,M987)))</f>
        <v>0</v>
      </c>
      <c r="O987" s="31" t="str">
        <f aca="false">IF(G987="","",G987*IF(L987="",0,IF(L987&gt;1,L987/100,L987))+N987)</f>
        <v/>
      </c>
      <c r="P987" s="28"/>
      <c r="Q987" s="33" t="str">
        <f aca="false">IF(P987="","",IFERROR(VLOOKUP(P987,PARTNERS!$A$2:$B$30,2,0),""))</f>
        <v/>
      </c>
      <c r="R987" s="17" t="str">
        <f aca="false">IF(O987="","",IF(OR(P987="",Q987=""),0,(O987-N987)*IF(Q987&gt;1,Q987/100,Q987)))</f>
        <v/>
      </c>
      <c r="S987" s="31" t="str">
        <f aca="false">IF(O987="","",O987-R987)</f>
        <v/>
      </c>
      <c r="T987" s="28"/>
      <c r="U987" s="34" t="str">
        <f aca="false">IF(T987="","",IFERROR(VLOOKUP(T987,REPS!$A$2:$D$40,2,0),""))</f>
        <v/>
      </c>
      <c r="V987" s="31" t="str">
        <f aca="false">IF(O987="","",IF(U987="",0,O987*IF(U987&gt;1,U987/100,U987)))</f>
        <v/>
      </c>
      <c r="W987" s="28"/>
      <c r="X987" s="34" t="str">
        <f aca="false">IF(W987="","",IFERROR(VLOOKUP(W987,REPS!$A$2:$D$40,3,0),""))</f>
        <v/>
      </c>
      <c r="Y987" s="31" t="str">
        <f aca="false">IF(O987="","",IF(X987="",0,O987*IF(X987&gt;1,X987/100,X987)))</f>
        <v/>
      </c>
      <c r="Z987" s="28"/>
      <c r="AA987" s="34" t="str">
        <f aca="false">IF(Z987="","",IFERROR(VLOOKUP(Z987,REPS!$A$2:$D$40,4,0),""))</f>
        <v/>
      </c>
      <c r="AB987" s="31" t="str">
        <f aca="false">IF(O987="","",IF(AA987="",0,O987*IF(AA987&gt;1,AA987/100,AA987)))</f>
        <v/>
      </c>
      <c r="AC987" s="31" t="str">
        <f aca="false">IF(O987="","",V987+Y987+AB987)</f>
        <v/>
      </c>
      <c r="AD987" s="19" t="str">
        <f aca="false">IF(O987="","",O987-R987-AC987)</f>
        <v/>
      </c>
      <c r="AE987" s="20"/>
      <c r="AF987" s="27"/>
      <c r="AG987" s="21" t="n">
        <f aca="false">IF(OR(AE987="",AE987=0),0,AE987*IF(U987="",0,IF(U987&gt;1,U987/100,U987)))</f>
        <v>0</v>
      </c>
      <c r="AH987" s="21" t="n">
        <f aca="false">IF(OR(AE987="",AE987=0),0,AE987*IF(X987="",0,IF(X987&gt;1,X987/100,X987)))</f>
        <v>0</v>
      </c>
      <c r="AI987" s="21" t="n">
        <f aca="false">IF(OR(AE987="",AE987=0),0,AE987*IF(AA987="",0,IF(AA987&gt;1,AA987/100,AA987)))</f>
        <v>0</v>
      </c>
      <c r="AJ987" s="21" t="n">
        <f aca="false">AG987+AH987+AI987</f>
        <v>0</v>
      </c>
      <c r="AK987" s="21" t="n">
        <f aca="false">IF(OR(AE987="",AE987=0),0,AE987-AJ987)</f>
        <v>0</v>
      </c>
      <c r="AL987" s="19" t="str">
        <f aca="false">IF(AD987="","",AD987-AK987)</f>
        <v/>
      </c>
      <c r="AM987" s="26" t="str">
        <f aca="false">IF(C987="","","Waiting for payment")</f>
        <v/>
      </c>
      <c r="AN987" s="27"/>
      <c r="AO987" s="27"/>
      <c r="AP987" s="35" t="str">
        <f aca="false">IF(OR(C987="",I987="",K987=""),"",IF(K987="Monthly",EDATE(C987,ROUND(I987*SETTINGS!$I$8,0)),WORKDAY(C987,ROUND(I987*SETTINGS!$I$8,0))))</f>
        <v/>
      </c>
      <c r="AQ987" s="26" t="str">
        <f aca="true">IF(C987="","",IF(AND(AP987&lt;&gt;"",TODAY()&gt;=AP987),"Refi Ready",IF(TODAY()-C987&gt;=SETTINGS!$I$11,"Prospecting","Performing")))</f>
        <v/>
      </c>
      <c r="AR987" s="35" t="str">
        <f aca="false">IF(OR(C987="",I987="",K987=""),"",IF(K987="Monthly",EDATE(C987,I987),WORKDAY(C987,I987)))</f>
        <v/>
      </c>
      <c r="AS987" s="28"/>
      <c r="AT987" s="36" t="str">
        <f aca="true">IF(C987="","",IF(AM987="Clawed Back","CLAWED",IF(TODAY()&lt;=C987+SETTINGS!$I$2,"⚠ AT RISK","SAFE")))</f>
        <v/>
      </c>
      <c r="AU987" s="28"/>
      <c r="AW987" s="24" t="n">
        <f aca="false">AW986+IF(AND(C987&lt;&gt;"",AO987&lt;&gt;"",OR('REP COMMISSION'!$B$3="",T987='REP COMMISSION'!$B$3,W987='REP COMMISSION'!$B$3,Z987='REP COMMISSION'!$B$3)),1,0)</f>
        <v>0</v>
      </c>
      <c r="AX987" s="24" t="n">
        <f aca="false">AX986+IF(AND(C987&lt;&gt;"",OR(F987="LOC - INITIAL",F987="CONSOLIDATION - UPFRONT COMM",F987="REVERSE - TOTAL FUNDING")),1,0)</f>
        <v>0</v>
      </c>
    </row>
    <row r="988" customFormat="false" ht="15" hidden="false" customHeight="false" outlineLevel="0" collapsed="false">
      <c r="A988" s="8" t="str">
        <f aca="false">IF(C988&lt;&gt;"","F27-"&amp;COUNT($C$4:C988),"")</f>
        <v/>
      </c>
      <c r="B988" s="9" t="str">
        <f aca="false">IF(OR(F988="LOC - INITIAL",F988="CONSOLIDATION - UPFRONT COMM",F988="REVERSE - TOTAL FUNDING"),A988,"")</f>
        <v/>
      </c>
      <c r="C988" s="10"/>
      <c r="D988" s="11"/>
      <c r="E988" s="11"/>
      <c r="F988" s="11"/>
      <c r="G988" s="12"/>
      <c r="H988" s="13"/>
      <c r="I988" s="11"/>
      <c r="J988" s="14" t="str">
        <f aca="false">IF(AND(G988&lt;&gt;"",H988&lt;&gt;""),G988*H988,"")</f>
        <v/>
      </c>
      <c r="K988" s="11"/>
      <c r="L988" s="15"/>
      <c r="M988" s="15"/>
      <c r="N988" s="14" t="n">
        <f aca="false">IF(OR(G988="",M988=""),0,IF(M988&gt;100,M988,G988*IF(M988&gt;1,M988/100,M988)))</f>
        <v>0</v>
      </c>
      <c r="O988" s="14" t="str">
        <f aca="false">IF(G988="","",G988*IF(L988="",0,IF(L988&gt;1,L988/100,L988))+N988)</f>
        <v/>
      </c>
      <c r="P988" s="11"/>
      <c r="Q988" s="16" t="str">
        <f aca="false">IF(P988="","",IFERROR(VLOOKUP(P988,PARTNERS!$A$2:$B$30,2,0),""))</f>
        <v/>
      </c>
      <c r="R988" s="17" t="str">
        <f aca="false">IF(O988="","",IF(OR(P988="",Q988=""),0,(O988-N988)*IF(Q988&gt;1,Q988/100,Q988)))</f>
        <v/>
      </c>
      <c r="S988" s="14" t="str">
        <f aca="false">IF(O988="","",O988-R988)</f>
        <v/>
      </c>
      <c r="T988" s="11"/>
      <c r="U988" s="18" t="str">
        <f aca="false">IF(T988="","",IFERROR(VLOOKUP(T988,REPS!$A$2:$D$40,2,0),""))</f>
        <v/>
      </c>
      <c r="V988" s="14" t="str">
        <f aca="false">IF(O988="","",IF(U988="",0,O988*IF(U988&gt;1,U988/100,U988)))</f>
        <v/>
      </c>
      <c r="W988" s="11"/>
      <c r="X988" s="18" t="str">
        <f aca="false">IF(W988="","",IFERROR(VLOOKUP(W988,REPS!$A$2:$D$40,3,0),""))</f>
        <v/>
      </c>
      <c r="Y988" s="14" t="str">
        <f aca="false">IF(O988="","",IF(X988="",0,O988*IF(X988&gt;1,X988/100,X988)))</f>
        <v/>
      </c>
      <c r="Z988" s="11"/>
      <c r="AA988" s="18" t="str">
        <f aca="false">IF(Z988="","",IFERROR(VLOOKUP(Z988,REPS!$A$2:$D$40,4,0),""))</f>
        <v/>
      </c>
      <c r="AB988" s="14" t="str">
        <f aca="false">IF(O988="","",IF(AA988="",0,O988*IF(AA988&gt;1,AA988/100,AA988)))</f>
        <v/>
      </c>
      <c r="AC988" s="14" t="str">
        <f aca="false">IF(O988="","",V988+Y988+AB988)</f>
        <v/>
      </c>
      <c r="AD988" s="19" t="str">
        <f aca="false">IF(O988="","",O988-R988-AC988)</f>
        <v/>
      </c>
      <c r="AE988" s="20"/>
      <c r="AF988" s="10"/>
      <c r="AG988" s="21" t="n">
        <f aca="false">IF(OR(AE988="",AE988=0),0,AE988*IF(U988="",0,IF(U988&gt;1,U988/100,U988)))</f>
        <v>0</v>
      </c>
      <c r="AH988" s="21" t="n">
        <f aca="false">IF(OR(AE988="",AE988=0),0,AE988*IF(X988="",0,IF(X988&gt;1,X988/100,X988)))</f>
        <v>0</v>
      </c>
      <c r="AI988" s="21" t="n">
        <f aca="false">IF(OR(AE988="",AE988=0),0,AE988*IF(AA988="",0,IF(AA988&gt;1,AA988/100,AA988)))</f>
        <v>0</v>
      </c>
      <c r="AJ988" s="21" t="n">
        <f aca="false">AG988+AH988+AI988</f>
        <v>0</v>
      </c>
      <c r="AK988" s="21" t="n">
        <f aca="false">IF(OR(AE988="",AE988=0),0,AE988-AJ988)</f>
        <v>0</v>
      </c>
      <c r="AL988" s="19" t="str">
        <f aca="false">IF(AD988="","",AD988-AK988)</f>
        <v/>
      </c>
      <c r="AM988" s="9" t="str">
        <f aca="false">IF(C988="","","Waiting for payment")</f>
        <v/>
      </c>
      <c r="AN988" s="10"/>
      <c r="AO988" s="10"/>
      <c r="AP988" s="22" t="str">
        <f aca="false">IF(OR(C988="",I988="",K988=""),"",IF(K988="Monthly",EDATE(C988,ROUND(I988*SETTINGS!$I$8,0)),WORKDAY(C988,ROUND(I988*SETTINGS!$I$8,0))))</f>
        <v/>
      </c>
      <c r="AQ988" s="9" t="str">
        <f aca="true">IF(C988="","",IF(AND(AP988&lt;&gt;"",TODAY()&gt;=AP988),"Refi Ready",IF(TODAY()-C988&gt;=SETTINGS!$I$11,"Prospecting","Performing")))</f>
        <v/>
      </c>
      <c r="AR988" s="22" t="str">
        <f aca="false">IF(OR(C988="",I988="",K988=""),"",IF(K988="Monthly",EDATE(C988,I988),WORKDAY(C988,I988)))</f>
        <v/>
      </c>
      <c r="AS988" s="11"/>
      <c r="AT988" s="23" t="str">
        <f aca="true">IF(C988="","",IF(AM988="Clawed Back","CLAWED",IF(TODAY()&lt;=C988+SETTINGS!$I$2,"⚠ AT RISK","SAFE")))</f>
        <v/>
      </c>
      <c r="AU988" s="11"/>
      <c r="AW988" s="24" t="n">
        <f aca="false">AW987+IF(AND(C988&lt;&gt;"",AO988&lt;&gt;"",OR('REP COMMISSION'!$B$3="",T988='REP COMMISSION'!$B$3,W988='REP COMMISSION'!$B$3,Z988='REP COMMISSION'!$B$3)),1,0)</f>
        <v>0</v>
      </c>
      <c r="AX988" s="24" t="n">
        <f aca="false">AX987+IF(AND(C988&lt;&gt;"",OR(F988="LOC - INITIAL",F988="CONSOLIDATION - UPFRONT COMM",F988="REVERSE - TOTAL FUNDING")),1,0)</f>
        <v>0</v>
      </c>
    </row>
    <row r="989" customFormat="false" ht="15" hidden="false" customHeight="false" outlineLevel="0" collapsed="false">
      <c r="A989" s="25" t="str">
        <f aca="false">IF(C989&lt;&gt;"","F27-"&amp;COUNT($C$4:C989),"")</f>
        <v/>
      </c>
      <c r="B989" s="26" t="str">
        <f aca="false">IF(OR(F989="LOC - INITIAL",F989="CONSOLIDATION - UPFRONT COMM",F989="REVERSE - TOTAL FUNDING"),A989,"")</f>
        <v/>
      </c>
      <c r="C989" s="27"/>
      <c r="D989" s="28"/>
      <c r="E989" s="28"/>
      <c r="F989" s="28"/>
      <c r="G989" s="29"/>
      <c r="H989" s="30"/>
      <c r="I989" s="28"/>
      <c r="J989" s="31" t="str">
        <f aca="false">IF(AND(G989&lt;&gt;"",H989&lt;&gt;""),G989*H989,"")</f>
        <v/>
      </c>
      <c r="K989" s="28"/>
      <c r="L989" s="32"/>
      <c r="M989" s="32"/>
      <c r="N989" s="31" t="n">
        <f aca="false">IF(OR(G989="",M989=""),0,IF(M989&gt;100,M989,G989*IF(M989&gt;1,M989/100,M989)))</f>
        <v>0</v>
      </c>
      <c r="O989" s="31" t="str">
        <f aca="false">IF(G989="","",G989*IF(L989="",0,IF(L989&gt;1,L989/100,L989))+N989)</f>
        <v/>
      </c>
      <c r="P989" s="28"/>
      <c r="Q989" s="33" t="str">
        <f aca="false">IF(P989="","",IFERROR(VLOOKUP(P989,PARTNERS!$A$2:$B$30,2,0),""))</f>
        <v/>
      </c>
      <c r="R989" s="17" t="str">
        <f aca="false">IF(O989="","",IF(OR(P989="",Q989=""),0,(O989-N989)*IF(Q989&gt;1,Q989/100,Q989)))</f>
        <v/>
      </c>
      <c r="S989" s="31" t="str">
        <f aca="false">IF(O989="","",O989-R989)</f>
        <v/>
      </c>
      <c r="T989" s="28"/>
      <c r="U989" s="34" t="str">
        <f aca="false">IF(T989="","",IFERROR(VLOOKUP(T989,REPS!$A$2:$D$40,2,0),""))</f>
        <v/>
      </c>
      <c r="V989" s="31" t="str">
        <f aca="false">IF(O989="","",IF(U989="",0,O989*IF(U989&gt;1,U989/100,U989)))</f>
        <v/>
      </c>
      <c r="W989" s="28"/>
      <c r="X989" s="34" t="str">
        <f aca="false">IF(W989="","",IFERROR(VLOOKUP(W989,REPS!$A$2:$D$40,3,0),""))</f>
        <v/>
      </c>
      <c r="Y989" s="31" t="str">
        <f aca="false">IF(O989="","",IF(X989="",0,O989*IF(X989&gt;1,X989/100,X989)))</f>
        <v/>
      </c>
      <c r="Z989" s="28"/>
      <c r="AA989" s="34" t="str">
        <f aca="false">IF(Z989="","",IFERROR(VLOOKUP(Z989,REPS!$A$2:$D$40,4,0),""))</f>
        <v/>
      </c>
      <c r="AB989" s="31" t="str">
        <f aca="false">IF(O989="","",IF(AA989="",0,O989*IF(AA989&gt;1,AA989/100,AA989)))</f>
        <v/>
      </c>
      <c r="AC989" s="31" t="str">
        <f aca="false">IF(O989="","",V989+Y989+AB989)</f>
        <v/>
      </c>
      <c r="AD989" s="19" t="str">
        <f aca="false">IF(O989="","",O989-R989-AC989)</f>
        <v/>
      </c>
      <c r="AE989" s="20"/>
      <c r="AF989" s="27"/>
      <c r="AG989" s="21" t="n">
        <f aca="false">IF(OR(AE989="",AE989=0),0,AE989*IF(U989="",0,IF(U989&gt;1,U989/100,U989)))</f>
        <v>0</v>
      </c>
      <c r="AH989" s="21" t="n">
        <f aca="false">IF(OR(AE989="",AE989=0),0,AE989*IF(X989="",0,IF(X989&gt;1,X989/100,X989)))</f>
        <v>0</v>
      </c>
      <c r="AI989" s="21" t="n">
        <f aca="false">IF(OR(AE989="",AE989=0),0,AE989*IF(AA989="",0,IF(AA989&gt;1,AA989/100,AA989)))</f>
        <v>0</v>
      </c>
      <c r="AJ989" s="21" t="n">
        <f aca="false">AG989+AH989+AI989</f>
        <v>0</v>
      </c>
      <c r="AK989" s="21" t="n">
        <f aca="false">IF(OR(AE989="",AE989=0),0,AE989-AJ989)</f>
        <v>0</v>
      </c>
      <c r="AL989" s="19" t="str">
        <f aca="false">IF(AD989="","",AD989-AK989)</f>
        <v/>
      </c>
      <c r="AM989" s="26" t="str">
        <f aca="false">IF(C989="","","Waiting for payment")</f>
        <v/>
      </c>
      <c r="AN989" s="27"/>
      <c r="AO989" s="27"/>
      <c r="AP989" s="35" t="str">
        <f aca="false">IF(OR(C989="",I989="",K989=""),"",IF(K989="Monthly",EDATE(C989,ROUND(I989*SETTINGS!$I$8,0)),WORKDAY(C989,ROUND(I989*SETTINGS!$I$8,0))))</f>
        <v/>
      </c>
      <c r="AQ989" s="26" t="str">
        <f aca="true">IF(C989="","",IF(AND(AP989&lt;&gt;"",TODAY()&gt;=AP989),"Refi Ready",IF(TODAY()-C989&gt;=SETTINGS!$I$11,"Prospecting","Performing")))</f>
        <v/>
      </c>
      <c r="AR989" s="35" t="str">
        <f aca="false">IF(OR(C989="",I989="",K989=""),"",IF(K989="Monthly",EDATE(C989,I989),WORKDAY(C989,I989)))</f>
        <v/>
      </c>
      <c r="AS989" s="28"/>
      <c r="AT989" s="36" t="str">
        <f aca="true">IF(C989="","",IF(AM989="Clawed Back","CLAWED",IF(TODAY()&lt;=C989+SETTINGS!$I$2,"⚠ AT RISK","SAFE")))</f>
        <v/>
      </c>
      <c r="AU989" s="28"/>
      <c r="AW989" s="24" t="n">
        <f aca="false">AW988+IF(AND(C989&lt;&gt;"",AO989&lt;&gt;"",OR('REP COMMISSION'!$B$3="",T989='REP COMMISSION'!$B$3,W989='REP COMMISSION'!$B$3,Z989='REP COMMISSION'!$B$3)),1,0)</f>
        <v>0</v>
      </c>
      <c r="AX989" s="24" t="n">
        <f aca="false">AX988+IF(AND(C989&lt;&gt;"",OR(F989="LOC - INITIAL",F989="CONSOLIDATION - UPFRONT COMM",F989="REVERSE - TOTAL FUNDING")),1,0)</f>
        <v>0</v>
      </c>
    </row>
    <row r="990" customFormat="false" ht="15" hidden="false" customHeight="false" outlineLevel="0" collapsed="false">
      <c r="A990" s="8" t="str">
        <f aca="false">IF(C990&lt;&gt;"","F27-"&amp;COUNT($C$4:C990),"")</f>
        <v/>
      </c>
      <c r="B990" s="9" t="str">
        <f aca="false">IF(OR(F990="LOC - INITIAL",F990="CONSOLIDATION - UPFRONT COMM",F990="REVERSE - TOTAL FUNDING"),A990,"")</f>
        <v/>
      </c>
      <c r="C990" s="10"/>
      <c r="D990" s="11"/>
      <c r="E990" s="11"/>
      <c r="F990" s="11"/>
      <c r="G990" s="12"/>
      <c r="H990" s="13"/>
      <c r="I990" s="11"/>
      <c r="J990" s="14" t="str">
        <f aca="false">IF(AND(G990&lt;&gt;"",H990&lt;&gt;""),G990*H990,"")</f>
        <v/>
      </c>
      <c r="K990" s="11"/>
      <c r="L990" s="15"/>
      <c r="M990" s="15"/>
      <c r="N990" s="14" t="n">
        <f aca="false">IF(OR(G990="",M990=""),0,IF(M990&gt;100,M990,G990*IF(M990&gt;1,M990/100,M990)))</f>
        <v>0</v>
      </c>
      <c r="O990" s="14" t="str">
        <f aca="false">IF(G990="","",G990*IF(L990="",0,IF(L990&gt;1,L990/100,L990))+N990)</f>
        <v/>
      </c>
      <c r="P990" s="11"/>
      <c r="Q990" s="16" t="str">
        <f aca="false">IF(P990="","",IFERROR(VLOOKUP(P990,PARTNERS!$A$2:$B$30,2,0),""))</f>
        <v/>
      </c>
      <c r="R990" s="17" t="str">
        <f aca="false">IF(O990="","",IF(OR(P990="",Q990=""),0,(O990-N990)*IF(Q990&gt;1,Q990/100,Q990)))</f>
        <v/>
      </c>
      <c r="S990" s="14" t="str">
        <f aca="false">IF(O990="","",O990-R990)</f>
        <v/>
      </c>
      <c r="T990" s="11"/>
      <c r="U990" s="18" t="str">
        <f aca="false">IF(T990="","",IFERROR(VLOOKUP(T990,REPS!$A$2:$D$40,2,0),""))</f>
        <v/>
      </c>
      <c r="V990" s="14" t="str">
        <f aca="false">IF(O990="","",IF(U990="",0,O990*IF(U990&gt;1,U990/100,U990)))</f>
        <v/>
      </c>
      <c r="W990" s="11"/>
      <c r="X990" s="18" t="str">
        <f aca="false">IF(W990="","",IFERROR(VLOOKUP(W990,REPS!$A$2:$D$40,3,0),""))</f>
        <v/>
      </c>
      <c r="Y990" s="14" t="str">
        <f aca="false">IF(O990="","",IF(X990="",0,O990*IF(X990&gt;1,X990/100,X990)))</f>
        <v/>
      </c>
      <c r="Z990" s="11"/>
      <c r="AA990" s="18" t="str">
        <f aca="false">IF(Z990="","",IFERROR(VLOOKUP(Z990,REPS!$A$2:$D$40,4,0),""))</f>
        <v/>
      </c>
      <c r="AB990" s="14" t="str">
        <f aca="false">IF(O990="","",IF(AA990="",0,O990*IF(AA990&gt;1,AA990/100,AA990)))</f>
        <v/>
      </c>
      <c r="AC990" s="14" t="str">
        <f aca="false">IF(O990="","",V990+Y990+AB990)</f>
        <v/>
      </c>
      <c r="AD990" s="19" t="str">
        <f aca="false">IF(O990="","",O990-R990-AC990)</f>
        <v/>
      </c>
      <c r="AE990" s="20"/>
      <c r="AF990" s="10"/>
      <c r="AG990" s="21" t="n">
        <f aca="false">IF(OR(AE990="",AE990=0),0,AE990*IF(U990="",0,IF(U990&gt;1,U990/100,U990)))</f>
        <v>0</v>
      </c>
      <c r="AH990" s="21" t="n">
        <f aca="false">IF(OR(AE990="",AE990=0),0,AE990*IF(X990="",0,IF(X990&gt;1,X990/100,X990)))</f>
        <v>0</v>
      </c>
      <c r="AI990" s="21" t="n">
        <f aca="false">IF(OR(AE990="",AE990=0),0,AE990*IF(AA990="",0,IF(AA990&gt;1,AA990/100,AA990)))</f>
        <v>0</v>
      </c>
      <c r="AJ990" s="21" t="n">
        <f aca="false">AG990+AH990+AI990</f>
        <v>0</v>
      </c>
      <c r="AK990" s="21" t="n">
        <f aca="false">IF(OR(AE990="",AE990=0),0,AE990-AJ990)</f>
        <v>0</v>
      </c>
      <c r="AL990" s="19" t="str">
        <f aca="false">IF(AD990="","",AD990-AK990)</f>
        <v/>
      </c>
      <c r="AM990" s="9" t="str">
        <f aca="false">IF(C990="","","Waiting for payment")</f>
        <v/>
      </c>
      <c r="AN990" s="10"/>
      <c r="AO990" s="10"/>
      <c r="AP990" s="22" t="str">
        <f aca="false">IF(OR(C990="",I990="",K990=""),"",IF(K990="Monthly",EDATE(C990,ROUND(I990*SETTINGS!$I$8,0)),WORKDAY(C990,ROUND(I990*SETTINGS!$I$8,0))))</f>
        <v/>
      </c>
      <c r="AQ990" s="9" t="str">
        <f aca="true">IF(C990="","",IF(AND(AP990&lt;&gt;"",TODAY()&gt;=AP990),"Refi Ready",IF(TODAY()-C990&gt;=SETTINGS!$I$11,"Prospecting","Performing")))</f>
        <v/>
      </c>
      <c r="AR990" s="22" t="str">
        <f aca="false">IF(OR(C990="",I990="",K990=""),"",IF(K990="Monthly",EDATE(C990,I990),WORKDAY(C990,I990)))</f>
        <v/>
      </c>
      <c r="AS990" s="11"/>
      <c r="AT990" s="23" t="str">
        <f aca="true">IF(C990="","",IF(AM990="Clawed Back","CLAWED",IF(TODAY()&lt;=C990+SETTINGS!$I$2,"⚠ AT RISK","SAFE")))</f>
        <v/>
      </c>
      <c r="AU990" s="11"/>
      <c r="AW990" s="24" t="n">
        <f aca="false">AW989+IF(AND(C990&lt;&gt;"",AO990&lt;&gt;"",OR('REP COMMISSION'!$B$3="",T990='REP COMMISSION'!$B$3,W990='REP COMMISSION'!$B$3,Z990='REP COMMISSION'!$B$3)),1,0)</f>
        <v>0</v>
      </c>
      <c r="AX990" s="24" t="n">
        <f aca="false">AX989+IF(AND(C990&lt;&gt;"",OR(F990="LOC - INITIAL",F990="CONSOLIDATION - UPFRONT COMM",F990="REVERSE - TOTAL FUNDING")),1,0)</f>
        <v>0</v>
      </c>
    </row>
    <row r="991" customFormat="false" ht="15" hidden="false" customHeight="false" outlineLevel="0" collapsed="false">
      <c r="A991" s="25" t="str">
        <f aca="false">IF(C991&lt;&gt;"","F27-"&amp;COUNT($C$4:C991),"")</f>
        <v/>
      </c>
      <c r="B991" s="26" t="str">
        <f aca="false">IF(OR(F991="LOC - INITIAL",F991="CONSOLIDATION - UPFRONT COMM",F991="REVERSE - TOTAL FUNDING"),A991,"")</f>
        <v/>
      </c>
      <c r="C991" s="27"/>
      <c r="D991" s="28"/>
      <c r="E991" s="28"/>
      <c r="F991" s="28"/>
      <c r="G991" s="29"/>
      <c r="H991" s="30"/>
      <c r="I991" s="28"/>
      <c r="J991" s="31" t="str">
        <f aca="false">IF(AND(G991&lt;&gt;"",H991&lt;&gt;""),G991*H991,"")</f>
        <v/>
      </c>
      <c r="K991" s="28"/>
      <c r="L991" s="32"/>
      <c r="M991" s="32"/>
      <c r="N991" s="31" t="n">
        <f aca="false">IF(OR(G991="",M991=""),0,IF(M991&gt;100,M991,G991*IF(M991&gt;1,M991/100,M991)))</f>
        <v>0</v>
      </c>
      <c r="O991" s="31" t="str">
        <f aca="false">IF(G991="","",G991*IF(L991="",0,IF(L991&gt;1,L991/100,L991))+N991)</f>
        <v/>
      </c>
      <c r="P991" s="28"/>
      <c r="Q991" s="33" t="str">
        <f aca="false">IF(P991="","",IFERROR(VLOOKUP(P991,PARTNERS!$A$2:$B$30,2,0),""))</f>
        <v/>
      </c>
      <c r="R991" s="17" t="str">
        <f aca="false">IF(O991="","",IF(OR(P991="",Q991=""),0,(O991-N991)*IF(Q991&gt;1,Q991/100,Q991)))</f>
        <v/>
      </c>
      <c r="S991" s="31" t="str">
        <f aca="false">IF(O991="","",O991-R991)</f>
        <v/>
      </c>
      <c r="T991" s="28"/>
      <c r="U991" s="34" t="str">
        <f aca="false">IF(T991="","",IFERROR(VLOOKUP(T991,REPS!$A$2:$D$40,2,0),""))</f>
        <v/>
      </c>
      <c r="V991" s="31" t="str">
        <f aca="false">IF(O991="","",IF(U991="",0,O991*IF(U991&gt;1,U991/100,U991)))</f>
        <v/>
      </c>
      <c r="W991" s="28"/>
      <c r="X991" s="34" t="str">
        <f aca="false">IF(W991="","",IFERROR(VLOOKUP(W991,REPS!$A$2:$D$40,3,0),""))</f>
        <v/>
      </c>
      <c r="Y991" s="31" t="str">
        <f aca="false">IF(O991="","",IF(X991="",0,O991*IF(X991&gt;1,X991/100,X991)))</f>
        <v/>
      </c>
      <c r="Z991" s="28"/>
      <c r="AA991" s="34" t="str">
        <f aca="false">IF(Z991="","",IFERROR(VLOOKUP(Z991,REPS!$A$2:$D$40,4,0),""))</f>
        <v/>
      </c>
      <c r="AB991" s="31" t="str">
        <f aca="false">IF(O991="","",IF(AA991="",0,O991*IF(AA991&gt;1,AA991/100,AA991)))</f>
        <v/>
      </c>
      <c r="AC991" s="31" t="str">
        <f aca="false">IF(O991="","",V991+Y991+AB991)</f>
        <v/>
      </c>
      <c r="AD991" s="19" t="str">
        <f aca="false">IF(O991="","",O991-R991-AC991)</f>
        <v/>
      </c>
      <c r="AE991" s="20"/>
      <c r="AF991" s="27"/>
      <c r="AG991" s="21" t="n">
        <f aca="false">IF(OR(AE991="",AE991=0),0,AE991*IF(U991="",0,IF(U991&gt;1,U991/100,U991)))</f>
        <v>0</v>
      </c>
      <c r="AH991" s="21" t="n">
        <f aca="false">IF(OR(AE991="",AE991=0),0,AE991*IF(X991="",0,IF(X991&gt;1,X991/100,X991)))</f>
        <v>0</v>
      </c>
      <c r="AI991" s="21" t="n">
        <f aca="false">IF(OR(AE991="",AE991=0),0,AE991*IF(AA991="",0,IF(AA991&gt;1,AA991/100,AA991)))</f>
        <v>0</v>
      </c>
      <c r="AJ991" s="21" t="n">
        <f aca="false">AG991+AH991+AI991</f>
        <v>0</v>
      </c>
      <c r="AK991" s="21" t="n">
        <f aca="false">IF(OR(AE991="",AE991=0),0,AE991-AJ991)</f>
        <v>0</v>
      </c>
      <c r="AL991" s="19" t="str">
        <f aca="false">IF(AD991="","",AD991-AK991)</f>
        <v/>
      </c>
      <c r="AM991" s="26" t="str">
        <f aca="false">IF(C991="","","Waiting for payment")</f>
        <v/>
      </c>
      <c r="AN991" s="27"/>
      <c r="AO991" s="27"/>
      <c r="AP991" s="35" t="str">
        <f aca="false">IF(OR(C991="",I991="",K991=""),"",IF(K991="Monthly",EDATE(C991,ROUND(I991*SETTINGS!$I$8,0)),WORKDAY(C991,ROUND(I991*SETTINGS!$I$8,0))))</f>
        <v/>
      </c>
      <c r="AQ991" s="26" t="str">
        <f aca="true">IF(C991="","",IF(AND(AP991&lt;&gt;"",TODAY()&gt;=AP991),"Refi Ready",IF(TODAY()-C991&gt;=SETTINGS!$I$11,"Prospecting","Performing")))</f>
        <v/>
      </c>
      <c r="AR991" s="35" t="str">
        <f aca="false">IF(OR(C991="",I991="",K991=""),"",IF(K991="Monthly",EDATE(C991,I991),WORKDAY(C991,I991)))</f>
        <v/>
      </c>
      <c r="AS991" s="28"/>
      <c r="AT991" s="36" t="str">
        <f aca="true">IF(C991="","",IF(AM991="Clawed Back","CLAWED",IF(TODAY()&lt;=C991+SETTINGS!$I$2,"⚠ AT RISK","SAFE")))</f>
        <v/>
      </c>
      <c r="AU991" s="28"/>
      <c r="AW991" s="24" t="n">
        <f aca="false">AW990+IF(AND(C991&lt;&gt;"",AO991&lt;&gt;"",OR('REP COMMISSION'!$B$3="",T991='REP COMMISSION'!$B$3,W991='REP COMMISSION'!$B$3,Z991='REP COMMISSION'!$B$3)),1,0)</f>
        <v>0</v>
      </c>
      <c r="AX991" s="24" t="n">
        <f aca="false">AX990+IF(AND(C991&lt;&gt;"",OR(F991="LOC - INITIAL",F991="CONSOLIDATION - UPFRONT COMM",F991="REVERSE - TOTAL FUNDING")),1,0)</f>
        <v>0</v>
      </c>
    </row>
    <row r="992" customFormat="false" ht="15" hidden="false" customHeight="false" outlineLevel="0" collapsed="false">
      <c r="A992" s="8" t="str">
        <f aca="false">IF(C992&lt;&gt;"","F27-"&amp;COUNT($C$4:C992),"")</f>
        <v/>
      </c>
      <c r="B992" s="9" t="str">
        <f aca="false">IF(OR(F992="LOC - INITIAL",F992="CONSOLIDATION - UPFRONT COMM",F992="REVERSE - TOTAL FUNDING"),A992,"")</f>
        <v/>
      </c>
      <c r="C992" s="10"/>
      <c r="D992" s="11"/>
      <c r="E992" s="11"/>
      <c r="F992" s="11"/>
      <c r="G992" s="12"/>
      <c r="H992" s="13"/>
      <c r="I992" s="11"/>
      <c r="J992" s="14" t="str">
        <f aca="false">IF(AND(G992&lt;&gt;"",H992&lt;&gt;""),G992*H992,"")</f>
        <v/>
      </c>
      <c r="K992" s="11"/>
      <c r="L992" s="15"/>
      <c r="M992" s="15"/>
      <c r="N992" s="14" t="n">
        <f aca="false">IF(OR(G992="",M992=""),0,IF(M992&gt;100,M992,G992*IF(M992&gt;1,M992/100,M992)))</f>
        <v>0</v>
      </c>
      <c r="O992" s="14" t="str">
        <f aca="false">IF(G992="","",G992*IF(L992="",0,IF(L992&gt;1,L992/100,L992))+N992)</f>
        <v/>
      </c>
      <c r="P992" s="11"/>
      <c r="Q992" s="16" t="str">
        <f aca="false">IF(P992="","",IFERROR(VLOOKUP(P992,PARTNERS!$A$2:$B$30,2,0),""))</f>
        <v/>
      </c>
      <c r="R992" s="17" t="str">
        <f aca="false">IF(O992="","",IF(OR(P992="",Q992=""),0,(O992-N992)*IF(Q992&gt;1,Q992/100,Q992)))</f>
        <v/>
      </c>
      <c r="S992" s="14" t="str">
        <f aca="false">IF(O992="","",O992-R992)</f>
        <v/>
      </c>
      <c r="T992" s="11"/>
      <c r="U992" s="18" t="str">
        <f aca="false">IF(T992="","",IFERROR(VLOOKUP(T992,REPS!$A$2:$D$40,2,0),""))</f>
        <v/>
      </c>
      <c r="V992" s="14" t="str">
        <f aca="false">IF(O992="","",IF(U992="",0,O992*IF(U992&gt;1,U992/100,U992)))</f>
        <v/>
      </c>
      <c r="W992" s="11"/>
      <c r="X992" s="18" t="str">
        <f aca="false">IF(W992="","",IFERROR(VLOOKUP(W992,REPS!$A$2:$D$40,3,0),""))</f>
        <v/>
      </c>
      <c r="Y992" s="14" t="str">
        <f aca="false">IF(O992="","",IF(X992="",0,O992*IF(X992&gt;1,X992/100,X992)))</f>
        <v/>
      </c>
      <c r="Z992" s="11"/>
      <c r="AA992" s="18" t="str">
        <f aca="false">IF(Z992="","",IFERROR(VLOOKUP(Z992,REPS!$A$2:$D$40,4,0),""))</f>
        <v/>
      </c>
      <c r="AB992" s="14" t="str">
        <f aca="false">IF(O992="","",IF(AA992="",0,O992*IF(AA992&gt;1,AA992/100,AA992)))</f>
        <v/>
      </c>
      <c r="AC992" s="14" t="str">
        <f aca="false">IF(O992="","",V992+Y992+AB992)</f>
        <v/>
      </c>
      <c r="AD992" s="19" t="str">
        <f aca="false">IF(O992="","",O992-R992-AC992)</f>
        <v/>
      </c>
      <c r="AE992" s="20"/>
      <c r="AF992" s="10"/>
      <c r="AG992" s="21" t="n">
        <f aca="false">IF(OR(AE992="",AE992=0),0,AE992*IF(U992="",0,IF(U992&gt;1,U992/100,U992)))</f>
        <v>0</v>
      </c>
      <c r="AH992" s="21" t="n">
        <f aca="false">IF(OR(AE992="",AE992=0),0,AE992*IF(X992="",0,IF(X992&gt;1,X992/100,X992)))</f>
        <v>0</v>
      </c>
      <c r="AI992" s="21" t="n">
        <f aca="false">IF(OR(AE992="",AE992=0),0,AE992*IF(AA992="",0,IF(AA992&gt;1,AA992/100,AA992)))</f>
        <v>0</v>
      </c>
      <c r="AJ992" s="21" t="n">
        <f aca="false">AG992+AH992+AI992</f>
        <v>0</v>
      </c>
      <c r="AK992" s="21" t="n">
        <f aca="false">IF(OR(AE992="",AE992=0),0,AE992-AJ992)</f>
        <v>0</v>
      </c>
      <c r="AL992" s="19" t="str">
        <f aca="false">IF(AD992="","",AD992-AK992)</f>
        <v/>
      </c>
      <c r="AM992" s="9" t="str">
        <f aca="false">IF(C992="","","Waiting for payment")</f>
        <v/>
      </c>
      <c r="AN992" s="10"/>
      <c r="AO992" s="10"/>
      <c r="AP992" s="22" t="str">
        <f aca="false">IF(OR(C992="",I992="",K992=""),"",IF(K992="Monthly",EDATE(C992,ROUND(I992*SETTINGS!$I$8,0)),WORKDAY(C992,ROUND(I992*SETTINGS!$I$8,0))))</f>
        <v/>
      </c>
      <c r="AQ992" s="9" t="str">
        <f aca="true">IF(C992="","",IF(AND(AP992&lt;&gt;"",TODAY()&gt;=AP992),"Refi Ready",IF(TODAY()-C992&gt;=SETTINGS!$I$11,"Prospecting","Performing")))</f>
        <v/>
      </c>
      <c r="AR992" s="22" t="str">
        <f aca="false">IF(OR(C992="",I992="",K992=""),"",IF(K992="Monthly",EDATE(C992,I992),WORKDAY(C992,I992)))</f>
        <v/>
      </c>
      <c r="AS992" s="11"/>
      <c r="AT992" s="23" t="str">
        <f aca="true">IF(C992="","",IF(AM992="Clawed Back","CLAWED",IF(TODAY()&lt;=C992+SETTINGS!$I$2,"⚠ AT RISK","SAFE")))</f>
        <v/>
      </c>
      <c r="AU992" s="11"/>
      <c r="AW992" s="24" t="n">
        <f aca="false">AW991+IF(AND(C992&lt;&gt;"",AO992&lt;&gt;"",OR('REP COMMISSION'!$B$3="",T992='REP COMMISSION'!$B$3,W992='REP COMMISSION'!$B$3,Z992='REP COMMISSION'!$B$3)),1,0)</f>
        <v>0</v>
      </c>
      <c r="AX992" s="24" t="n">
        <f aca="false">AX991+IF(AND(C992&lt;&gt;"",OR(F992="LOC - INITIAL",F992="CONSOLIDATION - UPFRONT COMM",F992="REVERSE - TOTAL FUNDING")),1,0)</f>
        <v>0</v>
      </c>
    </row>
    <row r="993" customFormat="false" ht="15" hidden="false" customHeight="false" outlineLevel="0" collapsed="false">
      <c r="A993" s="25" t="str">
        <f aca="false">IF(C993&lt;&gt;"","F27-"&amp;COUNT($C$4:C993),"")</f>
        <v/>
      </c>
      <c r="B993" s="26" t="str">
        <f aca="false">IF(OR(F993="LOC - INITIAL",F993="CONSOLIDATION - UPFRONT COMM",F993="REVERSE - TOTAL FUNDING"),A993,"")</f>
        <v/>
      </c>
      <c r="C993" s="27"/>
      <c r="D993" s="28"/>
      <c r="E993" s="28"/>
      <c r="F993" s="28"/>
      <c r="G993" s="29"/>
      <c r="H993" s="30"/>
      <c r="I993" s="28"/>
      <c r="J993" s="31" t="str">
        <f aca="false">IF(AND(G993&lt;&gt;"",H993&lt;&gt;""),G993*H993,"")</f>
        <v/>
      </c>
      <c r="K993" s="28"/>
      <c r="L993" s="32"/>
      <c r="M993" s="32"/>
      <c r="N993" s="31" t="n">
        <f aca="false">IF(OR(G993="",M993=""),0,IF(M993&gt;100,M993,G993*IF(M993&gt;1,M993/100,M993)))</f>
        <v>0</v>
      </c>
      <c r="O993" s="31" t="str">
        <f aca="false">IF(G993="","",G993*IF(L993="",0,IF(L993&gt;1,L993/100,L993))+N993)</f>
        <v/>
      </c>
      <c r="P993" s="28"/>
      <c r="Q993" s="33" t="str">
        <f aca="false">IF(P993="","",IFERROR(VLOOKUP(P993,PARTNERS!$A$2:$B$30,2,0),""))</f>
        <v/>
      </c>
      <c r="R993" s="17" t="str">
        <f aca="false">IF(O993="","",IF(OR(P993="",Q993=""),0,(O993-N993)*IF(Q993&gt;1,Q993/100,Q993)))</f>
        <v/>
      </c>
      <c r="S993" s="31" t="str">
        <f aca="false">IF(O993="","",O993-R993)</f>
        <v/>
      </c>
      <c r="T993" s="28"/>
      <c r="U993" s="34" t="str">
        <f aca="false">IF(T993="","",IFERROR(VLOOKUP(T993,REPS!$A$2:$D$40,2,0),""))</f>
        <v/>
      </c>
      <c r="V993" s="31" t="str">
        <f aca="false">IF(O993="","",IF(U993="",0,O993*IF(U993&gt;1,U993/100,U993)))</f>
        <v/>
      </c>
      <c r="W993" s="28"/>
      <c r="X993" s="34" t="str">
        <f aca="false">IF(W993="","",IFERROR(VLOOKUP(W993,REPS!$A$2:$D$40,3,0),""))</f>
        <v/>
      </c>
      <c r="Y993" s="31" t="str">
        <f aca="false">IF(O993="","",IF(X993="",0,O993*IF(X993&gt;1,X993/100,X993)))</f>
        <v/>
      </c>
      <c r="Z993" s="28"/>
      <c r="AA993" s="34" t="str">
        <f aca="false">IF(Z993="","",IFERROR(VLOOKUP(Z993,REPS!$A$2:$D$40,4,0),""))</f>
        <v/>
      </c>
      <c r="AB993" s="31" t="str">
        <f aca="false">IF(O993="","",IF(AA993="",0,O993*IF(AA993&gt;1,AA993/100,AA993)))</f>
        <v/>
      </c>
      <c r="AC993" s="31" t="str">
        <f aca="false">IF(O993="","",V993+Y993+AB993)</f>
        <v/>
      </c>
      <c r="AD993" s="19" t="str">
        <f aca="false">IF(O993="","",O993-R993-AC993)</f>
        <v/>
      </c>
      <c r="AE993" s="20"/>
      <c r="AF993" s="27"/>
      <c r="AG993" s="21" t="n">
        <f aca="false">IF(OR(AE993="",AE993=0),0,AE993*IF(U993="",0,IF(U993&gt;1,U993/100,U993)))</f>
        <v>0</v>
      </c>
      <c r="AH993" s="21" t="n">
        <f aca="false">IF(OR(AE993="",AE993=0),0,AE993*IF(X993="",0,IF(X993&gt;1,X993/100,X993)))</f>
        <v>0</v>
      </c>
      <c r="AI993" s="21" t="n">
        <f aca="false">IF(OR(AE993="",AE993=0),0,AE993*IF(AA993="",0,IF(AA993&gt;1,AA993/100,AA993)))</f>
        <v>0</v>
      </c>
      <c r="AJ993" s="21" t="n">
        <f aca="false">AG993+AH993+AI993</f>
        <v>0</v>
      </c>
      <c r="AK993" s="21" t="n">
        <f aca="false">IF(OR(AE993="",AE993=0),0,AE993-AJ993)</f>
        <v>0</v>
      </c>
      <c r="AL993" s="19" t="str">
        <f aca="false">IF(AD993="","",AD993-AK993)</f>
        <v/>
      </c>
      <c r="AM993" s="26" t="str">
        <f aca="false">IF(C993="","","Waiting for payment")</f>
        <v/>
      </c>
      <c r="AN993" s="27"/>
      <c r="AO993" s="27"/>
      <c r="AP993" s="35" t="str">
        <f aca="false">IF(OR(C993="",I993="",K993=""),"",IF(K993="Monthly",EDATE(C993,ROUND(I993*SETTINGS!$I$8,0)),WORKDAY(C993,ROUND(I993*SETTINGS!$I$8,0))))</f>
        <v/>
      </c>
      <c r="AQ993" s="26" t="str">
        <f aca="true">IF(C993="","",IF(AND(AP993&lt;&gt;"",TODAY()&gt;=AP993),"Refi Ready",IF(TODAY()-C993&gt;=SETTINGS!$I$11,"Prospecting","Performing")))</f>
        <v/>
      </c>
      <c r="AR993" s="35" t="str">
        <f aca="false">IF(OR(C993="",I993="",K993=""),"",IF(K993="Monthly",EDATE(C993,I993),WORKDAY(C993,I993)))</f>
        <v/>
      </c>
      <c r="AS993" s="28"/>
      <c r="AT993" s="36" t="str">
        <f aca="true">IF(C993="","",IF(AM993="Clawed Back","CLAWED",IF(TODAY()&lt;=C993+SETTINGS!$I$2,"⚠ AT RISK","SAFE")))</f>
        <v/>
      </c>
      <c r="AU993" s="28"/>
      <c r="AW993" s="24" t="n">
        <f aca="false">AW992+IF(AND(C993&lt;&gt;"",AO993&lt;&gt;"",OR('REP COMMISSION'!$B$3="",T993='REP COMMISSION'!$B$3,W993='REP COMMISSION'!$B$3,Z993='REP COMMISSION'!$B$3)),1,0)</f>
        <v>0</v>
      </c>
      <c r="AX993" s="24" t="n">
        <f aca="false">AX992+IF(AND(C993&lt;&gt;"",OR(F993="LOC - INITIAL",F993="CONSOLIDATION - UPFRONT COMM",F993="REVERSE - TOTAL FUNDING")),1,0)</f>
        <v>0</v>
      </c>
    </row>
    <row r="994" customFormat="false" ht="15" hidden="false" customHeight="false" outlineLevel="0" collapsed="false">
      <c r="A994" s="8" t="str">
        <f aca="false">IF(C994&lt;&gt;"","F27-"&amp;COUNT($C$4:C994),"")</f>
        <v/>
      </c>
      <c r="B994" s="9" t="str">
        <f aca="false">IF(OR(F994="LOC - INITIAL",F994="CONSOLIDATION - UPFRONT COMM",F994="REVERSE - TOTAL FUNDING"),A994,"")</f>
        <v/>
      </c>
      <c r="C994" s="10"/>
      <c r="D994" s="11"/>
      <c r="E994" s="11"/>
      <c r="F994" s="11"/>
      <c r="G994" s="12"/>
      <c r="H994" s="13"/>
      <c r="I994" s="11"/>
      <c r="J994" s="14" t="str">
        <f aca="false">IF(AND(G994&lt;&gt;"",H994&lt;&gt;""),G994*H994,"")</f>
        <v/>
      </c>
      <c r="K994" s="11"/>
      <c r="L994" s="15"/>
      <c r="M994" s="15"/>
      <c r="N994" s="14" t="n">
        <f aca="false">IF(OR(G994="",M994=""),0,IF(M994&gt;100,M994,G994*IF(M994&gt;1,M994/100,M994)))</f>
        <v>0</v>
      </c>
      <c r="O994" s="14" t="str">
        <f aca="false">IF(G994="","",G994*IF(L994="",0,IF(L994&gt;1,L994/100,L994))+N994)</f>
        <v/>
      </c>
      <c r="P994" s="11"/>
      <c r="Q994" s="16" t="str">
        <f aca="false">IF(P994="","",IFERROR(VLOOKUP(P994,PARTNERS!$A$2:$B$30,2,0),""))</f>
        <v/>
      </c>
      <c r="R994" s="17" t="str">
        <f aca="false">IF(O994="","",IF(OR(P994="",Q994=""),0,(O994-N994)*IF(Q994&gt;1,Q994/100,Q994)))</f>
        <v/>
      </c>
      <c r="S994" s="14" t="str">
        <f aca="false">IF(O994="","",O994-R994)</f>
        <v/>
      </c>
      <c r="T994" s="11"/>
      <c r="U994" s="18" t="str">
        <f aca="false">IF(T994="","",IFERROR(VLOOKUP(T994,REPS!$A$2:$D$40,2,0),""))</f>
        <v/>
      </c>
      <c r="V994" s="14" t="str">
        <f aca="false">IF(O994="","",IF(U994="",0,O994*IF(U994&gt;1,U994/100,U994)))</f>
        <v/>
      </c>
      <c r="W994" s="11"/>
      <c r="X994" s="18" t="str">
        <f aca="false">IF(W994="","",IFERROR(VLOOKUP(W994,REPS!$A$2:$D$40,3,0),""))</f>
        <v/>
      </c>
      <c r="Y994" s="14" t="str">
        <f aca="false">IF(O994="","",IF(X994="",0,O994*IF(X994&gt;1,X994/100,X994)))</f>
        <v/>
      </c>
      <c r="Z994" s="11"/>
      <c r="AA994" s="18" t="str">
        <f aca="false">IF(Z994="","",IFERROR(VLOOKUP(Z994,REPS!$A$2:$D$40,4,0),""))</f>
        <v/>
      </c>
      <c r="AB994" s="14" t="str">
        <f aca="false">IF(O994="","",IF(AA994="",0,O994*IF(AA994&gt;1,AA994/100,AA994)))</f>
        <v/>
      </c>
      <c r="AC994" s="14" t="str">
        <f aca="false">IF(O994="","",V994+Y994+AB994)</f>
        <v/>
      </c>
      <c r="AD994" s="19" t="str">
        <f aca="false">IF(O994="","",O994-R994-AC994)</f>
        <v/>
      </c>
      <c r="AE994" s="20"/>
      <c r="AF994" s="10"/>
      <c r="AG994" s="21" t="n">
        <f aca="false">IF(OR(AE994="",AE994=0),0,AE994*IF(U994="",0,IF(U994&gt;1,U994/100,U994)))</f>
        <v>0</v>
      </c>
      <c r="AH994" s="21" t="n">
        <f aca="false">IF(OR(AE994="",AE994=0),0,AE994*IF(X994="",0,IF(X994&gt;1,X994/100,X994)))</f>
        <v>0</v>
      </c>
      <c r="AI994" s="21" t="n">
        <f aca="false">IF(OR(AE994="",AE994=0),0,AE994*IF(AA994="",0,IF(AA994&gt;1,AA994/100,AA994)))</f>
        <v>0</v>
      </c>
      <c r="AJ994" s="21" t="n">
        <f aca="false">AG994+AH994+AI994</f>
        <v>0</v>
      </c>
      <c r="AK994" s="21" t="n">
        <f aca="false">IF(OR(AE994="",AE994=0),0,AE994-AJ994)</f>
        <v>0</v>
      </c>
      <c r="AL994" s="19" t="str">
        <f aca="false">IF(AD994="","",AD994-AK994)</f>
        <v/>
      </c>
      <c r="AM994" s="9" t="str">
        <f aca="false">IF(C994="","","Waiting for payment")</f>
        <v/>
      </c>
      <c r="AN994" s="10"/>
      <c r="AO994" s="10"/>
      <c r="AP994" s="22" t="str">
        <f aca="false">IF(OR(C994="",I994="",K994=""),"",IF(K994="Monthly",EDATE(C994,ROUND(I994*SETTINGS!$I$8,0)),WORKDAY(C994,ROUND(I994*SETTINGS!$I$8,0))))</f>
        <v/>
      </c>
      <c r="AQ994" s="9" t="str">
        <f aca="true">IF(C994="","",IF(AND(AP994&lt;&gt;"",TODAY()&gt;=AP994),"Refi Ready",IF(TODAY()-C994&gt;=SETTINGS!$I$11,"Prospecting","Performing")))</f>
        <v/>
      </c>
      <c r="AR994" s="22" t="str">
        <f aca="false">IF(OR(C994="",I994="",K994=""),"",IF(K994="Monthly",EDATE(C994,I994),WORKDAY(C994,I994)))</f>
        <v/>
      </c>
      <c r="AS994" s="11"/>
      <c r="AT994" s="23" t="str">
        <f aca="true">IF(C994="","",IF(AM994="Clawed Back","CLAWED",IF(TODAY()&lt;=C994+SETTINGS!$I$2,"⚠ AT RISK","SAFE")))</f>
        <v/>
      </c>
      <c r="AU994" s="11"/>
      <c r="AW994" s="24" t="n">
        <f aca="false">AW993+IF(AND(C994&lt;&gt;"",AO994&lt;&gt;"",OR('REP COMMISSION'!$B$3="",T994='REP COMMISSION'!$B$3,W994='REP COMMISSION'!$B$3,Z994='REP COMMISSION'!$B$3)),1,0)</f>
        <v>0</v>
      </c>
      <c r="AX994" s="24" t="n">
        <f aca="false">AX993+IF(AND(C994&lt;&gt;"",OR(F994="LOC - INITIAL",F994="CONSOLIDATION - UPFRONT COMM",F994="REVERSE - TOTAL FUNDING")),1,0)</f>
        <v>0</v>
      </c>
    </row>
    <row r="995" customFormat="false" ht="15" hidden="false" customHeight="false" outlineLevel="0" collapsed="false">
      <c r="A995" s="25" t="str">
        <f aca="false">IF(C995&lt;&gt;"","F27-"&amp;COUNT($C$4:C995),"")</f>
        <v/>
      </c>
      <c r="B995" s="26" t="str">
        <f aca="false">IF(OR(F995="LOC - INITIAL",F995="CONSOLIDATION - UPFRONT COMM",F995="REVERSE - TOTAL FUNDING"),A995,"")</f>
        <v/>
      </c>
      <c r="C995" s="27"/>
      <c r="D995" s="28"/>
      <c r="E995" s="28"/>
      <c r="F995" s="28"/>
      <c r="G995" s="29"/>
      <c r="H995" s="30"/>
      <c r="I995" s="28"/>
      <c r="J995" s="31" t="str">
        <f aca="false">IF(AND(G995&lt;&gt;"",H995&lt;&gt;""),G995*H995,"")</f>
        <v/>
      </c>
      <c r="K995" s="28"/>
      <c r="L995" s="32"/>
      <c r="M995" s="32"/>
      <c r="N995" s="31" t="n">
        <f aca="false">IF(OR(G995="",M995=""),0,IF(M995&gt;100,M995,G995*IF(M995&gt;1,M995/100,M995)))</f>
        <v>0</v>
      </c>
      <c r="O995" s="31" t="str">
        <f aca="false">IF(G995="","",G995*IF(L995="",0,IF(L995&gt;1,L995/100,L995))+N995)</f>
        <v/>
      </c>
      <c r="P995" s="28"/>
      <c r="Q995" s="33" t="str">
        <f aca="false">IF(P995="","",IFERROR(VLOOKUP(P995,PARTNERS!$A$2:$B$30,2,0),""))</f>
        <v/>
      </c>
      <c r="R995" s="17" t="str">
        <f aca="false">IF(O995="","",IF(OR(P995="",Q995=""),0,(O995-N995)*IF(Q995&gt;1,Q995/100,Q995)))</f>
        <v/>
      </c>
      <c r="S995" s="31" t="str">
        <f aca="false">IF(O995="","",O995-R995)</f>
        <v/>
      </c>
      <c r="T995" s="28"/>
      <c r="U995" s="34" t="str">
        <f aca="false">IF(T995="","",IFERROR(VLOOKUP(T995,REPS!$A$2:$D$40,2,0),""))</f>
        <v/>
      </c>
      <c r="V995" s="31" t="str">
        <f aca="false">IF(O995="","",IF(U995="",0,O995*IF(U995&gt;1,U995/100,U995)))</f>
        <v/>
      </c>
      <c r="W995" s="28"/>
      <c r="X995" s="34" t="str">
        <f aca="false">IF(W995="","",IFERROR(VLOOKUP(W995,REPS!$A$2:$D$40,3,0),""))</f>
        <v/>
      </c>
      <c r="Y995" s="31" t="str">
        <f aca="false">IF(O995="","",IF(X995="",0,O995*IF(X995&gt;1,X995/100,X995)))</f>
        <v/>
      </c>
      <c r="Z995" s="28"/>
      <c r="AA995" s="34" t="str">
        <f aca="false">IF(Z995="","",IFERROR(VLOOKUP(Z995,REPS!$A$2:$D$40,4,0),""))</f>
        <v/>
      </c>
      <c r="AB995" s="31" t="str">
        <f aca="false">IF(O995="","",IF(AA995="",0,O995*IF(AA995&gt;1,AA995/100,AA995)))</f>
        <v/>
      </c>
      <c r="AC995" s="31" t="str">
        <f aca="false">IF(O995="","",V995+Y995+AB995)</f>
        <v/>
      </c>
      <c r="AD995" s="19" t="str">
        <f aca="false">IF(O995="","",O995-R995-AC995)</f>
        <v/>
      </c>
      <c r="AE995" s="20"/>
      <c r="AF995" s="27"/>
      <c r="AG995" s="21" t="n">
        <f aca="false">IF(OR(AE995="",AE995=0),0,AE995*IF(U995="",0,IF(U995&gt;1,U995/100,U995)))</f>
        <v>0</v>
      </c>
      <c r="AH995" s="21" t="n">
        <f aca="false">IF(OR(AE995="",AE995=0),0,AE995*IF(X995="",0,IF(X995&gt;1,X995/100,X995)))</f>
        <v>0</v>
      </c>
      <c r="AI995" s="21" t="n">
        <f aca="false">IF(OR(AE995="",AE995=0),0,AE995*IF(AA995="",0,IF(AA995&gt;1,AA995/100,AA995)))</f>
        <v>0</v>
      </c>
      <c r="AJ995" s="21" t="n">
        <f aca="false">AG995+AH995+AI995</f>
        <v>0</v>
      </c>
      <c r="AK995" s="21" t="n">
        <f aca="false">IF(OR(AE995="",AE995=0),0,AE995-AJ995)</f>
        <v>0</v>
      </c>
      <c r="AL995" s="19" t="str">
        <f aca="false">IF(AD995="","",AD995-AK995)</f>
        <v/>
      </c>
      <c r="AM995" s="26" t="str">
        <f aca="false">IF(C995="","","Waiting for payment")</f>
        <v/>
      </c>
      <c r="AN995" s="27"/>
      <c r="AO995" s="27"/>
      <c r="AP995" s="35" t="str">
        <f aca="false">IF(OR(C995="",I995="",K995=""),"",IF(K995="Monthly",EDATE(C995,ROUND(I995*SETTINGS!$I$8,0)),WORKDAY(C995,ROUND(I995*SETTINGS!$I$8,0))))</f>
        <v/>
      </c>
      <c r="AQ995" s="26" t="str">
        <f aca="true">IF(C995="","",IF(AND(AP995&lt;&gt;"",TODAY()&gt;=AP995),"Refi Ready",IF(TODAY()-C995&gt;=SETTINGS!$I$11,"Prospecting","Performing")))</f>
        <v/>
      </c>
      <c r="AR995" s="35" t="str">
        <f aca="false">IF(OR(C995="",I995="",K995=""),"",IF(K995="Monthly",EDATE(C995,I995),WORKDAY(C995,I995)))</f>
        <v/>
      </c>
      <c r="AS995" s="28"/>
      <c r="AT995" s="36" t="str">
        <f aca="true">IF(C995="","",IF(AM995="Clawed Back","CLAWED",IF(TODAY()&lt;=C995+SETTINGS!$I$2,"⚠ AT RISK","SAFE")))</f>
        <v/>
      </c>
      <c r="AU995" s="28"/>
      <c r="AW995" s="24" t="n">
        <f aca="false">AW994+IF(AND(C995&lt;&gt;"",AO995&lt;&gt;"",OR('REP COMMISSION'!$B$3="",T995='REP COMMISSION'!$B$3,W995='REP COMMISSION'!$B$3,Z995='REP COMMISSION'!$B$3)),1,0)</f>
        <v>0</v>
      </c>
      <c r="AX995" s="24" t="n">
        <f aca="false">AX994+IF(AND(C995&lt;&gt;"",OR(F995="LOC - INITIAL",F995="CONSOLIDATION - UPFRONT COMM",F995="REVERSE - TOTAL FUNDING")),1,0)</f>
        <v>0</v>
      </c>
    </row>
    <row r="996" customFormat="false" ht="15" hidden="false" customHeight="false" outlineLevel="0" collapsed="false">
      <c r="A996" s="8" t="str">
        <f aca="false">IF(C996&lt;&gt;"","F27-"&amp;COUNT($C$4:C996),"")</f>
        <v/>
      </c>
      <c r="B996" s="9" t="str">
        <f aca="false">IF(OR(F996="LOC - INITIAL",F996="CONSOLIDATION - UPFRONT COMM",F996="REVERSE - TOTAL FUNDING"),A996,"")</f>
        <v/>
      </c>
      <c r="C996" s="10"/>
      <c r="D996" s="11"/>
      <c r="E996" s="11"/>
      <c r="F996" s="11"/>
      <c r="G996" s="12"/>
      <c r="H996" s="13"/>
      <c r="I996" s="11"/>
      <c r="J996" s="14" t="str">
        <f aca="false">IF(AND(G996&lt;&gt;"",H996&lt;&gt;""),G996*H996,"")</f>
        <v/>
      </c>
      <c r="K996" s="11"/>
      <c r="L996" s="15"/>
      <c r="M996" s="15"/>
      <c r="N996" s="14" t="n">
        <f aca="false">IF(OR(G996="",M996=""),0,IF(M996&gt;100,M996,G996*IF(M996&gt;1,M996/100,M996)))</f>
        <v>0</v>
      </c>
      <c r="O996" s="14" t="str">
        <f aca="false">IF(G996="","",G996*IF(L996="",0,IF(L996&gt;1,L996/100,L996))+N996)</f>
        <v/>
      </c>
      <c r="P996" s="11"/>
      <c r="Q996" s="16" t="str">
        <f aca="false">IF(P996="","",IFERROR(VLOOKUP(P996,PARTNERS!$A$2:$B$30,2,0),""))</f>
        <v/>
      </c>
      <c r="R996" s="17" t="str">
        <f aca="false">IF(O996="","",IF(OR(P996="",Q996=""),0,(O996-N996)*IF(Q996&gt;1,Q996/100,Q996)))</f>
        <v/>
      </c>
      <c r="S996" s="14" t="str">
        <f aca="false">IF(O996="","",O996-R996)</f>
        <v/>
      </c>
      <c r="T996" s="11"/>
      <c r="U996" s="18" t="str">
        <f aca="false">IF(T996="","",IFERROR(VLOOKUP(T996,REPS!$A$2:$D$40,2,0),""))</f>
        <v/>
      </c>
      <c r="V996" s="14" t="str">
        <f aca="false">IF(O996="","",IF(U996="",0,O996*IF(U996&gt;1,U996/100,U996)))</f>
        <v/>
      </c>
      <c r="W996" s="11"/>
      <c r="X996" s="18" t="str">
        <f aca="false">IF(W996="","",IFERROR(VLOOKUP(W996,REPS!$A$2:$D$40,3,0),""))</f>
        <v/>
      </c>
      <c r="Y996" s="14" t="str">
        <f aca="false">IF(O996="","",IF(X996="",0,O996*IF(X996&gt;1,X996/100,X996)))</f>
        <v/>
      </c>
      <c r="Z996" s="11"/>
      <c r="AA996" s="18" t="str">
        <f aca="false">IF(Z996="","",IFERROR(VLOOKUP(Z996,REPS!$A$2:$D$40,4,0),""))</f>
        <v/>
      </c>
      <c r="AB996" s="14" t="str">
        <f aca="false">IF(O996="","",IF(AA996="",0,O996*IF(AA996&gt;1,AA996/100,AA996)))</f>
        <v/>
      </c>
      <c r="AC996" s="14" t="str">
        <f aca="false">IF(O996="","",V996+Y996+AB996)</f>
        <v/>
      </c>
      <c r="AD996" s="19" t="str">
        <f aca="false">IF(O996="","",O996-R996-AC996)</f>
        <v/>
      </c>
      <c r="AE996" s="20"/>
      <c r="AF996" s="10"/>
      <c r="AG996" s="21" t="n">
        <f aca="false">IF(OR(AE996="",AE996=0),0,AE996*IF(U996="",0,IF(U996&gt;1,U996/100,U996)))</f>
        <v>0</v>
      </c>
      <c r="AH996" s="21" t="n">
        <f aca="false">IF(OR(AE996="",AE996=0),0,AE996*IF(X996="",0,IF(X996&gt;1,X996/100,X996)))</f>
        <v>0</v>
      </c>
      <c r="AI996" s="21" t="n">
        <f aca="false">IF(OR(AE996="",AE996=0),0,AE996*IF(AA996="",0,IF(AA996&gt;1,AA996/100,AA996)))</f>
        <v>0</v>
      </c>
      <c r="AJ996" s="21" t="n">
        <f aca="false">AG996+AH996+AI996</f>
        <v>0</v>
      </c>
      <c r="AK996" s="21" t="n">
        <f aca="false">IF(OR(AE996="",AE996=0),0,AE996-AJ996)</f>
        <v>0</v>
      </c>
      <c r="AL996" s="19" t="str">
        <f aca="false">IF(AD996="","",AD996-AK996)</f>
        <v/>
      </c>
      <c r="AM996" s="9" t="str">
        <f aca="false">IF(C996="","","Waiting for payment")</f>
        <v/>
      </c>
      <c r="AN996" s="10"/>
      <c r="AO996" s="10"/>
      <c r="AP996" s="22" t="str">
        <f aca="false">IF(OR(C996="",I996="",K996=""),"",IF(K996="Monthly",EDATE(C996,ROUND(I996*SETTINGS!$I$8,0)),WORKDAY(C996,ROUND(I996*SETTINGS!$I$8,0))))</f>
        <v/>
      </c>
      <c r="AQ996" s="9" t="str">
        <f aca="true">IF(C996="","",IF(AND(AP996&lt;&gt;"",TODAY()&gt;=AP996),"Refi Ready",IF(TODAY()-C996&gt;=SETTINGS!$I$11,"Prospecting","Performing")))</f>
        <v/>
      </c>
      <c r="AR996" s="22" t="str">
        <f aca="false">IF(OR(C996="",I996="",K996=""),"",IF(K996="Monthly",EDATE(C996,I996),WORKDAY(C996,I996)))</f>
        <v/>
      </c>
      <c r="AS996" s="11"/>
      <c r="AT996" s="23" t="str">
        <f aca="true">IF(C996="","",IF(AM996="Clawed Back","CLAWED",IF(TODAY()&lt;=C996+SETTINGS!$I$2,"⚠ AT RISK","SAFE")))</f>
        <v/>
      </c>
      <c r="AU996" s="11"/>
      <c r="AW996" s="24" t="n">
        <f aca="false">AW995+IF(AND(C996&lt;&gt;"",AO996&lt;&gt;"",OR('REP COMMISSION'!$B$3="",T996='REP COMMISSION'!$B$3,W996='REP COMMISSION'!$B$3,Z996='REP COMMISSION'!$B$3)),1,0)</f>
        <v>0</v>
      </c>
      <c r="AX996" s="24" t="n">
        <f aca="false">AX995+IF(AND(C996&lt;&gt;"",OR(F996="LOC - INITIAL",F996="CONSOLIDATION - UPFRONT COMM",F996="REVERSE - TOTAL FUNDING")),1,0)</f>
        <v>0</v>
      </c>
    </row>
    <row r="997" customFormat="false" ht="15" hidden="false" customHeight="false" outlineLevel="0" collapsed="false">
      <c r="A997" s="25" t="str">
        <f aca="false">IF(C997&lt;&gt;"","F27-"&amp;COUNT($C$4:C997),"")</f>
        <v/>
      </c>
      <c r="B997" s="26" t="str">
        <f aca="false">IF(OR(F997="LOC - INITIAL",F997="CONSOLIDATION - UPFRONT COMM",F997="REVERSE - TOTAL FUNDING"),A997,"")</f>
        <v/>
      </c>
      <c r="C997" s="27"/>
      <c r="D997" s="28"/>
      <c r="E997" s="28"/>
      <c r="F997" s="28"/>
      <c r="G997" s="29"/>
      <c r="H997" s="30"/>
      <c r="I997" s="28"/>
      <c r="J997" s="31" t="str">
        <f aca="false">IF(AND(G997&lt;&gt;"",H997&lt;&gt;""),G997*H997,"")</f>
        <v/>
      </c>
      <c r="K997" s="28"/>
      <c r="L997" s="32"/>
      <c r="M997" s="32"/>
      <c r="N997" s="31" t="n">
        <f aca="false">IF(OR(G997="",M997=""),0,IF(M997&gt;100,M997,G997*IF(M997&gt;1,M997/100,M997)))</f>
        <v>0</v>
      </c>
      <c r="O997" s="31" t="str">
        <f aca="false">IF(G997="","",G997*IF(L997="",0,IF(L997&gt;1,L997/100,L997))+N997)</f>
        <v/>
      </c>
      <c r="P997" s="28"/>
      <c r="Q997" s="33" t="str">
        <f aca="false">IF(P997="","",IFERROR(VLOOKUP(P997,PARTNERS!$A$2:$B$30,2,0),""))</f>
        <v/>
      </c>
      <c r="R997" s="17" t="str">
        <f aca="false">IF(O997="","",IF(OR(P997="",Q997=""),0,(O997-N997)*IF(Q997&gt;1,Q997/100,Q997)))</f>
        <v/>
      </c>
      <c r="S997" s="31" t="str">
        <f aca="false">IF(O997="","",O997-R997)</f>
        <v/>
      </c>
      <c r="T997" s="28"/>
      <c r="U997" s="34" t="str">
        <f aca="false">IF(T997="","",IFERROR(VLOOKUP(T997,REPS!$A$2:$D$40,2,0),""))</f>
        <v/>
      </c>
      <c r="V997" s="31" t="str">
        <f aca="false">IF(O997="","",IF(U997="",0,O997*IF(U997&gt;1,U997/100,U997)))</f>
        <v/>
      </c>
      <c r="W997" s="28"/>
      <c r="X997" s="34" t="str">
        <f aca="false">IF(W997="","",IFERROR(VLOOKUP(W997,REPS!$A$2:$D$40,3,0),""))</f>
        <v/>
      </c>
      <c r="Y997" s="31" t="str">
        <f aca="false">IF(O997="","",IF(X997="",0,O997*IF(X997&gt;1,X997/100,X997)))</f>
        <v/>
      </c>
      <c r="Z997" s="28"/>
      <c r="AA997" s="34" t="str">
        <f aca="false">IF(Z997="","",IFERROR(VLOOKUP(Z997,REPS!$A$2:$D$40,4,0),""))</f>
        <v/>
      </c>
      <c r="AB997" s="31" t="str">
        <f aca="false">IF(O997="","",IF(AA997="",0,O997*IF(AA997&gt;1,AA997/100,AA997)))</f>
        <v/>
      </c>
      <c r="AC997" s="31" t="str">
        <f aca="false">IF(O997="","",V997+Y997+AB997)</f>
        <v/>
      </c>
      <c r="AD997" s="19" t="str">
        <f aca="false">IF(O997="","",O997-R997-AC997)</f>
        <v/>
      </c>
      <c r="AE997" s="20"/>
      <c r="AF997" s="27"/>
      <c r="AG997" s="21" t="n">
        <f aca="false">IF(OR(AE997="",AE997=0),0,AE997*IF(U997="",0,IF(U997&gt;1,U997/100,U997)))</f>
        <v>0</v>
      </c>
      <c r="AH997" s="21" t="n">
        <f aca="false">IF(OR(AE997="",AE997=0),0,AE997*IF(X997="",0,IF(X997&gt;1,X997/100,X997)))</f>
        <v>0</v>
      </c>
      <c r="AI997" s="21" t="n">
        <f aca="false">IF(OR(AE997="",AE997=0),0,AE997*IF(AA997="",0,IF(AA997&gt;1,AA997/100,AA997)))</f>
        <v>0</v>
      </c>
      <c r="AJ997" s="21" t="n">
        <f aca="false">AG997+AH997+AI997</f>
        <v>0</v>
      </c>
      <c r="AK997" s="21" t="n">
        <f aca="false">IF(OR(AE997="",AE997=0),0,AE997-AJ997)</f>
        <v>0</v>
      </c>
      <c r="AL997" s="19" t="str">
        <f aca="false">IF(AD997="","",AD997-AK997)</f>
        <v/>
      </c>
      <c r="AM997" s="26" t="str">
        <f aca="false">IF(C997="","","Waiting for payment")</f>
        <v/>
      </c>
      <c r="AN997" s="27"/>
      <c r="AO997" s="27"/>
      <c r="AP997" s="35" t="str">
        <f aca="false">IF(OR(C997="",I997="",K997=""),"",IF(K997="Monthly",EDATE(C997,ROUND(I997*SETTINGS!$I$8,0)),WORKDAY(C997,ROUND(I997*SETTINGS!$I$8,0))))</f>
        <v/>
      </c>
      <c r="AQ997" s="26" t="str">
        <f aca="true">IF(C997="","",IF(AND(AP997&lt;&gt;"",TODAY()&gt;=AP997),"Refi Ready",IF(TODAY()-C997&gt;=SETTINGS!$I$11,"Prospecting","Performing")))</f>
        <v/>
      </c>
      <c r="AR997" s="35" t="str">
        <f aca="false">IF(OR(C997="",I997="",K997=""),"",IF(K997="Monthly",EDATE(C997,I997),WORKDAY(C997,I997)))</f>
        <v/>
      </c>
      <c r="AS997" s="28"/>
      <c r="AT997" s="36" t="str">
        <f aca="true">IF(C997="","",IF(AM997="Clawed Back","CLAWED",IF(TODAY()&lt;=C997+SETTINGS!$I$2,"⚠ AT RISK","SAFE")))</f>
        <v/>
      </c>
      <c r="AU997" s="28"/>
      <c r="AW997" s="24" t="n">
        <f aca="false">AW996+IF(AND(C997&lt;&gt;"",AO997&lt;&gt;"",OR('REP COMMISSION'!$B$3="",T997='REP COMMISSION'!$B$3,W997='REP COMMISSION'!$B$3,Z997='REP COMMISSION'!$B$3)),1,0)</f>
        <v>0</v>
      </c>
      <c r="AX997" s="24" t="n">
        <f aca="false">AX996+IF(AND(C997&lt;&gt;"",OR(F997="LOC - INITIAL",F997="CONSOLIDATION - UPFRONT COMM",F997="REVERSE - TOTAL FUNDING")),1,0)</f>
        <v>0</v>
      </c>
    </row>
    <row r="998" customFormat="false" ht="15" hidden="false" customHeight="false" outlineLevel="0" collapsed="false">
      <c r="A998" s="8" t="str">
        <f aca="false">IF(C998&lt;&gt;"","F27-"&amp;COUNT($C$4:C998),"")</f>
        <v/>
      </c>
      <c r="B998" s="9" t="str">
        <f aca="false">IF(OR(F998="LOC - INITIAL",F998="CONSOLIDATION - UPFRONT COMM",F998="REVERSE - TOTAL FUNDING"),A998,"")</f>
        <v/>
      </c>
      <c r="C998" s="10"/>
      <c r="D998" s="11"/>
      <c r="E998" s="11"/>
      <c r="F998" s="11"/>
      <c r="G998" s="12"/>
      <c r="H998" s="13"/>
      <c r="I998" s="11"/>
      <c r="J998" s="14" t="str">
        <f aca="false">IF(AND(G998&lt;&gt;"",H998&lt;&gt;""),G998*H998,"")</f>
        <v/>
      </c>
      <c r="K998" s="11"/>
      <c r="L998" s="15"/>
      <c r="M998" s="15"/>
      <c r="N998" s="14" t="n">
        <f aca="false">IF(OR(G998="",M998=""),0,IF(M998&gt;100,M998,G998*IF(M998&gt;1,M998/100,M998)))</f>
        <v>0</v>
      </c>
      <c r="O998" s="14" t="str">
        <f aca="false">IF(G998="","",G998*IF(L998="",0,IF(L998&gt;1,L998/100,L998))+N998)</f>
        <v/>
      </c>
      <c r="P998" s="11"/>
      <c r="Q998" s="16" t="str">
        <f aca="false">IF(P998="","",IFERROR(VLOOKUP(P998,PARTNERS!$A$2:$B$30,2,0),""))</f>
        <v/>
      </c>
      <c r="R998" s="17" t="str">
        <f aca="false">IF(O998="","",IF(OR(P998="",Q998=""),0,(O998-N998)*IF(Q998&gt;1,Q998/100,Q998)))</f>
        <v/>
      </c>
      <c r="S998" s="14" t="str">
        <f aca="false">IF(O998="","",O998-R998)</f>
        <v/>
      </c>
      <c r="T998" s="11"/>
      <c r="U998" s="18" t="str">
        <f aca="false">IF(T998="","",IFERROR(VLOOKUP(T998,REPS!$A$2:$D$40,2,0),""))</f>
        <v/>
      </c>
      <c r="V998" s="14" t="str">
        <f aca="false">IF(O998="","",IF(U998="",0,O998*IF(U998&gt;1,U998/100,U998)))</f>
        <v/>
      </c>
      <c r="W998" s="11"/>
      <c r="X998" s="18" t="str">
        <f aca="false">IF(W998="","",IFERROR(VLOOKUP(W998,REPS!$A$2:$D$40,3,0),""))</f>
        <v/>
      </c>
      <c r="Y998" s="14" t="str">
        <f aca="false">IF(O998="","",IF(X998="",0,O998*IF(X998&gt;1,X998/100,X998)))</f>
        <v/>
      </c>
      <c r="Z998" s="11"/>
      <c r="AA998" s="18" t="str">
        <f aca="false">IF(Z998="","",IFERROR(VLOOKUP(Z998,REPS!$A$2:$D$40,4,0),""))</f>
        <v/>
      </c>
      <c r="AB998" s="14" t="str">
        <f aca="false">IF(O998="","",IF(AA998="",0,O998*IF(AA998&gt;1,AA998/100,AA998)))</f>
        <v/>
      </c>
      <c r="AC998" s="14" t="str">
        <f aca="false">IF(O998="","",V998+Y998+AB998)</f>
        <v/>
      </c>
      <c r="AD998" s="19" t="str">
        <f aca="false">IF(O998="","",O998-R998-AC998)</f>
        <v/>
      </c>
      <c r="AE998" s="20"/>
      <c r="AF998" s="10"/>
      <c r="AG998" s="21" t="n">
        <f aca="false">IF(OR(AE998="",AE998=0),0,AE998*IF(U998="",0,IF(U998&gt;1,U998/100,U998)))</f>
        <v>0</v>
      </c>
      <c r="AH998" s="21" t="n">
        <f aca="false">IF(OR(AE998="",AE998=0),0,AE998*IF(X998="",0,IF(X998&gt;1,X998/100,X998)))</f>
        <v>0</v>
      </c>
      <c r="AI998" s="21" t="n">
        <f aca="false">IF(OR(AE998="",AE998=0),0,AE998*IF(AA998="",0,IF(AA998&gt;1,AA998/100,AA998)))</f>
        <v>0</v>
      </c>
      <c r="AJ998" s="21" t="n">
        <f aca="false">AG998+AH998+AI998</f>
        <v>0</v>
      </c>
      <c r="AK998" s="21" t="n">
        <f aca="false">IF(OR(AE998="",AE998=0),0,AE998-AJ998)</f>
        <v>0</v>
      </c>
      <c r="AL998" s="19" t="str">
        <f aca="false">IF(AD998="","",AD998-AK998)</f>
        <v/>
      </c>
      <c r="AM998" s="9" t="str">
        <f aca="false">IF(C998="","","Waiting for payment")</f>
        <v/>
      </c>
      <c r="AN998" s="10"/>
      <c r="AO998" s="10"/>
      <c r="AP998" s="22" t="str">
        <f aca="false">IF(OR(C998="",I998="",K998=""),"",IF(K998="Monthly",EDATE(C998,ROUND(I998*SETTINGS!$I$8,0)),WORKDAY(C998,ROUND(I998*SETTINGS!$I$8,0))))</f>
        <v/>
      </c>
      <c r="AQ998" s="9" t="str">
        <f aca="true">IF(C998="","",IF(AND(AP998&lt;&gt;"",TODAY()&gt;=AP998),"Refi Ready",IF(TODAY()-C998&gt;=SETTINGS!$I$11,"Prospecting","Performing")))</f>
        <v/>
      </c>
      <c r="AR998" s="22" t="str">
        <f aca="false">IF(OR(C998="",I998="",K998=""),"",IF(K998="Monthly",EDATE(C998,I998),WORKDAY(C998,I998)))</f>
        <v/>
      </c>
      <c r="AS998" s="11"/>
      <c r="AT998" s="23" t="str">
        <f aca="true">IF(C998="","",IF(AM998="Clawed Back","CLAWED",IF(TODAY()&lt;=C998+SETTINGS!$I$2,"⚠ AT RISK","SAFE")))</f>
        <v/>
      </c>
      <c r="AU998" s="11"/>
      <c r="AW998" s="24" t="n">
        <f aca="false">AW997+IF(AND(C998&lt;&gt;"",AO998&lt;&gt;"",OR('REP COMMISSION'!$B$3="",T998='REP COMMISSION'!$B$3,W998='REP COMMISSION'!$B$3,Z998='REP COMMISSION'!$B$3)),1,0)</f>
        <v>0</v>
      </c>
      <c r="AX998" s="24" t="n">
        <f aca="false">AX997+IF(AND(C998&lt;&gt;"",OR(F998="LOC - INITIAL",F998="CONSOLIDATION - UPFRONT COMM",F998="REVERSE - TOTAL FUNDING")),1,0)</f>
        <v>0</v>
      </c>
    </row>
    <row r="999" customFormat="false" ht="15" hidden="false" customHeight="false" outlineLevel="0" collapsed="false">
      <c r="A999" s="25" t="str">
        <f aca="false">IF(C999&lt;&gt;"","F27-"&amp;COUNT($C$4:C999),"")</f>
        <v/>
      </c>
      <c r="B999" s="26" t="str">
        <f aca="false">IF(OR(F999="LOC - INITIAL",F999="CONSOLIDATION - UPFRONT COMM",F999="REVERSE - TOTAL FUNDING"),A999,"")</f>
        <v/>
      </c>
      <c r="C999" s="27"/>
      <c r="D999" s="28"/>
      <c r="E999" s="28"/>
      <c r="F999" s="28"/>
      <c r="G999" s="29"/>
      <c r="H999" s="30"/>
      <c r="I999" s="28"/>
      <c r="J999" s="31" t="str">
        <f aca="false">IF(AND(G999&lt;&gt;"",H999&lt;&gt;""),G999*H999,"")</f>
        <v/>
      </c>
      <c r="K999" s="28"/>
      <c r="L999" s="32"/>
      <c r="M999" s="32"/>
      <c r="N999" s="31" t="n">
        <f aca="false">IF(OR(G999="",M999=""),0,IF(M999&gt;100,M999,G999*IF(M999&gt;1,M999/100,M999)))</f>
        <v>0</v>
      </c>
      <c r="O999" s="31" t="str">
        <f aca="false">IF(G999="","",G999*IF(L999="",0,IF(L999&gt;1,L999/100,L999))+N999)</f>
        <v/>
      </c>
      <c r="P999" s="28"/>
      <c r="Q999" s="33" t="str">
        <f aca="false">IF(P999="","",IFERROR(VLOOKUP(P999,PARTNERS!$A$2:$B$30,2,0),""))</f>
        <v/>
      </c>
      <c r="R999" s="17" t="str">
        <f aca="false">IF(O999="","",IF(OR(P999="",Q999=""),0,(O999-N999)*IF(Q999&gt;1,Q999/100,Q999)))</f>
        <v/>
      </c>
      <c r="S999" s="31" t="str">
        <f aca="false">IF(O999="","",O999-R999)</f>
        <v/>
      </c>
      <c r="T999" s="28"/>
      <c r="U999" s="34" t="str">
        <f aca="false">IF(T999="","",IFERROR(VLOOKUP(T999,REPS!$A$2:$D$40,2,0),""))</f>
        <v/>
      </c>
      <c r="V999" s="31" t="str">
        <f aca="false">IF(O999="","",IF(U999="",0,O999*IF(U999&gt;1,U999/100,U999)))</f>
        <v/>
      </c>
      <c r="W999" s="28"/>
      <c r="X999" s="34" t="str">
        <f aca="false">IF(W999="","",IFERROR(VLOOKUP(W999,REPS!$A$2:$D$40,3,0),""))</f>
        <v/>
      </c>
      <c r="Y999" s="31" t="str">
        <f aca="false">IF(O999="","",IF(X999="",0,O999*IF(X999&gt;1,X999/100,X999)))</f>
        <v/>
      </c>
      <c r="Z999" s="28"/>
      <c r="AA999" s="34" t="str">
        <f aca="false">IF(Z999="","",IFERROR(VLOOKUP(Z999,REPS!$A$2:$D$40,4,0),""))</f>
        <v/>
      </c>
      <c r="AB999" s="31" t="str">
        <f aca="false">IF(O999="","",IF(AA999="",0,O999*IF(AA999&gt;1,AA999/100,AA999)))</f>
        <v/>
      </c>
      <c r="AC999" s="31" t="str">
        <f aca="false">IF(O999="","",V999+Y999+AB999)</f>
        <v/>
      </c>
      <c r="AD999" s="19" t="str">
        <f aca="false">IF(O999="","",O999-R999-AC999)</f>
        <v/>
      </c>
      <c r="AE999" s="20"/>
      <c r="AF999" s="27"/>
      <c r="AG999" s="21" t="n">
        <f aca="false">IF(OR(AE999="",AE999=0),0,AE999*IF(U999="",0,IF(U999&gt;1,U999/100,U999)))</f>
        <v>0</v>
      </c>
      <c r="AH999" s="21" t="n">
        <f aca="false">IF(OR(AE999="",AE999=0),0,AE999*IF(X999="",0,IF(X999&gt;1,X999/100,X999)))</f>
        <v>0</v>
      </c>
      <c r="AI999" s="21" t="n">
        <f aca="false">IF(OR(AE999="",AE999=0),0,AE999*IF(AA999="",0,IF(AA999&gt;1,AA999/100,AA999)))</f>
        <v>0</v>
      </c>
      <c r="AJ999" s="21" t="n">
        <f aca="false">AG999+AH999+AI999</f>
        <v>0</v>
      </c>
      <c r="AK999" s="21" t="n">
        <f aca="false">IF(OR(AE999="",AE999=0),0,AE999-AJ999)</f>
        <v>0</v>
      </c>
      <c r="AL999" s="19" t="str">
        <f aca="false">IF(AD999="","",AD999-AK999)</f>
        <v/>
      </c>
      <c r="AM999" s="26" t="str">
        <f aca="false">IF(C999="","","Waiting for payment")</f>
        <v/>
      </c>
      <c r="AN999" s="27"/>
      <c r="AO999" s="27"/>
      <c r="AP999" s="35" t="str">
        <f aca="false">IF(OR(C999="",I999="",K999=""),"",IF(K999="Monthly",EDATE(C999,ROUND(I999*SETTINGS!$I$8,0)),WORKDAY(C999,ROUND(I999*SETTINGS!$I$8,0))))</f>
        <v/>
      </c>
      <c r="AQ999" s="26" t="str">
        <f aca="true">IF(C999="","",IF(AND(AP999&lt;&gt;"",TODAY()&gt;=AP999),"Refi Ready",IF(TODAY()-C999&gt;=SETTINGS!$I$11,"Prospecting","Performing")))</f>
        <v/>
      </c>
      <c r="AR999" s="35" t="str">
        <f aca="false">IF(OR(C999="",I999="",K999=""),"",IF(K999="Monthly",EDATE(C999,I999),WORKDAY(C999,I999)))</f>
        <v/>
      </c>
      <c r="AS999" s="28"/>
      <c r="AT999" s="36" t="str">
        <f aca="true">IF(C999="","",IF(AM999="Clawed Back","CLAWED",IF(TODAY()&lt;=C999+SETTINGS!$I$2,"⚠ AT RISK","SAFE")))</f>
        <v/>
      </c>
      <c r="AU999" s="28"/>
      <c r="AW999" s="24" t="n">
        <f aca="false">AW998+IF(AND(C999&lt;&gt;"",AO999&lt;&gt;"",OR('REP COMMISSION'!$B$3="",T999='REP COMMISSION'!$B$3,W999='REP COMMISSION'!$B$3,Z999='REP COMMISSION'!$B$3)),1,0)</f>
        <v>0</v>
      </c>
      <c r="AX999" s="24" t="n">
        <f aca="false">AX998+IF(AND(C999&lt;&gt;"",OR(F999="LOC - INITIAL",F999="CONSOLIDATION - UPFRONT COMM",F999="REVERSE - TOTAL FUNDING")),1,0)</f>
        <v>0</v>
      </c>
    </row>
    <row r="1000" customFormat="false" ht="15" hidden="false" customHeight="false" outlineLevel="0" collapsed="false">
      <c r="A1000" s="8" t="str">
        <f aca="false">IF(C1000&lt;&gt;"","F27-"&amp;COUNT($C$4:C1000),"")</f>
        <v/>
      </c>
      <c r="B1000" s="9" t="str">
        <f aca="false">IF(OR(F1000="LOC - INITIAL",F1000="CONSOLIDATION - UPFRONT COMM",F1000="REVERSE - TOTAL FUNDING"),A1000,"")</f>
        <v/>
      </c>
      <c r="C1000" s="10"/>
      <c r="D1000" s="11"/>
      <c r="E1000" s="11"/>
      <c r="F1000" s="11"/>
      <c r="G1000" s="12"/>
      <c r="H1000" s="13"/>
      <c r="I1000" s="11"/>
      <c r="J1000" s="14" t="str">
        <f aca="false">IF(AND(G1000&lt;&gt;"",H1000&lt;&gt;""),G1000*H1000,"")</f>
        <v/>
      </c>
      <c r="K1000" s="11"/>
      <c r="L1000" s="15"/>
      <c r="M1000" s="15"/>
      <c r="N1000" s="14" t="n">
        <f aca="false">IF(OR(G1000="",M1000=""),0,IF(M1000&gt;100,M1000,G1000*IF(M1000&gt;1,M1000/100,M1000)))</f>
        <v>0</v>
      </c>
      <c r="O1000" s="14" t="str">
        <f aca="false">IF(G1000="","",G1000*IF(L1000="",0,IF(L1000&gt;1,L1000/100,L1000))+N1000)</f>
        <v/>
      </c>
      <c r="P1000" s="11"/>
      <c r="Q1000" s="16" t="str">
        <f aca="false">IF(P1000="","",IFERROR(VLOOKUP(P1000,PARTNERS!$A$2:$B$30,2,0),""))</f>
        <v/>
      </c>
      <c r="R1000" s="17" t="str">
        <f aca="false">IF(O1000="","",IF(OR(P1000="",Q1000=""),0,(O1000-N1000)*IF(Q1000&gt;1,Q1000/100,Q1000)))</f>
        <v/>
      </c>
      <c r="S1000" s="14" t="str">
        <f aca="false">IF(O1000="","",O1000-R1000)</f>
        <v/>
      </c>
      <c r="T1000" s="11"/>
      <c r="U1000" s="18" t="str">
        <f aca="false">IF(T1000="","",IFERROR(VLOOKUP(T1000,REPS!$A$2:$D$40,2,0),""))</f>
        <v/>
      </c>
      <c r="V1000" s="14" t="str">
        <f aca="false">IF(O1000="","",IF(U1000="",0,O1000*IF(U1000&gt;1,U1000/100,U1000)))</f>
        <v/>
      </c>
      <c r="W1000" s="11"/>
      <c r="X1000" s="18" t="str">
        <f aca="false">IF(W1000="","",IFERROR(VLOOKUP(W1000,REPS!$A$2:$D$40,3,0),""))</f>
        <v/>
      </c>
      <c r="Y1000" s="14" t="str">
        <f aca="false">IF(O1000="","",IF(X1000="",0,O1000*IF(X1000&gt;1,X1000/100,X1000)))</f>
        <v/>
      </c>
      <c r="Z1000" s="11"/>
      <c r="AA1000" s="18" t="str">
        <f aca="false">IF(Z1000="","",IFERROR(VLOOKUP(Z1000,REPS!$A$2:$D$40,4,0),""))</f>
        <v/>
      </c>
      <c r="AB1000" s="14" t="str">
        <f aca="false">IF(O1000="","",IF(AA1000="",0,O1000*IF(AA1000&gt;1,AA1000/100,AA1000)))</f>
        <v/>
      </c>
      <c r="AC1000" s="14" t="str">
        <f aca="false">IF(O1000="","",V1000+Y1000+AB1000)</f>
        <v/>
      </c>
      <c r="AD1000" s="19" t="str">
        <f aca="false">IF(O1000="","",O1000-R1000-AC1000)</f>
        <v/>
      </c>
      <c r="AE1000" s="20"/>
      <c r="AF1000" s="10"/>
      <c r="AG1000" s="21" t="n">
        <f aca="false">IF(OR(AE1000="",AE1000=0),0,AE1000*IF(U1000="",0,IF(U1000&gt;1,U1000/100,U1000)))</f>
        <v>0</v>
      </c>
      <c r="AH1000" s="21" t="n">
        <f aca="false">IF(OR(AE1000="",AE1000=0),0,AE1000*IF(X1000="",0,IF(X1000&gt;1,X1000/100,X1000)))</f>
        <v>0</v>
      </c>
      <c r="AI1000" s="21" t="n">
        <f aca="false">IF(OR(AE1000="",AE1000=0),0,AE1000*IF(AA1000="",0,IF(AA1000&gt;1,AA1000/100,AA1000)))</f>
        <v>0</v>
      </c>
      <c r="AJ1000" s="21" t="n">
        <f aca="false">AG1000+AH1000+AI1000</f>
        <v>0</v>
      </c>
      <c r="AK1000" s="21" t="n">
        <f aca="false">IF(OR(AE1000="",AE1000=0),0,AE1000-AJ1000)</f>
        <v>0</v>
      </c>
      <c r="AL1000" s="19" t="str">
        <f aca="false">IF(AD1000="","",AD1000-AK1000)</f>
        <v/>
      </c>
      <c r="AM1000" s="9" t="str">
        <f aca="false">IF(C1000="","","Waiting for payment")</f>
        <v/>
      </c>
      <c r="AN1000" s="10"/>
      <c r="AO1000" s="10"/>
      <c r="AP1000" s="22" t="str">
        <f aca="false">IF(OR(C1000="",I1000="",K1000=""),"",IF(K1000="Monthly",EDATE(C1000,ROUND(I1000*SETTINGS!$I$8,0)),WORKDAY(C1000,ROUND(I1000*SETTINGS!$I$8,0))))</f>
        <v/>
      </c>
      <c r="AQ1000" s="9" t="str">
        <f aca="true">IF(C1000="","",IF(AND(AP1000&lt;&gt;"",TODAY()&gt;=AP1000),"Refi Ready",IF(TODAY()-C1000&gt;=SETTINGS!$I$11,"Prospecting","Performing")))</f>
        <v/>
      </c>
      <c r="AR1000" s="22" t="str">
        <f aca="false">IF(OR(C1000="",I1000="",K1000=""),"",IF(K1000="Monthly",EDATE(C1000,I1000),WORKDAY(C1000,I1000)))</f>
        <v/>
      </c>
      <c r="AS1000" s="11"/>
      <c r="AT1000" s="23" t="str">
        <f aca="true">IF(C1000="","",IF(AM1000="Clawed Back","CLAWED",IF(TODAY()&lt;=C1000+SETTINGS!$I$2,"⚠ AT RISK","SAFE")))</f>
        <v/>
      </c>
      <c r="AU1000" s="11"/>
      <c r="AW1000" s="24" t="n">
        <f aca="false">AW999+IF(AND(C1000&lt;&gt;"",AO1000&lt;&gt;"",OR('REP COMMISSION'!$B$3="",T1000='REP COMMISSION'!$B$3,W1000='REP COMMISSION'!$B$3,Z1000='REP COMMISSION'!$B$3)),1,0)</f>
        <v>0</v>
      </c>
      <c r="AX1000" s="24" t="n">
        <f aca="false">AX999+IF(AND(C1000&lt;&gt;"",OR(F1000="LOC - INITIAL",F1000="CONSOLIDATION - UPFRONT COMM",F1000="REVERSE - TOTAL FUNDING")),1,0)</f>
        <v>0</v>
      </c>
    </row>
    <row r="1001" customFormat="false" ht="15" hidden="false" customHeight="false" outlineLevel="0" collapsed="false">
      <c r="A1001" s="25" t="str">
        <f aca="false">IF(C1001&lt;&gt;"","F27-"&amp;COUNT($C$4:C1001),"")</f>
        <v/>
      </c>
      <c r="B1001" s="26" t="str">
        <f aca="false">IF(OR(F1001="LOC - INITIAL",F1001="CONSOLIDATION - UPFRONT COMM",F1001="REVERSE - TOTAL FUNDING"),A1001,"")</f>
        <v/>
      </c>
      <c r="C1001" s="27"/>
      <c r="D1001" s="28"/>
      <c r="E1001" s="28"/>
      <c r="F1001" s="28"/>
      <c r="G1001" s="29"/>
      <c r="H1001" s="30"/>
      <c r="I1001" s="28"/>
      <c r="J1001" s="31" t="str">
        <f aca="false">IF(AND(G1001&lt;&gt;"",H1001&lt;&gt;""),G1001*H1001,"")</f>
        <v/>
      </c>
      <c r="K1001" s="28"/>
      <c r="L1001" s="32"/>
      <c r="M1001" s="32"/>
      <c r="N1001" s="31" t="n">
        <f aca="false">IF(OR(G1001="",M1001=""),0,IF(M1001&gt;100,M1001,G1001*IF(M1001&gt;1,M1001/100,M1001)))</f>
        <v>0</v>
      </c>
      <c r="O1001" s="31" t="str">
        <f aca="false">IF(G1001="","",G1001*IF(L1001="",0,IF(L1001&gt;1,L1001/100,L1001))+N1001)</f>
        <v/>
      </c>
      <c r="P1001" s="28"/>
      <c r="Q1001" s="33" t="str">
        <f aca="false">IF(P1001="","",IFERROR(VLOOKUP(P1001,PARTNERS!$A$2:$B$30,2,0),""))</f>
        <v/>
      </c>
      <c r="R1001" s="17" t="str">
        <f aca="false">IF(O1001="","",IF(OR(P1001="",Q1001=""),0,(O1001-N1001)*IF(Q1001&gt;1,Q1001/100,Q1001)))</f>
        <v/>
      </c>
      <c r="S1001" s="31" t="str">
        <f aca="false">IF(O1001="","",O1001-R1001)</f>
        <v/>
      </c>
      <c r="T1001" s="28"/>
      <c r="U1001" s="34" t="str">
        <f aca="false">IF(T1001="","",IFERROR(VLOOKUP(T1001,REPS!$A$2:$D$40,2,0),""))</f>
        <v/>
      </c>
      <c r="V1001" s="31" t="str">
        <f aca="false">IF(O1001="","",IF(U1001="",0,O1001*IF(U1001&gt;1,U1001/100,U1001)))</f>
        <v/>
      </c>
      <c r="W1001" s="28"/>
      <c r="X1001" s="34" t="str">
        <f aca="false">IF(W1001="","",IFERROR(VLOOKUP(W1001,REPS!$A$2:$D$40,3,0),""))</f>
        <v/>
      </c>
      <c r="Y1001" s="31" t="str">
        <f aca="false">IF(O1001="","",IF(X1001="",0,O1001*IF(X1001&gt;1,X1001/100,X1001)))</f>
        <v/>
      </c>
      <c r="Z1001" s="28"/>
      <c r="AA1001" s="34" t="str">
        <f aca="false">IF(Z1001="","",IFERROR(VLOOKUP(Z1001,REPS!$A$2:$D$40,4,0),""))</f>
        <v/>
      </c>
      <c r="AB1001" s="31" t="str">
        <f aca="false">IF(O1001="","",IF(AA1001="",0,O1001*IF(AA1001&gt;1,AA1001/100,AA1001)))</f>
        <v/>
      </c>
      <c r="AC1001" s="31" t="str">
        <f aca="false">IF(O1001="","",V1001+Y1001+AB1001)</f>
        <v/>
      </c>
      <c r="AD1001" s="19" t="str">
        <f aca="false">IF(O1001="","",O1001-R1001-AC1001)</f>
        <v/>
      </c>
      <c r="AE1001" s="20"/>
      <c r="AF1001" s="27"/>
      <c r="AG1001" s="21" t="n">
        <f aca="false">IF(OR(AE1001="",AE1001=0),0,AE1001*IF(U1001="",0,IF(U1001&gt;1,U1001/100,U1001)))</f>
        <v>0</v>
      </c>
      <c r="AH1001" s="21" t="n">
        <f aca="false">IF(OR(AE1001="",AE1001=0),0,AE1001*IF(X1001="",0,IF(X1001&gt;1,X1001/100,X1001)))</f>
        <v>0</v>
      </c>
      <c r="AI1001" s="21" t="n">
        <f aca="false">IF(OR(AE1001="",AE1001=0),0,AE1001*IF(AA1001="",0,IF(AA1001&gt;1,AA1001/100,AA1001)))</f>
        <v>0</v>
      </c>
      <c r="AJ1001" s="21" t="n">
        <f aca="false">AG1001+AH1001+AI1001</f>
        <v>0</v>
      </c>
      <c r="AK1001" s="21" t="n">
        <f aca="false">IF(OR(AE1001="",AE1001=0),0,AE1001-AJ1001)</f>
        <v>0</v>
      </c>
      <c r="AL1001" s="19" t="str">
        <f aca="false">IF(AD1001="","",AD1001-AK1001)</f>
        <v/>
      </c>
      <c r="AM1001" s="26" t="str">
        <f aca="false">IF(C1001="","","Waiting for payment")</f>
        <v/>
      </c>
      <c r="AN1001" s="27"/>
      <c r="AO1001" s="27"/>
      <c r="AP1001" s="35" t="str">
        <f aca="false">IF(OR(C1001="",I1001="",K1001=""),"",IF(K1001="Monthly",EDATE(C1001,ROUND(I1001*SETTINGS!$I$8,0)),WORKDAY(C1001,ROUND(I1001*SETTINGS!$I$8,0))))</f>
        <v/>
      </c>
      <c r="AQ1001" s="26" t="str">
        <f aca="true">IF(C1001="","",IF(AND(AP1001&lt;&gt;"",TODAY()&gt;=AP1001),"Refi Ready",IF(TODAY()-C1001&gt;=SETTINGS!$I$11,"Prospecting","Performing")))</f>
        <v/>
      </c>
      <c r="AR1001" s="35" t="str">
        <f aca="false">IF(OR(C1001="",I1001="",K1001=""),"",IF(K1001="Monthly",EDATE(C1001,I1001),WORKDAY(C1001,I1001)))</f>
        <v/>
      </c>
      <c r="AS1001" s="28"/>
      <c r="AT1001" s="36" t="str">
        <f aca="true">IF(C1001="","",IF(AM1001="Clawed Back","CLAWED",IF(TODAY()&lt;=C1001+SETTINGS!$I$2,"⚠ AT RISK","SAFE")))</f>
        <v/>
      </c>
      <c r="AU1001" s="28"/>
      <c r="AW1001" s="24" t="n">
        <f aca="false">AW1000+IF(AND(C1001&lt;&gt;"",AO1001&lt;&gt;"",OR('REP COMMISSION'!$B$3="",T1001='REP COMMISSION'!$B$3,W1001='REP COMMISSION'!$B$3,Z1001='REP COMMISSION'!$B$3)),1,0)</f>
        <v>0</v>
      </c>
      <c r="AX1001" s="24" t="n">
        <f aca="false">AX1000+IF(AND(C1001&lt;&gt;"",OR(F1001="LOC - INITIAL",F1001="CONSOLIDATION - UPFRONT COMM",F1001="REVERSE - TOTAL FUNDING")),1,0)</f>
        <v>0</v>
      </c>
    </row>
    <row r="1002" customFormat="false" ht="15" hidden="false" customHeight="false" outlineLevel="0" collapsed="false">
      <c r="A1002" s="8" t="str">
        <f aca="false">IF(C1002&lt;&gt;"","F27-"&amp;COUNT($C$4:C1002),"")</f>
        <v/>
      </c>
      <c r="B1002" s="9" t="str">
        <f aca="false">IF(OR(F1002="LOC - INITIAL",F1002="CONSOLIDATION - UPFRONT COMM",F1002="REVERSE - TOTAL FUNDING"),A1002,"")</f>
        <v/>
      </c>
      <c r="C1002" s="10"/>
      <c r="D1002" s="11"/>
      <c r="E1002" s="11"/>
      <c r="F1002" s="11"/>
      <c r="G1002" s="12"/>
      <c r="H1002" s="13"/>
      <c r="I1002" s="11"/>
      <c r="J1002" s="14" t="str">
        <f aca="false">IF(AND(G1002&lt;&gt;"",H1002&lt;&gt;""),G1002*H1002,"")</f>
        <v/>
      </c>
      <c r="K1002" s="11"/>
      <c r="L1002" s="15"/>
      <c r="M1002" s="15"/>
      <c r="N1002" s="14" t="n">
        <f aca="false">IF(OR(G1002="",M1002=""),0,IF(M1002&gt;100,M1002,G1002*IF(M1002&gt;1,M1002/100,M1002)))</f>
        <v>0</v>
      </c>
      <c r="O1002" s="14" t="str">
        <f aca="false">IF(G1002="","",G1002*IF(L1002="",0,IF(L1002&gt;1,L1002/100,L1002))+N1002)</f>
        <v/>
      </c>
      <c r="P1002" s="11"/>
      <c r="Q1002" s="16" t="str">
        <f aca="false">IF(P1002="","",IFERROR(VLOOKUP(P1002,PARTNERS!$A$2:$B$30,2,0),""))</f>
        <v/>
      </c>
      <c r="R1002" s="17" t="str">
        <f aca="false">IF(O1002="","",IF(OR(P1002="",Q1002=""),0,(O1002-N1002)*IF(Q1002&gt;1,Q1002/100,Q1002)))</f>
        <v/>
      </c>
      <c r="S1002" s="14" t="str">
        <f aca="false">IF(O1002="","",O1002-R1002)</f>
        <v/>
      </c>
      <c r="T1002" s="11"/>
      <c r="U1002" s="18" t="str">
        <f aca="false">IF(T1002="","",IFERROR(VLOOKUP(T1002,REPS!$A$2:$D$40,2,0),""))</f>
        <v/>
      </c>
      <c r="V1002" s="14" t="str">
        <f aca="false">IF(O1002="","",IF(U1002="",0,O1002*IF(U1002&gt;1,U1002/100,U1002)))</f>
        <v/>
      </c>
      <c r="W1002" s="11"/>
      <c r="X1002" s="18" t="str">
        <f aca="false">IF(W1002="","",IFERROR(VLOOKUP(W1002,REPS!$A$2:$D$40,3,0),""))</f>
        <v/>
      </c>
      <c r="Y1002" s="14" t="str">
        <f aca="false">IF(O1002="","",IF(X1002="",0,O1002*IF(X1002&gt;1,X1002/100,X1002)))</f>
        <v/>
      </c>
      <c r="Z1002" s="11"/>
      <c r="AA1002" s="18" t="str">
        <f aca="false">IF(Z1002="","",IFERROR(VLOOKUP(Z1002,REPS!$A$2:$D$40,4,0),""))</f>
        <v/>
      </c>
      <c r="AB1002" s="14" t="str">
        <f aca="false">IF(O1002="","",IF(AA1002="",0,O1002*IF(AA1002&gt;1,AA1002/100,AA1002)))</f>
        <v/>
      </c>
      <c r="AC1002" s="14" t="str">
        <f aca="false">IF(O1002="","",V1002+Y1002+AB1002)</f>
        <v/>
      </c>
      <c r="AD1002" s="19" t="str">
        <f aca="false">IF(O1002="","",O1002-R1002-AC1002)</f>
        <v/>
      </c>
      <c r="AE1002" s="20"/>
      <c r="AF1002" s="10"/>
      <c r="AG1002" s="21" t="n">
        <f aca="false">IF(OR(AE1002="",AE1002=0),0,AE1002*IF(U1002="",0,IF(U1002&gt;1,U1002/100,U1002)))</f>
        <v>0</v>
      </c>
      <c r="AH1002" s="21" t="n">
        <f aca="false">IF(OR(AE1002="",AE1002=0),0,AE1002*IF(X1002="",0,IF(X1002&gt;1,X1002/100,X1002)))</f>
        <v>0</v>
      </c>
      <c r="AI1002" s="21" t="n">
        <f aca="false">IF(OR(AE1002="",AE1002=0),0,AE1002*IF(AA1002="",0,IF(AA1002&gt;1,AA1002/100,AA1002)))</f>
        <v>0</v>
      </c>
      <c r="AJ1002" s="21" t="n">
        <f aca="false">AG1002+AH1002+AI1002</f>
        <v>0</v>
      </c>
      <c r="AK1002" s="21" t="n">
        <f aca="false">IF(OR(AE1002="",AE1002=0),0,AE1002-AJ1002)</f>
        <v>0</v>
      </c>
      <c r="AL1002" s="19" t="str">
        <f aca="false">IF(AD1002="","",AD1002-AK1002)</f>
        <v/>
      </c>
      <c r="AM1002" s="9" t="str">
        <f aca="false">IF(C1002="","","Waiting for payment")</f>
        <v/>
      </c>
      <c r="AN1002" s="10"/>
      <c r="AO1002" s="10"/>
      <c r="AP1002" s="22" t="str">
        <f aca="false">IF(OR(C1002="",I1002="",K1002=""),"",IF(K1002="Monthly",EDATE(C1002,ROUND(I1002*SETTINGS!$I$8,0)),WORKDAY(C1002,ROUND(I1002*SETTINGS!$I$8,0))))</f>
        <v/>
      </c>
      <c r="AQ1002" s="9" t="str">
        <f aca="true">IF(C1002="","",IF(AND(AP1002&lt;&gt;"",TODAY()&gt;=AP1002),"Refi Ready",IF(TODAY()-C1002&gt;=SETTINGS!$I$11,"Prospecting","Performing")))</f>
        <v/>
      </c>
      <c r="AR1002" s="22" t="str">
        <f aca="false">IF(OR(C1002="",I1002="",K1002=""),"",IF(K1002="Monthly",EDATE(C1002,I1002),WORKDAY(C1002,I1002)))</f>
        <v/>
      </c>
      <c r="AS1002" s="11"/>
      <c r="AT1002" s="23" t="str">
        <f aca="true">IF(C1002="","",IF(AM1002="Clawed Back","CLAWED",IF(TODAY()&lt;=C1002+SETTINGS!$I$2,"⚠ AT RISK","SAFE")))</f>
        <v/>
      </c>
      <c r="AU1002" s="11"/>
      <c r="AW1002" s="24" t="n">
        <f aca="false">AW1001+IF(AND(C1002&lt;&gt;"",AO1002&lt;&gt;"",OR('REP COMMISSION'!$B$3="",T1002='REP COMMISSION'!$B$3,W1002='REP COMMISSION'!$B$3,Z1002='REP COMMISSION'!$B$3)),1,0)</f>
        <v>0</v>
      </c>
      <c r="AX1002" s="24" t="n">
        <f aca="false">AX1001+IF(AND(C1002&lt;&gt;"",OR(F1002="LOC - INITIAL",F1002="CONSOLIDATION - UPFRONT COMM",F1002="REVERSE - TOTAL FUNDING")),1,0)</f>
        <v>0</v>
      </c>
    </row>
    <row r="1003" customFormat="false" ht="15" hidden="false" customHeight="false" outlineLevel="0" collapsed="false">
      <c r="A1003" s="25" t="str">
        <f aca="false">IF(C1003&lt;&gt;"","F27-"&amp;COUNT($C$4:C1003),"")</f>
        <v/>
      </c>
      <c r="B1003" s="26" t="str">
        <f aca="false">IF(OR(F1003="LOC - INITIAL",F1003="CONSOLIDATION - UPFRONT COMM",F1003="REVERSE - TOTAL FUNDING"),A1003,"")</f>
        <v/>
      </c>
      <c r="C1003" s="27"/>
      <c r="D1003" s="28"/>
      <c r="E1003" s="28"/>
      <c r="F1003" s="28"/>
      <c r="G1003" s="29"/>
      <c r="H1003" s="30"/>
      <c r="I1003" s="28"/>
      <c r="J1003" s="31" t="str">
        <f aca="false">IF(AND(G1003&lt;&gt;"",H1003&lt;&gt;""),G1003*H1003,"")</f>
        <v/>
      </c>
      <c r="K1003" s="28"/>
      <c r="L1003" s="32"/>
      <c r="M1003" s="32"/>
      <c r="N1003" s="31" t="n">
        <f aca="false">IF(OR(G1003="",M1003=""),0,IF(M1003&gt;100,M1003,G1003*IF(M1003&gt;1,M1003/100,M1003)))</f>
        <v>0</v>
      </c>
      <c r="O1003" s="31" t="str">
        <f aca="false">IF(G1003="","",G1003*IF(L1003="",0,IF(L1003&gt;1,L1003/100,L1003))+N1003)</f>
        <v/>
      </c>
      <c r="P1003" s="28"/>
      <c r="Q1003" s="33" t="str">
        <f aca="false">IF(P1003="","",IFERROR(VLOOKUP(P1003,PARTNERS!$A$2:$B$30,2,0),""))</f>
        <v/>
      </c>
      <c r="R1003" s="17" t="str">
        <f aca="false">IF(O1003="","",IF(OR(P1003="",Q1003=""),0,(O1003-N1003)*IF(Q1003&gt;1,Q1003/100,Q1003)))</f>
        <v/>
      </c>
      <c r="S1003" s="31" t="str">
        <f aca="false">IF(O1003="","",O1003-R1003)</f>
        <v/>
      </c>
      <c r="T1003" s="28"/>
      <c r="U1003" s="34" t="str">
        <f aca="false">IF(T1003="","",IFERROR(VLOOKUP(T1003,REPS!$A$2:$D$40,2,0),""))</f>
        <v/>
      </c>
      <c r="V1003" s="31" t="str">
        <f aca="false">IF(O1003="","",IF(U1003="",0,O1003*IF(U1003&gt;1,U1003/100,U1003)))</f>
        <v/>
      </c>
      <c r="W1003" s="28"/>
      <c r="X1003" s="34" t="str">
        <f aca="false">IF(W1003="","",IFERROR(VLOOKUP(W1003,REPS!$A$2:$D$40,3,0),""))</f>
        <v/>
      </c>
      <c r="Y1003" s="31" t="str">
        <f aca="false">IF(O1003="","",IF(X1003="",0,O1003*IF(X1003&gt;1,X1003/100,X1003)))</f>
        <v/>
      </c>
      <c r="Z1003" s="28"/>
      <c r="AA1003" s="34" t="str">
        <f aca="false">IF(Z1003="","",IFERROR(VLOOKUP(Z1003,REPS!$A$2:$D$40,4,0),""))</f>
        <v/>
      </c>
      <c r="AB1003" s="31" t="str">
        <f aca="false">IF(O1003="","",IF(AA1003="",0,O1003*IF(AA1003&gt;1,AA1003/100,AA1003)))</f>
        <v/>
      </c>
      <c r="AC1003" s="31" t="str">
        <f aca="false">IF(O1003="","",V1003+Y1003+AB1003)</f>
        <v/>
      </c>
      <c r="AD1003" s="19" t="str">
        <f aca="false">IF(O1003="","",O1003-R1003-AC1003)</f>
        <v/>
      </c>
      <c r="AE1003" s="20"/>
      <c r="AF1003" s="27"/>
      <c r="AG1003" s="21" t="n">
        <f aca="false">IF(OR(AE1003="",AE1003=0),0,AE1003*IF(U1003="",0,IF(U1003&gt;1,U1003/100,U1003)))</f>
        <v>0</v>
      </c>
      <c r="AH1003" s="21" t="n">
        <f aca="false">IF(OR(AE1003="",AE1003=0),0,AE1003*IF(X1003="",0,IF(X1003&gt;1,X1003/100,X1003)))</f>
        <v>0</v>
      </c>
      <c r="AI1003" s="21" t="n">
        <f aca="false">IF(OR(AE1003="",AE1003=0),0,AE1003*IF(AA1003="",0,IF(AA1003&gt;1,AA1003/100,AA1003)))</f>
        <v>0</v>
      </c>
      <c r="AJ1003" s="21" t="n">
        <f aca="false">AG1003+AH1003+AI1003</f>
        <v>0</v>
      </c>
      <c r="AK1003" s="21" t="n">
        <f aca="false">IF(OR(AE1003="",AE1003=0),0,AE1003-AJ1003)</f>
        <v>0</v>
      </c>
      <c r="AL1003" s="19" t="str">
        <f aca="false">IF(AD1003="","",AD1003-AK1003)</f>
        <v/>
      </c>
      <c r="AM1003" s="26" t="str">
        <f aca="false">IF(C1003="","","Waiting for payment")</f>
        <v/>
      </c>
      <c r="AN1003" s="27"/>
      <c r="AO1003" s="27"/>
      <c r="AP1003" s="35" t="str">
        <f aca="false">IF(OR(C1003="",I1003="",K1003=""),"",IF(K1003="Monthly",EDATE(C1003,ROUND(I1003*SETTINGS!$I$8,0)),WORKDAY(C1003,ROUND(I1003*SETTINGS!$I$8,0))))</f>
        <v/>
      </c>
      <c r="AQ1003" s="26" t="str">
        <f aca="true">IF(C1003="","",IF(AND(AP1003&lt;&gt;"",TODAY()&gt;=AP1003),"Refi Ready",IF(TODAY()-C1003&gt;=SETTINGS!$I$11,"Prospecting","Performing")))</f>
        <v/>
      </c>
      <c r="AR1003" s="35" t="str">
        <f aca="false">IF(OR(C1003="",I1003="",K1003=""),"",IF(K1003="Monthly",EDATE(C1003,I1003),WORKDAY(C1003,I1003)))</f>
        <v/>
      </c>
      <c r="AS1003" s="28"/>
      <c r="AT1003" s="36" t="str">
        <f aca="true">IF(C1003="","",IF(AM1003="Clawed Back","CLAWED",IF(TODAY()&lt;=C1003+SETTINGS!$I$2,"⚠ AT RISK","SAFE")))</f>
        <v/>
      </c>
      <c r="AU1003" s="28"/>
      <c r="AW1003" s="24" t="n">
        <f aca="false">AW1002+IF(AND(C1003&lt;&gt;"",AO1003&lt;&gt;"",OR('REP COMMISSION'!$B$3="",T1003='REP COMMISSION'!$B$3,W1003='REP COMMISSION'!$B$3,Z1003='REP COMMISSION'!$B$3)),1,0)</f>
        <v>0</v>
      </c>
      <c r="AX1003" s="24" t="n">
        <f aca="false">AX1002+IF(AND(C1003&lt;&gt;"",OR(F1003="LOC - INITIAL",F1003="CONSOLIDATION - UPFRONT COMM",F1003="REVERSE - TOTAL FUNDING")),1,0)</f>
        <v>0</v>
      </c>
    </row>
    <row r="1004" customFormat="false" ht="15" hidden="false" customHeight="false" outlineLevel="0" collapsed="false">
      <c r="A1004" s="8" t="str">
        <f aca="false">IF(C1004&lt;&gt;"","F27-"&amp;COUNT($C$4:C1004),"")</f>
        <v/>
      </c>
      <c r="B1004" s="9" t="str">
        <f aca="false">IF(OR(F1004="LOC - INITIAL",F1004="CONSOLIDATION - UPFRONT COMM",F1004="REVERSE - TOTAL FUNDING"),A1004,"")</f>
        <v/>
      </c>
      <c r="C1004" s="10"/>
      <c r="D1004" s="11"/>
      <c r="E1004" s="11"/>
      <c r="F1004" s="11"/>
      <c r="G1004" s="12"/>
      <c r="H1004" s="13"/>
      <c r="I1004" s="11"/>
      <c r="J1004" s="14" t="str">
        <f aca="false">IF(AND(G1004&lt;&gt;"",H1004&lt;&gt;""),G1004*H1004,"")</f>
        <v/>
      </c>
      <c r="K1004" s="11"/>
      <c r="L1004" s="15"/>
      <c r="M1004" s="15"/>
      <c r="N1004" s="14" t="n">
        <f aca="false">IF(OR(G1004="",M1004=""),0,IF(M1004&gt;100,M1004,G1004*IF(M1004&gt;1,M1004/100,M1004)))</f>
        <v>0</v>
      </c>
      <c r="O1004" s="14" t="str">
        <f aca="false">IF(G1004="","",G1004*IF(L1004="",0,IF(L1004&gt;1,L1004/100,L1004))+N1004)</f>
        <v/>
      </c>
      <c r="P1004" s="11"/>
      <c r="Q1004" s="16" t="str">
        <f aca="false">IF(P1004="","",IFERROR(VLOOKUP(P1004,PARTNERS!$A$2:$B$30,2,0),""))</f>
        <v/>
      </c>
      <c r="R1004" s="17" t="str">
        <f aca="false">IF(O1004="","",IF(OR(P1004="",Q1004=""),0,(O1004-N1004)*IF(Q1004&gt;1,Q1004/100,Q1004)))</f>
        <v/>
      </c>
      <c r="S1004" s="14" t="str">
        <f aca="false">IF(O1004="","",O1004-R1004)</f>
        <v/>
      </c>
      <c r="T1004" s="11"/>
      <c r="U1004" s="18" t="str">
        <f aca="false">IF(T1004="","",IFERROR(VLOOKUP(T1004,REPS!$A$2:$D$40,2,0),""))</f>
        <v/>
      </c>
      <c r="V1004" s="14" t="str">
        <f aca="false">IF(O1004="","",IF(U1004="",0,O1004*IF(U1004&gt;1,U1004/100,U1004)))</f>
        <v/>
      </c>
      <c r="W1004" s="11"/>
      <c r="X1004" s="18" t="str">
        <f aca="false">IF(W1004="","",IFERROR(VLOOKUP(W1004,REPS!$A$2:$D$40,3,0),""))</f>
        <v/>
      </c>
      <c r="Y1004" s="14" t="str">
        <f aca="false">IF(O1004="","",IF(X1004="",0,O1004*IF(X1004&gt;1,X1004/100,X1004)))</f>
        <v/>
      </c>
      <c r="Z1004" s="11"/>
      <c r="AA1004" s="18" t="str">
        <f aca="false">IF(Z1004="","",IFERROR(VLOOKUP(Z1004,REPS!$A$2:$D$40,4,0),""))</f>
        <v/>
      </c>
      <c r="AB1004" s="14" t="str">
        <f aca="false">IF(O1004="","",IF(AA1004="",0,O1004*IF(AA1004&gt;1,AA1004/100,AA1004)))</f>
        <v/>
      </c>
      <c r="AC1004" s="14" t="str">
        <f aca="false">IF(O1004="","",V1004+Y1004+AB1004)</f>
        <v/>
      </c>
      <c r="AD1004" s="19" t="str">
        <f aca="false">IF(O1004="","",O1004-R1004-AC1004)</f>
        <v/>
      </c>
      <c r="AE1004" s="20"/>
      <c r="AF1004" s="10"/>
      <c r="AG1004" s="21" t="n">
        <f aca="false">IF(OR(AE1004="",AE1004=0),0,AE1004*IF(U1004="",0,IF(U1004&gt;1,U1004/100,U1004)))</f>
        <v>0</v>
      </c>
      <c r="AH1004" s="21" t="n">
        <f aca="false">IF(OR(AE1004="",AE1004=0),0,AE1004*IF(X1004="",0,IF(X1004&gt;1,X1004/100,X1004)))</f>
        <v>0</v>
      </c>
      <c r="AI1004" s="21" t="n">
        <f aca="false">IF(OR(AE1004="",AE1004=0),0,AE1004*IF(AA1004="",0,IF(AA1004&gt;1,AA1004/100,AA1004)))</f>
        <v>0</v>
      </c>
      <c r="AJ1004" s="21" t="n">
        <f aca="false">AG1004+AH1004+AI1004</f>
        <v>0</v>
      </c>
      <c r="AK1004" s="21" t="n">
        <f aca="false">IF(OR(AE1004="",AE1004=0),0,AE1004-AJ1004)</f>
        <v>0</v>
      </c>
      <c r="AL1004" s="19" t="str">
        <f aca="false">IF(AD1004="","",AD1004-AK1004)</f>
        <v/>
      </c>
      <c r="AM1004" s="9" t="str">
        <f aca="false">IF(C1004="","","Waiting for payment")</f>
        <v/>
      </c>
      <c r="AN1004" s="10"/>
      <c r="AO1004" s="10"/>
      <c r="AP1004" s="22" t="str">
        <f aca="false">IF(OR(C1004="",I1004="",K1004=""),"",IF(K1004="Monthly",EDATE(C1004,ROUND(I1004*SETTINGS!$I$8,0)),WORKDAY(C1004,ROUND(I1004*SETTINGS!$I$8,0))))</f>
        <v/>
      </c>
      <c r="AQ1004" s="9" t="str">
        <f aca="true">IF(C1004="","",IF(AND(AP1004&lt;&gt;"",TODAY()&gt;=AP1004),"Refi Ready",IF(TODAY()-C1004&gt;=SETTINGS!$I$11,"Prospecting","Performing")))</f>
        <v/>
      </c>
      <c r="AR1004" s="22" t="str">
        <f aca="false">IF(OR(C1004="",I1004="",K1004=""),"",IF(K1004="Monthly",EDATE(C1004,I1004),WORKDAY(C1004,I1004)))</f>
        <v/>
      </c>
      <c r="AS1004" s="11"/>
      <c r="AT1004" s="23" t="str">
        <f aca="true">IF(C1004="","",IF(AM1004="Clawed Back","CLAWED",IF(TODAY()&lt;=C1004+SETTINGS!$I$2,"⚠ AT RISK","SAFE")))</f>
        <v/>
      </c>
      <c r="AU1004" s="11"/>
      <c r="AW1004" s="24" t="n">
        <f aca="false">AW1003+IF(AND(C1004&lt;&gt;"",AO1004&lt;&gt;"",OR('REP COMMISSION'!$B$3="",T1004='REP COMMISSION'!$B$3,W1004='REP COMMISSION'!$B$3,Z1004='REP COMMISSION'!$B$3)),1,0)</f>
        <v>0</v>
      </c>
      <c r="AX1004" s="24" t="n">
        <f aca="false">AX1003+IF(AND(C1004&lt;&gt;"",OR(F1004="LOC - INITIAL",F1004="CONSOLIDATION - UPFRONT COMM",F1004="REVERSE - TOTAL FUNDING")),1,0)</f>
        <v>0</v>
      </c>
    </row>
    <row r="1005" customFormat="false" ht="15" hidden="false" customHeight="false" outlineLevel="0" collapsed="false">
      <c r="A1005" s="25" t="str">
        <f aca="false">IF(C1005&lt;&gt;"","F27-"&amp;COUNT($C$4:C1005),"")</f>
        <v/>
      </c>
      <c r="B1005" s="26" t="str">
        <f aca="false">IF(OR(F1005="LOC - INITIAL",F1005="CONSOLIDATION - UPFRONT COMM",F1005="REVERSE - TOTAL FUNDING"),A1005,"")</f>
        <v/>
      </c>
      <c r="C1005" s="27"/>
      <c r="D1005" s="28"/>
      <c r="E1005" s="28"/>
      <c r="F1005" s="28"/>
      <c r="G1005" s="29"/>
      <c r="H1005" s="30"/>
      <c r="I1005" s="28"/>
      <c r="J1005" s="31" t="str">
        <f aca="false">IF(AND(G1005&lt;&gt;"",H1005&lt;&gt;""),G1005*H1005,"")</f>
        <v/>
      </c>
      <c r="K1005" s="28"/>
      <c r="L1005" s="32"/>
      <c r="M1005" s="32"/>
      <c r="N1005" s="31" t="n">
        <f aca="false">IF(OR(G1005="",M1005=""),0,IF(M1005&gt;100,M1005,G1005*IF(M1005&gt;1,M1005/100,M1005)))</f>
        <v>0</v>
      </c>
      <c r="O1005" s="31" t="str">
        <f aca="false">IF(G1005="","",G1005*IF(L1005="",0,IF(L1005&gt;1,L1005/100,L1005))+N1005)</f>
        <v/>
      </c>
      <c r="P1005" s="28"/>
      <c r="Q1005" s="33" t="str">
        <f aca="false">IF(P1005="","",IFERROR(VLOOKUP(P1005,PARTNERS!$A$2:$B$30,2,0),""))</f>
        <v/>
      </c>
      <c r="R1005" s="17" t="str">
        <f aca="false">IF(O1005="","",IF(OR(P1005="",Q1005=""),0,(O1005-N1005)*IF(Q1005&gt;1,Q1005/100,Q1005)))</f>
        <v/>
      </c>
      <c r="S1005" s="31" t="str">
        <f aca="false">IF(O1005="","",O1005-R1005)</f>
        <v/>
      </c>
      <c r="T1005" s="28"/>
      <c r="U1005" s="34" t="str">
        <f aca="false">IF(T1005="","",IFERROR(VLOOKUP(T1005,REPS!$A$2:$D$40,2,0),""))</f>
        <v/>
      </c>
      <c r="V1005" s="31" t="str">
        <f aca="false">IF(O1005="","",IF(U1005="",0,O1005*IF(U1005&gt;1,U1005/100,U1005)))</f>
        <v/>
      </c>
      <c r="W1005" s="28"/>
      <c r="X1005" s="34" t="str">
        <f aca="false">IF(W1005="","",IFERROR(VLOOKUP(W1005,REPS!$A$2:$D$40,3,0),""))</f>
        <v/>
      </c>
      <c r="Y1005" s="31" t="str">
        <f aca="false">IF(O1005="","",IF(X1005="",0,O1005*IF(X1005&gt;1,X1005/100,X1005)))</f>
        <v/>
      </c>
      <c r="Z1005" s="28"/>
      <c r="AA1005" s="34" t="str">
        <f aca="false">IF(Z1005="","",IFERROR(VLOOKUP(Z1005,REPS!$A$2:$D$40,4,0),""))</f>
        <v/>
      </c>
      <c r="AB1005" s="31" t="str">
        <f aca="false">IF(O1005="","",IF(AA1005="",0,O1005*IF(AA1005&gt;1,AA1005/100,AA1005)))</f>
        <v/>
      </c>
      <c r="AC1005" s="31" t="str">
        <f aca="false">IF(O1005="","",V1005+Y1005+AB1005)</f>
        <v/>
      </c>
      <c r="AD1005" s="19" t="str">
        <f aca="false">IF(O1005="","",O1005-R1005-AC1005)</f>
        <v/>
      </c>
      <c r="AE1005" s="20"/>
      <c r="AF1005" s="27"/>
      <c r="AG1005" s="21" t="n">
        <f aca="false">IF(OR(AE1005="",AE1005=0),0,AE1005*IF(U1005="",0,IF(U1005&gt;1,U1005/100,U1005)))</f>
        <v>0</v>
      </c>
      <c r="AH1005" s="21" t="n">
        <f aca="false">IF(OR(AE1005="",AE1005=0),0,AE1005*IF(X1005="",0,IF(X1005&gt;1,X1005/100,X1005)))</f>
        <v>0</v>
      </c>
      <c r="AI1005" s="21" t="n">
        <f aca="false">IF(OR(AE1005="",AE1005=0),0,AE1005*IF(AA1005="",0,IF(AA1005&gt;1,AA1005/100,AA1005)))</f>
        <v>0</v>
      </c>
      <c r="AJ1005" s="21" t="n">
        <f aca="false">AG1005+AH1005+AI1005</f>
        <v>0</v>
      </c>
      <c r="AK1005" s="21" t="n">
        <f aca="false">IF(OR(AE1005="",AE1005=0),0,AE1005-AJ1005)</f>
        <v>0</v>
      </c>
      <c r="AL1005" s="19" t="str">
        <f aca="false">IF(AD1005="","",AD1005-AK1005)</f>
        <v/>
      </c>
      <c r="AM1005" s="26" t="str">
        <f aca="false">IF(C1005="","","Waiting for payment")</f>
        <v/>
      </c>
      <c r="AN1005" s="27"/>
      <c r="AO1005" s="27"/>
      <c r="AP1005" s="35" t="str">
        <f aca="false">IF(OR(C1005="",I1005="",K1005=""),"",IF(K1005="Monthly",EDATE(C1005,ROUND(I1005*SETTINGS!$I$8,0)),WORKDAY(C1005,ROUND(I1005*SETTINGS!$I$8,0))))</f>
        <v/>
      </c>
      <c r="AQ1005" s="26" t="str">
        <f aca="true">IF(C1005="","",IF(AND(AP1005&lt;&gt;"",TODAY()&gt;=AP1005),"Refi Ready",IF(TODAY()-C1005&gt;=SETTINGS!$I$11,"Prospecting","Performing")))</f>
        <v/>
      </c>
      <c r="AR1005" s="35" t="str">
        <f aca="false">IF(OR(C1005="",I1005="",K1005=""),"",IF(K1005="Monthly",EDATE(C1005,I1005),WORKDAY(C1005,I1005)))</f>
        <v/>
      </c>
      <c r="AS1005" s="28"/>
      <c r="AT1005" s="36" t="str">
        <f aca="true">IF(C1005="","",IF(AM1005="Clawed Back","CLAWED",IF(TODAY()&lt;=C1005+SETTINGS!$I$2,"⚠ AT RISK","SAFE")))</f>
        <v/>
      </c>
      <c r="AU1005" s="28"/>
      <c r="AW1005" s="24" t="n">
        <f aca="false">AW1004+IF(AND(C1005&lt;&gt;"",AO1005&lt;&gt;"",OR('REP COMMISSION'!$B$3="",T1005='REP COMMISSION'!$B$3,W1005='REP COMMISSION'!$B$3,Z1005='REP COMMISSION'!$B$3)),1,0)</f>
        <v>0</v>
      </c>
      <c r="AX1005" s="24" t="n">
        <f aca="false">AX1004+IF(AND(C1005&lt;&gt;"",OR(F1005="LOC - INITIAL",F1005="CONSOLIDATION - UPFRONT COMM",F1005="REVERSE - TOTAL FUNDING")),1,0)</f>
        <v>0</v>
      </c>
    </row>
    <row r="1006" customFormat="false" ht="15" hidden="false" customHeight="false" outlineLevel="0" collapsed="false">
      <c r="A1006" s="8" t="str">
        <f aca="false">IF(C1006&lt;&gt;"","F27-"&amp;COUNT($C$4:C1006),"")</f>
        <v/>
      </c>
      <c r="B1006" s="9" t="str">
        <f aca="false">IF(OR(F1006="LOC - INITIAL",F1006="CONSOLIDATION - UPFRONT COMM",F1006="REVERSE - TOTAL FUNDING"),A1006,"")</f>
        <v/>
      </c>
      <c r="C1006" s="10"/>
      <c r="D1006" s="11"/>
      <c r="E1006" s="11"/>
      <c r="F1006" s="11"/>
      <c r="G1006" s="12"/>
      <c r="H1006" s="13"/>
      <c r="I1006" s="11"/>
      <c r="J1006" s="14" t="str">
        <f aca="false">IF(AND(G1006&lt;&gt;"",H1006&lt;&gt;""),G1006*H1006,"")</f>
        <v/>
      </c>
      <c r="K1006" s="11"/>
      <c r="L1006" s="15"/>
      <c r="M1006" s="15"/>
      <c r="N1006" s="14" t="n">
        <f aca="false">IF(OR(G1006="",M1006=""),0,IF(M1006&gt;100,M1006,G1006*IF(M1006&gt;1,M1006/100,M1006)))</f>
        <v>0</v>
      </c>
      <c r="O1006" s="14" t="str">
        <f aca="false">IF(G1006="","",G1006*IF(L1006="",0,IF(L1006&gt;1,L1006/100,L1006))+N1006)</f>
        <v/>
      </c>
      <c r="P1006" s="11"/>
      <c r="Q1006" s="16" t="str">
        <f aca="false">IF(P1006="","",IFERROR(VLOOKUP(P1006,PARTNERS!$A$2:$B$30,2,0),""))</f>
        <v/>
      </c>
      <c r="R1006" s="17" t="str">
        <f aca="false">IF(O1006="","",IF(OR(P1006="",Q1006=""),0,(O1006-N1006)*IF(Q1006&gt;1,Q1006/100,Q1006)))</f>
        <v/>
      </c>
      <c r="S1006" s="14" t="str">
        <f aca="false">IF(O1006="","",O1006-R1006)</f>
        <v/>
      </c>
      <c r="T1006" s="11"/>
      <c r="U1006" s="18" t="str">
        <f aca="false">IF(T1006="","",IFERROR(VLOOKUP(T1006,REPS!$A$2:$D$40,2,0),""))</f>
        <v/>
      </c>
      <c r="V1006" s="14" t="str">
        <f aca="false">IF(O1006="","",IF(U1006="",0,O1006*IF(U1006&gt;1,U1006/100,U1006)))</f>
        <v/>
      </c>
      <c r="W1006" s="11"/>
      <c r="X1006" s="18" t="str">
        <f aca="false">IF(W1006="","",IFERROR(VLOOKUP(W1006,REPS!$A$2:$D$40,3,0),""))</f>
        <v/>
      </c>
      <c r="Y1006" s="14" t="str">
        <f aca="false">IF(O1006="","",IF(X1006="",0,O1006*IF(X1006&gt;1,X1006/100,X1006)))</f>
        <v/>
      </c>
      <c r="Z1006" s="11"/>
      <c r="AA1006" s="18" t="str">
        <f aca="false">IF(Z1006="","",IFERROR(VLOOKUP(Z1006,REPS!$A$2:$D$40,4,0),""))</f>
        <v/>
      </c>
      <c r="AB1006" s="14" t="str">
        <f aca="false">IF(O1006="","",IF(AA1006="",0,O1006*IF(AA1006&gt;1,AA1006/100,AA1006)))</f>
        <v/>
      </c>
      <c r="AC1006" s="14" t="str">
        <f aca="false">IF(O1006="","",V1006+Y1006+AB1006)</f>
        <v/>
      </c>
      <c r="AD1006" s="19" t="str">
        <f aca="false">IF(O1006="","",O1006-R1006-AC1006)</f>
        <v/>
      </c>
      <c r="AE1006" s="20"/>
      <c r="AF1006" s="10"/>
      <c r="AG1006" s="21" t="n">
        <f aca="false">IF(OR(AE1006="",AE1006=0),0,AE1006*IF(U1006="",0,IF(U1006&gt;1,U1006/100,U1006)))</f>
        <v>0</v>
      </c>
      <c r="AH1006" s="21" t="n">
        <f aca="false">IF(OR(AE1006="",AE1006=0),0,AE1006*IF(X1006="",0,IF(X1006&gt;1,X1006/100,X1006)))</f>
        <v>0</v>
      </c>
      <c r="AI1006" s="21" t="n">
        <f aca="false">IF(OR(AE1006="",AE1006=0),0,AE1006*IF(AA1006="",0,IF(AA1006&gt;1,AA1006/100,AA1006)))</f>
        <v>0</v>
      </c>
      <c r="AJ1006" s="21" t="n">
        <f aca="false">AG1006+AH1006+AI1006</f>
        <v>0</v>
      </c>
      <c r="AK1006" s="21" t="n">
        <f aca="false">IF(OR(AE1006="",AE1006=0),0,AE1006-AJ1006)</f>
        <v>0</v>
      </c>
      <c r="AL1006" s="19" t="str">
        <f aca="false">IF(AD1006="","",AD1006-AK1006)</f>
        <v/>
      </c>
      <c r="AM1006" s="9" t="str">
        <f aca="false">IF(C1006="","","Waiting for payment")</f>
        <v/>
      </c>
      <c r="AN1006" s="10"/>
      <c r="AO1006" s="10"/>
      <c r="AP1006" s="22" t="str">
        <f aca="false">IF(OR(C1006="",I1006="",K1006=""),"",IF(K1006="Monthly",EDATE(C1006,ROUND(I1006*SETTINGS!$I$8,0)),WORKDAY(C1006,ROUND(I1006*SETTINGS!$I$8,0))))</f>
        <v/>
      </c>
      <c r="AQ1006" s="9" t="str">
        <f aca="true">IF(C1006="","",IF(AND(AP1006&lt;&gt;"",TODAY()&gt;=AP1006),"Refi Ready",IF(TODAY()-C1006&gt;=SETTINGS!$I$11,"Prospecting","Performing")))</f>
        <v/>
      </c>
      <c r="AR1006" s="22" t="str">
        <f aca="false">IF(OR(C1006="",I1006="",K1006=""),"",IF(K1006="Monthly",EDATE(C1006,I1006),WORKDAY(C1006,I1006)))</f>
        <v/>
      </c>
      <c r="AS1006" s="11"/>
      <c r="AT1006" s="23" t="str">
        <f aca="true">IF(C1006="","",IF(AM1006="Clawed Back","CLAWED",IF(TODAY()&lt;=C1006+SETTINGS!$I$2,"⚠ AT RISK","SAFE")))</f>
        <v/>
      </c>
      <c r="AU1006" s="11"/>
      <c r="AW1006" s="24" t="n">
        <f aca="false">AW1005+IF(AND(C1006&lt;&gt;"",AO1006&lt;&gt;"",OR('REP COMMISSION'!$B$3="",T1006='REP COMMISSION'!$B$3,W1006='REP COMMISSION'!$B$3,Z1006='REP COMMISSION'!$B$3)),1,0)</f>
        <v>0</v>
      </c>
      <c r="AX1006" s="24" t="n">
        <f aca="false">AX1005+IF(AND(C1006&lt;&gt;"",OR(F1006="LOC - INITIAL",F1006="CONSOLIDATION - UPFRONT COMM",F1006="REVERSE - TOTAL FUNDING")),1,0)</f>
        <v>0</v>
      </c>
    </row>
    <row r="1007" customFormat="false" ht="15" hidden="false" customHeight="false" outlineLevel="0" collapsed="false">
      <c r="A1007" s="25" t="str">
        <f aca="false">IF(C1007&lt;&gt;"","F27-"&amp;COUNT($C$4:C1007),"")</f>
        <v/>
      </c>
      <c r="B1007" s="26" t="str">
        <f aca="false">IF(OR(F1007="LOC - INITIAL",F1007="CONSOLIDATION - UPFRONT COMM",F1007="REVERSE - TOTAL FUNDING"),A1007,"")</f>
        <v/>
      </c>
      <c r="C1007" s="27"/>
      <c r="D1007" s="28"/>
      <c r="E1007" s="28"/>
      <c r="F1007" s="28"/>
      <c r="G1007" s="29"/>
      <c r="H1007" s="30"/>
      <c r="I1007" s="28"/>
      <c r="J1007" s="31" t="str">
        <f aca="false">IF(AND(G1007&lt;&gt;"",H1007&lt;&gt;""),G1007*H1007,"")</f>
        <v/>
      </c>
      <c r="K1007" s="28"/>
      <c r="L1007" s="32"/>
      <c r="M1007" s="32"/>
      <c r="N1007" s="31" t="n">
        <f aca="false">IF(OR(G1007="",M1007=""),0,IF(M1007&gt;100,M1007,G1007*IF(M1007&gt;1,M1007/100,M1007)))</f>
        <v>0</v>
      </c>
      <c r="O1007" s="31" t="str">
        <f aca="false">IF(G1007="","",G1007*IF(L1007="",0,IF(L1007&gt;1,L1007/100,L1007))+N1007)</f>
        <v/>
      </c>
      <c r="P1007" s="28"/>
      <c r="Q1007" s="33" t="str">
        <f aca="false">IF(P1007="","",IFERROR(VLOOKUP(P1007,PARTNERS!$A$2:$B$30,2,0),""))</f>
        <v/>
      </c>
      <c r="R1007" s="17" t="str">
        <f aca="false">IF(O1007="","",IF(OR(P1007="",Q1007=""),0,(O1007-N1007)*IF(Q1007&gt;1,Q1007/100,Q1007)))</f>
        <v/>
      </c>
      <c r="S1007" s="31" t="str">
        <f aca="false">IF(O1007="","",O1007-R1007)</f>
        <v/>
      </c>
      <c r="T1007" s="28"/>
      <c r="U1007" s="34" t="str">
        <f aca="false">IF(T1007="","",IFERROR(VLOOKUP(T1007,REPS!$A$2:$D$40,2,0),""))</f>
        <v/>
      </c>
      <c r="V1007" s="31" t="str">
        <f aca="false">IF(O1007="","",IF(U1007="",0,O1007*IF(U1007&gt;1,U1007/100,U1007)))</f>
        <v/>
      </c>
      <c r="W1007" s="28"/>
      <c r="X1007" s="34" t="str">
        <f aca="false">IF(W1007="","",IFERROR(VLOOKUP(W1007,REPS!$A$2:$D$40,3,0),""))</f>
        <v/>
      </c>
      <c r="Y1007" s="31" t="str">
        <f aca="false">IF(O1007="","",IF(X1007="",0,O1007*IF(X1007&gt;1,X1007/100,X1007)))</f>
        <v/>
      </c>
      <c r="Z1007" s="28"/>
      <c r="AA1007" s="34" t="str">
        <f aca="false">IF(Z1007="","",IFERROR(VLOOKUP(Z1007,REPS!$A$2:$D$40,4,0),""))</f>
        <v/>
      </c>
      <c r="AB1007" s="31" t="str">
        <f aca="false">IF(O1007="","",IF(AA1007="",0,O1007*IF(AA1007&gt;1,AA1007/100,AA1007)))</f>
        <v/>
      </c>
      <c r="AC1007" s="31" t="str">
        <f aca="false">IF(O1007="","",V1007+Y1007+AB1007)</f>
        <v/>
      </c>
      <c r="AD1007" s="19" t="str">
        <f aca="false">IF(O1007="","",O1007-R1007-AC1007)</f>
        <v/>
      </c>
      <c r="AE1007" s="20"/>
      <c r="AF1007" s="27"/>
      <c r="AG1007" s="21" t="n">
        <f aca="false">IF(OR(AE1007="",AE1007=0),0,AE1007*IF(U1007="",0,IF(U1007&gt;1,U1007/100,U1007)))</f>
        <v>0</v>
      </c>
      <c r="AH1007" s="21" t="n">
        <f aca="false">IF(OR(AE1007="",AE1007=0),0,AE1007*IF(X1007="",0,IF(X1007&gt;1,X1007/100,X1007)))</f>
        <v>0</v>
      </c>
      <c r="AI1007" s="21" t="n">
        <f aca="false">IF(OR(AE1007="",AE1007=0),0,AE1007*IF(AA1007="",0,IF(AA1007&gt;1,AA1007/100,AA1007)))</f>
        <v>0</v>
      </c>
      <c r="AJ1007" s="21" t="n">
        <f aca="false">AG1007+AH1007+AI1007</f>
        <v>0</v>
      </c>
      <c r="AK1007" s="21" t="n">
        <f aca="false">IF(OR(AE1007="",AE1007=0),0,AE1007-AJ1007)</f>
        <v>0</v>
      </c>
      <c r="AL1007" s="19" t="str">
        <f aca="false">IF(AD1007="","",AD1007-AK1007)</f>
        <v/>
      </c>
      <c r="AM1007" s="26" t="str">
        <f aca="false">IF(C1007="","","Waiting for payment")</f>
        <v/>
      </c>
      <c r="AN1007" s="27"/>
      <c r="AO1007" s="27"/>
      <c r="AP1007" s="35" t="str">
        <f aca="false">IF(OR(C1007="",I1007="",K1007=""),"",IF(K1007="Monthly",EDATE(C1007,ROUND(I1007*SETTINGS!$I$8,0)),WORKDAY(C1007,ROUND(I1007*SETTINGS!$I$8,0))))</f>
        <v/>
      </c>
      <c r="AQ1007" s="26" t="str">
        <f aca="true">IF(C1007="","",IF(AND(AP1007&lt;&gt;"",TODAY()&gt;=AP1007),"Refi Ready",IF(TODAY()-C1007&gt;=SETTINGS!$I$11,"Prospecting","Performing")))</f>
        <v/>
      </c>
      <c r="AR1007" s="35" t="str">
        <f aca="false">IF(OR(C1007="",I1007="",K1007=""),"",IF(K1007="Monthly",EDATE(C1007,I1007),WORKDAY(C1007,I1007)))</f>
        <v/>
      </c>
      <c r="AS1007" s="28"/>
      <c r="AT1007" s="36" t="str">
        <f aca="true">IF(C1007="","",IF(AM1007="Clawed Back","CLAWED",IF(TODAY()&lt;=C1007+SETTINGS!$I$2,"⚠ AT RISK","SAFE")))</f>
        <v/>
      </c>
      <c r="AU1007" s="28"/>
      <c r="AW1007" s="24" t="n">
        <f aca="false">AW1006+IF(AND(C1007&lt;&gt;"",AO1007&lt;&gt;"",OR('REP COMMISSION'!$B$3="",T1007='REP COMMISSION'!$B$3,W1007='REP COMMISSION'!$B$3,Z1007='REP COMMISSION'!$B$3)),1,0)</f>
        <v>0</v>
      </c>
      <c r="AX1007" s="24" t="n">
        <f aca="false">AX1006+IF(AND(C1007&lt;&gt;"",OR(F1007="LOC - INITIAL",F1007="CONSOLIDATION - UPFRONT COMM",F1007="REVERSE - TOTAL FUNDING")),1,0)</f>
        <v>0</v>
      </c>
    </row>
    <row r="1008" customFormat="false" ht="15" hidden="false" customHeight="false" outlineLevel="0" collapsed="false">
      <c r="A1008" s="8" t="str">
        <f aca="false">IF(C1008&lt;&gt;"","F27-"&amp;COUNT($C$4:C1008),"")</f>
        <v/>
      </c>
      <c r="B1008" s="9" t="str">
        <f aca="false">IF(OR(F1008="LOC - INITIAL",F1008="CONSOLIDATION - UPFRONT COMM",F1008="REVERSE - TOTAL FUNDING"),A1008,"")</f>
        <v/>
      </c>
      <c r="C1008" s="10"/>
      <c r="D1008" s="11"/>
      <c r="E1008" s="11"/>
      <c r="F1008" s="11"/>
      <c r="G1008" s="12"/>
      <c r="H1008" s="13"/>
      <c r="I1008" s="11"/>
      <c r="J1008" s="14" t="str">
        <f aca="false">IF(AND(G1008&lt;&gt;"",H1008&lt;&gt;""),G1008*H1008,"")</f>
        <v/>
      </c>
      <c r="K1008" s="11"/>
      <c r="L1008" s="15"/>
      <c r="M1008" s="15"/>
      <c r="N1008" s="14" t="n">
        <f aca="false">IF(OR(G1008="",M1008=""),0,IF(M1008&gt;100,M1008,G1008*IF(M1008&gt;1,M1008/100,M1008)))</f>
        <v>0</v>
      </c>
      <c r="O1008" s="14" t="str">
        <f aca="false">IF(G1008="","",G1008*IF(L1008="",0,IF(L1008&gt;1,L1008/100,L1008))+N1008)</f>
        <v/>
      </c>
      <c r="P1008" s="11"/>
      <c r="Q1008" s="16" t="str">
        <f aca="false">IF(P1008="","",IFERROR(VLOOKUP(P1008,PARTNERS!$A$2:$B$30,2,0),""))</f>
        <v/>
      </c>
      <c r="R1008" s="17" t="str">
        <f aca="false">IF(O1008="","",IF(OR(P1008="",Q1008=""),0,(O1008-N1008)*IF(Q1008&gt;1,Q1008/100,Q1008)))</f>
        <v/>
      </c>
      <c r="S1008" s="14" t="str">
        <f aca="false">IF(O1008="","",O1008-R1008)</f>
        <v/>
      </c>
      <c r="T1008" s="11"/>
      <c r="U1008" s="18" t="str">
        <f aca="false">IF(T1008="","",IFERROR(VLOOKUP(T1008,REPS!$A$2:$D$40,2,0),""))</f>
        <v/>
      </c>
      <c r="V1008" s="14" t="str">
        <f aca="false">IF(O1008="","",IF(U1008="",0,O1008*IF(U1008&gt;1,U1008/100,U1008)))</f>
        <v/>
      </c>
      <c r="W1008" s="11"/>
      <c r="X1008" s="18" t="str">
        <f aca="false">IF(W1008="","",IFERROR(VLOOKUP(W1008,REPS!$A$2:$D$40,3,0),""))</f>
        <v/>
      </c>
      <c r="Y1008" s="14" t="str">
        <f aca="false">IF(O1008="","",IF(X1008="",0,O1008*IF(X1008&gt;1,X1008/100,X1008)))</f>
        <v/>
      </c>
      <c r="Z1008" s="11"/>
      <c r="AA1008" s="18" t="str">
        <f aca="false">IF(Z1008="","",IFERROR(VLOOKUP(Z1008,REPS!$A$2:$D$40,4,0),""))</f>
        <v/>
      </c>
      <c r="AB1008" s="14" t="str">
        <f aca="false">IF(O1008="","",IF(AA1008="",0,O1008*IF(AA1008&gt;1,AA1008/100,AA1008)))</f>
        <v/>
      </c>
      <c r="AC1008" s="14" t="str">
        <f aca="false">IF(O1008="","",V1008+Y1008+AB1008)</f>
        <v/>
      </c>
      <c r="AD1008" s="19" t="str">
        <f aca="false">IF(O1008="","",O1008-R1008-AC1008)</f>
        <v/>
      </c>
      <c r="AE1008" s="20"/>
      <c r="AF1008" s="10"/>
      <c r="AG1008" s="21" t="n">
        <f aca="false">IF(OR(AE1008="",AE1008=0),0,AE1008*IF(U1008="",0,IF(U1008&gt;1,U1008/100,U1008)))</f>
        <v>0</v>
      </c>
      <c r="AH1008" s="21" t="n">
        <f aca="false">IF(OR(AE1008="",AE1008=0),0,AE1008*IF(X1008="",0,IF(X1008&gt;1,X1008/100,X1008)))</f>
        <v>0</v>
      </c>
      <c r="AI1008" s="21" t="n">
        <f aca="false">IF(OR(AE1008="",AE1008=0),0,AE1008*IF(AA1008="",0,IF(AA1008&gt;1,AA1008/100,AA1008)))</f>
        <v>0</v>
      </c>
      <c r="AJ1008" s="21" t="n">
        <f aca="false">AG1008+AH1008+AI1008</f>
        <v>0</v>
      </c>
      <c r="AK1008" s="21" t="n">
        <f aca="false">IF(OR(AE1008="",AE1008=0),0,AE1008-AJ1008)</f>
        <v>0</v>
      </c>
      <c r="AL1008" s="19" t="str">
        <f aca="false">IF(AD1008="","",AD1008-AK1008)</f>
        <v/>
      </c>
      <c r="AM1008" s="9" t="str">
        <f aca="false">IF(C1008="","","Waiting for payment")</f>
        <v/>
      </c>
      <c r="AN1008" s="10"/>
      <c r="AO1008" s="10"/>
      <c r="AP1008" s="22" t="str">
        <f aca="false">IF(OR(C1008="",I1008="",K1008=""),"",IF(K1008="Monthly",EDATE(C1008,ROUND(I1008*SETTINGS!$I$8,0)),WORKDAY(C1008,ROUND(I1008*SETTINGS!$I$8,0))))</f>
        <v/>
      </c>
      <c r="AQ1008" s="9" t="str">
        <f aca="true">IF(C1008="","",IF(AND(AP1008&lt;&gt;"",TODAY()&gt;=AP1008),"Refi Ready",IF(TODAY()-C1008&gt;=SETTINGS!$I$11,"Prospecting","Performing")))</f>
        <v/>
      </c>
      <c r="AR1008" s="22" t="str">
        <f aca="false">IF(OR(C1008="",I1008="",K1008=""),"",IF(K1008="Monthly",EDATE(C1008,I1008),WORKDAY(C1008,I1008)))</f>
        <v/>
      </c>
      <c r="AS1008" s="11"/>
      <c r="AT1008" s="23" t="str">
        <f aca="true">IF(C1008="","",IF(AM1008="Clawed Back","CLAWED",IF(TODAY()&lt;=C1008+SETTINGS!$I$2,"⚠ AT RISK","SAFE")))</f>
        <v/>
      </c>
      <c r="AU1008" s="11"/>
      <c r="AW1008" s="24" t="n">
        <f aca="false">AW1007+IF(AND(C1008&lt;&gt;"",AO1008&lt;&gt;"",OR('REP COMMISSION'!$B$3="",T1008='REP COMMISSION'!$B$3,W1008='REP COMMISSION'!$B$3,Z1008='REP COMMISSION'!$B$3)),1,0)</f>
        <v>0</v>
      </c>
      <c r="AX1008" s="24" t="n">
        <f aca="false">AX1007+IF(AND(C1008&lt;&gt;"",OR(F1008="LOC - INITIAL",F1008="CONSOLIDATION - UPFRONT COMM",F1008="REVERSE - TOTAL FUNDING")),1,0)</f>
        <v>0</v>
      </c>
    </row>
    <row r="1009" customFormat="false" ht="15" hidden="false" customHeight="false" outlineLevel="0" collapsed="false">
      <c r="A1009" s="25" t="str">
        <f aca="false">IF(C1009&lt;&gt;"","F27-"&amp;COUNT($C$4:C1009),"")</f>
        <v/>
      </c>
      <c r="B1009" s="26" t="str">
        <f aca="false">IF(OR(F1009="LOC - INITIAL",F1009="CONSOLIDATION - UPFRONT COMM",F1009="REVERSE - TOTAL FUNDING"),A1009,"")</f>
        <v/>
      </c>
      <c r="C1009" s="27"/>
      <c r="D1009" s="28"/>
      <c r="E1009" s="28"/>
      <c r="F1009" s="28"/>
      <c r="G1009" s="29"/>
      <c r="H1009" s="30"/>
      <c r="I1009" s="28"/>
      <c r="J1009" s="31" t="str">
        <f aca="false">IF(AND(G1009&lt;&gt;"",H1009&lt;&gt;""),G1009*H1009,"")</f>
        <v/>
      </c>
      <c r="K1009" s="28"/>
      <c r="L1009" s="32"/>
      <c r="M1009" s="32"/>
      <c r="N1009" s="31" t="n">
        <f aca="false">IF(OR(G1009="",M1009=""),0,IF(M1009&gt;100,M1009,G1009*IF(M1009&gt;1,M1009/100,M1009)))</f>
        <v>0</v>
      </c>
      <c r="O1009" s="31" t="str">
        <f aca="false">IF(G1009="","",G1009*IF(L1009="",0,IF(L1009&gt;1,L1009/100,L1009))+N1009)</f>
        <v/>
      </c>
      <c r="P1009" s="28"/>
      <c r="Q1009" s="33" t="str">
        <f aca="false">IF(P1009="","",IFERROR(VLOOKUP(P1009,PARTNERS!$A$2:$B$30,2,0),""))</f>
        <v/>
      </c>
      <c r="R1009" s="17" t="str">
        <f aca="false">IF(O1009="","",IF(OR(P1009="",Q1009=""),0,(O1009-N1009)*IF(Q1009&gt;1,Q1009/100,Q1009)))</f>
        <v/>
      </c>
      <c r="S1009" s="31" t="str">
        <f aca="false">IF(O1009="","",O1009-R1009)</f>
        <v/>
      </c>
      <c r="T1009" s="28"/>
      <c r="U1009" s="34" t="str">
        <f aca="false">IF(T1009="","",IFERROR(VLOOKUP(T1009,REPS!$A$2:$D$40,2,0),""))</f>
        <v/>
      </c>
      <c r="V1009" s="31" t="str">
        <f aca="false">IF(O1009="","",IF(U1009="",0,O1009*IF(U1009&gt;1,U1009/100,U1009)))</f>
        <v/>
      </c>
      <c r="W1009" s="28"/>
      <c r="X1009" s="34" t="str">
        <f aca="false">IF(W1009="","",IFERROR(VLOOKUP(W1009,REPS!$A$2:$D$40,3,0),""))</f>
        <v/>
      </c>
      <c r="Y1009" s="31" t="str">
        <f aca="false">IF(O1009="","",IF(X1009="",0,O1009*IF(X1009&gt;1,X1009/100,X1009)))</f>
        <v/>
      </c>
      <c r="Z1009" s="28"/>
      <c r="AA1009" s="34" t="str">
        <f aca="false">IF(Z1009="","",IFERROR(VLOOKUP(Z1009,REPS!$A$2:$D$40,4,0),""))</f>
        <v/>
      </c>
      <c r="AB1009" s="31" t="str">
        <f aca="false">IF(O1009="","",IF(AA1009="",0,O1009*IF(AA1009&gt;1,AA1009/100,AA1009)))</f>
        <v/>
      </c>
      <c r="AC1009" s="31" t="str">
        <f aca="false">IF(O1009="","",V1009+Y1009+AB1009)</f>
        <v/>
      </c>
      <c r="AD1009" s="19" t="str">
        <f aca="false">IF(O1009="","",O1009-R1009-AC1009)</f>
        <v/>
      </c>
      <c r="AE1009" s="20"/>
      <c r="AF1009" s="27"/>
      <c r="AG1009" s="21" t="n">
        <f aca="false">IF(OR(AE1009="",AE1009=0),0,AE1009*IF(U1009="",0,IF(U1009&gt;1,U1009/100,U1009)))</f>
        <v>0</v>
      </c>
      <c r="AH1009" s="21" t="n">
        <f aca="false">IF(OR(AE1009="",AE1009=0),0,AE1009*IF(X1009="",0,IF(X1009&gt;1,X1009/100,X1009)))</f>
        <v>0</v>
      </c>
      <c r="AI1009" s="21" t="n">
        <f aca="false">IF(OR(AE1009="",AE1009=0),0,AE1009*IF(AA1009="",0,IF(AA1009&gt;1,AA1009/100,AA1009)))</f>
        <v>0</v>
      </c>
      <c r="AJ1009" s="21" t="n">
        <f aca="false">AG1009+AH1009+AI1009</f>
        <v>0</v>
      </c>
      <c r="AK1009" s="21" t="n">
        <f aca="false">IF(OR(AE1009="",AE1009=0),0,AE1009-AJ1009)</f>
        <v>0</v>
      </c>
      <c r="AL1009" s="19" t="str">
        <f aca="false">IF(AD1009="","",AD1009-AK1009)</f>
        <v/>
      </c>
      <c r="AM1009" s="26" t="str">
        <f aca="false">IF(C1009="","","Waiting for payment")</f>
        <v/>
      </c>
      <c r="AN1009" s="27"/>
      <c r="AO1009" s="27"/>
      <c r="AP1009" s="35" t="str">
        <f aca="false">IF(OR(C1009="",I1009="",K1009=""),"",IF(K1009="Monthly",EDATE(C1009,ROUND(I1009*SETTINGS!$I$8,0)),WORKDAY(C1009,ROUND(I1009*SETTINGS!$I$8,0))))</f>
        <v/>
      </c>
      <c r="AQ1009" s="26" t="str">
        <f aca="true">IF(C1009="","",IF(AND(AP1009&lt;&gt;"",TODAY()&gt;=AP1009),"Refi Ready",IF(TODAY()-C1009&gt;=SETTINGS!$I$11,"Prospecting","Performing")))</f>
        <v/>
      </c>
      <c r="AR1009" s="35" t="str">
        <f aca="false">IF(OR(C1009="",I1009="",K1009=""),"",IF(K1009="Monthly",EDATE(C1009,I1009),WORKDAY(C1009,I1009)))</f>
        <v/>
      </c>
      <c r="AS1009" s="28"/>
      <c r="AT1009" s="36" t="str">
        <f aca="true">IF(C1009="","",IF(AM1009="Clawed Back","CLAWED",IF(TODAY()&lt;=C1009+SETTINGS!$I$2,"⚠ AT RISK","SAFE")))</f>
        <v/>
      </c>
      <c r="AU1009" s="28"/>
      <c r="AW1009" s="24" t="n">
        <f aca="false">AW1008+IF(AND(C1009&lt;&gt;"",AO1009&lt;&gt;"",OR('REP COMMISSION'!$B$3="",T1009='REP COMMISSION'!$B$3,W1009='REP COMMISSION'!$B$3,Z1009='REP COMMISSION'!$B$3)),1,0)</f>
        <v>0</v>
      </c>
      <c r="AX1009" s="24" t="n">
        <f aca="false">AX1008+IF(AND(C1009&lt;&gt;"",OR(F1009="LOC - INITIAL",F1009="CONSOLIDATION - UPFRONT COMM",F1009="REVERSE - TOTAL FUNDING")),1,0)</f>
        <v>0</v>
      </c>
    </row>
    <row r="1010" customFormat="false" ht="15" hidden="false" customHeight="false" outlineLevel="0" collapsed="false">
      <c r="A1010" s="8" t="str">
        <f aca="false">IF(C1010&lt;&gt;"","F27-"&amp;COUNT($C$4:C1010),"")</f>
        <v/>
      </c>
      <c r="B1010" s="9" t="str">
        <f aca="false">IF(OR(F1010="LOC - INITIAL",F1010="CONSOLIDATION - UPFRONT COMM",F1010="REVERSE - TOTAL FUNDING"),A1010,"")</f>
        <v/>
      </c>
      <c r="C1010" s="10"/>
      <c r="D1010" s="11"/>
      <c r="E1010" s="11"/>
      <c r="F1010" s="11"/>
      <c r="G1010" s="12"/>
      <c r="H1010" s="13"/>
      <c r="I1010" s="11"/>
      <c r="J1010" s="14" t="str">
        <f aca="false">IF(AND(G1010&lt;&gt;"",H1010&lt;&gt;""),G1010*H1010,"")</f>
        <v/>
      </c>
      <c r="K1010" s="11"/>
      <c r="L1010" s="15"/>
      <c r="M1010" s="15"/>
      <c r="N1010" s="14" t="n">
        <f aca="false">IF(OR(G1010="",M1010=""),0,IF(M1010&gt;100,M1010,G1010*IF(M1010&gt;1,M1010/100,M1010)))</f>
        <v>0</v>
      </c>
      <c r="O1010" s="14" t="str">
        <f aca="false">IF(G1010="","",G1010*IF(L1010="",0,IF(L1010&gt;1,L1010/100,L1010))+N1010)</f>
        <v/>
      </c>
      <c r="P1010" s="11"/>
      <c r="Q1010" s="16" t="str">
        <f aca="false">IF(P1010="","",IFERROR(VLOOKUP(P1010,PARTNERS!$A$2:$B$30,2,0),""))</f>
        <v/>
      </c>
      <c r="R1010" s="17" t="str">
        <f aca="false">IF(O1010="","",IF(OR(P1010="",Q1010=""),0,(O1010-N1010)*IF(Q1010&gt;1,Q1010/100,Q1010)))</f>
        <v/>
      </c>
      <c r="S1010" s="14" t="str">
        <f aca="false">IF(O1010="","",O1010-R1010)</f>
        <v/>
      </c>
      <c r="T1010" s="11"/>
      <c r="U1010" s="18" t="str">
        <f aca="false">IF(T1010="","",IFERROR(VLOOKUP(T1010,REPS!$A$2:$D$40,2,0),""))</f>
        <v/>
      </c>
      <c r="V1010" s="14" t="str">
        <f aca="false">IF(O1010="","",IF(U1010="",0,O1010*IF(U1010&gt;1,U1010/100,U1010)))</f>
        <v/>
      </c>
      <c r="W1010" s="11"/>
      <c r="X1010" s="18" t="str">
        <f aca="false">IF(W1010="","",IFERROR(VLOOKUP(W1010,REPS!$A$2:$D$40,3,0),""))</f>
        <v/>
      </c>
      <c r="Y1010" s="14" t="str">
        <f aca="false">IF(O1010="","",IF(X1010="",0,O1010*IF(X1010&gt;1,X1010/100,X1010)))</f>
        <v/>
      </c>
      <c r="Z1010" s="11"/>
      <c r="AA1010" s="18" t="str">
        <f aca="false">IF(Z1010="","",IFERROR(VLOOKUP(Z1010,REPS!$A$2:$D$40,4,0),""))</f>
        <v/>
      </c>
      <c r="AB1010" s="14" t="str">
        <f aca="false">IF(O1010="","",IF(AA1010="",0,O1010*IF(AA1010&gt;1,AA1010/100,AA1010)))</f>
        <v/>
      </c>
      <c r="AC1010" s="14" t="str">
        <f aca="false">IF(O1010="","",V1010+Y1010+AB1010)</f>
        <v/>
      </c>
      <c r="AD1010" s="19" t="str">
        <f aca="false">IF(O1010="","",O1010-R1010-AC1010)</f>
        <v/>
      </c>
      <c r="AE1010" s="20"/>
      <c r="AF1010" s="10"/>
      <c r="AG1010" s="21" t="n">
        <f aca="false">IF(OR(AE1010="",AE1010=0),0,AE1010*IF(U1010="",0,IF(U1010&gt;1,U1010/100,U1010)))</f>
        <v>0</v>
      </c>
      <c r="AH1010" s="21" t="n">
        <f aca="false">IF(OR(AE1010="",AE1010=0),0,AE1010*IF(X1010="",0,IF(X1010&gt;1,X1010/100,X1010)))</f>
        <v>0</v>
      </c>
      <c r="AI1010" s="21" t="n">
        <f aca="false">IF(OR(AE1010="",AE1010=0),0,AE1010*IF(AA1010="",0,IF(AA1010&gt;1,AA1010/100,AA1010)))</f>
        <v>0</v>
      </c>
      <c r="AJ1010" s="21" t="n">
        <f aca="false">AG1010+AH1010+AI1010</f>
        <v>0</v>
      </c>
      <c r="AK1010" s="21" t="n">
        <f aca="false">IF(OR(AE1010="",AE1010=0),0,AE1010-AJ1010)</f>
        <v>0</v>
      </c>
      <c r="AL1010" s="19" t="str">
        <f aca="false">IF(AD1010="","",AD1010-AK1010)</f>
        <v/>
      </c>
      <c r="AM1010" s="9" t="str">
        <f aca="false">IF(C1010="","","Waiting for payment")</f>
        <v/>
      </c>
      <c r="AN1010" s="10"/>
      <c r="AO1010" s="10"/>
      <c r="AP1010" s="22" t="str">
        <f aca="false">IF(OR(C1010="",I1010="",K1010=""),"",IF(K1010="Monthly",EDATE(C1010,ROUND(I1010*SETTINGS!$I$8,0)),WORKDAY(C1010,ROUND(I1010*SETTINGS!$I$8,0))))</f>
        <v/>
      </c>
      <c r="AQ1010" s="9" t="str">
        <f aca="true">IF(C1010="","",IF(AND(AP1010&lt;&gt;"",TODAY()&gt;=AP1010),"Refi Ready",IF(TODAY()-C1010&gt;=SETTINGS!$I$11,"Prospecting","Performing")))</f>
        <v/>
      </c>
      <c r="AR1010" s="22" t="str">
        <f aca="false">IF(OR(C1010="",I1010="",K1010=""),"",IF(K1010="Monthly",EDATE(C1010,I1010),WORKDAY(C1010,I1010)))</f>
        <v/>
      </c>
      <c r="AS1010" s="11"/>
      <c r="AT1010" s="23" t="str">
        <f aca="true">IF(C1010="","",IF(AM1010="Clawed Back","CLAWED",IF(TODAY()&lt;=C1010+SETTINGS!$I$2,"⚠ AT RISK","SAFE")))</f>
        <v/>
      </c>
      <c r="AU1010" s="11"/>
      <c r="AW1010" s="24" t="n">
        <f aca="false">AW1009+IF(AND(C1010&lt;&gt;"",AO1010&lt;&gt;"",OR('REP COMMISSION'!$B$3="",T1010='REP COMMISSION'!$B$3,W1010='REP COMMISSION'!$B$3,Z1010='REP COMMISSION'!$B$3)),1,0)</f>
        <v>0</v>
      </c>
      <c r="AX1010" s="24" t="n">
        <f aca="false">AX1009+IF(AND(C1010&lt;&gt;"",OR(F1010="LOC - INITIAL",F1010="CONSOLIDATION - UPFRONT COMM",F1010="REVERSE - TOTAL FUNDING")),1,0)</f>
        <v>0</v>
      </c>
    </row>
    <row r="1011" customFormat="false" ht="15" hidden="false" customHeight="false" outlineLevel="0" collapsed="false">
      <c r="A1011" s="25" t="str">
        <f aca="false">IF(C1011&lt;&gt;"","F27-"&amp;COUNT($C$4:C1011),"")</f>
        <v/>
      </c>
      <c r="B1011" s="26" t="str">
        <f aca="false">IF(OR(F1011="LOC - INITIAL",F1011="CONSOLIDATION - UPFRONT COMM",F1011="REVERSE - TOTAL FUNDING"),A1011,"")</f>
        <v/>
      </c>
      <c r="C1011" s="27"/>
      <c r="D1011" s="28"/>
      <c r="E1011" s="28"/>
      <c r="F1011" s="28"/>
      <c r="G1011" s="29"/>
      <c r="H1011" s="30"/>
      <c r="I1011" s="28"/>
      <c r="J1011" s="31" t="str">
        <f aca="false">IF(AND(G1011&lt;&gt;"",H1011&lt;&gt;""),G1011*H1011,"")</f>
        <v/>
      </c>
      <c r="K1011" s="28"/>
      <c r="L1011" s="32"/>
      <c r="M1011" s="32"/>
      <c r="N1011" s="31" t="n">
        <f aca="false">IF(OR(G1011="",M1011=""),0,IF(M1011&gt;100,M1011,G1011*IF(M1011&gt;1,M1011/100,M1011)))</f>
        <v>0</v>
      </c>
      <c r="O1011" s="31" t="str">
        <f aca="false">IF(G1011="","",G1011*IF(L1011="",0,IF(L1011&gt;1,L1011/100,L1011))+N1011)</f>
        <v/>
      </c>
      <c r="P1011" s="28"/>
      <c r="Q1011" s="33" t="str">
        <f aca="false">IF(P1011="","",IFERROR(VLOOKUP(P1011,PARTNERS!$A$2:$B$30,2,0),""))</f>
        <v/>
      </c>
      <c r="R1011" s="17" t="str">
        <f aca="false">IF(O1011="","",IF(OR(P1011="",Q1011=""),0,(O1011-N1011)*IF(Q1011&gt;1,Q1011/100,Q1011)))</f>
        <v/>
      </c>
      <c r="S1011" s="31" t="str">
        <f aca="false">IF(O1011="","",O1011-R1011)</f>
        <v/>
      </c>
      <c r="T1011" s="28"/>
      <c r="U1011" s="34" t="str">
        <f aca="false">IF(T1011="","",IFERROR(VLOOKUP(T1011,REPS!$A$2:$D$40,2,0),""))</f>
        <v/>
      </c>
      <c r="V1011" s="31" t="str">
        <f aca="false">IF(O1011="","",IF(U1011="",0,O1011*IF(U1011&gt;1,U1011/100,U1011)))</f>
        <v/>
      </c>
      <c r="W1011" s="28"/>
      <c r="X1011" s="34" t="str">
        <f aca="false">IF(W1011="","",IFERROR(VLOOKUP(W1011,REPS!$A$2:$D$40,3,0),""))</f>
        <v/>
      </c>
      <c r="Y1011" s="31" t="str">
        <f aca="false">IF(O1011="","",IF(X1011="",0,O1011*IF(X1011&gt;1,X1011/100,X1011)))</f>
        <v/>
      </c>
      <c r="Z1011" s="28"/>
      <c r="AA1011" s="34" t="str">
        <f aca="false">IF(Z1011="","",IFERROR(VLOOKUP(Z1011,REPS!$A$2:$D$40,4,0),""))</f>
        <v/>
      </c>
      <c r="AB1011" s="31" t="str">
        <f aca="false">IF(O1011="","",IF(AA1011="",0,O1011*IF(AA1011&gt;1,AA1011/100,AA1011)))</f>
        <v/>
      </c>
      <c r="AC1011" s="31" t="str">
        <f aca="false">IF(O1011="","",V1011+Y1011+AB1011)</f>
        <v/>
      </c>
      <c r="AD1011" s="19" t="str">
        <f aca="false">IF(O1011="","",O1011-R1011-AC1011)</f>
        <v/>
      </c>
      <c r="AE1011" s="20"/>
      <c r="AF1011" s="27"/>
      <c r="AG1011" s="21" t="n">
        <f aca="false">IF(OR(AE1011="",AE1011=0),0,AE1011*IF(U1011="",0,IF(U1011&gt;1,U1011/100,U1011)))</f>
        <v>0</v>
      </c>
      <c r="AH1011" s="21" t="n">
        <f aca="false">IF(OR(AE1011="",AE1011=0),0,AE1011*IF(X1011="",0,IF(X1011&gt;1,X1011/100,X1011)))</f>
        <v>0</v>
      </c>
      <c r="AI1011" s="21" t="n">
        <f aca="false">IF(OR(AE1011="",AE1011=0),0,AE1011*IF(AA1011="",0,IF(AA1011&gt;1,AA1011/100,AA1011)))</f>
        <v>0</v>
      </c>
      <c r="AJ1011" s="21" t="n">
        <f aca="false">AG1011+AH1011+AI1011</f>
        <v>0</v>
      </c>
      <c r="AK1011" s="21" t="n">
        <f aca="false">IF(OR(AE1011="",AE1011=0),0,AE1011-AJ1011)</f>
        <v>0</v>
      </c>
      <c r="AL1011" s="19" t="str">
        <f aca="false">IF(AD1011="","",AD1011-AK1011)</f>
        <v/>
      </c>
      <c r="AM1011" s="26" t="str">
        <f aca="false">IF(C1011="","","Waiting for payment")</f>
        <v/>
      </c>
      <c r="AN1011" s="27"/>
      <c r="AO1011" s="27"/>
      <c r="AP1011" s="35" t="str">
        <f aca="false">IF(OR(C1011="",I1011="",K1011=""),"",IF(K1011="Monthly",EDATE(C1011,ROUND(I1011*SETTINGS!$I$8,0)),WORKDAY(C1011,ROUND(I1011*SETTINGS!$I$8,0))))</f>
        <v/>
      </c>
      <c r="AQ1011" s="26" t="str">
        <f aca="true">IF(C1011="","",IF(AND(AP1011&lt;&gt;"",TODAY()&gt;=AP1011),"Refi Ready",IF(TODAY()-C1011&gt;=SETTINGS!$I$11,"Prospecting","Performing")))</f>
        <v/>
      </c>
      <c r="AR1011" s="35" t="str">
        <f aca="false">IF(OR(C1011="",I1011="",K1011=""),"",IF(K1011="Monthly",EDATE(C1011,I1011),WORKDAY(C1011,I1011)))</f>
        <v/>
      </c>
      <c r="AS1011" s="28"/>
      <c r="AT1011" s="36" t="str">
        <f aca="true">IF(C1011="","",IF(AM1011="Clawed Back","CLAWED",IF(TODAY()&lt;=C1011+SETTINGS!$I$2,"⚠ AT RISK","SAFE")))</f>
        <v/>
      </c>
      <c r="AU1011" s="28"/>
      <c r="AW1011" s="24" t="n">
        <f aca="false">AW1010+IF(AND(C1011&lt;&gt;"",AO1011&lt;&gt;"",OR('REP COMMISSION'!$B$3="",T1011='REP COMMISSION'!$B$3,W1011='REP COMMISSION'!$B$3,Z1011='REP COMMISSION'!$B$3)),1,0)</f>
        <v>0</v>
      </c>
      <c r="AX1011" s="24" t="n">
        <f aca="false">AX1010+IF(AND(C1011&lt;&gt;"",OR(F1011="LOC - INITIAL",F1011="CONSOLIDATION - UPFRONT COMM",F1011="REVERSE - TOTAL FUNDING")),1,0)</f>
        <v>0</v>
      </c>
    </row>
    <row r="1012" customFormat="false" ht="15" hidden="false" customHeight="false" outlineLevel="0" collapsed="false">
      <c r="A1012" s="8" t="str">
        <f aca="false">IF(C1012&lt;&gt;"","F27-"&amp;COUNT($C$4:C1012),"")</f>
        <v/>
      </c>
      <c r="B1012" s="9" t="str">
        <f aca="false">IF(OR(F1012="LOC - INITIAL",F1012="CONSOLIDATION - UPFRONT COMM",F1012="REVERSE - TOTAL FUNDING"),A1012,"")</f>
        <v/>
      </c>
      <c r="C1012" s="10"/>
      <c r="D1012" s="11"/>
      <c r="E1012" s="11"/>
      <c r="F1012" s="11"/>
      <c r="G1012" s="12"/>
      <c r="H1012" s="13"/>
      <c r="I1012" s="11"/>
      <c r="J1012" s="14" t="str">
        <f aca="false">IF(AND(G1012&lt;&gt;"",H1012&lt;&gt;""),G1012*H1012,"")</f>
        <v/>
      </c>
      <c r="K1012" s="11"/>
      <c r="L1012" s="15"/>
      <c r="M1012" s="15"/>
      <c r="N1012" s="14" t="n">
        <f aca="false">IF(OR(G1012="",M1012=""),0,IF(M1012&gt;100,M1012,G1012*IF(M1012&gt;1,M1012/100,M1012)))</f>
        <v>0</v>
      </c>
      <c r="O1012" s="14" t="str">
        <f aca="false">IF(G1012="","",G1012*IF(L1012="",0,IF(L1012&gt;1,L1012/100,L1012))+N1012)</f>
        <v/>
      </c>
      <c r="P1012" s="11"/>
      <c r="Q1012" s="16" t="str">
        <f aca="false">IF(P1012="","",IFERROR(VLOOKUP(P1012,PARTNERS!$A$2:$B$30,2,0),""))</f>
        <v/>
      </c>
      <c r="R1012" s="17" t="str">
        <f aca="false">IF(O1012="","",IF(OR(P1012="",Q1012=""),0,(O1012-N1012)*IF(Q1012&gt;1,Q1012/100,Q1012)))</f>
        <v/>
      </c>
      <c r="S1012" s="14" t="str">
        <f aca="false">IF(O1012="","",O1012-R1012)</f>
        <v/>
      </c>
      <c r="T1012" s="11"/>
      <c r="U1012" s="18" t="str">
        <f aca="false">IF(T1012="","",IFERROR(VLOOKUP(T1012,REPS!$A$2:$D$40,2,0),""))</f>
        <v/>
      </c>
      <c r="V1012" s="14" t="str">
        <f aca="false">IF(O1012="","",IF(U1012="",0,O1012*IF(U1012&gt;1,U1012/100,U1012)))</f>
        <v/>
      </c>
      <c r="W1012" s="11"/>
      <c r="X1012" s="18" t="str">
        <f aca="false">IF(W1012="","",IFERROR(VLOOKUP(W1012,REPS!$A$2:$D$40,3,0),""))</f>
        <v/>
      </c>
      <c r="Y1012" s="14" t="str">
        <f aca="false">IF(O1012="","",IF(X1012="",0,O1012*IF(X1012&gt;1,X1012/100,X1012)))</f>
        <v/>
      </c>
      <c r="Z1012" s="11"/>
      <c r="AA1012" s="18" t="str">
        <f aca="false">IF(Z1012="","",IFERROR(VLOOKUP(Z1012,REPS!$A$2:$D$40,4,0),""))</f>
        <v/>
      </c>
      <c r="AB1012" s="14" t="str">
        <f aca="false">IF(O1012="","",IF(AA1012="",0,O1012*IF(AA1012&gt;1,AA1012/100,AA1012)))</f>
        <v/>
      </c>
      <c r="AC1012" s="14" t="str">
        <f aca="false">IF(O1012="","",V1012+Y1012+AB1012)</f>
        <v/>
      </c>
      <c r="AD1012" s="19" t="str">
        <f aca="false">IF(O1012="","",O1012-R1012-AC1012)</f>
        <v/>
      </c>
      <c r="AE1012" s="20"/>
      <c r="AF1012" s="10"/>
      <c r="AG1012" s="21" t="n">
        <f aca="false">IF(OR(AE1012="",AE1012=0),0,AE1012*IF(U1012="",0,IF(U1012&gt;1,U1012/100,U1012)))</f>
        <v>0</v>
      </c>
      <c r="AH1012" s="21" t="n">
        <f aca="false">IF(OR(AE1012="",AE1012=0),0,AE1012*IF(X1012="",0,IF(X1012&gt;1,X1012/100,X1012)))</f>
        <v>0</v>
      </c>
      <c r="AI1012" s="21" t="n">
        <f aca="false">IF(OR(AE1012="",AE1012=0),0,AE1012*IF(AA1012="",0,IF(AA1012&gt;1,AA1012/100,AA1012)))</f>
        <v>0</v>
      </c>
      <c r="AJ1012" s="21" t="n">
        <f aca="false">AG1012+AH1012+AI1012</f>
        <v>0</v>
      </c>
      <c r="AK1012" s="21" t="n">
        <f aca="false">IF(OR(AE1012="",AE1012=0),0,AE1012-AJ1012)</f>
        <v>0</v>
      </c>
      <c r="AL1012" s="19" t="str">
        <f aca="false">IF(AD1012="","",AD1012-AK1012)</f>
        <v/>
      </c>
      <c r="AM1012" s="9" t="str">
        <f aca="false">IF(C1012="","","Waiting for payment")</f>
        <v/>
      </c>
      <c r="AN1012" s="10"/>
      <c r="AO1012" s="10"/>
      <c r="AP1012" s="22" t="str">
        <f aca="false">IF(OR(C1012="",I1012="",K1012=""),"",IF(K1012="Monthly",EDATE(C1012,ROUND(I1012*SETTINGS!$I$8,0)),WORKDAY(C1012,ROUND(I1012*SETTINGS!$I$8,0))))</f>
        <v/>
      </c>
      <c r="AQ1012" s="9" t="str">
        <f aca="true">IF(C1012="","",IF(AND(AP1012&lt;&gt;"",TODAY()&gt;=AP1012),"Refi Ready",IF(TODAY()-C1012&gt;=SETTINGS!$I$11,"Prospecting","Performing")))</f>
        <v/>
      </c>
      <c r="AR1012" s="22" t="str">
        <f aca="false">IF(OR(C1012="",I1012="",K1012=""),"",IF(K1012="Monthly",EDATE(C1012,I1012),WORKDAY(C1012,I1012)))</f>
        <v/>
      </c>
      <c r="AS1012" s="11"/>
      <c r="AT1012" s="23" t="str">
        <f aca="true">IF(C1012="","",IF(AM1012="Clawed Back","CLAWED",IF(TODAY()&lt;=C1012+SETTINGS!$I$2,"⚠ AT RISK","SAFE")))</f>
        <v/>
      </c>
      <c r="AU1012" s="11"/>
      <c r="AW1012" s="24" t="n">
        <f aca="false">AW1011+IF(AND(C1012&lt;&gt;"",AO1012&lt;&gt;"",OR('REP COMMISSION'!$B$3="",T1012='REP COMMISSION'!$B$3,W1012='REP COMMISSION'!$B$3,Z1012='REP COMMISSION'!$B$3)),1,0)</f>
        <v>0</v>
      </c>
      <c r="AX1012" s="24" t="n">
        <f aca="false">AX1011+IF(AND(C1012&lt;&gt;"",OR(F1012="LOC - INITIAL",F1012="CONSOLIDATION - UPFRONT COMM",F1012="REVERSE - TOTAL FUNDING")),1,0)</f>
        <v>0</v>
      </c>
    </row>
    <row r="1013" customFormat="false" ht="15" hidden="false" customHeight="false" outlineLevel="0" collapsed="false">
      <c r="A1013" s="25" t="str">
        <f aca="false">IF(C1013&lt;&gt;"","F27-"&amp;COUNT($C$4:C1013),"")</f>
        <v/>
      </c>
      <c r="B1013" s="26" t="str">
        <f aca="false">IF(OR(F1013="LOC - INITIAL",F1013="CONSOLIDATION - UPFRONT COMM",F1013="REVERSE - TOTAL FUNDING"),A1013,"")</f>
        <v/>
      </c>
      <c r="C1013" s="27"/>
      <c r="D1013" s="28"/>
      <c r="E1013" s="28"/>
      <c r="F1013" s="28"/>
      <c r="G1013" s="29"/>
      <c r="H1013" s="30"/>
      <c r="I1013" s="28"/>
      <c r="J1013" s="31" t="str">
        <f aca="false">IF(AND(G1013&lt;&gt;"",H1013&lt;&gt;""),G1013*H1013,"")</f>
        <v/>
      </c>
      <c r="K1013" s="28"/>
      <c r="L1013" s="32"/>
      <c r="M1013" s="32"/>
      <c r="N1013" s="31" t="n">
        <f aca="false">IF(OR(G1013="",M1013=""),0,IF(M1013&gt;100,M1013,G1013*IF(M1013&gt;1,M1013/100,M1013)))</f>
        <v>0</v>
      </c>
      <c r="O1013" s="31" t="str">
        <f aca="false">IF(G1013="","",G1013*IF(L1013="",0,IF(L1013&gt;1,L1013/100,L1013))+N1013)</f>
        <v/>
      </c>
      <c r="P1013" s="28"/>
      <c r="Q1013" s="33" t="str">
        <f aca="false">IF(P1013="","",IFERROR(VLOOKUP(P1013,PARTNERS!$A$2:$B$30,2,0),""))</f>
        <v/>
      </c>
      <c r="R1013" s="17" t="str">
        <f aca="false">IF(O1013="","",IF(OR(P1013="",Q1013=""),0,(O1013-N1013)*IF(Q1013&gt;1,Q1013/100,Q1013)))</f>
        <v/>
      </c>
      <c r="S1013" s="31" t="str">
        <f aca="false">IF(O1013="","",O1013-R1013)</f>
        <v/>
      </c>
      <c r="T1013" s="28"/>
      <c r="U1013" s="34" t="str">
        <f aca="false">IF(T1013="","",IFERROR(VLOOKUP(T1013,REPS!$A$2:$D$40,2,0),""))</f>
        <v/>
      </c>
      <c r="V1013" s="31" t="str">
        <f aca="false">IF(O1013="","",IF(U1013="",0,O1013*IF(U1013&gt;1,U1013/100,U1013)))</f>
        <v/>
      </c>
      <c r="W1013" s="28"/>
      <c r="X1013" s="34" t="str">
        <f aca="false">IF(W1013="","",IFERROR(VLOOKUP(W1013,REPS!$A$2:$D$40,3,0),""))</f>
        <v/>
      </c>
      <c r="Y1013" s="31" t="str">
        <f aca="false">IF(O1013="","",IF(X1013="",0,O1013*IF(X1013&gt;1,X1013/100,X1013)))</f>
        <v/>
      </c>
      <c r="Z1013" s="28"/>
      <c r="AA1013" s="34" t="str">
        <f aca="false">IF(Z1013="","",IFERROR(VLOOKUP(Z1013,REPS!$A$2:$D$40,4,0),""))</f>
        <v/>
      </c>
      <c r="AB1013" s="31" t="str">
        <f aca="false">IF(O1013="","",IF(AA1013="",0,O1013*IF(AA1013&gt;1,AA1013/100,AA1013)))</f>
        <v/>
      </c>
      <c r="AC1013" s="31" t="str">
        <f aca="false">IF(O1013="","",V1013+Y1013+AB1013)</f>
        <v/>
      </c>
      <c r="AD1013" s="19" t="str">
        <f aca="false">IF(O1013="","",O1013-R1013-AC1013)</f>
        <v/>
      </c>
      <c r="AE1013" s="20"/>
      <c r="AF1013" s="27"/>
      <c r="AG1013" s="21" t="n">
        <f aca="false">IF(OR(AE1013="",AE1013=0),0,AE1013*IF(U1013="",0,IF(U1013&gt;1,U1013/100,U1013)))</f>
        <v>0</v>
      </c>
      <c r="AH1013" s="21" t="n">
        <f aca="false">IF(OR(AE1013="",AE1013=0),0,AE1013*IF(X1013="",0,IF(X1013&gt;1,X1013/100,X1013)))</f>
        <v>0</v>
      </c>
      <c r="AI1013" s="21" t="n">
        <f aca="false">IF(OR(AE1013="",AE1013=0),0,AE1013*IF(AA1013="",0,IF(AA1013&gt;1,AA1013/100,AA1013)))</f>
        <v>0</v>
      </c>
      <c r="AJ1013" s="21" t="n">
        <f aca="false">AG1013+AH1013+AI1013</f>
        <v>0</v>
      </c>
      <c r="AK1013" s="21" t="n">
        <f aca="false">IF(OR(AE1013="",AE1013=0),0,AE1013-AJ1013)</f>
        <v>0</v>
      </c>
      <c r="AL1013" s="19" t="str">
        <f aca="false">IF(AD1013="","",AD1013-AK1013)</f>
        <v/>
      </c>
      <c r="AM1013" s="26" t="str">
        <f aca="false">IF(C1013="","","Waiting for payment")</f>
        <v/>
      </c>
      <c r="AN1013" s="27"/>
      <c r="AO1013" s="27"/>
      <c r="AP1013" s="35" t="str">
        <f aca="false">IF(OR(C1013="",I1013="",K1013=""),"",IF(K1013="Monthly",EDATE(C1013,ROUND(I1013*SETTINGS!$I$8,0)),WORKDAY(C1013,ROUND(I1013*SETTINGS!$I$8,0))))</f>
        <v/>
      </c>
      <c r="AQ1013" s="26" t="str">
        <f aca="true">IF(C1013="","",IF(AND(AP1013&lt;&gt;"",TODAY()&gt;=AP1013),"Refi Ready",IF(TODAY()-C1013&gt;=SETTINGS!$I$11,"Prospecting","Performing")))</f>
        <v/>
      </c>
      <c r="AR1013" s="35" t="str">
        <f aca="false">IF(OR(C1013="",I1013="",K1013=""),"",IF(K1013="Monthly",EDATE(C1013,I1013),WORKDAY(C1013,I1013)))</f>
        <v/>
      </c>
      <c r="AS1013" s="28"/>
      <c r="AT1013" s="36" t="str">
        <f aca="true">IF(C1013="","",IF(AM1013="Clawed Back","CLAWED",IF(TODAY()&lt;=C1013+SETTINGS!$I$2,"⚠ AT RISK","SAFE")))</f>
        <v/>
      </c>
      <c r="AU1013" s="28"/>
      <c r="AW1013" s="24" t="n">
        <f aca="false">AW1012+IF(AND(C1013&lt;&gt;"",AO1013&lt;&gt;"",OR('REP COMMISSION'!$B$3="",T1013='REP COMMISSION'!$B$3,W1013='REP COMMISSION'!$B$3,Z1013='REP COMMISSION'!$B$3)),1,0)</f>
        <v>0</v>
      </c>
      <c r="AX1013" s="24" t="n">
        <f aca="false">AX1012+IF(AND(C1013&lt;&gt;"",OR(F1013="LOC - INITIAL",F1013="CONSOLIDATION - UPFRONT COMM",F1013="REVERSE - TOTAL FUNDING")),1,0)</f>
        <v>0</v>
      </c>
    </row>
    <row r="1014" customFormat="false" ht="15" hidden="false" customHeight="false" outlineLevel="0" collapsed="false">
      <c r="A1014" s="8" t="str">
        <f aca="false">IF(C1014&lt;&gt;"","F27-"&amp;COUNT($C$4:C1014),"")</f>
        <v/>
      </c>
      <c r="B1014" s="9" t="str">
        <f aca="false">IF(OR(F1014="LOC - INITIAL",F1014="CONSOLIDATION - UPFRONT COMM",F1014="REVERSE - TOTAL FUNDING"),A1014,"")</f>
        <v/>
      </c>
      <c r="C1014" s="10"/>
      <c r="D1014" s="11"/>
      <c r="E1014" s="11"/>
      <c r="F1014" s="11"/>
      <c r="G1014" s="12"/>
      <c r="H1014" s="13"/>
      <c r="I1014" s="11"/>
      <c r="J1014" s="14" t="str">
        <f aca="false">IF(AND(G1014&lt;&gt;"",H1014&lt;&gt;""),G1014*H1014,"")</f>
        <v/>
      </c>
      <c r="K1014" s="11"/>
      <c r="L1014" s="15"/>
      <c r="M1014" s="15"/>
      <c r="N1014" s="14" t="n">
        <f aca="false">IF(OR(G1014="",M1014=""),0,IF(M1014&gt;100,M1014,G1014*IF(M1014&gt;1,M1014/100,M1014)))</f>
        <v>0</v>
      </c>
      <c r="O1014" s="14" t="str">
        <f aca="false">IF(G1014="","",G1014*IF(L1014="",0,IF(L1014&gt;1,L1014/100,L1014))+N1014)</f>
        <v/>
      </c>
      <c r="P1014" s="11"/>
      <c r="Q1014" s="16" t="str">
        <f aca="false">IF(P1014="","",IFERROR(VLOOKUP(P1014,PARTNERS!$A$2:$B$30,2,0),""))</f>
        <v/>
      </c>
      <c r="R1014" s="17" t="str">
        <f aca="false">IF(O1014="","",IF(OR(P1014="",Q1014=""),0,(O1014-N1014)*IF(Q1014&gt;1,Q1014/100,Q1014)))</f>
        <v/>
      </c>
      <c r="S1014" s="14" t="str">
        <f aca="false">IF(O1014="","",O1014-R1014)</f>
        <v/>
      </c>
      <c r="T1014" s="11"/>
      <c r="U1014" s="18" t="str">
        <f aca="false">IF(T1014="","",IFERROR(VLOOKUP(T1014,REPS!$A$2:$D$40,2,0),""))</f>
        <v/>
      </c>
      <c r="V1014" s="14" t="str">
        <f aca="false">IF(O1014="","",IF(U1014="",0,O1014*IF(U1014&gt;1,U1014/100,U1014)))</f>
        <v/>
      </c>
      <c r="W1014" s="11"/>
      <c r="X1014" s="18" t="str">
        <f aca="false">IF(W1014="","",IFERROR(VLOOKUP(W1014,REPS!$A$2:$D$40,3,0),""))</f>
        <v/>
      </c>
      <c r="Y1014" s="14" t="str">
        <f aca="false">IF(O1014="","",IF(X1014="",0,O1014*IF(X1014&gt;1,X1014/100,X1014)))</f>
        <v/>
      </c>
      <c r="Z1014" s="11"/>
      <c r="AA1014" s="18" t="str">
        <f aca="false">IF(Z1014="","",IFERROR(VLOOKUP(Z1014,REPS!$A$2:$D$40,4,0),""))</f>
        <v/>
      </c>
      <c r="AB1014" s="14" t="str">
        <f aca="false">IF(O1014="","",IF(AA1014="",0,O1014*IF(AA1014&gt;1,AA1014/100,AA1014)))</f>
        <v/>
      </c>
      <c r="AC1014" s="14" t="str">
        <f aca="false">IF(O1014="","",V1014+Y1014+AB1014)</f>
        <v/>
      </c>
      <c r="AD1014" s="19" t="str">
        <f aca="false">IF(O1014="","",O1014-R1014-AC1014)</f>
        <v/>
      </c>
      <c r="AE1014" s="20"/>
      <c r="AF1014" s="10"/>
      <c r="AG1014" s="21" t="n">
        <f aca="false">IF(OR(AE1014="",AE1014=0),0,AE1014*IF(U1014="",0,IF(U1014&gt;1,U1014/100,U1014)))</f>
        <v>0</v>
      </c>
      <c r="AH1014" s="21" t="n">
        <f aca="false">IF(OR(AE1014="",AE1014=0),0,AE1014*IF(X1014="",0,IF(X1014&gt;1,X1014/100,X1014)))</f>
        <v>0</v>
      </c>
      <c r="AI1014" s="21" t="n">
        <f aca="false">IF(OR(AE1014="",AE1014=0),0,AE1014*IF(AA1014="",0,IF(AA1014&gt;1,AA1014/100,AA1014)))</f>
        <v>0</v>
      </c>
      <c r="AJ1014" s="21" t="n">
        <f aca="false">AG1014+AH1014+AI1014</f>
        <v>0</v>
      </c>
      <c r="AK1014" s="21" t="n">
        <f aca="false">IF(OR(AE1014="",AE1014=0),0,AE1014-AJ1014)</f>
        <v>0</v>
      </c>
      <c r="AL1014" s="19" t="str">
        <f aca="false">IF(AD1014="","",AD1014-AK1014)</f>
        <v/>
      </c>
      <c r="AM1014" s="9" t="str">
        <f aca="false">IF(C1014="","","Waiting for payment")</f>
        <v/>
      </c>
      <c r="AN1014" s="10"/>
      <c r="AO1014" s="10"/>
      <c r="AP1014" s="22" t="str">
        <f aca="false">IF(OR(C1014="",I1014="",K1014=""),"",IF(K1014="Monthly",EDATE(C1014,ROUND(I1014*SETTINGS!$I$8,0)),WORKDAY(C1014,ROUND(I1014*SETTINGS!$I$8,0))))</f>
        <v/>
      </c>
      <c r="AQ1014" s="9" t="str">
        <f aca="true">IF(C1014="","",IF(AND(AP1014&lt;&gt;"",TODAY()&gt;=AP1014),"Refi Ready",IF(TODAY()-C1014&gt;=SETTINGS!$I$11,"Prospecting","Performing")))</f>
        <v/>
      </c>
      <c r="AR1014" s="22" t="str">
        <f aca="false">IF(OR(C1014="",I1014="",K1014=""),"",IF(K1014="Monthly",EDATE(C1014,I1014),WORKDAY(C1014,I1014)))</f>
        <v/>
      </c>
      <c r="AS1014" s="11"/>
      <c r="AT1014" s="23" t="str">
        <f aca="true">IF(C1014="","",IF(AM1014="Clawed Back","CLAWED",IF(TODAY()&lt;=C1014+SETTINGS!$I$2,"⚠ AT RISK","SAFE")))</f>
        <v/>
      </c>
      <c r="AU1014" s="11"/>
      <c r="AW1014" s="24" t="n">
        <f aca="false">AW1013+IF(AND(C1014&lt;&gt;"",AO1014&lt;&gt;"",OR('REP COMMISSION'!$B$3="",T1014='REP COMMISSION'!$B$3,W1014='REP COMMISSION'!$B$3,Z1014='REP COMMISSION'!$B$3)),1,0)</f>
        <v>0</v>
      </c>
      <c r="AX1014" s="24" t="n">
        <f aca="false">AX1013+IF(AND(C1014&lt;&gt;"",OR(F1014="LOC - INITIAL",F1014="CONSOLIDATION - UPFRONT COMM",F1014="REVERSE - TOTAL FUNDING")),1,0)</f>
        <v>0</v>
      </c>
    </row>
    <row r="1015" customFormat="false" ht="15" hidden="false" customHeight="false" outlineLevel="0" collapsed="false">
      <c r="A1015" s="25" t="str">
        <f aca="false">IF(C1015&lt;&gt;"","F27-"&amp;COUNT($C$4:C1015),"")</f>
        <v/>
      </c>
      <c r="B1015" s="26" t="str">
        <f aca="false">IF(OR(F1015="LOC - INITIAL",F1015="CONSOLIDATION - UPFRONT COMM",F1015="REVERSE - TOTAL FUNDING"),A1015,"")</f>
        <v/>
      </c>
      <c r="C1015" s="27"/>
      <c r="D1015" s="28"/>
      <c r="E1015" s="28"/>
      <c r="F1015" s="28"/>
      <c r="G1015" s="29"/>
      <c r="H1015" s="30"/>
      <c r="I1015" s="28"/>
      <c r="J1015" s="31" t="str">
        <f aca="false">IF(AND(G1015&lt;&gt;"",H1015&lt;&gt;""),G1015*H1015,"")</f>
        <v/>
      </c>
      <c r="K1015" s="28"/>
      <c r="L1015" s="32"/>
      <c r="M1015" s="32"/>
      <c r="N1015" s="31" t="n">
        <f aca="false">IF(OR(G1015="",M1015=""),0,IF(M1015&gt;100,M1015,G1015*IF(M1015&gt;1,M1015/100,M1015)))</f>
        <v>0</v>
      </c>
      <c r="O1015" s="31" t="str">
        <f aca="false">IF(G1015="","",G1015*IF(L1015="",0,IF(L1015&gt;1,L1015/100,L1015))+N1015)</f>
        <v/>
      </c>
      <c r="P1015" s="28"/>
      <c r="Q1015" s="33" t="str">
        <f aca="false">IF(P1015="","",IFERROR(VLOOKUP(P1015,PARTNERS!$A$2:$B$30,2,0),""))</f>
        <v/>
      </c>
      <c r="R1015" s="17" t="str">
        <f aca="false">IF(O1015="","",IF(OR(P1015="",Q1015=""),0,(O1015-N1015)*IF(Q1015&gt;1,Q1015/100,Q1015)))</f>
        <v/>
      </c>
      <c r="S1015" s="31" t="str">
        <f aca="false">IF(O1015="","",O1015-R1015)</f>
        <v/>
      </c>
      <c r="T1015" s="28"/>
      <c r="U1015" s="34" t="str">
        <f aca="false">IF(T1015="","",IFERROR(VLOOKUP(T1015,REPS!$A$2:$D$40,2,0),""))</f>
        <v/>
      </c>
      <c r="V1015" s="31" t="str">
        <f aca="false">IF(O1015="","",IF(U1015="",0,O1015*IF(U1015&gt;1,U1015/100,U1015)))</f>
        <v/>
      </c>
      <c r="W1015" s="28"/>
      <c r="X1015" s="34" t="str">
        <f aca="false">IF(W1015="","",IFERROR(VLOOKUP(W1015,REPS!$A$2:$D$40,3,0),""))</f>
        <v/>
      </c>
      <c r="Y1015" s="31" t="str">
        <f aca="false">IF(O1015="","",IF(X1015="",0,O1015*IF(X1015&gt;1,X1015/100,X1015)))</f>
        <v/>
      </c>
      <c r="Z1015" s="28"/>
      <c r="AA1015" s="34" t="str">
        <f aca="false">IF(Z1015="","",IFERROR(VLOOKUP(Z1015,REPS!$A$2:$D$40,4,0),""))</f>
        <v/>
      </c>
      <c r="AB1015" s="31" t="str">
        <f aca="false">IF(O1015="","",IF(AA1015="",0,O1015*IF(AA1015&gt;1,AA1015/100,AA1015)))</f>
        <v/>
      </c>
      <c r="AC1015" s="31" t="str">
        <f aca="false">IF(O1015="","",V1015+Y1015+AB1015)</f>
        <v/>
      </c>
      <c r="AD1015" s="19" t="str">
        <f aca="false">IF(O1015="","",O1015-R1015-AC1015)</f>
        <v/>
      </c>
      <c r="AE1015" s="20"/>
      <c r="AF1015" s="27"/>
      <c r="AG1015" s="21" t="n">
        <f aca="false">IF(OR(AE1015="",AE1015=0),0,AE1015*IF(U1015="",0,IF(U1015&gt;1,U1015/100,U1015)))</f>
        <v>0</v>
      </c>
      <c r="AH1015" s="21" t="n">
        <f aca="false">IF(OR(AE1015="",AE1015=0),0,AE1015*IF(X1015="",0,IF(X1015&gt;1,X1015/100,X1015)))</f>
        <v>0</v>
      </c>
      <c r="AI1015" s="21" t="n">
        <f aca="false">IF(OR(AE1015="",AE1015=0),0,AE1015*IF(AA1015="",0,IF(AA1015&gt;1,AA1015/100,AA1015)))</f>
        <v>0</v>
      </c>
      <c r="AJ1015" s="21" t="n">
        <f aca="false">AG1015+AH1015+AI1015</f>
        <v>0</v>
      </c>
      <c r="AK1015" s="21" t="n">
        <f aca="false">IF(OR(AE1015="",AE1015=0),0,AE1015-AJ1015)</f>
        <v>0</v>
      </c>
      <c r="AL1015" s="19" t="str">
        <f aca="false">IF(AD1015="","",AD1015-AK1015)</f>
        <v/>
      </c>
      <c r="AM1015" s="26" t="str">
        <f aca="false">IF(C1015="","","Waiting for payment")</f>
        <v/>
      </c>
      <c r="AN1015" s="27"/>
      <c r="AO1015" s="27"/>
      <c r="AP1015" s="35" t="str">
        <f aca="false">IF(OR(C1015="",I1015="",K1015=""),"",IF(K1015="Monthly",EDATE(C1015,ROUND(I1015*SETTINGS!$I$8,0)),WORKDAY(C1015,ROUND(I1015*SETTINGS!$I$8,0))))</f>
        <v/>
      </c>
      <c r="AQ1015" s="26" t="str">
        <f aca="true">IF(C1015="","",IF(AND(AP1015&lt;&gt;"",TODAY()&gt;=AP1015),"Refi Ready",IF(TODAY()-C1015&gt;=SETTINGS!$I$11,"Prospecting","Performing")))</f>
        <v/>
      </c>
      <c r="AR1015" s="35" t="str">
        <f aca="false">IF(OR(C1015="",I1015="",K1015=""),"",IF(K1015="Monthly",EDATE(C1015,I1015),WORKDAY(C1015,I1015)))</f>
        <v/>
      </c>
      <c r="AS1015" s="28"/>
      <c r="AT1015" s="36" t="str">
        <f aca="true">IF(C1015="","",IF(AM1015="Clawed Back","CLAWED",IF(TODAY()&lt;=C1015+SETTINGS!$I$2,"⚠ AT RISK","SAFE")))</f>
        <v/>
      </c>
      <c r="AU1015" s="28"/>
      <c r="AW1015" s="24" t="n">
        <f aca="false">AW1014+IF(AND(C1015&lt;&gt;"",AO1015&lt;&gt;"",OR('REP COMMISSION'!$B$3="",T1015='REP COMMISSION'!$B$3,W1015='REP COMMISSION'!$B$3,Z1015='REP COMMISSION'!$B$3)),1,0)</f>
        <v>0</v>
      </c>
      <c r="AX1015" s="24" t="n">
        <f aca="false">AX1014+IF(AND(C1015&lt;&gt;"",OR(F1015="LOC - INITIAL",F1015="CONSOLIDATION - UPFRONT COMM",F1015="REVERSE - TOTAL FUNDING")),1,0)</f>
        <v>0</v>
      </c>
    </row>
    <row r="1016" customFormat="false" ht="15" hidden="false" customHeight="false" outlineLevel="0" collapsed="false">
      <c r="A1016" s="8" t="str">
        <f aca="false">IF(C1016&lt;&gt;"","F27-"&amp;COUNT($C$4:C1016),"")</f>
        <v/>
      </c>
      <c r="B1016" s="9" t="str">
        <f aca="false">IF(OR(F1016="LOC - INITIAL",F1016="CONSOLIDATION - UPFRONT COMM",F1016="REVERSE - TOTAL FUNDING"),A1016,"")</f>
        <v/>
      </c>
      <c r="C1016" s="10"/>
      <c r="D1016" s="11"/>
      <c r="E1016" s="11"/>
      <c r="F1016" s="11"/>
      <c r="G1016" s="12"/>
      <c r="H1016" s="13"/>
      <c r="I1016" s="11"/>
      <c r="J1016" s="14" t="str">
        <f aca="false">IF(AND(G1016&lt;&gt;"",H1016&lt;&gt;""),G1016*H1016,"")</f>
        <v/>
      </c>
      <c r="K1016" s="11"/>
      <c r="L1016" s="15"/>
      <c r="M1016" s="15"/>
      <c r="N1016" s="14" t="n">
        <f aca="false">IF(OR(G1016="",M1016=""),0,IF(M1016&gt;100,M1016,G1016*IF(M1016&gt;1,M1016/100,M1016)))</f>
        <v>0</v>
      </c>
      <c r="O1016" s="14" t="str">
        <f aca="false">IF(G1016="","",G1016*IF(L1016="",0,IF(L1016&gt;1,L1016/100,L1016))+N1016)</f>
        <v/>
      </c>
      <c r="P1016" s="11"/>
      <c r="Q1016" s="16" t="str">
        <f aca="false">IF(P1016="","",IFERROR(VLOOKUP(P1016,PARTNERS!$A$2:$B$30,2,0),""))</f>
        <v/>
      </c>
      <c r="R1016" s="17" t="str">
        <f aca="false">IF(O1016="","",IF(OR(P1016="",Q1016=""),0,(O1016-N1016)*IF(Q1016&gt;1,Q1016/100,Q1016)))</f>
        <v/>
      </c>
      <c r="S1016" s="14" t="str">
        <f aca="false">IF(O1016="","",O1016-R1016)</f>
        <v/>
      </c>
      <c r="T1016" s="11"/>
      <c r="U1016" s="18" t="str">
        <f aca="false">IF(T1016="","",IFERROR(VLOOKUP(T1016,REPS!$A$2:$D$40,2,0),""))</f>
        <v/>
      </c>
      <c r="V1016" s="14" t="str">
        <f aca="false">IF(O1016="","",IF(U1016="",0,O1016*IF(U1016&gt;1,U1016/100,U1016)))</f>
        <v/>
      </c>
      <c r="W1016" s="11"/>
      <c r="X1016" s="18" t="str">
        <f aca="false">IF(W1016="","",IFERROR(VLOOKUP(W1016,REPS!$A$2:$D$40,3,0),""))</f>
        <v/>
      </c>
      <c r="Y1016" s="14" t="str">
        <f aca="false">IF(O1016="","",IF(X1016="",0,O1016*IF(X1016&gt;1,X1016/100,X1016)))</f>
        <v/>
      </c>
      <c r="Z1016" s="11"/>
      <c r="AA1016" s="18" t="str">
        <f aca="false">IF(Z1016="","",IFERROR(VLOOKUP(Z1016,REPS!$A$2:$D$40,4,0),""))</f>
        <v/>
      </c>
      <c r="AB1016" s="14" t="str">
        <f aca="false">IF(O1016="","",IF(AA1016="",0,O1016*IF(AA1016&gt;1,AA1016/100,AA1016)))</f>
        <v/>
      </c>
      <c r="AC1016" s="14" t="str">
        <f aca="false">IF(O1016="","",V1016+Y1016+AB1016)</f>
        <v/>
      </c>
      <c r="AD1016" s="19" t="str">
        <f aca="false">IF(O1016="","",O1016-R1016-AC1016)</f>
        <v/>
      </c>
      <c r="AE1016" s="20"/>
      <c r="AF1016" s="10"/>
      <c r="AG1016" s="21" t="n">
        <f aca="false">IF(OR(AE1016="",AE1016=0),0,AE1016*IF(U1016="",0,IF(U1016&gt;1,U1016/100,U1016)))</f>
        <v>0</v>
      </c>
      <c r="AH1016" s="21" t="n">
        <f aca="false">IF(OR(AE1016="",AE1016=0),0,AE1016*IF(X1016="",0,IF(X1016&gt;1,X1016/100,X1016)))</f>
        <v>0</v>
      </c>
      <c r="AI1016" s="21" t="n">
        <f aca="false">IF(OR(AE1016="",AE1016=0),0,AE1016*IF(AA1016="",0,IF(AA1016&gt;1,AA1016/100,AA1016)))</f>
        <v>0</v>
      </c>
      <c r="AJ1016" s="21" t="n">
        <f aca="false">AG1016+AH1016+AI1016</f>
        <v>0</v>
      </c>
      <c r="AK1016" s="21" t="n">
        <f aca="false">IF(OR(AE1016="",AE1016=0),0,AE1016-AJ1016)</f>
        <v>0</v>
      </c>
      <c r="AL1016" s="19" t="str">
        <f aca="false">IF(AD1016="","",AD1016-AK1016)</f>
        <v/>
      </c>
      <c r="AM1016" s="9" t="str">
        <f aca="false">IF(C1016="","","Waiting for payment")</f>
        <v/>
      </c>
      <c r="AN1016" s="10"/>
      <c r="AO1016" s="10"/>
      <c r="AP1016" s="22" t="str">
        <f aca="false">IF(OR(C1016="",I1016="",K1016=""),"",IF(K1016="Monthly",EDATE(C1016,ROUND(I1016*SETTINGS!$I$8,0)),WORKDAY(C1016,ROUND(I1016*SETTINGS!$I$8,0))))</f>
        <v/>
      </c>
      <c r="AQ1016" s="9" t="str">
        <f aca="true">IF(C1016="","",IF(AND(AP1016&lt;&gt;"",TODAY()&gt;=AP1016),"Refi Ready",IF(TODAY()-C1016&gt;=SETTINGS!$I$11,"Prospecting","Performing")))</f>
        <v/>
      </c>
      <c r="AR1016" s="22" t="str">
        <f aca="false">IF(OR(C1016="",I1016="",K1016=""),"",IF(K1016="Monthly",EDATE(C1016,I1016),WORKDAY(C1016,I1016)))</f>
        <v/>
      </c>
      <c r="AS1016" s="11"/>
      <c r="AT1016" s="23" t="str">
        <f aca="true">IF(C1016="","",IF(AM1016="Clawed Back","CLAWED",IF(TODAY()&lt;=C1016+SETTINGS!$I$2,"⚠ AT RISK","SAFE")))</f>
        <v/>
      </c>
      <c r="AU1016" s="11"/>
      <c r="AW1016" s="24" t="n">
        <f aca="false">AW1015+IF(AND(C1016&lt;&gt;"",AO1016&lt;&gt;"",OR('REP COMMISSION'!$B$3="",T1016='REP COMMISSION'!$B$3,W1016='REP COMMISSION'!$B$3,Z1016='REP COMMISSION'!$B$3)),1,0)</f>
        <v>0</v>
      </c>
      <c r="AX1016" s="24" t="n">
        <f aca="false">AX1015+IF(AND(C1016&lt;&gt;"",OR(F1016="LOC - INITIAL",F1016="CONSOLIDATION - UPFRONT COMM",F1016="REVERSE - TOTAL FUNDING")),1,0)</f>
        <v>0</v>
      </c>
    </row>
    <row r="1017" customFormat="false" ht="15" hidden="false" customHeight="false" outlineLevel="0" collapsed="false">
      <c r="A1017" s="25" t="str">
        <f aca="false">IF(C1017&lt;&gt;"","F27-"&amp;COUNT($C$4:C1017),"")</f>
        <v/>
      </c>
      <c r="B1017" s="26" t="str">
        <f aca="false">IF(OR(F1017="LOC - INITIAL",F1017="CONSOLIDATION - UPFRONT COMM",F1017="REVERSE - TOTAL FUNDING"),A1017,"")</f>
        <v/>
      </c>
      <c r="C1017" s="27"/>
      <c r="D1017" s="28"/>
      <c r="E1017" s="28"/>
      <c r="F1017" s="28"/>
      <c r="G1017" s="29"/>
      <c r="H1017" s="30"/>
      <c r="I1017" s="28"/>
      <c r="J1017" s="31" t="str">
        <f aca="false">IF(AND(G1017&lt;&gt;"",H1017&lt;&gt;""),G1017*H1017,"")</f>
        <v/>
      </c>
      <c r="K1017" s="28"/>
      <c r="L1017" s="32"/>
      <c r="M1017" s="32"/>
      <c r="N1017" s="31" t="n">
        <f aca="false">IF(OR(G1017="",M1017=""),0,IF(M1017&gt;100,M1017,G1017*IF(M1017&gt;1,M1017/100,M1017)))</f>
        <v>0</v>
      </c>
      <c r="O1017" s="31" t="str">
        <f aca="false">IF(G1017="","",G1017*IF(L1017="",0,IF(L1017&gt;1,L1017/100,L1017))+N1017)</f>
        <v/>
      </c>
      <c r="P1017" s="28"/>
      <c r="Q1017" s="33" t="str">
        <f aca="false">IF(P1017="","",IFERROR(VLOOKUP(P1017,PARTNERS!$A$2:$B$30,2,0),""))</f>
        <v/>
      </c>
      <c r="R1017" s="17" t="str">
        <f aca="false">IF(O1017="","",IF(OR(P1017="",Q1017=""),0,(O1017-N1017)*IF(Q1017&gt;1,Q1017/100,Q1017)))</f>
        <v/>
      </c>
      <c r="S1017" s="31" t="str">
        <f aca="false">IF(O1017="","",O1017-R1017)</f>
        <v/>
      </c>
      <c r="T1017" s="28"/>
      <c r="U1017" s="34" t="str">
        <f aca="false">IF(T1017="","",IFERROR(VLOOKUP(T1017,REPS!$A$2:$D$40,2,0),""))</f>
        <v/>
      </c>
      <c r="V1017" s="31" t="str">
        <f aca="false">IF(O1017="","",IF(U1017="",0,O1017*IF(U1017&gt;1,U1017/100,U1017)))</f>
        <v/>
      </c>
      <c r="W1017" s="28"/>
      <c r="X1017" s="34" t="str">
        <f aca="false">IF(W1017="","",IFERROR(VLOOKUP(W1017,REPS!$A$2:$D$40,3,0),""))</f>
        <v/>
      </c>
      <c r="Y1017" s="31" t="str">
        <f aca="false">IF(O1017="","",IF(X1017="",0,O1017*IF(X1017&gt;1,X1017/100,X1017)))</f>
        <v/>
      </c>
      <c r="Z1017" s="28"/>
      <c r="AA1017" s="34" t="str">
        <f aca="false">IF(Z1017="","",IFERROR(VLOOKUP(Z1017,REPS!$A$2:$D$40,4,0),""))</f>
        <v/>
      </c>
      <c r="AB1017" s="31" t="str">
        <f aca="false">IF(O1017="","",IF(AA1017="",0,O1017*IF(AA1017&gt;1,AA1017/100,AA1017)))</f>
        <v/>
      </c>
      <c r="AC1017" s="31" t="str">
        <f aca="false">IF(O1017="","",V1017+Y1017+AB1017)</f>
        <v/>
      </c>
      <c r="AD1017" s="19" t="str">
        <f aca="false">IF(O1017="","",O1017-R1017-AC1017)</f>
        <v/>
      </c>
      <c r="AE1017" s="20"/>
      <c r="AF1017" s="27"/>
      <c r="AG1017" s="21" t="n">
        <f aca="false">IF(OR(AE1017="",AE1017=0),0,AE1017*IF(U1017="",0,IF(U1017&gt;1,U1017/100,U1017)))</f>
        <v>0</v>
      </c>
      <c r="AH1017" s="21" t="n">
        <f aca="false">IF(OR(AE1017="",AE1017=0),0,AE1017*IF(X1017="",0,IF(X1017&gt;1,X1017/100,X1017)))</f>
        <v>0</v>
      </c>
      <c r="AI1017" s="21" t="n">
        <f aca="false">IF(OR(AE1017="",AE1017=0),0,AE1017*IF(AA1017="",0,IF(AA1017&gt;1,AA1017/100,AA1017)))</f>
        <v>0</v>
      </c>
      <c r="AJ1017" s="21" t="n">
        <f aca="false">AG1017+AH1017+AI1017</f>
        <v>0</v>
      </c>
      <c r="AK1017" s="21" t="n">
        <f aca="false">IF(OR(AE1017="",AE1017=0),0,AE1017-AJ1017)</f>
        <v>0</v>
      </c>
      <c r="AL1017" s="19" t="str">
        <f aca="false">IF(AD1017="","",AD1017-AK1017)</f>
        <v/>
      </c>
      <c r="AM1017" s="26" t="str">
        <f aca="false">IF(C1017="","","Waiting for payment")</f>
        <v/>
      </c>
      <c r="AN1017" s="27"/>
      <c r="AO1017" s="27"/>
      <c r="AP1017" s="35" t="str">
        <f aca="false">IF(OR(C1017="",I1017="",K1017=""),"",IF(K1017="Monthly",EDATE(C1017,ROUND(I1017*SETTINGS!$I$8,0)),WORKDAY(C1017,ROUND(I1017*SETTINGS!$I$8,0))))</f>
        <v/>
      </c>
      <c r="AQ1017" s="26" t="str">
        <f aca="true">IF(C1017="","",IF(AND(AP1017&lt;&gt;"",TODAY()&gt;=AP1017),"Refi Ready",IF(TODAY()-C1017&gt;=SETTINGS!$I$11,"Prospecting","Performing")))</f>
        <v/>
      </c>
      <c r="AR1017" s="35" t="str">
        <f aca="false">IF(OR(C1017="",I1017="",K1017=""),"",IF(K1017="Monthly",EDATE(C1017,I1017),WORKDAY(C1017,I1017)))</f>
        <v/>
      </c>
      <c r="AS1017" s="28"/>
      <c r="AT1017" s="36" t="str">
        <f aca="true">IF(C1017="","",IF(AM1017="Clawed Back","CLAWED",IF(TODAY()&lt;=C1017+SETTINGS!$I$2,"⚠ AT RISK","SAFE")))</f>
        <v/>
      </c>
      <c r="AU1017" s="28"/>
      <c r="AW1017" s="24" t="n">
        <f aca="false">AW1016+IF(AND(C1017&lt;&gt;"",AO1017&lt;&gt;"",OR('REP COMMISSION'!$B$3="",T1017='REP COMMISSION'!$B$3,W1017='REP COMMISSION'!$B$3,Z1017='REP COMMISSION'!$B$3)),1,0)</f>
        <v>0</v>
      </c>
      <c r="AX1017" s="24" t="n">
        <f aca="false">AX1016+IF(AND(C1017&lt;&gt;"",OR(F1017="LOC - INITIAL",F1017="CONSOLIDATION - UPFRONT COMM",F1017="REVERSE - TOTAL FUNDING")),1,0)</f>
        <v>0</v>
      </c>
    </row>
    <row r="1018" customFormat="false" ht="15" hidden="false" customHeight="false" outlineLevel="0" collapsed="false">
      <c r="A1018" s="8" t="str">
        <f aca="false">IF(C1018&lt;&gt;"","F27-"&amp;COUNT($C$4:C1018),"")</f>
        <v/>
      </c>
      <c r="B1018" s="9" t="str">
        <f aca="false">IF(OR(F1018="LOC - INITIAL",F1018="CONSOLIDATION - UPFRONT COMM",F1018="REVERSE - TOTAL FUNDING"),A1018,"")</f>
        <v/>
      </c>
      <c r="C1018" s="10"/>
      <c r="D1018" s="11"/>
      <c r="E1018" s="11"/>
      <c r="F1018" s="11"/>
      <c r="G1018" s="12"/>
      <c r="H1018" s="13"/>
      <c r="I1018" s="11"/>
      <c r="J1018" s="14" t="str">
        <f aca="false">IF(AND(G1018&lt;&gt;"",H1018&lt;&gt;""),G1018*H1018,"")</f>
        <v/>
      </c>
      <c r="K1018" s="11"/>
      <c r="L1018" s="15"/>
      <c r="M1018" s="15"/>
      <c r="N1018" s="14" t="n">
        <f aca="false">IF(OR(G1018="",M1018=""),0,IF(M1018&gt;100,M1018,G1018*IF(M1018&gt;1,M1018/100,M1018)))</f>
        <v>0</v>
      </c>
      <c r="O1018" s="14" t="str">
        <f aca="false">IF(G1018="","",G1018*IF(L1018="",0,IF(L1018&gt;1,L1018/100,L1018))+N1018)</f>
        <v/>
      </c>
      <c r="P1018" s="11"/>
      <c r="Q1018" s="16" t="str">
        <f aca="false">IF(P1018="","",IFERROR(VLOOKUP(P1018,PARTNERS!$A$2:$B$30,2,0),""))</f>
        <v/>
      </c>
      <c r="R1018" s="17" t="str">
        <f aca="false">IF(O1018="","",IF(OR(P1018="",Q1018=""),0,(O1018-N1018)*IF(Q1018&gt;1,Q1018/100,Q1018)))</f>
        <v/>
      </c>
      <c r="S1018" s="14" t="str">
        <f aca="false">IF(O1018="","",O1018-R1018)</f>
        <v/>
      </c>
      <c r="T1018" s="11"/>
      <c r="U1018" s="18" t="str">
        <f aca="false">IF(T1018="","",IFERROR(VLOOKUP(T1018,REPS!$A$2:$D$40,2,0),""))</f>
        <v/>
      </c>
      <c r="V1018" s="14" t="str">
        <f aca="false">IF(O1018="","",IF(U1018="",0,O1018*IF(U1018&gt;1,U1018/100,U1018)))</f>
        <v/>
      </c>
      <c r="W1018" s="11"/>
      <c r="X1018" s="18" t="str">
        <f aca="false">IF(W1018="","",IFERROR(VLOOKUP(W1018,REPS!$A$2:$D$40,3,0),""))</f>
        <v/>
      </c>
      <c r="Y1018" s="14" t="str">
        <f aca="false">IF(O1018="","",IF(X1018="",0,O1018*IF(X1018&gt;1,X1018/100,X1018)))</f>
        <v/>
      </c>
      <c r="Z1018" s="11"/>
      <c r="AA1018" s="18" t="str">
        <f aca="false">IF(Z1018="","",IFERROR(VLOOKUP(Z1018,REPS!$A$2:$D$40,4,0),""))</f>
        <v/>
      </c>
      <c r="AB1018" s="14" t="str">
        <f aca="false">IF(O1018="","",IF(AA1018="",0,O1018*IF(AA1018&gt;1,AA1018/100,AA1018)))</f>
        <v/>
      </c>
      <c r="AC1018" s="14" t="str">
        <f aca="false">IF(O1018="","",V1018+Y1018+AB1018)</f>
        <v/>
      </c>
      <c r="AD1018" s="19" t="str">
        <f aca="false">IF(O1018="","",O1018-R1018-AC1018)</f>
        <v/>
      </c>
      <c r="AE1018" s="20"/>
      <c r="AF1018" s="10"/>
      <c r="AG1018" s="21" t="n">
        <f aca="false">IF(OR(AE1018="",AE1018=0),0,AE1018*IF(U1018="",0,IF(U1018&gt;1,U1018/100,U1018)))</f>
        <v>0</v>
      </c>
      <c r="AH1018" s="21" t="n">
        <f aca="false">IF(OR(AE1018="",AE1018=0),0,AE1018*IF(X1018="",0,IF(X1018&gt;1,X1018/100,X1018)))</f>
        <v>0</v>
      </c>
      <c r="AI1018" s="21" t="n">
        <f aca="false">IF(OR(AE1018="",AE1018=0),0,AE1018*IF(AA1018="",0,IF(AA1018&gt;1,AA1018/100,AA1018)))</f>
        <v>0</v>
      </c>
      <c r="AJ1018" s="21" t="n">
        <f aca="false">AG1018+AH1018+AI1018</f>
        <v>0</v>
      </c>
      <c r="AK1018" s="21" t="n">
        <f aca="false">IF(OR(AE1018="",AE1018=0),0,AE1018-AJ1018)</f>
        <v>0</v>
      </c>
      <c r="AL1018" s="19" t="str">
        <f aca="false">IF(AD1018="","",AD1018-AK1018)</f>
        <v/>
      </c>
      <c r="AM1018" s="9" t="str">
        <f aca="false">IF(C1018="","","Waiting for payment")</f>
        <v/>
      </c>
      <c r="AN1018" s="10"/>
      <c r="AO1018" s="10"/>
      <c r="AP1018" s="22" t="str">
        <f aca="false">IF(OR(C1018="",I1018="",K1018=""),"",IF(K1018="Monthly",EDATE(C1018,ROUND(I1018*SETTINGS!$I$8,0)),WORKDAY(C1018,ROUND(I1018*SETTINGS!$I$8,0))))</f>
        <v/>
      </c>
      <c r="AQ1018" s="9" t="str">
        <f aca="true">IF(C1018="","",IF(AND(AP1018&lt;&gt;"",TODAY()&gt;=AP1018),"Refi Ready",IF(TODAY()-C1018&gt;=SETTINGS!$I$11,"Prospecting","Performing")))</f>
        <v/>
      </c>
      <c r="AR1018" s="22" t="str">
        <f aca="false">IF(OR(C1018="",I1018="",K1018=""),"",IF(K1018="Monthly",EDATE(C1018,I1018),WORKDAY(C1018,I1018)))</f>
        <v/>
      </c>
      <c r="AS1018" s="11"/>
      <c r="AT1018" s="23" t="str">
        <f aca="true">IF(C1018="","",IF(AM1018="Clawed Back","CLAWED",IF(TODAY()&lt;=C1018+SETTINGS!$I$2,"⚠ AT RISK","SAFE")))</f>
        <v/>
      </c>
      <c r="AU1018" s="11"/>
      <c r="AW1018" s="24" t="n">
        <f aca="false">AW1017+IF(AND(C1018&lt;&gt;"",AO1018&lt;&gt;"",OR('REP COMMISSION'!$B$3="",T1018='REP COMMISSION'!$B$3,W1018='REP COMMISSION'!$B$3,Z1018='REP COMMISSION'!$B$3)),1,0)</f>
        <v>0</v>
      </c>
      <c r="AX1018" s="24" t="n">
        <f aca="false">AX1017+IF(AND(C1018&lt;&gt;"",OR(F1018="LOC - INITIAL",F1018="CONSOLIDATION - UPFRONT COMM",F1018="REVERSE - TOTAL FUNDING")),1,0)</f>
        <v>0</v>
      </c>
    </row>
    <row r="1019" customFormat="false" ht="15" hidden="false" customHeight="false" outlineLevel="0" collapsed="false">
      <c r="A1019" s="25" t="str">
        <f aca="false">IF(C1019&lt;&gt;"","F27-"&amp;COUNT($C$4:C1019),"")</f>
        <v/>
      </c>
      <c r="B1019" s="26" t="str">
        <f aca="false">IF(OR(F1019="LOC - INITIAL",F1019="CONSOLIDATION - UPFRONT COMM",F1019="REVERSE - TOTAL FUNDING"),A1019,"")</f>
        <v/>
      </c>
      <c r="C1019" s="27"/>
      <c r="D1019" s="28"/>
      <c r="E1019" s="28"/>
      <c r="F1019" s="28"/>
      <c r="G1019" s="29"/>
      <c r="H1019" s="30"/>
      <c r="I1019" s="28"/>
      <c r="J1019" s="31" t="str">
        <f aca="false">IF(AND(G1019&lt;&gt;"",H1019&lt;&gt;""),G1019*H1019,"")</f>
        <v/>
      </c>
      <c r="K1019" s="28"/>
      <c r="L1019" s="32"/>
      <c r="M1019" s="32"/>
      <c r="N1019" s="31" t="n">
        <f aca="false">IF(OR(G1019="",M1019=""),0,IF(M1019&gt;100,M1019,G1019*IF(M1019&gt;1,M1019/100,M1019)))</f>
        <v>0</v>
      </c>
      <c r="O1019" s="31" t="str">
        <f aca="false">IF(G1019="","",G1019*IF(L1019="",0,IF(L1019&gt;1,L1019/100,L1019))+N1019)</f>
        <v/>
      </c>
      <c r="P1019" s="28"/>
      <c r="Q1019" s="33" t="str">
        <f aca="false">IF(P1019="","",IFERROR(VLOOKUP(P1019,PARTNERS!$A$2:$B$30,2,0),""))</f>
        <v/>
      </c>
      <c r="R1019" s="17" t="str">
        <f aca="false">IF(O1019="","",IF(OR(P1019="",Q1019=""),0,(O1019-N1019)*IF(Q1019&gt;1,Q1019/100,Q1019)))</f>
        <v/>
      </c>
      <c r="S1019" s="31" t="str">
        <f aca="false">IF(O1019="","",O1019-R1019)</f>
        <v/>
      </c>
      <c r="T1019" s="28"/>
      <c r="U1019" s="34" t="str">
        <f aca="false">IF(T1019="","",IFERROR(VLOOKUP(T1019,REPS!$A$2:$D$40,2,0),""))</f>
        <v/>
      </c>
      <c r="V1019" s="31" t="str">
        <f aca="false">IF(O1019="","",IF(U1019="",0,O1019*IF(U1019&gt;1,U1019/100,U1019)))</f>
        <v/>
      </c>
      <c r="W1019" s="28"/>
      <c r="X1019" s="34" t="str">
        <f aca="false">IF(W1019="","",IFERROR(VLOOKUP(W1019,REPS!$A$2:$D$40,3,0),""))</f>
        <v/>
      </c>
      <c r="Y1019" s="31" t="str">
        <f aca="false">IF(O1019="","",IF(X1019="",0,O1019*IF(X1019&gt;1,X1019/100,X1019)))</f>
        <v/>
      </c>
      <c r="Z1019" s="28"/>
      <c r="AA1019" s="34" t="str">
        <f aca="false">IF(Z1019="","",IFERROR(VLOOKUP(Z1019,REPS!$A$2:$D$40,4,0),""))</f>
        <v/>
      </c>
      <c r="AB1019" s="31" t="str">
        <f aca="false">IF(O1019="","",IF(AA1019="",0,O1019*IF(AA1019&gt;1,AA1019/100,AA1019)))</f>
        <v/>
      </c>
      <c r="AC1019" s="31" t="str">
        <f aca="false">IF(O1019="","",V1019+Y1019+AB1019)</f>
        <v/>
      </c>
      <c r="AD1019" s="19" t="str">
        <f aca="false">IF(O1019="","",O1019-R1019-AC1019)</f>
        <v/>
      </c>
      <c r="AE1019" s="20"/>
      <c r="AF1019" s="27"/>
      <c r="AG1019" s="21" t="n">
        <f aca="false">IF(OR(AE1019="",AE1019=0),0,AE1019*IF(U1019="",0,IF(U1019&gt;1,U1019/100,U1019)))</f>
        <v>0</v>
      </c>
      <c r="AH1019" s="21" t="n">
        <f aca="false">IF(OR(AE1019="",AE1019=0),0,AE1019*IF(X1019="",0,IF(X1019&gt;1,X1019/100,X1019)))</f>
        <v>0</v>
      </c>
      <c r="AI1019" s="21" t="n">
        <f aca="false">IF(OR(AE1019="",AE1019=0),0,AE1019*IF(AA1019="",0,IF(AA1019&gt;1,AA1019/100,AA1019)))</f>
        <v>0</v>
      </c>
      <c r="AJ1019" s="21" t="n">
        <f aca="false">AG1019+AH1019+AI1019</f>
        <v>0</v>
      </c>
      <c r="AK1019" s="21" t="n">
        <f aca="false">IF(OR(AE1019="",AE1019=0),0,AE1019-AJ1019)</f>
        <v>0</v>
      </c>
      <c r="AL1019" s="19" t="str">
        <f aca="false">IF(AD1019="","",AD1019-AK1019)</f>
        <v/>
      </c>
      <c r="AM1019" s="26" t="str">
        <f aca="false">IF(C1019="","","Waiting for payment")</f>
        <v/>
      </c>
      <c r="AN1019" s="27"/>
      <c r="AO1019" s="27"/>
      <c r="AP1019" s="35" t="str">
        <f aca="false">IF(OR(C1019="",I1019="",K1019=""),"",IF(K1019="Monthly",EDATE(C1019,ROUND(I1019*SETTINGS!$I$8,0)),WORKDAY(C1019,ROUND(I1019*SETTINGS!$I$8,0))))</f>
        <v/>
      </c>
      <c r="AQ1019" s="26" t="str">
        <f aca="true">IF(C1019="","",IF(AND(AP1019&lt;&gt;"",TODAY()&gt;=AP1019),"Refi Ready",IF(TODAY()-C1019&gt;=SETTINGS!$I$11,"Prospecting","Performing")))</f>
        <v/>
      </c>
      <c r="AR1019" s="35" t="str">
        <f aca="false">IF(OR(C1019="",I1019="",K1019=""),"",IF(K1019="Monthly",EDATE(C1019,I1019),WORKDAY(C1019,I1019)))</f>
        <v/>
      </c>
      <c r="AS1019" s="28"/>
      <c r="AT1019" s="36" t="str">
        <f aca="true">IF(C1019="","",IF(AM1019="Clawed Back","CLAWED",IF(TODAY()&lt;=C1019+SETTINGS!$I$2,"⚠ AT RISK","SAFE")))</f>
        <v/>
      </c>
      <c r="AU1019" s="28"/>
      <c r="AW1019" s="24" t="n">
        <f aca="false">AW1018+IF(AND(C1019&lt;&gt;"",AO1019&lt;&gt;"",OR('REP COMMISSION'!$B$3="",T1019='REP COMMISSION'!$B$3,W1019='REP COMMISSION'!$B$3,Z1019='REP COMMISSION'!$B$3)),1,0)</f>
        <v>0</v>
      </c>
      <c r="AX1019" s="24" t="n">
        <f aca="false">AX1018+IF(AND(C1019&lt;&gt;"",OR(F1019="LOC - INITIAL",F1019="CONSOLIDATION - UPFRONT COMM",F1019="REVERSE - TOTAL FUNDING")),1,0)</f>
        <v>0</v>
      </c>
    </row>
    <row r="1020" customFormat="false" ht="15" hidden="false" customHeight="false" outlineLevel="0" collapsed="false">
      <c r="A1020" s="8" t="str">
        <f aca="false">IF(C1020&lt;&gt;"","F27-"&amp;COUNT($C$4:C1020),"")</f>
        <v/>
      </c>
      <c r="B1020" s="9" t="str">
        <f aca="false">IF(OR(F1020="LOC - INITIAL",F1020="CONSOLIDATION - UPFRONT COMM",F1020="REVERSE - TOTAL FUNDING"),A1020,"")</f>
        <v/>
      </c>
      <c r="C1020" s="10"/>
      <c r="D1020" s="11"/>
      <c r="E1020" s="11"/>
      <c r="F1020" s="11"/>
      <c r="G1020" s="12"/>
      <c r="H1020" s="13"/>
      <c r="I1020" s="11"/>
      <c r="J1020" s="14" t="str">
        <f aca="false">IF(AND(G1020&lt;&gt;"",H1020&lt;&gt;""),G1020*H1020,"")</f>
        <v/>
      </c>
      <c r="K1020" s="11"/>
      <c r="L1020" s="15"/>
      <c r="M1020" s="15"/>
      <c r="N1020" s="14" t="n">
        <f aca="false">IF(OR(G1020="",M1020=""),0,IF(M1020&gt;100,M1020,G1020*IF(M1020&gt;1,M1020/100,M1020)))</f>
        <v>0</v>
      </c>
      <c r="O1020" s="14" t="str">
        <f aca="false">IF(G1020="","",G1020*IF(L1020="",0,IF(L1020&gt;1,L1020/100,L1020))+N1020)</f>
        <v/>
      </c>
      <c r="P1020" s="11"/>
      <c r="Q1020" s="16" t="str">
        <f aca="false">IF(P1020="","",IFERROR(VLOOKUP(P1020,PARTNERS!$A$2:$B$30,2,0),""))</f>
        <v/>
      </c>
      <c r="R1020" s="17" t="str">
        <f aca="false">IF(O1020="","",IF(OR(P1020="",Q1020=""),0,(O1020-N1020)*IF(Q1020&gt;1,Q1020/100,Q1020)))</f>
        <v/>
      </c>
      <c r="S1020" s="14" t="str">
        <f aca="false">IF(O1020="","",O1020-R1020)</f>
        <v/>
      </c>
      <c r="T1020" s="11"/>
      <c r="U1020" s="18" t="str">
        <f aca="false">IF(T1020="","",IFERROR(VLOOKUP(T1020,REPS!$A$2:$D$40,2,0),""))</f>
        <v/>
      </c>
      <c r="V1020" s="14" t="str">
        <f aca="false">IF(O1020="","",IF(U1020="",0,O1020*IF(U1020&gt;1,U1020/100,U1020)))</f>
        <v/>
      </c>
      <c r="W1020" s="11"/>
      <c r="X1020" s="18" t="str">
        <f aca="false">IF(W1020="","",IFERROR(VLOOKUP(W1020,REPS!$A$2:$D$40,3,0),""))</f>
        <v/>
      </c>
      <c r="Y1020" s="14" t="str">
        <f aca="false">IF(O1020="","",IF(X1020="",0,O1020*IF(X1020&gt;1,X1020/100,X1020)))</f>
        <v/>
      </c>
      <c r="Z1020" s="11"/>
      <c r="AA1020" s="18" t="str">
        <f aca="false">IF(Z1020="","",IFERROR(VLOOKUP(Z1020,REPS!$A$2:$D$40,4,0),""))</f>
        <v/>
      </c>
      <c r="AB1020" s="14" t="str">
        <f aca="false">IF(O1020="","",IF(AA1020="",0,O1020*IF(AA1020&gt;1,AA1020/100,AA1020)))</f>
        <v/>
      </c>
      <c r="AC1020" s="14" t="str">
        <f aca="false">IF(O1020="","",V1020+Y1020+AB1020)</f>
        <v/>
      </c>
      <c r="AD1020" s="19" t="str">
        <f aca="false">IF(O1020="","",O1020-R1020-AC1020)</f>
        <v/>
      </c>
      <c r="AE1020" s="20"/>
      <c r="AF1020" s="10"/>
      <c r="AG1020" s="21" t="n">
        <f aca="false">IF(OR(AE1020="",AE1020=0),0,AE1020*IF(U1020="",0,IF(U1020&gt;1,U1020/100,U1020)))</f>
        <v>0</v>
      </c>
      <c r="AH1020" s="21" t="n">
        <f aca="false">IF(OR(AE1020="",AE1020=0),0,AE1020*IF(X1020="",0,IF(X1020&gt;1,X1020/100,X1020)))</f>
        <v>0</v>
      </c>
      <c r="AI1020" s="21" t="n">
        <f aca="false">IF(OR(AE1020="",AE1020=0),0,AE1020*IF(AA1020="",0,IF(AA1020&gt;1,AA1020/100,AA1020)))</f>
        <v>0</v>
      </c>
      <c r="AJ1020" s="21" t="n">
        <f aca="false">AG1020+AH1020+AI1020</f>
        <v>0</v>
      </c>
      <c r="AK1020" s="21" t="n">
        <f aca="false">IF(OR(AE1020="",AE1020=0),0,AE1020-AJ1020)</f>
        <v>0</v>
      </c>
      <c r="AL1020" s="19" t="str">
        <f aca="false">IF(AD1020="","",AD1020-AK1020)</f>
        <v/>
      </c>
      <c r="AM1020" s="9" t="str">
        <f aca="false">IF(C1020="","","Waiting for payment")</f>
        <v/>
      </c>
      <c r="AN1020" s="10"/>
      <c r="AO1020" s="10"/>
      <c r="AP1020" s="22" t="str">
        <f aca="false">IF(OR(C1020="",I1020="",K1020=""),"",IF(K1020="Monthly",EDATE(C1020,ROUND(I1020*SETTINGS!$I$8,0)),WORKDAY(C1020,ROUND(I1020*SETTINGS!$I$8,0))))</f>
        <v/>
      </c>
      <c r="AQ1020" s="9" t="str">
        <f aca="true">IF(C1020="","",IF(AND(AP1020&lt;&gt;"",TODAY()&gt;=AP1020),"Refi Ready",IF(TODAY()-C1020&gt;=SETTINGS!$I$11,"Prospecting","Performing")))</f>
        <v/>
      </c>
      <c r="AR1020" s="22" t="str">
        <f aca="false">IF(OR(C1020="",I1020="",K1020=""),"",IF(K1020="Monthly",EDATE(C1020,I1020),WORKDAY(C1020,I1020)))</f>
        <v/>
      </c>
      <c r="AS1020" s="11"/>
      <c r="AT1020" s="23" t="str">
        <f aca="true">IF(C1020="","",IF(AM1020="Clawed Back","CLAWED",IF(TODAY()&lt;=C1020+SETTINGS!$I$2,"⚠ AT RISK","SAFE")))</f>
        <v/>
      </c>
      <c r="AU1020" s="11"/>
      <c r="AW1020" s="24" t="n">
        <f aca="false">AW1019+IF(AND(C1020&lt;&gt;"",AO1020&lt;&gt;"",OR('REP COMMISSION'!$B$3="",T1020='REP COMMISSION'!$B$3,W1020='REP COMMISSION'!$B$3,Z1020='REP COMMISSION'!$B$3)),1,0)</f>
        <v>0</v>
      </c>
      <c r="AX1020" s="24" t="n">
        <f aca="false">AX1019+IF(AND(C1020&lt;&gt;"",OR(F1020="LOC - INITIAL",F1020="CONSOLIDATION - UPFRONT COMM",F1020="REVERSE - TOTAL FUNDING")),1,0)</f>
        <v>0</v>
      </c>
    </row>
    <row r="1021" customFormat="false" ht="15" hidden="false" customHeight="false" outlineLevel="0" collapsed="false">
      <c r="A1021" s="25" t="str">
        <f aca="false">IF(C1021&lt;&gt;"","F27-"&amp;COUNT($C$4:C1021),"")</f>
        <v/>
      </c>
      <c r="B1021" s="26" t="str">
        <f aca="false">IF(OR(F1021="LOC - INITIAL",F1021="CONSOLIDATION - UPFRONT COMM",F1021="REVERSE - TOTAL FUNDING"),A1021,"")</f>
        <v/>
      </c>
      <c r="C1021" s="27"/>
      <c r="D1021" s="28"/>
      <c r="E1021" s="28"/>
      <c r="F1021" s="28"/>
      <c r="G1021" s="29"/>
      <c r="H1021" s="30"/>
      <c r="I1021" s="28"/>
      <c r="J1021" s="31" t="str">
        <f aca="false">IF(AND(G1021&lt;&gt;"",H1021&lt;&gt;""),G1021*H1021,"")</f>
        <v/>
      </c>
      <c r="K1021" s="28"/>
      <c r="L1021" s="32"/>
      <c r="M1021" s="32"/>
      <c r="N1021" s="31" t="n">
        <f aca="false">IF(OR(G1021="",M1021=""),0,IF(M1021&gt;100,M1021,G1021*IF(M1021&gt;1,M1021/100,M1021)))</f>
        <v>0</v>
      </c>
      <c r="O1021" s="31" t="str">
        <f aca="false">IF(G1021="","",G1021*IF(L1021="",0,IF(L1021&gt;1,L1021/100,L1021))+N1021)</f>
        <v/>
      </c>
      <c r="P1021" s="28"/>
      <c r="Q1021" s="33" t="str">
        <f aca="false">IF(P1021="","",IFERROR(VLOOKUP(P1021,PARTNERS!$A$2:$B$30,2,0),""))</f>
        <v/>
      </c>
      <c r="R1021" s="17" t="str">
        <f aca="false">IF(O1021="","",IF(OR(P1021="",Q1021=""),0,(O1021-N1021)*IF(Q1021&gt;1,Q1021/100,Q1021)))</f>
        <v/>
      </c>
      <c r="S1021" s="31" t="str">
        <f aca="false">IF(O1021="","",O1021-R1021)</f>
        <v/>
      </c>
      <c r="T1021" s="28"/>
      <c r="U1021" s="34" t="str">
        <f aca="false">IF(T1021="","",IFERROR(VLOOKUP(T1021,REPS!$A$2:$D$40,2,0),""))</f>
        <v/>
      </c>
      <c r="V1021" s="31" t="str">
        <f aca="false">IF(O1021="","",IF(U1021="",0,O1021*IF(U1021&gt;1,U1021/100,U1021)))</f>
        <v/>
      </c>
      <c r="W1021" s="28"/>
      <c r="X1021" s="34" t="str">
        <f aca="false">IF(W1021="","",IFERROR(VLOOKUP(W1021,REPS!$A$2:$D$40,3,0),""))</f>
        <v/>
      </c>
      <c r="Y1021" s="31" t="str">
        <f aca="false">IF(O1021="","",IF(X1021="",0,O1021*IF(X1021&gt;1,X1021/100,X1021)))</f>
        <v/>
      </c>
      <c r="Z1021" s="28"/>
      <c r="AA1021" s="34" t="str">
        <f aca="false">IF(Z1021="","",IFERROR(VLOOKUP(Z1021,REPS!$A$2:$D$40,4,0),""))</f>
        <v/>
      </c>
      <c r="AB1021" s="31" t="str">
        <f aca="false">IF(O1021="","",IF(AA1021="",0,O1021*IF(AA1021&gt;1,AA1021/100,AA1021)))</f>
        <v/>
      </c>
      <c r="AC1021" s="31" t="str">
        <f aca="false">IF(O1021="","",V1021+Y1021+AB1021)</f>
        <v/>
      </c>
      <c r="AD1021" s="19" t="str">
        <f aca="false">IF(O1021="","",O1021-R1021-AC1021)</f>
        <v/>
      </c>
      <c r="AE1021" s="20"/>
      <c r="AF1021" s="27"/>
      <c r="AG1021" s="21" t="n">
        <f aca="false">IF(OR(AE1021="",AE1021=0),0,AE1021*IF(U1021="",0,IF(U1021&gt;1,U1021/100,U1021)))</f>
        <v>0</v>
      </c>
      <c r="AH1021" s="21" t="n">
        <f aca="false">IF(OR(AE1021="",AE1021=0),0,AE1021*IF(X1021="",0,IF(X1021&gt;1,X1021/100,X1021)))</f>
        <v>0</v>
      </c>
      <c r="AI1021" s="21" t="n">
        <f aca="false">IF(OR(AE1021="",AE1021=0),0,AE1021*IF(AA1021="",0,IF(AA1021&gt;1,AA1021/100,AA1021)))</f>
        <v>0</v>
      </c>
      <c r="AJ1021" s="21" t="n">
        <f aca="false">AG1021+AH1021+AI1021</f>
        <v>0</v>
      </c>
      <c r="AK1021" s="21" t="n">
        <f aca="false">IF(OR(AE1021="",AE1021=0),0,AE1021-AJ1021)</f>
        <v>0</v>
      </c>
      <c r="AL1021" s="19" t="str">
        <f aca="false">IF(AD1021="","",AD1021-AK1021)</f>
        <v/>
      </c>
      <c r="AM1021" s="26" t="str">
        <f aca="false">IF(C1021="","","Waiting for payment")</f>
        <v/>
      </c>
      <c r="AN1021" s="27"/>
      <c r="AO1021" s="27"/>
      <c r="AP1021" s="35" t="str">
        <f aca="false">IF(OR(C1021="",I1021="",K1021=""),"",IF(K1021="Monthly",EDATE(C1021,ROUND(I1021*SETTINGS!$I$8,0)),WORKDAY(C1021,ROUND(I1021*SETTINGS!$I$8,0))))</f>
        <v/>
      </c>
      <c r="AQ1021" s="26" t="str">
        <f aca="true">IF(C1021="","",IF(AND(AP1021&lt;&gt;"",TODAY()&gt;=AP1021),"Refi Ready",IF(TODAY()-C1021&gt;=SETTINGS!$I$11,"Prospecting","Performing")))</f>
        <v/>
      </c>
      <c r="AR1021" s="35" t="str">
        <f aca="false">IF(OR(C1021="",I1021="",K1021=""),"",IF(K1021="Monthly",EDATE(C1021,I1021),WORKDAY(C1021,I1021)))</f>
        <v/>
      </c>
      <c r="AS1021" s="28"/>
      <c r="AT1021" s="36" t="str">
        <f aca="true">IF(C1021="","",IF(AM1021="Clawed Back","CLAWED",IF(TODAY()&lt;=C1021+SETTINGS!$I$2,"⚠ AT RISK","SAFE")))</f>
        <v/>
      </c>
      <c r="AU1021" s="28"/>
      <c r="AW1021" s="24" t="n">
        <f aca="false">AW1020+IF(AND(C1021&lt;&gt;"",AO1021&lt;&gt;"",OR('REP COMMISSION'!$B$3="",T1021='REP COMMISSION'!$B$3,W1021='REP COMMISSION'!$B$3,Z1021='REP COMMISSION'!$B$3)),1,0)</f>
        <v>0</v>
      </c>
      <c r="AX1021" s="24" t="n">
        <f aca="false">AX1020+IF(AND(C1021&lt;&gt;"",OR(F1021="LOC - INITIAL",F1021="CONSOLIDATION - UPFRONT COMM",F1021="REVERSE - TOTAL FUNDING")),1,0)</f>
        <v>0</v>
      </c>
    </row>
    <row r="1022" customFormat="false" ht="18" hidden="false" customHeight="true" outlineLevel="0" collapsed="false">
      <c r="A1022" s="37" t="s">
        <v>61</v>
      </c>
      <c r="B1022" s="38"/>
      <c r="C1022" s="38"/>
      <c r="D1022" s="37" t="str">
        <f aca="false">COUNT(C922:C1021)&amp;" units"</f>
        <v>0 units</v>
      </c>
      <c r="E1022" s="38"/>
      <c r="F1022" s="38"/>
      <c r="G1022" s="39" t="n">
        <f aca="false">SUM(G922:G1021)</f>
        <v>0</v>
      </c>
      <c r="H1022" s="38"/>
      <c r="I1022" s="38"/>
      <c r="J1022" s="38"/>
      <c r="K1022" s="38"/>
      <c r="L1022" s="38"/>
      <c r="M1022" s="38"/>
      <c r="N1022" s="39" t="n">
        <f aca="false">SUM(N922:N1021)</f>
        <v>0</v>
      </c>
      <c r="O1022" s="39" t="n">
        <f aca="false">SUM(O922:O1021)</f>
        <v>0</v>
      </c>
      <c r="P1022" s="38"/>
      <c r="Q1022" s="38"/>
      <c r="R1022" s="39" t="n">
        <f aca="false">SUM(R922:R1021)</f>
        <v>0</v>
      </c>
      <c r="S1022" s="39" t="n">
        <f aca="false">SUM(S922:S1021)</f>
        <v>0</v>
      </c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9" t="n">
        <f aca="false">SUM(AC922:AC1021)</f>
        <v>0</v>
      </c>
      <c r="AD1022" s="39" t="n">
        <f aca="false">SUM(AD922:AD1021)</f>
        <v>0</v>
      </c>
      <c r="AE1022" s="39" t="n">
        <f aca="false">SUM(AE922:AE1021)</f>
        <v>0</v>
      </c>
      <c r="AF1022" s="38"/>
      <c r="AG1022" s="38"/>
      <c r="AH1022" s="38"/>
      <c r="AI1022" s="38"/>
      <c r="AJ1022" s="39" t="n">
        <f aca="false">SUM(AJ922:AJ1021)</f>
        <v>0</v>
      </c>
      <c r="AK1022" s="39" t="n">
        <f aca="false">SUM(AK922:AK1021)</f>
        <v>0</v>
      </c>
      <c r="AL1022" s="39" t="n">
        <f aca="false">SUM(AL922:AL1021)</f>
        <v>0</v>
      </c>
      <c r="AM1022" s="38"/>
      <c r="AN1022" s="38"/>
      <c r="AO1022" s="38"/>
      <c r="AP1022" s="38"/>
      <c r="AQ1022" s="38"/>
      <c r="AR1022" s="38"/>
      <c r="AS1022" s="38"/>
      <c r="AT1022" s="38"/>
      <c r="AU1022" s="38"/>
      <c r="AW1022" s="24" t="n">
        <f aca="false">AW1021</f>
        <v>0</v>
      </c>
      <c r="AX1022" s="24" t="n">
        <f aca="false">AX1021</f>
        <v>0</v>
      </c>
    </row>
    <row r="1023" customFormat="false" ht="19.5" hidden="false" customHeight="true" outlineLevel="0" collapsed="false">
      <c r="A1023" s="6" t="s">
        <v>80</v>
      </c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W1023" s="24" t="n">
        <f aca="false">AW1022</f>
        <v>0</v>
      </c>
      <c r="AX1023" s="24" t="n">
        <f aca="false">AX1022</f>
        <v>0</v>
      </c>
    </row>
    <row r="1024" customFormat="false" ht="15" hidden="false" customHeight="false" outlineLevel="0" collapsed="false">
      <c r="A1024" s="8" t="str">
        <f aca="false">IF(C1024&lt;&gt;"","F27-"&amp;COUNT($C$4:C1024),"")</f>
        <v/>
      </c>
      <c r="B1024" s="9" t="str">
        <f aca="false">IF(OR(F1024="LOC - INITIAL",F1024="CONSOLIDATION - UPFRONT COMM",F1024="REVERSE - TOTAL FUNDING"),A1024,"")</f>
        <v/>
      </c>
      <c r="C1024" s="10"/>
      <c r="D1024" s="11"/>
      <c r="E1024" s="11"/>
      <c r="F1024" s="11"/>
      <c r="G1024" s="12"/>
      <c r="H1024" s="13"/>
      <c r="I1024" s="11"/>
      <c r="J1024" s="14" t="str">
        <f aca="false">IF(AND(G1024&lt;&gt;"",H1024&lt;&gt;""),G1024*H1024,"")</f>
        <v/>
      </c>
      <c r="K1024" s="11"/>
      <c r="L1024" s="15"/>
      <c r="M1024" s="15"/>
      <c r="N1024" s="14" t="n">
        <f aca="false">IF(OR(G1024="",M1024=""),0,IF(M1024&gt;100,M1024,G1024*IF(M1024&gt;1,M1024/100,M1024)))</f>
        <v>0</v>
      </c>
      <c r="O1024" s="14" t="str">
        <f aca="false">IF(G1024="","",G1024*IF(L1024="",0,IF(L1024&gt;1,L1024/100,L1024))+N1024)</f>
        <v/>
      </c>
      <c r="P1024" s="11"/>
      <c r="Q1024" s="16" t="str">
        <f aca="false">IF(P1024="","",IFERROR(VLOOKUP(P1024,PARTNERS!$A$2:$B$30,2,0),""))</f>
        <v/>
      </c>
      <c r="R1024" s="17" t="str">
        <f aca="false">IF(O1024="","",IF(OR(P1024="",Q1024=""),0,(O1024-N1024)*IF(Q1024&gt;1,Q1024/100,Q1024)))</f>
        <v/>
      </c>
      <c r="S1024" s="14" t="str">
        <f aca="false">IF(O1024="","",O1024-R1024)</f>
        <v/>
      </c>
      <c r="T1024" s="11"/>
      <c r="U1024" s="18" t="str">
        <f aca="false">IF(T1024="","",IFERROR(VLOOKUP(T1024,REPS!$A$2:$D$40,2,0),""))</f>
        <v/>
      </c>
      <c r="V1024" s="14" t="str">
        <f aca="false">IF(O1024="","",IF(U1024="",0,O1024*IF(U1024&gt;1,U1024/100,U1024)))</f>
        <v/>
      </c>
      <c r="W1024" s="11"/>
      <c r="X1024" s="18" t="str">
        <f aca="false">IF(W1024="","",IFERROR(VLOOKUP(W1024,REPS!$A$2:$D$40,3,0),""))</f>
        <v/>
      </c>
      <c r="Y1024" s="14" t="str">
        <f aca="false">IF(O1024="","",IF(X1024="",0,O1024*IF(X1024&gt;1,X1024/100,X1024)))</f>
        <v/>
      </c>
      <c r="Z1024" s="11"/>
      <c r="AA1024" s="18" t="str">
        <f aca="false">IF(Z1024="","",IFERROR(VLOOKUP(Z1024,REPS!$A$2:$D$40,4,0),""))</f>
        <v/>
      </c>
      <c r="AB1024" s="14" t="str">
        <f aca="false">IF(O1024="","",IF(AA1024="",0,O1024*IF(AA1024&gt;1,AA1024/100,AA1024)))</f>
        <v/>
      </c>
      <c r="AC1024" s="14" t="str">
        <f aca="false">IF(O1024="","",V1024+Y1024+AB1024)</f>
        <v/>
      </c>
      <c r="AD1024" s="19" t="str">
        <f aca="false">IF(O1024="","",O1024-R1024-AC1024)</f>
        <v/>
      </c>
      <c r="AE1024" s="20"/>
      <c r="AF1024" s="10"/>
      <c r="AG1024" s="21" t="n">
        <f aca="false">IF(OR(AE1024="",AE1024=0),0,AE1024*IF(U1024="",0,IF(U1024&gt;1,U1024/100,U1024)))</f>
        <v>0</v>
      </c>
      <c r="AH1024" s="21" t="n">
        <f aca="false">IF(OR(AE1024="",AE1024=0),0,AE1024*IF(X1024="",0,IF(X1024&gt;1,X1024/100,X1024)))</f>
        <v>0</v>
      </c>
      <c r="AI1024" s="21" t="n">
        <f aca="false">IF(OR(AE1024="",AE1024=0),0,AE1024*IF(AA1024="",0,IF(AA1024&gt;1,AA1024/100,AA1024)))</f>
        <v>0</v>
      </c>
      <c r="AJ1024" s="21" t="n">
        <f aca="false">AG1024+AH1024+AI1024</f>
        <v>0</v>
      </c>
      <c r="AK1024" s="21" t="n">
        <f aca="false">IF(OR(AE1024="",AE1024=0),0,AE1024-AJ1024)</f>
        <v>0</v>
      </c>
      <c r="AL1024" s="19" t="str">
        <f aca="false">IF(AD1024="","",AD1024-AK1024)</f>
        <v/>
      </c>
      <c r="AM1024" s="9" t="str">
        <f aca="false">IF(C1024="","","Waiting for payment")</f>
        <v/>
      </c>
      <c r="AN1024" s="10"/>
      <c r="AO1024" s="10"/>
      <c r="AP1024" s="22" t="str">
        <f aca="false">IF(OR(C1024="",I1024="",K1024=""),"",IF(K1024="Monthly",EDATE(C1024,ROUND(I1024*SETTINGS!$I$8,0)),WORKDAY(C1024,ROUND(I1024*SETTINGS!$I$8,0))))</f>
        <v/>
      </c>
      <c r="AQ1024" s="9" t="str">
        <f aca="true">IF(C1024="","",IF(AND(AP1024&lt;&gt;"",TODAY()&gt;=AP1024),"Refi Ready",IF(TODAY()-C1024&gt;=SETTINGS!$I$11,"Prospecting","Performing")))</f>
        <v/>
      </c>
      <c r="AR1024" s="22" t="str">
        <f aca="false">IF(OR(C1024="",I1024="",K1024=""),"",IF(K1024="Monthly",EDATE(C1024,I1024),WORKDAY(C1024,I1024)))</f>
        <v/>
      </c>
      <c r="AS1024" s="11"/>
      <c r="AT1024" s="23" t="str">
        <f aca="true">IF(C1024="","",IF(AM1024="Clawed Back","CLAWED",IF(TODAY()&lt;=C1024+SETTINGS!$I$2,"⚠ AT RISK","SAFE")))</f>
        <v/>
      </c>
      <c r="AU1024" s="11"/>
      <c r="AW1024" s="24" t="n">
        <f aca="false">AW1023+IF(AND(C1024&lt;&gt;"",AO1024&lt;&gt;"",OR('REP COMMISSION'!$B$3="",T1024='REP COMMISSION'!$B$3,W1024='REP COMMISSION'!$B$3,Z1024='REP COMMISSION'!$B$3)),1,0)</f>
        <v>0</v>
      </c>
      <c r="AX1024" s="24" t="n">
        <f aca="false">AX1023+IF(AND(C1024&lt;&gt;"",OR(F1024="LOC - INITIAL",F1024="CONSOLIDATION - UPFRONT COMM",F1024="REVERSE - TOTAL FUNDING")),1,0)</f>
        <v>0</v>
      </c>
    </row>
    <row r="1025" customFormat="false" ht="15" hidden="false" customHeight="false" outlineLevel="0" collapsed="false">
      <c r="A1025" s="25" t="str">
        <f aca="false">IF(C1025&lt;&gt;"","F27-"&amp;COUNT($C$4:C1025),"")</f>
        <v/>
      </c>
      <c r="B1025" s="26" t="str">
        <f aca="false">IF(OR(F1025="LOC - INITIAL",F1025="CONSOLIDATION - UPFRONT COMM",F1025="REVERSE - TOTAL FUNDING"),A1025,"")</f>
        <v/>
      </c>
      <c r="C1025" s="27"/>
      <c r="D1025" s="28"/>
      <c r="E1025" s="28"/>
      <c r="F1025" s="28"/>
      <c r="G1025" s="29"/>
      <c r="H1025" s="30"/>
      <c r="I1025" s="28"/>
      <c r="J1025" s="31" t="str">
        <f aca="false">IF(AND(G1025&lt;&gt;"",H1025&lt;&gt;""),G1025*H1025,"")</f>
        <v/>
      </c>
      <c r="K1025" s="28"/>
      <c r="L1025" s="32"/>
      <c r="M1025" s="32"/>
      <c r="N1025" s="31" t="n">
        <f aca="false">IF(OR(G1025="",M1025=""),0,IF(M1025&gt;100,M1025,G1025*IF(M1025&gt;1,M1025/100,M1025)))</f>
        <v>0</v>
      </c>
      <c r="O1025" s="31" t="str">
        <f aca="false">IF(G1025="","",G1025*IF(L1025="",0,IF(L1025&gt;1,L1025/100,L1025))+N1025)</f>
        <v/>
      </c>
      <c r="P1025" s="28"/>
      <c r="Q1025" s="33" t="str">
        <f aca="false">IF(P1025="","",IFERROR(VLOOKUP(P1025,PARTNERS!$A$2:$B$30,2,0),""))</f>
        <v/>
      </c>
      <c r="R1025" s="17" t="str">
        <f aca="false">IF(O1025="","",IF(OR(P1025="",Q1025=""),0,(O1025-N1025)*IF(Q1025&gt;1,Q1025/100,Q1025)))</f>
        <v/>
      </c>
      <c r="S1025" s="31" t="str">
        <f aca="false">IF(O1025="","",O1025-R1025)</f>
        <v/>
      </c>
      <c r="T1025" s="28"/>
      <c r="U1025" s="34" t="str">
        <f aca="false">IF(T1025="","",IFERROR(VLOOKUP(T1025,REPS!$A$2:$D$40,2,0),""))</f>
        <v/>
      </c>
      <c r="V1025" s="31" t="str">
        <f aca="false">IF(O1025="","",IF(U1025="",0,O1025*IF(U1025&gt;1,U1025/100,U1025)))</f>
        <v/>
      </c>
      <c r="W1025" s="28"/>
      <c r="X1025" s="34" t="str">
        <f aca="false">IF(W1025="","",IFERROR(VLOOKUP(W1025,REPS!$A$2:$D$40,3,0),""))</f>
        <v/>
      </c>
      <c r="Y1025" s="31" t="str">
        <f aca="false">IF(O1025="","",IF(X1025="",0,O1025*IF(X1025&gt;1,X1025/100,X1025)))</f>
        <v/>
      </c>
      <c r="Z1025" s="28"/>
      <c r="AA1025" s="34" t="str">
        <f aca="false">IF(Z1025="","",IFERROR(VLOOKUP(Z1025,REPS!$A$2:$D$40,4,0),""))</f>
        <v/>
      </c>
      <c r="AB1025" s="31" t="str">
        <f aca="false">IF(O1025="","",IF(AA1025="",0,O1025*IF(AA1025&gt;1,AA1025/100,AA1025)))</f>
        <v/>
      </c>
      <c r="AC1025" s="31" t="str">
        <f aca="false">IF(O1025="","",V1025+Y1025+AB1025)</f>
        <v/>
      </c>
      <c r="AD1025" s="19" t="str">
        <f aca="false">IF(O1025="","",O1025-R1025-AC1025)</f>
        <v/>
      </c>
      <c r="AE1025" s="20"/>
      <c r="AF1025" s="27"/>
      <c r="AG1025" s="21" t="n">
        <f aca="false">IF(OR(AE1025="",AE1025=0),0,AE1025*IF(U1025="",0,IF(U1025&gt;1,U1025/100,U1025)))</f>
        <v>0</v>
      </c>
      <c r="AH1025" s="21" t="n">
        <f aca="false">IF(OR(AE1025="",AE1025=0),0,AE1025*IF(X1025="",0,IF(X1025&gt;1,X1025/100,X1025)))</f>
        <v>0</v>
      </c>
      <c r="AI1025" s="21" t="n">
        <f aca="false">IF(OR(AE1025="",AE1025=0),0,AE1025*IF(AA1025="",0,IF(AA1025&gt;1,AA1025/100,AA1025)))</f>
        <v>0</v>
      </c>
      <c r="AJ1025" s="21" t="n">
        <f aca="false">AG1025+AH1025+AI1025</f>
        <v>0</v>
      </c>
      <c r="AK1025" s="21" t="n">
        <f aca="false">IF(OR(AE1025="",AE1025=0),0,AE1025-AJ1025)</f>
        <v>0</v>
      </c>
      <c r="AL1025" s="19" t="str">
        <f aca="false">IF(AD1025="","",AD1025-AK1025)</f>
        <v/>
      </c>
      <c r="AM1025" s="26" t="str">
        <f aca="false">IF(C1025="","","Waiting for payment")</f>
        <v/>
      </c>
      <c r="AN1025" s="27"/>
      <c r="AO1025" s="27"/>
      <c r="AP1025" s="35" t="str">
        <f aca="false">IF(OR(C1025="",I1025="",K1025=""),"",IF(K1025="Monthly",EDATE(C1025,ROUND(I1025*SETTINGS!$I$8,0)),WORKDAY(C1025,ROUND(I1025*SETTINGS!$I$8,0))))</f>
        <v/>
      </c>
      <c r="AQ1025" s="26" t="str">
        <f aca="true">IF(C1025="","",IF(AND(AP1025&lt;&gt;"",TODAY()&gt;=AP1025),"Refi Ready",IF(TODAY()-C1025&gt;=SETTINGS!$I$11,"Prospecting","Performing")))</f>
        <v/>
      </c>
      <c r="AR1025" s="35" t="str">
        <f aca="false">IF(OR(C1025="",I1025="",K1025=""),"",IF(K1025="Monthly",EDATE(C1025,I1025),WORKDAY(C1025,I1025)))</f>
        <v/>
      </c>
      <c r="AS1025" s="28"/>
      <c r="AT1025" s="36" t="str">
        <f aca="true">IF(C1025="","",IF(AM1025="Clawed Back","CLAWED",IF(TODAY()&lt;=C1025+SETTINGS!$I$2,"⚠ AT RISK","SAFE")))</f>
        <v/>
      </c>
      <c r="AU1025" s="28"/>
      <c r="AW1025" s="24" t="n">
        <f aca="false">AW1024+IF(AND(C1025&lt;&gt;"",AO1025&lt;&gt;"",OR('REP COMMISSION'!$B$3="",T1025='REP COMMISSION'!$B$3,W1025='REP COMMISSION'!$B$3,Z1025='REP COMMISSION'!$B$3)),1,0)</f>
        <v>0</v>
      </c>
      <c r="AX1025" s="24" t="n">
        <f aca="false">AX1024+IF(AND(C1025&lt;&gt;"",OR(F1025="LOC - INITIAL",F1025="CONSOLIDATION - UPFRONT COMM",F1025="REVERSE - TOTAL FUNDING")),1,0)</f>
        <v>0</v>
      </c>
    </row>
    <row r="1026" customFormat="false" ht="15" hidden="false" customHeight="false" outlineLevel="0" collapsed="false">
      <c r="A1026" s="8" t="str">
        <f aca="false">IF(C1026&lt;&gt;"","F27-"&amp;COUNT($C$4:C1026),"")</f>
        <v/>
      </c>
      <c r="B1026" s="9" t="str">
        <f aca="false">IF(OR(F1026="LOC - INITIAL",F1026="CONSOLIDATION - UPFRONT COMM",F1026="REVERSE - TOTAL FUNDING"),A1026,"")</f>
        <v/>
      </c>
      <c r="C1026" s="10"/>
      <c r="D1026" s="11"/>
      <c r="E1026" s="11"/>
      <c r="F1026" s="11"/>
      <c r="G1026" s="12"/>
      <c r="H1026" s="13"/>
      <c r="I1026" s="11"/>
      <c r="J1026" s="14" t="str">
        <f aca="false">IF(AND(G1026&lt;&gt;"",H1026&lt;&gt;""),G1026*H1026,"")</f>
        <v/>
      </c>
      <c r="K1026" s="11"/>
      <c r="L1026" s="15"/>
      <c r="M1026" s="15"/>
      <c r="N1026" s="14" t="n">
        <f aca="false">IF(OR(G1026="",M1026=""),0,IF(M1026&gt;100,M1026,G1026*IF(M1026&gt;1,M1026/100,M1026)))</f>
        <v>0</v>
      </c>
      <c r="O1026" s="14" t="str">
        <f aca="false">IF(G1026="","",G1026*IF(L1026="",0,IF(L1026&gt;1,L1026/100,L1026))+N1026)</f>
        <v/>
      </c>
      <c r="P1026" s="11"/>
      <c r="Q1026" s="16" t="str">
        <f aca="false">IF(P1026="","",IFERROR(VLOOKUP(P1026,PARTNERS!$A$2:$B$30,2,0),""))</f>
        <v/>
      </c>
      <c r="R1026" s="17" t="str">
        <f aca="false">IF(O1026="","",IF(OR(P1026="",Q1026=""),0,(O1026-N1026)*IF(Q1026&gt;1,Q1026/100,Q1026)))</f>
        <v/>
      </c>
      <c r="S1026" s="14" t="str">
        <f aca="false">IF(O1026="","",O1026-R1026)</f>
        <v/>
      </c>
      <c r="T1026" s="11"/>
      <c r="U1026" s="18" t="str">
        <f aca="false">IF(T1026="","",IFERROR(VLOOKUP(T1026,REPS!$A$2:$D$40,2,0),""))</f>
        <v/>
      </c>
      <c r="V1026" s="14" t="str">
        <f aca="false">IF(O1026="","",IF(U1026="",0,O1026*IF(U1026&gt;1,U1026/100,U1026)))</f>
        <v/>
      </c>
      <c r="W1026" s="11"/>
      <c r="X1026" s="18" t="str">
        <f aca="false">IF(W1026="","",IFERROR(VLOOKUP(W1026,REPS!$A$2:$D$40,3,0),""))</f>
        <v/>
      </c>
      <c r="Y1026" s="14" t="str">
        <f aca="false">IF(O1026="","",IF(X1026="",0,O1026*IF(X1026&gt;1,X1026/100,X1026)))</f>
        <v/>
      </c>
      <c r="Z1026" s="11"/>
      <c r="AA1026" s="18" t="str">
        <f aca="false">IF(Z1026="","",IFERROR(VLOOKUP(Z1026,REPS!$A$2:$D$40,4,0),""))</f>
        <v/>
      </c>
      <c r="AB1026" s="14" t="str">
        <f aca="false">IF(O1026="","",IF(AA1026="",0,O1026*IF(AA1026&gt;1,AA1026/100,AA1026)))</f>
        <v/>
      </c>
      <c r="AC1026" s="14" t="str">
        <f aca="false">IF(O1026="","",V1026+Y1026+AB1026)</f>
        <v/>
      </c>
      <c r="AD1026" s="19" t="str">
        <f aca="false">IF(O1026="","",O1026-R1026-AC1026)</f>
        <v/>
      </c>
      <c r="AE1026" s="20"/>
      <c r="AF1026" s="10"/>
      <c r="AG1026" s="21" t="n">
        <f aca="false">IF(OR(AE1026="",AE1026=0),0,AE1026*IF(U1026="",0,IF(U1026&gt;1,U1026/100,U1026)))</f>
        <v>0</v>
      </c>
      <c r="AH1026" s="21" t="n">
        <f aca="false">IF(OR(AE1026="",AE1026=0),0,AE1026*IF(X1026="",0,IF(X1026&gt;1,X1026/100,X1026)))</f>
        <v>0</v>
      </c>
      <c r="AI1026" s="21" t="n">
        <f aca="false">IF(OR(AE1026="",AE1026=0),0,AE1026*IF(AA1026="",0,IF(AA1026&gt;1,AA1026/100,AA1026)))</f>
        <v>0</v>
      </c>
      <c r="AJ1026" s="21" t="n">
        <f aca="false">AG1026+AH1026+AI1026</f>
        <v>0</v>
      </c>
      <c r="AK1026" s="21" t="n">
        <f aca="false">IF(OR(AE1026="",AE1026=0),0,AE1026-AJ1026)</f>
        <v>0</v>
      </c>
      <c r="AL1026" s="19" t="str">
        <f aca="false">IF(AD1026="","",AD1026-AK1026)</f>
        <v/>
      </c>
      <c r="AM1026" s="9" t="str">
        <f aca="false">IF(C1026="","","Waiting for payment")</f>
        <v/>
      </c>
      <c r="AN1026" s="10"/>
      <c r="AO1026" s="10"/>
      <c r="AP1026" s="22" t="str">
        <f aca="false">IF(OR(C1026="",I1026="",K1026=""),"",IF(K1026="Monthly",EDATE(C1026,ROUND(I1026*SETTINGS!$I$8,0)),WORKDAY(C1026,ROUND(I1026*SETTINGS!$I$8,0))))</f>
        <v/>
      </c>
      <c r="AQ1026" s="9" t="str">
        <f aca="true">IF(C1026="","",IF(AND(AP1026&lt;&gt;"",TODAY()&gt;=AP1026),"Refi Ready",IF(TODAY()-C1026&gt;=SETTINGS!$I$11,"Prospecting","Performing")))</f>
        <v/>
      </c>
      <c r="AR1026" s="22" t="str">
        <f aca="false">IF(OR(C1026="",I1026="",K1026=""),"",IF(K1026="Monthly",EDATE(C1026,I1026),WORKDAY(C1026,I1026)))</f>
        <v/>
      </c>
      <c r="AS1026" s="11"/>
      <c r="AT1026" s="23" t="str">
        <f aca="true">IF(C1026="","",IF(AM1026="Clawed Back","CLAWED",IF(TODAY()&lt;=C1026+SETTINGS!$I$2,"⚠ AT RISK","SAFE")))</f>
        <v/>
      </c>
      <c r="AU1026" s="11"/>
      <c r="AW1026" s="24" t="n">
        <f aca="false">AW1025+IF(AND(C1026&lt;&gt;"",AO1026&lt;&gt;"",OR('REP COMMISSION'!$B$3="",T1026='REP COMMISSION'!$B$3,W1026='REP COMMISSION'!$B$3,Z1026='REP COMMISSION'!$B$3)),1,0)</f>
        <v>0</v>
      </c>
      <c r="AX1026" s="24" t="n">
        <f aca="false">AX1025+IF(AND(C1026&lt;&gt;"",OR(F1026="LOC - INITIAL",F1026="CONSOLIDATION - UPFRONT COMM",F1026="REVERSE - TOTAL FUNDING")),1,0)</f>
        <v>0</v>
      </c>
    </row>
    <row r="1027" customFormat="false" ht="15" hidden="false" customHeight="false" outlineLevel="0" collapsed="false">
      <c r="A1027" s="25" t="str">
        <f aca="false">IF(C1027&lt;&gt;"","F27-"&amp;COUNT($C$4:C1027),"")</f>
        <v/>
      </c>
      <c r="B1027" s="26" t="str">
        <f aca="false">IF(OR(F1027="LOC - INITIAL",F1027="CONSOLIDATION - UPFRONT COMM",F1027="REVERSE - TOTAL FUNDING"),A1027,"")</f>
        <v/>
      </c>
      <c r="C1027" s="27"/>
      <c r="D1027" s="28"/>
      <c r="E1027" s="28"/>
      <c r="F1027" s="28"/>
      <c r="G1027" s="29"/>
      <c r="H1027" s="30"/>
      <c r="I1027" s="28"/>
      <c r="J1027" s="31" t="str">
        <f aca="false">IF(AND(G1027&lt;&gt;"",H1027&lt;&gt;""),G1027*H1027,"")</f>
        <v/>
      </c>
      <c r="K1027" s="28"/>
      <c r="L1027" s="32"/>
      <c r="M1027" s="32"/>
      <c r="N1027" s="31" t="n">
        <f aca="false">IF(OR(G1027="",M1027=""),0,IF(M1027&gt;100,M1027,G1027*IF(M1027&gt;1,M1027/100,M1027)))</f>
        <v>0</v>
      </c>
      <c r="O1027" s="31" t="str">
        <f aca="false">IF(G1027="","",G1027*IF(L1027="",0,IF(L1027&gt;1,L1027/100,L1027))+N1027)</f>
        <v/>
      </c>
      <c r="P1027" s="28"/>
      <c r="Q1027" s="33" t="str">
        <f aca="false">IF(P1027="","",IFERROR(VLOOKUP(P1027,PARTNERS!$A$2:$B$30,2,0),""))</f>
        <v/>
      </c>
      <c r="R1027" s="17" t="str">
        <f aca="false">IF(O1027="","",IF(OR(P1027="",Q1027=""),0,(O1027-N1027)*IF(Q1027&gt;1,Q1027/100,Q1027)))</f>
        <v/>
      </c>
      <c r="S1027" s="31" t="str">
        <f aca="false">IF(O1027="","",O1027-R1027)</f>
        <v/>
      </c>
      <c r="T1027" s="28"/>
      <c r="U1027" s="34" t="str">
        <f aca="false">IF(T1027="","",IFERROR(VLOOKUP(T1027,REPS!$A$2:$D$40,2,0),""))</f>
        <v/>
      </c>
      <c r="V1027" s="31" t="str">
        <f aca="false">IF(O1027="","",IF(U1027="",0,O1027*IF(U1027&gt;1,U1027/100,U1027)))</f>
        <v/>
      </c>
      <c r="W1027" s="28"/>
      <c r="X1027" s="34" t="str">
        <f aca="false">IF(W1027="","",IFERROR(VLOOKUP(W1027,REPS!$A$2:$D$40,3,0),""))</f>
        <v/>
      </c>
      <c r="Y1027" s="31" t="str">
        <f aca="false">IF(O1027="","",IF(X1027="",0,O1027*IF(X1027&gt;1,X1027/100,X1027)))</f>
        <v/>
      </c>
      <c r="Z1027" s="28"/>
      <c r="AA1027" s="34" t="str">
        <f aca="false">IF(Z1027="","",IFERROR(VLOOKUP(Z1027,REPS!$A$2:$D$40,4,0),""))</f>
        <v/>
      </c>
      <c r="AB1027" s="31" t="str">
        <f aca="false">IF(O1027="","",IF(AA1027="",0,O1027*IF(AA1027&gt;1,AA1027/100,AA1027)))</f>
        <v/>
      </c>
      <c r="AC1027" s="31" t="str">
        <f aca="false">IF(O1027="","",V1027+Y1027+AB1027)</f>
        <v/>
      </c>
      <c r="AD1027" s="19" t="str">
        <f aca="false">IF(O1027="","",O1027-R1027-AC1027)</f>
        <v/>
      </c>
      <c r="AE1027" s="20"/>
      <c r="AF1027" s="27"/>
      <c r="AG1027" s="21" t="n">
        <f aca="false">IF(OR(AE1027="",AE1027=0),0,AE1027*IF(U1027="",0,IF(U1027&gt;1,U1027/100,U1027)))</f>
        <v>0</v>
      </c>
      <c r="AH1027" s="21" t="n">
        <f aca="false">IF(OR(AE1027="",AE1027=0),0,AE1027*IF(X1027="",0,IF(X1027&gt;1,X1027/100,X1027)))</f>
        <v>0</v>
      </c>
      <c r="AI1027" s="21" t="n">
        <f aca="false">IF(OR(AE1027="",AE1027=0),0,AE1027*IF(AA1027="",0,IF(AA1027&gt;1,AA1027/100,AA1027)))</f>
        <v>0</v>
      </c>
      <c r="AJ1027" s="21" t="n">
        <f aca="false">AG1027+AH1027+AI1027</f>
        <v>0</v>
      </c>
      <c r="AK1027" s="21" t="n">
        <f aca="false">IF(OR(AE1027="",AE1027=0),0,AE1027-AJ1027)</f>
        <v>0</v>
      </c>
      <c r="AL1027" s="19" t="str">
        <f aca="false">IF(AD1027="","",AD1027-AK1027)</f>
        <v/>
      </c>
      <c r="AM1027" s="26" t="str">
        <f aca="false">IF(C1027="","","Waiting for payment")</f>
        <v/>
      </c>
      <c r="AN1027" s="27"/>
      <c r="AO1027" s="27"/>
      <c r="AP1027" s="35" t="str">
        <f aca="false">IF(OR(C1027="",I1027="",K1027=""),"",IF(K1027="Monthly",EDATE(C1027,ROUND(I1027*SETTINGS!$I$8,0)),WORKDAY(C1027,ROUND(I1027*SETTINGS!$I$8,0))))</f>
        <v/>
      </c>
      <c r="AQ1027" s="26" t="str">
        <f aca="true">IF(C1027="","",IF(AND(AP1027&lt;&gt;"",TODAY()&gt;=AP1027),"Refi Ready",IF(TODAY()-C1027&gt;=SETTINGS!$I$11,"Prospecting","Performing")))</f>
        <v/>
      </c>
      <c r="AR1027" s="35" t="str">
        <f aca="false">IF(OR(C1027="",I1027="",K1027=""),"",IF(K1027="Monthly",EDATE(C1027,I1027),WORKDAY(C1027,I1027)))</f>
        <v/>
      </c>
      <c r="AS1027" s="28"/>
      <c r="AT1027" s="36" t="str">
        <f aca="true">IF(C1027="","",IF(AM1027="Clawed Back","CLAWED",IF(TODAY()&lt;=C1027+SETTINGS!$I$2,"⚠ AT RISK","SAFE")))</f>
        <v/>
      </c>
      <c r="AU1027" s="28"/>
      <c r="AW1027" s="24" t="n">
        <f aca="false">AW1026+IF(AND(C1027&lt;&gt;"",AO1027&lt;&gt;"",OR('REP COMMISSION'!$B$3="",T1027='REP COMMISSION'!$B$3,W1027='REP COMMISSION'!$B$3,Z1027='REP COMMISSION'!$B$3)),1,0)</f>
        <v>0</v>
      </c>
      <c r="AX1027" s="24" t="n">
        <f aca="false">AX1026+IF(AND(C1027&lt;&gt;"",OR(F1027="LOC - INITIAL",F1027="CONSOLIDATION - UPFRONT COMM",F1027="REVERSE - TOTAL FUNDING")),1,0)</f>
        <v>0</v>
      </c>
    </row>
    <row r="1028" customFormat="false" ht="15" hidden="false" customHeight="false" outlineLevel="0" collapsed="false">
      <c r="A1028" s="8" t="str">
        <f aca="false">IF(C1028&lt;&gt;"","F27-"&amp;COUNT($C$4:C1028),"")</f>
        <v/>
      </c>
      <c r="B1028" s="9" t="str">
        <f aca="false">IF(OR(F1028="LOC - INITIAL",F1028="CONSOLIDATION - UPFRONT COMM",F1028="REVERSE - TOTAL FUNDING"),A1028,"")</f>
        <v/>
      </c>
      <c r="C1028" s="10"/>
      <c r="D1028" s="11"/>
      <c r="E1028" s="11"/>
      <c r="F1028" s="11"/>
      <c r="G1028" s="12"/>
      <c r="H1028" s="13"/>
      <c r="I1028" s="11"/>
      <c r="J1028" s="14" t="str">
        <f aca="false">IF(AND(G1028&lt;&gt;"",H1028&lt;&gt;""),G1028*H1028,"")</f>
        <v/>
      </c>
      <c r="K1028" s="11"/>
      <c r="L1028" s="15"/>
      <c r="M1028" s="15"/>
      <c r="N1028" s="14" t="n">
        <f aca="false">IF(OR(G1028="",M1028=""),0,IF(M1028&gt;100,M1028,G1028*IF(M1028&gt;1,M1028/100,M1028)))</f>
        <v>0</v>
      </c>
      <c r="O1028" s="14" t="str">
        <f aca="false">IF(G1028="","",G1028*IF(L1028="",0,IF(L1028&gt;1,L1028/100,L1028))+N1028)</f>
        <v/>
      </c>
      <c r="P1028" s="11"/>
      <c r="Q1028" s="16" t="str">
        <f aca="false">IF(P1028="","",IFERROR(VLOOKUP(P1028,PARTNERS!$A$2:$B$30,2,0),""))</f>
        <v/>
      </c>
      <c r="R1028" s="17" t="str">
        <f aca="false">IF(O1028="","",IF(OR(P1028="",Q1028=""),0,(O1028-N1028)*IF(Q1028&gt;1,Q1028/100,Q1028)))</f>
        <v/>
      </c>
      <c r="S1028" s="14" t="str">
        <f aca="false">IF(O1028="","",O1028-R1028)</f>
        <v/>
      </c>
      <c r="T1028" s="11"/>
      <c r="U1028" s="18" t="str">
        <f aca="false">IF(T1028="","",IFERROR(VLOOKUP(T1028,REPS!$A$2:$D$40,2,0),""))</f>
        <v/>
      </c>
      <c r="V1028" s="14" t="str">
        <f aca="false">IF(O1028="","",IF(U1028="",0,O1028*IF(U1028&gt;1,U1028/100,U1028)))</f>
        <v/>
      </c>
      <c r="W1028" s="11"/>
      <c r="X1028" s="18" t="str">
        <f aca="false">IF(W1028="","",IFERROR(VLOOKUP(W1028,REPS!$A$2:$D$40,3,0),""))</f>
        <v/>
      </c>
      <c r="Y1028" s="14" t="str">
        <f aca="false">IF(O1028="","",IF(X1028="",0,O1028*IF(X1028&gt;1,X1028/100,X1028)))</f>
        <v/>
      </c>
      <c r="Z1028" s="11"/>
      <c r="AA1028" s="18" t="str">
        <f aca="false">IF(Z1028="","",IFERROR(VLOOKUP(Z1028,REPS!$A$2:$D$40,4,0),""))</f>
        <v/>
      </c>
      <c r="AB1028" s="14" t="str">
        <f aca="false">IF(O1028="","",IF(AA1028="",0,O1028*IF(AA1028&gt;1,AA1028/100,AA1028)))</f>
        <v/>
      </c>
      <c r="AC1028" s="14" t="str">
        <f aca="false">IF(O1028="","",V1028+Y1028+AB1028)</f>
        <v/>
      </c>
      <c r="AD1028" s="19" t="str">
        <f aca="false">IF(O1028="","",O1028-R1028-AC1028)</f>
        <v/>
      </c>
      <c r="AE1028" s="20"/>
      <c r="AF1028" s="10"/>
      <c r="AG1028" s="21" t="n">
        <f aca="false">IF(OR(AE1028="",AE1028=0),0,AE1028*IF(U1028="",0,IF(U1028&gt;1,U1028/100,U1028)))</f>
        <v>0</v>
      </c>
      <c r="AH1028" s="21" t="n">
        <f aca="false">IF(OR(AE1028="",AE1028=0),0,AE1028*IF(X1028="",0,IF(X1028&gt;1,X1028/100,X1028)))</f>
        <v>0</v>
      </c>
      <c r="AI1028" s="21" t="n">
        <f aca="false">IF(OR(AE1028="",AE1028=0),0,AE1028*IF(AA1028="",0,IF(AA1028&gt;1,AA1028/100,AA1028)))</f>
        <v>0</v>
      </c>
      <c r="AJ1028" s="21" t="n">
        <f aca="false">AG1028+AH1028+AI1028</f>
        <v>0</v>
      </c>
      <c r="AK1028" s="21" t="n">
        <f aca="false">IF(OR(AE1028="",AE1028=0),0,AE1028-AJ1028)</f>
        <v>0</v>
      </c>
      <c r="AL1028" s="19" t="str">
        <f aca="false">IF(AD1028="","",AD1028-AK1028)</f>
        <v/>
      </c>
      <c r="AM1028" s="9" t="str">
        <f aca="false">IF(C1028="","","Waiting for payment")</f>
        <v/>
      </c>
      <c r="AN1028" s="10"/>
      <c r="AO1028" s="10"/>
      <c r="AP1028" s="22" t="str">
        <f aca="false">IF(OR(C1028="",I1028="",K1028=""),"",IF(K1028="Monthly",EDATE(C1028,ROUND(I1028*SETTINGS!$I$8,0)),WORKDAY(C1028,ROUND(I1028*SETTINGS!$I$8,0))))</f>
        <v/>
      </c>
      <c r="AQ1028" s="9" t="str">
        <f aca="true">IF(C1028="","",IF(AND(AP1028&lt;&gt;"",TODAY()&gt;=AP1028),"Refi Ready",IF(TODAY()-C1028&gt;=SETTINGS!$I$11,"Prospecting","Performing")))</f>
        <v/>
      </c>
      <c r="AR1028" s="22" t="str">
        <f aca="false">IF(OR(C1028="",I1028="",K1028=""),"",IF(K1028="Monthly",EDATE(C1028,I1028),WORKDAY(C1028,I1028)))</f>
        <v/>
      </c>
      <c r="AS1028" s="11"/>
      <c r="AT1028" s="23" t="str">
        <f aca="true">IF(C1028="","",IF(AM1028="Clawed Back","CLAWED",IF(TODAY()&lt;=C1028+SETTINGS!$I$2,"⚠ AT RISK","SAFE")))</f>
        <v/>
      </c>
      <c r="AU1028" s="11"/>
      <c r="AW1028" s="24" t="n">
        <f aca="false">AW1027+IF(AND(C1028&lt;&gt;"",AO1028&lt;&gt;"",OR('REP COMMISSION'!$B$3="",T1028='REP COMMISSION'!$B$3,W1028='REP COMMISSION'!$B$3,Z1028='REP COMMISSION'!$B$3)),1,0)</f>
        <v>0</v>
      </c>
      <c r="AX1028" s="24" t="n">
        <f aca="false">AX1027+IF(AND(C1028&lt;&gt;"",OR(F1028="LOC - INITIAL",F1028="CONSOLIDATION - UPFRONT COMM",F1028="REVERSE - TOTAL FUNDING")),1,0)</f>
        <v>0</v>
      </c>
    </row>
    <row r="1029" customFormat="false" ht="15" hidden="false" customHeight="false" outlineLevel="0" collapsed="false">
      <c r="A1029" s="25" t="str">
        <f aca="false">IF(C1029&lt;&gt;"","F27-"&amp;COUNT($C$4:C1029),"")</f>
        <v/>
      </c>
      <c r="B1029" s="26" t="str">
        <f aca="false">IF(OR(F1029="LOC - INITIAL",F1029="CONSOLIDATION - UPFRONT COMM",F1029="REVERSE - TOTAL FUNDING"),A1029,"")</f>
        <v/>
      </c>
      <c r="C1029" s="27"/>
      <c r="D1029" s="28"/>
      <c r="E1029" s="28"/>
      <c r="F1029" s="28"/>
      <c r="G1029" s="29"/>
      <c r="H1029" s="30"/>
      <c r="I1029" s="28"/>
      <c r="J1029" s="31" t="str">
        <f aca="false">IF(AND(G1029&lt;&gt;"",H1029&lt;&gt;""),G1029*H1029,"")</f>
        <v/>
      </c>
      <c r="K1029" s="28"/>
      <c r="L1029" s="32"/>
      <c r="M1029" s="32"/>
      <c r="N1029" s="31" t="n">
        <f aca="false">IF(OR(G1029="",M1029=""),0,IF(M1029&gt;100,M1029,G1029*IF(M1029&gt;1,M1029/100,M1029)))</f>
        <v>0</v>
      </c>
      <c r="O1029" s="31" t="str">
        <f aca="false">IF(G1029="","",G1029*IF(L1029="",0,IF(L1029&gt;1,L1029/100,L1029))+N1029)</f>
        <v/>
      </c>
      <c r="P1029" s="28"/>
      <c r="Q1029" s="33" t="str">
        <f aca="false">IF(P1029="","",IFERROR(VLOOKUP(P1029,PARTNERS!$A$2:$B$30,2,0),""))</f>
        <v/>
      </c>
      <c r="R1029" s="17" t="str">
        <f aca="false">IF(O1029="","",IF(OR(P1029="",Q1029=""),0,(O1029-N1029)*IF(Q1029&gt;1,Q1029/100,Q1029)))</f>
        <v/>
      </c>
      <c r="S1029" s="31" t="str">
        <f aca="false">IF(O1029="","",O1029-R1029)</f>
        <v/>
      </c>
      <c r="T1029" s="28"/>
      <c r="U1029" s="34" t="str">
        <f aca="false">IF(T1029="","",IFERROR(VLOOKUP(T1029,REPS!$A$2:$D$40,2,0),""))</f>
        <v/>
      </c>
      <c r="V1029" s="31" t="str">
        <f aca="false">IF(O1029="","",IF(U1029="",0,O1029*IF(U1029&gt;1,U1029/100,U1029)))</f>
        <v/>
      </c>
      <c r="W1029" s="28"/>
      <c r="X1029" s="34" t="str">
        <f aca="false">IF(W1029="","",IFERROR(VLOOKUP(W1029,REPS!$A$2:$D$40,3,0),""))</f>
        <v/>
      </c>
      <c r="Y1029" s="31" t="str">
        <f aca="false">IF(O1029="","",IF(X1029="",0,O1029*IF(X1029&gt;1,X1029/100,X1029)))</f>
        <v/>
      </c>
      <c r="Z1029" s="28"/>
      <c r="AA1029" s="34" t="str">
        <f aca="false">IF(Z1029="","",IFERROR(VLOOKUP(Z1029,REPS!$A$2:$D$40,4,0),""))</f>
        <v/>
      </c>
      <c r="AB1029" s="31" t="str">
        <f aca="false">IF(O1029="","",IF(AA1029="",0,O1029*IF(AA1029&gt;1,AA1029/100,AA1029)))</f>
        <v/>
      </c>
      <c r="AC1029" s="31" t="str">
        <f aca="false">IF(O1029="","",V1029+Y1029+AB1029)</f>
        <v/>
      </c>
      <c r="AD1029" s="19" t="str">
        <f aca="false">IF(O1029="","",O1029-R1029-AC1029)</f>
        <v/>
      </c>
      <c r="AE1029" s="20"/>
      <c r="AF1029" s="27"/>
      <c r="AG1029" s="21" t="n">
        <f aca="false">IF(OR(AE1029="",AE1029=0),0,AE1029*IF(U1029="",0,IF(U1029&gt;1,U1029/100,U1029)))</f>
        <v>0</v>
      </c>
      <c r="AH1029" s="21" t="n">
        <f aca="false">IF(OR(AE1029="",AE1029=0),0,AE1029*IF(X1029="",0,IF(X1029&gt;1,X1029/100,X1029)))</f>
        <v>0</v>
      </c>
      <c r="AI1029" s="21" t="n">
        <f aca="false">IF(OR(AE1029="",AE1029=0),0,AE1029*IF(AA1029="",0,IF(AA1029&gt;1,AA1029/100,AA1029)))</f>
        <v>0</v>
      </c>
      <c r="AJ1029" s="21" t="n">
        <f aca="false">AG1029+AH1029+AI1029</f>
        <v>0</v>
      </c>
      <c r="AK1029" s="21" t="n">
        <f aca="false">IF(OR(AE1029="",AE1029=0),0,AE1029-AJ1029)</f>
        <v>0</v>
      </c>
      <c r="AL1029" s="19" t="str">
        <f aca="false">IF(AD1029="","",AD1029-AK1029)</f>
        <v/>
      </c>
      <c r="AM1029" s="26" t="str">
        <f aca="false">IF(C1029="","","Waiting for payment")</f>
        <v/>
      </c>
      <c r="AN1029" s="27"/>
      <c r="AO1029" s="27"/>
      <c r="AP1029" s="35" t="str">
        <f aca="false">IF(OR(C1029="",I1029="",K1029=""),"",IF(K1029="Monthly",EDATE(C1029,ROUND(I1029*SETTINGS!$I$8,0)),WORKDAY(C1029,ROUND(I1029*SETTINGS!$I$8,0))))</f>
        <v/>
      </c>
      <c r="AQ1029" s="26" t="str">
        <f aca="true">IF(C1029="","",IF(AND(AP1029&lt;&gt;"",TODAY()&gt;=AP1029),"Refi Ready",IF(TODAY()-C1029&gt;=SETTINGS!$I$11,"Prospecting","Performing")))</f>
        <v/>
      </c>
      <c r="AR1029" s="35" t="str">
        <f aca="false">IF(OR(C1029="",I1029="",K1029=""),"",IF(K1029="Monthly",EDATE(C1029,I1029),WORKDAY(C1029,I1029)))</f>
        <v/>
      </c>
      <c r="AS1029" s="28"/>
      <c r="AT1029" s="36" t="str">
        <f aca="true">IF(C1029="","",IF(AM1029="Clawed Back","CLAWED",IF(TODAY()&lt;=C1029+SETTINGS!$I$2,"⚠ AT RISK","SAFE")))</f>
        <v/>
      </c>
      <c r="AU1029" s="28"/>
      <c r="AW1029" s="24" t="n">
        <f aca="false">AW1028+IF(AND(C1029&lt;&gt;"",AO1029&lt;&gt;"",OR('REP COMMISSION'!$B$3="",T1029='REP COMMISSION'!$B$3,W1029='REP COMMISSION'!$B$3,Z1029='REP COMMISSION'!$B$3)),1,0)</f>
        <v>0</v>
      </c>
      <c r="AX1029" s="24" t="n">
        <f aca="false">AX1028+IF(AND(C1029&lt;&gt;"",OR(F1029="LOC - INITIAL",F1029="CONSOLIDATION - UPFRONT COMM",F1029="REVERSE - TOTAL FUNDING")),1,0)</f>
        <v>0</v>
      </c>
    </row>
    <row r="1030" customFormat="false" ht="15" hidden="false" customHeight="false" outlineLevel="0" collapsed="false">
      <c r="A1030" s="8" t="str">
        <f aca="false">IF(C1030&lt;&gt;"","F27-"&amp;COUNT($C$4:C1030),"")</f>
        <v/>
      </c>
      <c r="B1030" s="9" t="str">
        <f aca="false">IF(OR(F1030="LOC - INITIAL",F1030="CONSOLIDATION - UPFRONT COMM",F1030="REVERSE - TOTAL FUNDING"),A1030,"")</f>
        <v/>
      </c>
      <c r="C1030" s="10"/>
      <c r="D1030" s="11"/>
      <c r="E1030" s="11"/>
      <c r="F1030" s="11"/>
      <c r="G1030" s="12"/>
      <c r="H1030" s="13"/>
      <c r="I1030" s="11"/>
      <c r="J1030" s="14" t="str">
        <f aca="false">IF(AND(G1030&lt;&gt;"",H1030&lt;&gt;""),G1030*H1030,"")</f>
        <v/>
      </c>
      <c r="K1030" s="11"/>
      <c r="L1030" s="15"/>
      <c r="M1030" s="15"/>
      <c r="N1030" s="14" t="n">
        <f aca="false">IF(OR(G1030="",M1030=""),0,IF(M1030&gt;100,M1030,G1030*IF(M1030&gt;1,M1030/100,M1030)))</f>
        <v>0</v>
      </c>
      <c r="O1030" s="14" t="str">
        <f aca="false">IF(G1030="","",G1030*IF(L1030="",0,IF(L1030&gt;1,L1030/100,L1030))+N1030)</f>
        <v/>
      </c>
      <c r="P1030" s="11"/>
      <c r="Q1030" s="16" t="str">
        <f aca="false">IF(P1030="","",IFERROR(VLOOKUP(P1030,PARTNERS!$A$2:$B$30,2,0),""))</f>
        <v/>
      </c>
      <c r="R1030" s="17" t="str">
        <f aca="false">IF(O1030="","",IF(OR(P1030="",Q1030=""),0,(O1030-N1030)*IF(Q1030&gt;1,Q1030/100,Q1030)))</f>
        <v/>
      </c>
      <c r="S1030" s="14" t="str">
        <f aca="false">IF(O1030="","",O1030-R1030)</f>
        <v/>
      </c>
      <c r="T1030" s="11"/>
      <c r="U1030" s="18" t="str">
        <f aca="false">IF(T1030="","",IFERROR(VLOOKUP(T1030,REPS!$A$2:$D$40,2,0),""))</f>
        <v/>
      </c>
      <c r="V1030" s="14" t="str">
        <f aca="false">IF(O1030="","",IF(U1030="",0,O1030*IF(U1030&gt;1,U1030/100,U1030)))</f>
        <v/>
      </c>
      <c r="W1030" s="11"/>
      <c r="X1030" s="18" t="str">
        <f aca="false">IF(W1030="","",IFERROR(VLOOKUP(W1030,REPS!$A$2:$D$40,3,0),""))</f>
        <v/>
      </c>
      <c r="Y1030" s="14" t="str">
        <f aca="false">IF(O1030="","",IF(X1030="",0,O1030*IF(X1030&gt;1,X1030/100,X1030)))</f>
        <v/>
      </c>
      <c r="Z1030" s="11"/>
      <c r="AA1030" s="18" t="str">
        <f aca="false">IF(Z1030="","",IFERROR(VLOOKUP(Z1030,REPS!$A$2:$D$40,4,0),""))</f>
        <v/>
      </c>
      <c r="AB1030" s="14" t="str">
        <f aca="false">IF(O1030="","",IF(AA1030="",0,O1030*IF(AA1030&gt;1,AA1030/100,AA1030)))</f>
        <v/>
      </c>
      <c r="AC1030" s="14" t="str">
        <f aca="false">IF(O1030="","",V1030+Y1030+AB1030)</f>
        <v/>
      </c>
      <c r="AD1030" s="19" t="str">
        <f aca="false">IF(O1030="","",O1030-R1030-AC1030)</f>
        <v/>
      </c>
      <c r="AE1030" s="20"/>
      <c r="AF1030" s="10"/>
      <c r="AG1030" s="21" t="n">
        <f aca="false">IF(OR(AE1030="",AE1030=0),0,AE1030*IF(U1030="",0,IF(U1030&gt;1,U1030/100,U1030)))</f>
        <v>0</v>
      </c>
      <c r="AH1030" s="21" t="n">
        <f aca="false">IF(OR(AE1030="",AE1030=0),0,AE1030*IF(X1030="",0,IF(X1030&gt;1,X1030/100,X1030)))</f>
        <v>0</v>
      </c>
      <c r="AI1030" s="21" t="n">
        <f aca="false">IF(OR(AE1030="",AE1030=0),0,AE1030*IF(AA1030="",0,IF(AA1030&gt;1,AA1030/100,AA1030)))</f>
        <v>0</v>
      </c>
      <c r="AJ1030" s="21" t="n">
        <f aca="false">AG1030+AH1030+AI1030</f>
        <v>0</v>
      </c>
      <c r="AK1030" s="21" t="n">
        <f aca="false">IF(OR(AE1030="",AE1030=0),0,AE1030-AJ1030)</f>
        <v>0</v>
      </c>
      <c r="AL1030" s="19" t="str">
        <f aca="false">IF(AD1030="","",AD1030-AK1030)</f>
        <v/>
      </c>
      <c r="AM1030" s="9" t="str">
        <f aca="false">IF(C1030="","","Waiting for payment")</f>
        <v/>
      </c>
      <c r="AN1030" s="10"/>
      <c r="AO1030" s="10"/>
      <c r="AP1030" s="22" t="str">
        <f aca="false">IF(OR(C1030="",I1030="",K1030=""),"",IF(K1030="Monthly",EDATE(C1030,ROUND(I1030*SETTINGS!$I$8,0)),WORKDAY(C1030,ROUND(I1030*SETTINGS!$I$8,0))))</f>
        <v/>
      </c>
      <c r="AQ1030" s="9" t="str">
        <f aca="true">IF(C1030="","",IF(AND(AP1030&lt;&gt;"",TODAY()&gt;=AP1030),"Refi Ready",IF(TODAY()-C1030&gt;=SETTINGS!$I$11,"Prospecting","Performing")))</f>
        <v/>
      </c>
      <c r="AR1030" s="22" t="str">
        <f aca="false">IF(OR(C1030="",I1030="",K1030=""),"",IF(K1030="Monthly",EDATE(C1030,I1030),WORKDAY(C1030,I1030)))</f>
        <v/>
      </c>
      <c r="AS1030" s="11"/>
      <c r="AT1030" s="23" t="str">
        <f aca="true">IF(C1030="","",IF(AM1030="Clawed Back","CLAWED",IF(TODAY()&lt;=C1030+SETTINGS!$I$2,"⚠ AT RISK","SAFE")))</f>
        <v/>
      </c>
      <c r="AU1030" s="11"/>
      <c r="AW1030" s="24" t="n">
        <f aca="false">AW1029+IF(AND(C1030&lt;&gt;"",AO1030&lt;&gt;"",OR('REP COMMISSION'!$B$3="",T1030='REP COMMISSION'!$B$3,W1030='REP COMMISSION'!$B$3,Z1030='REP COMMISSION'!$B$3)),1,0)</f>
        <v>0</v>
      </c>
      <c r="AX1030" s="24" t="n">
        <f aca="false">AX1029+IF(AND(C1030&lt;&gt;"",OR(F1030="LOC - INITIAL",F1030="CONSOLIDATION - UPFRONT COMM",F1030="REVERSE - TOTAL FUNDING")),1,0)</f>
        <v>0</v>
      </c>
    </row>
    <row r="1031" customFormat="false" ht="15" hidden="false" customHeight="false" outlineLevel="0" collapsed="false">
      <c r="A1031" s="25" t="str">
        <f aca="false">IF(C1031&lt;&gt;"","F27-"&amp;COUNT($C$4:C1031),"")</f>
        <v/>
      </c>
      <c r="B1031" s="26" t="str">
        <f aca="false">IF(OR(F1031="LOC - INITIAL",F1031="CONSOLIDATION - UPFRONT COMM",F1031="REVERSE - TOTAL FUNDING"),A1031,"")</f>
        <v/>
      </c>
      <c r="C1031" s="27"/>
      <c r="D1031" s="28"/>
      <c r="E1031" s="28"/>
      <c r="F1031" s="28"/>
      <c r="G1031" s="29"/>
      <c r="H1031" s="30"/>
      <c r="I1031" s="28"/>
      <c r="J1031" s="31" t="str">
        <f aca="false">IF(AND(G1031&lt;&gt;"",H1031&lt;&gt;""),G1031*H1031,"")</f>
        <v/>
      </c>
      <c r="K1031" s="28"/>
      <c r="L1031" s="32"/>
      <c r="M1031" s="32"/>
      <c r="N1031" s="31" t="n">
        <f aca="false">IF(OR(G1031="",M1031=""),0,IF(M1031&gt;100,M1031,G1031*IF(M1031&gt;1,M1031/100,M1031)))</f>
        <v>0</v>
      </c>
      <c r="O1031" s="31" t="str">
        <f aca="false">IF(G1031="","",G1031*IF(L1031="",0,IF(L1031&gt;1,L1031/100,L1031))+N1031)</f>
        <v/>
      </c>
      <c r="P1031" s="28"/>
      <c r="Q1031" s="33" t="str">
        <f aca="false">IF(P1031="","",IFERROR(VLOOKUP(P1031,PARTNERS!$A$2:$B$30,2,0),""))</f>
        <v/>
      </c>
      <c r="R1031" s="17" t="str">
        <f aca="false">IF(O1031="","",IF(OR(P1031="",Q1031=""),0,(O1031-N1031)*IF(Q1031&gt;1,Q1031/100,Q1031)))</f>
        <v/>
      </c>
      <c r="S1031" s="31" t="str">
        <f aca="false">IF(O1031="","",O1031-R1031)</f>
        <v/>
      </c>
      <c r="T1031" s="28"/>
      <c r="U1031" s="34" t="str">
        <f aca="false">IF(T1031="","",IFERROR(VLOOKUP(T1031,REPS!$A$2:$D$40,2,0),""))</f>
        <v/>
      </c>
      <c r="V1031" s="31" t="str">
        <f aca="false">IF(O1031="","",IF(U1031="",0,O1031*IF(U1031&gt;1,U1031/100,U1031)))</f>
        <v/>
      </c>
      <c r="W1031" s="28"/>
      <c r="X1031" s="34" t="str">
        <f aca="false">IF(W1031="","",IFERROR(VLOOKUP(W1031,REPS!$A$2:$D$40,3,0),""))</f>
        <v/>
      </c>
      <c r="Y1031" s="31" t="str">
        <f aca="false">IF(O1031="","",IF(X1031="",0,O1031*IF(X1031&gt;1,X1031/100,X1031)))</f>
        <v/>
      </c>
      <c r="Z1031" s="28"/>
      <c r="AA1031" s="34" t="str">
        <f aca="false">IF(Z1031="","",IFERROR(VLOOKUP(Z1031,REPS!$A$2:$D$40,4,0),""))</f>
        <v/>
      </c>
      <c r="AB1031" s="31" t="str">
        <f aca="false">IF(O1031="","",IF(AA1031="",0,O1031*IF(AA1031&gt;1,AA1031/100,AA1031)))</f>
        <v/>
      </c>
      <c r="AC1031" s="31" t="str">
        <f aca="false">IF(O1031="","",V1031+Y1031+AB1031)</f>
        <v/>
      </c>
      <c r="AD1031" s="19" t="str">
        <f aca="false">IF(O1031="","",O1031-R1031-AC1031)</f>
        <v/>
      </c>
      <c r="AE1031" s="20"/>
      <c r="AF1031" s="27"/>
      <c r="AG1031" s="21" t="n">
        <f aca="false">IF(OR(AE1031="",AE1031=0),0,AE1031*IF(U1031="",0,IF(U1031&gt;1,U1031/100,U1031)))</f>
        <v>0</v>
      </c>
      <c r="AH1031" s="21" t="n">
        <f aca="false">IF(OR(AE1031="",AE1031=0),0,AE1031*IF(X1031="",0,IF(X1031&gt;1,X1031/100,X1031)))</f>
        <v>0</v>
      </c>
      <c r="AI1031" s="21" t="n">
        <f aca="false">IF(OR(AE1031="",AE1031=0),0,AE1031*IF(AA1031="",0,IF(AA1031&gt;1,AA1031/100,AA1031)))</f>
        <v>0</v>
      </c>
      <c r="AJ1031" s="21" t="n">
        <f aca="false">AG1031+AH1031+AI1031</f>
        <v>0</v>
      </c>
      <c r="AK1031" s="21" t="n">
        <f aca="false">IF(OR(AE1031="",AE1031=0),0,AE1031-AJ1031)</f>
        <v>0</v>
      </c>
      <c r="AL1031" s="19" t="str">
        <f aca="false">IF(AD1031="","",AD1031-AK1031)</f>
        <v/>
      </c>
      <c r="AM1031" s="26" t="str">
        <f aca="false">IF(C1031="","","Waiting for payment")</f>
        <v/>
      </c>
      <c r="AN1031" s="27"/>
      <c r="AO1031" s="27"/>
      <c r="AP1031" s="35" t="str">
        <f aca="false">IF(OR(C1031="",I1031="",K1031=""),"",IF(K1031="Monthly",EDATE(C1031,ROUND(I1031*SETTINGS!$I$8,0)),WORKDAY(C1031,ROUND(I1031*SETTINGS!$I$8,0))))</f>
        <v/>
      </c>
      <c r="AQ1031" s="26" t="str">
        <f aca="true">IF(C1031="","",IF(AND(AP1031&lt;&gt;"",TODAY()&gt;=AP1031),"Refi Ready",IF(TODAY()-C1031&gt;=SETTINGS!$I$11,"Prospecting","Performing")))</f>
        <v/>
      </c>
      <c r="AR1031" s="35" t="str">
        <f aca="false">IF(OR(C1031="",I1031="",K1031=""),"",IF(K1031="Monthly",EDATE(C1031,I1031),WORKDAY(C1031,I1031)))</f>
        <v/>
      </c>
      <c r="AS1031" s="28"/>
      <c r="AT1031" s="36" t="str">
        <f aca="true">IF(C1031="","",IF(AM1031="Clawed Back","CLAWED",IF(TODAY()&lt;=C1031+SETTINGS!$I$2,"⚠ AT RISK","SAFE")))</f>
        <v/>
      </c>
      <c r="AU1031" s="28"/>
      <c r="AW1031" s="24" t="n">
        <f aca="false">AW1030+IF(AND(C1031&lt;&gt;"",AO1031&lt;&gt;"",OR('REP COMMISSION'!$B$3="",T1031='REP COMMISSION'!$B$3,W1031='REP COMMISSION'!$B$3,Z1031='REP COMMISSION'!$B$3)),1,0)</f>
        <v>0</v>
      </c>
      <c r="AX1031" s="24" t="n">
        <f aca="false">AX1030+IF(AND(C1031&lt;&gt;"",OR(F1031="LOC - INITIAL",F1031="CONSOLIDATION - UPFRONT COMM",F1031="REVERSE - TOTAL FUNDING")),1,0)</f>
        <v>0</v>
      </c>
    </row>
    <row r="1032" customFormat="false" ht="15" hidden="false" customHeight="false" outlineLevel="0" collapsed="false">
      <c r="A1032" s="8" t="str">
        <f aca="false">IF(C1032&lt;&gt;"","F27-"&amp;COUNT($C$4:C1032),"")</f>
        <v/>
      </c>
      <c r="B1032" s="9" t="str">
        <f aca="false">IF(OR(F1032="LOC - INITIAL",F1032="CONSOLIDATION - UPFRONT COMM",F1032="REVERSE - TOTAL FUNDING"),A1032,"")</f>
        <v/>
      </c>
      <c r="C1032" s="10"/>
      <c r="D1032" s="11"/>
      <c r="E1032" s="11"/>
      <c r="F1032" s="11"/>
      <c r="G1032" s="12"/>
      <c r="H1032" s="13"/>
      <c r="I1032" s="11"/>
      <c r="J1032" s="14" t="str">
        <f aca="false">IF(AND(G1032&lt;&gt;"",H1032&lt;&gt;""),G1032*H1032,"")</f>
        <v/>
      </c>
      <c r="K1032" s="11"/>
      <c r="L1032" s="15"/>
      <c r="M1032" s="15"/>
      <c r="N1032" s="14" t="n">
        <f aca="false">IF(OR(G1032="",M1032=""),0,IF(M1032&gt;100,M1032,G1032*IF(M1032&gt;1,M1032/100,M1032)))</f>
        <v>0</v>
      </c>
      <c r="O1032" s="14" t="str">
        <f aca="false">IF(G1032="","",G1032*IF(L1032="",0,IF(L1032&gt;1,L1032/100,L1032))+N1032)</f>
        <v/>
      </c>
      <c r="P1032" s="11"/>
      <c r="Q1032" s="16" t="str">
        <f aca="false">IF(P1032="","",IFERROR(VLOOKUP(P1032,PARTNERS!$A$2:$B$30,2,0),""))</f>
        <v/>
      </c>
      <c r="R1032" s="17" t="str">
        <f aca="false">IF(O1032="","",IF(OR(P1032="",Q1032=""),0,(O1032-N1032)*IF(Q1032&gt;1,Q1032/100,Q1032)))</f>
        <v/>
      </c>
      <c r="S1032" s="14" t="str">
        <f aca="false">IF(O1032="","",O1032-R1032)</f>
        <v/>
      </c>
      <c r="T1032" s="11"/>
      <c r="U1032" s="18" t="str">
        <f aca="false">IF(T1032="","",IFERROR(VLOOKUP(T1032,REPS!$A$2:$D$40,2,0),""))</f>
        <v/>
      </c>
      <c r="V1032" s="14" t="str">
        <f aca="false">IF(O1032="","",IF(U1032="",0,O1032*IF(U1032&gt;1,U1032/100,U1032)))</f>
        <v/>
      </c>
      <c r="W1032" s="11"/>
      <c r="X1032" s="18" t="str">
        <f aca="false">IF(W1032="","",IFERROR(VLOOKUP(W1032,REPS!$A$2:$D$40,3,0),""))</f>
        <v/>
      </c>
      <c r="Y1032" s="14" t="str">
        <f aca="false">IF(O1032="","",IF(X1032="",0,O1032*IF(X1032&gt;1,X1032/100,X1032)))</f>
        <v/>
      </c>
      <c r="Z1032" s="11"/>
      <c r="AA1032" s="18" t="str">
        <f aca="false">IF(Z1032="","",IFERROR(VLOOKUP(Z1032,REPS!$A$2:$D$40,4,0),""))</f>
        <v/>
      </c>
      <c r="AB1032" s="14" t="str">
        <f aca="false">IF(O1032="","",IF(AA1032="",0,O1032*IF(AA1032&gt;1,AA1032/100,AA1032)))</f>
        <v/>
      </c>
      <c r="AC1032" s="14" t="str">
        <f aca="false">IF(O1032="","",V1032+Y1032+AB1032)</f>
        <v/>
      </c>
      <c r="AD1032" s="19" t="str">
        <f aca="false">IF(O1032="","",O1032-R1032-AC1032)</f>
        <v/>
      </c>
      <c r="AE1032" s="20"/>
      <c r="AF1032" s="10"/>
      <c r="AG1032" s="21" t="n">
        <f aca="false">IF(OR(AE1032="",AE1032=0),0,AE1032*IF(U1032="",0,IF(U1032&gt;1,U1032/100,U1032)))</f>
        <v>0</v>
      </c>
      <c r="AH1032" s="21" t="n">
        <f aca="false">IF(OR(AE1032="",AE1032=0),0,AE1032*IF(X1032="",0,IF(X1032&gt;1,X1032/100,X1032)))</f>
        <v>0</v>
      </c>
      <c r="AI1032" s="21" t="n">
        <f aca="false">IF(OR(AE1032="",AE1032=0),0,AE1032*IF(AA1032="",0,IF(AA1032&gt;1,AA1032/100,AA1032)))</f>
        <v>0</v>
      </c>
      <c r="AJ1032" s="21" t="n">
        <f aca="false">AG1032+AH1032+AI1032</f>
        <v>0</v>
      </c>
      <c r="AK1032" s="21" t="n">
        <f aca="false">IF(OR(AE1032="",AE1032=0),0,AE1032-AJ1032)</f>
        <v>0</v>
      </c>
      <c r="AL1032" s="19" t="str">
        <f aca="false">IF(AD1032="","",AD1032-AK1032)</f>
        <v/>
      </c>
      <c r="AM1032" s="9" t="str">
        <f aca="false">IF(C1032="","","Waiting for payment")</f>
        <v/>
      </c>
      <c r="AN1032" s="10"/>
      <c r="AO1032" s="10"/>
      <c r="AP1032" s="22" t="str">
        <f aca="false">IF(OR(C1032="",I1032="",K1032=""),"",IF(K1032="Monthly",EDATE(C1032,ROUND(I1032*SETTINGS!$I$8,0)),WORKDAY(C1032,ROUND(I1032*SETTINGS!$I$8,0))))</f>
        <v/>
      </c>
      <c r="AQ1032" s="9" t="str">
        <f aca="true">IF(C1032="","",IF(AND(AP1032&lt;&gt;"",TODAY()&gt;=AP1032),"Refi Ready",IF(TODAY()-C1032&gt;=SETTINGS!$I$11,"Prospecting","Performing")))</f>
        <v/>
      </c>
      <c r="AR1032" s="22" t="str">
        <f aca="false">IF(OR(C1032="",I1032="",K1032=""),"",IF(K1032="Monthly",EDATE(C1032,I1032),WORKDAY(C1032,I1032)))</f>
        <v/>
      </c>
      <c r="AS1032" s="11"/>
      <c r="AT1032" s="23" t="str">
        <f aca="true">IF(C1032="","",IF(AM1032="Clawed Back","CLAWED",IF(TODAY()&lt;=C1032+SETTINGS!$I$2,"⚠ AT RISK","SAFE")))</f>
        <v/>
      </c>
      <c r="AU1032" s="11"/>
      <c r="AW1032" s="24" t="n">
        <f aca="false">AW1031+IF(AND(C1032&lt;&gt;"",AO1032&lt;&gt;"",OR('REP COMMISSION'!$B$3="",T1032='REP COMMISSION'!$B$3,W1032='REP COMMISSION'!$B$3,Z1032='REP COMMISSION'!$B$3)),1,0)</f>
        <v>0</v>
      </c>
      <c r="AX1032" s="24" t="n">
        <f aca="false">AX1031+IF(AND(C1032&lt;&gt;"",OR(F1032="LOC - INITIAL",F1032="CONSOLIDATION - UPFRONT COMM",F1032="REVERSE - TOTAL FUNDING")),1,0)</f>
        <v>0</v>
      </c>
    </row>
    <row r="1033" customFormat="false" ht="15" hidden="false" customHeight="false" outlineLevel="0" collapsed="false">
      <c r="A1033" s="25" t="str">
        <f aca="false">IF(C1033&lt;&gt;"","F27-"&amp;COUNT($C$4:C1033),"")</f>
        <v/>
      </c>
      <c r="B1033" s="26" t="str">
        <f aca="false">IF(OR(F1033="LOC - INITIAL",F1033="CONSOLIDATION - UPFRONT COMM",F1033="REVERSE - TOTAL FUNDING"),A1033,"")</f>
        <v/>
      </c>
      <c r="C1033" s="27"/>
      <c r="D1033" s="28"/>
      <c r="E1033" s="28"/>
      <c r="F1033" s="28"/>
      <c r="G1033" s="29"/>
      <c r="H1033" s="30"/>
      <c r="I1033" s="28"/>
      <c r="J1033" s="31" t="str">
        <f aca="false">IF(AND(G1033&lt;&gt;"",H1033&lt;&gt;""),G1033*H1033,"")</f>
        <v/>
      </c>
      <c r="K1033" s="28"/>
      <c r="L1033" s="32"/>
      <c r="M1033" s="32"/>
      <c r="N1033" s="31" t="n">
        <f aca="false">IF(OR(G1033="",M1033=""),0,IF(M1033&gt;100,M1033,G1033*IF(M1033&gt;1,M1033/100,M1033)))</f>
        <v>0</v>
      </c>
      <c r="O1033" s="31" t="str">
        <f aca="false">IF(G1033="","",G1033*IF(L1033="",0,IF(L1033&gt;1,L1033/100,L1033))+N1033)</f>
        <v/>
      </c>
      <c r="P1033" s="28"/>
      <c r="Q1033" s="33" t="str">
        <f aca="false">IF(P1033="","",IFERROR(VLOOKUP(P1033,PARTNERS!$A$2:$B$30,2,0),""))</f>
        <v/>
      </c>
      <c r="R1033" s="17" t="str">
        <f aca="false">IF(O1033="","",IF(OR(P1033="",Q1033=""),0,(O1033-N1033)*IF(Q1033&gt;1,Q1033/100,Q1033)))</f>
        <v/>
      </c>
      <c r="S1033" s="31" t="str">
        <f aca="false">IF(O1033="","",O1033-R1033)</f>
        <v/>
      </c>
      <c r="T1033" s="28"/>
      <c r="U1033" s="34" t="str">
        <f aca="false">IF(T1033="","",IFERROR(VLOOKUP(T1033,REPS!$A$2:$D$40,2,0),""))</f>
        <v/>
      </c>
      <c r="V1033" s="31" t="str">
        <f aca="false">IF(O1033="","",IF(U1033="",0,O1033*IF(U1033&gt;1,U1033/100,U1033)))</f>
        <v/>
      </c>
      <c r="W1033" s="28"/>
      <c r="X1033" s="34" t="str">
        <f aca="false">IF(W1033="","",IFERROR(VLOOKUP(W1033,REPS!$A$2:$D$40,3,0),""))</f>
        <v/>
      </c>
      <c r="Y1033" s="31" t="str">
        <f aca="false">IF(O1033="","",IF(X1033="",0,O1033*IF(X1033&gt;1,X1033/100,X1033)))</f>
        <v/>
      </c>
      <c r="Z1033" s="28"/>
      <c r="AA1033" s="34" t="str">
        <f aca="false">IF(Z1033="","",IFERROR(VLOOKUP(Z1033,REPS!$A$2:$D$40,4,0),""))</f>
        <v/>
      </c>
      <c r="AB1033" s="31" t="str">
        <f aca="false">IF(O1033="","",IF(AA1033="",0,O1033*IF(AA1033&gt;1,AA1033/100,AA1033)))</f>
        <v/>
      </c>
      <c r="AC1033" s="31" t="str">
        <f aca="false">IF(O1033="","",V1033+Y1033+AB1033)</f>
        <v/>
      </c>
      <c r="AD1033" s="19" t="str">
        <f aca="false">IF(O1033="","",O1033-R1033-AC1033)</f>
        <v/>
      </c>
      <c r="AE1033" s="20"/>
      <c r="AF1033" s="27"/>
      <c r="AG1033" s="21" t="n">
        <f aca="false">IF(OR(AE1033="",AE1033=0),0,AE1033*IF(U1033="",0,IF(U1033&gt;1,U1033/100,U1033)))</f>
        <v>0</v>
      </c>
      <c r="AH1033" s="21" t="n">
        <f aca="false">IF(OR(AE1033="",AE1033=0),0,AE1033*IF(X1033="",0,IF(X1033&gt;1,X1033/100,X1033)))</f>
        <v>0</v>
      </c>
      <c r="AI1033" s="21" t="n">
        <f aca="false">IF(OR(AE1033="",AE1033=0),0,AE1033*IF(AA1033="",0,IF(AA1033&gt;1,AA1033/100,AA1033)))</f>
        <v>0</v>
      </c>
      <c r="AJ1033" s="21" t="n">
        <f aca="false">AG1033+AH1033+AI1033</f>
        <v>0</v>
      </c>
      <c r="AK1033" s="21" t="n">
        <f aca="false">IF(OR(AE1033="",AE1033=0),0,AE1033-AJ1033)</f>
        <v>0</v>
      </c>
      <c r="AL1033" s="19" t="str">
        <f aca="false">IF(AD1033="","",AD1033-AK1033)</f>
        <v/>
      </c>
      <c r="AM1033" s="26" t="str">
        <f aca="false">IF(C1033="","","Waiting for payment")</f>
        <v/>
      </c>
      <c r="AN1033" s="27"/>
      <c r="AO1033" s="27"/>
      <c r="AP1033" s="35" t="str">
        <f aca="false">IF(OR(C1033="",I1033="",K1033=""),"",IF(K1033="Monthly",EDATE(C1033,ROUND(I1033*SETTINGS!$I$8,0)),WORKDAY(C1033,ROUND(I1033*SETTINGS!$I$8,0))))</f>
        <v/>
      </c>
      <c r="AQ1033" s="26" t="str">
        <f aca="true">IF(C1033="","",IF(AND(AP1033&lt;&gt;"",TODAY()&gt;=AP1033),"Refi Ready",IF(TODAY()-C1033&gt;=SETTINGS!$I$11,"Prospecting","Performing")))</f>
        <v/>
      </c>
      <c r="AR1033" s="35" t="str">
        <f aca="false">IF(OR(C1033="",I1033="",K1033=""),"",IF(K1033="Monthly",EDATE(C1033,I1033),WORKDAY(C1033,I1033)))</f>
        <v/>
      </c>
      <c r="AS1033" s="28"/>
      <c r="AT1033" s="36" t="str">
        <f aca="true">IF(C1033="","",IF(AM1033="Clawed Back","CLAWED",IF(TODAY()&lt;=C1033+SETTINGS!$I$2,"⚠ AT RISK","SAFE")))</f>
        <v/>
      </c>
      <c r="AU1033" s="28"/>
      <c r="AW1033" s="24" t="n">
        <f aca="false">AW1032+IF(AND(C1033&lt;&gt;"",AO1033&lt;&gt;"",OR('REP COMMISSION'!$B$3="",T1033='REP COMMISSION'!$B$3,W1033='REP COMMISSION'!$B$3,Z1033='REP COMMISSION'!$B$3)),1,0)</f>
        <v>0</v>
      </c>
      <c r="AX1033" s="24" t="n">
        <f aca="false">AX1032+IF(AND(C1033&lt;&gt;"",OR(F1033="LOC - INITIAL",F1033="CONSOLIDATION - UPFRONT COMM",F1033="REVERSE - TOTAL FUNDING")),1,0)</f>
        <v>0</v>
      </c>
    </row>
    <row r="1034" customFormat="false" ht="15" hidden="false" customHeight="false" outlineLevel="0" collapsed="false">
      <c r="A1034" s="8" t="str">
        <f aca="false">IF(C1034&lt;&gt;"","F27-"&amp;COUNT($C$4:C1034),"")</f>
        <v/>
      </c>
      <c r="B1034" s="9" t="str">
        <f aca="false">IF(OR(F1034="LOC - INITIAL",F1034="CONSOLIDATION - UPFRONT COMM",F1034="REVERSE - TOTAL FUNDING"),A1034,"")</f>
        <v/>
      </c>
      <c r="C1034" s="10"/>
      <c r="D1034" s="11"/>
      <c r="E1034" s="11"/>
      <c r="F1034" s="11"/>
      <c r="G1034" s="12"/>
      <c r="H1034" s="13"/>
      <c r="I1034" s="11"/>
      <c r="J1034" s="14" t="str">
        <f aca="false">IF(AND(G1034&lt;&gt;"",H1034&lt;&gt;""),G1034*H1034,"")</f>
        <v/>
      </c>
      <c r="K1034" s="11"/>
      <c r="L1034" s="15"/>
      <c r="M1034" s="15"/>
      <c r="N1034" s="14" t="n">
        <f aca="false">IF(OR(G1034="",M1034=""),0,IF(M1034&gt;100,M1034,G1034*IF(M1034&gt;1,M1034/100,M1034)))</f>
        <v>0</v>
      </c>
      <c r="O1034" s="14" t="str">
        <f aca="false">IF(G1034="","",G1034*IF(L1034="",0,IF(L1034&gt;1,L1034/100,L1034))+N1034)</f>
        <v/>
      </c>
      <c r="P1034" s="11"/>
      <c r="Q1034" s="16" t="str">
        <f aca="false">IF(P1034="","",IFERROR(VLOOKUP(P1034,PARTNERS!$A$2:$B$30,2,0),""))</f>
        <v/>
      </c>
      <c r="R1034" s="17" t="str">
        <f aca="false">IF(O1034="","",IF(OR(P1034="",Q1034=""),0,(O1034-N1034)*IF(Q1034&gt;1,Q1034/100,Q1034)))</f>
        <v/>
      </c>
      <c r="S1034" s="14" t="str">
        <f aca="false">IF(O1034="","",O1034-R1034)</f>
        <v/>
      </c>
      <c r="T1034" s="11"/>
      <c r="U1034" s="18" t="str">
        <f aca="false">IF(T1034="","",IFERROR(VLOOKUP(T1034,REPS!$A$2:$D$40,2,0),""))</f>
        <v/>
      </c>
      <c r="V1034" s="14" t="str">
        <f aca="false">IF(O1034="","",IF(U1034="",0,O1034*IF(U1034&gt;1,U1034/100,U1034)))</f>
        <v/>
      </c>
      <c r="W1034" s="11"/>
      <c r="X1034" s="18" t="str">
        <f aca="false">IF(W1034="","",IFERROR(VLOOKUP(W1034,REPS!$A$2:$D$40,3,0),""))</f>
        <v/>
      </c>
      <c r="Y1034" s="14" t="str">
        <f aca="false">IF(O1034="","",IF(X1034="",0,O1034*IF(X1034&gt;1,X1034/100,X1034)))</f>
        <v/>
      </c>
      <c r="Z1034" s="11"/>
      <c r="AA1034" s="18" t="str">
        <f aca="false">IF(Z1034="","",IFERROR(VLOOKUP(Z1034,REPS!$A$2:$D$40,4,0),""))</f>
        <v/>
      </c>
      <c r="AB1034" s="14" t="str">
        <f aca="false">IF(O1034="","",IF(AA1034="",0,O1034*IF(AA1034&gt;1,AA1034/100,AA1034)))</f>
        <v/>
      </c>
      <c r="AC1034" s="14" t="str">
        <f aca="false">IF(O1034="","",V1034+Y1034+AB1034)</f>
        <v/>
      </c>
      <c r="AD1034" s="19" t="str">
        <f aca="false">IF(O1034="","",O1034-R1034-AC1034)</f>
        <v/>
      </c>
      <c r="AE1034" s="20"/>
      <c r="AF1034" s="10"/>
      <c r="AG1034" s="21" t="n">
        <f aca="false">IF(OR(AE1034="",AE1034=0),0,AE1034*IF(U1034="",0,IF(U1034&gt;1,U1034/100,U1034)))</f>
        <v>0</v>
      </c>
      <c r="AH1034" s="21" t="n">
        <f aca="false">IF(OR(AE1034="",AE1034=0),0,AE1034*IF(X1034="",0,IF(X1034&gt;1,X1034/100,X1034)))</f>
        <v>0</v>
      </c>
      <c r="AI1034" s="21" t="n">
        <f aca="false">IF(OR(AE1034="",AE1034=0),0,AE1034*IF(AA1034="",0,IF(AA1034&gt;1,AA1034/100,AA1034)))</f>
        <v>0</v>
      </c>
      <c r="AJ1034" s="21" t="n">
        <f aca="false">AG1034+AH1034+AI1034</f>
        <v>0</v>
      </c>
      <c r="AK1034" s="21" t="n">
        <f aca="false">IF(OR(AE1034="",AE1034=0),0,AE1034-AJ1034)</f>
        <v>0</v>
      </c>
      <c r="AL1034" s="19" t="str">
        <f aca="false">IF(AD1034="","",AD1034-AK1034)</f>
        <v/>
      </c>
      <c r="AM1034" s="9" t="str">
        <f aca="false">IF(C1034="","","Waiting for payment")</f>
        <v/>
      </c>
      <c r="AN1034" s="10"/>
      <c r="AO1034" s="10"/>
      <c r="AP1034" s="22" t="str">
        <f aca="false">IF(OR(C1034="",I1034="",K1034=""),"",IF(K1034="Monthly",EDATE(C1034,ROUND(I1034*SETTINGS!$I$8,0)),WORKDAY(C1034,ROUND(I1034*SETTINGS!$I$8,0))))</f>
        <v/>
      </c>
      <c r="AQ1034" s="9" t="str">
        <f aca="true">IF(C1034="","",IF(AND(AP1034&lt;&gt;"",TODAY()&gt;=AP1034),"Refi Ready",IF(TODAY()-C1034&gt;=SETTINGS!$I$11,"Prospecting","Performing")))</f>
        <v/>
      </c>
      <c r="AR1034" s="22" t="str">
        <f aca="false">IF(OR(C1034="",I1034="",K1034=""),"",IF(K1034="Monthly",EDATE(C1034,I1034),WORKDAY(C1034,I1034)))</f>
        <v/>
      </c>
      <c r="AS1034" s="11"/>
      <c r="AT1034" s="23" t="str">
        <f aca="true">IF(C1034="","",IF(AM1034="Clawed Back","CLAWED",IF(TODAY()&lt;=C1034+SETTINGS!$I$2,"⚠ AT RISK","SAFE")))</f>
        <v/>
      </c>
      <c r="AU1034" s="11"/>
      <c r="AW1034" s="24" t="n">
        <f aca="false">AW1033+IF(AND(C1034&lt;&gt;"",AO1034&lt;&gt;"",OR('REP COMMISSION'!$B$3="",T1034='REP COMMISSION'!$B$3,W1034='REP COMMISSION'!$B$3,Z1034='REP COMMISSION'!$B$3)),1,0)</f>
        <v>0</v>
      </c>
      <c r="AX1034" s="24" t="n">
        <f aca="false">AX1033+IF(AND(C1034&lt;&gt;"",OR(F1034="LOC - INITIAL",F1034="CONSOLIDATION - UPFRONT COMM",F1034="REVERSE - TOTAL FUNDING")),1,0)</f>
        <v>0</v>
      </c>
    </row>
    <row r="1035" customFormat="false" ht="15" hidden="false" customHeight="false" outlineLevel="0" collapsed="false">
      <c r="A1035" s="25" t="str">
        <f aca="false">IF(C1035&lt;&gt;"","F27-"&amp;COUNT($C$4:C1035),"")</f>
        <v/>
      </c>
      <c r="B1035" s="26" t="str">
        <f aca="false">IF(OR(F1035="LOC - INITIAL",F1035="CONSOLIDATION - UPFRONT COMM",F1035="REVERSE - TOTAL FUNDING"),A1035,"")</f>
        <v/>
      </c>
      <c r="C1035" s="27"/>
      <c r="D1035" s="28"/>
      <c r="E1035" s="28"/>
      <c r="F1035" s="28"/>
      <c r="G1035" s="29"/>
      <c r="H1035" s="30"/>
      <c r="I1035" s="28"/>
      <c r="J1035" s="31" t="str">
        <f aca="false">IF(AND(G1035&lt;&gt;"",H1035&lt;&gt;""),G1035*H1035,"")</f>
        <v/>
      </c>
      <c r="K1035" s="28"/>
      <c r="L1035" s="32"/>
      <c r="M1035" s="32"/>
      <c r="N1035" s="31" t="n">
        <f aca="false">IF(OR(G1035="",M1035=""),0,IF(M1035&gt;100,M1035,G1035*IF(M1035&gt;1,M1035/100,M1035)))</f>
        <v>0</v>
      </c>
      <c r="O1035" s="31" t="str">
        <f aca="false">IF(G1035="","",G1035*IF(L1035="",0,IF(L1035&gt;1,L1035/100,L1035))+N1035)</f>
        <v/>
      </c>
      <c r="P1035" s="28"/>
      <c r="Q1035" s="33" t="str">
        <f aca="false">IF(P1035="","",IFERROR(VLOOKUP(P1035,PARTNERS!$A$2:$B$30,2,0),""))</f>
        <v/>
      </c>
      <c r="R1035" s="17" t="str">
        <f aca="false">IF(O1035="","",IF(OR(P1035="",Q1035=""),0,(O1035-N1035)*IF(Q1035&gt;1,Q1035/100,Q1035)))</f>
        <v/>
      </c>
      <c r="S1035" s="31" t="str">
        <f aca="false">IF(O1035="","",O1035-R1035)</f>
        <v/>
      </c>
      <c r="T1035" s="28"/>
      <c r="U1035" s="34" t="str">
        <f aca="false">IF(T1035="","",IFERROR(VLOOKUP(T1035,REPS!$A$2:$D$40,2,0),""))</f>
        <v/>
      </c>
      <c r="V1035" s="31" t="str">
        <f aca="false">IF(O1035="","",IF(U1035="",0,O1035*IF(U1035&gt;1,U1035/100,U1035)))</f>
        <v/>
      </c>
      <c r="W1035" s="28"/>
      <c r="X1035" s="34" t="str">
        <f aca="false">IF(W1035="","",IFERROR(VLOOKUP(W1035,REPS!$A$2:$D$40,3,0),""))</f>
        <v/>
      </c>
      <c r="Y1035" s="31" t="str">
        <f aca="false">IF(O1035="","",IF(X1035="",0,O1035*IF(X1035&gt;1,X1035/100,X1035)))</f>
        <v/>
      </c>
      <c r="Z1035" s="28"/>
      <c r="AA1035" s="34" t="str">
        <f aca="false">IF(Z1035="","",IFERROR(VLOOKUP(Z1035,REPS!$A$2:$D$40,4,0),""))</f>
        <v/>
      </c>
      <c r="AB1035" s="31" t="str">
        <f aca="false">IF(O1035="","",IF(AA1035="",0,O1035*IF(AA1035&gt;1,AA1035/100,AA1035)))</f>
        <v/>
      </c>
      <c r="AC1035" s="31" t="str">
        <f aca="false">IF(O1035="","",V1035+Y1035+AB1035)</f>
        <v/>
      </c>
      <c r="AD1035" s="19" t="str">
        <f aca="false">IF(O1035="","",O1035-R1035-AC1035)</f>
        <v/>
      </c>
      <c r="AE1035" s="20"/>
      <c r="AF1035" s="27"/>
      <c r="AG1035" s="21" t="n">
        <f aca="false">IF(OR(AE1035="",AE1035=0),0,AE1035*IF(U1035="",0,IF(U1035&gt;1,U1035/100,U1035)))</f>
        <v>0</v>
      </c>
      <c r="AH1035" s="21" t="n">
        <f aca="false">IF(OR(AE1035="",AE1035=0),0,AE1035*IF(X1035="",0,IF(X1035&gt;1,X1035/100,X1035)))</f>
        <v>0</v>
      </c>
      <c r="AI1035" s="21" t="n">
        <f aca="false">IF(OR(AE1035="",AE1035=0),0,AE1035*IF(AA1035="",0,IF(AA1035&gt;1,AA1035/100,AA1035)))</f>
        <v>0</v>
      </c>
      <c r="AJ1035" s="21" t="n">
        <f aca="false">AG1035+AH1035+AI1035</f>
        <v>0</v>
      </c>
      <c r="AK1035" s="21" t="n">
        <f aca="false">IF(OR(AE1035="",AE1035=0),0,AE1035-AJ1035)</f>
        <v>0</v>
      </c>
      <c r="AL1035" s="19" t="str">
        <f aca="false">IF(AD1035="","",AD1035-AK1035)</f>
        <v/>
      </c>
      <c r="AM1035" s="26" t="str">
        <f aca="false">IF(C1035="","","Waiting for payment")</f>
        <v/>
      </c>
      <c r="AN1035" s="27"/>
      <c r="AO1035" s="27"/>
      <c r="AP1035" s="35" t="str">
        <f aca="false">IF(OR(C1035="",I1035="",K1035=""),"",IF(K1035="Monthly",EDATE(C1035,ROUND(I1035*SETTINGS!$I$8,0)),WORKDAY(C1035,ROUND(I1035*SETTINGS!$I$8,0))))</f>
        <v/>
      </c>
      <c r="AQ1035" s="26" t="str">
        <f aca="true">IF(C1035="","",IF(AND(AP1035&lt;&gt;"",TODAY()&gt;=AP1035),"Refi Ready",IF(TODAY()-C1035&gt;=SETTINGS!$I$11,"Prospecting","Performing")))</f>
        <v/>
      </c>
      <c r="AR1035" s="35" t="str">
        <f aca="false">IF(OR(C1035="",I1035="",K1035=""),"",IF(K1035="Monthly",EDATE(C1035,I1035),WORKDAY(C1035,I1035)))</f>
        <v/>
      </c>
      <c r="AS1035" s="28"/>
      <c r="AT1035" s="36" t="str">
        <f aca="true">IF(C1035="","",IF(AM1035="Clawed Back","CLAWED",IF(TODAY()&lt;=C1035+SETTINGS!$I$2,"⚠ AT RISK","SAFE")))</f>
        <v/>
      </c>
      <c r="AU1035" s="28"/>
      <c r="AW1035" s="24" t="n">
        <f aca="false">AW1034+IF(AND(C1035&lt;&gt;"",AO1035&lt;&gt;"",OR('REP COMMISSION'!$B$3="",T1035='REP COMMISSION'!$B$3,W1035='REP COMMISSION'!$B$3,Z1035='REP COMMISSION'!$B$3)),1,0)</f>
        <v>0</v>
      </c>
      <c r="AX1035" s="24" t="n">
        <f aca="false">AX1034+IF(AND(C1035&lt;&gt;"",OR(F1035="LOC - INITIAL",F1035="CONSOLIDATION - UPFRONT COMM",F1035="REVERSE - TOTAL FUNDING")),1,0)</f>
        <v>0</v>
      </c>
    </row>
    <row r="1036" customFormat="false" ht="15" hidden="false" customHeight="false" outlineLevel="0" collapsed="false">
      <c r="A1036" s="8" t="str">
        <f aca="false">IF(C1036&lt;&gt;"","F27-"&amp;COUNT($C$4:C1036),"")</f>
        <v/>
      </c>
      <c r="B1036" s="9" t="str">
        <f aca="false">IF(OR(F1036="LOC - INITIAL",F1036="CONSOLIDATION - UPFRONT COMM",F1036="REVERSE - TOTAL FUNDING"),A1036,"")</f>
        <v/>
      </c>
      <c r="C1036" s="10"/>
      <c r="D1036" s="11"/>
      <c r="E1036" s="11"/>
      <c r="F1036" s="11"/>
      <c r="G1036" s="12"/>
      <c r="H1036" s="13"/>
      <c r="I1036" s="11"/>
      <c r="J1036" s="14" t="str">
        <f aca="false">IF(AND(G1036&lt;&gt;"",H1036&lt;&gt;""),G1036*H1036,"")</f>
        <v/>
      </c>
      <c r="K1036" s="11"/>
      <c r="L1036" s="15"/>
      <c r="M1036" s="15"/>
      <c r="N1036" s="14" t="n">
        <f aca="false">IF(OR(G1036="",M1036=""),0,IF(M1036&gt;100,M1036,G1036*IF(M1036&gt;1,M1036/100,M1036)))</f>
        <v>0</v>
      </c>
      <c r="O1036" s="14" t="str">
        <f aca="false">IF(G1036="","",G1036*IF(L1036="",0,IF(L1036&gt;1,L1036/100,L1036))+N1036)</f>
        <v/>
      </c>
      <c r="P1036" s="11"/>
      <c r="Q1036" s="16" t="str">
        <f aca="false">IF(P1036="","",IFERROR(VLOOKUP(P1036,PARTNERS!$A$2:$B$30,2,0),""))</f>
        <v/>
      </c>
      <c r="R1036" s="17" t="str">
        <f aca="false">IF(O1036="","",IF(OR(P1036="",Q1036=""),0,(O1036-N1036)*IF(Q1036&gt;1,Q1036/100,Q1036)))</f>
        <v/>
      </c>
      <c r="S1036" s="14" t="str">
        <f aca="false">IF(O1036="","",O1036-R1036)</f>
        <v/>
      </c>
      <c r="T1036" s="11"/>
      <c r="U1036" s="18" t="str">
        <f aca="false">IF(T1036="","",IFERROR(VLOOKUP(T1036,REPS!$A$2:$D$40,2,0),""))</f>
        <v/>
      </c>
      <c r="V1036" s="14" t="str">
        <f aca="false">IF(O1036="","",IF(U1036="",0,O1036*IF(U1036&gt;1,U1036/100,U1036)))</f>
        <v/>
      </c>
      <c r="W1036" s="11"/>
      <c r="X1036" s="18" t="str">
        <f aca="false">IF(W1036="","",IFERROR(VLOOKUP(W1036,REPS!$A$2:$D$40,3,0),""))</f>
        <v/>
      </c>
      <c r="Y1036" s="14" t="str">
        <f aca="false">IF(O1036="","",IF(X1036="",0,O1036*IF(X1036&gt;1,X1036/100,X1036)))</f>
        <v/>
      </c>
      <c r="Z1036" s="11"/>
      <c r="AA1036" s="18" t="str">
        <f aca="false">IF(Z1036="","",IFERROR(VLOOKUP(Z1036,REPS!$A$2:$D$40,4,0),""))</f>
        <v/>
      </c>
      <c r="AB1036" s="14" t="str">
        <f aca="false">IF(O1036="","",IF(AA1036="",0,O1036*IF(AA1036&gt;1,AA1036/100,AA1036)))</f>
        <v/>
      </c>
      <c r="AC1036" s="14" t="str">
        <f aca="false">IF(O1036="","",V1036+Y1036+AB1036)</f>
        <v/>
      </c>
      <c r="AD1036" s="19" t="str">
        <f aca="false">IF(O1036="","",O1036-R1036-AC1036)</f>
        <v/>
      </c>
      <c r="AE1036" s="20"/>
      <c r="AF1036" s="10"/>
      <c r="AG1036" s="21" t="n">
        <f aca="false">IF(OR(AE1036="",AE1036=0),0,AE1036*IF(U1036="",0,IF(U1036&gt;1,U1036/100,U1036)))</f>
        <v>0</v>
      </c>
      <c r="AH1036" s="21" t="n">
        <f aca="false">IF(OR(AE1036="",AE1036=0),0,AE1036*IF(X1036="",0,IF(X1036&gt;1,X1036/100,X1036)))</f>
        <v>0</v>
      </c>
      <c r="AI1036" s="21" t="n">
        <f aca="false">IF(OR(AE1036="",AE1036=0),0,AE1036*IF(AA1036="",0,IF(AA1036&gt;1,AA1036/100,AA1036)))</f>
        <v>0</v>
      </c>
      <c r="AJ1036" s="21" t="n">
        <f aca="false">AG1036+AH1036+AI1036</f>
        <v>0</v>
      </c>
      <c r="AK1036" s="21" t="n">
        <f aca="false">IF(OR(AE1036="",AE1036=0),0,AE1036-AJ1036)</f>
        <v>0</v>
      </c>
      <c r="AL1036" s="19" t="str">
        <f aca="false">IF(AD1036="","",AD1036-AK1036)</f>
        <v/>
      </c>
      <c r="AM1036" s="9" t="str">
        <f aca="false">IF(C1036="","","Waiting for payment")</f>
        <v/>
      </c>
      <c r="AN1036" s="10"/>
      <c r="AO1036" s="10"/>
      <c r="AP1036" s="22" t="str">
        <f aca="false">IF(OR(C1036="",I1036="",K1036=""),"",IF(K1036="Monthly",EDATE(C1036,ROUND(I1036*SETTINGS!$I$8,0)),WORKDAY(C1036,ROUND(I1036*SETTINGS!$I$8,0))))</f>
        <v/>
      </c>
      <c r="AQ1036" s="9" t="str">
        <f aca="true">IF(C1036="","",IF(AND(AP1036&lt;&gt;"",TODAY()&gt;=AP1036),"Refi Ready",IF(TODAY()-C1036&gt;=SETTINGS!$I$11,"Prospecting","Performing")))</f>
        <v/>
      </c>
      <c r="AR1036" s="22" t="str">
        <f aca="false">IF(OR(C1036="",I1036="",K1036=""),"",IF(K1036="Monthly",EDATE(C1036,I1036),WORKDAY(C1036,I1036)))</f>
        <v/>
      </c>
      <c r="AS1036" s="11"/>
      <c r="AT1036" s="23" t="str">
        <f aca="true">IF(C1036="","",IF(AM1036="Clawed Back","CLAWED",IF(TODAY()&lt;=C1036+SETTINGS!$I$2,"⚠ AT RISK","SAFE")))</f>
        <v/>
      </c>
      <c r="AU1036" s="11"/>
      <c r="AW1036" s="24" t="n">
        <f aca="false">AW1035+IF(AND(C1036&lt;&gt;"",AO1036&lt;&gt;"",OR('REP COMMISSION'!$B$3="",T1036='REP COMMISSION'!$B$3,W1036='REP COMMISSION'!$B$3,Z1036='REP COMMISSION'!$B$3)),1,0)</f>
        <v>0</v>
      </c>
      <c r="AX1036" s="24" t="n">
        <f aca="false">AX1035+IF(AND(C1036&lt;&gt;"",OR(F1036="LOC - INITIAL",F1036="CONSOLIDATION - UPFRONT COMM",F1036="REVERSE - TOTAL FUNDING")),1,0)</f>
        <v>0</v>
      </c>
    </row>
    <row r="1037" customFormat="false" ht="15" hidden="false" customHeight="false" outlineLevel="0" collapsed="false">
      <c r="A1037" s="25" t="str">
        <f aca="false">IF(C1037&lt;&gt;"","F27-"&amp;COUNT($C$4:C1037),"")</f>
        <v/>
      </c>
      <c r="B1037" s="26" t="str">
        <f aca="false">IF(OR(F1037="LOC - INITIAL",F1037="CONSOLIDATION - UPFRONT COMM",F1037="REVERSE - TOTAL FUNDING"),A1037,"")</f>
        <v/>
      </c>
      <c r="C1037" s="27"/>
      <c r="D1037" s="28"/>
      <c r="E1037" s="28"/>
      <c r="F1037" s="28"/>
      <c r="G1037" s="29"/>
      <c r="H1037" s="30"/>
      <c r="I1037" s="28"/>
      <c r="J1037" s="31" t="str">
        <f aca="false">IF(AND(G1037&lt;&gt;"",H1037&lt;&gt;""),G1037*H1037,"")</f>
        <v/>
      </c>
      <c r="K1037" s="28"/>
      <c r="L1037" s="32"/>
      <c r="M1037" s="32"/>
      <c r="N1037" s="31" t="n">
        <f aca="false">IF(OR(G1037="",M1037=""),0,IF(M1037&gt;100,M1037,G1037*IF(M1037&gt;1,M1037/100,M1037)))</f>
        <v>0</v>
      </c>
      <c r="O1037" s="31" t="str">
        <f aca="false">IF(G1037="","",G1037*IF(L1037="",0,IF(L1037&gt;1,L1037/100,L1037))+N1037)</f>
        <v/>
      </c>
      <c r="P1037" s="28"/>
      <c r="Q1037" s="33" t="str">
        <f aca="false">IF(P1037="","",IFERROR(VLOOKUP(P1037,PARTNERS!$A$2:$B$30,2,0),""))</f>
        <v/>
      </c>
      <c r="R1037" s="17" t="str">
        <f aca="false">IF(O1037="","",IF(OR(P1037="",Q1037=""),0,(O1037-N1037)*IF(Q1037&gt;1,Q1037/100,Q1037)))</f>
        <v/>
      </c>
      <c r="S1037" s="31" t="str">
        <f aca="false">IF(O1037="","",O1037-R1037)</f>
        <v/>
      </c>
      <c r="T1037" s="28"/>
      <c r="U1037" s="34" t="str">
        <f aca="false">IF(T1037="","",IFERROR(VLOOKUP(T1037,REPS!$A$2:$D$40,2,0),""))</f>
        <v/>
      </c>
      <c r="V1037" s="31" t="str">
        <f aca="false">IF(O1037="","",IF(U1037="",0,O1037*IF(U1037&gt;1,U1037/100,U1037)))</f>
        <v/>
      </c>
      <c r="W1037" s="28"/>
      <c r="X1037" s="34" t="str">
        <f aca="false">IF(W1037="","",IFERROR(VLOOKUP(W1037,REPS!$A$2:$D$40,3,0),""))</f>
        <v/>
      </c>
      <c r="Y1037" s="31" t="str">
        <f aca="false">IF(O1037="","",IF(X1037="",0,O1037*IF(X1037&gt;1,X1037/100,X1037)))</f>
        <v/>
      </c>
      <c r="Z1037" s="28"/>
      <c r="AA1037" s="34" t="str">
        <f aca="false">IF(Z1037="","",IFERROR(VLOOKUP(Z1037,REPS!$A$2:$D$40,4,0),""))</f>
        <v/>
      </c>
      <c r="AB1037" s="31" t="str">
        <f aca="false">IF(O1037="","",IF(AA1037="",0,O1037*IF(AA1037&gt;1,AA1037/100,AA1037)))</f>
        <v/>
      </c>
      <c r="AC1037" s="31" t="str">
        <f aca="false">IF(O1037="","",V1037+Y1037+AB1037)</f>
        <v/>
      </c>
      <c r="AD1037" s="19" t="str">
        <f aca="false">IF(O1037="","",O1037-R1037-AC1037)</f>
        <v/>
      </c>
      <c r="AE1037" s="20"/>
      <c r="AF1037" s="27"/>
      <c r="AG1037" s="21" t="n">
        <f aca="false">IF(OR(AE1037="",AE1037=0),0,AE1037*IF(U1037="",0,IF(U1037&gt;1,U1037/100,U1037)))</f>
        <v>0</v>
      </c>
      <c r="AH1037" s="21" t="n">
        <f aca="false">IF(OR(AE1037="",AE1037=0),0,AE1037*IF(X1037="",0,IF(X1037&gt;1,X1037/100,X1037)))</f>
        <v>0</v>
      </c>
      <c r="AI1037" s="21" t="n">
        <f aca="false">IF(OR(AE1037="",AE1037=0),0,AE1037*IF(AA1037="",0,IF(AA1037&gt;1,AA1037/100,AA1037)))</f>
        <v>0</v>
      </c>
      <c r="AJ1037" s="21" t="n">
        <f aca="false">AG1037+AH1037+AI1037</f>
        <v>0</v>
      </c>
      <c r="AK1037" s="21" t="n">
        <f aca="false">IF(OR(AE1037="",AE1037=0),0,AE1037-AJ1037)</f>
        <v>0</v>
      </c>
      <c r="AL1037" s="19" t="str">
        <f aca="false">IF(AD1037="","",AD1037-AK1037)</f>
        <v/>
      </c>
      <c r="AM1037" s="26" t="str">
        <f aca="false">IF(C1037="","","Waiting for payment")</f>
        <v/>
      </c>
      <c r="AN1037" s="27"/>
      <c r="AO1037" s="27"/>
      <c r="AP1037" s="35" t="str">
        <f aca="false">IF(OR(C1037="",I1037="",K1037=""),"",IF(K1037="Monthly",EDATE(C1037,ROUND(I1037*SETTINGS!$I$8,0)),WORKDAY(C1037,ROUND(I1037*SETTINGS!$I$8,0))))</f>
        <v/>
      </c>
      <c r="AQ1037" s="26" t="str">
        <f aca="true">IF(C1037="","",IF(AND(AP1037&lt;&gt;"",TODAY()&gt;=AP1037),"Refi Ready",IF(TODAY()-C1037&gt;=SETTINGS!$I$11,"Prospecting","Performing")))</f>
        <v/>
      </c>
      <c r="AR1037" s="35" t="str">
        <f aca="false">IF(OR(C1037="",I1037="",K1037=""),"",IF(K1037="Monthly",EDATE(C1037,I1037),WORKDAY(C1037,I1037)))</f>
        <v/>
      </c>
      <c r="AS1037" s="28"/>
      <c r="AT1037" s="36" t="str">
        <f aca="true">IF(C1037="","",IF(AM1037="Clawed Back","CLAWED",IF(TODAY()&lt;=C1037+SETTINGS!$I$2,"⚠ AT RISK","SAFE")))</f>
        <v/>
      </c>
      <c r="AU1037" s="28"/>
      <c r="AW1037" s="24" t="n">
        <f aca="false">AW1036+IF(AND(C1037&lt;&gt;"",AO1037&lt;&gt;"",OR('REP COMMISSION'!$B$3="",T1037='REP COMMISSION'!$B$3,W1037='REP COMMISSION'!$B$3,Z1037='REP COMMISSION'!$B$3)),1,0)</f>
        <v>0</v>
      </c>
      <c r="AX1037" s="24" t="n">
        <f aca="false">AX1036+IF(AND(C1037&lt;&gt;"",OR(F1037="LOC - INITIAL",F1037="CONSOLIDATION - UPFRONT COMM",F1037="REVERSE - TOTAL FUNDING")),1,0)</f>
        <v>0</v>
      </c>
    </row>
    <row r="1038" customFormat="false" ht="15" hidden="false" customHeight="false" outlineLevel="0" collapsed="false">
      <c r="A1038" s="8" t="str">
        <f aca="false">IF(C1038&lt;&gt;"","F27-"&amp;COUNT($C$4:C1038),"")</f>
        <v/>
      </c>
      <c r="B1038" s="9" t="str">
        <f aca="false">IF(OR(F1038="LOC - INITIAL",F1038="CONSOLIDATION - UPFRONT COMM",F1038="REVERSE - TOTAL FUNDING"),A1038,"")</f>
        <v/>
      </c>
      <c r="C1038" s="10"/>
      <c r="D1038" s="11"/>
      <c r="E1038" s="11"/>
      <c r="F1038" s="11"/>
      <c r="G1038" s="12"/>
      <c r="H1038" s="13"/>
      <c r="I1038" s="11"/>
      <c r="J1038" s="14" t="str">
        <f aca="false">IF(AND(G1038&lt;&gt;"",H1038&lt;&gt;""),G1038*H1038,"")</f>
        <v/>
      </c>
      <c r="K1038" s="11"/>
      <c r="L1038" s="15"/>
      <c r="M1038" s="15"/>
      <c r="N1038" s="14" t="n">
        <f aca="false">IF(OR(G1038="",M1038=""),0,IF(M1038&gt;100,M1038,G1038*IF(M1038&gt;1,M1038/100,M1038)))</f>
        <v>0</v>
      </c>
      <c r="O1038" s="14" t="str">
        <f aca="false">IF(G1038="","",G1038*IF(L1038="",0,IF(L1038&gt;1,L1038/100,L1038))+N1038)</f>
        <v/>
      </c>
      <c r="P1038" s="11"/>
      <c r="Q1038" s="16" t="str">
        <f aca="false">IF(P1038="","",IFERROR(VLOOKUP(P1038,PARTNERS!$A$2:$B$30,2,0),""))</f>
        <v/>
      </c>
      <c r="R1038" s="17" t="str">
        <f aca="false">IF(O1038="","",IF(OR(P1038="",Q1038=""),0,(O1038-N1038)*IF(Q1038&gt;1,Q1038/100,Q1038)))</f>
        <v/>
      </c>
      <c r="S1038" s="14" t="str">
        <f aca="false">IF(O1038="","",O1038-R1038)</f>
        <v/>
      </c>
      <c r="T1038" s="11"/>
      <c r="U1038" s="18" t="str">
        <f aca="false">IF(T1038="","",IFERROR(VLOOKUP(T1038,REPS!$A$2:$D$40,2,0),""))</f>
        <v/>
      </c>
      <c r="V1038" s="14" t="str">
        <f aca="false">IF(O1038="","",IF(U1038="",0,O1038*IF(U1038&gt;1,U1038/100,U1038)))</f>
        <v/>
      </c>
      <c r="W1038" s="11"/>
      <c r="X1038" s="18" t="str">
        <f aca="false">IF(W1038="","",IFERROR(VLOOKUP(W1038,REPS!$A$2:$D$40,3,0),""))</f>
        <v/>
      </c>
      <c r="Y1038" s="14" t="str">
        <f aca="false">IF(O1038="","",IF(X1038="",0,O1038*IF(X1038&gt;1,X1038/100,X1038)))</f>
        <v/>
      </c>
      <c r="Z1038" s="11"/>
      <c r="AA1038" s="18" t="str">
        <f aca="false">IF(Z1038="","",IFERROR(VLOOKUP(Z1038,REPS!$A$2:$D$40,4,0),""))</f>
        <v/>
      </c>
      <c r="AB1038" s="14" t="str">
        <f aca="false">IF(O1038="","",IF(AA1038="",0,O1038*IF(AA1038&gt;1,AA1038/100,AA1038)))</f>
        <v/>
      </c>
      <c r="AC1038" s="14" t="str">
        <f aca="false">IF(O1038="","",V1038+Y1038+AB1038)</f>
        <v/>
      </c>
      <c r="AD1038" s="19" t="str">
        <f aca="false">IF(O1038="","",O1038-R1038-AC1038)</f>
        <v/>
      </c>
      <c r="AE1038" s="20"/>
      <c r="AF1038" s="10"/>
      <c r="AG1038" s="21" t="n">
        <f aca="false">IF(OR(AE1038="",AE1038=0),0,AE1038*IF(U1038="",0,IF(U1038&gt;1,U1038/100,U1038)))</f>
        <v>0</v>
      </c>
      <c r="AH1038" s="21" t="n">
        <f aca="false">IF(OR(AE1038="",AE1038=0),0,AE1038*IF(X1038="",0,IF(X1038&gt;1,X1038/100,X1038)))</f>
        <v>0</v>
      </c>
      <c r="AI1038" s="21" t="n">
        <f aca="false">IF(OR(AE1038="",AE1038=0),0,AE1038*IF(AA1038="",0,IF(AA1038&gt;1,AA1038/100,AA1038)))</f>
        <v>0</v>
      </c>
      <c r="AJ1038" s="21" t="n">
        <f aca="false">AG1038+AH1038+AI1038</f>
        <v>0</v>
      </c>
      <c r="AK1038" s="21" t="n">
        <f aca="false">IF(OR(AE1038="",AE1038=0),0,AE1038-AJ1038)</f>
        <v>0</v>
      </c>
      <c r="AL1038" s="19" t="str">
        <f aca="false">IF(AD1038="","",AD1038-AK1038)</f>
        <v/>
      </c>
      <c r="AM1038" s="9" t="str">
        <f aca="false">IF(C1038="","","Waiting for payment")</f>
        <v/>
      </c>
      <c r="AN1038" s="10"/>
      <c r="AO1038" s="10"/>
      <c r="AP1038" s="22" t="str">
        <f aca="false">IF(OR(C1038="",I1038="",K1038=""),"",IF(K1038="Monthly",EDATE(C1038,ROUND(I1038*SETTINGS!$I$8,0)),WORKDAY(C1038,ROUND(I1038*SETTINGS!$I$8,0))))</f>
        <v/>
      </c>
      <c r="AQ1038" s="9" t="str">
        <f aca="true">IF(C1038="","",IF(AND(AP1038&lt;&gt;"",TODAY()&gt;=AP1038),"Refi Ready",IF(TODAY()-C1038&gt;=SETTINGS!$I$11,"Prospecting","Performing")))</f>
        <v/>
      </c>
      <c r="AR1038" s="22" t="str">
        <f aca="false">IF(OR(C1038="",I1038="",K1038=""),"",IF(K1038="Monthly",EDATE(C1038,I1038),WORKDAY(C1038,I1038)))</f>
        <v/>
      </c>
      <c r="AS1038" s="11"/>
      <c r="AT1038" s="23" t="str">
        <f aca="true">IF(C1038="","",IF(AM1038="Clawed Back","CLAWED",IF(TODAY()&lt;=C1038+SETTINGS!$I$2,"⚠ AT RISK","SAFE")))</f>
        <v/>
      </c>
      <c r="AU1038" s="11"/>
      <c r="AW1038" s="24" t="n">
        <f aca="false">AW1037+IF(AND(C1038&lt;&gt;"",AO1038&lt;&gt;"",OR('REP COMMISSION'!$B$3="",T1038='REP COMMISSION'!$B$3,W1038='REP COMMISSION'!$B$3,Z1038='REP COMMISSION'!$B$3)),1,0)</f>
        <v>0</v>
      </c>
      <c r="AX1038" s="24" t="n">
        <f aca="false">AX1037+IF(AND(C1038&lt;&gt;"",OR(F1038="LOC - INITIAL",F1038="CONSOLIDATION - UPFRONT COMM",F1038="REVERSE - TOTAL FUNDING")),1,0)</f>
        <v>0</v>
      </c>
    </row>
    <row r="1039" customFormat="false" ht="15" hidden="false" customHeight="false" outlineLevel="0" collapsed="false">
      <c r="A1039" s="25" t="str">
        <f aca="false">IF(C1039&lt;&gt;"","F27-"&amp;COUNT($C$4:C1039),"")</f>
        <v/>
      </c>
      <c r="B1039" s="26" t="str">
        <f aca="false">IF(OR(F1039="LOC - INITIAL",F1039="CONSOLIDATION - UPFRONT COMM",F1039="REVERSE - TOTAL FUNDING"),A1039,"")</f>
        <v/>
      </c>
      <c r="C1039" s="27"/>
      <c r="D1039" s="28"/>
      <c r="E1039" s="28"/>
      <c r="F1039" s="28"/>
      <c r="G1039" s="29"/>
      <c r="H1039" s="30"/>
      <c r="I1039" s="28"/>
      <c r="J1039" s="31" t="str">
        <f aca="false">IF(AND(G1039&lt;&gt;"",H1039&lt;&gt;""),G1039*H1039,"")</f>
        <v/>
      </c>
      <c r="K1039" s="28"/>
      <c r="L1039" s="32"/>
      <c r="M1039" s="32"/>
      <c r="N1039" s="31" t="n">
        <f aca="false">IF(OR(G1039="",M1039=""),0,IF(M1039&gt;100,M1039,G1039*IF(M1039&gt;1,M1039/100,M1039)))</f>
        <v>0</v>
      </c>
      <c r="O1039" s="31" t="str">
        <f aca="false">IF(G1039="","",G1039*IF(L1039="",0,IF(L1039&gt;1,L1039/100,L1039))+N1039)</f>
        <v/>
      </c>
      <c r="P1039" s="28"/>
      <c r="Q1039" s="33" t="str">
        <f aca="false">IF(P1039="","",IFERROR(VLOOKUP(P1039,PARTNERS!$A$2:$B$30,2,0),""))</f>
        <v/>
      </c>
      <c r="R1039" s="17" t="str">
        <f aca="false">IF(O1039="","",IF(OR(P1039="",Q1039=""),0,(O1039-N1039)*IF(Q1039&gt;1,Q1039/100,Q1039)))</f>
        <v/>
      </c>
      <c r="S1039" s="31" t="str">
        <f aca="false">IF(O1039="","",O1039-R1039)</f>
        <v/>
      </c>
      <c r="T1039" s="28"/>
      <c r="U1039" s="34" t="str">
        <f aca="false">IF(T1039="","",IFERROR(VLOOKUP(T1039,REPS!$A$2:$D$40,2,0),""))</f>
        <v/>
      </c>
      <c r="V1039" s="31" t="str">
        <f aca="false">IF(O1039="","",IF(U1039="",0,O1039*IF(U1039&gt;1,U1039/100,U1039)))</f>
        <v/>
      </c>
      <c r="W1039" s="28"/>
      <c r="X1039" s="34" t="str">
        <f aca="false">IF(W1039="","",IFERROR(VLOOKUP(W1039,REPS!$A$2:$D$40,3,0),""))</f>
        <v/>
      </c>
      <c r="Y1039" s="31" t="str">
        <f aca="false">IF(O1039="","",IF(X1039="",0,O1039*IF(X1039&gt;1,X1039/100,X1039)))</f>
        <v/>
      </c>
      <c r="Z1039" s="28"/>
      <c r="AA1039" s="34" t="str">
        <f aca="false">IF(Z1039="","",IFERROR(VLOOKUP(Z1039,REPS!$A$2:$D$40,4,0),""))</f>
        <v/>
      </c>
      <c r="AB1039" s="31" t="str">
        <f aca="false">IF(O1039="","",IF(AA1039="",0,O1039*IF(AA1039&gt;1,AA1039/100,AA1039)))</f>
        <v/>
      </c>
      <c r="AC1039" s="31" t="str">
        <f aca="false">IF(O1039="","",V1039+Y1039+AB1039)</f>
        <v/>
      </c>
      <c r="AD1039" s="19" t="str">
        <f aca="false">IF(O1039="","",O1039-R1039-AC1039)</f>
        <v/>
      </c>
      <c r="AE1039" s="20"/>
      <c r="AF1039" s="27"/>
      <c r="AG1039" s="21" t="n">
        <f aca="false">IF(OR(AE1039="",AE1039=0),0,AE1039*IF(U1039="",0,IF(U1039&gt;1,U1039/100,U1039)))</f>
        <v>0</v>
      </c>
      <c r="AH1039" s="21" t="n">
        <f aca="false">IF(OR(AE1039="",AE1039=0),0,AE1039*IF(X1039="",0,IF(X1039&gt;1,X1039/100,X1039)))</f>
        <v>0</v>
      </c>
      <c r="AI1039" s="21" t="n">
        <f aca="false">IF(OR(AE1039="",AE1039=0),0,AE1039*IF(AA1039="",0,IF(AA1039&gt;1,AA1039/100,AA1039)))</f>
        <v>0</v>
      </c>
      <c r="AJ1039" s="21" t="n">
        <f aca="false">AG1039+AH1039+AI1039</f>
        <v>0</v>
      </c>
      <c r="AK1039" s="21" t="n">
        <f aca="false">IF(OR(AE1039="",AE1039=0),0,AE1039-AJ1039)</f>
        <v>0</v>
      </c>
      <c r="AL1039" s="19" t="str">
        <f aca="false">IF(AD1039="","",AD1039-AK1039)</f>
        <v/>
      </c>
      <c r="AM1039" s="26" t="str">
        <f aca="false">IF(C1039="","","Waiting for payment")</f>
        <v/>
      </c>
      <c r="AN1039" s="27"/>
      <c r="AO1039" s="27"/>
      <c r="AP1039" s="35" t="str">
        <f aca="false">IF(OR(C1039="",I1039="",K1039=""),"",IF(K1039="Monthly",EDATE(C1039,ROUND(I1039*SETTINGS!$I$8,0)),WORKDAY(C1039,ROUND(I1039*SETTINGS!$I$8,0))))</f>
        <v/>
      </c>
      <c r="AQ1039" s="26" t="str">
        <f aca="true">IF(C1039="","",IF(AND(AP1039&lt;&gt;"",TODAY()&gt;=AP1039),"Refi Ready",IF(TODAY()-C1039&gt;=SETTINGS!$I$11,"Prospecting","Performing")))</f>
        <v/>
      </c>
      <c r="AR1039" s="35" t="str">
        <f aca="false">IF(OR(C1039="",I1039="",K1039=""),"",IF(K1039="Monthly",EDATE(C1039,I1039),WORKDAY(C1039,I1039)))</f>
        <v/>
      </c>
      <c r="AS1039" s="28"/>
      <c r="AT1039" s="36" t="str">
        <f aca="true">IF(C1039="","",IF(AM1039="Clawed Back","CLAWED",IF(TODAY()&lt;=C1039+SETTINGS!$I$2,"⚠ AT RISK","SAFE")))</f>
        <v/>
      </c>
      <c r="AU1039" s="28"/>
      <c r="AW1039" s="24" t="n">
        <f aca="false">AW1038+IF(AND(C1039&lt;&gt;"",AO1039&lt;&gt;"",OR('REP COMMISSION'!$B$3="",T1039='REP COMMISSION'!$B$3,W1039='REP COMMISSION'!$B$3,Z1039='REP COMMISSION'!$B$3)),1,0)</f>
        <v>0</v>
      </c>
      <c r="AX1039" s="24" t="n">
        <f aca="false">AX1038+IF(AND(C1039&lt;&gt;"",OR(F1039="LOC - INITIAL",F1039="CONSOLIDATION - UPFRONT COMM",F1039="REVERSE - TOTAL FUNDING")),1,0)</f>
        <v>0</v>
      </c>
    </row>
    <row r="1040" customFormat="false" ht="15" hidden="false" customHeight="false" outlineLevel="0" collapsed="false">
      <c r="A1040" s="8" t="str">
        <f aca="false">IF(C1040&lt;&gt;"","F27-"&amp;COUNT($C$4:C1040),"")</f>
        <v/>
      </c>
      <c r="B1040" s="9" t="str">
        <f aca="false">IF(OR(F1040="LOC - INITIAL",F1040="CONSOLIDATION - UPFRONT COMM",F1040="REVERSE - TOTAL FUNDING"),A1040,"")</f>
        <v/>
      </c>
      <c r="C1040" s="10"/>
      <c r="D1040" s="11"/>
      <c r="E1040" s="11"/>
      <c r="F1040" s="11"/>
      <c r="G1040" s="12"/>
      <c r="H1040" s="13"/>
      <c r="I1040" s="11"/>
      <c r="J1040" s="14" t="str">
        <f aca="false">IF(AND(G1040&lt;&gt;"",H1040&lt;&gt;""),G1040*H1040,"")</f>
        <v/>
      </c>
      <c r="K1040" s="11"/>
      <c r="L1040" s="15"/>
      <c r="M1040" s="15"/>
      <c r="N1040" s="14" t="n">
        <f aca="false">IF(OR(G1040="",M1040=""),0,IF(M1040&gt;100,M1040,G1040*IF(M1040&gt;1,M1040/100,M1040)))</f>
        <v>0</v>
      </c>
      <c r="O1040" s="14" t="str">
        <f aca="false">IF(G1040="","",G1040*IF(L1040="",0,IF(L1040&gt;1,L1040/100,L1040))+N1040)</f>
        <v/>
      </c>
      <c r="P1040" s="11"/>
      <c r="Q1040" s="16" t="str">
        <f aca="false">IF(P1040="","",IFERROR(VLOOKUP(P1040,PARTNERS!$A$2:$B$30,2,0),""))</f>
        <v/>
      </c>
      <c r="R1040" s="17" t="str">
        <f aca="false">IF(O1040="","",IF(OR(P1040="",Q1040=""),0,(O1040-N1040)*IF(Q1040&gt;1,Q1040/100,Q1040)))</f>
        <v/>
      </c>
      <c r="S1040" s="14" t="str">
        <f aca="false">IF(O1040="","",O1040-R1040)</f>
        <v/>
      </c>
      <c r="T1040" s="11"/>
      <c r="U1040" s="18" t="str">
        <f aca="false">IF(T1040="","",IFERROR(VLOOKUP(T1040,REPS!$A$2:$D$40,2,0),""))</f>
        <v/>
      </c>
      <c r="V1040" s="14" t="str">
        <f aca="false">IF(O1040="","",IF(U1040="",0,O1040*IF(U1040&gt;1,U1040/100,U1040)))</f>
        <v/>
      </c>
      <c r="W1040" s="11"/>
      <c r="X1040" s="18" t="str">
        <f aca="false">IF(W1040="","",IFERROR(VLOOKUP(W1040,REPS!$A$2:$D$40,3,0),""))</f>
        <v/>
      </c>
      <c r="Y1040" s="14" t="str">
        <f aca="false">IF(O1040="","",IF(X1040="",0,O1040*IF(X1040&gt;1,X1040/100,X1040)))</f>
        <v/>
      </c>
      <c r="Z1040" s="11"/>
      <c r="AA1040" s="18" t="str">
        <f aca="false">IF(Z1040="","",IFERROR(VLOOKUP(Z1040,REPS!$A$2:$D$40,4,0),""))</f>
        <v/>
      </c>
      <c r="AB1040" s="14" t="str">
        <f aca="false">IF(O1040="","",IF(AA1040="",0,O1040*IF(AA1040&gt;1,AA1040/100,AA1040)))</f>
        <v/>
      </c>
      <c r="AC1040" s="14" t="str">
        <f aca="false">IF(O1040="","",V1040+Y1040+AB1040)</f>
        <v/>
      </c>
      <c r="AD1040" s="19" t="str">
        <f aca="false">IF(O1040="","",O1040-R1040-AC1040)</f>
        <v/>
      </c>
      <c r="AE1040" s="20"/>
      <c r="AF1040" s="10"/>
      <c r="AG1040" s="21" t="n">
        <f aca="false">IF(OR(AE1040="",AE1040=0),0,AE1040*IF(U1040="",0,IF(U1040&gt;1,U1040/100,U1040)))</f>
        <v>0</v>
      </c>
      <c r="AH1040" s="21" t="n">
        <f aca="false">IF(OR(AE1040="",AE1040=0),0,AE1040*IF(X1040="",0,IF(X1040&gt;1,X1040/100,X1040)))</f>
        <v>0</v>
      </c>
      <c r="AI1040" s="21" t="n">
        <f aca="false">IF(OR(AE1040="",AE1040=0),0,AE1040*IF(AA1040="",0,IF(AA1040&gt;1,AA1040/100,AA1040)))</f>
        <v>0</v>
      </c>
      <c r="AJ1040" s="21" t="n">
        <f aca="false">AG1040+AH1040+AI1040</f>
        <v>0</v>
      </c>
      <c r="AK1040" s="21" t="n">
        <f aca="false">IF(OR(AE1040="",AE1040=0),0,AE1040-AJ1040)</f>
        <v>0</v>
      </c>
      <c r="AL1040" s="19" t="str">
        <f aca="false">IF(AD1040="","",AD1040-AK1040)</f>
        <v/>
      </c>
      <c r="AM1040" s="9" t="str">
        <f aca="false">IF(C1040="","","Waiting for payment")</f>
        <v/>
      </c>
      <c r="AN1040" s="10"/>
      <c r="AO1040" s="10"/>
      <c r="AP1040" s="22" t="str">
        <f aca="false">IF(OR(C1040="",I1040="",K1040=""),"",IF(K1040="Monthly",EDATE(C1040,ROUND(I1040*SETTINGS!$I$8,0)),WORKDAY(C1040,ROUND(I1040*SETTINGS!$I$8,0))))</f>
        <v/>
      </c>
      <c r="AQ1040" s="9" t="str">
        <f aca="true">IF(C1040="","",IF(AND(AP1040&lt;&gt;"",TODAY()&gt;=AP1040),"Refi Ready",IF(TODAY()-C1040&gt;=SETTINGS!$I$11,"Prospecting","Performing")))</f>
        <v/>
      </c>
      <c r="AR1040" s="22" t="str">
        <f aca="false">IF(OR(C1040="",I1040="",K1040=""),"",IF(K1040="Monthly",EDATE(C1040,I1040),WORKDAY(C1040,I1040)))</f>
        <v/>
      </c>
      <c r="AS1040" s="11"/>
      <c r="AT1040" s="23" t="str">
        <f aca="true">IF(C1040="","",IF(AM1040="Clawed Back","CLAWED",IF(TODAY()&lt;=C1040+SETTINGS!$I$2,"⚠ AT RISK","SAFE")))</f>
        <v/>
      </c>
      <c r="AU1040" s="11"/>
      <c r="AW1040" s="24" t="n">
        <f aca="false">AW1039+IF(AND(C1040&lt;&gt;"",AO1040&lt;&gt;"",OR('REP COMMISSION'!$B$3="",T1040='REP COMMISSION'!$B$3,W1040='REP COMMISSION'!$B$3,Z1040='REP COMMISSION'!$B$3)),1,0)</f>
        <v>0</v>
      </c>
      <c r="AX1040" s="24" t="n">
        <f aca="false">AX1039+IF(AND(C1040&lt;&gt;"",OR(F1040="LOC - INITIAL",F1040="CONSOLIDATION - UPFRONT COMM",F1040="REVERSE - TOTAL FUNDING")),1,0)</f>
        <v>0</v>
      </c>
    </row>
    <row r="1041" customFormat="false" ht="15" hidden="false" customHeight="false" outlineLevel="0" collapsed="false">
      <c r="A1041" s="25" t="str">
        <f aca="false">IF(C1041&lt;&gt;"","F27-"&amp;COUNT($C$4:C1041),"")</f>
        <v/>
      </c>
      <c r="B1041" s="26" t="str">
        <f aca="false">IF(OR(F1041="LOC - INITIAL",F1041="CONSOLIDATION - UPFRONT COMM",F1041="REVERSE - TOTAL FUNDING"),A1041,"")</f>
        <v/>
      </c>
      <c r="C1041" s="27"/>
      <c r="D1041" s="28"/>
      <c r="E1041" s="28"/>
      <c r="F1041" s="28"/>
      <c r="G1041" s="29"/>
      <c r="H1041" s="30"/>
      <c r="I1041" s="28"/>
      <c r="J1041" s="31" t="str">
        <f aca="false">IF(AND(G1041&lt;&gt;"",H1041&lt;&gt;""),G1041*H1041,"")</f>
        <v/>
      </c>
      <c r="K1041" s="28"/>
      <c r="L1041" s="32"/>
      <c r="M1041" s="32"/>
      <c r="N1041" s="31" t="n">
        <f aca="false">IF(OR(G1041="",M1041=""),0,IF(M1041&gt;100,M1041,G1041*IF(M1041&gt;1,M1041/100,M1041)))</f>
        <v>0</v>
      </c>
      <c r="O1041" s="31" t="str">
        <f aca="false">IF(G1041="","",G1041*IF(L1041="",0,IF(L1041&gt;1,L1041/100,L1041))+N1041)</f>
        <v/>
      </c>
      <c r="P1041" s="28"/>
      <c r="Q1041" s="33" t="str">
        <f aca="false">IF(P1041="","",IFERROR(VLOOKUP(P1041,PARTNERS!$A$2:$B$30,2,0),""))</f>
        <v/>
      </c>
      <c r="R1041" s="17" t="str">
        <f aca="false">IF(O1041="","",IF(OR(P1041="",Q1041=""),0,(O1041-N1041)*IF(Q1041&gt;1,Q1041/100,Q1041)))</f>
        <v/>
      </c>
      <c r="S1041" s="31" t="str">
        <f aca="false">IF(O1041="","",O1041-R1041)</f>
        <v/>
      </c>
      <c r="T1041" s="28"/>
      <c r="U1041" s="34" t="str">
        <f aca="false">IF(T1041="","",IFERROR(VLOOKUP(T1041,REPS!$A$2:$D$40,2,0),""))</f>
        <v/>
      </c>
      <c r="V1041" s="31" t="str">
        <f aca="false">IF(O1041="","",IF(U1041="",0,O1041*IF(U1041&gt;1,U1041/100,U1041)))</f>
        <v/>
      </c>
      <c r="W1041" s="28"/>
      <c r="X1041" s="34" t="str">
        <f aca="false">IF(W1041="","",IFERROR(VLOOKUP(W1041,REPS!$A$2:$D$40,3,0),""))</f>
        <v/>
      </c>
      <c r="Y1041" s="31" t="str">
        <f aca="false">IF(O1041="","",IF(X1041="",0,O1041*IF(X1041&gt;1,X1041/100,X1041)))</f>
        <v/>
      </c>
      <c r="Z1041" s="28"/>
      <c r="AA1041" s="34" t="str">
        <f aca="false">IF(Z1041="","",IFERROR(VLOOKUP(Z1041,REPS!$A$2:$D$40,4,0),""))</f>
        <v/>
      </c>
      <c r="AB1041" s="31" t="str">
        <f aca="false">IF(O1041="","",IF(AA1041="",0,O1041*IF(AA1041&gt;1,AA1041/100,AA1041)))</f>
        <v/>
      </c>
      <c r="AC1041" s="31" t="str">
        <f aca="false">IF(O1041="","",V1041+Y1041+AB1041)</f>
        <v/>
      </c>
      <c r="AD1041" s="19" t="str">
        <f aca="false">IF(O1041="","",O1041-R1041-AC1041)</f>
        <v/>
      </c>
      <c r="AE1041" s="20"/>
      <c r="AF1041" s="27"/>
      <c r="AG1041" s="21" t="n">
        <f aca="false">IF(OR(AE1041="",AE1041=0),0,AE1041*IF(U1041="",0,IF(U1041&gt;1,U1041/100,U1041)))</f>
        <v>0</v>
      </c>
      <c r="AH1041" s="21" t="n">
        <f aca="false">IF(OR(AE1041="",AE1041=0),0,AE1041*IF(X1041="",0,IF(X1041&gt;1,X1041/100,X1041)))</f>
        <v>0</v>
      </c>
      <c r="AI1041" s="21" t="n">
        <f aca="false">IF(OR(AE1041="",AE1041=0),0,AE1041*IF(AA1041="",0,IF(AA1041&gt;1,AA1041/100,AA1041)))</f>
        <v>0</v>
      </c>
      <c r="AJ1041" s="21" t="n">
        <f aca="false">AG1041+AH1041+AI1041</f>
        <v>0</v>
      </c>
      <c r="AK1041" s="21" t="n">
        <f aca="false">IF(OR(AE1041="",AE1041=0),0,AE1041-AJ1041)</f>
        <v>0</v>
      </c>
      <c r="AL1041" s="19" t="str">
        <f aca="false">IF(AD1041="","",AD1041-AK1041)</f>
        <v/>
      </c>
      <c r="AM1041" s="26" t="str">
        <f aca="false">IF(C1041="","","Waiting for payment")</f>
        <v/>
      </c>
      <c r="AN1041" s="27"/>
      <c r="AO1041" s="27"/>
      <c r="AP1041" s="35" t="str">
        <f aca="false">IF(OR(C1041="",I1041="",K1041=""),"",IF(K1041="Monthly",EDATE(C1041,ROUND(I1041*SETTINGS!$I$8,0)),WORKDAY(C1041,ROUND(I1041*SETTINGS!$I$8,0))))</f>
        <v/>
      </c>
      <c r="AQ1041" s="26" t="str">
        <f aca="true">IF(C1041="","",IF(AND(AP1041&lt;&gt;"",TODAY()&gt;=AP1041),"Refi Ready",IF(TODAY()-C1041&gt;=SETTINGS!$I$11,"Prospecting","Performing")))</f>
        <v/>
      </c>
      <c r="AR1041" s="35" t="str">
        <f aca="false">IF(OR(C1041="",I1041="",K1041=""),"",IF(K1041="Monthly",EDATE(C1041,I1041),WORKDAY(C1041,I1041)))</f>
        <v/>
      </c>
      <c r="AS1041" s="28"/>
      <c r="AT1041" s="36" t="str">
        <f aca="true">IF(C1041="","",IF(AM1041="Clawed Back","CLAWED",IF(TODAY()&lt;=C1041+SETTINGS!$I$2,"⚠ AT RISK","SAFE")))</f>
        <v/>
      </c>
      <c r="AU1041" s="28"/>
      <c r="AW1041" s="24" t="n">
        <f aca="false">AW1040+IF(AND(C1041&lt;&gt;"",AO1041&lt;&gt;"",OR('REP COMMISSION'!$B$3="",T1041='REP COMMISSION'!$B$3,W1041='REP COMMISSION'!$B$3,Z1041='REP COMMISSION'!$B$3)),1,0)</f>
        <v>0</v>
      </c>
      <c r="AX1041" s="24" t="n">
        <f aca="false">AX1040+IF(AND(C1041&lt;&gt;"",OR(F1041="LOC - INITIAL",F1041="CONSOLIDATION - UPFRONT COMM",F1041="REVERSE - TOTAL FUNDING")),1,0)</f>
        <v>0</v>
      </c>
    </row>
    <row r="1042" customFormat="false" ht="15" hidden="false" customHeight="false" outlineLevel="0" collapsed="false">
      <c r="A1042" s="8" t="str">
        <f aca="false">IF(C1042&lt;&gt;"","F27-"&amp;COUNT($C$4:C1042),"")</f>
        <v/>
      </c>
      <c r="B1042" s="9" t="str">
        <f aca="false">IF(OR(F1042="LOC - INITIAL",F1042="CONSOLIDATION - UPFRONT COMM",F1042="REVERSE - TOTAL FUNDING"),A1042,"")</f>
        <v/>
      </c>
      <c r="C1042" s="10"/>
      <c r="D1042" s="11"/>
      <c r="E1042" s="11"/>
      <c r="F1042" s="11"/>
      <c r="G1042" s="12"/>
      <c r="H1042" s="13"/>
      <c r="I1042" s="11"/>
      <c r="J1042" s="14" t="str">
        <f aca="false">IF(AND(G1042&lt;&gt;"",H1042&lt;&gt;""),G1042*H1042,"")</f>
        <v/>
      </c>
      <c r="K1042" s="11"/>
      <c r="L1042" s="15"/>
      <c r="M1042" s="15"/>
      <c r="N1042" s="14" t="n">
        <f aca="false">IF(OR(G1042="",M1042=""),0,IF(M1042&gt;100,M1042,G1042*IF(M1042&gt;1,M1042/100,M1042)))</f>
        <v>0</v>
      </c>
      <c r="O1042" s="14" t="str">
        <f aca="false">IF(G1042="","",G1042*IF(L1042="",0,IF(L1042&gt;1,L1042/100,L1042))+N1042)</f>
        <v/>
      </c>
      <c r="P1042" s="11"/>
      <c r="Q1042" s="16" t="str">
        <f aca="false">IF(P1042="","",IFERROR(VLOOKUP(P1042,PARTNERS!$A$2:$B$30,2,0),""))</f>
        <v/>
      </c>
      <c r="R1042" s="17" t="str">
        <f aca="false">IF(O1042="","",IF(OR(P1042="",Q1042=""),0,(O1042-N1042)*IF(Q1042&gt;1,Q1042/100,Q1042)))</f>
        <v/>
      </c>
      <c r="S1042" s="14" t="str">
        <f aca="false">IF(O1042="","",O1042-R1042)</f>
        <v/>
      </c>
      <c r="T1042" s="11"/>
      <c r="U1042" s="18" t="str">
        <f aca="false">IF(T1042="","",IFERROR(VLOOKUP(T1042,REPS!$A$2:$D$40,2,0),""))</f>
        <v/>
      </c>
      <c r="V1042" s="14" t="str">
        <f aca="false">IF(O1042="","",IF(U1042="",0,O1042*IF(U1042&gt;1,U1042/100,U1042)))</f>
        <v/>
      </c>
      <c r="W1042" s="11"/>
      <c r="X1042" s="18" t="str">
        <f aca="false">IF(W1042="","",IFERROR(VLOOKUP(W1042,REPS!$A$2:$D$40,3,0),""))</f>
        <v/>
      </c>
      <c r="Y1042" s="14" t="str">
        <f aca="false">IF(O1042="","",IF(X1042="",0,O1042*IF(X1042&gt;1,X1042/100,X1042)))</f>
        <v/>
      </c>
      <c r="Z1042" s="11"/>
      <c r="AA1042" s="18" t="str">
        <f aca="false">IF(Z1042="","",IFERROR(VLOOKUP(Z1042,REPS!$A$2:$D$40,4,0),""))</f>
        <v/>
      </c>
      <c r="AB1042" s="14" t="str">
        <f aca="false">IF(O1042="","",IF(AA1042="",0,O1042*IF(AA1042&gt;1,AA1042/100,AA1042)))</f>
        <v/>
      </c>
      <c r="AC1042" s="14" t="str">
        <f aca="false">IF(O1042="","",V1042+Y1042+AB1042)</f>
        <v/>
      </c>
      <c r="AD1042" s="19" t="str">
        <f aca="false">IF(O1042="","",O1042-R1042-AC1042)</f>
        <v/>
      </c>
      <c r="AE1042" s="20"/>
      <c r="AF1042" s="10"/>
      <c r="AG1042" s="21" t="n">
        <f aca="false">IF(OR(AE1042="",AE1042=0),0,AE1042*IF(U1042="",0,IF(U1042&gt;1,U1042/100,U1042)))</f>
        <v>0</v>
      </c>
      <c r="AH1042" s="21" t="n">
        <f aca="false">IF(OR(AE1042="",AE1042=0),0,AE1042*IF(X1042="",0,IF(X1042&gt;1,X1042/100,X1042)))</f>
        <v>0</v>
      </c>
      <c r="AI1042" s="21" t="n">
        <f aca="false">IF(OR(AE1042="",AE1042=0),0,AE1042*IF(AA1042="",0,IF(AA1042&gt;1,AA1042/100,AA1042)))</f>
        <v>0</v>
      </c>
      <c r="AJ1042" s="21" t="n">
        <f aca="false">AG1042+AH1042+AI1042</f>
        <v>0</v>
      </c>
      <c r="AK1042" s="21" t="n">
        <f aca="false">IF(OR(AE1042="",AE1042=0),0,AE1042-AJ1042)</f>
        <v>0</v>
      </c>
      <c r="AL1042" s="19" t="str">
        <f aca="false">IF(AD1042="","",AD1042-AK1042)</f>
        <v/>
      </c>
      <c r="AM1042" s="9" t="str">
        <f aca="false">IF(C1042="","","Waiting for payment")</f>
        <v/>
      </c>
      <c r="AN1042" s="10"/>
      <c r="AO1042" s="10"/>
      <c r="AP1042" s="22" t="str">
        <f aca="false">IF(OR(C1042="",I1042="",K1042=""),"",IF(K1042="Monthly",EDATE(C1042,ROUND(I1042*SETTINGS!$I$8,0)),WORKDAY(C1042,ROUND(I1042*SETTINGS!$I$8,0))))</f>
        <v/>
      </c>
      <c r="AQ1042" s="9" t="str">
        <f aca="true">IF(C1042="","",IF(AND(AP1042&lt;&gt;"",TODAY()&gt;=AP1042),"Refi Ready",IF(TODAY()-C1042&gt;=SETTINGS!$I$11,"Prospecting","Performing")))</f>
        <v/>
      </c>
      <c r="AR1042" s="22" t="str">
        <f aca="false">IF(OR(C1042="",I1042="",K1042=""),"",IF(K1042="Monthly",EDATE(C1042,I1042),WORKDAY(C1042,I1042)))</f>
        <v/>
      </c>
      <c r="AS1042" s="11"/>
      <c r="AT1042" s="23" t="str">
        <f aca="true">IF(C1042="","",IF(AM1042="Clawed Back","CLAWED",IF(TODAY()&lt;=C1042+SETTINGS!$I$2,"⚠ AT RISK","SAFE")))</f>
        <v/>
      </c>
      <c r="AU1042" s="11"/>
      <c r="AW1042" s="24" t="n">
        <f aca="false">AW1041+IF(AND(C1042&lt;&gt;"",AO1042&lt;&gt;"",OR('REP COMMISSION'!$B$3="",T1042='REP COMMISSION'!$B$3,W1042='REP COMMISSION'!$B$3,Z1042='REP COMMISSION'!$B$3)),1,0)</f>
        <v>0</v>
      </c>
      <c r="AX1042" s="24" t="n">
        <f aca="false">AX1041+IF(AND(C1042&lt;&gt;"",OR(F1042="LOC - INITIAL",F1042="CONSOLIDATION - UPFRONT COMM",F1042="REVERSE - TOTAL FUNDING")),1,0)</f>
        <v>0</v>
      </c>
    </row>
    <row r="1043" customFormat="false" ht="15" hidden="false" customHeight="false" outlineLevel="0" collapsed="false">
      <c r="A1043" s="25" t="str">
        <f aca="false">IF(C1043&lt;&gt;"","F27-"&amp;COUNT($C$4:C1043),"")</f>
        <v/>
      </c>
      <c r="B1043" s="26" t="str">
        <f aca="false">IF(OR(F1043="LOC - INITIAL",F1043="CONSOLIDATION - UPFRONT COMM",F1043="REVERSE - TOTAL FUNDING"),A1043,"")</f>
        <v/>
      </c>
      <c r="C1043" s="27"/>
      <c r="D1043" s="28"/>
      <c r="E1043" s="28"/>
      <c r="F1043" s="28"/>
      <c r="G1043" s="29"/>
      <c r="H1043" s="30"/>
      <c r="I1043" s="28"/>
      <c r="J1043" s="31" t="str">
        <f aca="false">IF(AND(G1043&lt;&gt;"",H1043&lt;&gt;""),G1043*H1043,"")</f>
        <v/>
      </c>
      <c r="K1043" s="28"/>
      <c r="L1043" s="32"/>
      <c r="M1043" s="32"/>
      <c r="N1043" s="31" t="n">
        <f aca="false">IF(OR(G1043="",M1043=""),0,IF(M1043&gt;100,M1043,G1043*IF(M1043&gt;1,M1043/100,M1043)))</f>
        <v>0</v>
      </c>
      <c r="O1043" s="31" t="str">
        <f aca="false">IF(G1043="","",G1043*IF(L1043="",0,IF(L1043&gt;1,L1043/100,L1043))+N1043)</f>
        <v/>
      </c>
      <c r="P1043" s="28"/>
      <c r="Q1043" s="33" t="str">
        <f aca="false">IF(P1043="","",IFERROR(VLOOKUP(P1043,PARTNERS!$A$2:$B$30,2,0),""))</f>
        <v/>
      </c>
      <c r="R1043" s="17" t="str">
        <f aca="false">IF(O1043="","",IF(OR(P1043="",Q1043=""),0,(O1043-N1043)*IF(Q1043&gt;1,Q1043/100,Q1043)))</f>
        <v/>
      </c>
      <c r="S1043" s="31" t="str">
        <f aca="false">IF(O1043="","",O1043-R1043)</f>
        <v/>
      </c>
      <c r="T1043" s="28"/>
      <c r="U1043" s="34" t="str">
        <f aca="false">IF(T1043="","",IFERROR(VLOOKUP(T1043,REPS!$A$2:$D$40,2,0),""))</f>
        <v/>
      </c>
      <c r="V1043" s="31" t="str">
        <f aca="false">IF(O1043="","",IF(U1043="",0,O1043*IF(U1043&gt;1,U1043/100,U1043)))</f>
        <v/>
      </c>
      <c r="W1043" s="28"/>
      <c r="X1043" s="34" t="str">
        <f aca="false">IF(W1043="","",IFERROR(VLOOKUP(W1043,REPS!$A$2:$D$40,3,0),""))</f>
        <v/>
      </c>
      <c r="Y1043" s="31" t="str">
        <f aca="false">IF(O1043="","",IF(X1043="",0,O1043*IF(X1043&gt;1,X1043/100,X1043)))</f>
        <v/>
      </c>
      <c r="Z1043" s="28"/>
      <c r="AA1043" s="34" t="str">
        <f aca="false">IF(Z1043="","",IFERROR(VLOOKUP(Z1043,REPS!$A$2:$D$40,4,0),""))</f>
        <v/>
      </c>
      <c r="AB1043" s="31" t="str">
        <f aca="false">IF(O1043="","",IF(AA1043="",0,O1043*IF(AA1043&gt;1,AA1043/100,AA1043)))</f>
        <v/>
      </c>
      <c r="AC1043" s="31" t="str">
        <f aca="false">IF(O1043="","",V1043+Y1043+AB1043)</f>
        <v/>
      </c>
      <c r="AD1043" s="19" t="str">
        <f aca="false">IF(O1043="","",O1043-R1043-AC1043)</f>
        <v/>
      </c>
      <c r="AE1043" s="20"/>
      <c r="AF1043" s="27"/>
      <c r="AG1043" s="21" t="n">
        <f aca="false">IF(OR(AE1043="",AE1043=0),0,AE1043*IF(U1043="",0,IF(U1043&gt;1,U1043/100,U1043)))</f>
        <v>0</v>
      </c>
      <c r="AH1043" s="21" t="n">
        <f aca="false">IF(OR(AE1043="",AE1043=0),0,AE1043*IF(X1043="",0,IF(X1043&gt;1,X1043/100,X1043)))</f>
        <v>0</v>
      </c>
      <c r="AI1043" s="21" t="n">
        <f aca="false">IF(OR(AE1043="",AE1043=0),0,AE1043*IF(AA1043="",0,IF(AA1043&gt;1,AA1043/100,AA1043)))</f>
        <v>0</v>
      </c>
      <c r="AJ1043" s="21" t="n">
        <f aca="false">AG1043+AH1043+AI1043</f>
        <v>0</v>
      </c>
      <c r="AK1043" s="21" t="n">
        <f aca="false">IF(OR(AE1043="",AE1043=0),0,AE1043-AJ1043)</f>
        <v>0</v>
      </c>
      <c r="AL1043" s="19" t="str">
        <f aca="false">IF(AD1043="","",AD1043-AK1043)</f>
        <v/>
      </c>
      <c r="AM1043" s="26" t="str">
        <f aca="false">IF(C1043="","","Waiting for payment")</f>
        <v/>
      </c>
      <c r="AN1043" s="27"/>
      <c r="AO1043" s="27"/>
      <c r="AP1043" s="35" t="str">
        <f aca="false">IF(OR(C1043="",I1043="",K1043=""),"",IF(K1043="Monthly",EDATE(C1043,ROUND(I1043*SETTINGS!$I$8,0)),WORKDAY(C1043,ROUND(I1043*SETTINGS!$I$8,0))))</f>
        <v/>
      </c>
      <c r="AQ1043" s="26" t="str">
        <f aca="true">IF(C1043="","",IF(AND(AP1043&lt;&gt;"",TODAY()&gt;=AP1043),"Refi Ready",IF(TODAY()-C1043&gt;=SETTINGS!$I$11,"Prospecting","Performing")))</f>
        <v/>
      </c>
      <c r="AR1043" s="35" t="str">
        <f aca="false">IF(OR(C1043="",I1043="",K1043=""),"",IF(K1043="Monthly",EDATE(C1043,I1043),WORKDAY(C1043,I1043)))</f>
        <v/>
      </c>
      <c r="AS1043" s="28"/>
      <c r="AT1043" s="36" t="str">
        <f aca="true">IF(C1043="","",IF(AM1043="Clawed Back","CLAWED",IF(TODAY()&lt;=C1043+SETTINGS!$I$2,"⚠ AT RISK","SAFE")))</f>
        <v/>
      </c>
      <c r="AU1043" s="28"/>
      <c r="AW1043" s="24" t="n">
        <f aca="false">AW1042+IF(AND(C1043&lt;&gt;"",AO1043&lt;&gt;"",OR('REP COMMISSION'!$B$3="",T1043='REP COMMISSION'!$B$3,W1043='REP COMMISSION'!$B$3,Z1043='REP COMMISSION'!$B$3)),1,0)</f>
        <v>0</v>
      </c>
      <c r="AX1043" s="24" t="n">
        <f aca="false">AX1042+IF(AND(C1043&lt;&gt;"",OR(F1043="LOC - INITIAL",F1043="CONSOLIDATION - UPFRONT COMM",F1043="REVERSE - TOTAL FUNDING")),1,0)</f>
        <v>0</v>
      </c>
    </row>
    <row r="1044" customFormat="false" ht="15" hidden="false" customHeight="false" outlineLevel="0" collapsed="false">
      <c r="A1044" s="8" t="str">
        <f aca="false">IF(C1044&lt;&gt;"","F27-"&amp;COUNT($C$4:C1044),"")</f>
        <v/>
      </c>
      <c r="B1044" s="9" t="str">
        <f aca="false">IF(OR(F1044="LOC - INITIAL",F1044="CONSOLIDATION - UPFRONT COMM",F1044="REVERSE - TOTAL FUNDING"),A1044,"")</f>
        <v/>
      </c>
      <c r="C1044" s="10"/>
      <c r="D1044" s="11"/>
      <c r="E1044" s="11"/>
      <c r="F1044" s="11"/>
      <c r="G1044" s="12"/>
      <c r="H1044" s="13"/>
      <c r="I1044" s="11"/>
      <c r="J1044" s="14" t="str">
        <f aca="false">IF(AND(G1044&lt;&gt;"",H1044&lt;&gt;""),G1044*H1044,"")</f>
        <v/>
      </c>
      <c r="K1044" s="11"/>
      <c r="L1044" s="15"/>
      <c r="M1044" s="15"/>
      <c r="N1044" s="14" t="n">
        <f aca="false">IF(OR(G1044="",M1044=""),0,IF(M1044&gt;100,M1044,G1044*IF(M1044&gt;1,M1044/100,M1044)))</f>
        <v>0</v>
      </c>
      <c r="O1044" s="14" t="str">
        <f aca="false">IF(G1044="","",G1044*IF(L1044="",0,IF(L1044&gt;1,L1044/100,L1044))+N1044)</f>
        <v/>
      </c>
      <c r="P1044" s="11"/>
      <c r="Q1044" s="16" t="str">
        <f aca="false">IF(P1044="","",IFERROR(VLOOKUP(P1044,PARTNERS!$A$2:$B$30,2,0),""))</f>
        <v/>
      </c>
      <c r="R1044" s="17" t="str">
        <f aca="false">IF(O1044="","",IF(OR(P1044="",Q1044=""),0,(O1044-N1044)*IF(Q1044&gt;1,Q1044/100,Q1044)))</f>
        <v/>
      </c>
      <c r="S1044" s="14" t="str">
        <f aca="false">IF(O1044="","",O1044-R1044)</f>
        <v/>
      </c>
      <c r="T1044" s="11"/>
      <c r="U1044" s="18" t="str">
        <f aca="false">IF(T1044="","",IFERROR(VLOOKUP(T1044,REPS!$A$2:$D$40,2,0),""))</f>
        <v/>
      </c>
      <c r="V1044" s="14" t="str">
        <f aca="false">IF(O1044="","",IF(U1044="",0,O1044*IF(U1044&gt;1,U1044/100,U1044)))</f>
        <v/>
      </c>
      <c r="W1044" s="11"/>
      <c r="X1044" s="18" t="str">
        <f aca="false">IF(W1044="","",IFERROR(VLOOKUP(W1044,REPS!$A$2:$D$40,3,0),""))</f>
        <v/>
      </c>
      <c r="Y1044" s="14" t="str">
        <f aca="false">IF(O1044="","",IF(X1044="",0,O1044*IF(X1044&gt;1,X1044/100,X1044)))</f>
        <v/>
      </c>
      <c r="Z1044" s="11"/>
      <c r="AA1044" s="18" t="str">
        <f aca="false">IF(Z1044="","",IFERROR(VLOOKUP(Z1044,REPS!$A$2:$D$40,4,0),""))</f>
        <v/>
      </c>
      <c r="AB1044" s="14" t="str">
        <f aca="false">IF(O1044="","",IF(AA1044="",0,O1044*IF(AA1044&gt;1,AA1044/100,AA1044)))</f>
        <v/>
      </c>
      <c r="AC1044" s="14" t="str">
        <f aca="false">IF(O1044="","",V1044+Y1044+AB1044)</f>
        <v/>
      </c>
      <c r="AD1044" s="19" t="str">
        <f aca="false">IF(O1044="","",O1044-R1044-AC1044)</f>
        <v/>
      </c>
      <c r="AE1044" s="20"/>
      <c r="AF1044" s="10"/>
      <c r="AG1044" s="21" t="n">
        <f aca="false">IF(OR(AE1044="",AE1044=0),0,AE1044*IF(U1044="",0,IF(U1044&gt;1,U1044/100,U1044)))</f>
        <v>0</v>
      </c>
      <c r="AH1044" s="21" t="n">
        <f aca="false">IF(OR(AE1044="",AE1044=0),0,AE1044*IF(X1044="",0,IF(X1044&gt;1,X1044/100,X1044)))</f>
        <v>0</v>
      </c>
      <c r="AI1044" s="21" t="n">
        <f aca="false">IF(OR(AE1044="",AE1044=0),0,AE1044*IF(AA1044="",0,IF(AA1044&gt;1,AA1044/100,AA1044)))</f>
        <v>0</v>
      </c>
      <c r="AJ1044" s="21" t="n">
        <f aca="false">AG1044+AH1044+AI1044</f>
        <v>0</v>
      </c>
      <c r="AK1044" s="21" t="n">
        <f aca="false">IF(OR(AE1044="",AE1044=0),0,AE1044-AJ1044)</f>
        <v>0</v>
      </c>
      <c r="AL1044" s="19" t="str">
        <f aca="false">IF(AD1044="","",AD1044-AK1044)</f>
        <v/>
      </c>
      <c r="AM1044" s="9" t="str">
        <f aca="false">IF(C1044="","","Waiting for payment")</f>
        <v/>
      </c>
      <c r="AN1044" s="10"/>
      <c r="AO1044" s="10"/>
      <c r="AP1044" s="22" t="str">
        <f aca="false">IF(OR(C1044="",I1044="",K1044=""),"",IF(K1044="Monthly",EDATE(C1044,ROUND(I1044*SETTINGS!$I$8,0)),WORKDAY(C1044,ROUND(I1044*SETTINGS!$I$8,0))))</f>
        <v/>
      </c>
      <c r="AQ1044" s="9" t="str">
        <f aca="true">IF(C1044="","",IF(AND(AP1044&lt;&gt;"",TODAY()&gt;=AP1044),"Refi Ready",IF(TODAY()-C1044&gt;=SETTINGS!$I$11,"Prospecting","Performing")))</f>
        <v/>
      </c>
      <c r="AR1044" s="22" t="str">
        <f aca="false">IF(OR(C1044="",I1044="",K1044=""),"",IF(K1044="Monthly",EDATE(C1044,I1044),WORKDAY(C1044,I1044)))</f>
        <v/>
      </c>
      <c r="AS1044" s="11"/>
      <c r="AT1044" s="23" t="str">
        <f aca="true">IF(C1044="","",IF(AM1044="Clawed Back","CLAWED",IF(TODAY()&lt;=C1044+SETTINGS!$I$2,"⚠ AT RISK","SAFE")))</f>
        <v/>
      </c>
      <c r="AU1044" s="11"/>
      <c r="AW1044" s="24" t="n">
        <f aca="false">AW1043+IF(AND(C1044&lt;&gt;"",AO1044&lt;&gt;"",OR('REP COMMISSION'!$B$3="",T1044='REP COMMISSION'!$B$3,W1044='REP COMMISSION'!$B$3,Z1044='REP COMMISSION'!$B$3)),1,0)</f>
        <v>0</v>
      </c>
      <c r="AX1044" s="24" t="n">
        <f aca="false">AX1043+IF(AND(C1044&lt;&gt;"",OR(F1044="LOC - INITIAL",F1044="CONSOLIDATION - UPFRONT COMM",F1044="REVERSE - TOTAL FUNDING")),1,0)</f>
        <v>0</v>
      </c>
    </row>
    <row r="1045" customFormat="false" ht="15" hidden="false" customHeight="false" outlineLevel="0" collapsed="false">
      <c r="A1045" s="25" t="str">
        <f aca="false">IF(C1045&lt;&gt;"","F27-"&amp;COUNT($C$4:C1045),"")</f>
        <v/>
      </c>
      <c r="B1045" s="26" t="str">
        <f aca="false">IF(OR(F1045="LOC - INITIAL",F1045="CONSOLIDATION - UPFRONT COMM",F1045="REVERSE - TOTAL FUNDING"),A1045,"")</f>
        <v/>
      </c>
      <c r="C1045" s="27"/>
      <c r="D1045" s="28"/>
      <c r="E1045" s="28"/>
      <c r="F1045" s="28"/>
      <c r="G1045" s="29"/>
      <c r="H1045" s="30"/>
      <c r="I1045" s="28"/>
      <c r="J1045" s="31" t="str">
        <f aca="false">IF(AND(G1045&lt;&gt;"",H1045&lt;&gt;""),G1045*H1045,"")</f>
        <v/>
      </c>
      <c r="K1045" s="28"/>
      <c r="L1045" s="32"/>
      <c r="M1045" s="32"/>
      <c r="N1045" s="31" t="n">
        <f aca="false">IF(OR(G1045="",M1045=""),0,IF(M1045&gt;100,M1045,G1045*IF(M1045&gt;1,M1045/100,M1045)))</f>
        <v>0</v>
      </c>
      <c r="O1045" s="31" t="str">
        <f aca="false">IF(G1045="","",G1045*IF(L1045="",0,IF(L1045&gt;1,L1045/100,L1045))+N1045)</f>
        <v/>
      </c>
      <c r="P1045" s="28"/>
      <c r="Q1045" s="33" t="str">
        <f aca="false">IF(P1045="","",IFERROR(VLOOKUP(P1045,PARTNERS!$A$2:$B$30,2,0),""))</f>
        <v/>
      </c>
      <c r="R1045" s="17" t="str">
        <f aca="false">IF(O1045="","",IF(OR(P1045="",Q1045=""),0,(O1045-N1045)*IF(Q1045&gt;1,Q1045/100,Q1045)))</f>
        <v/>
      </c>
      <c r="S1045" s="31" t="str">
        <f aca="false">IF(O1045="","",O1045-R1045)</f>
        <v/>
      </c>
      <c r="T1045" s="28"/>
      <c r="U1045" s="34" t="str">
        <f aca="false">IF(T1045="","",IFERROR(VLOOKUP(T1045,REPS!$A$2:$D$40,2,0),""))</f>
        <v/>
      </c>
      <c r="V1045" s="31" t="str">
        <f aca="false">IF(O1045="","",IF(U1045="",0,O1045*IF(U1045&gt;1,U1045/100,U1045)))</f>
        <v/>
      </c>
      <c r="W1045" s="28"/>
      <c r="X1045" s="34" t="str">
        <f aca="false">IF(W1045="","",IFERROR(VLOOKUP(W1045,REPS!$A$2:$D$40,3,0),""))</f>
        <v/>
      </c>
      <c r="Y1045" s="31" t="str">
        <f aca="false">IF(O1045="","",IF(X1045="",0,O1045*IF(X1045&gt;1,X1045/100,X1045)))</f>
        <v/>
      </c>
      <c r="Z1045" s="28"/>
      <c r="AA1045" s="34" t="str">
        <f aca="false">IF(Z1045="","",IFERROR(VLOOKUP(Z1045,REPS!$A$2:$D$40,4,0),""))</f>
        <v/>
      </c>
      <c r="AB1045" s="31" t="str">
        <f aca="false">IF(O1045="","",IF(AA1045="",0,O1045*IF(AA1045&gt;1,AA1045/100,AA1045)))</f>
        <v/>
      </c>
      <c r="AC1045" s="31" t="str">
        <f aca="false">IF(O1045="","",V1045+Y1045+AB1045)</f>
        <v/>
      </c>
      <c r="AD1045" s="19" t="str">
        <f aca="false">IF(O1045="","",O1045-R1045-AC1045)</f>
        <v/>
      </c>
      <c r="AE1045" s="20"/>
      <c r="AF1045" s="27"/>
      <c r="AG1045" s="21" t="n">
        <f aca="false">IF(OR(AE1045="",AE1045=0),0,AE1045*IF(U1045="",0,IF(U1045&gt;1,U1045/100,U1045)))</f>
        <v>0</v>
      </c>
      <c r="AH1045" s="21" t="n">
        <f aca="false">IF(OR(AE1045="",AE1045=0),0,AE1045*IF(X1045="",0,IF(X1045&gt;1,X1045/100,X1045)))</f>
        <v>0</v>
      </c>
      <c r="AI1045" s="21" t="n">
        <f aca="false">IF(OR(AE1045="",AE1045=0),0,AE1045*IF(AA1045="",0,IF(AA1045&gt;1,AA1045/100,AA1045)))</f>
        <v>0</v>
      </c>
      <c r="AJ1045" s="21" t="n">
        <f aca="false">AG1045+AH1045+AI1045</f>
        <v>0</v>
      </c>
      <c r="AK1045" s="21" t="n">
        <f aca="false">IF(OR(AE1045="",AE1045=0),0,AE1045-AJ1045)</f>
        <v>0</v>
      </c>
      <c r="AL1045" s="19" t="str">
        <f aca="false">IF(AD1045="","",AD1045-AK1045)</f>
        <v/>
      </c>
      <c r="AM1045" s="26" t="str">
        <f aca="false">IF(C1045="","","Waiting for payment")</f>
        <v/>
      </c>
      <c r="AN1045" s="27"/>
      <c r="AO1045" s="27"/>
      <c r="AP1045" s="35" t="str">
        <f aca="false">IF(OR(C1045="",I1045="",K1045=""),"",IF(K1045="Monthly",EDATE(C1045,ROUND(I1045*SETTINGS!$I$8,0)),WORKDAY(C1045,ROUND(I1045*SETTINGS!$I$8,0))))</f>
        <v/>
      </c>
      <c r="AQ1045" s="26" t="str">
        <f aca="true">IF(C1045="","",IF(AND(AP1045&lt;&gt;"",TODAY()&gt;=AP1045),"Refi Ready",IF(TODAY()-C1045&gt;=SETTINGS!$I$11,"Prospecting","Performing")))</f>
        <v/>
      </c>
      <c r="AR1045" s="35" t="str">
        <f aca="false">IF(OR(C1045="",I1045="",K1045=""),"",IF(K1045="Monthly",EDATE(C1045,I1045),WORKDAY(C1045,I1045)))</f>
        <v/>
      </c>
      <c r="AS1045" s="28"/>
      <c r="AT1045" s="36" t="str">
        <f aca="true">IF(C1045="","",IF(AM1045="Clawed Back","CLAWED",IF(TODAY()&lt;=C1045+SETTINGS!$I$2,"⚠ AT RISK","SAFE")))</f>
        <v/>
      </c>
      <c r="AU1045" s="28"/>
      <c r="AW1045" s="24" t="n">
        <f aca="false">AW1044+IF(AND(C1045&lt;&gt;"",AO1045&lt;&gt;"",OR('REP COMMISSION'!$B$3="",T1045='REP COMMISSION'!$B$3,W1045='REP COMMISSION'!$B$3,Z1045='REP COMMISSION'!$B$3)),1,0)</f>
        <v>0</v>
      </c>
      <c r="AX1045" s="24" t="n">
        <f aca="false">AX1044+IF(AND(C1045&lt;&gt;"",OR(F1045="LOC - INITIAL",F1045="CONSOLIDATION - UPFRONT COMM",F1045="REVERSE - TOTAL FUNDING")),1,0)</f>
        <v>0</v>
      </c>
    </row>
    <row r="1046" customFormat="false" ht="15" hidden="false" customHeight="false" outlineLevel="0" collapsed="false">
      <c r="A1046" s="8" t="str">
        <f aca="false">IF(C1046&lt;&gt;"","F27-"&amp;COUNT($C$4:C1046),"")</f>
        <v/>
      </c>
      <c r="B1046" s="9" t="str">
        <f aca="false">IF(OR(F1046="LOC - INITIAL",F1046="CONSOLIDATION - UPFRONT COMM",F1046="REVERSE - TOTAL FUNDING"),A1046,"")</f>
        <v/>
      </c>
      <c r="C1046" s="10"/>
      <c r="D1046" s="11"/>
      <c r="E1046" s="11"/>
      <c r="F1046" s="11"/>
      <c r="G1046" s="12"/>
      <c r="H1046" s="13"/>
      <c r="I1046" s="11"/>
      <c r="J1046" s="14" t="str">
        <f aca="false">IF(AND(G1046&lt;&gt;"",H1046&lt;&gt;""),G1046*H1046,"")</f>
        <v/>
      </c>
      <c r="K1046" s="11"/>
      <c r="L1046" s="15"/>
      <c r="M1046" s="15"/>
      <c r="N1046" s="14" t="n">
        <f aca="false">IF(OR(G1046="",M1046=""),0,IF(M1046&gt;100,M1046,G1046*IF(M1046&gt;1,M1046/100,M1046)))</f>
        <v>0</v>
      </c>
      <c r="O1046" s="14" t="str">
        <f aca="false">IF(G1046="","",G1046*IF(L1046="",0,IF(L1046&gt;1,L1046/100,L1046))+N1046)</f>
        <v/>
      </c>
      <c r="P1046" s="11"/>
      <c r="Q1046" s="16" t="str">
        <f aca="false">IF(P1046="","",IFERROR(VLOOKUP(P1046,PARTNERS!$A$2:$B$30,2,0),""))</f>
        <v/>
      </c>
      <c r="R1046" s="17" t="str">
        <f aca="false">IF(O1046="","",IF(OR(P1046="",Q1046=""),0,(O1046-N1046)*IF(Q1046&gt;1,Q1046/100,Q1046)))</f>
        <v/>
      </c>
      <c r="S1046" s="14" t="str">
        <f aca="false">IF(O1046="","",O1046-R1046)</f>
        <v/>
      </c>
      <c r="T1046" s="11"/>
      <c r="U1046" s="18" t="str">
        <f aca="false">IF(T1046="","",IFERROR(VLOOKUP(T1046,REPS!$A$2:$D$40,2,0),""))</f>
        <v/>
      </c>
      <c r="V1046" s="14" t="str">
        <f aca="false">IF(O1046="","",IF(U1046="",0,O1046*IF(U1046&gt;1,U1046/100,U1046)))</f>
        <v/>
      </c>
      <c r="W1046" s="11"/>
      <c r="X1046" s="18" t="str">
        <f aca="false">IF(W1046="","",IFERROR(VLOOKUP(W1046,REPS!$A$2:$D$40,3,0),""))</f>
        <v/>
      </c>
      <c r="Y1046" s="14" t="str">
        <f aca="false">IF(O1046="","",IF(X1046="",0,O1046*IF(X1046&gt;1,X1046/100,X1046)))</f>
        <v/>
      </c>
      <c r="Z1046" s="11"/>
      <c r="AA1046" s="18" t="str">
        <f aca="false">IF(Z1046="","",IFERROR(VLOOKUP(Z1046,REPS!$A$2:$D$40,4,0),""))</f>
        <v/>
      </c>
      <c r="AB1046" s="14" t="str">
        <f aca="false">IF(O1046="","",IF(AA1046="",0,O1046*IF(AA1046&gt;1,AA1046/100,AA1046)))</f>
        <v/>
      </c>
      <c r="AC1046" s="14" t="str">
        <f aca="false">IF(O1046="","",V1046+Y1046+AB1046)</f>
        <v/>
      </c>
      <c r="AD1046" s="19" t="str">
        <f aca="false">IF(O1046="","",O1046-R1046-AC1046)</f>
        <v/>
      </c>
      <c r="AE1046" s="20"/>
      <c r="AF1046" s="10"/>
      <c r="AG1046" s="21" t="n">
        <f aca="false">IF(OR(AE1046="",AE1046=0),0,AE1046*IF(U1046="",0,IF(U1046&gt;1,U1046/100,U1046)))</f>
        <v>0</v>
      </c>
      <c r="AH1046" s="21" t="n">
        <f aca="false">IF(OR(AE1046="",AE1046=0),0,AE1046*IF(X1046="",0,IF(X1046&gt;1,X1046/100,X1046)))</f>
        <v>0</v>
      </c>
      <c r="AI1046" s="21" t="n">
        <f aca="false">IF(OR(AE1046="",AE1046=0),0,AE1046*IF(AA1046="",0,IF(AA1046&gt;1,AA1046/100,AA1046)))</f>
        <v>0</v>
      </c>
      <c r="AJ1046" s="21" t="n">
        <f aca="false">AG1046+AH1046+AI1046</f>
        <v>0</v>
      </c>
      <c r="AK1046" s="21" t="n">
        <f aca="false">IF(OR(AE1046="",AE1046=0),0,AE1046-AJ1046)</f>
        <v>0</v>
      </c>
      <c r="AL1046" s="19" t="str">
        <f aca="false">IF(AD1046="","",AD1046-AK1046)</f>
        <v/>
      </c>
      <c r="AM1046" s="9" t="str">
        <f aca="false">IF(C1046="","","Waiting for payment")</f>
        <v/>
      </c>
      <c r="AN1046" s="10"/>
      <c r="AO1046" s="10"/>
      <c r="AP1046" s="22" t="str">
        <f aca="false">IF(OR(C1046="",I1046="",K1046=""),"",IF(K1046="Monthly",EDATE(C1046,ROUND(I1046*SETTINGS!$I$8,0)),WORKDAY(C1046,ROUND(I1046*SETTINGS!$I$8,0))))</f>
        <v/>
      </c>
      <c r="AQ1046" s="9" t="str">
        <f aca="true">IF(C1046="","",IF(AND(AP1046&lt;&gt;"",TODAY()&gt;=AP1046),"Refi Ready",IF(TODAY()-C1046&gt;=SETTINGS!$I$11,"Prospecting","Performing")))</f>
        <v/>
      </c>
      <c r="AR1046" s="22" t="str">
        <f aca="false">IF(OR(C1046="",I1046="",K1046=""),"",IF(K1046="Monthly",EDATE(C1046,I1046),WORKDAY(C1046,I1046)))</f>
        <v/>
      </c>
      <c r="AS1046" s="11"/>
      <c r="AT1046" s="23" t="str">
        <f aca="true">IF(C1046="","",IF(AM1046="Clawed Back","CLAWED",IF(TODAY()&lt;=C1046+SETTINGS!$I$2,"⚠ AT RISK","SAFE")))</f>
        <v/>
      </c>
      <c r="AU1046" s="11"/>
      <c r="AW1046" s="24" t="n">
        <f aca="false">AW1045+IF(AND(C1046&lt;&gt;"",AO1046&lt;&gt;"",OR('REP COMMISSION'!$B$3="",T1046='REP COMMISSION'!$B$3,W1046='REP COMMISSION'!$B$3,Z1046='REP COMMISSION'!$B$3)),1,0)</f>
        <v>0</v>
      </c>
      <c r="AX1046" s="24" t="n">
        <f aca="false">AX1045+IF(AND(C1046&lt;&gt;"",OR(F1046="LOC - INITIAL",F1046="CONSOLIDATION - UPFRONT COMM",F1046="REVERSE - TOTAL FUNDING")),1,0)</f>
        <v>0</v>
      </c>
    </row>
    <row r="1047" customFormat="false" ht="15" hidden="false" customHeight="false" outlineLevel="0" collapsed="false">
      <c r="A1047" s="25" t="str">
        <f aca="false">IF(C1047&lt;&gt;"","F27-"&amp;COUNT($C$4:C1047),"")</f>
        <v/>
      </c>
      <c r="B1047" s="26" t="str">
        <f aca="false">IF(OR(F1047="LOC - INITIAL",F1047="CONSOLIDATION - UPFRONT COMM",F1047="REVERSE - TOTAL FUNDING"),A1047,"")</f>
        <v/>
      </c>
      <c r="C1047" s="27"/>
      <c r="D1047" s="28"/>
      <c r="E1047" s="28"/>
      <c r="F1047" s="28"/>
      <c r="G1047" s="29"/>
      <c r="H1047" s="30"/>
      <c r="I1047" s="28"/>
      <c r="J1047" s="31" t="str">
        <f aca="false">IF(AND(G1047&lt;&gt;"",H1047&lt;&gt;""),G1047*H1047,"")</f>
        <v/>
      </c>
      <c r="K1047" s="28"/>
      <c r="L1047" s="32"/>
      <c r="M1047" s="32"/>
      <c r="N1047" s="31" t="n">
        <f aca="false">IF(OR(G1047="",M1047=""),0,IF(M1047&gt;100,M1047,G1047*IF(M1047&gt;1,M1047/100,M1047)))</f>
        <v>0</v>
      </c>
      <c r="O1047" s="31" t="str">
        <f aca="false">IF(G1047="","",G1047*IF(L1047="",0,IF(L1047&gt;1,L1047/100,L1047))+N1047)</f>
        <v/>
      </c>
      <c r="P1047" s="28"/>
      <c r="Q1047" s="33" t="str">
        <f aca="false">IF(P1047="","",IFERROR(VLOOKUP(P1047,PARTNERS!$A$2:$B$30,2,0),""))</f>
        <v/>
      </c>
      <c r="R1047" s="17" t="str">
        <f aca="false">IF(O1047="","",IF(OR(P1047="",Q1047=""),0,(O1047-N1047)*IF(Q1047&gt;1,Q1047/100,Q1047)))</f>
        <v/>
      </c>
      <c r="S1047" s="31" t="str">
        <f aca="false">IF(O1047="","",O1047-R1047)</f>
        <v/>
      </c>
      <c r="T1047" s="28"/>
      <c r="U1047" s="34" t="str">
        <f aca="false">IF(T1047="","",IFERROR(VLOOKUP(T1047,REPS!$A$2:$D$40,2,0),""))</f>
        <v/>
      </c>
      <c r="V1047" s="31" t="str">
        <f aca="false">IF(O1047="","",IF(U1047="",0,O1047*IF(U1047&gt;1,U1047/100,U1047)))</f>
        <v/>
      </c>
      <c r="W1047" s="28"/>
      <c r="X1047" s="34" t="str">
        <f aca="false">IF(W1047="","",IFERROR(VLOOKUP(W1047,REPS!$A$2:$D$40,3,0),""))</f>
        <v/>
      </c>
      <c r="Y1047" s="31" t="str">
        <f aca="false">IF(O1047="","",IF(X1047="",0,O1047*IF(X1047&gt;1,X1047/100,X1047)))</f>
        <v/>
      </c>
      <c r="Z1047" s="28"/>
      <c r="AA1047" s="34" t="str">
        <f aca="false">IF(Z1047="","",IFERROR(VLOOKUP(Z1047,REPS!$A$2:$D$40,4,0),""))</f>
        <v/>
      </c>
      <c r="AB1047" s="31" t="str">
        <f aca="false">IF(O1047="","",IF(AA1047="",0,O1047*IF(AA1047&gt;1,AA1047/100,AA1047)))</f>
        <v/>
      </c>
      <c r="AC1047" s="31" t="str">
        <f aca="false">IF(O1047="","",V1047+Y1047+AB1047)</f>
        <v/>
      </c>
      <c r="AD1047" s="19" t="str">
        <f aca="false">IF(O1047="","",O1047-R1047-AC1047)</f>
        <v/>
      </c>
      <c r="AE1047" s="20"/>
      <c r="AF1047" s="27"/>
      <c r="AG1047" s="21" t="n">
        <f aca="false">IF(OR(AE1047="",AE1047=0),0,AE1047*IF(U1047="",0,IF(U1047&gt;1,U1047/100,U1047)))</f>
        <v>0</v>
      </c>
      <c r="AH1047" s="21" t="n">
        <f aca="false">IF(OR(AE1047="",AE1047=0),0,AE1047*IF(X1047="",0,IF(X1047&gt;1,X1047/100,X1047)))</f>
        <v>0</v>
      </c>
      <c r="AI1047" s="21" t="n">
        <f aca="false">IF(OR(AE1047="",AE1047=0),0,AE1047*IF(AA1047="",0,IF(AA1047&gt;1,AA1047/100,AA1047)))</f>
        <v>0</v>
      </c>
      <c r="AJ1047" s="21" t="n">
        <f aca="false">AG1047+AH1047+AI1047</f>
        <v>0</v>
      </c>
      <c r="AK1047" s="21" t="n">
        <f aca="false">IF(OR(AE1047="",AE1047=0),0,AE1047-AJ1047)</f>
        <v>0</v>
      </c>
      <c r="AL1047" s="19" t="str">
        <f aca="false">IF(AD1047="","",AD1047-AK1047)</f>
        <v/>
      </c>
      <c r="AM1047" s="26" t="str">
        <f aca="false">IF(C1047="","","Waiting for payment")</f>
        <v/>
      </c>
      <c r="AN1047" s="27"/>
      <c r="AO1047" s="27"/>
      <c r="AP1047" s="35" t="str">
        <f aca="false">IF(OR(C1047="",I1047="",K1047=""),"",IF(K1047="Monthly",EDATE(C1047,ROUND(I1047*SETTINGS!$I$8,0)),WORKDAY(C1047,ROUND(I1047*SETTINGS!$I$8,0))))</f>
        <v/>
      </c>
      <c r="AQ1047" s="26" t="str">
        <f aca="true">IF(C1047="","",IF(AND(AP1047&lt;&gt;"",TODAY()&gt;=AP1047),"Refi Ready",IF(TODAY()-C1047&gt;=SETTINGS!$I$11,"Prospecting","Performing")))</f>
        <v/>
      </c>
      <c r="AR1047" s="35" t="str">
        <f aca="false">IF(OR(C1047="",I1047="",K1047=""),"",IF(K1047="Monthly",EDATE(C1047,I1047),WORKDAY(C1047,I1047)))</f>
        <v/>
      </c>
      <c r="AS1047" s="28"/>
      <c r="AT1047" s="36" t="str">
        <f aca="true">IF(C1047="","",IF(AM1047="Clawed Back","CLAWED",IF(TODAY()&lt;=C1047+SETTINGS!$I$2,"⚠ AT RISK","SAFE")))</f>
        <v/>
      </c>
      <c r="AU1047" s="28"/>
      <c r="AW1047" s="24" t="n">
        <f aca="false">AW1046+IF(AND(C1047&lt;&gt;"",AO1047&lt;&gt;"",OR('REP COMMISSION'!$B$3="",T1047='REP COMMISSION'!$B$3,W1047='REP COMMISSION'!$B$3,Z1047='REP COMMISSION'!$B$3)),1,0)</f>
        <v>0</v>
      </c>
      <c r="AX1047" s="24" t="n">
        <f aca="false">AX1046+IF(AND(C1047&lt;&gt;"",OR(F1047="LOC - INITIAL",F1047="CONSOLIDATION - UPFRONT COMM",F1047="REVERSE - TOTAL FUNDING")),1,0)</f>
        <v>0</v>
      </c>
    </row>
    <row r="1048" customFormat="false" ht="15" hidden="false" customHeight="false" outlineLevel="0" collapsed="false">
      <c r="A1048" s="8" t="str">
        <f aca="false">IF(C1048&lt;&gt;"","F27-"&amp;COUNT($C$4:C1048),"")</f>
        <v/>
      </c>
      <c r="B1048" s="9" t="str">
        <f aca="false">IF(OR(F1048="LOC - INITIAL",F1048="CONSOLIDATION - UPFRONT COMM",F1048="REVERSE - TOTAL FUNDING"),A1048,"")</f>
        <v/>
      </c>
      <c r="C1048" s="10"/>
      <c r="D1048" s="11"/>
      <c r="E1048" s="11"/>
      <c r="F1048" s="11"/>
      <c r="G1048" s="12"/>
      <c r="H1048" s="13"/>
      <c r="I1048" s="11"/>
      <c r="J1048" s="14" t="str">
        <f aca="false">IF(AND(G1048&lt;&gt;"",H1048&lt;&gt;""),G1048*H1048,"")</f>
        <v/>
      </c>
      <c r="K1048" s="11"/>
      <c r="L1048" s="15"/>
      <c r="M1048" s="15"/>
      <c r="N1048" s="14" t="n">
        <f aca="false">IF(OR(G1048="",M1048=""),0,IF(M1048&gt;100,M1048,G1048*IF(M1048&gt;1,M1048/100,M1048)))</f>
        <v>0</v>
      </c>
      <c r="O1048" s="14" t="str">
        <f aca="false">IF(G1048="","",G1048*IF(L1048="",0,IF(L1048&gt;1,L1048/100,L1048))+N1048)</f>
        <v/>
      </c>
      <c r="P1048" s="11"/>
      <c r="Q1048" s="16" t="str">
        <f aca="false">IF(P1048="","",IFERROR(VLOOKUP(P1048,PARTNERS!$A$2:$B$30,2,0),""))</f>
        <v/>
      </c>
      <c r="R1048" s="17" t="str">
        <f aca="false">IF(O1048="","",IF(OR(P1048="",Q1048=""),0,(O1048-N1048)*IF(Q1048&gt;1,Q1048/100,Q1048)))</f>
        <v/>
      </c>
      <c r="S1048" s="14" t="str">
        <f aca="false">IF(O1048="","",O1048-R1048)</f>
        <v/>
      </c>
      <c r="T1048" s="11"/>
      <c r="U1048" s="18" t="str">
        <f aca="false">IF(T1048="","",IFERROR(VLOOKUP(T1048,REPS!$A$2:$D$40,2,0),""))</f>
        <v/>
      </c>
      <c r="V1048" s="14" t="str">
        <f aca="false">IF(O1048="","",IF(U1048="",0,O1048*IF(U1048&gt;1,U1048/100,U1048)))</f>
        <v/>
      </c>
      <c r="W1048" s="11"/>
      <c r="X1048" s="18" t="str">
        <f aca="false">IF(W1048="","",IFERROR(VLOOKUP(W1048,REPS!$A$2:$D$40,3,0),""))</f>
        <v/>
      </c>
      <c r="Y1048" s="14" t="str">
        <f aca="false">IF(O1048="","",IF(X1048="",0,O1048*IF(X1048&gt;1,X1048/100,X1048)))</f>
        <v/>
      </c>
      <c r="Z1048" s="11"/>
      <c r="AA1048" s="18" t="str">
        <f aca="false">IF(Z1048="","",IFERROR(VLOOKUP(Z1048,REPS!$A$2:$D$40,4,0),""))</f>
        <v/>
      </c>
      <c r="AB1048" s="14" t="str">
        <f aca="false">IF(O1048="","",IF(AA1048="",0,O1048*IF(AA1048&gt;1,AA1048/100,AA1048)))</f>
        <v/>
      </c>
      <c r="AC1048" s="14" t="str">
        <f aca="false">IF(O1048="","",V1048+Y1048+AB1048)</f>
        <v/>
      </c>
      <c r="AD1048" s="19" t="str">
        <f aca="false">IF(O1048="","",O1048-R1048-AC1048)</f>
        <v/>
      </c>
      <c r="AE1048" s="20"/>
      <c r="AF1048" s="10"/>
      <c r="AG1048" s="21" t="n">
        <f aca="false">IF(OR(AE1048="",AE1048=0),0,AE1048*IF(U1048="",0,IF(U1048&gt;1,U1048/100,U1048)))</f>
        <v>0</v>
      </c>
      <c r="AH1048" s="21" t="n">
        <f aca="false">IF(OR(AE1048="",AE1048=0),0,AE1048*IF(X1048="",0,IF(X1048&gt;1,X1048/100,X1048)))</f>
        <v>0</v>
      </c>
      <c r="AI1048" s="21" t="n">
        <f aca="false">IF(OR(AE1048="",AE1048=0),0,AE1048*IF(AA1048="",0,IF(AA1048&gt;1,AA1048/100,AA1048)))</f>
        <v>0</v>
      </c>
      <c r="AJ1048" s="21" t="n">
        <f aca="false">AG1048+AH1048+AI1048</f>
        <v>0</v>
      </c>
      <c r="AK1048" s="21" t="n">
        <f aca="false">IF(OR(AE1048="",AE1048=0),0,AE1048-AJ1048)</f>
        <v>0</v>
      </c>
      <c r="AL1048" s="19" t="str">
        <f aca="false">IF(AD1048="","",AD1048-AK1048)</f>
        <v/>
      </c>
      <c r="AM1048" s="9" t="str">
        <f aca="false">IF(C1048="","","Waiting for payment")</f>
        <v/>
      </c>
      <c r="AN1048" s="10"/>
      <c r="AO1048" s="10"/>
      <c r="AP1048" s="22" t="str">
        <f aca="false">IF(OR(C1048="",I1048="",K1048=""),"",IF(K1048="Monthly",EDATE(C1048,ROUND(I1048*SETTINGS!$I$8,0)),WORKDAY(C1048,ROUND(I1048*SETTINGS!$I$8,0))))</f>
        <v/>
      </c>
      <c r="AQ1048" s="9" t="str">
        <f aca="true">IF(C1048="","",IF(AND(AP1048&lt;&gt;"",TODAY()&gt;=AP1048),"Refi Ready",IF(TODAY()-C1048&gt;=SETTINGS!$I$11,"Prospecting","Performing")))</f>
        <v/>
      </c>
      <c r="AR1048" s="22" t="str">
        <f aca="false">IF(OR(C1048="",I1048="",K1048=""),"",IF(K1048="Monthly",EDATE(C1048,I1048),WORKDAY(C1048,I1048)))</f>
        <v/>
      </c>
      <c r="AS1048" s="11"/>
      <c r="AT1048" s="23" t="str">
        <f aca="true">IF(C1048="","",IF(AM1048="Clawed Back","CLAWED",IF(TODAY()&lt;=C1048+SETTINGS!$I$2,"⚠ AT RISK","SAFE")))</f>
        <v/>
      </c>
      <c r="AU1048" s="11"/>
      <c r="AW1048" s="24" t="n">
        <f aca="false">AW1047+IF(AND(C1048&lt;&gt;"",AO1048&lt;&gt;"",OR('REP COMMISSION'!$B$3="",T1048='REP COMMISSION'!$B$3,W1048='REP COMMISSION'!$B$3,Z1048='REP COMMISSION'!$B$3)),1,0)</f>
        <v>0</v>
      </c>
      <c r="AX1048" s="24" t="n">
        <f aca="false">AX1047+IF(AND(C1048&lt;&gt;"",OR(F1048="LOC - INITIAL",F1048="CONSOLIDATION - UPFRONT COMM",F1048="REVERSE - TOTAL FUNDING")),1,0)</f>
        <v>0</v>
      </c>
    </row>
    <row r="1049" customFormat="false" ht="15" hidden="false" customHeight="false" outlineLevel="0" collapsed="false">
      <c r="A1049" s="25" t="str">
        <f aca="false">IF(C1049&lt;&gt;"","F27-"&amp;COUNT($C$4:C1049),"")</f>
        <v/>
      </c>
      <c r="B1049" s="26" t="str">
        <f aca="false">IF(OR(F1049="LOC - INITIAL",F1049="CONSOLIDATION - UPFRONT COMM",F1049="REVERSE - TOTAL FUNDING"),A1049,"")</f>
        <v/>
      </c>
      <c r="C1049" s="27"/>
      <c r="D1049" s="28"/>
      <c r="E1049" s="28"/>
      <c r="F1049" s="28"/>
      <c r="G1049" s="29"/>
      <c r="H1049" s="30"/>
      <c r="I1049" s="28"/>
      <c r="J1049" s="31" t="str">
        <f aca="false">IF(AND(G1049&lt;&gt;"",H1049&lt;&gt;""),G1049*H1049,"")</f>
        <v/>
      </c>
      <c r="K1049" s="28"/>
      <c r="L1049" s="32"/>
      <c r="M1049" s="32"/>
      <c r="N1049" s="31" t="n">
        <f aca="false">IF(OR(G1049="",M1049=""),0,IF(M1049&gt;100,M1049,G1049*IF(M1049&gt;1,M1049/100,M1049)))</f>
        <v>0</v>
      </c>
      <c r="O1049" s="31" t="str">
        <f aca="false">IF(G1049="","",G1049*IF(L1049="",0,IF(L1049&gt;1,L1049/100,L1049))+N1049)</f>
        <v/>
      </c>
      <c r="P1049" s="28"/>
      <c r="Q1049" s="33" t="str">
        <f aca="false">IF(P1049="","",IFERROR(VLOOKUP(P1049,PARTNERS!$A$2:$B$30,2,0),""))</f>
        <v/>
      </c>
      <c r="R1049" s="17" t="str">
        <f aca="false">IF(O1049="","",IF(OR(P1049="",Q1049=""),0,(O1049-N1049)*IF(Q1049&gt;1,Q1049/100,Q1049)))</f>
        <v/>
      </c>
      <c r="S1049" s="31" t="str">
        <f aca="false">IF(O1049="","",O1049-R1049)</f>
        <v/>
      </c>
      <c r="T1049" s="28"/>
      <c r="U1049" s="34" t="str">
        <f aca="false">IF(T1049="","",IFERROR(VLOOKUP(T1049,REPS!$A$2:$D$40,2,0),""))</f>
        <v/>
      </c>
      <c r="V1049" s="31" t="str">
        <f aca="false">IF(O1049="","",IF(U1049="",0,O1049*IF(U1049&gt;1,U1049/100,U1049)))</f>
        <v/>
      </c>
      <c r="W1049" s="28"/>
      <c r="X1049" s="34" t="str">
        <f aca="false">IF(W1049="","",IFERROR(VLOOKUP(W1049,REPS!$A$2:$D$40,3,0),""))</f>
        <v/>
      </c>
      <c r="Y1049" s="31" t="str">
        <f aca="false">IF(O1049="","",IF(X1049="",0,O1049*IF(X1049&gt;1,X1049/100,X1049)))</f>
        <v/>
      </c>
      <c r="Z1049" s="28"/>
      <c r="AA1049" s="34" t="str">
        <f aca="false">IF(Z1049="","",IFERROR(VLOOKUP(Z1049,REPS!$A$2:$D$40,4,0),""))</f>
        <v/>
      </c>
      <c r="AB1049" s="31" t="str">
        <f aca="false">IF(O1049="","",IF(AA1049="",0,O1049*IF(AA1049&gt;1,AA1049/100,AA1049)))</f>
        <v/>
      </c>
      <c r="AC1049" s="31" t="str">
        <f aca="false">IF(O1049="","",V1049+Y1049+AB1049)</f>
        <v/>
      </c>
      <c r="AD1049" s="19" t="str">
        <f aca="false">IF(O1049="","",O1049-R1049-AC1049)</f>
        <v/>
      </c>
      <c r="AE1049" s="20"/>
      <c r="AF1049" s="27"/>
      <c r="AG1049" s="21" t="n">
        <f aca="false">IF(OR(AE1049="",AE1049=0),0,AE1049*IF(U1049="",0,IF(U1049&gt;1,U1049/100,U1049)))</f>
        <v>0</v>
      </c>
      <c r="AH1049" s="21" t="n">
        <f aca="false">IF(OR(AE1049="",AE1049=0),0,AE1049*IF(X1049="",0,IF(X1049&gt;1,X1049/100,X1049)))</f>
        <v>0</v>
      </c>
      <c r="AI1049" s="21" t="n">
        <f aca="false">IF(OR(AE1049="",AE1049=0),0,AE1049*IF(AA1049="",0,IF(AA1049&gt;1,AA1049/100,AA1049)))</f>
        <v>0</v>
      </c>
      <c r="AJ1049" s="21" t="n">
        <f aca="false">AG1049+AH1049+AI1049</f>
        <v>0</v>
      </c>
      <c r="AK1049" s="21" t="n">
        <f aca="false">IF(OR(AE1049="",AE1049=0),0,AE1049-AJ1049)</f>
        <v>0</v>
      </c>
      <c r="AL1049" s="19" t="str">
        <f aca="false">IF(AD1049="","",AD1049-AK1049)</f>
        <v/>
      </c>
      <c r="AM1049" s="26" t="str">
        <f aca="false">IF(C1049="","","Waiting for payment")</f>
        <v/>
      </c>
      <c r="AN1049" s="27"/>
      <c r="AO1049" s="27"/>
      <c r="AP1049" s="35" t="str">
        <f aca="false">IF(OR(C1049="",I1049="",K1049=""),"",IF(K1049="Monthly",EDATE(C1049,ROUND(I1049*SETTINGS!$I$8,0)),WORKDAY(C1049,ROUND(I1049*SETTINGS!$I$8,0))))</f>
        <v/>
      </c>
      <c r="AQ1049" s="26" t="str">
        <f aca="true">IF(C1049="","",IF(AND(AP1049&lt;&gt;"",TODAY()&gt;=AP1049),"Refi Ready",IF(TODAY()-C1049&gt;=SETTINGS!$I$11,"Prospecting","Performing")))</f>
        <v/>
      </c>
      <c r="AR1049" s="35" t="str">
        <f aca="false">IF(OR(C1049="",I1049="",K1049=""),"",IF(K1049="Monthly",EDATE(C1049,I1049),WORKDAY(C1049,I1049)))</f>
        <v/>
      </c>
      <c r="AS1049" s="28"/>
      <c r="AT1049" s="36" t="str">
        <f aca="true">IF(C1049="","",IF(AM1049="Clawed Back","CLAWED",IF(TODAY()&lt;=C1049+SETTINGS!$I$2,"⚠ AT RISK","SAFE")))</f>
        <v/>
      </c>
      <c r="AU1049" s="28"/>
      <c r="AW1049" s="24" t="n">
        <f aca="false">AW1048+IF(AND(C1049&lt;&gt;"",AO1049&lt;&gt;"",OR('REP COMMISSION'!$B$3="",T1049='REP COMMISSION'!$B$3,W1049='REP COMMISSION'!$B$3,Z1049='REP COMMISSION'!$B$3)),1,0)</f>
        <v>0</v>
      </c>
      <c r="AX1049" s="24" t="n">
        <f aca="false">AX1048+IF(AND(C1049&lt;&gt;"",OR(F1049="LOC - INITIAL",F1049="CONSOLIDATION - UPFRONT COMM",F1049="REVERSE - TOTAL FUNDING")),1,0)</f>
        <v>0</v>
      </c>
    </row>
    <row r="1050" customFormat="false" ht="15" hidden="false" customHeight="false" outlineLevel="0" collapsed="false">
      <c r="A1050" s="8" t="str">
        <f aca="false">IF(C1050&lt;&gt;"","F27-"&amp;COUNT($C$4:C1050),"")</f>
        <v/>
      </c>
      <c r="B1050" s="9" t="str">
        <f aca="false">IF(OR(F1050="LOC - INITIAL",F1050="CONSOLIDATION - UPFRONT COMM",F1050="REVERSE - TOTAL FUNDING"),A1050,"")</f>
        <v/>
      </c>
      <c r="C1050" s="10"/>
      <c r="D1050" s="11"/>
      <c r="E1050" s="11"/>
      <c r="F1050" s="11"/>
      <c r="G1050" s="12"/>
      <c r="H1050" s="13"/>
      <c r="I1050" s="11"/>
      <c r="J1050" s="14" t="str">
        <f aca="false">IF(AND(G1050&lt;&gt;"",H1050&lt;&gt;""),G1050*H1050,"")</f>
        <v/>
      </c>
      <c r="K1050" s="11"/>
      <c r="L1050" s="15"/>
      <c r="M1050" s="15"/>
      <c r="N1050" s="14" t="n">
        <f aca="false">IF(OR(G1050="",M1050=""),0,IF(M1050&gt;100,M1050,G1050*IF(M1050&gt;1,M1050/100,M1050)))</f>
        <v>0</v>
      </c>
      <c r="O1050" s="14" t="str">
        <f aca="false">IF(G1050="","",G1050*IF(L1050="",0,IF(L1050&gt;1,L1050/100,L1050))+N1050)</f>
        <v/>
      </c>
      <c r="P1050" s="11"/>
      <c r="Q1050" s="16" t="str">
        <f aca="false">IF(P1050="","",IFERROR(VLOOKUP(P1050,PARTNERS!$A$2:$B$30,2,0),""))</f>
        <v/>
      </c>
      <c r="R1050" s="17" t="str">
        <f aca="false">IF(O1050="","",IF(OR(P1050="",Q1050=""),0,(O1050-N1050)*IF(Q1050&gt;1,Q1050/100,Q1050)))</f>
        <v/>
      </c>
      <c r="S1050" s="14" t="str">
        <f aca="false">IF(O1050="","",O1050-R1050)</f>
        <v/>
      </c>
      <c r="T1050" s="11"/>
      <c r="U1050" s="18" t="str">
        <f aca="false">IF(T1050="","",IFERROR(VLOOKUP(T1050,REPS!$A$2:$D$40,2,0),""))</f>
        <v/>
      </c>
      <c r="V1050" s="14" t="str">
        <f aca="false">IF(O1050="","",IF(U1050="",0,O1050*IF(U1050&gt;1,U1050/100,U1050)))</f>
        <v/>
      </c>
      <c r="W1050" s="11"/>
      <c r="X1050" s="18" t="str">
        <f aca="false">IF(W1050="","",IFERROR(VLOOKUP(W1050,REPS!$A$2:$D$40,3,0),""))</f>
        <v/>
      </c>
      <c r="Y1050" s="14" t="str">
        <f aca="false">IF(O1050="","",IF(X1050="",0,O1050*IF(X1050&gt;1,X1050/100,X1050)))</f>
        <v/>
      </c>
      <c r="Z1050" s="11"/>
      <c r="AA1050" s="18" t="str">
        <f aca="false">IF(Z1050="","",IFERROR(VLOOKUP(Z1050,REPS!$A$2:$D$40,4,0),""))</f>
        <v/>
      </c>
      <c r="AB1050" s="14" t="str">
        <f aca="false">IF(O1050="","",IF(AA1050="",0,O1050*IF(AA1050&gt;1,AA1050/100,AA1050)))</f>
        <v/>
      </c>
      <c r="AC1050" s="14" t="str">
        <f aca="false">IF(O1050="","",V1050+Y1050+AB1050)</f>
        <v/>
      </c>
      <c r="AD1050" s="19" t="str">
        <f aca="false">IF(O1050="","",O1050-R1050-AC1050)</f>
        <v/>
      </c>
      <c r="AE1050" s="20"/>
      <c r="AF1050" s="10"/>
      <c r="AG1050" s="21" t="n">
        <f aca="false">IF(OR(AE1050="",AE1050=0),0,AE1050*IF(U1050="",0,IF(U1050&gt;1,U1050/100,U1050)))</f>
        <v>0</v>
      </c>
      <c r="AH1050" s="21" t="n">
        <f aca="false">IF(OR(AE1050="",AE1050=0),0,AE1050*IF(X1050="",0,IF(X1050&gt;1,X1050/100,X1050)))</f>
        <v>0</v>
      </c>
      <c r="AI1050" s="21" t="n">
        <f aca="false">IF(OR(AE1050="",AE1050=0),0,AE1050*IF(AA1050="",0,IF(AA1050&gt;1,AA1050/100,AA1050)))</f>
        <v>0</v>
      </c>
      <c r="AJ1050" s="21" t="n">
        <f aca="false">AG1050+AH1050+AI1050</f>
        <v>0</v>
      </c>
      <c r="AK1050" s="21" t="n">
        <f aca="false">IF(OR(AE1050="",AE1050=0),0,AE1050-AJ1050)</f>
        <v>0</v>
      </c>
      <c r="AL1050" s="19" t="str">
        <f aca="false">IF(AD1050="","",AD1050-AK1050)</f>
        <v/>
      </c>
      <c r="AM1050" s="9" t="str">
        <f aca="false">IF(C1050="","","Waiting for payment")</f>
        <v/>
      </c>
      <c r="AN1050" s="10"/>
      <c r="AO1050" s="10"/>
      <c r="AP1050" s="22" t="str">
        <f aca="false">IF(OR(C1050="",I1050="",K1050=""),"",IF(K1050="Monthly",EDATE(C1050,ROUND(I1050*SETTINGS!$I$8,0)),WORKDAY(C1050,ROUND(I1050*SETTINGS!$I$8,0))))</f>
        <v/>
      </c>
      <c r="AQ1050" s="9" t="str">
        <f aca="true">IF(C1050="","",IF(AND(AP1050&lt;&gt;"",TODAY()&gt;=AP1050),"Refi Ready",IF(TODAY()-C1050&gt;=SETTINGS!$I$11,"Prospecting","Performing")))</f>
        <v/>
      </c>
      <c r="AR1050" s="22" t="str">
        <f aca="false">IF(OR(C1050="",I1050="",K1050=""),"",IF(K1050="Monthly",EDATE(C1050,I1050),WORKDAY(C1050,I1050)))</f>
        <v/>
      </c>
      <c r="AS1050" s="11"/>
      <c r="AT1050" s="23" t="str">
        <f aca="true">IF(C1050="","",IF(AM1050="Clawed Back","CLAWED",IF(TODAY()&lt;=C1050+SETTINGS!$I$2,"⚠ AT RISK","SAFE")))</f>
        <v/>
      </c>
      <c r="AU1050" s="11"/>
      <c r="AW1050" s="24" t="n">
        <f aca="false">AW1049+IF(AND(C1050&lt;&gt;"",AO1050&lt;&gt;"",OR('REP COMMISSION'!$B$3="",T1050='REP COMMISSION'!$B$3,W1050='REP COMMISSION'!$B$3,Z1050='REP COMMISSION'!$B$3)),1,0)</f>
        <v>0</v>
      </c>
      <c r="AX1050" s="24" t="n">
        <f aca="false">AX1049+IF(AND(C1050&lt;&gt;"",OR(F1050="LOC - INITIAL",F1050="CONSOLIDATION - UPFRONT COMM",F1050="REVERSE - TOTAL FUNDING")),1,0)</f>
        <v>0</v>
      </c>
    </row>
    <row r="1051" customFormat="false" ht="15" hidden="false" customHeight="false" outlineLevel="0" collapsed="false">
      <c r="A1051" s="25" t="str">
        <f aca="false">IF(C1051&lt;&gt;"","F27-"&amp;COUNT($C$4:C1051),"")</f>
        <v/>
      </c>
      <c r="B1051" s="26" t="str">
        <f aca="false">IF(OR(F1051="LOC - INITIAL",F1051="CONSOLIDATION - UPFRONT COMM",F1051="REVERSE - TOTAL FUNDING"),A1051,"")</f>
        <v/>
      </c>
      <c r="C1051" s="27"/>
      <c r="D1051" s="28"/>
      <c r="E1051" s="28"/>
      <c r="F1051" s="28"/>
      <c r="G1051" s="29"/>
      <c r="H1051" s="30"/>
      <c r="I1051" s="28"/>
      <c r="J1051" s="31" t="str">
        <f aca="false">IF(AND(G1051&lt;&gt;"",H1051&lt;&gt;""),G1051*H1051,"")</f>
        <v/>
      </c>
      <c r="K1051" s="28"/>
      <c r="L1051" s="32"/>
      <c r="M1051" s="32"/>
      <c r="N1051" s="31" t="n">
        <f aca="false">IF(OR(G1051="",M1051=""),0,IF(M1051&gt;100,M1051,G1051*IF(M1051&gt;1,M1051/100,M1051)))</f>
        <v>0</v>
      </c>
      <c r="O1051" s="31" t="str">
        <f aca="false">IF(G1051="","",G1051*IF(L1051="",0,IF(L1051&gt;1,L1051/100,L1051))+N1051)</f>
        <v/>
      </c>
      <c r="P1051" s="28"/>
      <c r="Q1051" s="33" t="str">
        <f aca="false">IF(P1051="","",IFERROR(VLOOKUP(P1051,PARTNERS!$A$2:$B$30,2,0),""))</f>
        <v/>
      </c>
      <c r="R1051" s="17" t="str">
        <f aca="false">IF(O1051="","",IF(OR(P1051="",Q1051=""),0,(O1051-N1051)*IF(Q1051&gt;1,Q1051/100,Q1051)))</f>
        <v/>
      </c>
      <c r="S1051" s="31" t="str">
        <f aca="false">IF(O1051="","",O1051-R1051)</f>
        <v/>
      </c>
      <c r="T1051" s="28"/>
      <c r="U1051" s="34" t="str">
        <f aca="false">IF(T1051="","",IFERROR(VLOOKUP(T1051,REPS!$A$2:$D$40,2,0),""))</f>
        <v/>
      </c>
      <c r="V1051" s="31" t="str">
        <f aca="false">IF(O1051="","",IF(U1051="",0,O1051*IF(U1051&gt;1,U1051/100,U1051)))</f>
        <v/>
      </c>
      <c r="W1051" s="28"/>
      <c r="X1051" s="34" t="str">
        <f aca="false">IF(W1051="","",IFERROR(VLOOKUP(W1051,REPS!$A$2:$D$40,3,0),""))</f>
        <v/>
      </c>
      <c r="Y1051" s="31" t="str">
        <f aca="false">IF(O1051="","",IF(X1051="",0,O1051*IF(X1051&gt;1,X1051/100,X1051)))</f>
        <v/>
      </c>
      <c r="Z1051" s="28"/>
      <c r="AA1051" s="34" t="str">
        <f aca="false">IF(Z1051="","",IFERROR(VLOOKUP(Z1051,REPS!$A$2:$D$40,4,0),""))</f>
        <v/>
      </c>
      <c r="AB1051" s="31" t="str">
        <f aca="false">IF(O1051="","",IF(AA1051="",0,O1051*IF(AA1051&gt;1,AA1051/100,AA1051)))</f>
        <v/>
      </c>
      <c r="AC1051" s="31" t="str">
        <f aca="false">IF(O1051="","",V1051+Y1051+AB1051)</f>
        <v/>
      </c>
      <c r="AD1051" s="19" t="str">
        <f aca="false">IF(O1051="","",O1051-R1051-AC1051)</f>
        <v/>
      </c>
      <c r="AE1051" s="20"/>
      <c r="AF1051" s="27"/>
      <c r="AG1051" s="21" t="n">
        <f aca="false">IF(OR(AE1051="",AE1051=0),0,AE1051*IF(U1051="",0,IF(U1051&gt;1,U1051/100,U1051)))</f>
        <v>0</v>
      </c>
      <c r="AH1051" s="21" t="n">
        <f aca="false">IF(OR(AE1051="",AE1051=0),0,AE1051*IF(X1051="",0,IF(X1051&gt;1,X1051/100,X1051)))</f>
        <v>0</v>
      </c>
      <c r="AI1051" s="21" t="n">
        <f aca="false">IF(OR(AE1051="",AE1051=0),0,AE1051*IF(AA1051="",0,IF(AA1051&gt;1,AA1051/100,AA1051)))</f>
        <v>0</v>
      </c>
      <c r="AJ1051" s="21" t="n">
        <f aca="false">AG1051+AH1051+AI1051</f>
        <v>0</v>
      </c>
      <c r="AK1051" s="21" t="n">
        <f aca="false">IF(OR(AE1051="",AE1051=0),0,AE1051-AJ1051)</f>
        <v>0</v>
      </c>
      <c r="AL1051" s="19" t="str">
        <f aca="false">IF(AD1051="","",AD1051-AK1051)</f>
        <v/>
      </c>
      <c r="AM1051" s="26" t="str">
        <f aca="false">IF(C1051="","","Waiting for payment")</f>
        <v/>
      </c>
      <c r="AN1051" s="27"/>
      <c r="AO1051" s="27"/>
      <c r="AP1051" s="35" t="str">
        <f aca="false">IF(OR(C1051="",I1051="",K1051=""),"",IF(K1051="Monthly",EDATE(C1051,ROUND(I1051*SETTINGS!$I$8,0)),WORKDAY(C1051,ROUND(I1051*SETTINGS!$I$8,0))))</f>
        <v/>
      </c>
      <c r="AQ1051" s="26" t="str">
        <f aca="true">IF(C1051="","",IF(AND(AP1051&lt;&gt;"",TODAY()&gt;=AP1051),"Refi Ready",IF(TODAY()-C1051&gt;=SETTINGS!$I$11,"Prospecting","Performing")))</f>
        <v/>
      </c>
      <c r="AR1051" s="35" t="str">
        <f aca="false">IF(OR(C1051="",I1051="",K1051=""),"",IF(K1051="Monthly",EDATE(C1051,I1051),WORKDAY(C1051,I1051)))</f>
        <v/>
      </c>
      <c r="AS1051" s="28"/>
      <c r="AT1051" s="36" t="str">
        <f aca="true">IF(C1051="","",IF(AM1051="Clawed Back","CLAWED",IF(TODAY()&lt;=C1051+SETTINGS!$I$2,"⚠ AT RISK","SAFE")))</f>
        <v/>
      </c>
      <c r="AU1051" s="28"/>
      <c r="AW1051" s="24" t="n">
        <f aca="false">AW1050+IF(AND(C1051&lt;&gt;"",AO1051&lt;&gt;"",OR('REP COMMISSION'!$B$3="",T1051='REP COMMISSION'!$B$3,W1051='REP COMMISSION'!$B$3,Z1051='REP COMMISSION'!$B$3)),1,0)</f>
        <v>0</v>
      </c>
      <c r="AX1051" s="24" t="n">
        <f aca="false">AX1050+IF(AND(C1051&lt;&gt;"",OR(F1051="LOC - INITIAL",F1051="CONSOLIDATION - UPFRONT COMM",F1051="REVERSE - TOTAL FUNDING")),1,0)</f>
        <v>0</v>
      </c>
    </row>
    <row r="1052" customFormat="false" ht="15" hidden="false" customHeight="false" outlineLevel="0" collapsed="false">
      <c r="A1052" s="8" t="str">
        <f aca="false">IF(C1052&lt;&gt;"","F27-"&amp;COUNT($C$4:C1052),"")</f>
        <v/>
      </c>
      <c r="B1052" s="9" t="str">
        <f aca="false">IF(OR(F1052="LOC - INITIAL",F1052="CONSOLIDATION - UPFRONT COMM",F1052="REVERSE - TOTAL FUNDING"),A1052,"")</f>
        <v/>
      </c>
      <c r="C1052" s="10"/>
      <c r="D1052" s="11"/>
      <c r="E1052" s="11"/>
      <c r="F1052" s="11"/>
      <c r="G1052" s="12"/>
      <c r="H1052" s="13"/>
      <c r="I1052" s="11"/>
      <c r="J1052" s="14" t="str">
        <f aca="false">IF(AND(G1052&lt;&gt;"",H1052&lt;&gt;""),G1052*H1052,"")</f>
        <v/>
      </c>
      <c r="K1052" s="11"/>
      <c r="L1052" s="15"/>
      <c r="M1052" s="15"/>
      <c r="N1052" s="14" t="n">
        <f aca="false">IF(OR(G1052="",M1052=""),0,IF(M1052&gt;100,M1052,G1052*IF(M1052&gt;1,M1052/100,M1052)))</f>
        <v>0</v>
      </c>
      <c r="O1052" s="14" t="str">
        <f aca="false">IF(G1052="","",G1052*IF(L1052="",0,IF(L1052&gt;1,L1052/100,L1052))+N1052)</f>
        <v/>
      </c>
      <c r="P1052" s="11"/>
      <c r="Q1052" s="16" t="str">
        <f aca="false">IF(P1052="","",IFERROR(VLOOKUP(P1052,PARTNERS!$A$2:$B$30,2,0),""))</f>
        <v/>
      </c>
      <c r="R1052" s="17" t="str">
        <f aca="false">IF(O1052="","",IF(OR(P1052="",Q1052=""),0,(O1052-N1052)*IF(Q1052&gt;1,Q1052/100,Q1052)))</f>
        <v/>
      </c>
      <c r="S1052" s="14" t="str">
        <f aca="false">IF(O1052="","",O1052-R1052)</f>
        <v/>
      </c>
      <c r="T1052" s="11"/>
      <c r="U1052" s="18" t="str">
        <f aca="false">IF(T1052="","",IFERROR(VLOOKUP(T1052,REPS!$A$2:$D$40,2,0),""))</f>
        <v/>
      </c>
      <c r="V1052" s="14" t="str">
        <f aca="false">IF(O1052="","",IF(U1052="",0,O1052*IF(U1052&gt;1,U1052/100,U1052)))</f>
        <v/>
      </c>
      <c r="W1052" s="11"/>
      <c r="X1052" s="18" t="str">
        <f aca="false">IF(W1052="","",IFERROR(VLOOKUP(W1052,REPS!$A$2:$D$40,3,0),""))</f>
        <v/>
      </c>
      <c r="Y1052" s="14" t="str">
        <f aca="false">IF(O1052="","",IF(X1052="",0,O1052*IF(X1052&gt;1,X1052/100,X1052)))</f>
        <v/>
      </c>
      <c r="Z1052" s="11"/>
      <c r="AA1052" s="18" t="str">
        <f aca="false">IF(Z1052="","",IFERROR(VLOOKUP(Z1052,REPS!$A$2:$D$40,4,0),""))</f>
        <v/>
      </c>
      <c r="AB1052" s="14" t="str">
        <f aca="false">IF(O1052="","",IF(AA1052="",0,O1052*IF(AA1052&gt;1,AA1052/100,AA1052)))</f>
        <v/>
      </c>
      <c r="AC1052" s="14" t="str">
        <f aca="false">IF(O1052="","",V1052+Y1052+AB1052)</f>
        <v/>
      </c>
      <c r="AD1052" s="19" t="str">
        <f aca="false">IF(O1052="","",O1052-R1052-AC1052)</f>
        <v/>
      </c>
      <c r="AE1052" s="20"/>
      <c r="AF1052" s="10"/>
      <c r="AG1052" s="21" t="n">
        <f aca="false">IF(OR(AE1052="",AE1052=0),0,AE1052*IF(U1052="",0,IF(U1052&gt;1,U1052/100,U1052)))</f>
        <v>0</v>
      </c>
      <c r="AH1052" s="21" t="n">
        <f aca="false">IF(OR(AE1052="",AE1052=0),0,AE1052*IF(X1052="",0,IF(X1052&gt;1,X1052/100,X1052)))</f>
        <v>0</v>
      </c>
      <c r="AI1052" s="21" t="n">
        <f aca="false">IF(OR(AE1052="",AE1052=0),0,AE1052*IF(AA1052="",0,IF(AA1052&gt;1,AA1052/100,AA1052)))</f>
        <v>0</v>
      </c>
      <c r="AJ1052" s="21" t="n">
        <f aca="false">AG1052+AH1052+AI1052</f>
        <v>0</v>
      </c>
      <c r="AK1052" s="21" t="n">
        <f aca="false">IF(OR(AE1052="",AE1052=0),0,AE1052-AJ1052)</f>
        <v>0</v>
      </c>
      <c r="AL1052" s="19" t="str">
        <f aca="false">IF(AD1052="","",AD1052-AK1052)</f>
        <v/>
      </c>
      <c r="AM1052" s="9" t="str">
        <f aca="false">IF(C1052="","","Waiting for payment")</f>
        <v/>
      </c>
      <c r="AN1052" s="10"/>
      <c r="AO1052" s="10"/>
      <c r="AP1052" s="22" t="str">
        <f aca="false">IF(OR(C1052="",I1052="",K1052=""),"",IF(K1052="Monthly",EDATE(C1052,ROUND(I1052*SETTINGS!$I$8,0)),WORKDAY(C1052,ROUND(I1052*SETTINGS!$I$8,0))))</f>
        <v/>
      </c>
      <c r="AQ1052" s="9" t="str">
        <f aca="true">IF(C1052="","",IF(AND(AP1052&lt;&gt;"",TODAY()&gt;=AP1052),"Refi Ready",IF(TODAY()-C1052&gt;=SETTINGS!$I$11,"Prospecting","Performing")))</f>
        <v/>
      </c>
      <c r="AR1052" s="22" t="str">
        <f aca="false">IF(OR(C1052="",I1052="",K1052=""),"",IF(K1052="Monthly",EDATE(C1052,I1052),WORKDAY(C1052,I1052)))</f>
        <v/>
      </c>
      <c r="AS1052" s="11"/>
      <c r="AT1052" s="23" t="str">
        <f aca="true">IF(C1052="","",IF(AM1052="Clawed Back","CLAWED",IF(TODAY()&lt;=C1052+SETTINGS!$I$2,"⚠ AT RISK","SAFE")))</f>
        <v/>
      </c>
      <c r="AU1052" s="11"/>
      <c r="AW1052" s="24" t="n">
        <f aca="false">AW1051+IF(AND(C1052&lt;&gt;"",AO1052&lt;&gt;"",OR('REP COMMISSION'!$B$3="",T1052='REP COMMISSION'!$B$3,W1052='REP COMMISSION'!$B$3,Z1052='REP COMMISSION'!$B$3)),1,0)</f>
        <v>0</v>
      </c>
      <c r="AX1052" s="24" t="n">
        <f aca="false">AX1051+IF(AND(C1052&lt;&gt;"",OR(F1052="LOC - INITIAL",F1052="CONSOLIDATION - UPFRONT COMM",F1052="REVERSE - TOTAL FUNDING")),1,0)</f>
        <v>0</v>
      </c>
    </row>
    <row r="1053" customFormat="false" ht="15" hidden="false" customHeight="false" outlineLevel="0" collapsed="false">
      <c r="A1053" s="25" t="str">
        <f aca="false">IF(C1053&lt;&gt;"","F27-"&amp;COUNT($C$4:C1053),"")</f>
        <v/>
      </c>
      <c r="B1053" s="26" t="str">
        <f aca="false">IF(OR(F1053="LOC - INITIAL",F1053="CONSOLIDATION - UPFRONT COMM",F1053="REVERSE - TOTAL FUNDING"),A1053,"")</f>
        <v/>
      </c>
      <c r="C1053" s="27"/>
      <c r="D1053" s="28"/>
      <c r="E1053" s="28"/>
      <c r="F1053" s="28"/>
      <c r="G1053" s="29"/>
      <c r="H1053" s="30"/>
      <c r="I1053" s="28"/>
      <c r="J1053" s="31" t="str">
        <f aca="false">IF(AND(G1053&lt;&gt;"",H1053&lt;&gt;""),G1053*H1053,"")</f>
        <v/>
      </c>
      <c r="K1053" s="28"/>
      <c r="L1053" s="32"/>
      <c r="M1053" s="32"/>
      <c r="N1053" s="31" t="n">
        <f aca="false">IF(OR(G1053="",M1053=""),0,IF(M1053&gt;100,M1053,G1053*IF(M1053&gt;1,M1053/100,M1053)))</f>
        <v>0</v>
      </c>
      <c r="O1053" s="31" t="str">
        <f aca="false">IF(G1053="","",G1053*IF(L1053="",0,IF(L1053&gt;1,L1053/100,L1053))+N1053)</f>
        <v/>
      </c>
      <c r="P1053" s="28"/>
      <c r="Q1053" s="33" t="str">
        <f aca="false">IF(P1053="","",IFERROR(VLOOKUP(P1053,PARTNERS!$A$2:$B$30,2,0),""))</f>
        <v/>
      </c>
      <c r="R1053" s="17" t="str">
        <f aca="false">IF(O1053="","",IF(OR(P1053="",Q1053=""),0,(O1053-N1053)*IF(Q1053&gt;1,Q1053/100,Q1053)))</f>
        <v/>
      </c>
      <c r="S1053" s="31" t="str">
        <f aca="false">IF(O1053="","",O1053-R1053)</f>
        <v/>
      </c>
      <c r="T1053" s="28"/>
      <c r="U1053" s="34" t="str">
        <f aca="false">IF(T1053="","",IFERROR(VLOOKUP(T1053,REPS!$A$2:$D$40,2,0),""))</f>
        <v/>
      </c>
      <c r="V1053" s="31" t="str">
        <f aca="false">IF(O1053="","",IF(U1053="",0,O1053*IF(U1053&gt;1,U1053/100,U1053)))</f>
        <v/>
      </c>
      <c r="W1053" s="28"/>
      <c r="X1053" s="34" t="str">
        <f aca="false">IF(W1053="","",IFERROR(VLOOKUP(W1053,REPS!$A$2:$D$40,3,0),""))</f>
        <v/>
      </c>
      <c r="Y1053" s="31" t="str">
        <f aca="false">IF(O1053="","",IF(X1053="",0,O1053*IF(X1053&gt;1,X1053/100,X1053)))</f>
        <v/>
      </c>
      <c r="Z1053" s="28"/>
      <c r="AA1053" s="34" t="str">
        <f aca="false">IF(Z1053="","",IFERROR(VLOOKUP(Z1053,REPS!$A$2:$D$40,4,0),""))</f>
        <v/>
      </c>
      <c r="AB1053" s="31" t="str">
        <f aca="false">IF(O1053="","",IF(AA1053="",0,O1053*IF(AA1053&gt;1,AA1053/100,AA1053)))</f>
        <v/>
      </c>
      <c r="AC1053" s="31" t="str">
        <f aca="false">IF(O1053="","",V1053+Y1053+AB1053)</f>
        <v/>
      </c>
      <c r="AD1053" s="19" t="str">
        <f aca="false">IF(O1053="","",O1053-R1053-AC1053)</f>
        <v/>
      </c>
      <c r="AE1053" s="20"/>
      <c r="AF1053" s="27"/>
      <c r="AG1053" s="21" t="n">
        <f aca="false">IF(OR(AE1053="",AE1053=0),0,AE1053*IF(U1053="",0,IF(U1053&gt;1,U1053/100,U1053)))</f>
        <v>0</v>
      </c>
      <c r="AH1053" s="21" t="n">
        <f aca="false">IF(OR(AE1053="",AE1053=0),0,AE1053*IF(X1053="",0,IF(X1053&gt;1,X1053/100,X1053)))</f>
        <v>0</v>
      </c>
      <c r="AI1053" s="21" t="n">
        <f aca="false">IF(OR(AE1053="",AE1053=0),0,AE1053*IF(AA1053="",0,IF(AA1053&gt;1,AA1053/100,AA1053)))</f>
        <v>0</v>
      </c>
      <c r="AJ1053" s="21" t="n">
        <f aca="false">AG1053+AH1053+AI1053</f>
        <v>0</v>
      </c>
      <c r="AK1053" s="21" t="n">
        <f aca="false">IF(OR(AE1053="",AE1053=0),0,AE1053-AJ1053)</f>
        <v>0</v>
      </c>
      <c r="AL1053" s="19" t="str">
        <f aca="false">IF(AD1053="","",AD1053-AK1053)</f>
        <v/>
      </c>
      <c r="AM1053" s="26" t="str">
        <f aca="false">IF(C1053="","","Waiting for payment")</f>
        <v/>
      </c>
      <c r="AN1053" s="27"/>
      <c r="AO1053" s="27"/>
      <c r="AP1053" s="35" t="str">
        <f aca="false">IF(OR(C1053="",I1053="",K1053=""),"",IF(K1053="Monthly",EDATE(C1053,ROUND(I1053*SETTINGS!$I$8,0)),WORKDAY(C1053,ROUND(I1053*SETTINGS!$I$8,0))))</f>
        <v/>
      </c>
      <c r="AQ1053" s="26" t="str">
        <f aca="true">IF(C1053="","",IF(AND(AP1053&lt;&gt;"",TODAY()&gt;=AP1053),"Refi Ready",IF(TODAY()-C1053&gt;=SETTINGS!$I$11,"Prospecting","Performing")))</f>
        <v/>
      </c>
      <c r="AR1053" s="35" t="str">
        <f aca="false">IF(OR(C1053="",I1053="",K1053=""),"",IF(K1053="Monthly",EDATE(C1053,I1053),WORKDAY(C1053,I1053)))</f>
        <v/>
      </c>
      <c r="AS1053" s="28"/>
      <c r="AT1053" s="36" t="str">
        <f aca="true">IF(C1053="","",IF(AM1053="Clawed Back","CLAWED",IF(TODAY()&lt;=C1053+SETTINGS!$I$2,"⚠ AT RISK","SAFE")))</f>
        <v/>
      </c>
      <c r="AU1053" s="28"/>
      <c r="AW1053" s="24" t="n">
        <f aca="false">AW1052+IF(AND(C1053&lt;&gt;"",AO1053&lt;&gt;"",OR('REP COMMISSION'!$B$3="",T1053='REP COMMISSION'!$B$3,W1053='REP COMMISSION'!$B$3,Z1053='REP COMMISSION'!$B$3)),1,0)</f>
        <v>0</v>
      </c>
      <c r="AX1053" s="24" t="n">
        <f aca="false">AX1052+IF(AND(C1053&lt;&gt;"",OR(F1053="LOC - INITIAL",F1053="CONSOLIDATION - UPFRONT COMM",F1053="REVERSE - TOTAL FUNDING")),1,0)</f>
        <v>0</v>
      </c>
    </row>
    <row r="1054" customFormat="false" ht="15" hidden="false" customHeight="false" outlineLevel="0" collapsed="false">
      <c r="A1054" s="8" t="str">
        <f aca="false">IF(C1054&lt;&gt;"","F27-"&amp;COUNT($C$4:C1054),"")</f>
        <v/>
      </c>
      <c r="B1054" s="9" t="str">
        <f aca="false">IF(OR(F1054="LOC - INITIAL",F1054="CONSOLIDATION - UPFRONT COMM",F1054="REVERSE - TOTAL FUNDING"),A1054,"")</f>
        <v/>
      </c>
      <c r="C1054" s="10"/>
      <c r="D1054" s="11"/>
      <c r="E1054" s="11"/>
      <c r="F1054" s="11"/>
      <c r="G1054" s="12"/>
      <c r="H1054" s="13"/>
      <c r="I1054" s="11"/>
      <c r="J1054" s="14" t="str">
        <f aca="false">IF(AND(G1054&lt;&gt;"",H1054&lt;&gt;""),G1054*H1054,"")</f>
        <v/>
      </c>
      <c r="K1054" s="11"/>
      <c r="L1054" s="15"/>
      <c r="M1054" s="15"/>
      <c r="N1054" s="14" t="n">
        <f aca="false">IF(OR(G1054="",M1054=""),0,IF(M1054&gt;100,M1054,G1054*IF(M1054&gt;1,M1054/100,M1054)))</f>
        <v>0</v>
      </c>
      <c r="O1054" s="14" t="str">
        <f aca="false">IF(G1054="","",G1054*IF(L1054="",0,IF(L1054&gt;1,L1054/100,L1054))+N1054)</f>
        <v/>
      </c>
      <c r="P1054" s="11"/>
      <c r="Q1054" s="16" t="str">
        <f aca="false">IF(P1054="","",IFERROR(VLOOKUP(P1054,PARTNERS!$A$2:$B$30,2,0),""))</f>
        <v/>
      </c>
      <c r="R1054" s="17" t="str">
        <f aca="false">IF(O1054="","",IF(OR(P1054="",Q1054=""),0,(O1054-N1054)*IF(Q1054&gt;1,Q1054/100,Q1054)))</f>
        <v/>
      </c>
      <c r="S1054" s="14" t="str">
        <f aca="false">IF(O1054="","",O1054-R1054)</f>
        <v/>
      </c>
      <c r="T1054" s="11"/>
      <c r="U1054" s="18" t="str">
        <f aca="false">IF(T1054="","",IFERROR(VLOOKUP(T1054,REPS!$A$2:$D$40,2,0),""))</f>
        <v/>
      </c>
      <c r="V1054" s="14" t="str">
        <f aca="false">IF(O1054="","",IF(U1054="",0,O1054*IF(U1054&gt;1,U1054/100,U1054)))</f>
        <v/>
      </c>
      <c r="W1054" s="11"/>
      <c r="X1054" s="18" t="str">
        <f aca="false">IF(W1054="","",IFERROR(VLOOKUP(W1054,REPS!$A$2:$D$40,3,0),""))</f>
        <v/>
      </c>
      <c r="Y1054" s="14" t="str">
        <f aca="false">IF(O1054="","",IF(X1054="",0,O1054*IF(X1054&gt;1,X1054/100,X1054)))</f>
        <v/>
      </c>
      <c r="Z1054" s="11"/>
      <c r="AA1054" s="18" t="str">
        <f aca="false">IF(Z1054="","",IFERROR(VLOOKUP(Z1054,REPS!$A$2:$D$40,4,0),""))</f>
        <v/>
      </c>
      <c r="AB1054" s="14" t="str">
        <f aca="false">IF(O1054="","",IF(AA1054="",0,O1054*IF(AA1054&gt;1,AA1054/100,AA1054)))</f>
        <v/>
      </c>
      <c r="AC1054" s="14" t="str">
        <f aca="false">IF(O1054="","",V1054+Y1054+AB1054)</f>
        <v/>
      </c>
      <c r="AD1054" s="19" t="str">
        <f aca="false">IF(O1054="","",O1054-R1054-AC1054)</f>
        <v/>
      </c>
      <c r="AE1054" s="20"/>
      <c r="AF1054" s="10"/>
      <c r="AG1054" s="21" t="n">
        <f aca="false">IF(OR(AE1054="",AE1054=0),0,AE1054*IF(U1054="",0,IF(U1054&gt;1,U1054/100,U1054)))</f>
        <v>0</v>
      </c>
      <c r="AH1054" s="21" t="n">
        <f aca="false">IF(OR(AE1054="",AE1054=0),0,AE1054*IF(X1054="",0,IF(X1054&gt;1,X1054/100,X1054)))</f>
        <v>0</v>
      </c>
      <c r="AI1054" s="21" t="n">
        <f aca="false">IF(OR(AE1054="",AE1054=0),0,AE1054*IF(AA1054="",0,IF(AA1054&gt;1,AA1054/100,AA1054)))</f>
        <v>0</v>
      </c>
      <c r="AJ1054" s="21" t="n">
        <f aca="false">AG1054+AH1054+AI1054</f>
        <v>0</v>
      </c>
      <c r="AK1054" s="21" t="n">
        <f aca="false">IF(OR(AE1054="",AE1054=0),0,AE1054-AJ1054)</f>
        <v>0</v>
      </c>
      <c r="AL1054" s="19" t="str">
        <f aca="false">IF(AD1054="","",AD1054-AK1054)</f>
        <v/>
      </c>
      <c r="AM1054" s="9" t="str">
        <f aca="false">IF(C1054="","","Waiting for payment")</f>
        <v/>
      </c>
      <c r="AN1054" s="10"/>
      <c r="AO1054" s="10"/>
      <c r="AP1054" s="22" t="str">
        <f aca="false">IF(OR(C1054="",I1054="",K1054=""),"",IF(K1054="Monthly",EDATE(C1054,ROUND(I1054*SETTINGS!$I$8,0)),WORKDAY(C1054,ROUND(I1054*SETTINGS!$I$8,0))))</f>
        <v/>
      </c>
      <c r="AQ1054" s="9" t="str">
        <f aca="true">IF(C1054="","",IF(AND(AP1054&lt;&gt;"",TODAY()&gt;=AP1054),"Refi Ready",IF(TODAY()-C1054&gt;=SETTINGS!$I$11,"Prospecting","Performing")))</f>
        <v/>
      </c>
      <c r="AR1054" s="22" t="str">
        <f aca="false">IF(OR(C1054="",I1054="",K1054=""),"",IF(K1054="Monthly",EDATE(C1054,I1054),WORKDAY(C1054,I1054)))</f>
        <v/>
      </c>
      <c r="AS1054" s="11"/>
      <c r="AT1054" s="23" t="str">
        <f aca="true">IF(C1054="","",IF(AM1054="Clawed Back","CLAWED",IF(TODAY()&lt;=C1054+SETTINGS!$I$2,"⚠ AT RISK","SAFE")))</f>
        <v/>
      </c>
      <c r="AU1054" s="11"/>
      <c r="AW1054" s="24" t="n">
        <f aca="false">AW1053+IF(AND(C1054&lt;&gt;"",AO1054&lt;&gt;"",OR('REP COMMISSION'!$B$3="",T1054='REP COMMISSION'!$B$3,W1054='REP COMMISSION'!$B$3,Z1054='REP COMMISSION'!$B$3)),1,0)</f>
        <v>0</v>
      </c>
      <c r="AX1054" s="24" t="n">
        <f aca="false">AX1053+IF(AND(C1054&lt;&gt;"",OR(F1054="LOC - INITIAL",F1054="CONSOLIDATION - UPFRONT COMM",F1054="REVERSE - TOTAL FUNDING")),1,0)</f>
        <v>0</v>
      </c>
    </row>
    <row r="1055" customFormat="false" ht="15" hidden="false" customHeight="false" outlineLevel="0" collapsed="false">
      <c r="A1055" s="25" t="str">
        <f aca="false">IF(C1055&lt;&gt;"","F27-"&amp;COUNT($C$4:C1055),"")</f>
        <v/>
      </c>
      <c r="B1055" s="26" t="str">
        <f aca="false">IF(OR(F1055="LOC - INITIAL",F1055="CONSOLIDATION - UPFRONT COMM",F1055="REVERSE - TOTAL FUNDING"),A1055,"")</f>
        <v/>
      </c>
      <c r="C1055" s="27"/>
      <c r="D1055" s="28"/>
      <c r="E1055" s="28"/>
      <c r="F1055" s="28"/>
      <c r="G1055" s="29"/>
      <c r="H1055" s="30"/>
      <c r="I1055" s="28"/>
      <c r="J1055" s="31" t="str">
        <f aca="false">IF(AND(G1055&lt;&gt;"",H1055&lt;&gt;""),G1055*H1055,"")</f>
        <v/>
      </c>
      <c r="K1055" s="28"/>
      <c r="L1055" s="32"/>
      <c r="M1055" s="32"/>
      <c r="N1055" s="31" t="n">
        <f aca="false">IF(OR(G1055="",M1055=""),0,IF(M1055&gt;100,M1055,G1055*IF(M1055&gt;1,M1055/100,M1055)))</f>
        <v>0</v>
      </c>
      <c r="O1055" s="31" t="str">
        <f aca="false">IF(G1055="","",G1055*IF(L1055="",0,IF(L1055&gt;1,L1055/100,L1055))+N1055)</f>
        <v/>
      </c>
      <c r="P1055" s="28"/>
      <c r="Q1055" s="33" t="str">
        <f aca="false">IF(P1055="","",IFERROR(VLOOKUP(P1055,PARTNERS!$A$2:$B$30,2,0),""))</f>
        <v/>
      </c>
      <c r="R1055" s="17" t="str">
        <f aca="false">IF(O1055="","",IF(OR(P1055="",Q1055=""),0,(O1055-N1055)*IF(Q1055&gt;1,Q1055/100,Q1055)))</f>
        <v/>
      </c>
      <c r="S1055" s="31" t="str">
        <f aca="false">IF(O1055="","",O1055-R1055)</f>
        <v/>
      </c>
      <c r="T1055" s="28"/>
      <c r="U1055" s="34" t="str">
        <f aca="false">IF(T1055="","",IFERROR(VLOOKUP(T1055,REPS!$A$2:$D$40,2,0),""))</f>
        <v/>
      </c>
      <c r="V1055" s="31" t="str">
        <f aca="false">IF(O1055="","",IF(U1055="",0,O1055*IF(U1055&gt;1,U1055/100,U1055)))</f>
        <v/>
      </c>
      <c r="W1055" s="28"/>
      <c r="X1055" s="34" t="str">
        <f aca="false">IF(W1055="","",IFERROR(VLOOKUP(W1055,REPS!$A$2:$D$40,3,0),""))</f>
        <v/>
      </c>
      <c r="Y1055" s="31" t="str">
        <f aca="false">IF(O1055="","",IF(X1055="",0,O1055*IF(X1055&gt;1,X1055/100,X1055)))</f>
        <v/>
      </c>
      <c r="Z1055" s="28"/>
      <c r="AA1055" s="34" t="str">
        <f aca="false">IF(Z1055="","",IFERROR(VLOOKUP(Z1055,REPS!$A$2:$D$40,4,0),""))</f>
        <v/>
      </c>
      <c r="AB1055" s="31" t="str">
        <f aca="false">IF(O1055="","",IF(AA1055="",0,O1055*IF(AA1055&gt;1,AA1055/100,AA1055)))</f>
        <v/>
      </c>
      <c r="AC1055" s="31" t="str">
        <f aca="false">IF(O1055="","",V1055+Y1055+AB1055)</f>
        <v/>
      </c>
      <c r="AD1055" s="19" t="str">
        <f aca="false">IF(O1055="","",O1055-R1055-AC1055)</f>
        <v/>
      </c>
      <c r="AE1055" s="20"/>
      <c r="AF1055" s="27"/>
      <c r="AG1055" s="21" t="n">
        <f aca="false">IF(OR(AE1055="",AE1055=0),0,AE1055*IF(U1055="",0,IF(U1055&gt;1,U1055/100,U1055)))</f>
        <v>0</v>
      </c>
      <c r="AH1055" s="21" t="n">
        <f aca="false">IF(OR(AE1055="",AE1055=0),0,AE1055*IF(X1055="",0,IF(X1055&gt;1,X1055/100,X1055)))</f>
        <v>0</v>
      </c>
      <c r="AI1055" s="21" t="n">
        <f aca="false">IF(OR(AE1055="",AE1055=0),0,AE1055*IF(AA1055="",0,IF(AA1055&gt;1,AA1055/100,AA1055)))</f>
        <v>0</v>
      </c>
      <c r="AJ1055" s="21" t="n">
        <f aca="false">AG1055+AH1055+AI1055</f>
        <v>0</v>
      </c>
      <c r="AK1055" s="21" t="n">
        <f aca="false">IF(OR(AE1055="",AE1055=0),0,AE1055-AJ1055)</f>
        <v>0</v>
      </c>
      <c r="AL1055" s="19" t="str">
        <f aca="false">IF(AD1055="","",AD1055-AK1055)</f>
        <v/>
      </c>
      <c r="AM1055" s="26" t="str">
        <f aca="false">IF(C1055="","","Waiting for payment")</f>
        <v/>
      </c>
      <c r="AN1055" s="27"/>
      <c r="AO1055" s="27"/>
      <c r="AP1055" s="35" t="str">
        <f aca="false">IF(OR(C1055="",I1055="",K1055=""),"",IF(K1055="Monthly",EDATE(C1055,ROUND(I1055*SETTINGS!$I$8,0)),WORKDAY(C1055,ROUND(I1055*SETTINGS!$I$8,0))))</f>
        <v/>
      </c>
      <c r="AQ1055" s="26" t="str">
        <f aca="true">IF(C1055="","",IF(AND(AP1055&lt;&gt;"",TODAY()&gt;=AP1055),"Refi Ready",IF(TODAY()-C1055&gt;=SETTINGS!$I$11,"Prospecting","Performing")))</f>
        <v/>
      </c>
      <c r="AR1055" s="35" t="str">
        <f aca="false">IF(OR(C1055="",I1055="",K1055=""),"",IF(K1055="Monthly",EDATE(C1055,I1055),WORKDAY(C1055,I1055)))</f>
        <v/>
      </c>
      <c r="AS1055" s="28"/>
      <c r="AT1055" s="36" t="str">
        <f aca="true">IF(C1055="","",IF(AM1055="Clawed Back","CLAWED",IF(TODAY()&lt;=C1055+SETTINGS!$I$2,"⚠ AT RISK","SAFE")))</f>
        <v/>
      </c>
      <c r="AU1055" s="28"/>
      <c r="AW1055" s="24" t="n">
        <f aca="false">AW1054+IF(AND(C1055&lt;&gt;"",AO1055&lt;&gt;"",OR('REP COMMISSION'!$B$3="",T1055='REP COMMISSION'!$B$3,W1055='REP COMMISSION'!$B$3,Z1055='REP COMMISSION'!$B$3)),1,0)</f>
        <v>0</v>
      </c>
      <c r="AX1055" s="24" t="n">
        <f aca="false">AX1054+IF(AND(C1055&lt;&gt;"",OR(F1055="LOC - INITIAL",F1055="CONSOLIDATION - UPFRONT COMM",F1055="REVERSE - TOTAL FUNDING")),1,0)</f>
        <v>0</v>
      </c>
    </row>
    <row r="1056" customFormat="false" ht="15" hidden="false" customHeight="false" outlineLevel="0" collapsed="false">
      <c r="A1056" s="8" t="str">
        <f aca="false">IF(C1056&lt;&gt;"","F27-"&amp;COUNT($C$4:C1056),"")</f>
        <v/>
      </c>
      <c r="B1056" s="9" t="str">
        <f aca="false">IF(OR(F1056="LOC - INITIAL",F1056="CONSOLIDATION - UPFRONT COMM",F1056="REVERSE - TOTAL FUNDING"),A1056,"")</f>
        <v/>
      </c>
      <c r="C1056" s="10"/>
      <c r="D1056" s="11"/>
      <c r="E1056" s="11"/>
      <c r="F1056" s="11"/>
      <c r="G1056" s="12"/>
      <c r="H1056" s="13"/>
      <c r="I1056" s="11"/>
      <c r="J1056" s="14" t="str">
        <f aca="false">IF(AND(G1056&lt;&gt;"",H1056&lt;&gt;""),G1056*H1056,"")</f>
        <v/>
      </c>
      <c r="K1056" s="11"/>
      <c r="L1056" s="15"/>
      <c r="M1056" s="15"/>
      <c r="N1056" s="14" t="n">
        <f aca="false">IF(OR(G1056="",M1056=""),0,IF(M1056&gt;100,M1056,G1056*IF(M1056&gt;1,M1056/100,M1056)))</f>
        <v>0</v>
      </c>
      <c r="O1056" s="14" t="str">
        <f aca="false">IF(G1056="","",G1056*IF(L1056="",0,IF(L1056&gt;1,L1056/100,L1056))+N1056)</f>
        <v/>
      </c>
      <c r="P1056" s="11"/>
      <c r="Q1056" s="16" t="str">
        <f aca="false">IF(P1056="","",IFERROR(VLOOKUP(P1056,PARTNERS!$A$2:$B$30,2,0),""))</f>
        <v/>
      </c>
      <c r="R1056" s="17" t="str">
        <f aca="false">IF(O1056="","",IF(OR(P1056="",Q1056=""),0,(O1056-N1056)*IF(Q1056&gt;1,Q1056/100,Q1056)))</f>
        <v/>
      </c>
      <c r="S1056" s="14" t="str">
        <f aca="false">IF(O1056="","",O1056-R1056)</f>
        <v/>
      </c>
      <c r="T1056" s="11"/>
      <c r="U1056" s="18" t="str">
        <f aca="false">IF(T1056="","",IFERROR(VLOOKUP(T1056,REPS!$A$2:$D$40,2,0),""))</f>
        <v/>
      </c>
      <c r="V1056" s="14" t="str">
        <f aca="false">IF(O1056="","",IF(U1056="",0,O1056*IF(U1056&gt;1,U1056/100,U1056)))</f>
        <v/>
      </c>
      <c r="W1056" s="11"/>
      <c r="X1056" s="18" t="str">
        <f aca="false">IF(W1056="","",IFERROR(VLOOKUP(W1056,REPS!$A$2:$D$40,3,0),""))</f>
        <v/>
      </c>
      <c r="Y1056" s="14" t="str">
        <f aca="false">IF(O1056="","",IF(X1056="",0,O1056*IF(X1056&gt;1,X1056/100,X1056)))</f>
        <v/>
      </c>
      <c r="Z1056" s="11"/>
      <c r="AA1056" s="18" t="str">
        <f aca="false">IF(Z1056="","",IFERROR(VLOOKUP(Z1056,REPS!$A$2:$D$40,4,0),""))</f>
        <v/>
      </c>
      <c r="AB1056" s="14" t="str">
        <f aca="false">IF(O1056="","",IF(AA1056="",0,O1056*IF(AA1056&gt;1,AA1056/100,AA1056)))</f>
        <v/>
      </c>
      <c r="AC1056" s="14" t="str">
        <f aca="false">IF(O1056="","",V1056+Y1056+AB1056)</f>
        <v/>
      </c>
      <c r="AD1056" s="19" t="str">
        <f aca="false">IF(O1056="","",O1056-R1056-AC1056)</f>
        <v/>
      </c>
      <c r="AE1056" s="20"/>
      <c r="AF1056" s="10"/>
      <c r="AG1056" s="21" t="n">
        <f aca="false">IF(OR(AE1056="",AE1056=0),0,AE1056*IF(U1056="",0,IF(U1056&gt;1,U1056/100,U1056)))</f>
        <v>0</v>
      </c>
      <c r="AH1056" s="21" t="n">
        <f aca="false">IF(OR(AE1056="",AE1056=0),0,AE1056*IF(X1056="",0,IF(X1056&gt;1,X1056/100,X1056)))</f>
        <v>0</v>
      </c>
      <c r="AI1056" s="21" t="n">
        <f aca="false">IF(OR(AE1056="",AE1056=0),0,AE1056*IF(AA1056="",0,IF(AA1056&gt;1,AA1056/100,AA1056)))</f>
        <v>0</v>
      </c>
      <c r="AJ1056" s="21" t="n">
        <f aca="false">AG1056+AH1056+AI1056</f>
        <v>0</v>
      </c>
      <c r="AK1056" s="21" t="n">
        <f aca="false">IF(OR(AE1056="",AE1056=0),0,AE1056-AJ1056)</f>
        <v>0</v>
      </c>
      <c r="AL1056" s="19" t="str">
        <f aca="false">IF(AD1056="","",AD1056-AK1056)</f>
        <v/>
      </c>
      <c r="AM1056" s="9" t="str">
        <f aca="false">IF(C1056="","","Waiting for payment")</f>
        <v/>
      </c>
      <c r="AN1056" s="10"/>
      <c r="AO1056" s="10"/>
      <c r="AP1056" s="22" t="str">
        <f aca="false">IF(OR(C1056="",I1056="",K1056=""),"",IF(K1056="Monthly",EDATE(C1056,ROUND(I1056*SETTINGS!$I$8,0)),WORKDAY(C1056,ROUND(I1056*SETTINGS!$I$8,0))))</f>
        <v/>
      </c>
      <c r="AQ1056" s="9" t="str">
        <f aca="true">IF(C1056="","",IF(AND(AP1056&lt;&gt;"",TODAY()&gt;=AP1056),"Refi Ready",IF(TODAY()-C1056&gt;=SETTINGS!$I$11,"Prospecting","Performing")))</f>
        <v/>
      </c>
      <c r="AR1056" s="22" t="str">
        <f aca="false">IF(OR(C1056="",I1056="",K1056=""),"",IF(K1056="Monthly",EDATE(C1056,I1056),WORKDAY(C1056,I1056)))</f>
        <v/>
      </c>
      <c r="AS1056" s="11"/>
      <c r="AT1056" s="23" t="str">
        <f aca="true">IF(C1056="","",IF(AM1056="Clawed Back","CLAWED",IF(TODAY()&lt;=C1056+SETTINGS!$I$2,"⚠ AT RISK","SAFE")))</f>
        <v/>
      </c>
      <c r="AU1056" s="11"/>
      <c r="AW1056" s="24" t="n">
        <f aca="false">AW1055+IF(AND(C1056&lt;&gt;"",AO1056&lt;&gt;"",OR('REP COMMISSION'!$B$3="",T1056='REP COMMISSION'!$B$3,W1056='REP COMMISSION'!$B$3,Z1056='REP COMMISSION'!$B$3)),1,0)</f>
        <v>0</v>
      </c>
      <c r="AX1056" s="24" t="n">
        <f aca="false">AX1055+IF(AND(C1056&lt;&gt;"",OR(F1056="LOC - INITIAL",F1056="CONSOLIDATION - UPFRONT COMM",F1056="REVERSE - TOTAL FUNDING")),1,0)</f>
        <v>0</v>
      </c>
    </row>
    <row r="1057" customFormat="false" ht="15" hidden="false" customHeight="false" outlineLevel="0" collapsed="false">
      <c r="A1057" s="25" t="str">
        <f aca="false">IF(C1057&lt;&gt;"","F27-"&amp;COUNT($C$4:C1057),"")</f>
        <v/>
      </c>
      <c r="B1057" s="26" t="str">
        <f aca="false">IF(OR(F1057="LOC - INITIAL",F1057="CONSOLIDATION - UPFRONT COMM",F1057="REVERSE - TOTAL FUNDING"),A1057,"")</f>
        <v/>
      </c>
      <c r="C1057" s="27"/>
      <c r="D1057" s="28"/>
      <c r="E1057" s="28"/>
      <c r="F1057" s="28"/>
      <c r="G1057" s="29"/>
      <c r="H1057" s="30"/>
      <c r="I1057" s="28"/>
      <c r="J1057" s="31" t="str">
        <f aca="false">IF(AND(G1057&lt;&gt;"",H1057&lt;&gt;""),G1057*H1057,"")</f>
        <v/>
      </c>
      <c r="K1057" s="28"/>
      <c r="L1057" s="32"/>
      <c r="M1057" s="32"/>
      <c r="N1057" s="31" t="n">
        <f aca="false">IF(OR(G1057="",M1057=""),0,IF(M1057&gt;100,M1057,G1057*IF(M1057&gt;1,M1057/100,M1057)))</f>
        <v>0</v>
      </c>
      <c r="O1057" s="31" t="str">
        <f aca="false">IF(G1057="","",G1057*IF(L1057="",0,IF(L1057&gt;1,L1057/100,L1057))+N1057)</f>
        <v/>
      </c>
      <c r="P1057" s="28"/>
      <c r="Q1057" s="33" t="str">
        <f aca="false">IF(P1057="","",IFERROR(VLOOKUP(P1057,PARTNERS!$A$2:$B$30,2,0),""))</f>
        <v/>
      </c>
      <c r="R1057" s="17" t="str">
        <f aca="false">IF(O1057="","",IF(OR(P1057="",Q1057=""),0,(O1057-N1057)*IF(Q1057&gt;1,Q1057/100,Q1057)))</f>
        <v/>
      </c>
      <c r="S1057" s="31" t="str">
        <f aca="false">IF(O1057="","",O1057-R1057)</f>
        <v/>
      </c>
      <c r="T1057" s="28"/>
      <c r="U1057" s="34" t="str">
        <f aca="false">IF(T1057="","",IFERROR(VLOOKUP(T1057,REPS!$A$2:$D$40,2,0),""))</f>
        <v/>
      </c>
      <c r="V1057" s="31" t="str">
        <f aca="false">IF(O1057="","",IF(U1057="",0,O1057*IF(U1057&gt;1,U1057/100,U1057)))</f>
        <v/>
      </c>
      <c r="W1057" s="28"/>
      <c r="X1057" s="34" t="str">
        <f aca="false">IF(W1057="","",IFERROR(VLOOKUP(W1057,REPS!$A$2:$D$40,3,0),""))</f>
        <v/>
      </c>
      <c r="Y1057" s="31" t="str">
        <f aca="false">IF(O1057="","",IF(X1057="",0,O1057*IF(X1057&gt;1,X1057/100,X1057)))</f>
        <v/>
      </c>
      <c r="Z1057" s="28"/>
      <c r="AA1057" s="34" t="str">
        <f aca="false">IF(Z1057="","",IFERROR(VLOOKUP(Z1057,REPS!$A$2:$D$40,4,0),""))</f>
        <v/>
      </c>
      <c r="AB1057" s="31" t="str">
        <f aca="false">IF(O1057="","",IF(AA1057="",0,O1057*IF(AA1057&gt;1,AA1057/100,AA1057)))</f>
        <v/>
      </c>
      <c r="AC1057" s="31" t="str">
        <f aca="false">IF(O1057="","",V1057+Y1057+AB1057)</f>
        <v/>
      </c>
      <c r="AD1057" s="19" t="str">
        <f aca="false">IF(O1057="","",O1057-R1057-AC1057)</f>
        <v/>
      </c>
      <c r="AE1057" s="20"/>
      <c r="AF1057" s="27"/>
      <c r="AG1057" s="21" t="n">
        <f aca="false">IF(OR(AE1057="",AE1057=0),0,AE1057*IF(U1057="",0,IF(U1057&gt;1,U1057/100,U1057)))</f>
        <v>0</v>
      </c>
      <c r="AH1057" s="21" t="n">
        <f aca="false">IF(OR(AE1057="",AE1057=0),0,AE1057*IF(X1057="",0,IF(X1057&gt;1,X1057/100,X1057)))</f>
        <v>0</v>
      </c>
      <c r="AI1057" s="21" t="n">
        <f aca="false">IF(OR(AE1057="",AE1057=0),0,AE1057*IF(AA1057="",0,IF(AA1057&gt;1,AA1057/100,AA1057)))</f>
        <v>0</v>
      </c>
      <c r="AJ1057" s="21" t="n">
        <f aca="false">AG1057+AH1057+AI1057</f>
        <v>0</v>
      </c>
      <c r="AK1057" s="21" t="n">
        <f aca="false">IF(OR(AE1057="",AE1057=0),0,AE1057-AJ1057)</f>
        <v>0</v>
      </c>
      <c r="AL1057" s="19" t="str">
        <f aca="false">IF(AD1057="","",AD1057-AK1057)</f>
        <v/>
      </c>
      <c r="AM1057" s="26" t="str">
        <f aca="false">IF(C1057="","","Waiting for payment")</f>
        <v/>
      </c>
      <c r="AN1057" s="27"/>
      <c r="AO1057" s="27"/>
      <c r="AP1057" s="35" t="str">
        <f aca="false">IF(OR(C1057="",I1057="",K1057=""),"",IF(K1057="Monthly",EDATE(C1057,ROUND(I1057*SETTINGS!$I$8,0)),WORKDAY(C1057,ROUND(I1057*SETTINGS!$I$8,0))))</f>
        <v/>
      </c>
      <c r="AQ1057" s="26" t="str">
        <f aca="true">IF(C1057="","",IF(AND(AP1057&lt;&gt;"",TODAY()&gt;=AP1057),"Refi Ready",IF(TODAY()-C1057&gt;=SETTINGS!$I$11,"Prospecting","Performing")))</f>
        <v/>
      </c>
      <c r="AR1057" s="35" t="str">
        <f aca="false">IF(OR(C1057="",I1057="",K1057=""),"",IF(K1057="Monthly",EDATE(C1057,I1057),WORKDAY(C1057,I1057)))</f>
        <v/>
      </c>
      <c r="AS1057" s="28"/>
      <c r="AT1057" s="36" t="str">
        <f aca="true">IF(C1057="","",IF(AM1057="Clawed Back","CLAWED",IF(TODAY()&lt;=C1057+SETTINGS!$I$2,"⚠ AT RISK","SAFE")))</f>
        <v/>
      </c>
      <c r="AU1057" s="28"/>
      <c r="AW1057" s="24" t="n">
        <f aca="false">AW1056+IF(AND(C1057&lt;&gt;"",AO1057&lt;&gt;"",OR('REP COMMISSION'!$B$3="",T1057='REP COMMISSION'!$B$3,W1057='REP COMMISSION'!$B$3,Z1057='REP COMMISSION'!$B$3)),1,0)</f>
        <v>0</v>
      </c>
      <c r="AX1057" s="24" t="n">
        <f aca="false">AX1056+IF(AND(C1057&lt;&gt;"",OR(F1057="LOC - INITIAL",F1057="CONSOLIDATION - UPFRONT COMM",F1057="REVERSE - TOTAL FUNDING")),1,0)</f>
        <v>0</v>
      </c>
    </row>
    <row r="1058" customFormat="false" ht="15" hidden="false" customHeight="false" outlineLevel="0" collapsed="false">
      <c r="A1058" s="8" t="str">
        <f aca="false">IF(C1058&lt;&gt;"","F27-"&amp;COUNT($C$4:C1058),"")</f>
        <v/>
      </c>
      <c r="B1058" s="9" t="str">
        <f aca="false">IF(OR(F1058="LOC - INITIAL",F1058="CONSOLIDATION - UPFRONT COMM",F1058="REVERSE - TOTAL FUNDING"),A1058,"")</f>
        <v/>
      </c>
      <c r="C1058" s="10"/>
      <c r="D1058" s="11"/>
      <c r="E1058" s="11"/>
      <c r="F1058" s="11"/>
      <c r="G1058" s="12"/>
      <c r="H1058" s="13"/>
      <c r="I1058" s="11"/>
      <c r="J1058" s="14" t="str">
        <f aca="false">IF(AND(G1058&lt;&gt;"",H1058&lt;&gt;""),G1058*H1058,"")</f>
        <v/>
      </c>
      <c r="K1058" s="11"/>
      <c r="L1058" s="15"/>
      <c r="M1058" s="15"/>
      <c r="N1058" s="14" t="n">
        <f aca="false">IF(OR(G1058="",M1058=""),0,IF(M1058&gt;100,M1058,G1058*IF(M1058&gt;1,M1058/100,M1058)))</f>
        <v>0</v>
      </c>
      <c r="O1058" s="14" t="str">
        <f aca="false">IF(G1058="","",G1058*IF(L1058="",0,IF(L1058&gt;1,L1058/100,L1058))+N1058)</f>
        <v/>
      </c>
      <c r="P1058" s="11"/>
      <c r="Q1058" s="16" t="str">
        <f aca="false">IF(P1058="","",IFERROR(VLOOKUP(P1058,PARTNERS!$A$2:$B$30,2,0),""))</f>
        <v/>
      </c>
      <c r="R1058" s="17" t="str">
        <f aca="false">IF(O1058="","",IF(OR(P1058="",Q1058=""),0,(O1058-N1058)*IF(Q1058&gt;1,Q1058/100,Q1058)))</f>
        <v/>
      </c>
      <c r="S1058" s="14" t="str">
        <f aca="false">IF(O1058="","",O1058-R1058)</f>
        <v/>
      </c>
      <c r="T1058" s="11"/>
      <c r="U1058" s="18" t="str">
        <f aca="false">IF(T1058="","",IFERROR(VLOOKUP(T1058,REPS!$A$2:$D$40,2,0),""))</f>
        <v/>
      </c>
      <c r="V1058" s="14" t="str">
        <f aca="false">IF(O1058="","",IF(U1058="",0,O1058*IF(U1058&gt;1,U1058/100,U1058)))</f>
        <v/>
      </c>
      <c r="W1058" s="11"/>
      <c r="X1058" s="18" t="str">
        <f aca="false">IF(W1058="","",IFERROR(VLOOKUP(W1058,REPS!$A$2:$D$40,3,0),""))</f>
        <v/>
      </c>
      <c r="Y1058" s="14" t="str">
        <f aca="false">IF(O1058="","",IF(X1058="",0,O1058*IF(X1058&gt;1,X1058/100,X1058)))</f>
        <v/>
      </c>
      <c r="Z1058" s="11"/>
      <c r="AA1058" s="18" t="str">
        <f aca="false">IF(Z1058="","",IFERROR(VLOOKUP(Z1058,REPS!$A$2:$D$40,4,0),""))</f>
        <v/>
      </c>
      <c r="AB1058" s="14" t="str">
        <f aca="false">IF(O1058="","",IF(AA1058="",0,O1058*IF(AA1058&gt;1,AA1058/100,AA1058)))</f>
        <v/>
      </c>
      <c r="AC1058" s="14" t="str">
        <f aca="false">IF(O1058="","",V1058+Y1058+AB1058)</f>
        <v/>
      </c>
      <c r="AD1058" s="19" t="str">
        <f aca="false">IF(O1058="","",O1058-R1058-AC1058)</f>
        <v/>
      </c>
      <c r="AE1058" s="20"/>
      <c r="AF1058" s="10"/>
      <c r="AG1058" s="21" t="n">
        <f aca="false">IF(OR(AE1058="",AE1058=0),0,AE1058*IF(U1058="",0,IF(U1058&gt;1,U1058/100,U1058)))</f>
        <v>0</v>
      </c>
      <c r="AH1058" s="21" t="n">
        <f aca="false">IF(OR(AE1058="",AE1058=0),0,AE1058*IF(X1058="",0,IF(X1058&gt;1,X1058/100,X1058)))</f>
        <v>0</v>
      </c>
      <c r="AI1058" s="21" t="n">
        <f aca="false">IF(OR(AE1058="",AE1058=0),0,AE1058*IF(AA1058="",0,IF(AA1058&gt;1,AA1058/100,AA1058)))</f>
        <v>0</v>
      </c>
      <c r="AJ1058" s="21" t="n">
        <f aca="false">AG1058+AH1058+AI1058</f>
        <v>0</v>
      </c>
      <c r="AK1058" s="21" t="n">
        <f aca="false">IF(OR(AE1058="",AE1058=0),0,AE1058-AJ1058)</f>
        <v>0</v>
      </c>
      <c r="AL1058" s="19" t="str">
        <f aca="false">IF(AD1058="","",AD1058-AK1058)</f>
        <v/>
      </c>
      <c r="AM1058" s="9" t="str">
        <f aca="false">IF(C1058="","","Waiting for payment")</f>
        <v/>
      </c>
      <c r="AN1058" s="10"/>
      <c r="AO1058" s="10"/>
      <c r="AP1058" s="22" t="str">
        <f aca="false">IF(OR(C1058="",I1058="",K1058=""),"",IF(K1058="Monthly",EDATE(C1058,ROUND(I1058*SETTINGS!$I$8,0)),WORKDAY(C1058,ROUND(I1058*SETTINGS!$I$8,0))))</f>
        <v/>
      </c>
      <c r="AQ1058" s="9" t="str">
        <f aca="true">IF(C1058="","",IF(AND(AP1058&lt;&gt;"",TODAY()&gt;=AP1058),"Refi Ready",IF(TODAY()-C1058&gt;=SETTINGS!$I$11,"Prospecting","Performing")))</f>
        <v/>
      </c>
      <c r="AR1058" s="22" t="str">
        <f aca="false">IF(OR(C1058="",I1058="",K1058=""),"",IF(K1058="Monthly",EDATE(C1058,I1058),WORKDAY(C1058,I1058)))</f>
        <v/>
      </c>
      <c r="AS1058" s="11"/>
      <c r="AT1058" s="23" t="str">
        <f aca="true">IF(C1058="","",IF(AM1058="Clawed Back","CLAWED",IF(TODAY()&lt;=C1058+SETTINGS!$I$2,"⚠ AT RISK","SAFE")))</f>
        <v/>
      </c>
      <c r="AU1058" s="11"/>
      <c r="AW1058" s="24" t="n">
        <f aca="false">AW1057+IF(AND(C1058&lt;&gt;"",AO1058&lt;&gt;"",OR('REP COMMISSION'!$B$3="",T1058='REP COMMISSION'!$B$3,W1058='REP COMMISSION'!$B$3,Z1058='REP COMMISSION'!$B$3)),1,0)</f>
        <v>0</v>
      </c>
      <c r="AX1058" s="24" t="n">
        <f aca="false">AX1057+IF(AND(C1058&lt;&gt;"",OR(F1058="LOC - INITIAL",F1058="CONSOLIDATION - UPFRONT COMM",F1058="REVERSE - TOTAL FUNDING")),1,0)</f>
        <v>0</v>
      </c>
    </row>
    <row r="1059" customFormat="false" ht="15" hidden="false" customHeight="false" outlineLevel="0" collapsed="false">
      <c r="A1059" s="25" t="str">
        <f aca="false">IF(C1059&lt;&gt;"","F27-"&amp;COUNT($C$4:C1059),"")</f>
        <v/>
      </c>
      <c r="B1059" s="26" t="str">
        <f aca="false">IF(OR(F1059="LOC - INITIAL",F1059="CONSOLIDATION - UPFRONT COMM",F1059="REVERSE - TOTAL FUNDING"),A1059,"")</f>
        <v/>
      </c>
      <c r="C1059" s="27"/>
      <c r="D1059" s="28"/>
      <c r="E1059" s="28"/>
      <c r="F1059" s="28"/>
      <c r="G1059" s="29"/>
      <c r="H1059" s="30"/>
      <c r="I1059" s="28"/>
      <c r="J1059" s="31" t="str">
        <f aca="false">IF(AND(G1059&lt;&gt;"",H1059&lt;&gt;""),G1059*H1059,"")</f>
        <v/>
      </c>
      <c r="K1059" s="28"/>
      <c r="L1059" s="32"/>
      <c r="M1059" s="32"/>
      <c r="N1059" s="31" t="n">
        <f aca="false">IF(OR(G1059="",M1059=""),0,IF(M1059&gt;100,M1059,G1059*IF(M1059&gt;1,M1059/100,M1059)))</f>
        <v>0</v>
      </c>
      <c r="O1059" s="31" t="str">
        <f aca="false">IF(G1059="","",G1059*IF(L1059="",0,IF(L1059&gt;1,L1059/100,L1059))+N1059)</f>
        <v/>
      </c>
      <c r="P1059" s="28"/>
      <c r="Q1059" s="33" t="str">
        <f aca="false">IF(P1059="","",IFERROR(VLOOKUP(P1059,PARTNERS!$A$2:$B$30,2,0),""))</f>
        <v/>
      </c>
      <c r="R1059" s="17" t="str">
        <f aca="false">IF(O1059="","",IF(OR(P1059="",Q1059=""),0,(O1059-N1059)*IF(Q1059&gt;1,Q1059/100,Q1059)))</f>
        <v/>
      </c>
      <c r="S1059" s="31" t="str">
        <f aca="false">IF(O1059="","",O1059-R1059)</f>
        <v/>
      </c>
      <c r="T1059" s="28"/>
      <c r="U1059" s="34" t="str">
        <f aca="false">IF(T1059="","",IFERROR(VLOOKUP(T1059,REPS!$A$2:$D$40,2,0),""))</f>
        <v/>
      </c>
      <c r="V1059" s="31" t="str">
        <f aca="false">IF(O1059="","",IF(U1059="",0,O1059*IF(U1059&gt;1,U1059/100,U1059)))</f>
        <v/>
      </c>
      <c r="W1059" s="28"/>
      <c r="X1059" s="34" t="str">
        <f aca="false">IF(W1059="","",IFERROR(VLOOKUP(W1059,REPS!$A$2:$D$40,3,0),""))</f>
        <v/>
      </c>
      <c r="Y1059" s="31" t="str">
        <f aca="false">IF(O1059="","",IF(X1059="",0,O1059*IF(X1059&gt;1,X1059/100,X1059)))</f>
        <v/>
      </c>
      <c r="Z1059" s="28"/>
      <c r="AA1059" s="34" t="str">
        <f aca="false">IF(Z1059="","",IFERROR(VLOOKUP(Z1059,REPS!$A$2:$D$40,4,0),""))</f>
        <v/>
      </c>
      <c r="AB1059" s="31" t="str">
        <f aca="false">IF(O1059="","",IF(AA1059="",0,O1059*IF(AA1059&gt;1,AA1059/100,AA1059)))</f>
        <v/>
      </c>
      <c r="AC1059" s="31" t="str">
        <f aca="false">IF(O1059="","",V1059+Y1059+AB1059)</f>
        <v/>
      </c>
      <c r="AD1059" s="19" t="str">
        <f aca="false">IF(O1059="","",O1059-R1059-AC1059)</f>
        <v/>
      </c>
      <c r="AE1059" s="20"/>
      <c r="AF1059" s="27"/>
      <c r="AG1059" s="21" t="n">
        <f aca="false">IF(OR(AE1059="",AE1059=0),0,AE1059*IF(U1059="",0,IF(U1059&gt;1,U1059/100,U1059)))</f>
        <v>0</v>
      </c>
      <c r="AH1059" s="21" t="n">
        <f aca="false">IF(OR(AE1059="",AE1059=0),0,AE1059*IF(X1059="",0,IF(X1059&gt;1,X1059/100,X1059)))</f>
        <v>0</v>
      </c>
      <c r="AI1059" s="21" t="n">
        <f aca="false">IF(OR(AE1059="",AE1059=0),0,AE1059*IF(AA1059="",0,IF(AA1059&gt;1,AA1059/100,AA1059)))</f>
        <v>0</v>
      </c>
      <c r="AJ1059" s="21" t="n">
        <f aca="false">AG1059+AH1059+AI1059</f>
        <v>0</v>
      </c>
      <c r="AK1059" s="21" t="n">
        <f aca="false">IF(OR(AE1059="",AE1059=0),0,AE1059-AJ1059)</f>
        <v>0</v>
      </c>
      <c r="AL1059" s="19" t="str">
        <f aca="false">IF(AD1059="","",AD1059-AK1059)</f>
        <v/>
      </c>
      <c r="AM1059" s="26" t="str">
        <f aca="false">IF(C1059="","","Waiting for payment")</f>
        <v/>
      </c>
      <c r="AN1059" s="27"/>
      <c r="AO1059" s="27"/>
      <c r="AP1059" s="35" t="str">
        <f aca="false">IF(OR(C1059="",I1059="",K1059=""),"",IF(K1059="Monthly",EDATE(C1059,ROUND(I1059*SETTINGS!$I$8,0)),WORKDAY(C1059,ROUND(I1059*SETTINGS!$I$8,0))))</f>
        <v/>
      </c>
      <c r="AQ1059" s="26" t="str">
        <f aca="true">IF(C1059="","",IF(AND(AP1059&lt;&gt;"",TODAY()&gt;=AP1059),"Refi Ready",IF(TODAY()-C1059&gt;=SETTINGS!$I$11,"Prospecting","Performing")))</f>
        <v/>
      </c>
      <c r="AR1059" s="35" t="str">
        <f aca="false">IF(OR(C1059="",I1059="",K1059=""),"",IF(K1059="Monthly",EDATE(C1059,I1059),WORKDAY(C1059,I1059)))</f>
        <v/>
      </c>
      <c r="AS1059" s="28"/>
      <c r="AT1059" s="36" t="str">
        <f aca="true">IF(C1059="","",IF(AM1059="Clawed Back","CLAWED",IF(TODAY()&lt;=C1059+SETTINGS!$I$2,"⚠ AT RISK","SAFE")))</f>
        <v/>
      </c>
      <c r="AU1059" s="28"/>
      <c r="AW1059" s="24" t="n">
        <f aca="false">AW1058+IF(AND(C1059&lt;&gt;"",AO1059&lt;&gt;"",OR('REP COMMISSION'!$B$3="",T1059='REP COMMISSION'!$B$3,W1059='REP COMMISSION'!$B$3,Z1059='REP COMMISSION'!$B$3)),1,0)</f>
        <v>0</v>
      </c>
      <c r="AX1059" s="24" t="n">
        <f aca="false">AX1058+IF(AND(C1059&lt;&gt;"",OR(F1059="LOC - INITIAL",F1059="CONSOLIDATION - UPFRONT COMM",F1059="REVERSE - TOTAL FUNDING")),1,0)</f>
        <v>0</v>
      </c>
    </row>
    <row r="1060" customFormat="false" ht="15" hidden="false" customHeight="false" outlineLevel="0" collapsed="false">
      <c r="A1060" s="8" t="str">
        <f aca="false">IF(C1060&lt;&gt;"","F27-"&amp;COUNT($C$4:C1060),"")</f>
        <v/>
      </c>
      <c r="B1060" s="9" t="str">
        <f aca="false">IF(OR(F1060="LOC - INITIAL",F1060="CONSOLIDATION - UPFRONT COMM",F1060="REVERSE - TOTAL FUNDING"),A1060,"")</f>
        <v/>
      </c>
      <c r="C1060" s="10"/>
      <c r="D1060" s="11"/>
      <c r="E1060" s="11"/>
      <c r="F1060" s="11"/>
      <c r="G1060" s="12"/>
      <c r="H1060" s="13"/>
      <c r="I1060" s="11"/>
      <c r="J1060" s="14" t="str">
        <f aca="false">IF(AND(G1060&lt;&gt;"",H1060&lt;&gt;""),G1060*H1060,"")</f>
        <v/>
      </c>
      <c r="K1060" s="11"/>
      <c r="L1060" s="15"/>
      <c r="M1060" s="15"/>
      <c r="N1060" s="14" t="n">
        <f aca="false">IF(OR(G1060="",M1060=""),0,IF(M1060&gt;100,M1060,G1060*IF(M1060&gt;1,M1060/100,M1060)))</f>
        <v>0</v>
      </c>
      <c r="O1060" s="14" t="str">
        <f aca="false">IF(G1060="","",G1060*IF(L1060="",0,IF(L1060&gt;1,L1060/100,L1060))+N1060)</f>
        <v/>
      </c>
      <c r="P1060" s="11"/>
      <c r="Q1060" s="16" t="str">
        <f aca="false">IF(P1060="","",IFERROR(VLOOKUP(P1060,PARTNERS!$A$2:$B$30,2,0),""))</f>
        <v/>
      </c>
      <c r="R1060" s="17" t="str">
        <f aca="false">IF(O1060="","",IF(OR(P1060="",Q1060=""),0,(O1060-N1060)*IF(Q1060&gt;1,Q1060/100,Q1060)))</f>
        <v/>
      </c>
      <c r="S1060" s="14" t="str">
        <f aca="false">IF(O1060="","",O1060-R1060)</f>
        <v/>
      </c>
      <c r="T1060" s="11"/>
      <c r="U1060" s="18" t="str">
        <f aca="false">IF(T1060="","",IFERROR(VLOOKUP(T1060,REPS!$A$2:$D$40,2,0),""))</f>
        <v/>
      </c>
      <c r="V1060" s="14" t="str">
        <f aca="false">IF(O1060="","",IF(U1060="",0,O1060*IF(U1060&gt;1,U1060/100,U1060)))</f>
        <v/>
      </c>
      <c r="W1060" s="11"/>
      <c r="X1060" s="18" t="str">
        <f aca="false">IF(W1060="","",IFERROR(VLOOKUP(W1060,REPS!$A$2:$D$40,3,0),""))</f>
        <v/>
      </c>
      <c r="Y1060" s="14" t="str">
        <f aca="false">IF(O1060="","",IF(X1060="",0,O1060*IF(X1060&gt;1,X1060/100,X1060)))</f>
        <v/>
      </c>
      <c r="Z1060" s="11"/>
      <c r="AA1060" s="18" t="str">
        <f aca="false">IF(Z1060="","",IFERROR(VLOOKUP(Z1060,REPS!$A$2:$D$40,4,0),""))</f>
        <v/>
      </c>
      <c r="AB1060" s="14" t="str">
        <f aca="false">IF(O1060="","",IF(AA1060="",0,O1060*IF(AA1060&gt;1,AA1060/100,AA1060)))</f>
        <v/>
      </c>
      <c r="AC1060" s="14" t="str">
        <f aca="false">IF(O1060="","",V1060+Y1060+AB1060)</f>
        <v/>
      </c>
      <c r="AD1060" s="19" t="str">
        <f aca="false">IF(O1060="","",O1060-R1060-AC1060)</f>
        <v/>
      </c>
      <c r="AE1060" s="20"/>
      <c r="AF1060" s="10"/>
      <c r="AG1060" s="21" t="n">
        <f aca="false">IF(OR(AE1060="",AE1060=0),0,AE1060*IF(U1060="",0,IF(U1060&gt;1,U1060/100,U1060)))</f>
        <v>0</v>
      </c>
      <c r="AH1060" s="21" t="n">
        <f aca="false">IF(OR(AE1060="",AE1060=0),0,AE1060*IF(X1060="",0,IF(X1060&gt;1,X1060/100,X1060)))</f>
        <v>0</v>
      </c>
      <c r="AI1060" s="21" t="n">
        <f aca="false">IF(OR(AE1060="",AE1060=0),0,AE1060*IF(AA1060="",0,IF(AA1060&gt;1,AA1060/100,AA1060)))</f>
        <v>0</v>
      </c>
      <c r="AJ1060" s="21" t="n">
        <f aca="false">AG1060+AH1060+AI1060</f>
        <v>0</v>
      </c>
      <c r="AK1060" s="21" t="n">
        <f aca="false">IF(OR(AE1060="",AE1060=0),0,AE1060-AJ1060)</f>
        <v>0</v>
      </c>
      <c r="AL1060" s="19" t="str">
        <f aca="false">IF(AD1060="","",AD1060-AK1060)</f>
        <v/>
      </c>
      <c r="AM1060" s="9" t="str">
        <f aca="false">IF(C1060="","","Waiting for payment")</f>
        <v/>
      </c>
      <c r="AN1060" s="10"/>
      <c r="AO1060" s="10"/>
      <c r="AP1060" s="22" t="str">
        <f aca="false">IF(OR(C1060="",I1060="",K1060=""),"",IF(K1060="Monthly",EDATE(C1060,ROUND(I1060*SETTINGS!$I$8,0)),WORKDAY(C1060,ROUND(I1060*SETTINGS!$I$8,0))))</f>
        <v/>
      </c>
      <c r="AQ1060" s="9" t="str">
        <f aca="true">IF(C1060="","",IF(AND(AP1060&lt;&gt;"",TODAY()&gt;=AP1060),"Refi Ready",IF(TODAY()-C1060&gt;=SETTINGS!$I$11,"Prospecting","Performing")))</f>
        <v/>
      </c>
      <c r="AR1060" s="22" t="str">
        <f aca="false">IF(OR(C1060="",I1060="",K1060=""),"",IF(K1060="Monthly",EDATE(C1060,I1060),WORKDAY(C1060,I1060)))</f>
        <v/>
      </c>
      <c r="AS1060" s="11"/>
      <c r="AT1060" s="23" t="str">
        <f aca="true">IF(C1060="","",IF(AM1060="Clawed Back","CLAWED",IF(TODAY()&lt;=C1060+SETTINGS!$I$2,"⚠ AT RISK","SAFE")))</f>
        <v/>
      </c>
      <c r="AU1060" s="11"/>
      <c r="AW1060" s="24" t="n">
        <f aca="false">AW1059+IF(AND(C1060&lt;&gt;"",AO1060&lt;&gt;"",OR('REP COMMISSION'!$B$3="",T1060='REP COMMISSION'!$B$3,W1060='REP COMMISSION'!$B$3,Z1060='REP COMMISSION'!$B$3)),1,0)</f>
        <v>0</v>
      </c>
      <c r="AX1060" s="24" t="n">
        <f aca="false">AX1059+IF(AND(C1060&lt;&gt;"",OR(F1060="LOC - INITIAL",F1060="CONSOLIDATION - UPFRONT COMM",F1060="REVERSE - TOTAL FUNDING")),1,0)</f>
        <v>0</v>
      </c>
    </row>
    <row r="1061" customFormat="false" ht="15" hidden="false" customHeight="false" outlineLevel="0" collapsed="false">
      <c r="A1061" s="25" t="str">
        <f aca="false">IF(C1061&lt;&gt;"","F27-"&amp;COUNT($C$4:C1061),"")</f>
        <v/>
      </c>
      <c r="B1061" s="26" t="str">
        <f aca="false">IF(OR(F1061="LOC - INITIAL",F1061="CONSOLIDATION - UPFRONT COMM",F1061="REVERSE - TOTAL FUNDING"),A1061,"")</f>
        <v/>
      </c>
      <c r="C1061" s="27"/>
      <c r="D1061" s="28"/>
      <c r="E1061" s="28"/>
      <c r="F1061" s="28"/>
      <c r="G1061" s="29"/>
      <c r="H1061" s="30"/>
      <c r="I1061" s="28"/>
      <c r="J1061" s="31" t="str">
        <f aca="false">IF(AND(G1061&lt;&gt;"",H1061&lt;&gt;""),G1061*H1061,"")</f>
        <v/>
      </c>
      <c r="K1061" s="28"/>
      <c r="L1061" s="32"/>
      <c r="M1061" s="32"/>
      <c r="N1061" s="31" t="n">
        <f aca="false">IF(OR(G1061="",M1061=""),0,IF(M1061&gt;100,M1061,G1061*IF(M1061&gt;1,M1061/100,M1061)))</f>
        <v>0</v>
      </c>
      <c r="O1061" s="31" t="str">
        <f aca="false">IF(G1061="","",G1061*IF(L1061="",0,IF(L1061&gt;1,L1061/100,L1061))+N1061)</f>
        <v/>
      </c>
      <c r="P1061" s="28"/>
      <c r="Q1061" s="33" t="str">
        <f aca="false">IF(P1061="","",IFERROR(VLOOKUP(P1061,PARTNERS!$A$2:$B$30,2,0),""))</f>
        <v/>
      </c>
      <c r="R1061" s="17" t="str">
        <f aca="false">IF(O1061="","",IF(OR(P1061="",Q1061=""),0,(O1061-N1061)*IF(Q1061&gt;1,Q1061/100,Q1061)))</f>
        <v/>
      </c>
      <c r="S1061" s="31" t="str">
        <f aca="false">IF(O1061="","",O1061-R1061)</f>
        <v/>
      </c>
      <c r="T1061" s="28"/>
      <c r="U1061" s="34" t="str">
        <f aca="false">IF(T1061="","",IFERROR(VLOOKUP(T1061,REPS!$A$2:$D$40,2,0),""))</f>
        <v/>
      </c>
      <c r="V1061" s="31" t="str">
        <f aca="false">IF(O1061="","",IF(U1061="",0,O1061*IF(U1061&gt;1,U1061/100,U1061)))</f>
        <v/>
      </c>
      <c r="W1061" s="28"/>
      <c r="X1061" s="34" t="str">
        <f aca="false">IF(W1061="","",IFERROR(VLOOKUP(W1061,REPS!$A$2:$D$40,3,0),""))</f>
        <v/>
      </c>
      <c r="Y1061" s="31" t="str">
        <f aca="false">IF(O1061="","",IF(X1061="",0,O1061*IF(X1061&gt;1,X1061/100,X1061)))</f>
        <v/>
      </c>
      <c r="Z1061" s="28"/>
      <c r="AA1061" s="34" t="str">
        <f aca="false">IF(Z1061="","",IFERROR(VLOOKUP(Z1061,REPS!$A$2:$D$40,4,0),""))</f>
        <v/>
      </c>
      <c r="AB1061" s="31" t="str">
        <f aca="false">IF(O1061="","",IF(AA1061="",0,O1061*IF(AA1061&gt;1,AA1061/100,AA1061)))</f>
        <v/>
      </c>
      <c r="AC1061" s="31" t="str">
        <f aca="false">IF(O1061="","",V1061+Y1061+AB1061)</f>
        <v/>
      </c>
      <c r="AD1061" s="19" t="str">
        <f aca="false">IF(O1061="","",O1061-R1061-AC1061)</f>
        <v/>
      </c>
      <c r="AE1061" s="20"/>
      <c r="AF1061" s="27"/>
      <c r="AG1061" s="21" t="n">
        <f aca="false">IF(OR(AE1061="",AE1061=0),0,AE1061*IF(U1061="",0,IF(U1061&gt;1,U1061/100,U1061)))</f>
        <v>0</v>
      </c>
      <c r="AH1061" s="21" t="n">
        <f aca="false">IF(OR(AE1061="",AE1061=0),0,AE1061*IF(X1061="",0,IF(X1061&gt;1,X1061/100,X1061)))</f>
        <v>0</v>
      </c>
      <c r="AI1061" s="21" t="n">
        <f aca="false">IF(OR(AE1061="",AE1061=0),0,AE1061*IF(AA1061="",0,IF(AA1061&gt;1,AA1061/100,AA1061)))</f>
        <v>0</v>
      </c>
      <c r="AJ1061" s="21" t="n">
        <f aca="false">AG1061+AH1061+AI1061</f>
        <v>0</v>
      </c>
      <c r="AK1061" s="21" t="n">
        <f aca="false">IF(OR(AE1061="",AE1061=0),0,AE1061-AJ1061)</f>
        <v>0</v>
      </c>
      <c r="AL1061" s="19" t="str">
        <f aca="false">IF(AD1061="","",AD1061-AK1061)</f>
        <v/>
      </c>
      <c r="AM1061" s="26" t="str">
        <f aca="false">IF(C1061="","","Waiting for payment")</f>
        <v/>
      </c>
      <c r="AN1061" s="27"/>
      <c r="AO1061" s="27"/>
      <c r="AP1061" s="35" t="str">
        <f aca="false">IF(OR(C1061="",I1061="",K1061=""),"",IF(K1061="Monthly",EDATE(C1061,ROUND(I1061*SETTINGS!$I$8,0)),WORKDAY(C1061,ROUND(I1061*SETTINGS!$I$8,0))))</f>
        <v/>
      </c>
      <c r="AQ1061" s="26" t="str">
        <f aca="true">IF(C1061="","",IF(AND(AP1061&lt;&gt;"",TODAY()&gt;=AP1061),"Refi Ready",IF(TODAY()-C1061&gt;=SETTINGS!$I$11,"Prospecting","Performing")))</f>
        <v/>
      </c>
      <c r="AR1061" s="35" t="str">
        <f aca="false">IF(OR(C1061="",I1061="",K1061=""),"",IF(K1061="Monthly",EDATE(C1061,I1061),WORKDAY(C1061,I1061)))</f>
        <v/>
      </c>
      <c r="AS1061" s="28"/>
      <c r="AT1061" s="36" t="str">
        <f aca="true">IF(C1061="","",IF(AM1061="Clawed Back","CLAWED",IF(TODAY()&lt;=C1061+SETTINGS!$I$2,"⚠ AT RISK","SAFE")))</f>
        <v/>
      </c>
      <c r="AU1061" s="28"/>
      <c r="AW1061" s="24" t="n">
        <f aca="false">AW1060+IF(AND(C1061&lt;&gt;"",AO1061&lt;&gt;"",OR('REP COMMISSION'!$B$3="",T1061='REP COMMISSION'!$B$3,W1061='REP COMMISSION'!$B$3,Z1061='REP COMMISSION'!$B$3)),1,0)</f>
        <v>0</v>
      </c>
      <c r="AX1061" s="24" t="n">
        <f aca="false">AX1060+IF(AND(C1061&lt;&gt;"",OR(F1061="LOC - INITIAL",F1061="CONSOLIDATION - UPFRONT COMM",F1061="REVERSE - TOTAL FUNDING")),1,0)</f>
        <v>0</v>
      </c>
    </row>
    <row r="1062" customFormat="false" ht="15" hidden="false" customHeight="false" outlineLevel="0" collapsed="false">
      <c r="A1062" s="8" t="str">
        <f aca="false">IF(C1062&lt;&gt;"","F27-"&amp;COUNT($C$4:C1062),"")</f>
        <v/>
      </c>
      <c r="B1062" s="9" t="str">
        <f aca="false">IF(OR(F1062="LOC - INITIAL",F1062="CONSOLIDATION - UPFRONT COMM",F1062="REVERSE - TOTAL FUNDING"),A1062,"")</f>
        <v/>
      </c>
      <c r="C1062" s="10"/>
      <c r="D1062" s="11"/>
      <c r="E1062" s="11"/>
      <c r="F1062" s="11"/>
      <c r="G1062" s="12"/>
      <c r="H1062" s="13"/>
      <c r="I1062" s="11"/>
      <c r="J1062" s="14" t="str">
        <f aca="false">IF(AND(G1062&lt;&gt;"",H1062&lt;&gt;""),G1062*H1062,"")</f>
        <v/>
      </c>
      <c r="K1062" s="11"/>
      <c r="L1062" s="15"/>
      <c r="M1062" s="15"/>
      <c r="N1062" s="14" t="n">
        <f aca="false">IF(OR(G1062="",M1062=""),0,IF(M1062&gt;100,M1062,G1062*IF(M1062&gt;1,M1062/100,M1062)))</f>
        <v>0</v>
      </c>
      <c r="O1062" s="14" t="str">
        <f aca="false">IF(G1062="","",G1062*IF(L1062="",0,IF(L1062&gt;1,L1062/100,L1062))+N1062)</f>
        <v/>
      </c>
      <c r="P1062" s="11"/>
      <c r="Q1062" s="16" t="str">
        <f aca="false">IF(P1062="","",IFERROR(VLOOKUP(P1062,PARTNERS!$A$2:$B$30,2,0),""))</f>
        <v/>
      </c>
      <c r="R1062" s="17" t="str">
        <f aca="false">IF(O1062="","",IF(OR(P1062="",Q1062=""),0,(O1062-N1062)*IF(Q1062&gt;1,Q1062/100,Q1062)))</f>
        <v/>
      </c>
      <c r="S1062" s="14" t="str">
        <f aca="false">IF(O1062="","",O1062-R1062)</f>
        <v/>
      </c>
      <c r="T1062" s="11"/>
      <c r="U1062" s="18" t="str">
        <f aca="false">IF(T1062="","",IFERROR(VLOOKUP(T1062,REPS!$A$2:$D$40,2,0),""))</f>
        <v/>
      </c>
      <c r="V1062" s="14" t="str">
        <f aca="false">IF(O1062="","",IF(U1062="",0,O1062*IF(U1062&gt;1,U1062/100,U1062)))</f>
        <v/>
      </c>
      <c r="W1062" s="11"/>
      <c r="X1062" s="18" t="str">
        <f aca="false">IF(W1062="","",IFERROR(VLOOKUP(W1062,REPS!$A$2:$D$40,3,0),""))</f>
        <v/>
      </c>
      <c r="Y1062" s="14" t="str">
        <f aca="false">IF(O1062="","",IF(X1062="",0,O1062*IF(X1062&gt;1,X1062/100,X1062)))</f>
        <v/>
      </c>
      <c r="Z1062" s="11"/>
      <c r="AA1062" s="18" t="str">
        <f aca="false">IF(Z1062="","",IFERROR(VLOOKUP(Z1062,REPS!$A$2:$D$40,4,0),""))</f>
        <v/>
      </c>
      <c r="AB1062" s="14" t="str">
        <f aca="false">IF(O1062="","",IF(AA1062="",0,O1062*IF(AA1062&gt;1,AA1062/100,AA1062)))</f>
        <v/>
      </c>
      <c r="AC1062" s="14" t="str">
        <f aca="false">IF(O1062="","",V1062+Y1062+AB1062)</f>
        <v/>
      </c>
      <c r="AD1062" s="19" t="str">
        <f aca="false">IF(O1062="","",O1062-R1062-AC1062)</f>
        <v/>
      </c>
      <c r="AE1062" s="20"/>
      <c r="AF1062" s="10"/>
      <c r="AG1062" s="21" t="n">
        <f aca="false">IF(OR(AE1062="",AE1062=0),0,AE1062*IF(U1062="",0,IF(U1062&gt;1,U1062/100,U1062)))</f>
        <v>0</v>
      </c>
      <c r="AH1062" s="21" t="n">
        <f aca="false">IF(OR(AE1062="",AE1062=0),0,AE1062*IF(X1062="",0,IF(X1062&gt;1,X1062/100,X1062)))</f>
        <v>0</v>
      </c>
      <c r="AI1062" s="21" t="n">
        <f aca="false">IF(OR(AE1062="",AE1062=0),0,AE1062*IF(AA1062="",0,IF(AA1062&gt;1,AA1062/100,AA1062)))</f>
        <v>0</v>
      </c>
      <c r="AJ1062" s="21" t="n">
        <f aca="false">AG1062+AH1062+AI1062</f>
        <v>0</v>
      </c>
      <c r="AK1062" s="21" t="n">
        <f aca="false">IF(OR(AE1062="",AE1062=0),0,AE1062-AJ1062)</f>
        <v>0</v>
      </c>
      <c r="AL1062" s="19" t="str">
        <f aca="false">IF(AD1062="","",AD1062-AK1062)</f>
        <v/>
      </c>
      <c r="AM1062" s="9" t="str">
        <f aca="false">IF(C1062="","","Waiting for payment")</f>
        <v/>
      </c>
      <c r="AN1062" s="10"/>
      <c r="AO1062" s="10"/>
      <c r="AP1062" s="22" t="str">
        <f aca="false">IF(OR(C1062="",I1062="",K1062=""),"",IF(K1062="Monthly",EDATE(C1062,ROUND(I1062*SETTINGS!$I$8,0)),WORKDAY(C1062,ROUND(I1062*SETTINGS!$I$8,0))))</f>
        <v/>
      </c>
      <c r="AQ1062" s="9" t="str">
        <f aca="true">IF(C1062="","",IF(AND(AP1062&lt;&gt;"",TODAY()&gt;=AP1062),"Refi Ready",IF(TODAY()-C1062&gt;=SETTINGS!$I$11,"Prospecting","Performing")))</f>
        <v/>
      </c>
      <c r="AR1062" s="22" t="str">
        <f aca="false">IF(OR(C1062="",I1062="",K1062=""),"",IF(K1062="Monthly",EDATE(C1062,I1062),WORKDAY(C1062,I1062)))</f>
        <v/>
      </c>
      <c r="AS1062" s="11"/>
      <c r="AT1062" s="23" t="str">
        <f aca="true">IF(C1062="","",IF(AM1062="Clawed Back","CLAWED",IF(TODAY()&lt;=C1062+SETTINGS!$I$2,"⚠ AT RISK","SAFE")))</f>
        <v/>
      </c>
      <c r="AU1062" s="11"/>
      <c r="AW1062" s="24" t="n">
        <f aca="false">AW1061+IF(AND(C1062&lt;&gt;"",AO1062&lt;&gt;"",OR('REP COMMISSION'!$B$3="",T1062='REP COMMISSION'!$B$3,W1062='REP COMMISSION'!$B$3,Z1062='REP COMMISSION'!$B$3)),1,0)</f>
        <v>0</v>
      </c>
      <c r="AX1062" s="24" t="n">
        <f aca="false">AX1061+IF(AND(C1062&lt;&gt;"",OR(F1062="LOC - INITIAL",F1062="CONSOLIDATION - UPFRONT COMM",F1062="REVERSE - TOTAL FUNDING")),1,0)</f>
        <v>0</v>
      </c>
    </row>
    <row r="1063" customFormat="false" ht="15" hidden="false" customHeight="false" outlineLevel="0" collapsed="false">
      <c r="A1063" s="25" t="str">
        <f aca="false">IF(C1063&lt;&gt;"","F27-"&amp;COUNT($C$4:C1063),"")</f>
        <v/>
      </c>
      <c r="B1063" s="26" t="str">
        <f aca="false">IF(OR(F1063="LOC - INITIAL",F1063="CONSOLIDATION - UPFRONT COMM",F1063="REVERSE - TOTAL FUNDING"),A1063,"")</f>
        <v/>
      </c>
      <c r="C1063" s="27"/>
      <c r="D1063" s="28"/>
      <c r="E1063" s="28"/>
      <c r="F1063" s="28"/>
      <c r="G1063" s="29"/>
      <c r="H1063" s="30"/>
      <c r="I1063" s="28"/>
      <c r="J1063" s="31" t="str">
        <f aca="false">IF(AND(G1063&lt;&gt;"",H1063&lt;&gt;""),G1063*H1063,"")</f>
        <v/>
      </c>
      <c r="K1063" s="28"/>
      <c r="L1063" s="32"/>
      <c r="M1063" s="32"/>
      <c r="N1063" s="31" t="n">
        <f aca="false">IF(OR(G1063="",M1063=""),0,IF(M1063&gt;100,M1063,G1063*IF(M1063&gt;1,M1063/100,M1063)))</f>
        <v>0</v>
      </c>
      <c r="O1063" s="31" t="str">
        <f aca="false">IF(G1063="","",G1063*IF(L1063="",0,IF(L1063&gt;1,L1063/100,L1063))+N1063)</f>
        <v/>
      </c>
      <c r="P1063" s="28"/>
      <c r="Q1063" s="33" t="str">
        <f aca="false">IF(P1063="","",IFERROR(VLOOKUP(P1063,PARTNERS!$A$2:$B$30,2,0),""))</f>
        <v/>
      </c>
      <c r="R1063" s="17" t="str">
        <f aca="false">IF(O1063="","",IF(OR(P1063="",Q1063=""),0,(O1063-N1063)*IF(Q1063&gt;1,Q1063/100,Q1063)))</f>
        <v/>
      </c>
      <c r="S1063" s="31" t="str">
        <f aca="false">IF(O1063="","",O1063-R1063)</f>
        <v/>
      </c>
      <c r="T1063" s="28"/>
      <c r="U1063" s="34" t="str">
        <f aca="false">IF(T1063="","",IFERROR(VLOOKUP(T1063,REPS!$A$2:$D$40,2,0),""))</f>
        <v/>
      </c>
      <c r="V1063" s="31" t="str">
        <f aca="false">IF(O1063="","",IF(U1063="",0,O1063*IF(U1063&gt;1,U1063/100,U1063)))</f>
        <v/>
      </c>
      <c r="W1063" s="28"/>
      <c r="X1063" s="34" t="str">
        <f aca="false">IF(W1063="","",IFERROR(VLOOKUP(W1063,REPS!$A$2:$D$40,3,0),""))</f>
        <v/>
      </c>
      <c r="Y1063" s="31" t="str">
        <f aca="false">IF(O1063="","",IF(X1063="",0,O1063*IF(X1063&gt;1,X1063/100,X1063)))</f>
        <v/>
      </c>
      <c r="Z1063" s="28"/>
      <c r="AA1063" s="34" t="str">
        <f aca="false">IF(Z1063="","",IFERROR(VLOOKUP(Z1063,REPS!$A$2:$D$40,4,0),""))</f>
        <v/>
      </c>
      <c r="AB1063" s="31" t="str">
        <f aca="false">IF(O1063="","",IF(AA1063="",0,O1063*IF(AA1063&gt;1,AA1063/100,AA1063)))</f>
        <v/>
      </c>
      <c r="AC1063" s="31" t="str">
        <f aca="false">IF(O1063="","",V1063+Y1063+AB1063)</f>
        <v/>
      </c>
      <c r="AD1063" s="19" t="str">
        <f aca="false">IF(O1063="","",O1063-R1063-AC1063)</f>
        <v/>
      </c>
      <c r="AE1063" s="20"/>
      <c r="AF1063" s="27"/>
      <c r="AG1063" s="21" t="n">
        <f aca="false">IF(OR(AE1063="",AE1063=0),0,AE1063*IF(U1063="",0,IF(U1063&gt;1,U1063/100,U1063)))</f>
        <v>0</v>
      </c>
      <c r="AH1063" s="21" t="n">
        <f aca="false">IF(OR(AE1063="",AE1063=0),0,AE1063*IF(X1063="",0,IF(X1063&gt;1,X1063/100,X1063)))</f>
        <v>0</v>
      </c>
      <c r="AI1063" s="21" t="n">
        <f aca="false">IF(OR(AE1063="",AE1063=0),0,AE1063*IF(AA1063="",0,IF(AA1063&gt;1,AA1063/100,AA1063)))</f>
        <v>0</v>
      </c>
      <c r="AJ1063" s="21" t="n">
        <f aca="false">AG1063+AH1063+AI1063</f>
        <v>0</v>
      </c>
      <c r="AK1063" s="21" t="n">
        <f aca="false">IF(OR(AE1063="",AE1063=0),0,AE1063-AJ1063)</f>
        <v>0</v>
      </c>
      <c r="AL1063" s="19" t="str">
        <f aca="false">IF(AD1063="","",AD1063-AK1063)</f>
        <v/>
      </c>
      <c r="AM1063" s="26" t="str">
        <f aca="false">IF(C1063="","","Waiting for payment")</f>
        <v/>
      </c>
      <c r="AN1063" s="27"/>
      <c r="AO1063" s="27"/>
      <c r="AP1063" s="35" t="str">
        <f aca="false">IF(OR(C1063="",I1063="",K1063=""),"",IF(K1063="Monthly",EDATE(C1063,ROUND(I1063*SETTINGS!$I$8,0)),WORKDAY(C1063,ROUND(I1063*SETTINGS!$I$8,0))))</f>
        <v/>
      </c>
      <c r="AQ1063" s="26" t="str">
        <f aca="true">IF(C1063="","",IF(AND(AP1063&lt;&gt;"",TODAY()&gt;=AP1063),"Refi Ready",IF(TODAY()-C1063&gt;=SETTINGS!$I$11,"Prospecting","Performing")))</f>
        <v/>
      </c>
      <c r="AR1063" s="35" t="str">
        <f aca="false">IF(OR(C1063="",I1063="",K1063=""),"",IF(K1063="Monthly",EDATE(C1063,I1063),WORKDAY(C1063,I1063)))</f>
        <v/>
      </c>
      <c r="AS1063" s="28"/>
      <c r="AT1063" s="36" t="str">
        <f aca="true">IF(C1063="","",IF(AM1063="Clawed Back","CLAWED",IF(TODAY()&lt;=C1063+SETTINGS!$I$2,"⚠ AT RISK","SAFE")))</f>
        <v/>
      </c>
      <c r="AU1063" s="28"/>
      <c r="AW1063" s="24" t="n">
        <f aca="false">AW1062+IF(AND(C1063&lt;&gt;"",AO1063&lt;&gt;"",OR('REP COMMISSION'!$B$3="",T1063='REP COMMISSION'!$B$3,W1063='REP COMMISSION'!$B$3,Z1063='REP COMMISSION'!$B$3)),1,0)</f>
        <v>0</v>
      </c>
      <c r="AX1063" s="24" t="n">
        <f aca="false">AX1062+IF(AND(C1063&lt;&gt;"",OR(F1063="LOC - INITIAL",F1063="CONSOLIDATION - UPFRONT COMM",F1063="REVERSE - TOTAL FUNDING")),1,0)</f>
        <v>0</v>
      </c>
    </row>
    <row r="1064" customFormat="false" ht="15" hidden="false" customHeight="false" outlineLevel="0" collapsed="false">
      <c r="A1064" s="8" t="str">
        <f aca="false">IF(C1064&lt;&gt;"","F27-"&amp;COUNT($C$4:C1064),"")</f>
        <v/>
      </c>
      <c r="B1064" s="9" t="str">
        <f aca="false">IF(OR(F1064="LOC - INITIAL",F1064="CONSOLIDATION - UPFRONT COMM",F1064="REVERSE - TOTAL FUNDING"),A1064,"")</f>
        <v/>
      </c>
      <c r="C1064" s="10"/>
      <c r="D1064" s="11"/>
      <c r="E1064" s="11"/>
      <c r="F1064" s="11"/>
      <c r="G1064" s="12"/>
      <c r="H1064" s="13"/>
      <c r="I1064" s="11"/>
      <c r="J1064" s="14" t="str">
        <f aca="false">IF(AND(G1064&lt;&gt;"",H1064&lt;&gt;""),G1064*H1064,"")</f>
        <v/>
      </c>
      <c r="K1064" s="11"/>
      <c r="L1064" s="15"/>
      <c r="M1064" s="15"/>
      <c r="N1064" s="14" t="n">
        <f aca="false">IF(OR(G1064="",M1064=""),0,IF(M1064&gt;100,M1064,G1064*IF(M1064&gt;1,M1064/100,M1064)))</f>
        <v>0</v>
      </c>
      <c r="O1064" s="14" t="str">
        <f aca="false">IF(G1064="","",G1064*IF(L1064="",0,IF(L1064&gt;1,L1064/100,L1064))+N1064)</f>
        <v/>
      </c>
      <c r="P1064" s="11"/>
      <c r="Q1064" s="16" t="str">
        <f aca="false">IF(P1064="","",IFERROR(VLOOKUP(P1064,PARTNERS!$A$2:$B$30,2,0),""))</f>
        <v/>
      </c>
      <c r="R1064" s="17" t="str">
        <f aca="false">IF(O1064="","",IF(OR(P1064="",Q1064=""),0,(O1064-N1064)*IF(Q1064&gt;1,Q1064/100,Q1064)))</f>
        <v/>
      </c>
      <c r="S1064" s="14" t="str">
        <f aca="false">IF(O1064="","",O1064-R1064)</f>
        <v/>
      </c>
      <c r="T1064" s="11"/>
      <c r="U1064" s="18" t="str">
        <f aca="false">IF(T1064="","",IFERROR(VLOOKUP(T1064,REPS!$A$2:$D$40,2,0),""))</f>
        <v/>
      </c>
      <c r="V1064" s="14" t="str">
        <f aca="false">IF(O1064="","",IF(U1064="",0,O1064*IF(U1064&gt;1,U1064/100,U1064)))</f>
        <v/>
      </c>
      <c r="W1064" s="11"/>
      <c r="X1064" s="18" t="str">
        <f aca="false">IF(W1064="","",IFERROR(VLOOKUP(W1064,REPS!$A$2:$D$40,3,0),""))</f>
        <v/>
      </c>
      <c r="Y1064" s="14" t="str">
        <f aca="false">IF(O1064="","",IF(X1064="",0,O1064*IF(X1064&gt;1,X1064/100,X1064)))</f>
        <v/>
      </c>
      <c r="Z1064" s="11"/>
      <c r="AA1064" s="18" t="str">
        <f aca="false">IF(Z1064="","",IFERROR(VLOOKUP(Z1064,REPS!$A$2:$D$40,4,0),""))</f>
        <v/>
      </c>
      <c r="AB1064" s="14" t="str">
        <f aca="false">IF(O1064="","",IF(AA1064="",0,O1064*IF(AA1064&gt;1,AA1064/100,AA1064)))</f>
        <v/>
      </c>
      <c r="AC1064" s="14" t="str">
        <f aca="false">IF(O1064="","",V1064+Y1064+AB1064)</f>
        <v/>
      </c>
      <c r="AD1064" s="19" t="str">
        <f aca="false">IF(O1064="","",O1064-R1064-AC1064)</f>
        <v/>
      </c>
      <c r="AE1064" s="20"/>
      <c r="AF1064" s="10"/>
      <c r="AG1064" s="21" t="n">
        <f aca="false">IF(OR(AE1064="",AE1064=0),0,AE1064*IF(U1064="",0,IF(U1064&gt;1,U1064/100,U1064)))</f>
        <v>0</v>
      </c>
      <c r="AH1064" s="21" t="n">
        <f aca="false">IF(OR(AE1064="",AE1064=0),0,AE1064*IF(X1064="",0,IF(X1064&gt;1,X1064/100,X1064)))</f>
        <v>0</v>
      </c>
      <c r="AI1064" s="21" t="n">
        <f aca="false">IF(OR(AE1064="",AE1064=0),0,AE1064*IF(AA1064="",0,IF(AA1064&gt;1,AA1064/100,AA1064)))</f>
        <v>0</v>
      </c>
      <c r="AJ1064" s="21" t="n">
        <f aca="false">AG1064+AH1064+AI1064</f>
        <v>0</v>
      </c>
      <c r="AK1064" s="21" t="n">
        <f aca="false">IF(OR(AE1064="",AE1064=0),0,AE1064-AJ1064)</f>
        <v>0</v>
      </c>
      <c r="AL1064" s="19" t="str">
        <f aca="false">IF(AD1064="","",AD1064-AK1064)</f>
        <v/>
      </c>
      <c r="AM1064" s="9" t="str">
        <f aca="false">IF(C1064="","","Waiting for payment")</f>
        <v/>
      </c>
      <c r="AN1064" s="10"/>
      <c r="AO1064" s="10"/>
      <c r="AP1064" s="22" t="str">
        <f aca="false">IF(OR(C1064="",I1064="",K1064=""),"",IF(K1064="Monthly",EDATE(C1064,ROUND(I1064*SETTINGS!$I$8,0)),WORKDAY(C1064,ROUND(I1064*SETTINGS!$I$8,0))))</f>
        <v/>
      </c>
      <c r="AQ1064" s="9" t="str">
        <f aca="true">IF(C1064="","",IF(AND(AP1064&lt;&gt;"",TODAY()&gt;=AP1064),"Refi Ready",IF(TODAY()-C1064&gt;=SETTINGS!$I$11,"Prospecting","Performing")))</f>
        <v/>
      </c>
      <c r="AR1064" s="22" t="str">
        <f aca="false">IF(OR(C1064="",I1064="",K1064=""),"",IF(K1064="Monthly",EDATE(C1064,I1064),WORKDAY(C1064,I1064)))</f>
        <v/>
      </c>
      <c r="AS1064" s="11"/>
      <c r="AT1064" s="23" t="str">
        <f aca="true">IF(C1064="","",IF(AM1064="Clawed Back","CLAWED",IF(TODAY()&lt;=C1064+SETTINGS!$I$2,"⚠ AT RISK","SAFE")))</f>
        <v/>
      </c>
      <c r="AU1064" s="11"/>
      <c r="AW1064" s="24" t="n">
        <f aca="false">AW1063+IF(AND(C1064&lt;&gt;"",AO1064&lt;&gt;"",OR('REP COMMISSION'!$B$3="",T1064='REP COMMISSION'!$B$3,W1064='REP COMMISSION'!$B$3,Z1064='REP COMMISSION'!$B$3)),1,0)</f>
        <v>0</v>
      </c>
      <c r="AX1064" s="24" t="n">
        <f aca="false">AX1063+IF(AND(C1064&lt;&gt;"",OR(F1064="LOC - INITIAL",F1064="CONSOLIDATION - UPFRONT COMM",F1064="REVERSE - TOTAL FUNDING")),1,0)</f>
        <v>0</v>
      </c>
    </row>
    <row r="1065" customFormat="false" ht="15" hidden="false" customHeight="false" outlineLevel="0" collapsed="false">
      <c r="A1065" s="25" t="str">
        <f aca="false">IF(C1065&lt;&gt;"","F27-"&amp;COUNT($C$4:C1065),"")</f>
        <v/>
      </c>
      <c r="B1065" s="26" t="str">
        <f aca="false">IF(OR(F1065="LOC - INITIAL",F1065="CONSOLIDATION - UPFRONT COMM",F1065="REVERSE - TOTAL FUNDING"),A1065,"")</f>
        <v/>
      </c>
      <c r="C1065" s="27"/>
      <c r="D1065" s="28"/>
      <c r="E1065" s="28"/>
      <c r="F1065" s="28"/>
      <c r="G1065" s="29"/>
      <c r="H1065" s="30"/>
      <c r="I1065" s="28"/>
      <c r="J1065" s="31" t="str">
        <f aca="false">IF(AND(G1065&lt;&gt;"",H1065&lt;&gt;""),G1065*H1065,"")</f>
        <v/>
      </c>
      <c r="K1065" s="28"/>
      <c r="L1065" s="32"/>
      <c r="M1065" s="32"/>
      <c r="N1065" s="31" t="n">
        <f aca="false">IF(OR(G1065="",M1065=""),0,IF(M1065&gt;100,M1065,G1065*IF(M1065&gt;1,M1065/100,M1065)))</f>
        <v>0</v>
      </c>
      <c r="O1065" s="31" t="str">
        <f aca="false">IF(G1065="","",G1065*IF(L1065="",0,IF(L1065&gt;1,L1065/100,L1065))+N1065)</f>
        <v/>
      </c>
      <c r="P1065" s="28"/>
      <c r="Q1065" s="33" t="str">
        <f aca="false">IF(P1065="","",IFERROR(VLOOKUP(P1065,PARTNERS!$A$2:$B$30,2,0),""))</f>
        <v/>
      </c>
      <c r="R1065" s="17" t="str">
        <f aca="false">IF(O1065="","",IF(OR(P1065="",Q1065=""),0,(O1065-N1065)*IF(Q1065&gt;1,Q1065/100,Q1065)))</f>
        <v/>
      </c>
      <c r="S1065" s="31" t="str">
        <f aca="false">IF(O1065="","",O1065-R1065)</f>
        <v/>
      </c>
      <c r="T1065" s="28"/>
      <c r="U1065" s="34" t="str">
        <f aca="false">IF(T1065="","",IFERROR(VLOOKUP(T1065,REPS!$A$2:$D$40,2,0),""))</f>
        <v/>
      </c>
      <c r="V1065" s="31" t="str">
        <f aca="false">IF(O1065="","",IF(U1065="",0,O1065*IF(U1065&gt;1,U1065/100,U1065)))</f>
        <v/>
      </c>
      <c r="W1065" s="28"/>
      <c r="X1065" s="34" t="str">
        <f aca="false">IF(W1065="","",IFERROR(VLOOKUP(W1065,REPS!$A$2:$D$40,3,0),""))</f>
        <v/>
      </c>
      <c r="Y1065" s="31" t="str">
        <f aca="false">IF(O1065="","",IF(X1065="",0,O1065*IF(X1065&gt;1,X1065/100,X1065)))</f>
        <v/>
      </c>
      <c r="Z1065" s="28"/>
      <c r="AA1065" s="34" t="str">
        <f aca="false">IF(Z1065="","",IFERROR(VLOOKUP(Z1065,REPS!$A$2:$D$40,4,0),""))</f>
        <v/>
      </c>
      <c r="AB1065" s="31" t="str">
        <f aca="false">IF(O1065="","",IF(AA1065="",0,O1065*IF(AA1065&gt;1,AA1065/100,AA1065)))</f>
        <v/>
      </c>
      <c r="AC1065" s="31" t="str">
        <f aca="false">IF(O1065="","",V1065+Y1065+AB1065)</f>
        <v/>
      </c>
      <c r="AD1065" s="19" t="str">
        <f aca="false">IF(O1065="","",O1065-R1065-AC1065)</f>
        <v/>
      </c>
      <c r="AE1065" s="20"/>
      <c r="AF1065" s="27"/>
      <c r="AG1065" s="21" t="n">
        <f aca="false">IF(OR(AE1065="",AE1065=0),0,AE1065*IF(U1065="",0,IF(U1065&gt;1,U1065/100,U1065)))</f>
        <v>0</v>
      </c>
      <c r="AH1065" s="21" t="n">
        <f aca="false">IF(OR(AE1065="",AE1065=0),0,AE1065*IF(X1065="",0,IF(X1065&gt;1,X1065/100,X1065)))</f>
        <v>0</v>
      </c>
      <c r="AI1065" s="21" t="n">
        <f aca="false">IF(OR(AE1065="",AE1065=0),0,AE1065*IF(AA1065="",0,IF(AA1065&gt;1,AA1065/100,AA1065)))</f>
        <v>0</v>
      </c>
      <c r="AJ1065" s="21" t="n">
        <f aca="false">AG1065+AH1065+AI1065</f>
        <v>0</v>
      </c>
      <c r="AK1065" s="21" t="n">
        <f aca="false">IF(OR(AE1065="",AE1065=0),0,AE1065-AJ1065)</f>
        <v>0</v>
      </c>
      <c r="AL1065" s="19" t="str">
        <f aca="false">IF(AD1065="","",AD1065-AK1065)</f>
        <v/>
      </c>
      <c r="AM1065" s="26" t="str">
        <f aca="false">IF(C1065="","","Waiting for payment")</f>
        <v/>
      </c>
      <c r="AN1065" s="27"/>
      <c r="AO1065" s="27"/>
      <c r="AP1065" s="35" t="str">
        <f aca="false">IF(OR(C1065="",I1065="",K1065=""),"",IF(K1065="Monthly",EDATE(C1065,ROUND(I1065*SETTINGS!$I$8,0)),WORKDAY(C1065,ROUND(I1065*SETTINGS!$I$8,0))))</f>
        <v/>
      </c>
      <c r="AQ1065" s="26" t="str">
        <f aca="true">IF(C1065="","",IF(AND(AP1065&lt;&gt;"",TODAY()&gt;=AP1065),"Refi Ready",IF(TODAY()-C1065&gt;=SETTINGS!$I$11,"Prospecting","Performing")))</f>
        <v/>
      </c>
      <c r="AR1065" s="35" t="str">
        <f aca="false">IF(OR(C1065="",I1065="",K1065=""),"",IF(K1065="Monthly",EDATE(C1065,I1065),WORKDAY(C1065,I1065)))</f>
        <v/>
      </c>
      <c r="AS1065" s="28"/>
      <c r="AT1065" s="36" t="str">
        <f aca="true">IF(C1065="","",IF(AM1065="Clawed Back","CLAWED",IF(TODAY()&lt;=C1065+SETTINGS!$I$2,"⚠ AT RISK","SAFE")))</f>
        <v/>
      </c>
      <c r="AU1065" s="28"/>
      <c r="AW1065" s="24" t="n">
        <f aca="false">AW1064+IF(AND(C1065&lt;&gt;"",AO1065&lt;&gt;"",OR('REP COMMISSION'!$B$3="",T1065='REP COMMISSION'!$B$3,W1065='REP COMMISSION'!$B$3,Z1065='REP COMMISSION'!$B$3)),1,0)</f>
        <v>0</v>
      </c>
      <c r="AX1065" s="24" t="n">
        <f aca="false">AX1064+IF(AND(C1065&lt;&gt;"",OR(F1065="LOC - INITIAL",F1065="CONSOLIDATION - UPFRONT COMM",F1065="REVERSE - TOTAL FUNDING")),1,0)</f>
        <v>0</v>
      </c>
    </row>
    <row r="1066" customFormat="false" ht="15" hidden="false" customHeight="false" outlineLevel="0" collapsed="false">
      <c r="A1066" s="8" t="str">
        <f aca="false">IF(C1066&lt;&gt;"","F27-"&amp;COUNT($C$4:C1066),"")</f>
        <v/>
      </c>
      <c r="B1066" s="9" t="str">
        <f aca="false">IF(OR(F1066="LOC - INITIAL",F1066="CONSOLIDATION - UPFRONT COMM",F1066="REVERSE - TOTAL FUNDING"),A1066,"")</f>
        <v/>
      </c>
      <c r="C1066" s="10"/>
      <c r="D1066" s="11"/>
      <c r="E1066" s="11"/>
      <c r="F1066" s="11"/>
      <c r="G1066" s="12"/>
      <c r="H1066" s="13"/>
      <c r="I1066" s="11"/>
      <c r="J1066" s="14" t="str">
        <f aca="false">IF(AND(G1066&lt;&gt;"",H1066&lt;&gt;""),G1066*H1066,"")</f>
        <v/>
      </c>
      <c r="K1066" s="11"/>
      <c r="L1066" s="15"/>
      <c r="M1066" s="15"/>
      <c r="N1066" s="14" t="n">
        <f aca="false">IF(OR(G1066="",M1066=""),0,IF(M1066&gt;100,M1066,G1066*IF(M1066&gt;1,M1066/100,M1066)))</f>
        <v>0</v>
      </c>
      <c r="O1066" s="14" t="str">
        <f aca="false">IF(G1066="","",G1066*IF(L1066="",0,IF(L1066&gt;1,L1066/100,L1066))+N1066)</f>
        <v/>
      </c>
      <c r="P1066" s="11"/>
      <c r="Q1066" s="16" t="str">
        <f aca="false">IF(P1066="","",IFERROR(VLOOKUP(P1066,PARTNERS!$A$2:$B$30,2,0),""))</f>
        <v/>
      </c>
      <c r="R1066" s="17" t="str">
        <f aca="false">IF(O1066="","",IF(OR(P1066="",Q1066=""),0,(O1066-N1066)*IF(Q1066&gt;1,Q1066/100,Q1066)))</f>
        <v/>
      </c>
      <c r="S1066" s="14" t="str">
        <f aca="false">IF(O1066="","",O1066-R1066)</f>
        <v/>
      </c>
      <c r="T1066" s="11"/>
      <c r="U1066" s="18" t="str">
        <f aca="false">IF(T1066="","",IFERROR(VLOOKUP(T1066,REPS!$A$2:$D$40,2,0),""))</f>
        <v/>
      </c>
      <c r="V1066" s="14" t="str">
        <f aca="false">IF(O1066="","",IF(U1066="",0,O1066*IF(U1066&gt;1,U1066/100,U1066)))</f>
        <v/>
      </c>
      <c r="W1066" s="11"/>
      <c r="X1066" s="18" t="str">
        <f aca="false">IF(W1066="","",IFERROR(VLOOKUP(W1066,REPS!$A$2:$D$40,3,0),""))</f>
        <v/>
      </c>
      <c r="Y1066" s="14" t="str">
        <f aca="false">IF(O1066="","",IF(X1066="",0,O1066*IF(X1066&gt;1,X1066/100,X1066)))</f>
        <v/>
      </c>
      <c r="Z1066" s="11"/>
      <c r="AA1066" s="18" t="str">
        <f aca="false">IF(Z1066="","",IFERROR(VLOOKUP(Z1066,REPS!$A$2:$D$40,4,0),""))</f>
        <v/>
      </c>
      <c r="AB1066" s="14" t="str">
        <f aca="false">IF(O1066="","",IF(AA1066="",0,O1066*IF(AA1066&gt;1,AA1066/100,AA1066)))</f>
        <v/>
      </c>
      <c r="AC1066" s="14" t="str">
        <f aca="false">IF(O1066="","",V1066+Y1066+AB1066)</f>
        <v/>
      </c>
      <c r="AD1066" s="19" t="str">
        <f aca="false">IF(O1066="","",O1066-R1066-AC1066)</f>
        <v/>
      </c>
      <c r="AE1066" s="20"/>
      <c r="AF1066" s="10"/>
      <c r="AG1066" s="21" t="n">
        <f aca="false">IF(OR(AE1066="",AE1066=0),0,AE1066*IF(U1066="",0,IF(U1066&gt;1,U1066/100,U1066)))</f>
        <v>0</v>
      </c>
      <c r="AH1066" s="21" t="n">
        <f aca="false">IF(OR(AE1066="",AE1066=0),0,AE1066*IF(X1066="",0,IF(X1066&gt;1,X1066/100,X1066)))</f>
        <v>0</v>
      </c>
      <c r="AI1066" s="21" t="n">
        <f aca="false">IF(OR(AE1066="",AE1066=0),0,AE1066*IF(AA1066="",0,IF(AA1066&gt;1,AA1066/100,AA1066)))</f>
        <v>0</v>
      </c>
      <c r="AJ1066" s="21" t="n">
        <f aca="false">AG1066+AH1066+AI1066</f>
        <v>0</v>
      </c>
      <c r="AK1066" s="21" t="n">
        <f aca="false">IF(OR(AE1066="",AE1066=0),0,AE1066-AJ1066)</f>
        <v>0</v>
      </c>
      <c r="AL1066" s="19" t="str">
        <f aca="false">IF(AD1066="","",AD1066-AK1066)</f>
        <v/>
      </c>
      <c r="AM1066" s="9" t="str">
        <f aca="false">IF(C1066="","","Waiting for payment")</f>
        <v/>
      </c>
      <c r="AN1066" s="10"/>
      <c r="AO1066" s="10"/>
      <c r="AP1066" s="22" t="str">
        <f aca="false">IF(OR(C1066="",I1066="",K1066=""),"",IF(K1066="Monthly",EDATE(C1066,ROUND(I1066*SETTINGS!$I$8,0)),WORKDAY(C1066,ROUND(I1066*SETTINGS!$I$8,0))))</f>
        <v/>
      </c>
      <c r="AQ1066" s="9" t="str">
        <f aca="true">IF(C1066="","",IF(AND(AP1066&lt;&gt;"",TODAY()&gt;=AP1066),"Refi Ready",IF(TODAY()-C1066&gt;=SETTINGS!$I$11,"Prospecting","Performing")))</f>
        <v/>
      </c>
      <c r="AR1066" s="22" t="str">
        <f aca="false">IF(OR(C1066="",I1066="",K1066=""),"",IF(K1066="Monthly",EDATE(C1066,I1066),WORKDAY(C1066,I1066)))</f>
        <v/>
      </c>
      <c r="AS1066" s="11"/>
      <c r="AT1066" s="23" t="str">
        <f aca="true">IF(C1066="","",IF(AM1066="Clawed Back","CLAWED",IF(TODAY()&lt;=C1066+SETTINGS!$I$2,"⚠ AT RISK","SAFE")))</f>
        <v/>
      </c>
      <c r="AU1066" s="11"/>
      <c r="AW1066" s="24" t="n">
        <f aca="false">AW1065+IF(AND(C1066&lt;&gt;"",AO1066&lt;&gt;"",OR('REP COMMISSION'!$B$3="",T1066='REP COMMISSION'!$B$3,W1066='REP COMMISSION'!$B$3,Z1066='REP COMMISSION'!$B$3)),1,0)</f>
        <v>0</v>
      </c>
      <c r="AX1066" s="24" t="n">
        <f aca="false">AX1065+IF(AND(C1066&lt;&gt;"",OR(F1066="LOC - INITIAL",F1066="CONSOLIDATION - UPFRONT COMM",F1066="REVERSE - TOTAL FUNDING")),1,0)</f>
        <v>0</v>
      </c>
    </row>
    <row r="1067" customFormat="false" ht="15" hidden="false" customHeight="false" outlineLevel="0" collapsed="false">
      <c r="A1067" s="25" t="str">
        <f aca="false">IF(C1067&lt;&gt;"","F27-"&amp;COUNT($C$4:C1067),"")</f>
        <v/>
      </c>
      <c r="B1067" s="26" t="str">
        <f aca="false">IF(OR(F1067="LOC - INITIAL",F1067="CONSOLIDATION - UPFRONT COMM",F1067="REVERSE - TOTAL FUNDING"),A1067,"")</f>
        <v/>
      </c>
      <c r="C1067" s="27"/>
      <c r="D1067" s="28"/>
      <c r="E1067" s="28"/>
      <c r="F1067" s="28"/>
      <c r="G1067" s="29"/>
      <c r="H1067" s="30"/>
      <c r="I1067" s="28"/>
      <c r="J1067" s="31" t="str">
        <f aca="false">IF(AND(G1067&lt;&gt;"",H1067&lt;&gt;""),G1067*H1067,"")</f>
        <v/>
      </c>
      <c r="K1067" s="28"/>
      <c r="L1067" s="32"/>
      <c r="M1067" s="32"/>
      <c r="N1067" s="31" t="n">
        <f aca="false">IF(OR(G1067="",M1067=""),0,IF(M1067&gt;100,M1067,G1067*IF(M1067&gt;1,M1067/100,M1067)))</f>
        <v>0</v>
      </c>
      <c r="O1067" s="31" t="str">
        <f aca="false">IF(G1067="","",G1067*IF(L1067="",0,IF(L1067&gt;1,L1067/100,L1067))+N1067)</f>
        <v/>
      </c>
      <c r="P1067" s="28"/>
      <c r="Q1067" s="33" t="str">
        <f aca="false">IF(P1067="","",IFERROR(VLOOKUP(P1067,PARTNERS!$A$2:$B$30,2,0),""))</f>
        <v/>
      </c>
      <c r="R1067" s="17" t="str">
        <f aca="false">IF(O1067="","",IF(OR(P1067="",Q1067=""),0,(O1067-N1067)*IF(Q1067&gt;1,Q1067/100,Q1067)))</f>
        <v/>
      </c>
      <c r="S1067" s="31" t="str">
        <f aca="false">IF(O1067="","",O1067-R1067)</f>
        <v/>
      </c>
      <c r="T1067" s="28"/>
      <c r="U1067" s="34" t="str">
        <f aca="false">IF(T1067="","",IFERROR(VLOOKUP(T1067,REPS!$A$2:$D$40,2,0),""))</f>
        <v/>
      </c>
      <c r="V1067" s="31" t="str">
        <f aca="false">IF(O1067="","",IF(U1067="",0,O1067*IF(U1067&gt;1,U1067/100,U1067)))</f>
        <v/>
      </c>
      <c r="W1067" s="28"/>
      <c r="X1067" s="34" t="str">
        <f aca="false">IF(W1067="","",IFERROR(VLOOKUP(W1067,REPS!$A$2:$D$40,3,0),""))</f>
        <v/>
      </c>
      <c r="Y1067" s="31" t="str">
        <f aca="false">IF(O1067="","",IF(X1067="",0,O1067*IF(X1067&gt;1,X1067/100,X1067)))</f>
        <v/>
      </c>
      <c r="Z1067" s="28"/>
      <c r="AA1067" s="34" t="str">
        <f aca="false">IF(Z1067="","",IFERROR(VLOOKUP(Z1067,REPS!$A$2:$D$40,4,0),""))</f>
        <v/>
      </c>
      <c r="AB1067" s="31" t="str">
        <f aca="false">IF(O1067="","",IF(AA1067="",0,O1067*IF(AA1067&gt;1,AA1067/100,AA1067)))</f>
        <v/>
      </c>
      <c r="AC1067" s="31" t="str">
        <f aca="false">IF(O1067="","",V1067+Y1067+AB1067)</f>
        <v/>
      </c>
      <c r="AD1067" s="19" t="str">
        <f aca="false">IF(O1067="","",O1067-R1067-AC1067)</f>
        <v/>
      </c>
      <c r="AE1067" s="20"/>
      <c r="AF1067" s="27"/>
      <c r="AG1067" s="21" t="n">
        <f aca="false">IF(OR(AE1067="",AE1067=0),0,AE1067*IF(U1067="",0,IF(U1067&gt;1,U1067/100,U1067)))</f>
        <v>0</v>
      </c>
      <c r="AH1067" s="21" t="n">
        <f aca="false">IF(OR(AE1067="",AE1067=0),0,AE1067*IF(X1067="",0,IF(X1067&gt;1,X1067/100,X1067)))</f>
        <v>0</v>
      </c>
      <c r="AI1067" s="21" t="n">
        <f aca="false">IF(OR(AE1067="",AE1067=0),0,AE1067*IF(AA1067="",0,IF(AA1067&gt;1,AA1067/100,AA1067)))</f>
        <v>0</v>
      </c>
      <c r="AJ1067" s="21" t="n">
        <f aca="false">AG1067+AH1067+AI1067</f>
        <v>0</v>
      </c>
      <c r="AK1067" s="21" t="n">
        <f aca="false">IF(OR(AE1067="",AE1067=0),0,AE1067-AJ1067)</f>
        <v>0</v>
      </c>
      <c r="AL1067" s="19" t="str">
        <f aca="false">IF(AD1067="","",AD1067-AK1067)</f>
        <v/>
      </c>
      <c r="AM1067" s="26" t="str">
        <f aca="false">IF(C1067="","","Waiting for payment")</f>
        <v/>
      </c>
      <c r="AN1067" s="27"/>
      <c r="AO1067" s="27"/>
      <c r="AP1067" s="35" t="str">
        <f aca="false">IF(OR(C1067="",I1067="",K1067=""),"",IF(K1067="Monthly",EDATE(C1067,ROUND(I1067*SETTINGS!$I$8,0)),WORKDAY(C1067,ROUND(I1067*SETTINGS!$I$8,0))))</f>
        <v/>
      </c>
      <c r="AQ1067" s="26" t="str">
        <f aca="true">IF(C1067="","",IF(AND(AP1067&lt;&gt;"",TODAY()&gt;=AP1067),"Refi Ready",IF(TODAY()-C1067&gt;=SETTINGS!$I$11,"Prospecting","Performing")))</f>
        <v/>
      </c>
      <c r="AR1067" s="35" t="str">
        <f aca="false">IF(OR(C1067="",I1067="",K1067=""),"",IF(K1067="Monthly",EDATE(C1067,I1067),WORKDAY(C1067,I1067)))</f>
        <v/>
      </c>
      <c r="AS1067" s="28"/>
      <c r="AT1067" s="36" t="str">
        <f aca="true">IF(C1067="","",IF(AM1067="Clawed Back","CLAWED",IF(TODAY()&lt;=C1067+SETTINGS!$I$2,"⚠ AT RISK","SAFE")))</f>
        <v/>
      </c>
      <c r="AU1067" s="28"/>
      <c r="AW1067" s="24" t="n">
        <f aca="false">AW1066+IF(AND(C1067&lt;&gt;"",AO1067&lt;&gt;"",OR('REP COMMISSION'!$B$3="",T1067='REP COMMISSION'!$B$3,W1067='REP COMMISSION'!$B$3,Z1067='REP COMMISSION'!$B$3)),1,0)</f>
        <v>0</v>
      </c>
      <c r="AX1067" s="24" t="n">
        <f aca="false">AX1066+IF(AND(C1067&lt;&gt;"",OR(F1067="LOC - INITIAL",F1067="CONSOLIDATION - UPFRONT COMM",F1067="REVERSE - TOTAL FUNDING")),1,0)</f>
        <v>0</v>
      </c>
    </row>
    <row r="1068" customFormat="false" ht="15" hidden="false" customHeight="false" outlineLevel="0" collapsed="false">
      <c r="A1068" s="8" t="str">
        <f aca="false">IF(C1068&lt;&gt;"","F27-"&amp;COUNT($C$4:C1068),"")</f>
        <v/>
      </c>
      <c r="B1068" s="9" t="str">
        <f aca="false">IF(OR(F1068="LOC - INITIAL",F1068="CONSOLIDATION - UPFRONT COMM",F1068="REVERSE - TOTAL FUNDING"),A1068,"")</f>
        <v/>
      </c>
      <c r="C1068" s="10"/>
      <c r="D1068" s="11"/>
      <c r="E1068" s="11"/>
      <c r="F1068" s="11"/>
      <c r="G1068" s="12"/>
      <c r="H1068" s="13"/>
      <c r="I1068" s="11"/>
      <c r="J1068" s="14" t="str">
        <f aca="false">IF(AND(G1068&lt;&gt;"",H1068&lt;&gt;""),G1068*H1068,"")</f>
        <v/>
      </c>
      <c r="K1068" s="11"/>
      <c r="L1068" s="15"/>
      <c r="M1068" s="15"/>
      <c r="N1068" s="14" t="n">
        <f aca="false">IF(OR(G1068="",M1068=""),0,IF(M1068&gt;100,M1068,G1068*IF(M1068&gt;1,M1068/100,M1068)))</f>
        <v>0</v>
      </c>
      <c r="O1068" s="14" t="str">
        <f aca="false">IF(G1068="","",G1068*IF(L1068="",0,IF(L1068&gt;1,L1068/100,L1068))+N1068)</f>
        <v/>
      </c>
      <c r="P1068" s="11"/>
      <c r="Q1068" s="16" t="str">
        <f aca="false">IF(P1068="","",IFERROR(VLOOKUP(P1068,PARTNERS!$A$2:$B$30,2,0),""))</f>
        <v/>
      </c>
      <c r="R1068" s="17" t="str">
        <f aca="false">IF(O1068="","",IF(OR(P1068="",Q1068=""),0,(O1068-N1068)*IF(Q1068&gt;1,Q1068/100,Q1068)))</f>
        <v/>
      </c>
      <c r="S1068" s="14" t="str">
        <f aca="false">IF(O1068="","",O1068-R1068)</f>
        <v/>
      </c>
      <c r="T1068" s="11"/>
      <c r="U1068" s="18" t="str">
        <f aca="false">IF(T1068="","",IFERROR(VLOOKUP(T1068,REPS!$A$2:$D$40,2,0),""))</f>
        <v/>
      </c>
      <c r="V1068" s="14" t="str">
        <f aca="false">IF(O1068="","",IF(U1068="",0,O1068*IF(U1068&gt;1,U1068/100,U1068)))</f>
        <v/>
      </c>
      <c r="W1068" s="11"/>
      <c r="X1068" s="18" t="str">
        <f aca="false">IF(W1068="","",IFERROR(VLOOKUP(W1068,REPS!$A$2:$D$40,3,0),""))</f>
        <v/>
      </c>
      <c r="Y1068" s="14" t="str">
        <f aca="false">IF(O1068="","",IF(X1068="",0,O1068*IF(X1068&gt;1,X1068/100,X1068)))</f>
        <v/>
      </c>
      <c r="Z1068" s="11"/>
      <c r="AA1068" s="18" t="str">
        <f aca="false">IF(Z1068="","",IFERROR(VLOOKUP(Z1068,REPS!$A$2:$D$40,4,0),""))</f>
        <v/>
      </c>
      <c r="AB1068" s="14" t="str">
        <f aca="false">IF(O1068="","",IF(AA1068="",0,O1068*IF(AA1068&gt;1,AA1068/100,AA1068)))</f>
        <v/>
      </c>
      <c r="AC1068" s="14" t="str">
        <f aca="false">IF(O1068="","",V1068+Y1068+AB1068)</f>
        <v/>
      </c>
      <c r="AD1068" s="19" t="str">
        <f aca="false">IF(O1068="","",O1068-R1068-AC1068)</f>
        <v/>
      </c>
      <c r="AE1068" s="20"/>
      <c r="AF1068" s="10"/>
      <c r="AG1068" s="21" t="n">
        <f aca="false">IF(OR(AE1068="",AE1068=0),0,AE1068*IF(U1068="",0,IF(U1068&gt;1,U1068/100,U1068)))</f>
        <v>0</v>
      </c>
      <c r="AH1068" s="21" t="n">
        <f aca="false">IF(OR(AE1068="",AE1068=0),0,AE1068*IF(X1068="",0,IF(X1068&gt;1,X1068/100,X1068)))</f>
        <v>0</v>
      </c>
      <c r="AI1068" s="21" t="n">
        <f aca="false">IF(OR(AE1068="",AE1068=0),0,AE1068*IF(AA1068="",0,IF(AA1068&gt;1,AA1068/100,AA1068)))</f>
        <v>0</v>
      </c>
      <c r="AJ1068" s="21" t="n">
        <f aca="false">AG1068+AH1068+AI1068</f>
        <v>0</v>
      </c>
      <c r="AK1068" s="21" t="n">
        <f aca="false">IF(OR(AE1068="",AE1068=0),0,AE1068-AJ1068)</f>
        <v>0</v>
      </c>
      <c r="AL1068" s="19" t="str">
        <f aca="false">IF(AD1068="","",AD1068-AK1068)</f>
        <v/>
      </c>
      <c r="AM1068" s="9" t="str">
        <f aca="false">IF(C1068="","","Waiting for payment")</f>
        <v/>
      </c>
      <c r="AN1068" s="10"/>
      <c r="AO1068" s="10"/>
      <c r="AP1068" s="22" t="str">
        <f aca="false">IF(OR(C1068="",I1068="",K1068=""),"",IF(K1068="Monthly",EDATE(C1068,ROUND(I1068*SETTINGS!$I$8,0)),WORKDAY(C1068,ROUND(I1068*SETTINGS!$I$8,0))))</f>
        <v/>
      </c>
      <c r="AQ1068" s="9" t="str">
        <f aca="true">IF(C1068="","",IF(AND(AP1068&lt;&gt;"",TODAY()&gt;=AP1068),"Refi Ready",IF(TODAY()-C1068&gt;=SETTINGS!$I$11,"Prospecting","Performing")))</f>
        <v/>
      </c>
      <c r="AR1068" s="22" t="str">
        <f aca="false">IF(OR(C1068="",I1068="",K1068=""),"",IF(K1068="Monthly",EDATE(C1068,I1068),WORKDAY(C1068,I1068)))</f>
        <v/>
      </c>
      <c r="AS1068" s="11"/>
      <c r="AT1068" s="23" t="str">
        <f aca="true">IF(C1068="","",IF(AM1068="Clawed Back","CLAWED",IF(TODAY()&lt;=C1068+SETTINGS!$I$2,"⚠ AT RISK","SAFE")))</f>
        <v/>
      </c>
      <c r="AU1068" s="11"/>
      <c r="AW1068" s="24" t="n">
        <f aca="false">AW1067+IF(AND(C1068&lt;&gt;"",AO1068&lt;&gt;"",OR('REP COMMISSION'!$B$3="",T1068='REP COMMISSION'!$B$3,W1068='REP COMMISSION'!$B$3,Z1068='REP COMMISSION'!$B$3)),1,0)</f>
        <v>0</v>
      </c>
      <c r="AX1068" s="24" t="n">
        <f aca="false">AX1067+IF(AND(C1068&lt;&gt;"",OR(F1068="LOC - INITIAL",F1068="CONSOLIDATION - UPFRONT COMM",F1068="REVERSE - TOTAL FUNDING")),1,0)</f>
        <v>0</v>
      </c>
    </row>
    <row r="1069" customFormat="false" ht="15" hidden="false" customHeight="false" outlineLevel="0" collapsed="false">
      <c r="A1069" s="25" t="str">
        <f aca="false">IF(C1069&lt;&gt;"","F27-"&amp;COUNT($C$4:C1069),"")</f>
        <v/>
      </c>
      <c r="B1069" s="26" t="str">
        <f aca="false">IF(OR(F1069="LOC - INITIAL",F1069="CONSOLIDATION - UPFRONT COMM",F1069="REVERSE - TOTAL FUNDING"),A1069,"")</f>
        <v/>
      </c>
      <c r="C1069" s="27"/>
      <c r="D1069" s="28"/>
      <c r="E1069" s="28"/>
      <c r="F1069" s="28"/>
      <c r="G1069" s="29"/>
      <c r="H1069" s="30"/>
      <c r="I1069" s="28"/>
      <c r="J1069" s="31" t="str">
        <f aca="false">IF(AND(G1069&lt;&gt;"",H1069&lt;&gt;""),G1069*H1069,"")</f>
        <v/>
      </c>
      <c r="K1069" s="28"/>
      <c r="L1069" s="32"/>
      <c r="M1069" s="32"/>
      <c r="N1069" s="31" t="n">
        <f aca="false">IF(OR(G1069="",M1069=""),0,IF(M1069&gt;100,M1069,G1069*IF(M1069&gt;1,M1069/100,M1069)))</f>
        <v>0</v>
      </c>
      <c r="O1069" s="31" t="str">
        <f aca="false">IF(G1069="","",G1069*IF(L1069="",0,IF(L1069&gt;1,L1069/100,L1069))+N1069)</f>
        <v/>
      </c>
      <c r="P1069" s="28"/>
      <c r="Q1069" s="33" t="str">
        <f aca="false">IF(P1069="","",IFERROR(VLOOKUP(P1069,PARTNERS!$A$2:$B$30,2,0),""))</f>
        <v/>
      </c>
      <c r="R1069" s="17" t="str">
        <f aca="false">IF(O1069="","",IF(OR(P1069="",Q1069=""),0,(O1069-N1069)*IF(Q1069&gt;1,Q1069/100,Q1069)))</f>
        <v/>
      </c>
      <c r="S1069" s="31" t="str">
        <f aca="false">IF(O1069="","",O1069-R1069)</f>
        <v/>
      </c>
      <c r="T1069" s="28"/>
      <c r="U1069" s="34" t="str">
        <f aca="false">IF(T1069="","",IFERROR(VLOOKUP(T1069,REPS!$A$2:$D$40,2,0),""))</f>
        <v/>
      </c>
      <c r="V1069" s="31" t="str">
        <f aca="false">IF(O1069="","",IF(U1069="",0,O1069*IF(U1069&gt;1,U1069/100,U1069)))</f>
        <v/>
      </c>
      <c r="W1069" s="28"/>
      <c r="X1069" s="34" t="str">
        <f aca="false">IF(W1069="","",IFERROR(VLOOKUP(W1069,REPS!$A$2:$D$40,3,0),""))</f>
        <v/>
      </c>
      <c r="Y1069" s="31" t="str">
        <f aca="false">IF(O1069="","",IF(X1069="",0,O1069*IF(X1069&gt;1,X1069/100,X1069)))</f>
        <v/>
      </c>
      <c r="Z1069" s="28"/>
      <c r="AA1069" s="34" t="str">
        <f aca="false">IF(Z1069="","",IFERROR(VLOOKUP(Z1069,REPS!$A$2:$D$40,4,0),""))</f>
        <v/>
      </c>
      <c r="AB1069" s="31" t="str">
        <f aca="false">IF(O1069="","",IF(AA1069="",0,O1069*IF(AA1069&gt;1,AA1069/100,AA1069)))</f>
        <v/>
      </c>
      <c r="AC1069" s="31" t="str">
        <f aca="false">IF(O1069="","",V1069+Y1069+AB1069)</f>
        <v/>
      </c>
      <c r="AD1069" s="19" t="str">
        <f aca="false">IF(O1069="","",O1069-R1069-AC1069)</f>
        <v/>
      </c>
      <c r="AE1069" s="20"/>
      <c r="AF1069" s="27"/>
      <c r="AG1069" s="21" t="n">
        <f aca="false">IF(OR(AE1069="",AE1069=0),0,AE1069*IF(U1069="",0,IF(U1069&gt;1,U1069/100,U1069)))</f>
        <v>0</v>
      </c>
      <c r="AH1069" s="21" t="n">
        <f aca="false">IF(OR(AE1069="",AE1069=0),0,AE1069*IF(X1069="",0,IF(X1069&gt;1,X1069/100,X1069)))</f>
        <v>0</v>
      </c>
      <c r="AI1069" s="21" t="n">
        <f aca="false">IF(OR(AE1069="",AE1069=0),0,AE1069*IF(AA1069="",0,IF(AA1069&gt;1,AA1069/100,AA1069)))</f>
        <v>0</v>
      </c>
      <c r="AJ1069" s="21" t="n">
        <f aca="false">AG1069+AH1069+AI1069</f>
        <v>0</v>
      </c>
      <c r="AK1069" s="21" t="n">
        <f aca="false">IF(OR(AE1069="",AE1069=0),0,AE1069-AJ1069)</f>
        <v>0</v>
      </c>
      <c r="AL1069" s="19" t="str">
        <f aca="false">IF(AD1069="","",AD1069-AK1069)</f>
        <v/>
      </c>
      <c r="AM1069" s="26" t="str">
        <f aca="false">IF(C1069="","","Waiting for payment")</f>
        <v/>
      </c>
      <c r="AN1069" s="27"/>
      <c r="AO1069" s="27"/>
      <c r="AP1069" s="35" t="str">
        <f aca="false">IF(OR(C1069="",I1069="",K1069=""),"",IF(K1069="Monthly",EDATE(C1069,ROUND(I1069*SETTINGS!$I$8,0)),WORKDAY(C1069,ROUND(I1069*SETTINGS!$I$8,0))))</f>
        <v/>
      </c>
      <c r="AQ1069" s="26" t="str">
        <f aca="true">IF(C1069="","",IF(AND(AP1069&lt;&gt;"",TODAY()&gt;=AP1069),"Refi Ready",IF(TODAY()-C1069&gt;=SETTINGS!$I$11,"Prospecting","Performing")))</f>
        <v/>
      </c>
      <c r="AR1069" s="35" t="str">
        <f aca="false">IF(OR(C1069="",I1069="",K1069=""),"",IF(K1069="Monthly",EDATE(C1069,I1069),WORKDAY(C1069,I1069)))</f>
        <v/>
      </c>
      <c r="AS1069" s="28"/>
      <c r="AT1069" s="36" t="str">
        <f aca="true">IF(C1069="","",IF(AM1069="Clawed Back","CLAWED",IF(TODAY()&lt;=C1069+SETTINGS!$I$2,"⚠ AT RISK","SAFE")))</f>
        <v/>
      </c>
      <c r="AU1069" s="28"/>
      <c r="AW1069" s="24" t="n">
        <f aca="false">AW1068+IF(AND(C1069&lt;&gt;"",AO1069&lt;&gt;"",OR('REP COMMISSION'!$B$3="",T1069='REP COMMISSION'!$B$3,W1069='REP COMMISSION'!$B$3,Z1069='REP COMMISSION'!$B$3)),1,0)</f>
        <v>0</v>
      </c>
      <c r="AX1069" s="24" t="n">
        <f aca="false">AX1068+IF(AND(C1069&lt;&gt;"",OR(F1069="LOC - INITIAL",F1069="CONSOLIDATION - UPFRONT COMM",F1069="REVERSE - TOTAL FUNDING")),1,0)</f>
        <v>0</v>
      </c>
    </row>
    <row r="1070" customFormat="false" ht="15" hidden="false" customHeight="false" outlineLevel="0" collapsed="false">
      <c r="A1070" s="8" t="str">
        <f aca="false">IF(C1070&lt;&gt;"","F27-"&amp;COUNT($C$4:C1070),"")</f>
        <v/>
      </c>
      <c r="B1070" s="9" t="str">
        <f aca="false">IF(OR(F1070="LOC - INITIAL",F1070="CONSOLIDATION - UPFRONT COMM",F1070="REVERSE - TOTAL FUNDING"),A1070,"")</f>
        <v/>
      </c>
      <c r="C1070" s="10"/>
      <c r="D1070" s="11"/>
      <c r="E1070" s="11"/>
      <c r="F1070" s="11"/>
      <c r="G1070" s="12"/>
      <c r="H1070" s="13"/>
      <c r="I1070" s="11"/>
      <c r="J1070" s="14" t="str">
        <f aca="false">IF(AND(G1070&lt;&gt;"",H1070&lt;&gt;""),G1070*H1070,"")</f>
        <v/>
      </c>
      <c r="K1070" s="11"/>
      <c r="L1070" s="15"/>
      <c r="M1070" s="15"/>
      <c r="N1070" s="14" t="n">
        <f aca="false">IF(OR(G1070="",M1070=""),0,IF(M1070&gt;100,M1070,G1070*IF(M1070&gt;1,M1070/100,M1070)))</f>
        <v>0</v>
      </c>
      <c r="O1070" s="14" t="str">
        <f aca="false">IF(G1070="","",G1070*IF(L1070="",0,IF(L1070&gt;1,L1070/100,L1070))+N1070)</f>
        <v/>
      </c>
      <c r="P1070" s="11"/>
      <c r="Q1070" s="16" t="str">
        <f aca="false">IF(P1070="","",IFERROR(VLOOKUP(P1070,PARTNERS!$A$2:$B$30,2,0),""))</f>
        <v/>
      </c>
      <c r="R1070" s="17" t="str">
        <f aca="false">IF(O1070="","",IF(OR(P1070="",Q1070=""),0,(O1070-N1070)*IF(Q1070&gt;1,Q1070/100,Q1070)))</f>
        <v/>
      </c>
      <c r="S1070" s="14" t="str">
        <f aca="false">IF(O1070="","",O1070-R1070)</f>
        <v/>
      </c>
      <c r="T1070" s="11"/>
      <c r="U1070" s="18" t="str">
        <f aca="false">IF(T1070="","",IFERROR(VLOOKUP(T1070,REPS!$A$2:$D$40,2,0),""))</f>
        <v/>
      </c>
      <c r="V1070" s="14" t="str">
        <f aca="false">IF(O1070="","",IF(U1070="",0,O1070*IF(U1070&gt;1,U1070/100,U1070)))</f>
        <v/>
      </c>
      <c r="W1070" s="11"/>
      <c r="X1070" s="18" t="str">
        <f aca="false">IF(W1070="","",IFERROR(VLOOKUP(W1070,REPS!$A$2:$D$40,3,0),""))</f>
        <v/>
      </c>
      <c r="Y1070" s="14" t="str">
        <f aca="false">IF(O1070="","",IF(X1070="",0,O1070*IF(X1070&gt;1,X1070/100,X1070)))</f>
        <v/>
      </c>
      <c r="Z1070" s="11"/>
      <c r="AA1070" s="18" t="str">
        <f aca="false">IF(Z1070="","",IFERROR(VLOOKUP(Z1070,REPS!$A$2:$D$40,4,0),""))</f>
        <v/>
      </c>
      <c r="AB1070" s="14" t="str">
        <f aca="false">IF(O1070="","",IF(AA1070="",0,O1070*IF(AA1070&gt;1,AA1070/100,AA1070)))</f>
        <v/>
      </c>
      <c r="AC1070" s="14" t="str">
        <f aca="false">IF(O1070="","",V1070+Y1070+AB1070)</f>
        <v/>
      </c>
      <c r="AD1070" s="19" t="str">
        <f aca="false">IF(O1070="","",O1070-R1070-AC1070)</f>
        <v/>
      </c>
      <c r="AE1070" s="20"/>
      <c r="AF1070" s="10"/>
      <c r="AG1070" s="21" t="n">
        <f aca="false">IF(OR(AE1070="",AE1070=0),0,AE1070*IF(U1070="",0,IF(U1070&gt;1,U1070/100,U1070)))</f>
        <v>0</v>
      </c>
      <c r="AH1070" s="21" t="n">
        <f aca="false">IF(OR(AE1070="",AE1070=0),0,AE1070*IF(X1070="",0,IF(X1070&gt;1,X1070/100,X1070)))</f>
        <v>0</v>
      </c>
      <c r="AI1070" s="21" t="n">
        <f aca="false">IF(OR(AE1070="",AE1070=0),0,AE1070*IF(AA1070="",0,IF(AA1070&gt;1,AA1070/100,AA1070)))</f>
        <v>0</v>
      </c>
      <c r="AJ1070" s="21" t="n">
        <f aca="false">AG1070+AH1070+AI1070</f>
        <v>0</v>
      </c>
      <c r="AK1070" s="21" t="n">
        <f aca="false">IF(OR(AE1070="",AE1070=0),0,AE1070-AJ1070)</f>
        <v>0</v>
      </c>
      <c r="AL1070" s="19" t="str">
        <f aca="false">IF(AD1070="","",AD1070-AK1070)</f>
        <v/>
      </c>
      <c r="AM1070" s="9" t="str">
        <f aca="false">IF(C1070="","","Waiting for payment")</f>
        <v/>
      </c>
      <c r="AN1070" s="10"/>
      <c r="AO1070" s="10"/>
      <c r="AP1070" s="22" t="str">
        <f aca="false">IF(OR(C1070="",I1070="",K1070=""),"",IF(K1070="Monthly",EDATE(C1070,ROUND(I1070*SETTINGS!$I$8,0)),WORKDAY(C1070,ROUND(I1070*SETTINGS!$I$8,0))))</f>
        <v/>
      </c>
      <c r="AQ1070" s="9" t="str">
        <f aca="true">IF(C1070="","",IF(AND(AP1070&lt;&gt;"",TODAY()&gt;=AP1070),"Refi Ready",IF(TODAY()-C1070&gt;=SETTINGS!$I$11,"Prospecting","Performing")))</f>
        <v/>
      </c>
      <c r="AR1070" s="22" t="str">
        <f aca="false">IF(OR(C1070="",I1070="",K1070=""),"",IF(K1070="Monthly",EDATE(C1070,I1070),WORKDAY(C1070,I1070)))</f>
        <v/>
      </c>
      <c r="AS1070" s="11"/>
      <c r="AT1070" s="23" t="str">
        <f aca="true">IF(C1070="","",IF(AM1070="Clawed Back","CLAWED",IF(TODAY()&lt;=C1070+SETTINGS!$I$2,"⚠ AT RISK","SAFE")))</f>
        <v/>
      </c>
      <c r="AU1070" s="11"/>
      <c r="AW1070" s="24" t="n">
        <f aca="false">AW1069+IF(AND(C1070&lt;&gt;"",AO1070&lt;&gt;"",OR('REP COMMISSION'!$B$3="",T1070='REP COMMISSION'!$B$3,W1070='REP COMMISSION'!$B$3,Z1070='REP COMMISSION'!$B$3)),1,0)</f>
        <v>0</v>
      </c>
      <c r="AX1070" s="24" t="n">
        <f aca="false">AX1069+IF(AND(C1070&lt;&gt;"",OR(F1070="LOC - INITIAL",F1070="CONSOLIDATION - UPFRONT COMM",F1070="REVERSE - TOTAL FUNDING")),1,0)</f>
        <v>0</v>
      </c>
    </row>
    <row r="1071" customFormat="false" ht="15" hidden="false" customHeight="false" outlineLevel="0" collapsed="false">
      <c r="A1071" s="25" t="str">
        <f aca="false">IF(C1071&lt;&gt;"","F27-"&amp;COUNT($C$4:C1071),"")</f>
        <v/>
      </c>
      <c r="B1071" s="26" t="str">
        <f aca="false">IF(OR(F1071="LOC - INITIAL",F1071="CONSOLIDATION - UPFRONT COMM",F1071="REVERSE - TOTAL FUNDING"),A1071,"")</f>
        <v/>
      </c>
      <c r="C1071" s="27"/>
      <c r="D1071" s="28"/>
      <c r="E1071" s="28"/>
      <c r="F1071" s="28"/>
      <c r="G1071" s="29"/>
      <c r="H1071" s="30"/>
      <c r="I1071" s="28"/>
      <c r="J1071" s="31" t="str">
        <f aca="false">IF(AND(G1071&lt;&gt;"",H1071&lt;&gt;""),G1071*H1071,"")</f>
        <v/>
      </c>
      <c r="K1071" s="28"/>
      <c r="L1071" s="32"/>
      <c r="M1071" s="32"/>
      <c r="N1071" s="31" t="n">
        <f aca="false">IF(OR(G1071="",M1071=""),0,IF(M1071&gt;100,M1071,G1071*IF(M1071&gt;1,M1071/100,M1071)))</f>
        <v>0</v>
      </c>
      <c r="O1071" s="31" t="str">
        <f aca="false">IF(G1071="","",G1071*IF(L1071="",0,IF(L1071&gt;1,L1071/100,L1071))+N1071)</f>
        <v/>
      </c>
      <c r="P1071" s="28"/>
      <c r="Q1071" s="33" t="str">
        <f aca="false">IF(P1071="","",IFERROR(VLOOKUP(P1071,PARTNERS!$A$2:$B$30,2,0),""))</f>
        <v/>
      </c>
      <c r="R1071" s="17" t="str">
        <f aca="false">IF(O1071="","",IF(OR(P1071="",Q1071=""),0,(O1071-N1071)*IF(Q1071&gt;1,Q1071/100,Q1071)))</f>
        <v/>
      </c>
      <c r="S1071" s="31" t="str">
        <f aca="false">IF(O1071="","",O1071-R1071)</f>
        <v/>
      </c>
      <c r="T1071" s="28"/>
      <c r="U1071" s="34" t="str">
        <f aca="false">IF(T1071="","",IFERROR(VLOOKUP(T1071,REPS!$A$2:$D$40,2,0),""))</f>
        <v/>
      </c>
      <c r="V1071" s="31" t="str">
        <f aca="false">IF(O1071="","",IF(U1071="",0,O1071*IF(U1071&gt;1,U1071/100,U1071)))</f>
        <v/>
      </c>
      <c r="W1071" s="28"/>
      <c r="X1071" s="34" t="str">
        <f aca="false">IF(W1071="","",IFERROR(VLOOKUP(W1071,REPS!$A$2:$D$40,3,0),""))</f>
        <v/>
      </c>
      <c r="Y1071" s="31" t="str">
        <f aca="false">IF(O1071="","",IF(X1071="",0,O1071*IF(X1071&gt;1,X1071/100,X1071)))</f>
        <v/>
      </c>
      <c r="Z1071" s="28"/>
      <c r="AA1071" s="34" t="str">
        <f aca="false">IF(Z1071="","",IFERROR(VLOOKUP(Z1071,REPS!$A$2:$D$40,4,0),""))</f>
        <v/>
      </c>
      <c r="AB1071" s="31" t="str">
        <f aca="false">IF(O1071="","",IF(AA1071="",0,O1071*IF(AA1071&gt;1,AA1071/100,AA1071)))</f>
        <v/>
      </c>
      <c r="AC1071" s="31" t="str">
        <f aca="false">IF(O1071="","",V1071+Y1071+AB1071)</f>
        <v/>
      </c>
      <c r="AD1071" s="19" t="str">
        <f aca="false">IF(O1071="","",O1071-R1071-AC1071)</f>
        <v/>
      </c>
      <c r="AE1071" s="20"/>
      <c r="AF1071" s="27"/>
      <c r="AG1071" s="21" t="n">
        <f aca="false">IF(OR(AE1071="",AE1071=0),0,AE1071*IF(U1071="",0,IF(U1071&gt;1,U1071/100,U1071)))</f>
        <v>0</v>
      </c>
      <c r="AH1071" s="21" t="n">
        <f aca="false">IF(OR(AE1071="",AE1071=0),0,AE1071*IF(X1071="",0,IF(X1071&gt;1,X1071/100,X1071)))</f>
        <v>0</v>
      </c>
      <c r="AI1071" s="21" t="n">
        <f aca="false">IF(OR(AE1071="",AE1071=0),0,AE1071*IF(AA1071="",0,IF(AA1071&gt;1,AA1071/100,AA1071)))</f>
        <v>0</v>
      </c>
      <c r="AJ1071" s="21" t="n">
        <f aca="false">AG1071+AH1071+AI1071</f>
        <v>0</v>
      </c>
      <c r="AK1071" s="21" t="n">
        <f aca="false">IF(OR(AE1071="",AE1071=0),0,AE1071-AJ1071)</f>
        <v>0</v>
      </c>
      <c r="AL1071" s="19" t="str">
        <f aca="false">IF(AD1071="","",AD1071-AK1071)</f>
        <v/>
      </c>
      <c r="AM1071" s="26" t="str">
        <f aca="false">IF(C1071="","","Waiting for payment")</f>
        <v/>
      </c>
      <c r="AN1071" s="27"/>
      <c r="AO1071" s="27"/>
      <c r="AP1071" s="35" t="str">
        <f aca="false">IF(OR(C1071="",I1071="",K1071=""),"",IF(K1071="Monthly",EDATE(C1071,ROUND(I1071*SETTINGS!$I$8,0)),WORKDAY(C1071,ROUND(I1071*SETTINGS!$I$8,0))))</f>
        <v/>
      </c>
      <c r="AQ1071" s="26" t="str">
        <f aca="true">IF(C1071="","",IF(AND(AP1071&lt;&gt;"",TODAY()&gt;=AP1071),"Refi Ready",IF(TODAY()-C1071&gt;=SETTINGS!$I$11,"Prospecting","Performing")))</f>
        <v/>
      </c>
      <c r="AR1071" s="35" t="str">
        <f aca="false">IF(OR(C1071="",I1071="",K1071=""),"",IF(K1071="Monthly",EDATE(C1071,I1071),WORKDAY(C1071,I1071)))</f>
        <v/>
      </c>
      <c r="AS1071" s="28"/>
      <c r="AT1071" s="36" t="str">
        <f aca="true">IF(C1071="","",IF(AM1071="Clawed Back","CLAWED",IF(TODAY()&lt;=C1071+SETTINGS!$I$2,"⚠ AT RISK","SAFE")))</f>
        <v/>
      </c>
      <c r="AU1071" s="28"/>
      <c r="AW1071" s="24" t="n">
        <f aca="false">AW1070+IF(AND(C1071&lt;&gt;"",AO1071&lt;&gt;"",OR('REP COMMISSION'!$B$3="",T1071='REP COMMISSION'!$B$3,W1071='REP COMMISSION'!$B$3,Z1071='REP COMMISSION'!$B$3)),1,0)</f>
        <v>0</v>
      </c>
      <c r="AX1071" s="24" t="n">
        <f aca="false">AX1070+IF(AND(C1071&lt;&gt;"",OR(F1071="LOC - INITIAL",F1071="CONSOLIDATION - UPFRONT COMM",F1071="REVERSE - TOTAL FUNDING")),1,0)</f>
        <v>0</v>
      </c>
    </row>
    <row r="1072" customFormat="false" ht="15" hidden="false" customHeight="false" outlineLevel="0" collapsed="false">
      <c r="A1072" s="8" t="str">
        <f aca="false">IF(C1072&lt;&gt;"","F27-"&amp;COUNT($C$4:C1072),"")</f>
        <v/>
      </c>
      <c r="B1072" s="9" t="str">
        <f aca="false">IF(OR(F1072="LOC - INITIAL",F1072="CONSOLIDATION - UPFRONT COMM",F1072="REVERSE - TOTAL FUNDING"),A1072,"")</f>
        <v/>
      </c>
      <c r="C1072" s="10"/>
      <c r="D1072" s="11"/>
      <c r="E1072" s="11"/>
      <c r="F1072" s="11"/>
      <c r="G1072" s="12"/>
      <c r="H1072" s="13"/>
      <c r="I1072" s="11"/>
      <c r="J1072" s="14" t="str">
        <f aca="false">IF(AND(G1072&lt;&gt;"",H1072&lt;&gt;""),G1072*H1072,"")</f>
        <v/>
      </c>
      <c r="K1072" s="11"/>
      <c r="L1072" s="15"/>
      <c r="M1072" s="15"/>
      <c r="N1072" s="14" t="n">
        <f aca="false">IF(OR(G1072="",M1072=""),0,IF(M1072&gt;100,M1072,G1072*IF(M1072&gt;1,M1072/100,M1072)))</f>
        <v>0</v>
      </c>
      <c r="O1072" s="14" t="str">
        <f aca="false">IF(G1072="","",G1072*IF(L1072="",0,IF(L1072&gt;1,L1072/100,L1072))+N1072)</f>
        <v/>
      </c>
      <c r="P1072" s="11"/>
      <c r="Q1072" s="16" t="str">
        <f aca="false">IF(P1072="","",IFERROR(VLOOKUP(P1072,PARTNERS!$A$2:$B$30,2,0),""))</f>
        <v/>
      </c>
      <c r="R1072" s="17" t="str">
        <f aca="false">IF(O1072="","",IF(OR(P1072="",Q1072=""),0,(O1072-N1072)*IF(Q1072&gt;1,Q1072/100,Q1072)))</f>
        <v/>
      </c>
      <c r="S1072" s="14" t="str">
        <f aca="false">IF(O1072="","",O1072-R1072)</f>
        <v/>
      </c>
      <c r="T1072" s="11"/>
      <c r="U1072" s="18" t="str">
        <f aca="false">IF(T1072="","",IFERROR(VLOOKUP(T1072,REPS!$A$2:$D$40,2,0),""))</f>
        <v/>
      </c>
      <c r="V1072" s="14" t="str">
        <f aca="false">IF(O1072="","",IF(U1072="",0,O1072*IF(U1072&gt;1,U1072/100,U1072)))</f>
        <v/>
      </c>
      <c r="W1072" s="11"/>
      <c r="X1072" s="18" t="str">
        <f aca="false">IF(W1072="","",IFERROR(VLOOKUP(W1072,REPS!$A$2:$D$40,3,0),""))</f>
        <v/>
      </c>
      <c r="Y1072" s="14" t="str">
        <f aca="false">IF(O1072="","",IF(X1072="",0,O1072*IF(X1072&gt;1,X1072/100,X1072)))</f>
        <v/>
      </c>
      <c r="Z1072" s="11"/>
      <c r="AA1072" s="18" t="str">
        <f aca="false">IF(Z1072="","",IFERROR(VLOOKUP(Z1072,REPS!$A$2:$D$40,4,0),""))</f>
        <v/>
      </c>
      <c r="AB1072" s="14" t="str">
        <f aca="false">IF(O1072="","",IF(AA1072="",0,O1072*IF(AA1072&gt;1,AA1072/100,AA1072)))</f>
        <v/>
      </c>
      <c r="AC1072" s="14" t="str">
        <f aca="false">IF(O1072="","",V1072+Y1072+AB1072)</f>
        <v/>
      </c>
      <c r="AD1072" s="19" t="str">
        <f aca="false">IF(O1072="","",O1072-R1072-AC1072)</f>
        <v/>
      </c>
      <c r="AE1072" s="20"/>
      <c r="AF1072" s="10"/>
      <c r="AG1072" s="21" t="n">
        <f aca="false">IF(OR(AE1072="",AE1072=0),0,AE1072*IF(U1072="",0,IF(U1072&gt;1,U1072/100,U1072)))</f>
        <v>0</v>
      </c>
      <c r="AH1072" s="21" t="n">
        <f aca="false">IF(OR(AE1072="",AE1072=0),0,AE1072*IF(X1072="",0,IF(X1072&gt;1,X1072/100,X1072)))</f>
        <v>0</v>
      </c>
      <c r="AI1072" s="21" t="n">
        <f aca="false">IF(OR(AE1072="",AE1072=0),0,AE1072*IF(AA1072="",0,IF(AA1072&gt;1,AA1072/100,AA1072)))</f>
        <v>0</v>
      </c>
      <c r="AJ1072" s="21" t="n">
        <f aca="false">AG1072+AH1072+AI1072</f>
        <v>0</v>
      </c>
      <c r="AK1072" s="21" t="n">
        <f aca="false">IF(OR(AE1072="",AE1072=0),0,AE1072-AJ1072)</f>
        <v>0</v>
      </c>
      <c r="AL1072" s="19" t="str">
        <f aca="false">IF(AD1072="","",AD1072-AK1072)</f>
        <v/>
      </c>
      <c r="AM1072" s="9" t="str">
        <f aca="false">IF(C1072="","","Waiting for payment")</f>
        <v/>
      </c>
      <c r="AN1072" s="10"/>
      <c r="AO1072" s="10"/>
      <c r="AP1072" s="22" t="str">
        <f aca="false">IF(OR(C1072="",I1072="",K1072=""),"",IF(K1072="Monthly",EDATE(C1072,ROUND(I1072*SETTINGS!$I$8,0)),WORKDAY(C1072,ROUND(I1072*SETTINGS!$I$8,0))))</f>
        <v/>
      </c>
      <c r="AQ1072" s="9" t="str">
        <f aca="true">IF(C1072="","",IF(AND(AP1072&lt;&gt;"",TODAY()&gt;=AP1072),"Refi Ready",IF(TODAY()-C1072&gt;=SETTINGS!$I$11,"Prospecting","Performing")))</f>
        <v/>
      </c>
      <c r="AR1072" s="22" t="str">
        <f aca="false">IF(OR(C1072="",I1072="",K1072=""),"",IF(K1072="Monthly",EDATE(C1072,I1072),WORKDAY(C1072,I1072)))</f>
        <v/>
      </c>
      <c r="AS1072" s="11"/>
      <c r="AT1072" s="23" t="str">
        <f aca="true">IF(C1072="","",IF(AM1072="Clawed Back","CLAWED",IF(TODAY()&lt;=C1072+SETTINGS!$I$2,"⚠ AT RISK","SAFE")))</f>
        <v/>
      </c>
      <c r="AU1072" s="11"/>
      <c r="AW1072" s="24" t="n">
        <f aca="false">AW1071+IF(AND(C1072&lt;&gt;"",AO1072&lt;&gt;"",OR('REP COMMISSION'!$B$3="",T1072='REP COMMISSION'!$B$3,W1072='REP COMMISSION'!$B$3,Z1072='REP COMMISSION'!$B$3)),1,0)</f>
        <v>0</v>
      </c>
      <c r="AX1072" s="24" t="n">
        <f aca="false">AX1071+IF(AND(C1072&lt;&gt;"",OR(F1072="LOC - INITIAL",F1072="CONSOLIDATION - UPFRONT COMM",F1072="REVERSE - TOTAL FUNDING")),1,0)</f>
        <v>0</v>
      </c>
    </row>
    <row r="1073" customFormat="false" ht="15" hidden="false" customHeight="false" outlineLevel="0" collapsed="false">
      <c r="A1073" s="25" t="str">
        <f aca="false">IF(C1073&lt;&gt;"","F27-"&amp;COUNT($C$4:C1073),"")</f>
        <v/>
      </c>
      <c r="B1073" s="26" t="str">
        <f aca="false">IF(OR(F1073="LOC - INITIAL",F1073="CONSOLIDATION - UPFRONT COMM",F1073="REVERSE - TOTAL FUNDING"),A1073,"")</f>
        <v/>
      </c>
      <c r="C1073" s="27"/>
      <c r="D1073" s="28"/>
      <c r="E1073" s="28"/>
      <c r="F1073" s="28"/>
      <c r="G1073" s="29"/>
      <c r="H1073" s="30"/>
      <c r="I1073" s="28"/>
      <c r="J1073" s="31" t="str">
        <f aca="false">IF(AND(G1073&lt;&gt;"",H1073&lt;&gt;""),G1073*H1073,"")</f>
        <v/>
      </c>
      <c r="K1073" s="28"/>
      <c r="L1073" s="32"/>
      <c r="M1073" s="32"/>
      <c r="N1073" s="31" t="n">
        <f aca="false">IF(OR(G1073="",M1073=""),0,IF(M1073&gt;100,M1073,G1073*IF(M1073&gt;1,M1073/100,M1073)))</f>
        <v>0</v>
      </c>
      <c r="O1073" s="31" t="str">
        <f aca="false">IF(G1073="","",G1073*IF(L1073="",0,IF(L1073&gt;1,L1073/100,L1073))+N1073)</f>
        <v/>
      </c>
      <c r="P1073" s="28"/>
      <c r="Q1073" s="33" t="str">
        <f aca="false">IF(P1073="","",IFERROR(VLOOKUP(P1073,PARTNERS!$A$2:$B$30,2,0),""))</f>
        <v/>
      </c>
      <c r="R1073" s="17" t="str">
        <f aca="false">IF(O1073="","",IF(OR(P1073="",Q1073=""),0,(O1073-N1073)*IF(Q1073&gt;1,Q1073/100,Q1073)))</f>
        <v/>
      </c>
      <c r="S1073" s="31" t="str">
        <f aca="false">IF(O1073="","",O1073-R1073)</f>
        <v/>
      </c>
      <c r="T1073" s="28"/>
      <c r="U1073" s="34" t="str">
        <f aca="false">IF(T1073="","",IFERROR(VLOOKUP(T1073,REPS!$A$2:$D$40,2,0),""))</f>
        <v/>
      </c>
      <c r="V1073" s="31" t="str">
        <f aca="false">IF(O1073="","",IF(U1073="",0,O1073*IF(U1073&gt;1,U1073/100,U1073)))</f>
        <v/>
      </c>
      <c r="W1073" s="28"/>
      <c r="X1073" s="34" t="str">
        <f aca="false">IF(W1073="","",IFERROR(VLOOKUP(W1073,REPS!$A$2:$D$40,3,0),""))</f>
        <v/>
      </c>
      <c r="Y1073" s="31" t="str">
        <f aca="false">IF(O1073="","",IF(X1073="",0,O1073*IF(X1073&gt;1,X1073/100,X1073)))</f>
        <v/>
      </c>
      <c r="Z1073" s="28"/>
      <c r="AA1073" s="34" t="str">
        <f aca="false">IF(Z1073="","",IFERROR(VLOOKUP(Z1073,REPS!$A$2:$D$40,4,0),""))</f>
        <v/>
      </c>
      <c r="AB1073" s="31" t="str">
        <f aca="false">IF(O1073="","",IF(AA1073="",0,O1073*IF(AA1073&gt;1,AA1073/100,AA1073)))</f>
        <v/>
      </c>
      <c r="AC1073" s="31" t="str">
        <f aca="false">IF(O1073="","",V1073+Y1073+AB1073)</f>
        <v/>
      </c>
      <c r="AD1073" s="19" t="str">
        <f aca="false">IF(O1073="","",O1073-R1073-AC1073)</f>
        <v/>
      </c>
      <c r="AE1073" s="20"/>
      <c r="AF1073" s="27"/>
      <c r="AG1073" s="21" t="n">
        <f aca="false">IF(OR(AE1073="",AE1073=0),0,AE1073*IF(U1073="",0,IF(U1073&gt;1,U1073/100,U1073)))</f>
        <v>0</v>
      </c>
      <c r="AH1073" s="21" t="n">
        <f aca="false">IF(OR(AE1073="",AE1073=0),0,AE1073*IF(X1073="",0,IF(X1073&gt;1,X1073/100,X1073)))</f>
        <v>0</v>
      </c>
      <c r="AI1073" s="21" t="n">
        <f aca="false">IF(OR(AE1073="",AE1073=0),0,AE1073*IF(AA1073="",0,IF(AA1073&gt;1,AA1073/100,AA1073)))</f>
        <v>0</v>
      </c>
      <c r="AJ1073" s="21" t="n">
        <f aca="false">AG1073+AH1073+AI1073</f>
        <v>0</v>
      </c>
      <c r="AK1073" s="21" t="n">
        <f aca="false">IF(OR(AE1073="",AE1073=0),0,AE1073-AJ1073)</f>
        <v>0</v>
      </c>
      <c r="AL1073" s="19" t="str">
        <f aca="false">IF(AD1073="","",AD1073-AK1073)</f>
        <v/>
      </c>
      <c r="AM1073" s="26" t="str">
        <f aca="false">IF(C1073="","","Waiting for payment")</f>
        <v/>
      </c>
      <c r="AN1073" s="27"/>
      <c r="AO1073" s="27"/>
      <c r="AP1073" s="35" t="str">
        <f aca="false">IF(OR(C1073="",I1073="",K1073=""),"",IF(K1073="Monthly",EDATE(C1073,ROUND(I1073*SETTINGS!$I$8,0)),WORKDAY(C1073,ROUND(I1073*SETTINGS!$I$8,0))))</f>
        <v/>
      </c>
      <c r="AQ1073" s="26" t="str">
        <f aca="true">IF(C1073="","",IF(AND(AP1073&lt;&gt;"",TODAY()&gt;=AP1073),"Refi Ready",IF(TODAY()-C1073&gt;=SETTINGS!$I$11,"Prospecting","Performing")))</f>
        <v/>
      </c>
      <c r="AR1073" s="35" t="str">
        <f aca="false">IF(OR(C1073="",I1073="",K1073=""),"",IF(K1073="Monthly",EDATE(C1073,I1073),WORKDAY(C1073,I1073)))</f>
        <v/>
      </c>
      <c r="AS1073" s="28"/>
      <c r="AT1073" s="36" t="str">
        <f aca="true">IF(C1073="","",IF(AM1073="Clawed Back","CLAWED",IF(TODAY()&lt;=C1073+SETTINGS!$I$2,"⚠ AT RISK","SAFE")))</f>
        <v/>
      </c>
      <c r="AU1073" s="28"/>
      <c r="AW1073" s="24" t="n">
        <f aca="false">AW1072+IF(AND(C1073&lt;&gt;"",AO1073&lt;&gt;"",OR('REP COMMISSION'!$B$3="",T1073='REP COMMISSION'!$B$3,W1073='REP COMMISSION'!$B$3,Z1073='REP COMMISSION'!$B$3)),1,0)</f>
        <v>0</v>
      </c>
      <c r="AX1073" s="24" t="n">
        <f aca="false">AX1072+IF(AND(C1073&lt;&gt;"",OR(F1073="LOC - INITIAL",F1073="CONSOLIDATION - UPFRONT COMM",F1073="REVERSE - TOTAL FUNDING")),1,0)</f>
        <v>0</v>
      </c>
    </row>
    <row r="1074" customFormat="false" ht="15" hidden="false" customHeight="false" outlineLevel="0" collapsed="false">
      <c r="A1074" s="8" t="str">
        <f aca="false">IF(C1074&lt;&gt;"","F27-"&amp;COUNT($C$4:C1074),"")</f>
        <v/>
      </c>
      <c r="B1074" s="9" t="str">
        <f aca="false">IF(OR(F1074="LOC - INITIAL",F1074="CONSOLIDATION - UPFRONT COMM",F1074="REVERSE - TOTAL FUNDING"),A1074,"")</f>
        <v/>
      </c>
      <c r="C1074" s="10"/>
      <c r="D1074" s="11"/>
      <c r="E1074" s="11"/>
      <c r="F1074" s="11"/>
      <c r="G1074" s="12"/>
      <c r="H1074" s="13"/>
      <c r="I1074" s="11"/>
      <c r="J1074" s="14" t="str">
        <f aca="false">IF(AND(G1074&lt;&gt;"",H1074&lt;&gt;""),G1074*H1074,"")</f>
        <v/>
      </c>
      <c r="K1074" s="11"/>
      <c r="L1074" s="15"/>
      <c r="M1074" s="15"/>
      <c r="N1074" s="14" t="n">
        <f aca="false">IF(OR(G1074="",M1074=""),0,IF(M1074&gt;100,M1074,G1074*IF(M1074&gt;1,M1074/100,M1074)))</f>
        <v>0</v>
      </c>
      <c r="O1074" s="14" t="str">
        <f aca="false">IF(G1074="","",G1074*IF(L1074="",0,IF(L1074&gt;1,L1074/100,L1074))+N1074)</f>
        <v/>
      </c>
      <c r="P1074" s="11"/>
      <c r="Q1074" s="16" t="str">
        <f aca="false">IF(P1074="","",IFERROR(VLOOKUP(P1074,PARTNERS!$A$2:$B$30,2,0),""))</f>
        <v/>
      </c>
      <c r="R1074" s="17" t="str">
        <f aca="false">IF(O1074="","",IF(OR(P1074="",Q1074=""),0,(O1074-N1074)*IF(Q1074&gt;1,Q1074/100,Q1074)))</f>
        <v/>
      </c>
      <c r="S1074" s="14" t="str">
        <f aca="false">IF(O1074="","",O1074-R1074)</f>
        <v/>
      </c>
      <c r="T1074" s="11"/>
      <c r="U1074" s="18" t="str">
        <f aca="false">IF(T1074="","",IFERROR(VLOOKUP(T1074,REPS!$A$2:$D$40,2,0),""))</f>
        <v/>
      </c>
      <c r="V1074" s="14" t="str">
        <f aca="false">IF(O1074="","",IF(U1074="",0,O1074*IF(U1074&gt;1,U1074/100,U1074)))</f>
        <v/>
      </c>
      <c r="W1074" s="11"/>
      <c r="X1074" s="18" t="str">
        <f aca="false">IF(W1074="","",IFERROR(VLOOKUP(W1074,REPS!$A$2:$D$40,3,0),""))</f>
        <v/>
      </c>
      <c r="Y1074" s="14" t="str">
        <f aca="false">IF(O1074="","",IF(X1074="",0,O1074*IF(X1074&gt;1,X1074/100,X1074)))</f>
        <v/>
      </c>
      <c r="Z1074" s="11"/>
      <c r="AA1074" s="18" t="str">
        <f aca="false">IF(Z1074="","",IFERROR(VLOOKUP(Z1074,REPS!$A$2:$D$40,4,0),""))</f>
        <v/>
      </c>
      <c r="AB1074" s="14" t="str">
        <f aca="false">IF(O1074="","",IF(AA1074="",0,O1074*IF(AA1074&gt;1,AA1074/100,AA1074)))</f>
        <v/>
      </c>
      <c r="AC1074" s="14" t="str">
        <f aca="false">IF(O1074="","",V1074+Y1074+AB1074)</f>
        <v/>
      </c>
      <c r="AD1074" s="19" t="str">
        <f aca="false">IF(O1074="","",O1074-R1074-AC1074)</f>
        <v/>
      </c>
      <c r="AE1074" s="20"/>
      <c r="AF1074" s="10"/>
      <c r="AG1074" s="21" t="n">
        <f aca="false">IF(OR(AE1074="",AE1074=0),0,AE1074*IF(U1074="",0,IF(U1074&gt;1,U1074/100,U1074)))</f>
        <v>0</v>
      </c>
      <c r="AH1074" s="21" t="n">
        <f aca="false">IF(OR(AE1074="",AE1074=0),0,AE1074*IF(X1074="",0,IF(X1074&gt;1,X1074/100,X1074)))</f>
        <v>0</v>
      </c>
      <c r="AI1074" s="21" t="n">
        <f aca="false">IF(OR(AE1074="",AE1074=0),0,AE1074*IF(AA1074="",0,IF(AA1074&gt;1,AA1074/100,AA1074)))</f>
        <v>0</v>
      </c>
      <c r="AJ1074" s="21" t="n">
        <f aca="false">AG1074+AH1074+AI1074</f>
        <v>0</v>
      </c>
      <c r="AK1074" s="21" t="n">
        <f aca="false">IF(OR(AE1074="",AE1074=0),0,AE1074-AJ1074)</f>
        <v>0</v>
      </c>
      <c r="AL1074" s="19" t="str">
        <f aca="false">IF(AD1074="","",AD1074-AK1074)</f>
        <v/>
      </c>
      <c r="AM1074" s="9" t="str">
        <f aca="false">IF(C1074="","","Waiting for payment")</f>
        <v/>
      </c>
      <c r="AN1074" s="10"/>
      <c r="AO1074" s="10"/>
      <c r="AP1074" s="22" t="str">
        <f aca="false">IF(OR(C1074="",I1074="",K1074=""),"",IF(K1074="Monthly",EDATE(C1074,ROUND(I1074*SETTINGS!$I$8,0)),WORKDAY(C1074,ROUND(I1074*SETTINGS!$I$8,0))))</f>
        <v/>
      </c>
      <c r="AQ1074" s="9" t="str">
        <f aca="true">IF(C1074="","",IF(AND(AP1074&lt;&gt;"",TODAY()&gt;=AP1074),"Refi Ready",IF(TODAY()-C1074&gt;=SETTINGS!$I$11,"Prospecting","Performing")))</f>
        <v/>
      </c>
      <c r="AR1074" s="22" t="str">
        <f aca="false">IF(OR(C1074="",I1074="",K1074=""),"",IF(K1074="Monthly",EDATE(C1074,I1074),WORKDAY(C1074,I1074)))</f>
        <v/>
      </c>
      <c r="AS1074" s="11"/>
      <c r="AT1074" s="23" t="str">
        <f aca="true">IF(C1074="","",IF(AM1074="Clawed Back","CLAWED",IF(TODAY()&lt;=C1074+SETTINGS!$I$2,"⚠ AT RISK","SAFE")))</f>
        <v/>
      </c>
      <c r="AU1074" s="11"/>
      <c r="AW1074" s="24" t="n">
        <f aca="false">AW1073+IF(AND(C1074&lt;&gt;"",AO1074&lt;&gt;"",OR('REP COMMISSION'!$B$3="",T1074='REP COMMISSION'!$B$3,W1074='REP COMMISSION'!$B$3,Z1074='REP COMMISSION'!$B$3)),1,0)</f>
        <v>0</v>
      </c>
      <c r="AX1074" s="24" t="n">
        <f aca="false">AX1073+IF(AND(C1074&lt;&gt;"",OR(F1074="LOC - INITIAL",F1074="CONSOLIDATION - UPFRONT COMM",F1074="REVERSE - TOTAL FUNDING")),1,0)</f>
        <v>0</v>
      </c>
    </row>
    <row r="1075" customFormat="false" ht="15" hidden="false" customHeight="false" outlineLevel="0" collapsed="false">
      <c r="A1075" s="25" t="str">
        <f aca="false">IF(C1075&lt;&gt;"","F27-"&amp;COUNT($C$4:C1075),"")</f>
        <v/>
      </c>
      <c r="B1075" s="26" t="str">
        <f aca="false">IF(OR(F1075="LOC - INITIAL",F1075="CONSOLIDATION - UPFRONT COMM",F1075="REVERSE - TOTAL FUNDING"),A1075,"")</f>
        <v/>
      </c>
      <c r="C1075" s="27"/>
      <c r="D1075" s="28"/>
      <c r="E1075" s="28"/>
      <c r="F1075" s="28"/>
      <c r="G1075" s="29"/>
      <c r="H1075" s="30"/>
      <c r="I1075" s="28"/>
      <c r="J1075" s="31" t="str">
        <f aca="false">IF(AND(G1075&lt;&gt;"",H1075&lt;&gt;""),G1075*H1075,"")</f>
        <v/>
      </c>
      <c r="K1075" s="28"/>
      <c r="L1075" s="32"/>
      <c r="M1075" s="32"/>
      <c r="N1075" s="31" t="n">
        <f aca="false">IF(OR(G1075="",M1075=""),0,IF(M1075&gt;100,M1075,G1075*IF(M1075&gt;1,M1075/100,M1075)))</f>
        <v>0</v>
      </c>
      <c r="O1075" s="31" t="str">
        <f aca="false">IF(G1075="","",G1075*IF(L1075="",0,IF(L1075&gt;1,L1075/100,L1075))+N1075)</f>
        <v/>
      </c>
      <c r="P1075" s="28"/>
      <c r="Q1075" s="33" t="str">
        <f aca="false">IF(P1075="","",IFERROR(VLOOKUP(P1075,PARTNERS!$A$2:$B$30,2,0),""))</f>
        <v/>
      </c>
      <c r="R1075" s="17" t="str">
        <f aca="false">IF(O1075="","",IF(OR(P1075="",Q1075=""),0,(O1075-N1075)*IF(Q1075&gt;1,Q1075/100,Q1075)))</f>
        <v/>
      </c>
      <c r="S1075" s="31" t="str">
        <f aca="false">IF(O1075="","",O1075-R1075)</f>
        <v/>
      </c>
      <c r="T1075" s="28"/>
      <c r="U1075" s="34" t="str">
        <f aca="false">IF(T1075="","",IFERROR(VLOOKUP(T1075,REPS!$A$2:$D$40,2,0),""))</f>
        <v/>
      </c>
      <c r="V1075" s="31" t="str">
        <f aca="false">IF(O1075="","",IF(U1075="",0,O1075*IF(U1075&gt;1,U1075/100,U1075)))</f>
        <v/>
      </c>
      <c r="W1075" s="28"/>
      <c r="X1075" s="34" t="str">
        <f aca="false">IF(W1075="","",IFERROR(VLOOKUP(W1075,REPS!$A$2:$D$40,3,0),""))</f>
        <v/>
      </c>
      <c r="Y1075" s="31" t="str">
        <f aca="false">IF(O1075="","",IF(X1075="",0,O1075*IF(X1075&gt;1,X1075/100,X1075)))</f>
        <v/>
      </c>
      <c r="Z1075" s="28"/>
      <c r="AA1075" s="34" t="str">
        <f aca="false">IF(Z1075="","",IFERROR(VLOOKUP(Z1075,REPS!$A$2:$D$40,4,0),""))</f>
        <v/>
      </c>
      <c r="AB1075" s="31" t="str">
        <f aca="false">IF(O1075="","",IF(AA1075="",0,O1075*IF(AA1075&gt;1,AA1075/100,AA1075)))</f>
        <v/>
      </c>
      <c r="AC1075" s="31" t="str">
        <f aca="false">IF(O1075="","",V1075+Y1075+AB1075)</f>
        <v/>
      </c>
      <c r="AD1075" s="19" t="str">
        <f aca="false">IF(O1075="","",O1075-R1075-AC1075)</f>
        <v/>
      </c>
      <c r="AE1075" s="20"/>
      <c r="AF1075" s="27"/>
      <c r="AG1075" s="21" t="n">
        <f aca="false">IF(OR(AE1075="",AE1075=0),0,AE1075*IF(U1075="",0,IF(U1075&gt;1,U1075/100,U1075)))</f>
        <v>0</v>
      </c>
      <c r="AH1075" s="21" t="n">
        <f aca="false">IF(OR(AE1075="",AE1075=0),0,AE1075*IF(X1075="",0,IF(X1075&gt;1,X1075/100,X1075)))</f>
        <v>0</v>
      </c>
      <c r="AI1075" s="21" t="n">
        <f aca="false">IF(OR(AE1075="",AE1075=0),0,AE1075*IF(AA1075="",0,IF(AA1075&gt;1,AA1075/100,AA1075)))</f>
        <v>0</v>
      </c>
      <c r="AJ1075" s="21" t="n">
        <f aca="false">AG1075+AH1075+AI1075</f>
        <v>0</v>
      </c>
      <c r="AK1075" s="21" t="n">
        <f aca="false">IF(OR(AE1075="",AE1075=0),0,AE1075-AJ1075)</f>
        <v>0</v>
      </c>
      <c r="AL1075" s="19" t="str">
        <f aca="false">IF(AD1075="","",AD1075-AK1075)</f>
        <v/>
      </c>
      <c r="AM1075" s="26" t="str">
        <f aca="false">IF(C1075="","","Waiting for payment")</f>
        <v/>
      </c>
      <c r="AN1075" s="27"/>
      <c r="AO1075" s="27"/>
      <c r="AP1075" s="35" t="str">
        <f aca="false">IF(OR(C1075="",I1075="",K1075=""),"",IF(K1075="Monthly",EDATE(C1075,ROUND(I1075*SETTINGS!$I$8,0)),WORKDAY(C1075,ROUND(I1075*SETTINGS!$I$8,0))))</f>
        <v/>
      </c>
      <c r="AQ1075" s="26" t="str">
        <f aca="true">IF(C1075="","",IF(AND(AP1075&lt;&gt;"",TODAY()&gt;=AP1075),"Refi Ready",IF(TODAY()-C1075&gt;=SETTINGS!$I$11,"Prospecting","Performing")))</f>
        <v/>
      </c>
      <c r="AR1075" s="35" t="str">
        <f aca="false">IF(OR(C1075="",I1075="",K1075=""),"",IF(K1075="Monthly",EDATE(C1075,I1075),WORKDAY(C1075,I1075)))</f>
        <v/>
      </c>
      <c r="AS1075" s="28"/>
      <c r="AT1075" s="36" t="str">
        <f aca="true">IF(C1075="","",IF(AM1075="Clawed Back","CLAWED",IF(TODAY()&lt;=C1075+SETTINGS!$I$2,"⚠ AT RISK","SAFE")))</f>
        <v/>
      </c>
      <c r="AU1075" s="28"/>
      <c r="AW1075" s="24" t="n">
        <f aca="false">AW1074+IF(AND(C1075&lt;&gt;"",AO1075&lt;&gt;"",OR('REP COMMISSION'!$B$3="",T1075='REP COMMISSION'!$B$3,W1075='REP COMMISSION'!$B$3,Z1075='REP COMMISSION'!$B$3)),1,0)</f>
        <v>0</v>
      </c>
      <c r="AX1075" s="24" t="n">
        <f aca="false">AX1074+IF(AND(C1075&lt;&gt;"",OR(F1075="LOC - INITIAL",F1075="CONSOLIDATION - UPFRONT COMM",F1075="REVERSE - TOTAL FUNDING")),1,0)</f>
        <v>0</v>
      </c>
    </row>
    <row r="1076" customFormat="false" ht="15" hidden="false" customHeight="false" outlineLevel="0" collapsed="false">
      <c r="A1076" s="8" t="str">
        <f aca="false">IF(C1076&lt;&gt;"","F27-"&amp;COUNT($C$4:C1076),"")</f>
        <v/>
      </c>
      <c r="B1076" s="9" t="str">
        <f aca="false">IF(OR(F1076="LOC - INITIAL",F1076="CONSOLIDATION - UPFRONT COMM",F1076="REVERSE - TOTAL FUNDING"),A1076,"")</f>
        <v/>
      </c>
      <c r="C1076" s="10"/>
      <c r="D1076" s="11"/>
      <c r="E1076" s="11"/>
      <c r="F1076" s="11"/>
      <c r="G1076" s="12"/>
      <c r="H1076" s="13"/>
      <c r="I1076" s="11"/>
      <c r="J1076" s="14" t="str">
        <f aca="false">IF(AND(G1076&lt;&gt;"",H1076&lt;&gt;""),G1076*H1076,"")</f>
        <v/>
      </c>
      <c r="K1076" s="11"/>
      <c r="L1076" s="15"/>
      <c r="M1076" s="15"/>
      <c r="N1076" s="14" t="n">
        <f aca="false">IF(OR(G1076="",M1076=""),0,IF(M1076&gt;100,M1076,G1076*IF(M1076&gt;1,M1076/100,M1076)))</f>
        <v>0</v>
      </c>
      <c r="O1076" s="14" t="str">
        <f aca="false">IF(G1076="","",G1076*IF(L1076="",0,IF(L1076&gt;1,L1076/100,L1076))+N1076)</f>
        <v/>
      </c>
      <c r="P1076" s="11"/>
      <c r="Q1076" s="16" t="str">
        <f aca="false">IF(P1076="","",IFERROR(VLOOKUP(P1076,PARTNERS!$A$2:$B$30,2,0),""))</f>
        <v/>
      </c>
      <c r="R1076" s="17" t="str">
        <f aca="false">IF(O1076="","",IF(OR(P1076="",Q1076=""),0,(O1076-N1076)*IF(Q1076&gt;1,Q1076/100,Q1076)))</f>
        <v/>
      </c>
      <c r="S1076" s="14" t="str">
        <f aca="false">IF(O1076="","",O1076-R1076)</f>
        <v/>
      </c>
      <c r="T1076" s="11"/>
      <c r="U1076" s="18" t="str">
        <f aca="false">IF(T1076="","",IFERROR(VLOOKUP(T1076,REPS!$A$2:$D$40,2,0),""))</f>
        <v/>
      </c>
      <c r="V1076" s="14" t="str">
        <f aca="false">IF(O1076="","",IF(U1076="",0,O1076*IF(U1076&gt;1,U1076/100,U1076)))</f>
        <v/>
      </c>
      <c r="W1076" s="11"/>
      <c r="X1076" s="18" t="str">
        <f aca="false">IF(W1076="","",IFERROR(VLOOKUP(W1076,REPS!$A$2:$D$40,3,0),""))</f>
        <v/>
      </c>
      <c r="Y1076" s="14" t="str">
        <f aca="false">IF(O1076="","",IF(X1076="",0,O1076*IF(X1076&gt;1,X1076/100,X1076)))</f>
        <v/>
      </c>
      <c r="Z1076" s="11"/>
      <c r="AA1076" s="18" t="str">
        <f aca="false">IF(Z1076="","",IFERROR(VLOOKUP(Z1076,REPS!$A$2:$D$40,4,0),""))</f>
        <v/>
      </c>
      <c r="AB1076" s="14" t="str">
        <f aca="false">IF(O1076="","",IF(AA1076="",0,O1076*IF(AA1076&gt;1,AA1076/100,AA1076)))</f>
        <v/>
      </c>
      <c r="AC1076" s="14" t="str">
        <f aca="false">IF(O1076="","",V1076+Y1076+AB1076)</f>
        <v/>
      </c>
      <c r="AD1076" s="19" t="str">
        <f aca="false">IF(O1076="","",O1076-R1076-AC1076)</f>
        <v/>
      </c>
      <c r="AE1076" s="20"/>
      <c r="AF1076" s="10"/>
      <c r="AG1076" s="21" t="n">
        <f aca="false">IF(OR(AE1076="",AE1076=0),0,AE1076*IF(U1076="",0,IF(U1076&gt;1,U1076/100,U1076)))</f>
        <v>0</v>
      </c>
      <c r="AH1076" s="21" t="n">
        <f aca="false">IF(OR(AE1076="",AE1076=0),0,AE1076*IF(X1076="",0,IF(X1076&gt;1,X1076/100,X1076)))</f>
        <v>0</v>
      </c>
      <c r="AI1076" s="21" t="n">
        <f aca="false">IF(OR(AE1076="",AE1076=0),0,AE1076*IF(AA1076="",0,IF(AA1076&gt;1,AA1076/100,AA1076)))</f>
        <v>0</v>
      </c>
      <c r="AJ1076" s="21" t="n">
        <f aca="false">AG1076+AH1076+AI1076</f>
        <v>0</v>
      </c>
      <c r="AK1076" s="21" t="n">
        <f aca="false">IF(OR(AE1076="",AE1076=0),0,AE1076-AJ1076)</f>
        <v>0</v>
      </c>
      <c r="AL1076" s="19" t="str">
        <f aca="false">IF(AD1076="","",AD1076-AK1076)</f>
        <v/>
      </c>
      <c r="AM1076" s="9" t="str">
        <f aca="false">IF(C1076="","","Waiting for payment")</f>
        <v/>
      </c>
      <c r="AN1076" s="10"/>
      <c r="AO1076" s="10"/>
      <c r="AP1076" s="22" t="str">
        <f aca="false">IF(OR(C1076="",I1076="",K1076=""),"",IF(K1076="Monthly",EDATE(C1076,ROUND(I1076*SETTINGS!$I$8,0)),WORKDAY(C1076,ROUND(I1076*SETTINGS!$I$8,0))))</f>
        <v/>
      </c>
      <c r="AQ1076" s="9" t="str">
        <f aca="true">IF(C1076="","",IF(AND(AP1076&lt;&gt;"",TODAY()&gt;=AP1076),"Refi Ready",IF(TODAY()-C1076&gt;=SETTINGS!$I$11,"Prospecting","Performing")))</f>
        <v/>
      </c>
      <c r="AR1076" s="22" t="str">
        <f aca="false">IF(OR(C1076="",I1076="",K1076=""),"",IF(K1076="Monthly",EDATE(C1076,I1076),WORKDAY(C1076,I1076)))</f>
        <v/>
      </c>
      <c r="AS1076" s="11"/>
      <c r="AT1076" s="23" t="str">
        <f aca="true">IF(C1076="","",IF(AM1076="Clawed Back","CLAWED",IF(TODAY()&lt;=C1076+SETTINGS!$I$2,"⚠ AT RISK","SAFE")))</f>
        <v/>
      </c>
      <c r="AU1076" s="11"/>
      <c r="AW1076" s="24" t="n">
        <f aca="false">AW1075+IF(AND(C1076&lt;&gt;"",AO1076&lt;&gt;"",OR('REP COMMISSION'!$B$3="",T1076='REP COMMISSION'!$B$3,W1076='REP COMMISSION'!$B$3,Z1076='REP COMMISSION'!$B$3)),1,0)</f>
        <v>0</v>
      </c>
      <c r="AX1076" s="24" t="n">
        <f aca="false">AX1075+IF(AND(C1076&lt;&gt;"",OR(F1076="LOC - INITIAL",F1076="CONSOLIDATION - UPFRONT COMM",F1076="REVERSE - TOTAL FUNDING")),1,0)</f>
        <v>0</v>
      </c>
    </row>
    <row r="1077" customFormat="false" ht="15" hidden="false" customHeight="false" outlineLevel="0" collapsed="false">
      <c r="A1077" s="25" t="str">
        <f aca="false">IF(C1077&lt;&gt;"","F27-"&amp;COUNT($C$4:C1077),"")</f>
        <v/>
      </c>
      <c r="B1077" s="26" t="str">
        <f aca="false">IF(OR(F1077="LOC - INITIAL",F1077="CONSOLIDATION - UPFRONT COMM",F1077="REVERSE - TOTAL FUNDING"),A1077,"")</f>
        <v/>
      </c>
      <c r="C1077" s="27"/>
      <c r="D1077" s="28"/>
      <c r="E1077" s="28"/>
      <c r="F1077" s="28"/>
      <c r="G1077" s="29"/>
      <c r="H1077" s="30"/>
      <c r="I1077" s="28"/>
      <c r="J1077" s="31" t="str">
        <f aca="false">IF(AND(G1077&lt;&gt;"",H1077&lt;&gt;""),G1077*H1077,"")</f>
        <v/>
      </c>
      <c r="K1077" s="28"/>
      <c r="L1077" s="32"/>
      <c r="M1077" s="32"/>
      <c r="N1077" s="31" t="n">
        <f aca="false">IF(OR(G1077="",M1077=""),0,IF(M1077&gt;100,M1077,G1077*IF(M1077&gt;1,M1077/100,M1077)))</f>
        <v>0</v>
      </c>
      <c r="O1077" s="31" t="str">
        <f aca="false">IF(G1077="","",G1077*IF(L1077="",0,IF(L1077&gt;1,L1077/100,L1077))+N1077)</f>
        <v/>
      </c>
      <c r="P1077" s="28"/>
      <c r="Q1077" s="33" t="str">
        <f aca="false">IF(P1077="","",IFERROR(VLOOKUP(P1077,PARTNERS!$A$2:$B$30,2,0),""))</f>
        <v/>
      </c>
      <c r="R1077" s="17" t="str">
        <f aca="false">IF(O1077="","",IF(OR(P1077="",Q1077=""),0,(O1077-N1077)*IF(Q1077&gt;1,Q1077/100,Q1077)))</f>
        <v/>
      </c>
      <c r="S1077" s="31" t="str">
        <f aca="false">IF(O1077="","",O1077-R1077)</f>
        <v/>
      </c>
      <c r="T1077" s="28"/>
      <c r="U1077" s="34" t="str">
        <f aca="false">IF(T1077="","",IFERROR(VLOOKUP(T1077,REPS!$A$2:$D$40,2,0),""))</f>
        <v/>
      </c>
      <c r="V1077" s="31" t="str">
        <f aca="false">IF(O1077="","",IF(U1077="",0,O1077*IF(U1077&gt;1,U1077/100,U1077)))</f>
        <v/>
      </c>
      <c r="W1077" s="28"/>
      <c r="X1077" s="34" t="str">
        <f aca="false">IF(W1077="","",IFERROR(VLOOKUP(W1077,REPS!$A$2:$D$40,3,0),""))</f>
        <v/>
      </c>
      <c r="Y1077" s="31" t="str">
        <f aca="false">IF(O1077="","",IF(X1077="",0,O1077*IF(X1077&gt;1,X1077/100,X1077)))</f>
        <v/>
      </c>
      <c r="Z1077" s="28"/>
      <c r="AA1077" s="34" t="str">
        <f aca="false">IF(Z1077="","",IFERROR(VLOOKUP(Z1077,REPS!$A$2:$D$40,4,0),""))</f>
        <v/>
      </c>
      <c r="AB1077" s="31" t="str">
        <f aca="false">IF(O1077="","",IF(AA1077="",0,O1077*IF(AA1077&gt;1,AA1077/100,AA1077)))</f>
        <v/>
      </c>
      <c r="AC1077" s="31" t="str">
        <f aca="false">IF(O1077="","",V1077+Y1077+AB1077)</f>
        <v/>
      </c>
      <c r="AD1077" s="19" t="str">
        <f aca="false">IF(O1077="","",O1077-R1077-AC1077)</f>
        <v/>
      </c>
      <c r="AE1077" s="20"/>
      <c r="AF1077" s="27"/>
      <c r="AG1077" s="21" t="n">
        <f aca="false">IF(OR(AE1077="",AE1077=0),0,AE1077*IF(U1077="",0,IF(U1077&gt;1,U1077/100,U1077)))</f>
        <v>0</v>
      </c>
      <c r="AH1077" s="21" t="n">
        <f aca="false">IF(OR(AE1077="",AE1077=0),0,AE1077*IF(X1077="",0,IF(X1077&gt;1,X1077/100,X1077)))</f>
        <v>0</v>
      </c>
      <c r="AI1077" s="21" t="n">
        <f aca="false">IF(OR(AE1077="",AE1077=0),0,AE1077*IF(AA1077="",0,IF(AA1077&gt;1,AA1077/100,AA1077)))</f>
        <v>0</v>
      </c>
      <c r="AJ1077" s="21" t="n">
        <f aca="false">AG1077+AH1077+AI1077</f>
        <v>0</v>
      </c>
      <c r="AK1077" s="21" t="n">
        <f aca="false">IF(OR(AE1077="",AE1077=0),0,AE1077-AJ1077)</f>
        <v>0</v>
      </c>
      <c r="AL1077" s="19" t="str">
        <f aca="false">IF(AD1077="","",AD1077-AK1077)</f>
        <v/>
      </c>
      <c r="AM1077" s="26" t="str">
        <f aca="false">IF(C1077="","","Waiting for payment")</f>
        <v/>
      </c>
      <c r="AN1077" s="27"/>
      <c r="AO1077" s="27"/>
      <c r="AP1077" s="35" t="str">
        <f aca="false">IF(OR(C1077="",I1077="",K1077=""),"",IF(K1077="Monthly",EDATE(C1077,ROUND(I1077*SETTINGS!$I$8,0)),WORKDAY(C1077,ROUND(I1077*SETTINGS!$I$8,0))))</f>
        <v/>
      </c>
      <c r="AQ1077" s="26" t="str">
        <f aca="true">IF(C1077="","",IF(AND(AP1077&lt;&gt;"",TODAY()&gt;=AP1077),"Refi Ready",IF(TODAY()-C1077&gt;=SETTINGS!$I$11,"Prospecting","Performing")))</f>
        <v/>
      </c>
      <c r="AR1077" s="35" t="str">
        <f aca="false">IF(OR(C1077="",I1077="",K1077=""),"",IF(K1077="Monthly",EDATE(C1077,I1077),WORKDAY(C1077,I1077)))</f>
        <v/>
      </c>
      <c r="AS1077" s="28"/>
      <c r="AT1077" s="36" t="str">
        <f aca="true">IF(C1077="","",IF(AM1077="Clawed Back","CLAWED",IF(TODAY()&lt;=C1077+SETTINGS!$I$2,"⚠ AT RISK","SAFE")))</f>
        <v/>
      </c>
      <c r="AU1077" s="28"/>
      <c r="AW1077" s="24" t="n">
        <f aca="false">AW1076+IF(AND(C1077&lt;&gt;"",AO1077&lt;&gt;"",OR('REP COMMISSION'!$B$3="",T1077='REP COMMISSION'!$B$3,W1077='REP COMMISSION'!$B$3,Z1077='REP COMMISSION'!$B$3)),1,0)</f>
        <v>0</v>
      </c>
      <c r="AX1077" s="24" t="n">
        <f aca="false">AX1076+IF(AND(C1077&lt;&gt;"",OR(F1077="LOC - INITIAL",F1077="CONSOLIDATION - UPFRONT COMM",F1077="REVERSE - TOTAL FUNDING")),1,0)</f>
        <v>0</v>
      </c>
    </row>
    <row r="1078" customFormat="false" ht="15" hidden="false" customHeight="false" outlineLevel="0" collapsed="false">
      <c r="A1078" s="8" t="str">
        <f aca="false">IF(C1078&lt;&gt;"","F27-"&amp;COUNT($C$4:C1078),"")</f>
        <v/>
      </c>
      <c r="B1078" s="9" t="str">
        <f aca="false">IF(OR(F1078="LOC - INITIAL",F1078="CONSOLIDATION - UPFRONT COMM",F1078="REVERSE - TOTAL FUNDING"),A1078,"")</f>
        <v/>
      </c>
      <c r="C1078" s="10"/>
      <c r="D1078" s="11"/>
      <c r="E1078" s="11"/>
      <c r="F1078" s="11"/>
      <c r="G1078" s="12"/>
      <c r="H1078" s="13"/>
      <c r="I1078" s="11"/>
      <c r="J1078" s="14" t="str">
        <f aca="false">IF(AND(G1078&lt;&gt;"",H1078&lt;&gt;""),G1078*H1078,"")</f>
        <v/>
      </c>
      <c r="K1078" s="11"/>
      <c r="L1078" s="15"/>
      <c r="M1078" s="15"/>
      <c r="N1078" s="14" t="n">
        <f aca="false">IF(OR(G1078="",M1078=""),0,IF(M1078&gt;100,M1078,G1078*IF(M1078&gt;1,M1078/100,M1078)))</f>
        <v>0</v>
      </c>
      <c r="O1078" s="14" t="str">
        <f aca="false">IF(G1078="","",G1078*IF(L1078="",0,IF(L1078&gt;1,L1078/100,L1078))+N1078)</f>
        <v/>
      </c>
      <c r="P1078" s="11"/>
      <c r="Q1078" s="16" t="str">
        <f aca="false">IF(P1078="","",IFERROR(VLOOKUP(P1078,PARTNERS!$A$2:$B$30,2,0),""))</f>
        <v/>
      </c>
      <c r="R1078" s="17" t="str">
        <f aca="false">IF(O1078="","",IF(OR(P1078="",Q1078=""),0,(O1078-N1078)*IF(Q1078&gt;1,Q1078/100,Q1078)))</f>
        <v/>
      </c>
      <c r="S1078" s="14" t="str">
        <f aca="false">IF(O1078="","",O1078-R1078)</f>
        <v/>
      </c>
      <c r="T1078" s="11"/>
      <c r="U1078" s="18" t="str">
        <f aca="false">IF(T1078="","",IFERROR(VLOOKUP(T1078,REPS!$A$2:$D$40,2,0),""))</f>
        <v/>
      </c>
      <c r="V1078" s="14" t="str">
        <f aca="false">IF(O1078="","",IF(U1078="",0,O1078*IF(U1078&gt;1,U1078/100,U1078)))</f>
        <v/>
      </c>
      <c r="W1078" s="11"/>
      <c r="X1078" s="18" t="str">
        <f aca="false">IF(W1078="","",IFERROR(VLOOKUP(W1078,REPS!$A$2:$D$40,3,0),""))</f>
        <v/>
      </c>
      <c r="Y1078" s="14" t="str">
        <f aca="false">IF(O1078="","",IF(X1078="",0,O1078*IF(X1078&gt;1,X1078/100,X1078)))</f>
        <v/>
      </c>
      <c r="Z1078" s="11"/>
      <c r="AA1078" s="18" t="str">
        <f aca="false">IF(Z1078="","",IFERROR(VLOOKUP(Z1078,REPS!$A$2:$D$40,4,0),""))</f>
        <v/>
      </c>
      <c r="AB1078" s="14" t="str">
        <f aca="false">IF(O1078="","",IF(AA1078="",0,O1078*IF(AA1078&gt;1,AA1078/100,AA1078)))</f>
        <v/>
      </c>
      <c r="AC1078" s="14" t="str">
        <f aca="false">IF(O1078="","",V1078+Y1078+AB1078)</f>
        <v/>
      </c>
      <c r="AD1078" s="19" t="str">
        <f aca="false">IF(O1078="","",O1078-R1078-AC1078)</f>
        <v/>
      </c>
      <c r="AE1078" s="20"/>
      <c r="AF1078" s="10"/>
      <c r="AG1078" s="21" t="n">
        <f aca="false">IF(OR(AE1078="",AE1078=0),0,AE1078*IF(U1078="",0,IF(U1078&gt;1,U1078/100,U1078)))</f>
        <v>0</v>
      </c>
      <c r="AH1078" s="21" t="n">
        <f aca="false">IF(OR(AE1078="",AE1078=0),0,AE1078*IF(X1078="",0,IF(X1078&gt;1,X1078/100,X1078)))</f>
        <v>0</v>
      </c>
      <c r="AI1078" s="21" t="n">
        <f aca="false">IF(OR(AE1078="",AE1078=0),0,AE1078*IF(AA1078="",0,IF(AA1078&gt;1,AA1078/100,AA1078)))</f>
        <v>0</v>
      </c>
      <c r="AJ1078" s="21" t="n">
        <f aca="false">AG1078+AH1078+AI1078</f>
        <v>0</v>
      </c>
      <c r="AK1078" s="21" t="n">
        <f aca="false">IF(OR(AE1078="",AE1078=0),0,AE1078-AJ1078)</f>
        <v>0</v>
      </c>
      <c r="AL1078" s="19" t="str">
        <f aca="false">IF(AD1078="","",AD1078-AK1078)</f>
        <v/>
      </c>
      <c r="AM1078" s="9" t="str">
        <f aca="false">IF(C1078="","","Waiting for payment")</f>
        <v/>
      </c>
      <c r="AN1078" s="10"/>
      <c r="AO1078" s="10"/>
      <c r="AP1078" s="22" t="str">
        <f aca="false">IF(OR(C1078="",I1078="",K1078=""),"",IF(K1078="Monthly",EDATE(C1078,ROUND(I1078*SETTINGS!$I$8,0)),WORKDAY(C1078,ROUND(I1078*SETTINGS!$I$8,0))))</f>
        <v/>
      </c>
      <c r="AQ1078" s="9" t="str">
        <f aca="true">IF(C1078="","",IF(AND(AP1078&lt;&gt;"",TODAY()&gt;=AP1078),"Refi Ready",IF(TODAY()-C1078&gt;=SETTINGS!$I$11,"Prospecting","Performing")))</f>
        <v/>
      </c>
      <c r="AR1078" s="22" t="str">
        <f aca="false">IF(OR(C1078="",I1078="",K1078=""),"",IF(K1078="Monthly",EDATE(C1078,I1078),WORKDAY(C1078,I1078)))</f>
        <v/>
      </c>
      <c r="AS1078" s="11"/>
      <c r="AT1078" s="23" t="str">
        <f aca="true">IF(C1078="","",IF(AM1078="Clawed Back","CLAWED",IF(TODAY()&lt;=C1078+SETTINGS!$I$2,"⚠ AT RISK","SAFE")))</f>
        <v/>
      </c>
      <c r="AU1078" s="11"/>
      <c r="AW1078" s="24" t="n">
        <f aca="false">AW1077+IF(AND(C1078&lt;&gt;"",AO1078&lt;&gt;"",OR('REP COMMISSION'!$B$3="",T1078='REP COMMISSION'!$B$3,W1078='REP COMMISSION'!$B$3,Z1078='REP COMMISSION'!$B$3)),1,0)</f>
        <v>0</v>
      </c>
      <c r="AX1078" s="24" t="n">
        <f aca="false">AX1077+IF(AND(C1078&lt;&gt;"",OR(F1078="LOC - INITIAL",F1078="CONSOLIDATION - UPFRONT COMM",F1078="REVERSE - TOTAL FUNDING")),1,0)</f>
        <v>0</v>
      </c>
    </row>
    <row r="1079" customFormat="false" ht="15" hidden="false" customHeight="false" outlineLevel="0" collapsed="false">
      <c r="A1079" s="25" t="str">
        <f aca="false">IF(C1079&lt;&gt;"","F27-"&amp;COUNT($C$4:C1079),"")</f>
        <v/>
      </c>
      <c r="B1079" s="26" t="str">
        <f aca="false">IF(OR(F1079="LOC - INITIAL",F1079="CONSOLIDATION - UPFRONT COMM",F1079="REVERSE - TOTAL FUNDING"),A1079,"")</f>
        <v/>
      </c>
      <c r="C1079" s="27"/>
      <c r="D1079" s="28"/>
      <c r="E1079" s="28"/>
      <c r="F1079" s="28"/>
      <c r="G1079" s="29"/>
      <c r="H1079" s="30"/>
      <c r="I1079" s="28"/>
      <c r="J1079" s="31" t="str">
        <f aca="false">IF(AND(G1079&lt;&gt;"",H1079&lt;&gt;""),G1079*H1079,"")</f>
        <v/>
      </c>
      <c r="K1079" s="28"/>
      <c r="L1079" s="32"/>
      <c r="M1079" s="32"/>
      <c r="N1079" s="31" t="n">
        <f aca="false">IF(OR(G1079="",M1079=""),0,IF(M1079&gt;100,M1079,G1079*IF(M1079&gt;1,M1079/100,M1079)))</f>
        <v>0</v>
      </c>
      <c r="O1079" s="31" t="str">
        <f aca="false">IF(G1079="","",G1079*IF(L1079="",0,IF(L1079&gt;1,L1079/100,L1079))+N1079)</f>
        <v/>
      </c>
      <c r="P1079" s="28"/>
      <c r="Q1079" s="33" t="str">
        <f aca="false">IF(P1079="","",IFERROR(VLOOKUP(P1079,PARTNERS!$A$2:$B$30,2,0),""))</f>
        <v/>
      </c>
      <c r="R1079" s="17" t="str">
        <f aca="false">IF(O1079="","",IF(OR(P1079="",Q1079=""),0,(O1079-N1079)*IF(Q1079&gt;1,Q1079/100,Q1079)))</f>
        <v/>
      </c>
      <c r="S1079" s="31" t="str">
        <f aca="false">IF(O1079="","",O1079-R1079)</f>
        <v/>
      </c>
      <c r="T1079" s="28"/>
      <c r="U1079" s="34" t="str">
        <f aca="false">IF(T1079="","",IFERROR(VLOOKUP(T1079,REPS!$A$2:$D$40,2,0),""))</f>
        <v/>
      </c>
      <c r="V1079" s="31" t="str">
        <f aca="false">IF(O1079="","",IF(U1079="",0,O1079*IF(U1079&gt;1,U1079/100,U1079)))</f>
        <v/>
      </c>
      <c r="W1079" s="28"/>
      <c r="X1079" s="34" t="str">
        <f aca="false">IF(W1079="","",IFERROR(VLOOKUP(W1079,REPS!$A$2:$D$40,3,0),""))</f>
        <v/>
      </c>
      <c r="Y1079" s="31" t="str">
        <f aca="false">IF(O1079="","",IF(X1079="",0,O1079*IF(X1079&gt;1,X1079/100,X1079)))</f>
        <v/>
      </c>
      <c r="Z1079" s="28"/>
      <c r="AA1079" s="34" t="str">
        <f aca="false">IF(Z1079="","",IFERROR(VLOOKUP(Z1079,REPS!$A$2:$D$40,4,0),""))</f>
        <v/>
      </c>
      <c r="AB1079" s="31" t="str">
        <f aca="false">IF(O1079="","",IF(AA1079="",0,O1079*IF(AA1079&gt;1,AA1079/100,AA1079)))</f>
        <v/>
      </c>
      <c r="AC1079" s="31" t="str">
        <f aca="false">IF(O1079="","",V1079+Y1079+AB1079)</f>
        <v/>
      </c>
      <c r="AD1079" s="19" t="str">
        <f aca="false">IF(O1079="","",O1079-R1079-AC1079)</f>
        <v/>
      </c>
      <c r="AE1079" s="20"/>
      <c r="AF1079" s="27"/>
      <c r="AG1079" s="21" t="n">
        <f aca="false">IF(OR(AE1079="",AE1079=0),0,AE1079*IF(U1079="",0,IF(U1079&gt;1,U1079/100,U1079)))</f>
        <v>0</v>
      </c>
      <c r="AH1079" s="21" t="n">
        <f aca="false">IF(OR(AE1079="",AE1079=0),0,AE1079*IF(X1079="",0,IF(X1079&gt;1,X1079/100,X1079)))</f>
        <v>0</v>
      </c>
      <c r="AI1079" s="21" t="n">
        <f aca="false">IF(OR(AE1079="",AE1079=0),0,AE1079*IF(AA1079="",0,IF(AA1079&gt;1,AA1079/100,AA1079)))</f>
        <v>0</v>
      </c>
      <c r="AJ1079" s="21" t="n">
        <f aca="false">AG1079+AH1079+AI1079</f>
        <v>0</v>
      </c>
      <c r="AK1079" s="21" t="n">
        <f aca="false">IF(OR(AE1079="",AE1079=0),0,AE1079-AJ1079)</f>
        <v>0</v>
      </c>
      <c r="AL1079" s="19" t="str">
        <f aca="false">IF(AD1079="","",AD1079-AK1079)</f>
        <v/>
      </c>
      <c r="AM1079" s="26" t="str">
        <f aca="false">IF(C1079="","","Waiting for payment")</f>
        <v/>
      </c>
      <c r="AN1079" s="27"/>
      <c r="AO1079" s="27"/>
      <c r="AP1079" s="35" t="str">
        <f aca="false">IF(OR(C1079="",I1079="",K1079=""),"",IF(K1079="Monthly",EDATE(C1079,ROUND(I1079*SETTINGS!$I$8,0)),WORKDAY(C1079,ROUND(I1079*SETTINGS!$I$8,0))))</f>
        <v/>
      </c>
      <c r="AQ1079" s="26" t="str">
        <f aca="true">IF(C1079="","",IF(AND(AP1079&lt;&gt;"",TODAY()&gt;=AP1079),"Refi Ready",IF(TODAY()-C1079&gt;=SETTINGS!$I$11,"Prospecting","Performing")))</f>
        <v/>
      </c>
      <c r="AR1079" s="35" t="str">
        <f aca="false">IF(OR(C1079="",I1079="",K1079=""),"",IF(K1079="Monthly",EDATE(C1079,I1079),WORKDAY(C1079,I1079)))</f>
        <v/>
      </c>
      <c r="AS1079" s="28"/>
      <c r="AT1079" s="36" t="str">
        <f aca="true">IF(C1079="","",IF(AM1079="Clawed Back","CLAWED",IF(TODAY()&lt;=C1079+SETTINGS!$I$2,"⚠ AT RISK","SAFE")))</f>
        <v/>
      </c>
      <c r="AU1079" s="28"/>
      <c r="AW1079" s="24" t="n">
        <f aca="false">AW1078+IF(AND(C1079&lt;&gt;"",AO1079&lt;&gt;"",OR('REP COMMISSION'!$B$3="",T1079='REP COMMISSION'!$B$3,W1079='REP COMMISSION'!$B$3,Z1079='REP COMMISSION'!$B$3)),1,0)</f>
        <v>0</v>
      </c>
      <c r="AX1079" s="24" t="n">
        <f aca="false">AX1078+IF(AND(C1079&lt;&gt;"",OR(F1079="LOC - INITIAL",F1079="CONSOLIDATION - UPFRONT COMM",F1079="REVERSE - TOTAL FUNDING")),1,0)</f>
        <v>0</v>
      </c>
    </row>
    <row r="1080" customFormat="false" ht="15" hidden="false" customHeight="false" outlineLevel="0" collapsed="false">
      <c r="A1080" s="8" t="str">
        <f aca="false">IF(C1080&lt;&gt;"","F27-"&amp;COUNT($C$4:C1080),"")</f>
        <v/>
      </c>
      <c r="B1080" s="9" t="str">
        <f aca="false">IF(OR(F1080="LOC - INITIAL",F1080="CONSOLIDATION - UPFRONT COMM",F1080="REVERSE - TOTAL FUNDING"),A1080,"")</f>
        <v/>
      </c>
      <c r="C1080" s="10"/>
      <c r="D1080" s="11"/>
      <c r="E1080" s="11"/>
      <c r="F1080" s="11"/>
      <c r="G1080" s="12"/>
      <c r="H1080" s="13"/>
      <c r="I1080" s="11"/>
      <c r="J1080" s="14" t="str">
        <f aca="false">IF(AND(G1080&lt;&gt;"",H1080&lt;&gt;""),G1080*H1080,"")</f>
        <v/>
      </c>
      <c r="K1080" s="11"/>
      <c r="L1080" s="15"/>
      <c r="M1080" s="15"/>
      <c r="N1080" s="14" t="n">
        <f aca="false">IF(OR(G1080="",M1080=""),0,IF(M1080&gt;100,M1080,G1080*IF(M1080&gt;1,M1080/100,M1080)))</f>
        <v>0</v>
      </c>
      <c r="O1080" s="14" t="str">
        <f aca="false">IF(G1080="","",G1080*IF(L1080="",0,IF(L1080&gt;1,L1080/100,L1080))+N1080)</f>
        <v/>
      </c>
      <c r="P1080" s="11"/>
      <c r="Q1080" s="16" t="str">
        <f aca="false">IF(P1080="","",IFERROR(VLOOKUP(P1080,PARTNERS!$A$2:$B$30,2,0),""))</f>
        <v/>
      </c>
      <c r="R1080" s="17" t="str">
        <f aca="false">IF(O1080="","",IF(OR(P1080="",Q1080=""),0,(O1080-N1080)*IF(Q1080&gt;1,Q1080/100,Q1080)))</f>
        <v/>
      </c>
      <c r="S1080" s="14" t="str">
        <f aca="false">IF(O1080="","",O1080-R1080)</f>
        <v/>
      </c>
      <c r="T1080" s="11"/>
      <c r="U1080" s="18" t="str">
        <f aca="false">IF(T1080="","",IFERROR(VLOOKUP(T1080,REPS!$A$2:$D$40,2,0),""))</f>
        <v/>
      </c>
      <c r="V1080" s="14" t="str">
        <f aca="false">IF(O1080="","",IF(U1080="",0,O1080*IF(U1080&gt;1,U1080/100,U1080)))</f>
        <v/>
      </c>
      <c r="W1080" s="11"/>
      <c r="X1080" s="18" t="str">
        <f aca="false">IF(W1080="","",IFERROR(VLOOKUP(W1080,REPS!$A$2:$D$40,3,0),""))</f>
        <v/>
      </c>
      <c r="Y1080" s="14" t="str">
        <f aca="false">IF(O1080="","",IF(X1080="",0,O1080*IF(X1080&gt;1,X1080/100,X1080)))</f>
        <v/>
      </c>
      <c r="Z1080" s="11"/>
      <c r="AA1080" s="18" t="str">
        <f aca="false">IF(Z1080="","",IFERROR(VLOOKUP(Z1080,REPS!$A$2:$D$40,4,0),""))</f>
        <v/>
      </c>
      <c r="AB1080" s="14" t="str">
        <f aca="false">IF(O1080="","",IF(AA1080="",0,O1080*IF(AA1080&gt;1,AA1080/100,AA1080)))</f>
        <v/>
      </c>
      <c r="AC1080" s="14" t="str">
        <f aca="false">IF(O1080="","",V1080+Y1080+AB1080)</f>
        <v/>
      </c>
      <c r="AD1080" s="19" t="str">
        <f aca="false">IF(O1080="","",O1080-R1080-AC1080)</f>
        <v/>
      </c>
      <c r="AE1080" s="20"/>
      <c r="AF1080" s="10"/>
      <c r="AG1080" s="21" t="n">
        <f aca="false">IF(OR(AE1080="",AE1080=0),0,AE1080*IF(U1080="",0,IF(U1080&gt;1,U1080/100,U1080)))</f>
        <v>0</v>
      </c>
      <c r="AH1080" s="21" t="n">
        <f aca="false">IF(OR(AE1080="",AE1080=0),0,AE1080*IF(X1080="",0,IF(X1080&gt;1,X1080/100,X1080)))</f>
        <v>0</v>
      </c>
      <c r="AI1080" s="21" t="n">
        <f aca="false">IF(OR(AE1080="",AE1080=0),0,AE1080*IF(AA1080="",0,IF(AA1080&gt;1,AA1080/100,AA1080)))</f>
        <v>0</v>
      </c>
      <c r="AJ1080" s="21" t="n">
        <f aca="false">AG1080+AH1080+AI1080</f>
        <v>0</v>
      </c>
      <c r="AK1080" s="21" t="n">
        <f aca="false">IF(OR(AE1080="",AE1080=0),0,AE1080-AJ1080)</f>
        <v>0</v>
      </c>
      <c r="AL1080" s="19" t="str">
        <f aca="false">IF(AD1080="","",AD1080-AK1080)</f>
        <v/>
      </c>
      <c r="AM1080" s="9" t="str">
        <f aca="false">IF(C1080="","","Waiting for payment")</f>
        <v/>
      </c>
      <c r="AN1080" s="10"/>
      <c r="AO1080" s="10"/>
      <c r="AP1080" s="22" t="str">
        <f aca="false">IF(OR(C1080="",I1080="",K1080=""),"",IF(K1080="Monthly",EDATE(C1080,ROUND(I1080*SETTINGS!$I$8,0)),WORKDAY(C1080,ROUND(I1080*SETTINGS!$I$8,0))))</f>
        <v/>
      </c>
      <c r="AQ1080" s="9" t="str">
        <f aca="true">IF(C1080="","",IF(AND(AP1080&lt;&gt;"",TODAY()&gt;=AP1080),"Refi Ready",IF(TODAY()-C1080&gt;=SETTINGS!$I$11,"Prospecting","Performing")))</f>
        <v/>
      </c>
      <c r="AR1080" s="22" t="str">
        <f aca="false">IF(OR(C1080="",I1080="",K1080=""),"",IF(K1080="Monthly",EDATE(C1080,I1080),WORKDAY(C1080,I1080)))</f>
        <v/>
      </c>
      <c r="AS1080" s="11"/>
      <c r="AT1080" s="23" t="str">
        <f aca="true">IF(C1080="","",IF(AM1080="Clawed Back","CLAWED",IF(TODAY()&lt;=C1080+SETTINGS!$I$2,"⚠ AT RISK","SAFE")))</f>
        <v/>
      </c>
      <c r="AU1080" s="11"/>
      <c r="AW1080" s="24" t="n">
        <f aca="false">AW1079+IF(AND(C1080&lt;&gt;"",AO1080&lt;&gt;"",OR('REP COMMISSION'!$B$3="",T1080='REP COMMISSION'!$B$3,W1080='REP COMMISSION'!$B$3,Z1080='REP COMMISSION'!$B$3)),1,0)</f>
        <v>0</v>
      </c>
      <c r="AX1080" s="24" t="n">
        <f aca="false">AX1079+IF(AND(C1080&lt;&gt;"",OR(F1080="LOC - INITIAL",F1080="CONSOLIDATION - UPFRONT COMM",F1080="REVERSE - TOTAL FUNDING")),1,0)</f>
        <v>0</v>
      </c>
    </row>
    <row r="1081" customFormat="false" ht="15" hidden="false" customHeight="false" outlineLevel="0" collapsed="false">
      <c r="A1081" s="25" t="str">
        <f aca="false">IF(C1081&lt;&gt;"","F27-"&amp;COUNT($C$4:C1081),"")</f>
        <v/>
      </c>
      <c r="B1081" s="26" t="str">
        <f aca="false">IF(OR(F1081="LOC - INITIAL",F1081="CONSOLIDATION - UPFRONT COMM",F1081="REVERSE - TOTAL FUNDING"),A1081,"")</f>
        <v/>
      </c>
      <c r="C1081" s="27"/>
      <c r="D1081" s="28"/>
      <c r="E1081" s="28"/>
      <c r="F1081" s="28"/>
      <c r="G1081" s="29"/>
      <c r="H1081" s="30"/>
      <c r="I1081" s="28"/>
      <c r="J1081" s="31" t="str">
        <f aca="false">IF(AND(G1081&lt;&gt;"",H1081&lt;&gt;""),G1081*H1081,"")</f>
        <v/>
      </c>
      <c r="K1081" s="28"/>
      <c r="L1081" s="32"/>
      <c r="M1081" s="32"/>
      <c r="N1081" s="31" t="n">
        <f aca="false">IF(OR(G1081="",M1081=""),0,IF(M1081&gt;100,M1081,G1081*IF(M1081&gt;1,M1081/100,M1081)))</f>
        <v>0</v>
      </c>
      <c r="O1081" s="31" t="str">
        <f aca="false">IF(G1081="","",G1081*IF(L1081="",0,IF(L1081&gt;1,L1081/100,L1081))+N1081)</f>
        <v/>
      </c>
      <c r="P1081" s="28"/>
      <c r="Q1081" s="33" t="str">
        <f aca="false">IF(P1081="","",IFERROR(VLOOKUP(P1081,PARTNERS!$A$2:$B$30,2,0),""))</f>
        <v/>
      </c>
      <c r="R1081" s="17" t="str">
        <f aca="false">IF(O1081="","",IF(OR(P1081="",Q1081=""),0,(O1081-N1081)*IF(Q1081&gt;1,Q1081/100,Q1081)))</f>
        <v/>
      </c>
      <c r="S1081" s="31" t="str">
        <f aca="false">IF(O1081="","",O1081-R1081)</f>
        <v/>
      </c>
      <c r="T1081" s="28"/>
      <c r="U1081" s="34" t="str">
        <f aca="false">IF(T1081="","",IFERROR(VLOOKUP(T1081,REPS!$A$2:$D$40,2,0),""))</f>
        <v/>
      </c>
      <c r="V1081" s="31" t="str">
        <f aca="false">IF(O1081="","",IF(U1081="",0,O1081*IF(U1081&gt;1,U1081/100,U1081)))</f>
        <v/>
      </c>
      <c r="W1081" s="28"/>
      <c r="X1081" s="34" t="str">
        <f aca="false">IF(W1081="","",IFERROR(VLOOKUP(W1081,REPS!$A$2:$D$40,3,0),""))</f>
        <v/>
      </c>
      <c r="Y1081" s="31" t="str">
        <f aca="false">IF(O1081="","",IF(X1081="",0,O1081*IF(X1081&gt;1,X1081/100,X1081)))</f>
        <v/>
      </c>
      <c r="Z1081" s="28"/>
      <c r="AA1081" s="34" t="str">
        <f aca="false">IF(Z1081="","",IFERROR(VLOOKUP(Z1081,REPS!$A$2:$D$40,4,0),""))</f>
        <v/>
      </c>
      <c r="AB1081" s="31" t="str">
        <f aca="false">IF(O1081="","",IF(AA1081="",0,O1081*IF(AA1081&gt;1,AA1081/100,AA1081)))</f>
        <v/>
      </c>
      <c r="AC1081" s="31" t="str">
        <f aca="false">IF(O1081="","",V1081+Y1081+AB1081)</f>
        <v/>
      </c>
      <c r="AD1081" s="19" t="str">
        <f aca="false">IF(O1081="","",O1081-R1081-AC1081)</f>
        <v/>
      </c>
      <c r="AE1081" s="20"/>
      <c r="AF1081" s="27"/>
      <c r="AG1081" s="21" t="n">
        <f aca="false">IF(OR(AE1081="",AE1081=0),0,AE1081*IF(U1081="",0,IF(U1081&gt;1,U1081/100,U1081)))</f>
        <v>0</v>
      </c>
      <c r="AH1081" s="21" t="n">
        <f aca="false">IF(OR(AE1081="",AE1081=0),0,AE1081*IF(X1081="",0,IF(X1081&gt;1,X1081/100,X1081)))</f>
        <v>0</v>
      </c>
      <c r="AI1081" s="21" t="n">
        <f aca="false">IF(OR(AE1081="",AE1081=0),0,AE1081*IF(AA1081="",0,IF(AA1081&gt;1,AA1081/100,AA1081)))</f>
        <v>0</v>
      </c>
      <c r="AJ1081" s="21" t="n">
        <f aca="false">AG1081+AH1081+AI1081</f>
        <v>0</v>
      </c>
      <c r="AK1081" s="21" t="n">
        <f aca="false">IF(OR(AE1081="",AE1081=0),0,AE1081-AJ1081)</f>
        <v>0</v>
      </c>
      <c r="AL1081" s="19" t="str">
        <f aca="false">IF(AD1081="","",AD1081-AK1081)</f>
        <v/>
      </c>
      <c r="AM1081" s="26" t="str">
        <f aca="false">IF(C1081="","","Waiting for payment")</f>
        <v/>
      </c>
      <c r="AN1081" s="27"/>
      <c r="AO1081" s="27"/>
      <c r="AP1081" s="35" t="str">
        <f aca="false">IF(OR(C1081="",I1081="",K1081=""),"",IF(K1081="Monthly",EDATE(C1081,ROUND(I1081*SETTINGS!$I$8,0)),WORKDAY(C1081,ROUND(I1081*SETTINGS!$I$8,0))))</f>
        <v/>
      </c>
      <c r="AQ1081" s="26" t="str">
        <f aca="true">IF(C1081="","",IF(AND(AP1081&lt;&gt;"",TODAY()&gt;=AP1081),"Refi Ready",IF(TODAY()-C1081&gt;=SETTINGS!$I$11,"Prospecting","Performing")))</f>
        <v/>
      </c>
      <c r="AR1081" s="35" t="str">
        <f aca="false">IF(OR(C1081="",I1081="",K1081=""),"",IF(K1081="Monthly",EDATE(C1081,I1081),WORKDAY(C1081,I1081)))</f>
        <v/>
      </c>
      <c r="AS1081" s="28"/>
      <c r="AT1081" s="36" t="str">
        <f aca="true">IF(C1081="","",IF(AM1081="Clawed Back","CLAWED",IF(TODAY()&lt;=C1081+SETTINGS!$I$2,"⚠ AT RISK","SAFE")))</f>
        <v/>
      </c>
      <c r="AU1081" s="28"/>
      <c r="AW1081" s="24" t="n">
        <f aca="false">AW1080+IF(AND(C1081&lt;&gt;"",AO1081&lt;&gt;"",OR('REP COMMISSION'!$B$3="",T1081='REP COMMISSION'!$B$3,W1081='REP COMMISSION'!$B$3,Z1081='REP COMMISSION'!$B$3)),1,0)</f>
        <v>0</v>
      </c>
      <c r="AX1081" s="24" t="n">
        <f aca="false">AX1080+IF(AND(C1081&lt;&gt;"",OR(F1081="LOC - INITIAL",F1081="CONSOLIDATION - UPFRONT COMM",F1081="REVERSE - TOTAL FUNDING")),1,0)</f>
        <v>0</v>
      </c>
    </row>
    <row r="1082" customFormat="false" ht="15" hidden="false" customHeight="false" outlineLevel="0" collapsed="false">
      <c r="A1082" s="8" t="str">
        <f aca="false">IF(C1082&lt;&gt;"","F27-"&amp;COUNT($C$4:C1082),"")</f>
        <v/>
      </c>
      <c r="B1082" s="9" t="str">
        <f aca="false">IF(OR(F1082="LOC - INITIAL",F1082="CONSOLIDATION - UPFRONT COMM",F1082="REVERSE - TOTAL FUNDING"),A1082,"")</f>
        <v/>
      </c>
      <c r="C1082" s="10"/>
      <c r="D1082" s="11"/>
      <c r="E1082" s="11"/>
      <c r="F1082" s="11"/>
      <c r="G1082" s="12"/>
      <c r="H1082" s="13"/>
      <c r="I1082" s="11"/>
      <c r="J1082" s="14" t="str">
        <f aca="false">IF(AND(G1082&lt;&gt;"",H1082&lt;&gt;""),G1082*H1082,"")</f>
        <v/>
      </c>
      <c r="K1082" s="11"/>
      <c r="L1082" s="15"/>
      <c r="M1082" s="15"/>
      <c r="N1082" s="14" t="n">
        <f aca="false">IF(OR(G1082="",M1082=""),0,IF(M1082&gt;100,M1082,G1082*IF(M1082&gt;1,M1082/100,M1082)))</f>
        <v>0</v>
      </c>
      <c r="O1082" s="14" t="str">
        <f aca="false">IF(G1082="","",G1082*IF(L1082="",0,IF(L1082&gt;1,L1082/100,L1082))+N1082)</f>
        <v/>
      </c>
      <c r="P1082" s="11"/>
      <c r="Q1082" s="16" t="str">
        <f aca="false">IF(P1082="","",IFERROR(VLOOKUP(P1082,PARTNERS!$A$2:$B$30,2,0),""))</f>
        <v/>
      </c>
      <c r="R1082" s="17" t="str">
        <f aca="false">IF(O1082="","",IF(OR(P1082="",Q1082=""),0,(O1082-N1082)*IF(Q1082&gt;1,Q1082/100,Q1082)))</f>
        <v/>
      </c>
      <c r="S1082" s="14" t="str">
        <f aca="false">IF(O1082="","",O1082-R1082)</f>
        <v/>
      </c>
      <c r="T1082" s="11"/>
      <c r="U1082" s="18" t="str">
        <f aca="false">IF(T1082="","",IFERROR(VLOOKUP(T1082,REPS!$A$2:$D$40,2,0),""))</f>
        <v/>
      </c>
      <c r="V1082" s="14" t="str">
        <f aca="false">IF(O1082="","",IF(U1082="",0,O1082*IF(U1082&gt;1,U1082/100,U1082)))</f>
        <v/>
      </c>
      <c r="W1082" s="11"/>
      <c r="X1082" s="18" t="str">
        <f aca="false">IF(W1082="","",IFERROR(VLOOKUP(W1082,REPS!$A$2:$D$40,3,0),""))</f>
        <v/>
      </c>
      <c r="Y1082" s="14" t="str">
        <f aca="false">IF(O1082="","",IF(X1082="",0,O1082*IF(X1082&gt;1,X1082/100,X1082)))</f>
        <v/>
      </c>
      <c r="Z1082" s="11"/>
      <c r="AA1082" s="18" t="str">
        <f aca="false">IF(Z1082="","",IFERROR(VLOOKUP(Z1082,REPS!$A$2:$D$40,4,0),""))</f>
        <v/>
      </c>
      <c r="AB1082" s="14" t="str">
        <f aca="false">IF(O1082="","",IF(AA1082="",0,O1082*IF(AA1082&gt;1,AA1082/100,AA1082)))</f>
        <v/>
      </c>
      <c r="AC1082" s="14" t="str">
        <f aca="false">IF(O1082="","",V1082+Y1082+AB1082)</f>
        <v/>
      </c>
      <c r="AD1082" s="19" t="str">
        <f aca="false">IF(O1082="","",O1082-R1082-AC1082)</f>
        <v/>
      </c>
      <c r="AE1082" s="20"/>
      <c r="AF1082" s="10"/>
      <c r="AG1082" s="21" t="n">
        <f aca="false">IF(OR(AE1082="",AE1082=0),0,AE1082*IF(U1082="",0,IF(U1082&gt;1,U1082/100,U1082)))</f>
        <v>0</v>
      </c>
      <c r="AH1082" s="21" t="n">
        <f aca="false">IF(OR(AE1082="",AE1082=0),0,AE1082*IF(X1082="",0,IF(X1082&gt;1,X1082/100,X1082)))</f>
        <v>0</v>
      </c>
      <c r="AI1082" s="21" t="n">
        <f aca="false">IF(OR(AE1082="",AE1082=0),0,AE1082*IF(AA1082="",0,IF(AA1082&gt;1,AA1082/100,AA1082)))</f>
        <v>0</v>
      </c>
      <c r="AJ1082" s="21" t="n">
        <f aca="false">AG1082+AH1082+AI1082</f>
        <v>0</v>
      </c>
      <c r="AK1082" s="21" t="n">
        <f aca="false">IF(OR(AE1082="",AE1082=0),0,AE1082-AJ1082)</f>
        <v>0</v>
      </c>
      <c r="AL1082" s="19" t="str">
        <f aca="false">IF(AD1082="","",AD1082-AK1082)</f>
        <v/>
      </c>
      <c r="AM1082" s="9" t="str">
        <f aca="false">IF(C1082="","","Waiting for payment")</f>
        <v/>
      </c>
      <c r="AN1082" s="10"/>
      <c r="AO1082" s="10"/>
      <c r="AP1082" s="22" t="str">
        <f aca="false">IF(OR(C1082="",I1082="",K1082=""),"",IF(K1082="Monthly",EDATE(C1082,ROUND(I1082*SETTINGS!$I$8,0)),WORKDAY(C1082,ROUND(I1082*SETTINGS!$I$8,0))))</f>
        <v/>
      </c>
      <c r="AQ1082" s="9" t="str">
        <f aca="true">IF(C1082="","",IF(AND(AP1082&lt;&gt;"",TODAY()&gt;=AP1082),"Refi Ready",IF(TODAY()-C1082&gt;=SETTINGS!$I$11,"Prospecting","Performing")))</f>
        <v/>
      </c>
      <c r="AR1082" s="22" t="str">
        <f aca="false">IF(OR(C1082="",I1082="",K1082=""),"",IF(K1082="Monthly",EDATE(C1082,I1082),WORKDAY(C1082,I1082)))</f>
        <v/>
      </c>
      <c r="AS1082" s="11"/>
      <c r="AT1082" s="23" t="str">
        <f aca="true">IF(C1082="","",IF(AM1082="Clawed Back","CLAWED",IF(TODAY()&lt;=C1082+SETTINGS!$I$2,"⚠ AT RISK","SAFE")))</f>
        <v/>
      </c>
      <c r="AU1082" s="11"/>
      <c r="AW1082" s="24" t="n">
        <f aca="false">AW1081+IF(AND(C1082&lt;&gt;"",AO1082&lt;&gt;"",OR('REP COMMISSION'!$B$3="",T1082='REP COMMISSION'!$B$3,W1082='REP COMMISSION'!$B$3,Z1082='REP COMMISSION'!$B$3)),1,0)</f>
        <v>0</v>
      </c>
      <c r="AX1082" s="24" t="n">
        <f aca="false">AX1081+IF(AND(C1082&lt;&gt;"",OR(F1082="LOC - INITIAL",F1082="CONSOLIDATION - UPFRONT COMM",F1082="REVERSE - TOTAL FUNDING")),1,0)</f>
        <v>0</v>
      </c>
    </row>
    <row r="1083" customFormat="false" ht="15" hidden="false" customHeight="false" outlineLevel="0" collapsed="false">
      <c r="A1083" s="25" t="str">
        <f aca="false">IF(C1083&lt;&gt;"","F27-"&amp;COUNT($C$4:C1083),"")</f>
        <v/>
      </c>
      <c r="B1083" s="26" t="str">
        <f aca="false">IF(OR(F1083="LOC - INITIAL",F1083="CONSOLIDATION - UPFRONT COMM",F1083="REVERSE - TOTAL FUNDING"),A1083,"")</f>
        <v/>
      </c>
      <c r="C1083" s="27"/>
      <c r="D1083" s="28"/>
      <c r="E1083" s="28"/>
      <c r="F1083" s="28"/>
      <c r="G1083" s="29"/>
      <c r="H1083" s="30"/>
      <c r="I1083" s="28"/>
      <c r="J1083" s="31" t="str">
        <f aca="false">IF(AND(G1083&lt;&gt;"",H1083&lt;&gt;""),G1083*H1083,"")</f>
        <v/>
      </c>
      <c r="K1083" s="28"/>
      <c r="L1083" s="32"/>
      <c r="M1083" s="32"/>
      <c r="N1083" s="31" t="n">
        <f aca="false">IF(OR(G1083="",M1083=""),0,IF(M1083&gt;100,M1083,G1083*IF(M1083&gt;1,M1083/100,M1083)))</f>
        <v>0</v>
      </c>
      <c r="O1083" s="31" t="str">
        <f aca="false">IF(G1083="","",G1083*IF(L1083="",0,IF(L1083&gt;1,L1083/100,L1083))+N1083)</f>
        <v/>
      </c>
      <c r="P1083" s="28"/>
      <c r="Q1083" s="33" t="str">
        <f aca="false">IF(P1083="","",IFERROR(VLOOKUP(P1083,PARTNERS!$A$2:$B$30,2,0),""))</f>
        <v/>
      </c>
      <c r="R1083" s="17" t="str">
        <f aca="false">IF(O1083="","",IF(OR(P1083="",Q1083=""),0,(O1083-N1083)*IF(Q1083&gt;1,Q1083/100,Q1083)))</f>
        <v/>
      </c>
      <c r="S1083" s="31" t="str">
        <f aca="false">IF(O1083="","",O1083-R1083)</f>
        <v/>
      </c>
      <c r="T1083" s="28"/>
      <c r="U1083" s="34" t="str">
        <f aca="false">IF(T1083="","",IFERROR(VLOOKUP(T1083,REPS!$A$2:$D$40,2,0),""))</f>
        <v/>
      </c>
      <c r="V1083" s="31" t="str">
        <f aca="false">IF(O1083="","",IF(U1083="",0,O1083*IF(U1083&gt;1,U1083/100,U1083)))</f>
        <v/>
      </c>
      <c r="W1083" s="28"/>
      <c r="X1083" s="34" t="str">
        <f aca="false">IF(W1083="","",IFERROR(VLOOKUP(W1083,REPS!$A$2:$D$40,3,0),""))</f>
        <v/>
      </c>
      <c r="Y1083" s="31" t="str">
        <f aca="false">IF(O1083="","",IF(X1083="",0,O1083*IF(X1083&gt;1,X1083/100,X1083)))</f>
        <v/>
      </c>
      <c r="Z1083" s="28"/>
      <c r="AA1083" s="34" t="str">
        <f aca="false">IF(Z1083="","",IFERROR(VLOOKUP(Z1083,REPS!$A$2:$D$40,4,0),""))</f>
        <v/>
      </c>
      <c r="AB1083" s="31" t="str">
        <f aca="false">IF(O1083="","",IF(AA1083="",0,O1083*IF(AA1083&gt;1,AA1083/100,AA1083)))</f>
        <v/>
      </c>
      <c r="AC1083" s="31" t="str">
        <f aca="false">IF(O1083="","",V1083+Y1083+AB1083)</f>
        <v/>
      </c>
      <c r="AD1083" s="19" t="str">
        <f aca="false">IF(O1083="","",O1083-R1083-AC1083)</f>
        <v/>
      </c>
      <c r="AE1083" s="20"/>
      <c r="AF1083" s="27"/>
      <c r="AG1083" s="21" t="n">
        <f aca="false">IF(OR(AE1083="",AE1083=0),0,AE1083*IF(U1083="",0,IF(U1083&gt;1,U1083/100,U1083)))</f>
        <v>0</v>
      </c>
      <c r="AH1083" s="21" t="n">
        <f aca="false">IF(OR(AE1083="",AE1083=0),0,AE1083*IF(X1083="",0,IF(X1083&gt;1,X1083/100,X1083)))</f>
        <v>0</v>
      </c>
      <c r="AI1083" s="21" t="n">
        <f aca="false">IF(OR(AE1083="",AE1083=0),0,AE1083*IF(AA1083="",0,IF(AA1083&gt;1,AA1083/100,AA1083)))</f>
        <v>0</v>
      </c>
      <c r="AJ1083" s="21" t="n">
        <f aca="false">AG1083+AH1083+AI1083</f>
        <v>0</v>
      </c>
      <c r="AK1083" s="21" t="n">
        <f aca="false">IF(OR(AE1083="",AE1083=0),0,AE1083-AJ1083)</f>
        <v>0</v>
      </c>
      <c r="AL1083" s="19" t="str">
        <f aca="false">IF(AD1083="","",AD1083-AK1083)</f>
        <v/>
      </c>
      <c r="AM1083" s="26" t="str">
        <f aca="false">IF(C1083="","","Waiting for payment")</f>
        <v/>
      </c>
      <c r="AN1083" s="27"/>
      <c r="AO1083" s="27"/>
      <c r="AP1083" s="35" t="str">
        <f aca="false">IF(OR(C1083="",I1083="",K1083=""),"",IF(K1083="Monthly",EDATE(C1083,ROUND(I1083*SETTINGS!$I$8,0)),WORKDAY(C1083,ROUND(I1083*SETTINGS!$I$8,0))))</f>
        <v/>
      </c>
      <c r="AQ1083" s="26" t="str">
        <f aca="true">IF(C1083="","",IF(AND(AP1083&lt;&gt;"",TODAY()&gt;=AP1083),"Refi Ready",IF(TODAY()-C1083&gt;=SETTINGS!$I$11,"Prospecting","Performing")))</f>
        <v/>
      </c>
      <c r="AR1083" s="35" t="str">
        <f aca="false">IF(OR(C1083="",I1083="",K1083=""),"",IF(K1083="Monthly",EDATE(C1083,I1083),WORKDAY(C1083,I1083)))</f>
        <v/>
      </c>
      <c r="AS1083" s="28"/>
      <c r="AT1083" s="36" t="str">
        <f aca="true">IF(C1083="","",IF(AM1083="Clawed Back","CLAWED",IF(TODAY()&lt;=C1083+SETTINGS!$I$2,"⚠ AT RISK","SAFE")))</f>
        <v/>
      </c>
      <c r="AU1083" s="28"/>
      <c r="AW1083" s="24" t="n">
        <f aca="false">AW1082+IF(AND(C1083&lt;&gt;"",AO1083&lt;&gt;"",OR('REP COMMISSION'!$B$3="",T1083='REP COMMISSION'!$B$3,W1083='REP COMMISSION'!$B$3,Z1083='REP COMMISSION'!$B$3)),1,0)</f>
        <v>0</v>
      </c>
      <c r="AX1083" s="24" t="n">
        <f aca="false">AX1082+IF(AND(C1083&lt;&gt;"",OR(F1083="LOC - INITIAL",F1083="CONSOLIDATION - UPFRONT COMM",F1083="REVERSE - TOTAL FUNDING")),1,0)</f>
        <v>0</v>
      </c>
    </row>
    <row r="1084" customFormat="false" ht="15" hidden="false" customHeight="false" outlineLevel="0" collapsed="false">
      <c r="A1084" s="8" t="str">
        <f aca="false">IF(C1084&lt;&gt;"","F27-"&amp;COUNT($C$4:C1084),"")</f>
        <v/>
      </c>
      <c r="B1084" s="9" t="str">
        <f aca="false">IF(OR(F1084="LOC - INITIAL",F1084="CONSOLIDATION - UPFRONT COMM",F1084="REVERSE - TOTAL FUNDING"),A1084,"")</f>
        <v/>
      </c>
      <c r="C1084" s="10"/>
      <c r="D1084" s="11"/>
      <c r="E1084" s="11"/>
      <c r="F1084" s="11"/>
      <c r="G1084" s="12"/>
      <c r="H1084" s="13"/>
      <c r="I1084" s="11"/>
      <c r="J1084" s="14" t="str">
        <f aca="false">IF(AND(G1084&lt;&gt;"",H1084&lt;&gt;""),G1084*H1084,"")</f>
        <v/>
      </c>
      <c r="K1084" s="11"/>
      <c r="L1084" s="15"/>
      <c r="M1084" s="15"/>
      <c r="N1084" s="14" t="n">
        <f aca="false">IF(OR(G1084="",M1084=""),0,IF(M1084&gt;100,M1084,G1084*IF(M1084&gt;1,M1084/100,M1084)))</f>
        <v>0</v>
      </c>
      <c r="O1084" s="14" t="str">
        <f aca="false">IF(G1084="","",G1084*IF(L1084="",0,IF(L1084&gt;1,L1084/100,L1084))+N1084)</f>
        <v/>
      </c>
      <c r="P1084" s="11"/>
      <c r="Q1084" s="16" t="str">
        <f aca="false">IF(P1084="","",IFERROR(VLOOKUP(P1084,PARTNERS!$A$2:$B$30,2,0),""))</f>
        <v/>
      </c>
      <c r="R1084" s="17" t="str">
        <f aca="false">IF(O1084="","",IF(OR(P1084="",Q1084=""),0,(O1084-N1084)*IF(Q1084&gt;1,Q1084/100,Q1084)))</f>
        <v/>
      </c>
      <c r="S1084" s="14" t="str">
        <f aca="false">IF(O1084="","",O1084-R1084)</f>
        <v/>
      </c>
      <c r="T1084" s="11"/>
      <c r="U1084" s="18" t="str">
        <f aca="false">IF(T1084="","",IFERROR(VLOOKUP(T1084,REPS!$A$2:$D$40,2,0),""))</f>
        <v/>
      </c>
      <c r="V1084" s="14" t="str">
        <f aca="false">IF(O1084="","",IF(U1084="",0,O1084*IF(U1084&gt;1,U1084/100,U1084)))</f>
        <v/>
      </c>
      <c r="W1084" s="11"/>
      <c r="X1084" s="18" t="str">
        <f aca="false">IF(W1084="","",IFERROR(VLOOKUP(W1084,REPS!$A$2:$D$40,3,0),""))</f>
        <v/>
      </c>
      <c r="Y1084" s="14" t="str">
        <f aca="false">IF(O1084="","",IF(X1084="",0,O1084*IF(X1084&gt;1,X1084/100,X1084)))</f>
        <v/>
      </c>
      <c r="Z1084" s="11"/>
      <c r="AA1084" s="18" t="str">
        <f aca="false">IF(Z1084="","",IFERROR(VLOOKUP(Z1084,REPS!$A$2:$D$40,4,0),""))</f>
        <v/>
      </c>
      <c r="AB1084" s="14" t="str">
        <f aca="false">IF(O1084="","",IF(AA1084="",0,O1084*IF(AA1084&gt;1,AA1084/100,AA1084)))</f>
        <v/>
      </c>
      <c r="AC1084" s="14" t="str">
        <f aca="false">IF(O1084="","",V1084+Y1084+AB1084)</f>
        <v/>
      </c>
      <c r="AD1084" s="19" t="str">
        <f aca="false">IF(O1084="","",O1084-R1084-AC1084)</f>
        <v/>
      </c>
      <c r="AE1084" s="20"/>
      <c r="AF1084" s="10"/>
      <c r="AG1084" s="21" t="n">
        <f aca="false">IF(OR(AE1084="",AE1084=0),0,AE1084*IF(U1084="",0,IF(U1084&gt;1,U1084/100,U1084)))</f>
        <v>0</v>
      </c>
      <c r="AH1084" s="21" t="n">
        <f aca="false">IF(OR(AE1084="",AE1084=0),0,AE1084*IF(X1084="",0,IF(X1084&gt;1,X1084/100,X1084)))</f>
        <v>0</v>
      </c>
      <c r="AI1084" s="21" t="n">
        <f aca="false">IF(OR(AE1084="",AE1084=0),0,AE1084*IF(AA1084="",0,IF(AA1084&gt;1,AA1084/100,AA1084)))</f>
        <v>0</v>
      </c>
      <c r="AJ1084" s="21" t="n">
        <f aca="false">AG1084+AH1084+AI1084</f>
        <v>0</v>
      </c>
      <c r="AK1084" s="21" t="n">
        <f aca="false">IF(OR(AE1084="",AE1084=0),0,AE1084-AJ1084)</f>
        <v>0</v>
      </c>
      <c r="AL1084" s="19" t="str">
        <f aca="false">IF(AD1084="","",AD1084-AK1084)</f>
        <v/>
      </c>
      <c r="AM1084" s="9" t="str">
        <f aca="false">IF(C1084="","","Waiting for payment")</f>
        <v/>
      </c>
      <c r="AN1084" s="10"/>
      <c r="AO1084" s="10"/>
      <c r="AP1084" s="22" t="str">
        <f aca="false">IF(OR(C1084="",I1084="",K1084=""),"",IF(K1084="Monthly",EDATE(C1084,ROUND(I1084*SETTINGS!$I$8,0)),WORKDAY(C1084,ROUND(I1084*SETTINGS!$I$8,0))))</f>
        <v/>
      </c>
      <c r="AQ1084" s="9" t="str">
        <f aca="true">IF(C1084="","",IF(AND(AP1084&lt;&gt;"",TODAY()&gt;=AP1084),"Refi Ready",IF(TODAY()-C1084&gt;=SETTINGS!$I$11,"Prospecting","Performing")))</f>
        <v/>
      </c>
      <c r="AR1084" s="22" t="str">
        <f aca="false">IF(OR(C1084="",I1084="",K1084=""),"",IF(K1084="Monthly",EDATE(C1084,I1084),WORKDAY(C1084,I1084)))</f>
        <v/>
      </c>
      <c r="AS1084" s="11"/>
      <c r="AT1084" s="23" t="str">
        <f aca="true">IF(C1084="","",IF(AM1084="Clawed Back","CLAWED",IF(TODAY()&lt;=C1084+SETTINGS!$I$2,"⚠ AT RISK","SAFE")))</f>
        <v/>
      </c>
      <c r="AU1084" s="11"/>
      <c r="AW1084" s="24" t="n">
        <f aca="false">AW1083+IF(AND(C1084&lt;&gt;"",AO1084&lt;&gt;"",OR('REP COMMISSION'!$B$3="",T1084='REP COMMISSION'!$B$3,W1084='REP COMMISSION'!$B$3,Z1084='REP COMMISSION'!$B$3)),1,0)</f>
        <v>0</v>
      </c>
      <c r="AX1084" s="24" t="n">
        <f aca="false">AX1083+IF(AND(C1084&lt;&gt;"",OR(F1084="LOC - INITIAL",F1084="CONSOLIDATION - UPFRONT COMM",F1084="REVERSE - TOTAL FUNDING")),1,0)</f>
        <v>0</v>
      </c>
    </row>
    <row r="1085" customFormat="false" ht="15" hidden="false" customHeight="false" outlineLevel="0" collapsed="false">
      <c r="A1085" s="25" t="str">
        <f aca="false">IF(C1085&lt;&gt;"","F27-"&amp;COUNT($C$4:C1085),"")</f>
        <v/>
      </c>
      <c r="B1085" s="26" t="str">
        <f aca="false">IF(OR(F1085="LOC - INITIAL",F1085="CONSOLIDATION - UPFRONT COMM",F1085="REVERSE - TOTAL FUNDING"),A1085,"")</f>
        <v/>
      </c>
      <c r="C1085" s="27"/>
      <c r="D1085" s="28"/>
      <c r="E1085" s="28"/>
      <c r="F1085" s="28"/>
      <c r="G1085" s="29"/>
      <c r="H1085" s="30"/>
      <c r="I1085" s="28"/>
      <c r="J1085" s="31" t="str">
        <f aca="false">IF(AND(G1085&lt;&gt;"",H1085&lt;&gt;""),G1085*H1085,"")</f>
        <v/>
      </c>
      <c r="K1085" s="28"/>
      <c r="L1085" s="32"/>
      <c r="M1085" s="32"/>
      <c r="N1085" s="31" t="n">
        <f aca="false">IF(OR(G1085="",M1085=""),0,IF(M1085&gt;100,M1085,G1085*IF(M1085&gt;1,M1085/100,M1085)))</f>
        <v>0</v>
      </c>
      <c r="O1085" s="31" t="str">
        <f aca="false">IF(G1085="","",G1085*IF(L1085="",0,IF(L1085&gt;1,L1085/100,L1085))+N1085)</f>
        <v/>
      </c>
      <c r="P1085" s="28"/>
      <c r="Q1085" s="33" t="str">
        <f aca="false">IF(P1085="","",IFERROR(VLOOKUP(P1085,PARTNERS!$A$2:$B$30,2,0),""))</f>
        <v/>
      </c>
      <c r="R1085" s="17" t="str">
        <f aca="false">IF(O1085="","",IF(OR(P1085="",Q1085=""),0,(O1085-N1085)*IF(Q1085&gt;1,Q1085/100,Q1085)))</f>
        <v/>
      </c>
      <c r="S1085" s="31" t="str">
        <f aca="false">IF(O1085="","",O1085-R1085)</f>
        <v/>
      </c>
      <c r="T1085" s="28"/>
      <c r="U1085" s="34" t="str">
        <f aca="false">IF(T1085="","",IFERROR(VLOOKUP(T1085,REPS!$A$2:$D$40,2,0),""))</f>
        <v/>
      </c>
      <c r="V1085" s="31" t="str">
        <f aca="false">IF(O1085="","",IF(U1085="",0,O1085*IF(U1085&gt;1,U1085/100,U1085)))</f>
        <v/>
      </c>
      <c r="W1085" s="28"/>
      <c r="X1085" s="34" t="str">
        <f aca="false">IF(W1085="","",IFERROR(VLOOKUP(W1085,REPS!$A$2:$D$40,3,0),""))</f>
        <v/>
      </c>
      <c r="Y1085" s="31" t="str">
        <f aca="false">IF(O1085="","",IF(X1085="",0,O1085*IF(X1085&gt;1,X1085/100,X1085)))</f>
        <v/>
      </c>
      <c r="Z1085" s="28"/>
      <c r="AA1085" s="34" t="str">
        <f aca="false">IF(Z1085="","",IFERROR(VLOOKUP(Z1085,REPS!$A$2:$D$40,4,0),""))</f>
        <v/>
      </c>
      <c r="AB1085" s="31" t="str">
        <f aca="false">IF(O1085="","",IF(AA1085="",0,O1085*IF(AA1085&gt;1,AA1085/100,AA1085)))</f>
        <v/>
      </c>
      <c r="AC1085" s="31" t="str">
        <f aca="false">IF(O1085="","",V1085+Y1085+AB1085)</f>
        <v/>
      </c>
      <c r="AD1085" s="19" t="str">
        <f aca="false">IF(O1085="","",O1085-R1085-AC1085)</f>
        <v/>
      </c>
      <c r="AE1085" s="20"/>
      <c r="AF1085" s="27"/>
      <c r="AG1085" s="21" t="n">
        <f aca="false">IF(OR(AE1085="",AE1085=0),0,AE1085*IF(U1085="",0,IF(U1085&gt;1,U1085/100,U1085)))</f>
        <v>0</v>
      </c>
      <c r="AH1085" s="21" t="n">
        <f aca="false">IF(OR(AE1085="",AE1085=0),0,AE1085*IF(X1085="",0,IF(X1085&gt;1,X1085/100,X1085)))</f>
        <v>0</v>
      </c>
      <c r="AI1085" s="21" t="n">
        <f aca="false">IF(OR(AE1085="",AE1085=0),0,AE1085*IF(AA1085="",0,IF(AA1085&gt;1,AA1085/100,AA1085)))</f>
        <v>0</v>
      </c>
      <c r="AJ1085" s="21" t="n">
        <f aca="false">AG1085+AH1085+AI1085</f>
        <v>0</v>
      </c>
      <c r="AK1085" s="21" t="n">
        <f aca="false">IF(OR(AE1085="",AE1085=0),0,AE1085-AJ1085)</f>
        <v>0</v>
      </c>
      <c r="AL1085" s="19" t="str">
        <f aca="false">IF(AD1085="","",AD1085-AK1085)</f>
        <v/>
      </c>
      <c r="AM1085" s="26" t="str">
        <f aca="false">IF(C1085="","","Waiting for payment")</f>
        <v/>
      </c>
      <c r="AN1085" s="27"/>
      <c r="AO1085" s="27"/>
      <c r="AP1085" s="35" t="str">
        <f aca="false">IF(OR(C1085="",I1085="",K1085=""),"",IF(K1085="Monthly",EDATE(C1085,ROUND(I1085*SETTINGS!$I$8,0)),WORKDAY(C1085,ROUND(I1085*SETTINGS!$I$8,0))))</f>
        <v/>
      </c>
      <c r="AQ1085" s="26" t="str">
        <f aca="true">IF(C1085="","",IF(AND(AP1085&lt;&gt;"",TODAY()&gt;=AP1085),"Refi Ready",IF(TODAY()-C1085&gt;=SETTINGS!$I$11,"Prospecting","Performing")))</f>
        <v/>
      </c>
      <c r="AR1085" s="35" t="str">
        <f aca="false">IF(OR(C1085="",I1085="",K1085=""),"",IF(K1085="Monthly",EDATE(C1085,I1085),WORKDAY(C1085,I1085)))</f>
        <v/>
      </c>
      <c r="AS1085" s="28"/>
      <c r="AT1085" s="36" t="str">
        <f aca="true">IF(C1085="","",IF(AM1085="Clawed Back","CLAWED",IF(TODAY()&lt;=C1085+SETTINGS!$I$2,"⚠ AT RISK","SAFE")))</f>
        <v/>
      </c>
      <c r="AU1085" s="28"/>
      <c r="AW1085" s="24" t="n">
        <f aca="false">AW1084+IF(AND(C1085&lt;&gt;"",AO1085&lt;&gt;"",OR('REP COMMISSION'!$B$3="",T1085='REP COMMISSION'!$B$3,W1085='REP COMMISSION'!$B$3,Z1085='REP COMMISSION'!$B$3)),1,0)</f>
        <v>0</v>
      </c>
      <c r="AX1085" s="24" t="n">
        <f aca="false">AX1084+IF(AND(C1085&lt;&gt;"",OR(F1085="LOC - INITIAL",F1085="CONSOLIDATION - UPFRONT COMM",F1085="REVERSE - TOTAL FUNDING")),1,0)</f>
        <v>0</v>
      </c>
    </row>
    <row r="1086" customFormat="false" ht="15" hidden="false" customHeight="false" outlineLevel="0" collapsed="false">
      <c r="A1086" s="8" t="str">
        <f aca="false">IF(C1086&lt;&gt;"","F27-"&amp;COUNT($C$4:C1086),"")</f>
        <v/>
      </c>
      <c r="B1086" s="9" t="str">
        <f aca="false">IF(OR(F1086="LOC - INITIAL",F1086="CONSOLIDATION - UPFRONT COMM",F1086="REVERSE - TOTAL FUNDING"),A1086,"")</f>
        <v/>
      </c>
      <c r="C1086" s="10"/>
      <c r="D1086" s="11"/>
      <c r="E1086" s="11"/>
      <c r="F1086" s="11"/>
      <c r="G1086" s="12"/>
      <c r="H1086" s="13"/>
      <c r="I1086" s="11"/>
      <c r="J1086" s="14" t="str">
        <f aca="false">IF(AND(G1086&lt;&gt;"",H1086&lt;&gt;""),G1086*H1086,"")</f>
        <v/>
      </c>
      <c r="K1086" s="11"/>
      <c r="L1086" s="15"/>
      <c r="M1086" s="15"/>
      <c r="N1086" s="14" t="n">
        <f aca="false">IF(OR(G1086="",M1086=""),0,IF(M1086&gt;100,M1086,G1086*IF(M1086&gt;1,M1086/100,M1086)))</f>
        <v>0</v>
      </c>
      <c r="O1086" s="14" t="str">
        <f aca="false">IF(G1086="","",G1086*IF(L1086="",0,IF(L1086&gt;1,L1086/100,L1086))+N1086)</f>
        <v/>
      </c>
      <c r="P1086" s="11"/>
      <c r="Q1086" s="16" t="str">
        <f aca="false">IF(P1086="","",IFERROR(VLOOKUP(P1086,PARTNERS!$A$2:$B$30,2,0),""))</f>
        <v/>
      </c>
      <c r="R1086" s="17" t="str">
        <f aca="false">IF(O1086="","",IF(OR(P1086="",Q1086=""),0,(O1086-N1086)*IF(Q1086&gt;1,Q1086/100,Q1086)))</f>
        <v/>
      </c>
      <c r="S1086" s="14" t="str">
        <f aca="false">IF(O1086="","",O1086-R1086)</f>
        <v/>
      </c>
      <c r="T1086" s="11"/>
      <c r="U1086" s="18" t="str">
        <f aca="false">IF(T1086="","",IFERROR(VLOOKUP(T1086,REPS!$A$2:$D$40,2,0),""))</f>
        <v/>
      </c>
      <c r="V1086" s="14" t="str">
        <f aca="false">IF(O1086="","",IF(U1086="",0,O1086*IF(U1086&gt;1,U1086/100,U1086)))</f>
        <v/>
      </c>
      <c r="W1086" s="11"/>
      <c r="X1086" s="18" t="str">
        <f aca="false">IF(W1086="","",IFERROR(VLOOKUP(W1086,REPS!$A$2:$D$40,3,0),""))</f>
        <v/>
      </c>
      <c r="Y1086" s="14" t="str">
        <f aca="false">IF(O1086="","",IF(X1086="",0,O1086*IF(X1086&gt;1,X1086/100,X1086)))</f>
        <v/>
      </c>
      <c r="Z1086" s="11"/>
      <c r="AA1086" s="18" t="str">
        <f aca="false">IF(Z1086="","",IFERROR(VLOOKUP(Z1086,REPS!$A$2:$D$40,4,0),""))</f>
        <v/>
      </c>
      <c r="AB1086" s="14" t="str">
        <f aca="false">IF(O1086="","",IF(AA1086="",0,O1086*IF(AA1086&gt;1,AA1086/100,AA1086)))</f>
        <v/>
      </c>
      <c r="AC1086" s="14" t="str">
        <f aca="false">IF(O1086="","",V1086+Y1086+AB1086)</f>
        <v/>
      </c>
      <c r="AD1086" s="19" t="str">
        <f aca="false">IF(O1086="","",O1086-R1086-AC1086)</f>
        <v/>
      </c>
      <c r="AE1086" s="20"/>
      <c r="AF1086" s="10"/>
      <c r="AG1086" s="21" t="n">
        <f aca="false">IF(OR(AE1086="",AE1086=0),0,AE1086*IF(U1086="",0,IF(U1086&gt;1,U1086/100,U1086)))</f>
        <v>0</v>
      </c>
      <c r="AH1086" s="21" t="n">
        <f aca="false">IF(OR(AE1086="",AE1086=0),0,AE1086*IF(X1086="",0,IF(X1086&gt;1,X1086/100,X1086)))</f>
        <v>0</v>
      </c>
      <c r="AI1086" s="21" t="n">
        <f aca="false">IF(OR(AE1086="",AE1086=0),0,AE1086*IF(AA1086="",0,IF(AA1086&gt;1,AA1086/100,AA1086)))</f>
        <v>0</v>
      </c>
      <c r="AJ1086" s="21" t="n">
        <f aca="false">AG1086+AH1086+AI1086</f>
        <v>0</v>
      </c>
      <c r="AK1086" s="21" t="n">
        <f aca="false">IF(OR(AE1086="",AE1086=0),0,AE1086-AJ1086)</f>
        <v>0</v>
      </c>
      <c r="AL1086" s="19" t="str">
        <f aca="false">IF(AD1086="","",AD1086-AK1086)</f>
        <v/>
      </c>
      <c r="AM1086" s="9" t="str">
        <f aca="false">IF(C1086="","","Waiting for payment")</f>
        <v/>
      </c>
      <c r="AN1086" s="10"/>
      <c r="AO1086" s="10"/>
      <c r="AP1086" s="22" t="str">
        <f aca="false">IF(OR(C1086="",I1086="",K1086=""),"",IF(K1086="Monthly",EDATE(C1086,ROUND(I1086*SETTINGS!$I$8,0)),WORKDAY(C1086,ROUND(I1086*SETTINGS!$I$8,0))))</f>
        <v/>
      </c>
      <c r="AQ1086" s="9" t="str">
        <f aca="true">IF(C1086="","",IF(AND(AP1086&lt;&gt;"",TODAY()&gt;=AP1086),"Refi Ready",IF(TODAY()-C1086&gt;=SETTINGS!$I$11,"Prospecting","Performing")))</f>
        <v/>
      </c>
      <c r="AR1086" s="22" t="str">
        <f aca="false">IF(OR(C1086="",I1086="",K1086=""),"",IF(K1086="Monthly",EDATE(C1086,I1086),WORKDAY(C1086,I1086)))</f>
        <v/>
      </c>
      <c r="AS1086" s="11"/>
      <c r="AT1086" s="23" t="str">
        <f aca="true">IF(C1086="","",IF(AM1086="Clawed Back","CLAWED",IF(TODAY()&lt;=C1086+SETTINGS!$I$2,"⚠ AT RISK","SAFE")))</f>
        <v/>
      </c>
      <c r="AU1086" s="11"/>
      <c r="AW1086" s="24" t="n">
        <f aca="false">AW1085+IF(AND(C1086&lt;&gt;"",AO1086&lt;&gt;"",OR('REP COMMISSION'!$B$3="",T1086='REP COMMISSION'!$B$3,W1086='REP COMMISSION'!$B$3,Z1086='REP COMMISSION'!$B$3)),1,0)</f>
        <v>0</v>
      </c>
      <c r="AX1086" s="24" t="n">
        <f aca="false">AX1085+IF(AND(C1086&lt;&gt;"",OR(F1086="LOC - INITIAL",F1086="CONSOLIDATION - UPFRONT COMM",F1086="REVERSE - TOTAL FUNDING")),1,0)</f>
        <v>0</v>
      </c>
    </row>
    <row r="1087" customFormat="false" ht="15" hidden="false" customHeight="false" outlineLevel="0" collapsed="false">
      <c r="A1087" s="25" t="str">
        <f aca="false">IF(C1087&lt;&gt;"","F27-"&amp;COUNT($C$4:C1087),"")</f>
        <v/>
      </c>
      <c r="B1087" s="26" t="str">
        <f aca="false">IF(OR(F1087="LOC - INITIAL",F1087="CONSOLIDATION - UPFRONT COMM",F1087="REVERSE - TOTAL FUNDING"),A1087,"")</f>
        <v/>
      </c>
      <c r="C1087" s="27"/>
      <c r="D1087" s="28"/>
      <c r="E1087" s="28"/>
      <c r="F1087" s="28"/>
      <c r="G1087" s="29"/>
      <c r="H1087" s="30"/>
      <c r="I1087" s="28"/>
      <c r="J1087" s="31" t="str">
        <f aca="false">IF(AND(G1087&lt;&gt;"",H1087&lt;&gt;""),G1087*H1087,"")</f>
        <v/>
      </c>
      <c r="K1087" s="28"/>
      <c r="L1087" s="32"/>
      <c r="M1087" s="32"/>
      <c r="N1087" s="31" t="n">
        <f aca="false">IF(OR(G1087="",M1087=""),0,IF(M1087&gt;100,M1087,G1087*IF(M1087&gt;1,M1087/100,M1087)))</f>
        <v>0</v>
      </c>
      <c r="O1087" s="31" t="str">
        <f aca="false">IF(G1087="","",G1087*IF(L1087="",0,IF(L1087&gt;1,L1087/100,L1087))+N1087)</f>
        <v/>
      </c>
      <c r="P1087" s="28"/>
      <c r="Q1087" s="33" t="str">
        <f aca="false">IF(P1087="","",IFERROR(VLOOKUP(P1087,PARTNERS!$A$2:$B$30,2,0),""))</f>
        <v/>
      </c>
      <c r="R1087" s="17" t="str">
        <f aca="false">IF(O1087="","",IF(OR(P1087="",Q1087=""),0,(O1087-N1087)*IF(Q1087&gt;1,Q1087/100,Q1087)))</f>
        <v/>
      </c>
      <c r="S1087" s="31" t="str">
        <f aca="false">IF(O1087="","",O1087-R1087)</f>
        <v/>
      </c>
      <c r="T1087" s="28"/>
      <c r="U1087" s="34" t="str">
        <f aca="false">IF(T1087="","",IFERROR(VLOOKUP(T1087,REPS!$A$2:$D$40,2,0),""))</f>
        <v/>
      </c>
      <c r="V1087" s="31" t="str">
        <f aca="false">IF(O1087="","",IF(U1087="",0,O1087*IF(U1087&gt;1,U1087/100,U1087)))</f>
        <v/>
      </c>
      <c r="W1087" s="28"/>
      <c r="X1087" s="34" t="str">
        <f aca="false">IF(W1087="","",IFERROR(VLOOKUP(W1087,REPS!$A$2:$D$40,3,0),""))</f>
        <v/>
      </c>
      <c r="Y1087" s="31" t="str">
        <f aca="false">IF(O1087="","",IF(X1087="",0,O1087*IF(X1087&gt;1,X1087/100,X1087)))</f>
        <v/>
      </c>
      <c r="Z1087" s="28"/>
      <c r="AA1087" s="34" t="str">
        <f aca="false">IF(Z1087="","",IFERROR(VLOOKUP(Z1087,REPS!$A$2:$D$40,4,0),""))</f>
        <v/>
      </c>
      <c r="AB1087" s="31" t="str">
        <f aca="false">IF(O1087="","",IF(AA1087="",0,O1087*IF(AA1087&gt;1,AA1087/100,AA1087)))</f>
        <v/>
      </c>
      <c r="AC1087" s="31" t="str">
        <f aca="false">IF(O1087="","",V1087+Y1087+AB1087)</f>
        <v/>
      </c>
      <c r="AD1087" s="19" t="str">
        <f aca="false">IF(O1087="","",O1087-R1087-AC1087)</f>
        <v/>
      </c>
      <c r="AE1087" s="20"/>
      <c r="AF1087" s="27"/>
      <c r="AG1087" s="21" t="n">
        <f aca="false">IF(OR(AE1087="",AE1087=0),0,AE1087*IF(U1087="",0,IF(U1087&gt;1,U1087/100,U1087)))</f>
        <v>0</v>
      </c>
      <c r="AH1087" s="21" t="n">
        <f aca="false">IF(OR(AE1087="",AE1087=0),0,AE1087*IF(X1087="",0,IF(X1087&gt;1,X1087/100,X1087)))</f>
        <v>0</v>
      </c>
      <c r="AI1087" s="21" t="n">
        <f aca="false">IF(OR(AE1087="",AE1087=0),0,AE1087*IF(AA1087="",0,IF(AA1087&gt;1,AA1087/100,AA1087)))</f>
        <v>0</v>
      </c>
      <c r="AJ1087" s="21" t="n">
        <f aca="false">AG1087+AH1087+AI1087</f>
        <v>0</v>
      </c>
      <c r="AK1087" s="21" t="n">
        <f aca="false">IF(OR(AE1087="",AE1087=0),0,AE1087-AJ1087)</f>
        <v>0</v>
      </c>
      <c r="AL1087" s="19" t="str">
        <f aca="false">IF(AD1087="","",AD1087-AK1087)</f>
        <v/>
      </c>
      <c r="AM1087" s="26" t="str">
        <f aca="false">IF(C1087="","","Waiting for payment")</f>
        <v/>
      </c>
      <c r="AN1087" s="27"/>
      <c r="AO1087" s="27"/>
      <c r="AP1087" s="35" t="str">
        <f aca="false">IF(OR(C1087="",I1087="",K1087=""),"",IF(K1087="Monthly",EDATE(C1087,ROUND(I1087*SETTINGS!$I$8,0)),WORKDAY(C1087,ROUND(I1087*SETTINGS!$I$8,0))))</f>
        <v/>
      </c>
      <c r="AQ1087" s="26" t="str">
        <f aca="true">IF(C1087="","",IF(AND(AP1087&lt;&gt;"",TODAY()&gt;=AP1087),"Refi Ready",IF(TODAY()-C1087&gt;=SETTINGS!$I$11,"Prospecting","Performing")))</f>
        <v/>
      </c>
      <c r="AR1087" s="35" t="str">
        <f aca="false">IF(OR(C1087="",I1087="",K1087=""),"",IF(K1087="Monthly",EDATE(C1087,I1087),WORKDAY(C1087,I1087)))</f>
        <v/>
      </c>
      <c r="AS1087" s="28"/>
      <c r="AT1087" s="36" t="str">
        <f aca="true">IF(C1087="","",IF(AM1087="Clawed Back","CLAWED",IF(TODAY()&lt;=C1087+SETTINGS!$I$2,"⚠ AT RISK","SAFE")))</f>
        <v/>
      </c>
      <c r="AU1087" s="28"/>
      <c r="AW1087" s="24" t="n">
        <f aca="false">AW1086+IF(AND(C1087&lt;&gt;"",AO1087&lt;&gt;"",OR('REP COMMISSION'!$B$3="",T1087='REP COMMISSION'!$B$3,W1087='REP COMMISSION'!$B$3,Z1087='REP COMMISSION'!$B$3)),1,0)</f>
        <v>0</v>
      </c>
      <c r="AX1087" s="24" t="n">
        <f aca="false">AX1086+IF(AND(C1087&lt;&gt;"",OR(F1087="LOC - INITIAL",F1087="CONSOLIDATION - UPFRONT COMM",F1087="REVERSE - TOTAL FUNDING")),1,0)</f>
        <v>0</v>
      </c>
    </row>
    <row r="1088" customFormat="false" ht="15" hidden="false" customHeight="false" outlineLevel="0" collapsed="false">
      <c r="A1088" s="8" t="str">
        <f aca="false">IF(C1088&lt;&gt;"","F27-"&amp;COUNT($C$4:C1088),"")</f>
        <v/>
      </c>
      <c r="B1088" s="9" t="str">
        <f aca="false">IF(OR(F1088="LOC - INITIAL",F1088="CONSOLIDATION - UPFRONT COMM",F1088="REVERSE - TOTAL FUNDING"),A1088,"")</f>
        <v/>
      </c>
      <c r="C1088" s="10"/>
      <c r="D1088" s="11"/>
      <c r="E1088" s="11"/>
      <c r="F1088" s="11"/>
      <c r="G1088" s="12"/>
      <c r="H1088" s="13"/>
      <c r="I1088" s="11"/>
      <c r="J1088" s="14" t="str">
        <f aca="false">IF(AND(G1088&lt;&gt;"",H1088&lt;&gt;""),G1088*H1088,"")</f>
        <v/>
      </c>
      <c r="K1088" s="11"/>
      <c r="L1088" s="15"/>
      <c r="M1088" s="15"/>
      <c r="N1088" s="14" t="n">
        <f aca="false">IF(OR(G1088="",M1088=""),0,IF(M1088&gt;100,M1088,G1088*IF(M1088&gt;1,M1088/100,M1088)))</f>
        <v>0</v>
      </c>
      <c r="O1088" s="14" t="str">
        <f aca="false">IF(G1088="","",G1088*IF(L1088="",0,IF(L1088&gt;1,L1088/100,L1088))+N1088)</f>
        <v/>
      </c>
      <c r="P1088" s="11"/>
      <c r="Q1088" s="16" t="str">
        <f aca="false">IF(P1088="","",IFERROR(VLOOKUP(P1088,PARTNERS!$A$2:$B$30,2,0),""))</f>
        <v/>
      </c>
      <c r="R1088" s="17" t="str">
        <f aca="false">IF(O1088="","",IF(OR(P1088="",Q1088=""),0,(O1088-N1088)*IF(Q1088&gt;1,Q1088/100,Q1088)))</f>
        <v/>
      </c>
      <c r="S1088" s="14" t="str">
        <f aca="false">IF(O1088="","",O1088-R1088)</f>
        <v/>
      </c>
      <c r="T1088" s="11"/>
      <c r="U1088" s="18" t="str">
        <f aca="false">IF(T1088="","",IFERROR(VLOOKUP(T1088,REPS!$A$2:$D$40,2,0),""))</f>
        <v/>
      </c>
      <c r="V1088" s="14" t="str">
        <f aca="false">IF(O1088="","",IF(U1088="",0,O1088*IF(U1088&gt;1,U1088/100,U1088)))</f>
        <v/>
      </c>
      <c r="W1088" s="11"/>
      <c r="X1088" s="18" t="str">
        <f aca="false">IF(W1088="","",IFERROR(VLOOKUP(W1088,REPS!$A$2:$D$40,3,0),""))</f>
        <v/>
      </c>
      <c r="Y1088" s="14" t="str">
        <f aca="false">IF(O1088="","",IF(X1088="",0,O1088*IF(X1088&gt;1,X1088/100,X1088)))</f>
        <v/>
      </c>
      <c r="Z1088" s="11"/>
      <c r="AA1088" s="18" t="str">
        <f aca="false">IF(Z1088="","",IFERROR(VLOOKUP(Z1088,REPS!$A$2:$D$40,4,0),""))</f>
        <v/>
      </c>
      <c r="AB1088" s="14" t="str">
        <f aca="false">IF(O1088="","",IF(AA1088="",0,O1088*IF(AA1088&gt;1,AA1088/100,AA1088)))</f>
        <v/>
      </c>
      <c r="AC1088" s="14" t="str">
        <f aca="false">IF(O1088="","",V1088+Y1088+AB1088)</f>
        <v/>
      </c>
      <c r="AD1088" s="19" t="str">
        <f aca="false">IF(O1088="","",O1088-R1088-AC1088)</f>
        <v/>
      </c>
      <c r="AE1088" s="20"/>
      <c r="AF1088" s="10"/>
      <c r="AG1088" s="21" t="n">
        <f aca="false">IF(OR(AE1088="",AE1088=0),0,AE1088*IF(U1088="",0,IF(U1088&gt;1,U1088/100,U1088)))</f>
        <v>0</v>
      </c>
      <c r="AH1088" s="21" t="n">
        <f aca="false">IF(OR(AE1088="",AE1088=0),0,AE1088*IF(X1088="",0,IF(X1088&gt;1,X1088/100,X1088)))</f>
        <v>0</v>
      </c>
      <c r="AI1088" s="21" t="n">
        <f aca="false">IF(OR(AE1088="",AE1088=0),0,AE1088*IF(AA1088="",0,IF(AA1088&gt;1,AA1088/100,AA1088)))</f>
        <v>0</v>
      </c>
      <c r="AJ1088" s="21" t="n">
        <f aca="false">AG1088+AH1088+AI1088</f>
        <v>0</v>
      </c>
      <c r="AK1088" s="21" t="n">
        <f aca="false">IF(OR(AE1088="",AE1088=0),0,AE1088-AJ1088)</f>
        <v>0</v>
      </c>
      <c r="AL1088" s="19" t="str">
        <f aca="false">IF(AD1088="","",AD1088-AK1088)</f>
        <v/>
      </c>
      <c r="AM1088" s="9" t="str">
        <f aca="false">IF(C1088="","","Waiting for payment")</f>
        <v/>
      </c>
      <c r="AN1088" s="10"/>
      <c r="AO1088" s="10"/>
      <c r="AP1088" s="22" t="str">
        <f aca="false">IF(OR(C1088="",I1088="",K1088=""),"",IF(K1088="Monthly",EDATE(C1088,ROUND(I1088*SETTINGS!$I$8,0)),WORKDAY(C1088,ROUND(I1088*SETTINGS!$I$8,0))))</f>
        <v/>
      </c>
      <c r="AQ1088" s="9" t="str">
        <f aca="true">IF(C1088="","",IF(AND(AP1088&lt;&gt;"",TODAY()&gt;=AP1088),"Refi Ready",IF(TODAY()-C1088&gt;=SETTINGS!$I$11,"Prospecting","Performing")))</f>
        <v/>
      </c>
      <c r="AR1088" s="22" t="str">
        <f aca="false">IF(OR(C1088="",I1088="",K1088=""),"",IF(K1088="Monthly",EDATE(C1088,I1088),WORKDAY(C1088,I1088)))</f>
        <v/>
      </c>
      <c r="AS1088" s="11"/>
      <c r="AT1088" s="23" t="str">
        <f aca="true">IF(C1088="","",IF(AM1088="Clawed Back","CLAWED",IF(TODAY()&lt;=C1088+SETTINGS!$I$2,"⚠ AT RISK","SAFE")))</f>
        <v/>
      </c>
      <c r="AU1088" s="11"/>
      <c r="AW1088" s="24" t="n">
        <f aca="false">AW1087+IF(AND(C1088&lt;&gt;"",AO1088&lt;&gt;"",OR('REP COMMISSION'!$B$3="",T1088='REP COMMISSION'!$B$3,W1088='REP COMMISSION'!$B$3,Z1088='REP COMMISSION'!$B$3)),1,0)</f>
        <v>0</v>
      </c>
      <c r="AX1088" s="24" t="n">
        <f aca="false">AX1087+IF(AND(C1088&lt;&gt;"",OR(F1088="LOC - INITIAL",F1088="CONSOLIDATION - UPFRONT COMM",F1088="REVERSE - TOTAL FUNDING")),1,0)</f>
        <v>0</v>
      </c>
    </row>
    <row r="1089" customFormat="false" ht="15" hidden="false" customHeight="false" outlineLevel="0" collapsed="false">
      <c r="A1089" s="25" t="str">
        <f aca="false">IF(C1089&lt;&gt;"","F27-"&amp;COUNT($C$4:C1089),"")</f>
        <v/>
      </c>
      <c r="B1089" s="26" t="str">
        <f aca="false">IF(OR(F1089="LOC - INITIAL",F1089="CONSOLIDATION - UPFRONT COMM",F1089="REVERSE - TOTAL FUNDING"),A1089,"")</f>
        <v/>
      </c>
      <c r="C1089" s="27"/>
      <c r="D1089" s="28"/>
      <c r="E1089" s="28"/>
      <c r="F1089" s="28"/>
      <c r="G1089" s="29"/>
      <c r="H1089" s="30"/>
      <c r="I1089" s="28"/>
      <c r="J1089" s="31" t="str">
        <f aca="false">IF(AND(G1089&lt;&gt;"",H1089&lt;&gt;""),G1089*H1089,"")</f>
        <v/>
      </c>
      <c r="K1089" s="28"/>
      <c r="L1089" s="32"/>
      <c r="M1089" s="32"/>
      <c r="N1089" s="31" t="n">
        <f aca="false">IF(OR(G1089="",M1089=""),0,IF(M1089&gt;100,M1089,G1089*IF(M1089&gt;1,M1089/100,M1089)))</f>
        <v>0</v>
      </c>
      <c r="O1089" s="31" t="str">
        <f aca="false">IF(G1089="","",G1089*IF(L1089="",0,IF(L1089&gt;1,L1089/100,L1089))+N1089)</f>
        <v/>
      </c>
      <c r="P1089" s="28"/>
      <c r="Q1089" s="33" t="str">
        <f aca="false">IF(P1089="","",IFERROR(VLOOKUP(P1089,PARTNERS!$A$2:$B$30,2,0),""))</f>
        <v/>
      </c>
      <c r="R1089" s="17" t="str">
        <f aca="false">IF(O1089="","",IF(OR(P1089="",Q1089=""),0,(O1089-N1089)*IF(Q1089&gt;1,Q1089/100,Q1089)))</f>
        <v/>
      </c>
      <c r="S1089" s="31" t="str">
        <f aca="false">IF(O1089="","",O1089-R1089)</f>
        <v/>
      </c>
      <c r="T1089" s="28"/>
      <c r="U1089" s="34" t="str">
        <f aca="false">IF(T1089="","",IFERROR(VLOOKUP(T1089,REPS!$A$2:$D$40,2,0),""))</f>
        <v/>
      </c>
      <c r="V1089" s="31" t="str">
        <f aca="false">IF(O1089="","",IF(U1089="",0,O1089*IF(U1089&gt;1,U1089/100,U1089)))</f>
        <v/>
      </c>
      <c r="W1089" s="28"/>
      <c r="X1089" s="34" t="str">
        <f aca="false">IF(W1089="","",IFERROR(VLOOKUP(W1089,REPS!$A$2:$D$40,3,0),""))</f>
        <v/>
      </c>
      <c r="Y1089" s="31" t="str">
        <f aca="false">IF(O1089="","",IF(X1089="",0,O1089*IF(X1089&gt;1,X1089/100,X1089)))</f>
        <v/>
      </c>
      <c r="Z1089" s="28"/>
      <c r="AA1089" s="34" t="str">
        <f aca="false">IF(Z1089="","",IFERROR(VLOOKUP(Z1089,REPS!$A$2:$D$40,4,0),""))</f>
        <v/>
      </c>
      <c r="AB1089" s="31" t="str">
        <f aca="false">IF(O1089="","",IF(AA1089="",0,O1089*IF(AA1089&gt;1,AA1089/100,AA1089)))</f>
        <v/>
      </c>
      <c r="AC1089" s="31" t="str">
        <f aca="false">IF(O1089="","",V1089+Y1089+AB1089)</f>
        <v/>
      </c>
      <c r="AD1089" s="19" t="str">
        <f aca="false">IF(O1089="","",O1089-R1089-AC1089)</f>
        <v/>
      </c>
      <c r="AE1089" s="20"/>
      <c r="AF1089" s="27"/>
      <c r="AG1089" s="21" t="n">
        <f aca="false">IF(OR(AE1089="",AE1089=0),0,AE1089*IF(U1089="",0,IF(U1089&gt;1,U1089/100,U1089)))</f>
        <v>0</v>
      </c>
      <c r="AH1089" s="21" t="n">
        <f aca="false">IF(OR(AE1089="",AE1089=0),0,AE1089*IF(X1089="",0,IF(X1089&gt;1,X1089/100,X1089)))</f>
        <v>0</v>
      </c>
      <c r="AI1089" s="21" t="n">
        <f aca="false">IF(OR(AE1089="",AE1089=0),0,AE1089*IF(AA1089="",0,IF(AA1089&gt;1,AA1089/100,AA1089)))</f>
        <v>0</v>
      </c>
      <c r="AJ1089" s="21" t="n">
        <f aca="false">AG1089+AH1089+AI1089</f>
        <v>0</v>
      </c>
      <c r="AK1089" s="21" t="n">
        <f aca="false">IF(OR(AE1089="",AE1089=0),0,AE1089-AJ1089)</f>
        <v>0</v>
      </c>
      <c r="AL1089" s="19" t="str">
        <f aca="false">IF(AD1089="","",AD1089-AK1089)</f>
        <v/>
      </c>
      <c r="AM1089" s="26" t="str">
        <f aca="false">IF(C1089="","","Waiting for payment")</f>
        <v/>
      </c>
      <c r="AN1089" s="27"/>
      <c r="AO1089" s="27"/>
      <c r="AP1089" s="35" t="str">
        <f aca="false">IF(OR(C1089="",I1089="",K1089=""),"",IF(K1089="Monthly",EDATE(C1089,ROUND(I1089*SETTINGS!$I$8,0)),WORKDAY(C1089,ROUND(I1089*SETTINGS!$I$8,0))))</f>
        <v/>
      </c>
      <c r="AQ1089" s="26" t="str">
        <f aca="true">IF(C1089="","",IF(AND(AP1089&lt;&gt;"",TODAY()&gt;=AP1089),"Refi Ready",IF(TODAY()-C1089&gt;=SETTINGS!$I$11,"Prospecting","Performing")))</f>
        <v/>
      </c>
      <c r="AR1089" s="35" t="str">
        <f aca="false">IF(OR(C1089="",I1089="",K1089=""),"",IF(K1089="Monthly",EDATE(C1089,I1089),WORKDAY(C1089,I1089)))</f>
        <v/>
      </c>
      <c r="AS1089" s="28"/>
      <c r="AT1089" s="36" t="str">
        <f aca="true">IF(C1089="","",IF(AM1089="Clawed Back","CLAWED",IF(TODAY()&lt;=C1089+SETTINGS!$I$2,"⚠ AT RISK","SAFE")))</f>
        <v/>
      </c>
      <c r="AU1089" s="28"/>
      <c r="AW1089" s="24" t="n">
        <f aca="false">AW1088+IF(AND(C1089&lt;&gt;"",AO1089&lt;&gt;"",OR('REP COMMISSION'!$B$3="",T1089='REP COMMISSION'!$B$3,W1089='REP COMMISSION'!$B$3,Z1089='REP COMMISSION'!$B$3)),1,0)</f>
        <v>0</v>
      </c>
      <c r="AX1089" s="24" t="n">
        <f aca="false">AX1088+IF(AND(C1089&lt;&gt;"",OR(F1089="LOC - INITIAL",F1089="CONSOLIDATION - UPFRONT COMM",F1089="REVERSE - TOTAL FUNDING")),1,0)</f>
        <v>0</v>
      </c>
    </row>
    <row r="1090" customFormat="false" ht="15" hidden="false" customHeight="false" outlineLevel="0" collapsed="false">
      <c r="A1090" s="8" t="str">
        <f aca="false">IF(C1090&lt;&gt;"","F27-"&amp;COUNT($C$4:C1090),"")</f>
        <v/>
      </c>
      <c r="B1090" s="9" t="str">
        <f aca="false">IF(OR(F1090="LOC - INITIAL",F1090="CONSOLIDATION - UPFRONT COMM",F1090="REVERSE - TOTAL FUNDING"),A1090,"")</f>
        <v/>
      </c>
      <c r="C1090" s="10"/>
      <c r="D1090" s="11"/>
      <c r="E1090" s="11"/>
      <c r="F1090" s="11"/>
      <c r="G1090" s="12"/>
      <c r="H1090" s="13"/>
      <c r="I1090" s="11"/>
      <c r="J1090" s="14" t="str">
        <f aca="false">IF(AND(G1090&lt;&gt;"",H1090&lt;&gt;""),G1090*H1090,"")</f>
        <v/>
      </c>
      <c r="K1090" s="11"/>
      <c r="L1090" s="15"/>
      <c r="M1090" s="15"/>
      <c r="N1090" s="14" t="n">
        <f aca="false">IF(OR(G1090="",M1090=""),0,IF(M1090&gt;100,M1090,G1090*IF(M1090&gt;1,M1090/100,M1090)))</f>
        <v>0</v>
      </c>
      <c r="O1090" s="14" t="str">
        <f aca="false">IF(G1090="","",G1090*IF(L1090="",0,IF(L1090&gt;1,L1090/100,L1090))+N1090)</f>
        <v/>
      </c>
      <c r="P1090" s="11"/>
      <c r="Q1090" s="16" t="str">
        <f aca="false">IF(P1090="","",IFERROR(VLOOKUP(P1090,PARTNERS!$A$2:$B$30,2,0),""))</f>
        <v/>
      </c>
      <c r="R1090" s="17" t="str">
        <f aca="false">IF(O1090="","",IF(OR(P1090="",Q1090=""),0,(O1090-N1090)*IF(Q1090&gt;1,Q1090/100,Q1090)))</f>
        <v/>
      </c>
      <c r="S1090" s="14" t="str">
        <f aca="false">IF(O1090="","",O1090-R1090)</f>
        <v/>
      </c>
      <c r="T1090" s="11"/>
      <c r="U1090" s="18" t="str">
        <f aca="false">IF(T1090="","",IFERROR(VLOOKUP(T1090,REPS!$A$2:$D$40,2,0),""))</f>
        <v/>
      </c>
      <c r="V1090" s="14" t="str">
        <f aca="false">IF(O1090="","",IF(U1090="",0,O1090*IF(U1090&gt;1,U1090/100,U1090)))</f>
        <v/>
      </c>
      <c r="W1090" s="11"/>
      <c r="X1090" s="18" t="str">
        <f aca="false">IF(W1090="","",IFERROR(VLOOKUP(W1090,REPS!$A$2:$D$40,3,0),""))</f>
        <v/>
      </c>
      <c r="Y1090" s="14" t="str">
        <f aca="false">IF(O1090="","",IF(X1090="",0,O1090*IF(X1090&gt;1,X1090/100,X1090)))</f>
        <v/>
      </c>
      <c r="Z1090" s="11"/>
      <c r="AA1090" s="18" t="str">
        <f aca="false">IF(Z1090="","",IFERROR(VLOOKUP(Z1090,REPS!$A$2:$D$40,4,0),""))</f>
        <v/>
      </c>
      <c r="AB1090" s="14" t="str">
        <f aca="false">IF(O1090="","",IF(AA1090="",0,O1090*IF(AA1090&gt;1,AA1090/100,AA1090)))</f>
        <v/>
      </c>
      <c r="AC1090" s="14" t="str">
        <f aca="false">IF(O1090="","",V1090+Y1090+AB1090)</f>
        <v/>
      </c>
      <c r="AD1090" s="19" t="str">
        <f aca="false">IF(O1090="","",O1090-R1090-AC1090)</f>
        <v/>
      </c>
      <c r="AE1090" s="20"/>
      <c r="AF1090" s="10"/>
      <c r="AG1090" s="21" t="n">
        <f aca="false">IF(OR(AE1090="",AE1090=0),0,AE1090*IF(U1090="",0,IF(U1090&gt;1,U1090/100,U1090)))</f>
        <v>0</v>
      </c>
      <c r="AH1090" s="21" t="n">
        <f aca="false">IF(OR(AE1090="",AE1090=0),0,AE1090*IF(X1090="",0,IF(X1090&gt;1,X1090/100,X1090)))</f>
        <v>0</v>
      </c>
      <c r="AI1090" s="21" t="n">
        <f aca="false">IF(OR(AE1090="",AE1090=0),0,AE1090*IF(AA1090="",0,IF(AA1090&gt;1,AA1090/100,AA1090)))</f>
        <v>0</v>
      </c>
      <c r="AJ1090" s="21" t="n">
        <f aca="false">AG1090+AH1090+AI1090</f>
        <v>0</v>
      </c>
      <c r="AK1090" s="21" t="n">
        <f aca="false">IF(OR(AE1090="",AE1090=0),0,AE1090-AJ1090)</f>
        <v>0</v>
      </c>
      <c r="AL1090" s="19" t="str">
        <f aca="false">IF(AD1090="","",AD1090-AK1090)</f>
        <v/>
      </c>
      <c r="AM1090" s="9" t="str">
        <f aca="false">IF(C1090="","","Waiting for payment")</f>
        <v/>
      </c>
      <c r="AN1090" s="10"/>
      <c r="AO1090" s="10"/>
      <c r="AP1090" s="22" t="str">
        <f aca="false">IF(OR(C1090="",I1090="",K1090=""),"",IF(K1090="Monthly",EDATE(C1090,ROUND(I1090*SETTINGS!$I$8,0)),WORKDAY(C1090,ROUND(I1090*SETTINGS!$I$8,0))))</f>
        <v/>
      </c>
      <c r="AQ1090" s="9" t="str">
        <f aca="true">IF(C1090="","",IF(AND(AP1090&lt;&gt;"",TODAY()&gt;=AP1090),"Refi Ready",IF(TODAY()-C1090&gt;=SETTINGS!$I$11,"Prospecting","Performing")))</f>
        <v/>
      </c>
      <c r="AR1090" s="22" t="str">
        <f aca="false">IF(OR(C1090="",I1090="",K1090=""),"",IF(K1090="Monthly",EDATE(C1090,I1090),WORKDAY(C1090,I1090)))</f>
        <v/>
      </c>
      <c r="AS1090" s="11"/>
      <c r="AT1090" s="23" t="str">
        <f aca="true">IF(C1090="","",IF(AM1090="Clawed Back","CLAWED",IF(TODAY()&lt;=C1090+SETTINGS!$I$2,"⚠ AT RISK","SAFE")))</f>
        <v/>
      </c>
      <c r="AU1090" s="11"/>
      <c r="AW1090" s="24" t="n">
        <f aca="false">AW1089+IF(AND(C1090&lt;&gt;"",AO1090&lt;&gt;"",OR('REP COMMISSION'!$B$3="",T1090='REP COMMISSION'!$B$3,W1090='REP COMMISSION'!$B$3,Z1090='REP COMMISSION'!$B$3)),1,0)</f>
        <v>0</v>
      </c>
      <c r="AX1090" s="24" t="n">
        <f aca="false">AX1089+IF(AND(C1090&lt;&gt;"",OR(F1090="LOC - INITIAL",F1090="CONSOLIDATION - UPFRONT COMM",F1090="REVERSE - TOTAL FUNDING")),1,0)</f>
        <v>0</v>
      </c>
    </row>
    <row r="1091" customFormat="false" ht="15" hidden="false" customHeight="false" outlineLevel="0" collapsed="false">
      <c r="A1091" s="25" t="str">
        <f aca="false">IF(C1091&lt;&gt;"","F27-"&amp;COUNT($C$4:C1091),"")</f>
        <v/>
      </c>
      <c r="B1091" s="26" t="str">
        <f aca="false">IF(OR(F1091="LOC - INITIAL",F1091="CONSOLIDATION - UPFRONT COMM",F1091="REVERSE - TOTAL FUNDING"),A1091,"")</f>
        <v/>
      </c>
      <c r="C1091" s="27"/>
      <c r="D1091" s="28"/>
      <c r="E1091" s="28"/>
      <c r="F1091" s="28"/>
      <c r="G1091" s="29"/>
      <c r="H1091" s="30"/>
      <c r="I1091" s="28"/>
      <c r="J1091" s="31" t="str">
        <f aca="false">IF(AND(G1091&lt;&gt;"",H1091&lt;&gt;""),G1091*H1091,"")</f>
        <v/>
      </c>
      <c r="K1091" s="28"/>
      <c r="L1091" s="32"/>
      <c r="M1091" s="32"/>
      <c r="N1091" s="31" t="n">
        <f aca="false">IF(OR(G1091="",M1091=""),0,IF(M1091&gt;100,M1091,G1091*IF(M1091&gt;1,M1091/100,M1091)))</f>
        <v>0</v>
      </c>
      <c r="O1091" s="31" t="str">
        <f aca="false">IF(G1091="","",G1091*IF(L1091="",0,IF(L1091&gt;1,L1091/100,L1091))+N1091)</f>
        <v/>
      </c>
      <c r="P1091" s="28"/>
      <c r="Q1091" s="33" t="str">
        <f aca="false">IF(P1091="","",IFERROR(VLOOKUP(P1091,PARTNERS!$A$2:$B$30,2,0),""))</f>
        <v/>
      </c>
      <c r="R1091" s="17" t="str">
        <f aca="false">IF(O1091="","",IF(OR(P1091="",Q1091=""),0,(O1091-N1091)*IF(Q1091&gt;1,Q1091/100,Q1091)))</f>
        <v/>
      </c>
      <c r="S1091" s="31" t="str">
        <f aca="false">IF(O1091="","",O1091-R1091)</f>
        <v/>
      </c>
      <c r="T1091" s="28"/>
      <c r="U1091" s="34" t="str">
        <f aca="false">IF(T1091="","",IFERROR(VLOOKUP(T1091,REPS!$A$2:$D$40,2,0),""))</f>
        <v/>
      </c>
      <c r="V1091" s="31" t="str">
        <f aca="false">IF(O1091="","",IF(U1091="",0,O1091*IF(U1091&gt;1,U1091/100,U1091)))</f>
        <v/>
      </c>
      <c r="W1091" s="28"/>
      <c r="X1091" s="34" t="str">
        <f aca="false">IF(W1091="","",IFERROR(VLOOKUP(W1091,REPS!$A$2:$D$40,3,0),""))</f>
        <v/>
      </c>
      <c r="Y1091" s="31" t="str">
        <f aca="false">IF(O1091="","",IF(X1091="",0,O1091*IF(X1091&gt;1,X1091/100,X1091)))</f>
        <v/>
      </c>
      <c r="Z1091" s="28"/>
      <c r="AA1091" s="34" t="str">
        <f aca="false">IF(Z1091="","",IFERROR(VLOOKUP(Z1091,REPS!$A$2:$D$40,4,0),""))</f>
        <v/>
      </c>
      <c r="AB1091" s="31" t="str">
        <f aca="false">IF(O1091="","",IF(AA1091="",0,O1091*IF(AA1091&gt;1,AA1091/100,AA1091)))</f>
        <v/>
      </c>
      <c r="AC1091" s="31" t="str">
        <f aca="false">IF(O1091="","",V1091+Y1091+AB1091)</f>
        <v/>
      </c>
      <c r="AD1091" s="19" t="str">
        <f aca="false">IF(O1091="","",O1091-R1091-AC1091)</f>
        <v/>
      </c>
      <c r="AE1091" s="20"/>
      <c r="AF1091" s="27"/>
      <c r="AG1091" s="21" t="n">
        <f aca="false">IF(OR(AE1091="",AE1091=0),0,AE1091*IF(U1091="",0,IF(U1091&gt;1,U1091/100,U1091)))</f>
        <v>0</v>
      </c>
      <c r="AH1091" s="21" t="n">
        <f aca="false">IF(OR(AE1091="",AE1091=0),0,AE1091*IF(X1091="",0,IF(X1091&gt;1,X1091/100,X1091)))</f>
        <v>0</v>
      </c>
      <c r="AI1091" s="21" t="n">
        <f aca="false">IF(OR(AE1091="",AE1091=0),0,AE1091*IF(AA1091="",0,IF(AA1091&gt;1,AA1091/100,AA1091)))</f>
        <v>0</v>
      </c>
      <c r="AJ1091" s="21" t="n">
        <f aca="false">AG1091+AH1091+AI1091</f>
        <v>0</v>
      </c>
      <c r="AK1091" s="21" t="n">
        <f aca="false">IF(OR(AE1091="",AE1091=0),0,AE1091-AJ1091)</f>
        <v>0</v>
      </c>
      <c r="AL1091" s="19" t="str">
        <f aca="false">IF(AD1091="","",AD1091-AK1091)</f>
        <v/>
      </c>
      <c r="AM1091" s="26" t="str">
        <f aca="false">IF(C1091="","","Waiting for payment")</f>
        <v/>
      </c>
      <c r="AN1091" s="27"/>
      <c r="AO1091" s="27"/>
      <c r="AP1091" s="35" t="str">
        <f aca="false">IF(OR(C1091="",I1091="",K1091=""),"",IF(K1091="Monthly",EDATE(C1091,ROUND(I1091*SETTINGS!$I$8,0)),WORKDAY(C1091,ROUND(I1091*SETTINGS!$I$8,0))))</f>
        <v/>
      </c>
      <c r="AQ1091" s="26" t="str">
        <f aca="true">IF(C1091="","",IF(AND(AP1091&lt;&gt;"",TODAY()&gt;=AP1091),"Refi Ready",IF(TODAY()-C1091&gt;=SETTINGS!$I$11,"Prospecting","Performing")))</f>
        <v/>
      </c>
      <c r="AR1091" s="35" t="str">
        <f aca="false">IF(OR(C1091="",I1091="",K1091=""),"",IF(K1091="Monthly",EDATE(C1091,I1091),WORKDAY(C1091,I1091)))</f>
        <v/>
      </c>
      <c r="AS1091" s="28"/>
      <c r="AT1091" s="36" t="str">
        <f aca="true">IF(C1091="","",IF(AM1091="Clawed Back","CLAWED",IF(TODAY()&lt;=C1091+SETTINGS!$I$2,"⚠ AT RISK","SAFE")))</f>
        <v/>
      </c>
      <c r="AU1091" s="28"/>
      <c r="AW1091" s="24" t="n">
        <f aca="false">AW1090+IF(AND(C1091&lt;&gt;"",AO1091&lt;&gt;"",OR('REP COMMISSION'!$B$3="",T1091='REP COMMISSION'!$B$3,W1091='REP COMMISSION'!$B$3,Z1091='REP COMMISSION'!$B$3)),1,0)</f>
        <v>0</v>
      </c>
      <c r="AX1091" s="24" t="n">
        <f aca="false">AX1090+IF(AND(C1091&lt;&gt;"",OR(F1091="LOC - INITIAL",F1091="CONSOLIDATION - UPFRONT COMM",F1091="REVERSE - TOTAL FUNDING")),1,0)</f>
        <v>0</v>
      </c>
    </row>
    <row r="1092" customFormat="false" ht="15" hidden="false" customHeight="false" outlineLevel="0" collapsed="false">
      <c r="A1092" s="8" t="str">
        <f aca="false">IF(C1092&lt;&gt;"","F27-"&amp;COUNT($C$4:C1092),"")</f>
        <v/>
      </c>
      <c r="B1092" s="9" t="str">
        <f aca="false">IF(OR(F1092="LOC - INITIAL",F1092="CONSOLIDATION - UPFRONT COMM",F1092="REVERSE - TOTAL FUNDING"),A1092,"")</f>
        <v/>
      </c>
      <c r="C1092" s="10"/>
      <c r="D1092" s="11"/>
      <c r="E1092" s="11"/>
      <c r="F1092" s="11"/>
      <c r="G1092" s="12"/>
      <c r="H1092" s="13"/>
      <c r="I1092" s="11"/>
      <c r="J1092" s="14" t="str">
        <f aca="false">IF(AND(G1092&lt;&gt;"",H1092&lt;&gt;""),G1092*H1092,"")</f>
        <v/>
      </c>
      <c r="K1092" s="11"/>
      <c r="L1092" s="15"/>
      <c r="M1092" s="15"/>
      <c r="N1092" s="14" t="n">
        <f aca="false">IF(OR(G1092="",M1092=""),0,IF(M1092&gt;100,M1092,G1092*IF(M1092&gt;1,M1092/100,M1092)))</f>
        <v>0</v>
      </c>
      <c r="O1092" s="14" t="str">
        <f aca="false">IF(G1092="","",G1092*IF(L1092="",0,IF(L1092&gt;1,L1092/100,L1092))+N1092)</f>
        <v/>
      </c>
      <c r="P1092" s="11"/>
      <c r="Q1092" s="16" t="str">
        <f aca="false">IF(P1092="","",IFERROR(VLOOKUP(P1092,PARTNERS!$A$2:$B$30,2,0),""))</f>
        <v/>
      </c>
      <c r="R1092" s="17" t="str">
        <f aca="false">IF(O1092="","",IF(OR(P1092="",Q1092=""),0,(O1092-N1092)*IF(Q1092&gt;1,Q1092/100,Q1092)))</f>
        <v/>
      </c>
      <c r="S1092" s="14" t="str">
        <f aca="false">IF(O1092="","",O1092-R1092)</f>
        <v/>
      </c>
      <c r="T1092" s="11"/>
      <c r="U1092" s="18" t="str">
        <f aca="false">IF(T1092="","",IFERROR(VLOOKUP(T1092,REPS!$A$2:$D$40,2,0),""))</f>
        <v/>
      </c>
      <c r="V1092" s="14" t="str">
        <f aca="false">IF(O1092="","",IF(U1092="",0,O1092*IF(U1092&gt;1,U1092/100,U1092)))</f>
        <v/>
      </c>
      <c r="W1092" s="11"/>
      <c r="X1092" s="18" t="str">
        <f aca="false">IF(W1092="","",IFERROR(VLOOKUP(W1092,REPS!$A$2:$D$40,3,0),""))</f>
        <v/>
      </c>
      <c r="Y1092" s="14" t="str">
        <f aca="false">IF(O1092="","",IF(X1092="",0,O1092*IF(X1092&gt;1,X1092/100,X1092)))</f>
        <v/>
      </c>
      <c r="Z1092" s="11"/>
      <c r="AA1092" s="18" t="str">
        <f aca="false">IF(Z1092="","",IFERROR(VLOOKUP(Z1092,REPS!$A$2:$D$40,4,0),""))</f>
        <v/>
      </c>
      <c r="AB1092" s="14" t="str">
        <f aca="false">IF(O1092="","",IF(AA1092="",0,O1092*IF(AA1092&gt;1,AA1092/100,AA1092)))</f>
        <v/>
      </c>
      <c r="AC1092" s="14" t="str">
        <f aca="false">IF(O1092="","",V1092+Y1092+AB1092)</f>
        <v/>
      </c>
      <c r="AD1092" s="19" t="str">
        <f aca="false">IF(O1092="","",O1092-R1092-AC1092)</f>
        <v/>
      </c>
      <c r="AE1092" s="20"/>
      <c r="AF1092" s="10"/>
      <c r="AG1092" s="21" t="n">
        <f aca="false">IF(OR(AE1092="",AE1092=0),0,AE1092*IF(U1092="",0,IF(U1092&gt;1,U1092/100,U1092)))</f>
        <v>0</v>
      </c>
      <c r="AH1092" s="21" t="n">
        <f aca="false">IF(OR(AE1092="",AE1092=0),0,AE1092*IF(X1092="",0,IF(X1092&gt;1,X1092/100,X1092)))</f>
        <v>0</v>
      </c>
      <c r="AI1092" s="21" t="n">
        <f aca="false">IF(OR(AE1092="",AE1092=0),0,AE1092*IF(AA1092="",0,IF(AA1092&gt;1,AA1092/100,AA1092)))</f>
        <v>0</v>
      </c>
      <c r="AJ1092" s="21" t="n">
        <f aca="false">AG1092+AH1092+AI1092</f>
        <v>0</v>
      </c>
      <c r="AK1092" s="21" t="n">
        <f aca="false">IF(OR(AE1092="",AE1092=0),0,AE1092-AJ1092)</f>
        <v>0</v>
      </c>
      <c r="AL1092" s="19" t="str">
        <f aca="false">IF(AD1092="","",AD1092-AK1092)</f>
        <v/>
      </c>
      <c r="AM1092" s="9" t="str">
        <f aca="false">IF(C1092="","","Waiting for payment")</f>
        <v/>
      </c>
      <c r="AN1092" s="10"/>
      <c r="AO1092" s="10"/>
      <c r="AP1092" s="22" t="str">
        <f aca="false">IF(OR(C1092="",I1092="",K1092=""),"",IF(K1092="Monthly",EDATE(C1092,ROUND(I1092*SETTINGS!$I$8,0)),WORKDAY(C1092,ROUND(I1092*SETTINGS!$I$8,0))))</f>
        <v/>
      </c>
      <c r="AQ1092" s="9" t="str">
        <f aca="true">IF(C1092="","",IF(AND(AP1092&lt;&gt;"",TODAY()&gt;=AP1092),"Refi Ready",IF(TODAY()-C1092&gt;=SETTINGS!$I$11,"Prospecting","Performing")))</f>
        <v/>
      </c>
      <c r="AR1092" s="22" t="str">
        <f aca="false">IF(OR(C1092="",I1092="",K1092=""),"",IF(K1092="Monthly",EDATE(C1092,I1092),WORKDAY(C1092,I1092)))</f>
        <v/>
      </c>
      <c r="AS1092" s="11"/>
      <c r="AT1092" s="23" t="str">
        <f aca="true">IF(C1092="","",IF(AM1092="Clawed Back","CLAWED",IF(TODAY()&lt;=C1092+SETTINGS!$I$2,"⚠ AT RISK","SAFE")))</f>
        <v/>
      </c>
      <c r="AU1092" s="11"/>
      <c r="AW1092" s="24" t="n">
        <f aca="false">AW1091+IF(AND(C1092&lt;&gt;"",AO1092&lt;&gt;"",OR('REP COMMISSION'!$B$3="",T1092='REP COMMISSION'!$B$3,W1092='REP COMMISSION'!$B$3,Z1092='REP COMMISSION'!$B$3)),1,0)</f>
        <v>0</v>
      </c>
      <c r="AX1092" s="24" t="n">
        <f aca="false">AX1091+IF(AND(C1092&lt;&gt;"",OR(F1092="LOC - INITIAL",F1092="CONSOLIDATION - UPFRONT COMM",F1092="REVERSE - TOTAL FUNDING")),1,0)</f>
        <v>0</v>
      </c>
    </row>
    <row r="1093" customFormat="false" ht="15" hidden="false" customHeight="false" outlineLevel="0" collapsed="false">
      <c r="A1093" s="25" t="str">
        <f aca="false">IF(C1093&lt;&gt;"","F27-"&amp;COUNT($C$4:C1093),"")</f>
        <v/>
      </c>
      <c r="B1093" s="26" t="str">
        <f aca="false">IF(OR(F1093="LOC - INITIAL",F1093="CONSOLIDATION - UPFRONT COMM",F1093="REVERSE - TOTAL FUNDING"),A1093,"")</f>
        <v/>
      </c>
      <c r="C1093" s="27"/>
      <c r="D1093" s="28"/>
      <c r="E1093" s="28"/>
      <c r="F1093" s="28"/>
      <c r="G1093" s="29"/>
      <c r="H1093" s="30"/>
      <c r="I1093" s="28"/>
      <c r="J1093" s="31" t="str">
        <f aca="false">IF(AND(G1093&lt;&gt;"",H1093&lt;&gt;""),G1093*H1093,"")</f>
        <v/>
      </c>
      <c r="K1093" s="28"/>
      <c r="L1093" s="32"/>
      <c r="M1093" s="32"/>
      <c r="N1093" s="31" t="n">
        <f aca="false">IF(OR(G1093="",M1093=""),0,IF(M1093&gt;100,M1093,G1093*IF(M1093&gt;1,M1093/100,M1093)))</f>
        <v>0</v>
      </c>
      <c r="O1093" s="31" t="str">
        <f aca="false">IF(G1093="","",G1093*IF(L1093="",0,IF(L1093&gt;1,L1093/100,L1093))+N1093)</f>
        <v/>
      </c>
      <c r="P1093" s="28"/>
      <c r="Q1093" s="33" t="str">
        <f aca="false">IF(P1093="","",IFERROR(VLOOKUP(P1093,PARTNERS!$A$2:$B$30,2,0),""))</f>
        <v/>
      </c>
      <c r="R1093" s="17" t="str">
        <f aca="false">IF(O1093="","",IF(OR(P1093="",Q1093=""),0,(O1093-N1093)*IF(Q1093&gt;1,Q1093/100,Q1093)))</f>
        <v/>
      </c>
      <c r="S1093" s="31" t="str">
        <f aca="false">IF(O1093="","",O1093-R1093)</f>
        <v/>
      </c>
      <c r="T1093" s="28"/>
      <c r="U1093" s="34" t="str">
        <f aca="false">IF(T1093="","",IFERROR(VLOOKUP(T1093,REPS!$A$2:$D$40,2,0),""))</f>
        <v/>
      </c>
      <c r="V1093" s="31" t="str">
        <f aca="false">IF(O1093="","",IF(U1093="",0,O1093*IF(U1093&gt;1,U1093/100,U1093)))</f>
        <v/>
      </c>
      <c r="W1093" s="28"/>
      <c r="X1093" s="34" t="str">
        <f aca="false">IF(W1093="","",IFERROR(VLOOKUP(W1093,REPS!$A$2:$D$40,3,0),""))</f>
        <v/>
      </c>
      <c r="Y1093" s="31" t="str">
        <f aca="false">IF(O1093="","",IF(X1093="",0,O1093*IF(X1093&gt;1,X1093/100,X1093)))</f>
        <v/>
      </c>
      <c r="Z1093" s="28"/>
      <c r="AA1093" s="34" t="str">
        <f aca="false">IF(Z1093="","",IFERROR(VLOOKUP(Z1093,REPS!$A$2:$D$40,4,0),""))</f>
        <v/>
      </c>
      <c r="AB1093" s="31" t="str">
        <f aca="false">IF(O1093="","",IF(AA1093="",0,O1093*IF(AA1093&gt;1,AA1093/100,AA1093)))</f>
        <v/>
      </c>
      <c r="AC1093" s="31" t="str">
        <f aca="false">IF(O1093="","",V1093+Y1093+AB1093)</f>
        <v/>
      </c>
      <c r="AD1093" s="19" t="str">
        <f aca="false">IF(O1093="","",O1093-R1093-AC1093)</f>
        <v/>
      </c>
      <c r="AE1093" s="20"/>
      <c r="AF1093" s="27"/>
      <c r="AG1093" s="21" t="n">
        <f aca="false">IF(OR(AE1093="",AE1093=0),0,AE1093*IF(U1093="",0,IF(U1093&gt;1,U1093/100,U1093)))</f>
        <v>0</v>
      </c>
      <c r="AH1093" s="21" t="n">
        <f aca="false">IF(OR(AE1093="",AE1093=0),0,AE1093*IF(X1093="",0,IF(X1093&gt;1,X1093/100,X1093)))</f>
        <v>0</v>
      </c>
      <c r="AI1093" s="21" t="n">
        <f aca="false">IF(OR(AE1093="",AE1093=0),0,AE1093*IF(AA1093="",0,IF(AA1093&gt;1,AA1093/100,AA1093)))</f>
        <v>0</v>
      </c>
      <c r="AJ1093" s="21" t="n">
        <f aca="false">AG1093+AH1093+AI1093</f>
        <v>0</v>
      </c>
      <c r="AK1093" s="21" t="n">
        <f aca="false">IF(OR(AE1093="",AE1093=0),0,AE1093-AJ1093)</f>
        <v>0</v>
      </c>
      <c r="AL1093" s="19" t="str">
        <f aca="false">IF(AD1093="","",AD1093-AK1093)</f>
        <v/>
      </c>
      <c r="AM1093" s="26" t="str">
        <f aca="false">IF(C1093="","","Waiting for payment")</f>
        <v/>
      </c>
      <c r="AN1093" s="27"/>
      <c r="AO1093" s="27"/>
      <c r="AP1093" s="35" t="str">
        <f aca="false">IF(OR(C1093="",I1093="",K1093=""),"",IF(K1093="Monthly",EDATE(C1093,ROUND(I1093*SETTINGS!$I$8,0)),WORKDAY(C1093,ROUND(I1093*SETTINGS!$I$8,0))))</f>
        <v/>
      </c>
      <c r="AQ1093" s="26" t="str">
        <f aca="true">IF(C1093="","",IF(AND(AP1093&lt;&gt;"",TODAY()&gt;=AP1093),"Refi Ready",IF(TODAY()-C1093&gt;=SETTINGS!$I$11,"Prospecting","Performing")))</f>
        <v/>
      </c>
      <c r="AR1093" s="35" t="str">
        <f aca="false">IF(OR(C1093="",I1093="",K1093=""),"",IF(K1093="Monthly",EDATE(C1093,I1093),WORKDAY(C1093,I1093)))</f>
        <v/>
      </c>
      <c r="AS1093" s="28"/>
      <c r="AT1093" s="36" t="str">
        <f aca="true">IF(C1093="","",IF(AM1093="Clawed Back","CLAWED",IF(TODAY()&lt;=C1093+SETTINGS!$I$2,"⚠ AT RISK","SAFE")))</f>
        <v/>
      </c>
      <c r="AU1093" s="28"/>
      <c r="AW1093" s="24" t="n">
        <f aca="false">AW1092+IF(AND(C1093&lt;&gt;"",AO1093&lt;&gt;"",OR('REP COMMISSION'!$B$3="",T1093='REP COMMISSION'!$B$3,W1093='REP COMMISSION'!$B$3,Z1093='REP COMMISSION'!$B$3)),1,0)</f>
        <v>0</v>
      </c>
      <c r="AX1093" s="24" t="n">
        <f aca="false">AX1092+IF(AND(C1093&lt;&gt;"",OR(F1093="LOC - INITIAL",F1093="CONSOLIDATION - UPFRONT COMM",F1093="REVERSE - TOTAL FUNDING")),1,0)</f>
        <v>0</v>
      </c>
    </row>
    <row r="1094" customFormat="false" ht="15" hidden="false" customHeight="false" outlineLevel="0" collapsed="false">
      <c r="A1094" s="8" t="str">
        <f aca="false">IF(C1094&lt;&gt;"","F27-"&amp;COUNT($C$4:C1094),"")</f>
        <v/>
      </c>
      <c r="B1094" s="9" t="str">
        <f aca="false">IF(OR(F1094="LOC - INITIAL",F1094="CONSOLIDATION - UPFRONT COMM",F1094="REVERSE - TOTAL FUNDING"),A1094,"")</f>
        <v/>
      </c>
      <c r="C1094" s="10"/>
      <c r="D1094" s="11"/>
      <c r="E1094" s="11"/>
      <c r="F1094" s="11"/>
      <c r="G1094" s="12"/>
      <c r="H1094" s="13"/>
      <c r="I1094" s="11"/>
      <c r="J1094" s="14" t="str">
        <f aca="false">IF(AND(G1094&lt;&gt;"",H1094&lt;&gt;""),G1094*H1094,"")</f>
        <v/>
      </c>
      <c r="K1094" s="11"/>
      <c r="L1094" s="15"/>
      <c r="M1094" s="15"/>
      <c r="N1094" s="14" t="n">
        <f aca="false">IF(OR(G1094="",M1094=""),0,IF(M1094&gt;100,M1094,G1094*IF(M1094&gt;1,M1094/100,M1094)))</f>
        <v>0</v>
      </c>
      <c r="O1094" s="14" t="str">
        <f aca="false">IF(G1094="","",G1094*IF(L1094="",0,IF(L1094&gt;1,L1094/100,L1094))+N1094)</f>
        <v/>
      </c>
      <c r="P1094" s="11"/>
      <c r="Q1094" s="16" t="str">
        <f aca="false">IF(P1094="","",IFERROR(VLOOKUP(P1094,PARTNERS!$A$2:$B$30,2,0),""))</f>
        <v/>
      </c>
      <c r="R1094" s="17" t="str">
        <f aca="false">IF(O1094="","",IF(OR(P1094="",Q1094=""),0,(O1094-N1094)*IF(Q1094&gt;1,Q1094/100,Q1094)))</f>
        <v/>
      </c>
      <c r="S1094" s="14" t="str">
        <f aca="false">IF(O1094="","",O1094-R1094)</f>
        <v/>
      </c>
      <c r="T1094" s="11"/>
      <c r="U1094" s="18" t="str">
        <f aca="false">IF(T1094="","",IFERROR(VLOOKUP(T1094,REPS!$A$2:$D$40,2,0),""))</f>
        <v/>
      </c>
      <c r="V1094" s="14" t="str">
        <f aca="false">IF(O1094="","",IF(U1094="",0,O1094*IF(U1094&gt;1,U1094/100,U1094)))</f>
        <v/>
      </c>
      <c r="W1094" s="11"/>
      <c r="X1094" s="18" t="str">
        <f aca="false">IF(W1094="","",IFERROR(VLOOKUP(W1094,REPS!$A$2:$D$40,3,0),""))</f>
        <v/>
      </c>
      <c r="Y1094" s="14" t="str">
        <f aca="false">IF(O1094="","",IF(X1094="",0,O1094*IF(X1094&gt;1,X1094/100,X1094)))</f>
        <v/>
      </c>
      <c r="Z1094" s="11"/>
      <c r="AA1094" s="18" t="str">
        <f aca="false">IF(Z1094="","",IFERROR(VLOOKUP(Z1094,REPS!$A$2:$D$40,4,0),""))</f>
        <v/>
      </c>
      <c r="AB1094" s="14" t="str">
        <f aca="false">IF(O1094="","",IF(AA1094="",0,O1094*IF(AA1094&gt;1,AA1094/100,AA1094)))</f>
        <v/>
      </c>
      <c r="AC1094" s="14" t="str">
        <f aca="false">IF(O1094="","",V1094+Y1094+AB1094)</f>
        <v/>
      </c>
      <c r="AD1094" s="19" t="str">
        <f aca="false">IF(O1094="","",O1094-R1094-AC1094)</f>
        <v/>
      </c>
      <c r="AE1094" s="20"/>
      <c r="AF1094" s="10"/>
      <c r="AG1094" s="21" t="n">
        <f aca="false">IF(OR(AE1094="",AE1094=0),0,AE1094*IF(U1094="",0,IF(U1094&gt;1,U1094/100,U1094)))</f>
        <v>0</v>
      </c>
      <c r="AH1094" s="21" t="n">
        <f aca="false">IF(OR(AE1094="",AE1094=0),0,AE1094*IF(X1094="",0,IF(X1094&gt;1,X1094/100,X1094)))</f>
        <v>0</v>
      </c>
      <c r="AI1094" s="21" t="n">
        <f aca="false">IF(OR(AE1094="",AE1094=0),0,AE1094*IF(AA1094="",0,IF(AA1094&gt;1,AA1094/100,AA1094)))</f>
        <v>0</v>
      </c>
      <c r="AJ1094" s="21" t="n">
        <f aca="false">AG1094+AH1094+AI1094</f>
        <v>0</v>
      </c>
      <c r="AK1094" s="21" t="n">
        <f aca="false">IF(OR(AE1094="",AE1094=0),0,AE1094-AJ1094)</f>
        <v>0</v>
      </c>
      <c r="AL1094" s="19" t="str">
        <f aca="false">IF(AD1094="","",AD1094-AK1094)</f>
        <v/>
      </c>
      <c r="AM1094" s="9" t="str">
        <f aca="false">IF(C1094="","","Waiting for payment")</f>
        <v/>
      </c>
      <c r="AN1094" s="10"/>
      <c r="AO1094" s="10"/>
      <c r="AP1094" s="22" t="str">
        <f aca="false">IF(OR(C1094="",I1094="",K1094=""),"",IF(K1094="Monthly",EDATE(C1094,ROUND(I1094*SETTINGS!$I$8,0)),WORKDAY(C1094,ROUND(I1094*SETTINGS!$I$8,0))))</f>
        <v/>
      </c>
      <c r="AQ1094" s="9" t="str">
        <f aca="true">IF(C1094="","",IF(AND(AP1094&lt;&gt;"",TODAY()&gt;=AP1094),"Refi Ready",IF(TODAY()-C1094&gt;=SETTINGS!$I$11,"Prospecting","Performing")))</f>
        <v/>
      </c>
      <c r="AR1094" s="22" t="str">
        <f aca="false">IF(OR(C1094="",I1094="",K1094=""),"",IF(K1094="Monthly",EDATE(C1094,I1094),WORKDAY(C1094,I1094)))</f>
        <v/>
      </c>
      <c r="AS1094" s="11"/>
      <c r="AT1094" s="23" t="str">
        <f aca="true">IF(C1094="","",IF(AM1094="Clawed Back","CLAWED",IF(TODAY()&lt;=C1094+SETTINGS!$I$2,"⚠ AT RISK","SAFE")))</f>
        <v/>
      </c>
      <c r="AU1094" s="11"/>
      <c r="AW1094" s="24" t="n">
        <f aca="false">AW1093+IF(AND(C1094&lt;&gt;"",AO1094&lt;&gt;"",OR('REP COMMISSION'!$B$3="",T1094='REP COMMISSION'!$B$3,W1094='REP COMMISSION'!$B$3,Z1094='REP COMMISSION'!$B$3)),1,0)</f>
        <v>0</v>
      </c>
      <c r="AX1094" s="24" t="n">
        <f aca="false">AX1093+IF(AND(C1094&lt;&gt;"",OR(F1094="LOC - INITIAL",F1094="CONSOLIDATION - UPFRONT COMM",F1094="REVERSE - TOTAL FUNDING")),1,0)</f>
        <v>0</v>
      </c>
    </row>
    <row r="1095" customFormat="false" ht="15" hidden="false" customHeight="false" outlineLevel="0" collapsed="false">
      <c r="A1095" s="25" t="str">
        <f aca="false">IF(C1095&lt;&gt;"","F27-"&amp;COUNT($C$4:C1095),"")</f>
        <v/>
      </c>
      <c r="B1095" s="26" t="str">
        <f aca="false">IF(OR(F1095="LOC - INITIAL",F1095="CONSOLIDATION - UPFRONT COMM",F1095="REVERSE - TOTAL FUNDING"),A1095,"")</f>
        <v/>
      </c>
      <c r="C1095" s="27"/>
      <c r="D1095" s="28"/>
      <c r="E1095" s="28"/>
      <c r="F1095" s="28"/>
      <c r="G1095" s="29"/>
      <c r="H1095" s="30"/>
      <c r="I1095" s="28"/>
      <c r="J1095" s="31" t="str">
        <f aca="false">IF(AND(G1095&lt;&gt;"",H1095&lt;&gt;""),G1095*H1095,"")</f>
        <v/>
      </c>
      <c r="K1095" s="28"/>
      <c r="L1095" s="32"/>
      <c r="M1095" s="32"/>
      <c r="N1095" s="31" t="n">
        <f aca="false">IF(OR(G1095="",M1095=""),0,IF(M1095&gt;100,M1095,G1095*IF(M1095&gt;1,M1095/100,M1095)))</f>
        <v>0</v>
      </c>
      <c r="O1095" s="31" t="str">
        <f aca="false">IF(G1095="","",G1095*IF(L1095="",0,IF(L1095&gt;1,L1095/100,L1095))+N1095)</f>
        <v/>
      </c>
      <c r="P1095" s="28"/>
      <c r="Q1095" s="33" t="str">
        <f aca="false">IF(P1095="","",IFERROR(VLOOKUP(P1095,PARTNERS!$A$2:$B$30,2,0),""))</f>
        <v/>
      </c>
      <c r="R1095" s="17" t="str">
        <f aca="false">IF(O1095="","",IF(OR(P1095="",Q1095=""),0,(O1095-N1095)*IF(Q1095&gt;1,Q1095/100,Q1095)))</f>
        <v/>
      </c>
      <c r="S1095" s="31" t="str">
        <f aca="false">IF(O1095="","",O1095-R1095)</f>
        <v/>
      </c>
      <c r="T1095" s="28"/>
      <c r="U1095" s="34" t="str">
        <f aca="false">IF(T1095="","",IFERROR(VLOOKUP(T1095,REPS!$A$2:$D$40,2,0),""))</f>
        <v/>
      </c>
      <c r="V1095" s="31" t="str">
        <f aca="false">IF(O1095="","",IF(U1095="",0,O1095*IF(U1095&gt;1,U1095/100,U1095)))</f>
        <v/>
      </c>
      <c r="W1095" s="28"/>
      <c r="X1095" s="34" t="str">
        <f aca="false">IF(W1095="","",IFERROR(VLOOKUP(W1095,REPS!$A$2:$D$40,3,0),""))</f>
        <v/>
      </c>
      <c r="Y1095" s="31" t="str">
        <f aca="false">IF(O1095="","",IF(X1095="",0,O1095*IF(X1095&gt;1,X1095/100,X1095)))</f>
        <v/>
      </c>
      <c r="Z1095" s="28"/>
      <c r="AA1095" s="34" t="str">
        <f aca="false">IF(Z1095="","",IFERROR(VLOOKUP(Z1095,REPS!$A$2:$D$40,4,0),""))</f>
        <v/>
      </c>
      <c r="AB1095" s="31" t="str">
        <f aca="false">IF(O1095="","",IF(AA1095="",0,O1095*IF(AA1095&gt;1,AA1095/100,AA1095)))</f>
        <v/>
      </c>
      <c r="AC1095" s="31" t="str">
        <f aca="false">IF(O1095="","",V1095+Y1095+AB1095)</f>
        <v/>
      </c>
      <c r="AD1095" s="19" t="str">
        <f aca="false">IF(O1095="","",O1095-R1095-AC1095)</f>
        <v/>
      </c>
      <c r="AE1095" s="20"/>
      <c r="AF1095" s="27"/>
      <c r="AG1095" s="21" t="n">
        <f aca="false">IF(OR(AE1095="",AE1095=0),0,AE1095*IF(U1095="",0,IF(U1095&gt;1,U1095/100,U1095)))</f>
        <v>0</v>
      </c>
      <c r="AH1095" s="21" t="n">
        <f aca="false">IF(OR(AE1095="",AE1095=0),0,AE1095*IF(X1095="",0,IF(X1095&gt;1,X1095/100,X1095)))</f>
        <v>0</v>
      </c>
      <c r="AI1095" s="21" t="n">
        <f aca="false">IF(OR(AE1095="",AE1095=0),0,AE1095*IF(AA1095="",0,IF(AA1095&gt;1,AA1095/100,AA1095)))</f>
        <v>0</v>
      </c>
      <c r="AJ1095" s="21" t="n">
        <f aca="false">AG1095+AH1095+AI1095</f>
        <v>0</v>
      </c>
      <c r="AK1095" s="21" t="n">
        <f aca="false">IF(OR(AE1095="",AE1095=0),0,AE1095-AJ1095)</f>
        <v>0</v>
      </c>
      <c r="AL1095" s="19" t="str">
        <f aca="false">IF(AD1095="","",AD1095-AK1095)</f>
        <v/>
      </c>
      <c r="AM1095" s="26" t="str">
        <f aca="false">IF(C1095="","","Waiting for payment")</f>
        <v/>
      </c>
      <c r="AN1095" s="27"/>
      <c r="AO1095" s="27"/>
      <c r="AP1095" s="35" t="str">
        <f aca="false">IF(OR(C1095="",I1095="",K1095=""),"",IF(K1095="Monthly",EDATE(C1095,ROUND(I1095*SETTINGS!$I$8,0)),WORKDAY(C1095,ROUND(I1095*SETTINGS!$I$8,0))))</f>
        <v/>
      </c>
      <c r="AQ1095" s="26" t="str">
        <f aca="true">IF(C1095="","",IF(AND(AP1095&lt;&gt;"",TODAY()&gt;=AP1095),"Refi Ready",IF(TODAY()-C1095&gt;=SETTINGS!$I$11,"Prospecting","Performing")))</f>
        <v/>
      </c>
      <c r="AR1095" s="35" t="str">
        <f aca="false">IF(OR(C1095="",I1095="",K1095=""),"",IF(K1095="Monthly",EDATE(C1095,I1095),WORKDAY(C1095,I1095)))</f>
        <v/>
      </c>
      <c r="AS1095" s="28"/>
      <c r="AT1095" s="36" t="str">
        <f aca="true">IF(C1095="","",IF(AM1095="Clawed Back","CLAWED",IF(TODAY()&lt;=C1095+SETTINGS!$I$2,"⚠ AT RISK","SAFE")))</f>
        <v/>
      </c>
      <c r="AU1095" s="28"/>
      <c r="AW1095" s="24" t="n">
        <f aca="false">AW1094+IF(AND(C1095&lt;&gt;"",AO1095&lt;&gt;"",OR('REP COMMISSION'!$B$3="",T1095='REP COMMISSION'!$B$3,W1095='REP COMMISSION'!$B$3,Z1095='REP COMMISSION'!$B$3)),1,0)</f>
        <v>0</v>
      </c>
      <c r="AX1095" s="24" t="n">
        <f aca="false">AX1094+IF(AND(C1095&lt;&gt;"",OR(F1095="LOC - INITIAL",F1095="CONSOLIDATION - UPFRONT COMM",F1095="REVERSE - TOTAL FUNDING")),1,0)</f>
        <v>0</v>
      </c>
    </row>
    <row r="1096" customFormat="false" ht="15" hidden="false" customHeight="false" outlineLevel="0" collapsed="false">
      <c r="A1096" s="8" t="str">
        <f aca="false">IF(C1096&lt;&gt;"","F27-"&amp;COUNT($C$4:C1096),"")</f>
        <v/>
      </c>
      <c r="B1096" s="9" t="str">
        <f aca="false">IF(OR(F1096="LOC - INITIAL",F1096="CONSOLIDATION - UPFRONT COMM",F1096="REVERSE - TOTAL FUNDING"),A1096,"")</f>
        <v/>
      </c>
      <c r="C1096" s="10"/>
      <c r="D1096" s="11"/>
      <c r="E1096" s="11"/>
      <c r="F1096" s="11"/>
      <c r="G1096" s="12"/>
      <c r="H1096" s="13"/>
      <c r="I1096" s="11"/>
      <c r="J1096" s="14" t="str">
        <f aca="false">IF(AND(G1096&lt;&gt;"",H1096&lt;&gt;""),G1096*H1096,"")</f>
        <v/>
      </c>
      <c r="K1096" s="11"/>
      <c r="L1096" s="15"/>
      <c r="M1096" s="15"/>
      <c r="N1096" s="14" t="n">
        <f aca="false">IF(OR(G1096="",M1096=""),0,IF(M1096&gt;100,M1096,G1096*IF(M1096&gt;1,M1096/100,M1096)))</f>
        <v>0</v>
      </c>
      <c r="O1096" s="14" t="str">
        <f aca="false">IF(G1096="","",G1096*IF(L1096="",0,IF(L1096&gt;1,L1096/100,L1096))+N1096)</f>
        <v/>
      </c>
      <c r="P1096" s="11"/>
      <c r="Q1096" s="16" t="str">
        <f aca="false">IF(P1096="","",IFERROR(VLOOKUP(P1096,PARTNERS!$A$2:$B$30,2,0),""))</f>
        <v/>
      </c>
      <c r="R1096" s="17" t="str">
        <f aca="false">IF(O1096="","",IF(OR(P1096="",Q1096=""),0,(O1096-N1096)*IF(Q1096&gt;1,Q1096/100,Q1096)))</f>
        <v/>
      </c>
      <c r="S1096" s="14" t="str">
        <f aca="false">IF(O1096="","",O1096-R1096)</f>
        <v/>
      </c>
      <c r="T1096" s="11"/>
      <c r="U1096" s="18" t="str">
        <f aca="false">IF(T1096="","",IFERROR(VLOOKUP(T1096,REPS!$A$2:$D$40,2,0),""))</f>
        <v/>
      </c>
      <c r="V1096" s="14" t="str">
        <f aca="false">IF(O1096="","",IF(U1096="",0,O1096*IF(U1096&gt;1,U1096/100,U1096)))</f>
        <v/>
      </c>
      <c r="W1096" s="11"/>
      <c r="X1096" s="18" t="str">
        <f aca="false">IF(W1096="","",IFERROR(VLOOKUP(W1096,REPS!$A$2:$D$40,3,0),""))</f>
        <v/>
      </c>
      <c r="Y1096" s="14" t="str">
        <f aca="false">IF(O1096="","",IF(X1096="",0,O1096*IF(X1096&gt;1,X1096/100,X1096)))</f>
        <v/>
      </c>
      <c r="Z1096" s="11"/>
      <c r="AA1096" s="18" t="str">
        <f aca="false">IF(Z1096="","",IFERROR(VLOOKUP(Z1096,REPS!$A$2:$D$40,4,0),""))</f>
        <v/>
      </c>
      <c r="AB1096" s="14" t="str">
        <f aca="false">IF(O1096="","",IF(AA1096="",0,O1096*IF(AA1096&gt;1,AA1096/100,AA1096)))</f>
        <v/>
      </c>
      <c r="AC1096" s="14" t="str">
        <f aca="false">IF(O1096="","",V1096+Y1096+AB1096)</f>
        <v/>
      </c>
      <c r="AD1096" s="19" t="str">
        <f aca="false">IF(O1096="","",O1096-R1096-AC1096)</f>
        <v/>
      </c>
      <c r="AE1096" s="20"/>
      <c r="AF1096" s="10"/>
      <c r="AG1096" s="21" t="n">
        <f aca="false">IF(OR(AE1096="",AE1096=0),0,AE1096*IF(U1096="",0,IF(U1096&gt;1,U1096/100,U1096)))</f>
        <v>0</v>
      </c>
      <c r="AH1096" s="21" t="n">
        <f aca="false">IF(OR(AE1096="",AE1096=0),0,AE1096*IF(X1096="",0,IF(X1096&gt;1,X1096/100,X1096)))</f>
        <v>0</v>
      </c>
      <c r="AI1096" s="21" t="n">
        <f aca="false">IF(OR(AE1096="",AE1096=0),0,AE1096*IF(AA1096="",0,IF(AA1096&gt;1,AA1096/100,AA1096)))</f>
        <v>0</v>
      </c>
      <c r="AJ1096" s="21" t="n">
        <f aca="false">AG1096+AH1096+AI1096</f>
        <v>0</v>
      </c>
      <c r="AK1096" s="21" t="n">
        <f aca="false">IF(OR(AE1096="",AE1096=0),0,AE1096-AJ1096)</f>
        <v>0</v>
      </c>
      <c r="AL1096" s="19" t="str">
        <f aca="false">IF(AD1096="","",AD1096-AK1096)</f>
        <v/>
      </c>
      <c r="AM1096" s="9" t="str">
        <f aca="false">IF(C1096="","","Waiting for payment")</f>
        <v/>
      </c>
      <c r="AN1096" s="10"/>
      <c r="AO1096" s="10"/>
      <c r="AP1096" s="22" t="str">
        <f aca="false">IF(OR(C1096="",I1096="",K1096=""),"",IF(K1096="Monthly",EDATE(C1096,ROUND(I1096*SETTINGS!$I$8,0)),WORKDAY(C1096,ROUND(I1096*SETTINGS!$I$8,0))))</f>
        <v/>
      </c>
      <c r="AQ1096" s="9" t="str">
        <f aca="true">IF(C1096="","",IF(AND(AP1096&lt;&gt;"",TODAY()&gt;=AP1096),"Refi Ready",IF(TODAY()-C1096&gt;=SETTINGS!$I$11,"Prospecting","Performing")))</f>
        <v/>
      </c>
      <c r="AR1096" s="22" t="str">
        <f aca="false">IF(OR(C1096="",I1096="",K1096=""),"",IF(K1096="Monthly",EDATE(C1096,I1096),WORKDAY(C1096,I1096)))</f>
        <v/>
      </c>
      <c r="AS1096" s="11"/>
      <c r="AT1096" s="23" t="str">
        <f aca="true">IF(C1096="","",IF(AM1096="Clawed Back","CLAWED",IF(TODAY()&lt;=C1096+SETTINGS!$I$2,"⚠ AT RISK","SAFE")))</f>
        <v/>
      </c>
      <c r="AU1096" s="11"/>
      <c r="AW1096" s="24" t="n">
        <f aca="false">AW1095+IF(AND(C1096&lt;&gt;"",AO1096&lt;&gt;"",OR('REP COMMISSION'!$B$3="",T1096='REP COMMISSION'!$B$3,W1096='REP COMMISSION'!$B$3,Z1096='REP COMMISSION'!$B$3)),1,0)</f>
        <v>0</v>
      </c>
      <c r="AX1096" s="24" t="n">
        <f aca="false">AX1095+IF(AND(C1096&lt;&gt;"",OR(F1096="LOC - INITIAL",F1096="CONSOLIDATION - UPFRONT COMM",F1096="REVERSE - TOTAL FUNDING")),1,0)</f>
        <v>0</v>
      </c>
    </row>
    <row r="1097" customFormat="false" ht="15" hidden="false" customHeight="false" outlineLevel="0" collapsed="false">
      <c r="A1097" s="25" t="str">
        <f aca="false">IF(C1097&lt;&gt;"","F27-"&amp;COUNT($C$4:C1097),"")</f>
        <v/>
      </c>
      <c r="B1097" s="26" t="str">
        <f aca="false">IF(OR(F1097="LOC - INITIAL",F1097="CONSOLIDATION - UPFRONT COMM",F1097="REVERSE - TOTAL FUNDING"),A1097,"")</f>
        <v/>
      </c>
      <c r="C1097" s="27"/>
      <c r="D1097" s="28"/>
      <c r="E1097" s="28"/>
      <c r="F1097" s="28"/>
      <c r="G1097" s="29"/>
      <c r="H1097" s="30"/>
      <c r="I1097" s="28"/>
      <c r="J1097" s="31" t="str">
        <f aca="false">IF(AND(G1097&lt;&gt;"",H1097&lt;&gt;""),G1097*H1097,"")</f>
        <v/>
      </c>
      <c r="K1097" s="28"/>
      <c r="L1097" s="32"/>
      <c r="M1097" s="32"/>
      <c r="N1097" s="31" t="n">
        <f aca="false">IF(OR(G1097="",M1097=""),0,IF(M1097&gt;100,M1097,G1097*IF(M1097&gt;1,M1097/100,M1097)))</f>
        <v>0</v>
      </c>
      <c r="O1097" s="31" t="str">
        <f aca="false">IF(G1097="","",G1097*IF(L1097="",0,IF(L1097&gt;1,L1097/100,L1097))+N1097)</f>
        <v/>
      </c>
      <c r="P1097" s="28"/>
      <c r="Q1097" s="33" t="str">
        <f aca="false">IF(P1097="","",IFERROR(VLOOKUP(P1097,PARTNERS!$A$2:$B$30,2,0),""))</f>
        <v/>
      </c>
      <c r="R1097" s="17" t="str">
        <f aca="false">IF(O1097="","",IF(OR(P1097="",Q1097=""),0,(O1097-N1097)*IF(Q1097&gt;1,Q1097/100,Q1097)))</f>
        <v/>
      </c>
      <c r="S1097" s="31" t="str">
        <f aca="false">IF(O1097="","",O1097-R1097)</f>
        <v/>
      </c>
      <c r="T1097" s="28"/>
      <c r="U1097" s="34" t="str">
        <f aca="false">IF(T1097="","",IFERROR(VLOOKUP(T1097,REPS!$A$2:$D$40,2,0),""))</f>
        <v/>
      </c>
      <c r="V1097" s="31" t="str">
        <f aca="false">IF(O1097="","",IF(U1097="",0,O1097*IF(U1097&gt;1,U1097/100,U1097)))</f>
        <v/>
      </c>
      <c r="W1097" s="28"/>
      <c r="X1097" s="34" t="str">
        <f aca="false">IF(W1097="","",IFERROR(VLOOKUP(W1097,REPS!$A$2:$D$40,3,0),""))</f>
        <v/>
      </c>
      <c r="Y1097" s="31" t="str">
        <f aca="false">IF(O1097="","",IF(X1097="",0,O1097*IF(X1097&gt;1,X1097/100,X1097)))</f>
        <v/>
      </c>
      <c r="Z1097" s="28"/>
      <c r="AA1097" s="34" t="str">
        <f aca="false">IF(Z1097="","",IFERROR(VLOOKUP(Z1097,REPS!$A$2:$D$40,4,0),""))</f>
        <v/>
      </c>
      <c r="AB1097" s="31" t="str">
        <f aca="false">IF(O1097="","",IF(AA1097="",0,O1097*IF(AA1097&gt;1,AA1097/100,AA1097)))</f>
        <v/>
      </c>
      <c r="AC1097" s="31" t="str">
        <f aca="false">IF(O1097="","",V1097+Y1097+AB1097)</f>
        <v/>
      </c>
      <c r="AD1097" s="19" t="str">
        <f aca="false">IF(O1097="","",O1097-R1097-AC1097)</f>
        <v/>
      </c>
      <c r="AE1097" s="20"/>
      <c r="AF1097" s="27"/>
      <c r="AG1097" s="21" t="n">
        <f aca="false">IF(OR(AE1097="",AE1097=0),0,AE1097*IF(U1097="",0,IF(U1097&gt;1,U1097/100,U1097)))</f>
        <v>0</v>
      </c>
      <c r="AH1097" s="21" t="n">
        <f aca="false">IF(OR(AE1097="",AE1097=0),0,AE1097*IF(X1097="",0,IF(X1097&gt;1,X1097/100,X1097)))</f>
        <v>0</v>
      </c>
      <c r="AI1097" s="21" t="n">
        <f aca="false">IF(OR(AE1097="",AE1097=0),0,AE1097*IF(AA1097="",0,IF(AA1097&gt;1,AA1097/100,AA1097)))</f>
        <v>0</v>
      </c>
      <c r="AJ1097" s="21" t="n">
        <f aca="false">AG1097+AH1097+AI1097</f>
        <v>0</v>
      </c>
      <c r="AK1097" s="21" t="n">
        <f aca="false">IF(OR(AE1097="",AE1097=0),0,AE1097-AJ1097)</f>
        <v>0</v>
      </c>
      <c r="AL1097" s="19" t="str">
        <f aca="false">IF(AD1097="","",AD1097-AK1097)</f>
        <v/>
      </c>
      <c r="AM1097" s="26" t="str">
        <f aca="false">IF(C1097="","","Waiting for payment")</f>
        <v/>
      </c>
      <c r="AN1097" s="27"/>
      <c r="AO1097" s="27"/>
      <c r="AP1097" s="35" t="str">
        <f aca="false">IF(OR(C1097="",I1097="",K1097=""),"",IF(K1097="Monthly",EDATE(C1097,ROUND(I1097*SETTINGS!$I$8,0)),WORKDAY(C1097,ROUND(I1097*SETTINGS!$I$8,0))))</f>
        <v/>
      </c>
      <c r="AQ1097" s="26" t="str">
        <f aca="true">IF(C1097="","",IF(AND(AP1097&lt;&gt;"",TODAY()&gt;=AP1097),"Refi Ready",IF(TODAY()-C1097&gt;=SETTINGS!$I$11,"Prospecting","Performing")))</f>
        <v/>
      </c>
      <c r="AR1097" s="35" t="str">
        <f aca="false">IF(OR(C1097="",I1097="",K1097=""),"",IF(K1097="Monthly",EDATE(C1097,I1097),WORKDAY(C1097,I1097)))</f>
        <v/>
      </c>
      <c r="AS1097" s="28"/>
      <c r="AT1097" s="36" t="str">
        <f aca="true">IF(C1097="","",IF(AM1097="Clawed Back","CLAWED",IF(TODAY()&lt;=C1097+SETTINGS!$I$2,"⚠ AT RISK","SAFE")))</f>
        <v/>
      </c>
      <c r="AU1097" s="28"/>
      <c r="AW1097" s="24" t="n">
        <f aca="false">AW1096+IF(AND(C1097&lt;&gt;"",AO1097&lt;&gt;"",OR('REP COMMISSION'!$B$3="",T1097='REP COMMISSION'!$B$3,W1097='REP COMMISSION'!$B$3,Z1097='REP COMMISSION'!$B$3)),1,0)</f>
        <v>0</v>
      </c>
      <c r="AX1097" s="24" t="n">
        <f aca="false">AX1096+IF(AND(C1097&lt;&gt;"",OR(F1097="LOC - INITIAL",F1097="CONSOLIDATION - UPFRONT COMM",F1097="REVERSE - TOTAL FUNDING")),1,0)</f>
        <v>0</v>
      </c>
    </row>
    <row r="1098" customFormat="false" ht="15" hidden="false" customHeight="false" outlineLevel="0" collapsed="false">
      <c r="A1098" s="8" t="str">
        <f aca="false">IF(C1098&lt;&gt;"","F27-"&amp;COUNT($C$4:C1098),"")</f>
        <v/>
      </c>
      <c r="B1098" s="9" t="str">
        <f aca="false">IF(OR(F1098="LOC - INITIAL",F1098="CONSOLIDATION - UPFRONT COMM",F1098="REVERSE - TOTAL FUNDING"),A1098,"")</f>
        <v/>
      </c>
      <c r="C1098" s="10"/>
      <c r="D1098" s="11"/>
      <c r="E1098" s="11"/>
      <c r="F1098" s="11"/>
      <c r="G1098" s="12"/>
      <c r="H1098" s="13"/>
      <c r="I1098" s="11"/>
      <c r="J1098" s="14" t="str">
        <f aca="false">IF(AND(G1098&lt;&gt;"",H1098&lt;&gt;""),G1098*H1098,"")</f>
        <v/>
      </c>
      <c r="K1098" s="11"/>
      <c r="L1098" s="15"/>
      <c r="M1098" s="15"/>
      <c r="N1098" s="14" t="n">
        <f aca="false">IF(OR(G1098="",M1098=""),0,IF(M1098&gt;100,M1098,G1098*IF(M1098&gt;1,M1098/100,M1098)))</f>
        <v>0</v>
      </c>
      <c r="O1098" s="14" t="str">
        <f aca="false">IF(G1098="","",G1098*IF(L1098="",0,IF(L1098&gt;1,L1098/100,L1098))+N1098)</f>
        <v/>
      </c>
      <c r="P1098" s="11"/>
      <c r="Q1098" s="16" t="str">
        <f aca="false">IF(P1098="","",IFERROR(VLOOKUP(P1098,PARTNERS!$A$2:$B$30,2,0),""))</f>
        <v/>
      </c>
      <c r="R1098" s="17" t="str">
        <f aca="false">IF(O1098="","",IF(OR(P1098="",Q1098=""),0,(O1098-N1098)*IF(Q1098&gt;1,Q1098/100,Q1098)))</f>
        <v/>
      </c>
      <c r="S1098" s="14" t="str">
        <f aca="false">IF(O1098="","",O1098-R1098)</f>
        <v/>
      </c>
      <c r="T1098" s="11"/>
      <c r="U1098" s="18" t="str">
        <f aca="false">IF(T1098="","",IFERROR(VLOOKUP(T1098,REPS!$A$2:$D$40,2,0),""))</f>
        <v/>
      </c>
      <c r="V1098" s="14" t="str">
        <f aca="false">IF(O1098="","",IF(U1098="",0,O1098*IF(U1098&gt;1,U1098/100,U1098)))</f>
        <v/>
      </c>
      <c r="W1098" s="11"/>
      <c r="X1098" s="18" t="str">
        <f aca="false">IF(W1098="","",IFERROR(VLOOKUP(W1098,REPS!$A$2:$D$40,3,0),""))</f>
        <v/>
      </c>
      <c r="Y1098" s="14" t="str">
        <f aca="false">IF(O1098="","",IF(X1098="",0,O1098*IF(X1098&gt;1,X1098/100,X1098)))</f>
        <v/>
      </c>
      <c r="Z1098" s="11"/>
      <c r="AA1098" s="18" t="str">
        <f aca="false">IF(Z1098="","",IFERROR(VLOOKUP(Z1098,REPS!$A$2:$D$40,4,0),""))</f>
        <v/>
      </c>
      <c r="AB1098" s="14" t="str">
        <f aca="false">IF(O1098="","",IF(AA1098="",0,O1098*IF(AA1098&gt;1,AA1098/100,AA1098)))</f>
        <v/>
      </c>
      <c r="AC1098" s="14" t="str">
        <f aca="false">IF(O1098="","",V1098+Y1098+AB1098)</f>
        <v/>
      </c>
      <c r="AD1098" s="19" t="str">
        <f aca="false">IF(O1098="","",O1098-R1098-AC1098)</f>
        <v/>
      </c>
      <c r="AE1098" s="20"/>
      <c r="AF1098" s="10"/>
      <c r="AG1098" s="21" t="n">
        <f aca="false">IF(OR(AE1098="",AE1098=0),0,AE1098*IF(U1098="",0,IF(U1098&gt;1,U1098/100,U1098)))</f>
        <v>0</v>
      </c>
      <c r="AH1098" s="21" t="n">
        <f aca="false">IF(OR(AE1098="",AE1098=0),0,AE1098*IF(X1098="",0,IF(X1098&gt;1,X1098/100,X1098)))</f>
        <v>0</v>
      </c>
      <c r="AI1098" s="21" t="n">
        <f aca="false">IF(OR(AE1098="",AE1098=0),0,AE1098*IF(AA1098="",0,IF(AA1098&gt;1,AA1098/100,AA1098)))</f>
        <v>0</v>
      </c>
      <c r="AJ1098" s="21" t="n">
        <f aca="false">AG1098+AH1098+AI1098</f>
        <v>0</v>
      </c>
      <c r="AK1098" s="21" t="n">
        <f aca="false">IF(OR(AE1098="",AE1098=0),0,AE1098-AJ1098)</f>
        <v>0</v>
      </c>
      <c r="AL1098" s="19" t="str">
        <f aca="false">IF(AD1098="","",AD1098-AK1098)</f>
        <v/>
      </c>
      <c r="AM1098" s="9" t="str">
        <f aca="false">IF(C1098="","","Waiting for payment")</f>
        <v/>
      </c>
      <c r="AN1098" s="10"/>
      <c r="AO1098" s="10"/>
      <c r="AP1098" s="22" t="str">
        <f aca="false">IF(OR(C1098="",I1098="",K1098=""),"",IF(K1098="Monthly",EDATE(C1098,ROUND(I1098*SETTINGS!$I$8,0)),WORKDAY(C1098,ROUND(I1098*SETTINGS!$I$8,0))))</f>
        <v/>
      </c>
      <c r="AQ1098" s="9" t="str">
        <f aca="true">IF(C1098="","",IF(AND(AP1098&lt;&gt;"",TODAY()&gt;=AP1098),"Refi Ready",IF(TODAY()-C1098&gt;=SETTINGS!$I$11,"Prospecting","Performing")))</f>
        <v/>
      </c>
      <c r="AR1098" s="22" t="str">
        <f aca="false">IF(OR(C1098="",I1098="",K1098=""),"",IF(K1098="Monthly",EDATE(C1098,I1098),WORKDAY(C1098,I1098)))</f>
        <v/>
      </c>
      <c r="AS1098" s="11"/>
      <c r="AT1098" s="23" t="str">
        <f aca="true">IF(C1098="","",IF(AM1098="Clawed Back","CLAWED",IF(TODAY()&lt;=C1098+SETTINGS!$I$2,"⚠ AT RISK","SAFE")))</f>
        <v/>
      </c>
      <c r="AU1098" s="11"/>
      <c r="AW1098" s="24" t="n">
        <f aca="false">AW1097+IF(AND(C1098&lt;&gt;"",AO1098&lt;&gt;"",OR('REP COMMISSION'!$B$3="",T1098='REP COMMISSION'!$B$3,W1098='REP COMMISSION'!$B$3,Z1098='REP COMMISSION'!$B$3)),1,0)</f>
        <v>0</v>
      </c>
      <c r="AX1098" s="24" t="n">
        <f aca="false">AX1097+IF(AND(C1098&lt;&gt;"",OR(F1098="LOC - INITIAL",F1098="CONSOLIDATION - UPFRONT COMM",F1098="REVERSE - TOTAL FUNDING")),1,0)</f>
        <v>0</v>
      </c>
    </row>
    <row r="1099" customFormat="false" ht="15" hidden="false" customHeight="false" outlineLevel="0" collapsed="false">
      <c r="A1099" s="25" t="str">
        <f aca="false">IF(C1099&lt;&gt;"","F27-"&amp;COUNT($C$4:C1099),"")</f>
        <v/>
      </c>
      <c r="B1099" s="26" t="str">
        <f aca="false">IF(OR(F1099="LOC - INITIAL",F1099="CONSOLIDATION - UPFRONT COMM",F1099="REVERSE - TOTAL FUNDING"),A1099,"")</f>
        <v/>
      </c>
      <c r="C1099" s="27"/>
      <c r="D1099" s="28"/>
      <c r="E1099" s="28"/>
      <c r="F1099" s="28"/>
      <c r="G1099" s="29"/>
      <c r="H1099" s="30"/>
      <c r="I1099" s="28"/>
      <c r="J1099" s="31" t="str">
        <f aca="false">IF(AND(G1099&lt;&gt;"",H1099&lt;&gt;""),G1099*H1099,"")</f>
        <v/>
      </c>
      <c r="K1099" s="28"/>
      <c r="L1099" s="32"/>
      <c r="M1099" s="32"/>
      <c r="N1099" s="31" t="n">
        <f aca="false">IF(OR(G1099="",M1099=""),0,IF(M1099&gt;100,M1099,G1099*IF(M1099&gt;1,M1099/100,M1099)))</f>
        <v>0</v>
      </c>
      <c r="O1099" s="31" t="str">
        <f aca="false">IF(G1099="","",G1099*IF(L1099="",0,IF(L1099&gt;1,L1099/100,L1099))+N1099)</f>
        <v/>
      </c>
      <c r="P1099" s="28"/>
      <c r="Q1099" s="33" t="str">
        <f aca="false">IF(P1099="","",IFERROR(VLOOKUP(P1099,PARTNERS!$A$2:$B$30,2,0),""))</f>
        <v/>
      </c>
      <c r="R1099" s="17" t="str">
        <f aca="false">IF(O1099="","",IF(OR(P1099="",Q1099=""),0,(O1099-N1099)*IF(Q1099&gt;1,Q1099/100,Q1099)))</f>
        <v/>
      </c>
      <c r="S1099" s="31" t="str">
        <f aca="false">IF(O1099="","",O1099-R1099)</f>
        <v/>
      </c>
      <c r="T1099" s="28"/>
      <c r="U1099" s="34" t="str">
        <f aca="false">IF(T1099="","",IFERROR(VLOOKUP(T1099,REPS!$A$2:$D$40,2,0),""))</f>
        <v/>
      </c>
      <c r="V1099" s="31" t="str">
        <f aca="false">IF(O1099="","",IF(U1099="",0,O1099*IF(U1099&gt;1,U1099/100,U1099)))</f>
        <v/>
      </c>
      <c r="W1099" s="28"/>
      <c r="X1099" s="34" t="str">
        <f aca="false">IF(W1099="","",IFERROR(VLOOKUP(W1099,REPS!$A$2:$D$40,3,0),""))</f>
        <v/>
      </c>
      <c r="Y1099" s="31" t="str">
        <f aca="false">IF(O1099="","",IF(X1099="",0,O1099*IF(X1099&gt;1,X1099/100,X1099)))</f>
        <v/>
      </c>
      <c r="Z1099" s="28"/>
      <c r="AA1099" s="34" t="str">
        <f aca="false">IF(Z1099="","",IFERROR(VLOOKUP(Z1099,REPS!$A$2:$D$40,4,0),""))</f>
        <v/>
      </c>
      <c r="AB1099" s="31" t="str">
        <f aca="false">IF(O1099="","",IF(AA1099="",0,O1099*IF(AA1099&gt;1,AA1099/100,AA1099)))</f>
        <v/>
      </c>
      <c r="AC1099" s="31" t="str">
        <f aca="false">IF(O1099="","",V1099+Y1099+AB1099)</f>
        <v/>
      </c>
      <c r="AD1099" s="19" t="str">
        <f aca="false">IF(O1099="","",O1099-R1099-AC1099)</f>
        <v/>
      </c>
      <c r="AE1099" s="20"/>
      <c r="AF1099" s="27"/>
      <c r="AG1099" s="21" t="n">
        <f aca="false">IF(OR(AE1099="",AE1099=0),0,AE1099*IF(U1099="",0,IF(U1099&gt;1,U1099/100,U1099)))</f>
        <v>0</v>
      </c>
      <c r="AH1099" s="21" t="n">
        <f aca="false">IF(OR(AE1099="",AE1099=0),0,AE1099*IF(X1099="",0,IF(X1099&gt;1,X1099/100,X1099)))</f>
        <v>0</v>
      </c>
      <c r="AI1099" s="21" t="n">
        <f aca="false">IF(OR(AE1099="",AE1099=0),0,AE1099*IF(AA1099="",0,IF(AA1099&gt;1,AA1099/100,AA1099)))</f>
        <v>0</v>
      </c>
      <c r="AJ1099" s="21" t="n">
        <f aca="false">AG1099+AH1099+AI1099</f>
        <v>0</v>
      </c>
      <c r="AK1099" s="21" t="n">
        <f aca="false">IF(OR(AE1099="",AE1099=0),0,AE1099-AJ1099)</f>
        <v>0</v>
      </c>
      <c r="AL1099" s="19" t="str">
        <f aca="false">IF(AD1099="","",AD1099-AK1099)</f>
        <v/>
      </c>
      <c r="AM1099" s="26" t="str">
        <f aca="false">IF(C1099="","","Waiting for payment")</f>
        <v/>
      </c>
      <c r="AN1099" s="27"/>
      <c r="AO1099" s="27"/>
      <c r="AP1099" s="35" t="str">
        <f aca="false">IF(OR(C1099="",I1099="",K1099=""),"",IF(K1099="Monthly",EDATE(C1099,ROUND(I1099*SETTINGS!$I$8,0)),WORKDAY(C1099,ROUND(I1099*SETTINGS!$I$8,0))))</f>
        <v/>
      </c>
      <c r="AQ1099" s="26" t="str">
        <f aca="true">IF(C1099="","",IF(AND(AP1099&lt;&gt;"",TODAY()&gt;=AP1099),"Refi Ready",IF(TODAY()-C1099&gt;=SETTINGS!$I$11,"Prospecting","Performing")))</f>
        <v/>
      </c>
      <c r="AR1099" s="35" t="str">
        <f aca="false">IF(OR(C1099="",I1099="",K1099=""),"",IF(K1099="Monthly",EDATE(C1099,I1099),WORKDAY(C1099,I1099)))</f>
        <v/>
      </c>
      <c r="AS1099" s="28"/>
      <c r="AT1099" s="36" t="str">
        <f aca="true">IF(C1099="","",IF(AM1099="Clawed Back","CLAWED",IF(TODAY()&lt;=C1099+SETTINGS!$I$2,"⚠ AT RISK","SAFE")))</f>
        <v/>
      </c>
      <c r="AU1099" s="28"/>
      <c r="AW1099" s="24" t="n">
        <f aca="false">AW1098+IF(AND(C1099&lt;&gt;"",AO1099&lt;&gt;"",OR('REP COMMISSION'!$B$3="",T1099='REP COMMISSION'!$B$3,W1099='REP COMMISSION'!$B$3,Z1099='REP COMMISSION'!$B$3)),1,0)</f>
        <v>0</v>
      </c>
      <c r="AX1099" s="24" t="n">
        <f aca="false">AX1098+IF(AND(C1099&lt;&gt;"",OR(F1099="LOC - INITIAL",F1099="CONSOLIDATION - UPFRONT COMM",F1099="REVERSE - TOTAL FUNDING")),1,0)</f>
        <v>0</v>
      </c>
    </row>
    <row r="1100" customFormat="false" ht="15" hidden="false" customHeight="false" outlineLevel="0" collapsed="false">
      <c r="A1100" s="8" t="str">
        <f aca="false">IF(C1100&lt;&gt;"","F27-"&amp;COUNT($C$4:C1100),"")</f>
        <v/>
      </c>
      <c r="B1100" s="9" t="str">
        <f aca="false">IF(OR(F1100="LOC - INITIAL",F1100="CONSOLIDATION - UPFRONT COMM",F1100="REVERSE - TOTAL FUNDING"),A1100,"")</f>
        <v/>
      </c>
      <c r="C1100" s="10"/>
      <c r="D1100" s="11"/>
      <c r="E1100" s="11"/>
      <c r="F1100" s="11"/>
      <c r="G1100" s="12"/>
      <c r="H1100" s="13"/>
      <c r="I1100" s="11"/>
      <c r="J1100" s="14" t="str">
        <f aca="false">IF(AND(G1100&lt;&gt;"",H1100&lt;&gt;""),G1100*H1100,"")</f>
        <v/>
      </c>
      <c r="K1100" s="11"/>
      <c r="L1100" s="15"/>
      <c r="M1100" s="15"/>
      <c r="N1100" s="14" t="n">
        <f aca="false">IF(OR(G1100="",M1100=""),0,IF(M1100&gt;100,M1100,G1100*IF(M1100&gt;1,M1100/100,M1100)))</f>
        <v>0</v>
      </c>
      <c r="O1100" s="14" t="str">
        <f aca="false">IF(G1100="","",G1100*IF(L1100="",0,IF(L1100&gt;1,L1100/100,L1100))+N1100)</f>
        <v/>
      </c>
      <c r="P1100" s="11"/>
      <c r="Q1100" s="16" t="str">
        <f aca="false">IF(P1100="","",IFERROR(VLOOKUP(P1100,PARTNERS!$A$2:$B$30,2,0),""))</f>
        <v/>
      </c>
      <c r="R1100" s="17" t="str">
        <f aca="false">IF(O1100="","",IF(OR(P1100="",Q1100=""),0,(O1100-N1100)*IF(Q1100&gt;1,Q1100/100,Q1100)))</f>
        <v/>
      </c>
      <c r="S1100" s="14" t="str">
        <f aca="false">IF(O1100="","",O1100-R1100)</f>
        <v/>
      </c>
      <c r="T1100" s="11"/>
      <c r="U1100" s="18" t="str">
        <f aca="false">IF(T1100="","",IFERROR(VLOOKUP(T1100,REPS!$A$2:$D$40,2,0),""))</f>
        <v/>
      </c>
      <c r="V1100" s="14" t="str">
        <f aca="false">IF(O1100="","",IF(U1100="",0,O1100*IF(U1100&gt;1,U1100/100,U1100)))</f>
        <v/>
      </c>
      <c r="W1100" s="11"/>
      <c r="X1100" s="18" t="str">
        <f aca="false">IF(W1100="","",IFERROR(VLOOKUP(W1100,REPS!$A$2:$D$40,3,0),""))</f>
        <v/>
      </c>
      <c r="Y1100" s="14" t="str">
        <f aca="false">IF(O1100="","",IF(X1100="",0,O1100*IF(X1100&gt;1,X1100/100,X1100)))</f>
        <v/>
      </c>
      <c r="Z1100" s="11"/>
      <c r="AA1100" s="18" t="str">
        <f aca="false">IF(Z1100="","",IFERROR(VLOOKUP(Z1100,REPS!$A$2:$D$40,4,0),""))</f>
        <v/>
      </c>
      <c r="AB1100" s="14" t="str">
        <f aca="false">IF(O1100="","",IF(AA1100="",0,O1100*IF(AA1100&gt;1,AA1100/100,AA1100)))</f>
        <v/>
      </c>
      <c r="AC1100" s="14" t="str">
        <f aca="false">IF(O1100="","",V1100+Y1100+AB1100)</f>
        <v/>
      </c>
      <c r="AD1100" s="19" t="str">
        <f aca="false">IF(O1100="","",O1100-R1100-AC1100)</f>
        <v/>
      </c>
      <c r="AE1100" s="20"/>
      <c r="AF1100" s="10"/>
      <c r="AG1100" s="21" t="n">
        <f aca="false">IF(OR(AE1100="",AE1100=0),0,AE1100*IF(U1100="",0,IF(U1100&gt;1,U1100/100,U1100)))</f>
        <v>0</v>
      </c>
      <c r="AH1100" s="21" t="n">
        <f aca="false">IF(OR(AE1100="",AE1100=0),0,AE1100*IF(X1100="",0,IF(X1100&gt;1,X1100/100,X1100)))</f>
        <v>0</v>
      </c>
      <c r="AI1100" s="21" t="n">
        <f aca="false">IF(OR(AE1100="",AE1100=0),0,AE1100*IF(AA1100="",0,IF(AA1100&gt;1,AA1100/100,AA1100)))</f>
        <v>0</v>
      </c>
      <c r="AJ1100" s="21" t="n">
        <f aca="false">AG1100+AH1100+AI1100</f>
        <v>0</v>
      </c>
      <c r="AK1100" s="21" t="n">
        <f aca="false">IF(OR(AE1100="",AE1100=0),0,AE1100-AJ1100)</f>
        <v>0</v>
      </c>
      <c r="AL1100" s="19" t="str">
        <f aca="false">IF(AD1100="","",AD1100-AK1100)</f>
        <v/>
      </c>
      <c r="AM1100" s="9" t="str">
        <f aca="false">IF(C1100="","","Waiting for payment")</f>
        <v/>
      </c>
      <c r="AN1100" s="10"/>
      <c r="AO1100" s="10"/>
      <c r="AP1100" s="22" t="str">
        <f aca="false">IF(OR(C1100="",I1100="",K1100=""),"",IF(K1100="Monthly",EDATE(C1100,ROUND(I1100*SETTINGS!$I$8,0)),WORKDAY(C1100,ROUND(I1100*SETTINGS!$I$8,0))))</f>
        <v/>
      </c>
      <c r="AQ1100" s="9" t="str">
        <f aca="true">IF(C1100="","",IF(AND(AP1100&lt;&gt;"",TODAY()&gt;=AP1100),"Refi Ready",IF(TODAY()-C1100&gt;=SETTINGS!$I$11,"Prospecting","Performing")))</f>
        <v/>
      </c>
      <c r="AR1100" s="22" t="str">
        <f aca="false">IF(OR(C1100="",I1100="",K1100=""),"",IF(K1100="Monthly",EDATE(C1100,I1100),WORKDAY(C1100,I1100)))</f>
        <v/>
      </c>
      <c r="AS1100" s="11"/>
      <c r="AT1100" s="23" t="str">
        <f aca="true">IF(C1100="","",IF(AM1100="Clawed Back","CLAWED",IF(TODAY()&lt;=C1100+SETTINGS!$I$2,"⚠ AT RISK","SAFE")))</f>
        <v/>
      </c>
      <c r="AU1100" s="11"/>
      <c r="AW1100" s="24" t="n">
        <f aca="false">AW1099+IF(AND(C1100&lt;&gt;"",AO1100&lt;&gt;"",OR('REP COMMISSION'!$B$3="",T1100='REP COMMISSION'!$B$3,W1100='REP COMMISSION'!$B$3,Z1100='REP COMMISSION'!$B$3)),1,0)</f>
        <v>0</v>
      </c>
      <c r="AX1100" s="24" t="n">
        <f aca="false">AX1099+IF(AND(C1100&lt;&gt;"",OR(F1100="LOC - INITIAL",F1100="CONSOLIDATION - UPFRONT COMM",F1100="REVERSE - TOTAL FUNDING")),1,0)</f>
        <v>0</v>
      </c>
    </row>
    <row r="1101" customFormat="false" ht="15" hidden="false" customHeight="false" outlineLevel="0" collapsed="false">
      <c r="A1101" s="25" t="str">
        <f aca="false">IF(C1101&lt;&gt;"","F27-"&amp;COUNT($C$4:C1101),"")</f>
        <v/>
      </c>
      <c r="B1101" s="26" t="str">
        <f aca="false">IF(OR(F1101="LOC - INITIAL",F1101="CONSOLIDATION - UPFRONT COMM",F1101="REVERSE - TOTAL FUNDING"),A1101,"")</f>
        <v/>
      </c>
      <c r="C1101" s="27"/>
      <c r="D1101" s="28"/>
      <c r="E1101" s="28"/>
      <c r="F1101" s="28"/>
      <c r="G1101" s="29"/>
      <c r="H1101" s="30"/>
      <c r="I1101" s="28"/>
      <c r="J1101" s="31" t="str">
        <f aca="false">IF(AND(G1101&lt;&gt;"",H1101&lt;&gt;""),G1101*H1101,"")</f>
        <v/>
      </c>
      <c r="K1101" s="28"/>
      <c r="L1101" s="32"/>
      <c r="M1101" s="32"/>
      <c r="N1101" s="31" t="n">
        <f aca="false">IF(OR(G1101="",M1101=""),0,IF(M1101&gt;100,M1101,G1101*IF(M1101&gt;1,M1101/100,M1101)))</f>
        <v>0</v>
      </c>
      <c r="O1101" s="31" t="str">
        <f aca="false">IF(G1101="","",G1101*IF(L1101="",0,IF(L1101&gt;1,L1101/100,L1101))+N1101)</f>
        <v/>
      </c>
      <c r="P1101" s="28"/>
      <c r="Q1101" s="33" t="str">
        <f aca="false">IF(P1101="","",IFERROR(VLOOKUP(P1101,PARTNERS!$A$2:$B$30,2,0),""))</f>
        <v/>
      </c>
      <c r="R1101" s="17" t="str">
        <f aca="false">IF(O1101="","",IF(OR(P1101="",Q1101=""),0,(O1101-N1101)*IF(Q1101&gt;1,Q1101/100,Q1101)))</f>
        <v/>
      </c>
      <c r="S1101" s="31" t="str">
        <f aca="false">IF(O1101="","",O1101-R1101)</f>
        <v/>
      </c>
      <c r="T1101" s="28"/>
      <c r="U1101" s="34" t="str">
        <f aca="false">IF(T1101="","",IFERROR(VLOOKUP(T1101,REPS!$A$2:$D$40,2,0),""))</f>
        <v/>
      </c>
      <c r="V1101" s="31" t="str">
        <f aca="false">IF(O1101="","",IF(U1101="",0,O1101*IF(U1101&gt;1,U1101/100,U1101)))</f>
        <v/>
      </c>
      <c r="W1101" s="28"/>
      <c r="X1101" s="34" t="str">
        <f aca="false">IF(W1101="","",IFERROR(VLOOKUP(W1101,REPS!$A$2:$D$40,3,0),""))</f>
        <v/>
      </c>
      <c r="Y1101" s="31" t="str">
        <f aca="false">IF(O1101="","",IF(X1101="",0,O1101*IF(X1101&gt;1,X1101/100,X1101)))</f>
        <v/>
      </c>
      <c r="Z1101" s="28"/>
      <c r="AA1101" s="34" t="str">
        <f aca="false">IF(Z1101="","",IFERROR(VLOOKUP(Z1101,REPS!$A$2:$D$40,4,0),""))</f>
        <v/>
      </c>
      <c r="AB1101" s="31" t="str">
        <f aca="false">IF(O1101="","",IF(AA1101="",0,O1101*IF(AA1101&gt;1,AA1101/100,AA1101)))</f>
        <v/>
      </c>
      <c r="AC1101" s="31" t="str">
        <f aca="false">IF(O1101="","",V1101+Y1101+AB1101)</f>
        <v/>
      </c>
      <c r="AD1101" s="19" t="str">
        <f aca="false">IF(O1101="","",O1101-R1101-AC1101)</f>
        <v/>
      </c>
      <c r="AE1101" s="20"/>
      <c r="AF1101" s="27"/>
      <c r="AG1101" s="21" t="n">
        <f aca="false">IF(OR(AE1101="",AE1101=0),0,AE1101*IF(U1101="",0,IF(U1101&gt;1,U1101/100,U1101)))</f>
        <v>0</v>
      </c>
      <c r="AH1101" s="21" t="n">
        <f aca="false">IF(OR(AE1101="",AE1101=0),0,AE1101*IF(X1101="",0,IF(X1101&gt;1,X1101/100,X1101)))</f>
        <v>0</v>
      </c>
      <c r="AI1101" s="21" t="n">
        <f aca="false">IF(OR(AE1101="",AE1101=0),0,AE1101*IF(AA1101="",0,IF(AA1101&gt;1,AA1101/100,AA1101)))</f>
        <v>0</v>
      </c>
      <c r="AJ1101" s="21" t="n">
        <f aca="false">AG1101+AH1101+AI1101</f>
        <v>0</v>
      </c>
      <c r="AK1101" s="21" t="n">
        <f aca="false">IF(OR(AE1101="",AE1101=0),0,AE1101-AJ1101)</f>
        <v>0</v>
      </c>
      <c r="AL1101" s="19" t="str">
        <f aca="false">IF(AD1101="","",AD1101-AK1101)</f>
        <v/>
      </c>
      <c r="AM1101" s="26" t="str">
        <f aca="false">IF(C1101="","","Waiting for payment")</f>
        <v/>
      </c>
      <c r="AN1101" s="27"/>
      <c r="AO1101" s="27"/>
      <c r="AP1101" s="35" t="str">
        <f aca="false">IF(OR(C1101="",I1101="",K1101=""),"",IF(K1101="Monthly",EDATE(C1101,ROUND(I1101*SETTINGS!$I$8,0)),WORKDAY(C1101,ROUND(I1101*SETTINGS!$I$8,0))))</f>
        <v/>
      </c>
      <c r="AQ1101" s="26" t="str">
        <f aca="true">IF(C1101="","",IF(AND(AP1101&lt;&gt;"",TODAY()&gt;=AP1101),"Refi Ready",IF(TODAY()-C1101&gt;=SETTINGS!$I$11,"Prospecting","Performing")))</f>
        <v/>
      </c>
      <c r="AR1101" s="35" t="str">
        <f aca="false">IF(OR(C1101="",I1101="",K1101=""),"",IF(K1101="Monthly",EDATE(C1101,I1101),WORKDAY(C1101,I1101)))</f>
        <v/>
      </c>
      <c r="AS1101" s="28"/>
      <c r="AT1101" s="36" t="str">
        <f aca="true">IF(C1101="","",IF(AM1101="Clawed Back","CLAWED",IF(TODAY()&lt;=C1101+SETTINGS!$I$2,"⚠ AT RISK","SAFE")))</f>
        <v/>
      </c>
      <c r="AU1101" s="28"/>
      <c r="AW1101" s="24" t="n">
        <f aca="false">AW1100+IF(AND(C1101&lt;&gt;"",AO1101&lt;&gt;"",OR('REP COMMISSION'!$B$3="",T1101='REP COMMISSION'!$B$3,W1101='REP COMMISSION'!$B$3,Z1101='REP COMMISSION'!$B$3)),1,0)</f>
        <v>0</v>
      </c>
      <c r="AX1101" s="24" t="n">
        <f aca="false">AX1100+IF(AND(C1101&lt;&gt;"",OR(F1101="LOC - INITIAL",F1101="CONSOLIDATION - UPFRONT COMM",F1101="REVERSE - TOTAL FUNDING")),1,0)</f>
        <v>0</v>
      </c>
    </row>
    <row r="1102" customFormat="false" ht="15" hidden="false" customHeight="false" outlineLevel="0" collapsed="false">
      <c r="A1102" s="8" t="str">
        <f aca="false">IF(C1102&lt;&gt;"","F27-"&amp;COUNT($C$4:C1102),"")</f>
        <v/>
      </c>
      <c r="B1102" s="9" t="str">
        <f aca="false">IF(OR(F1102="LOC - INITIAL",F1102="CONSOLIDATION - UPFRONT COMM",F1102="REVERSE - TOTAL FUNDING"),A1102,"")</f>
        <v/>
      </c>
      <c r="C1102" s="10"/>
      <c r="D1102" s="11"/>
      <c r="E1102" s="11"/>
      <c r="F1102" s="11"/>
      <c r="G1102" s="12"/>
      <c r="H1102" s="13"/>
      <c r="I1102" s="11"/>
      <c r="J1102" s="14" t="str">
        <f aca="false">IF(AND(G1102&lt;&gt;"",H1102&lt;&gt;""),G1102*H1102,"")</f>
        <v/>
      </c>
      <c r="K1102" s="11"/>
      <c r="L1102" s="15"/>
      <c r="M1102" s="15"/>
      <c r="N1102" s="14" t="n">
        <f aca="false">IF(OR(G1102="",M1102=""),0,IF(M1102&gt;100,M1102,G1102*IF(M1102&gt;1,M1102/100,M1102)))</f>
        <v>0</v>
      </c>
      <c r="O1102" s="14" t="str">
        <f aca="false">IF(G1102="","",G1102*IF(L1102="",0,IF(L1102&gt;1,L1102/100,L1102))+N1102)</f>
        <v/>
      </c>
      <c r="P1102" s="11"/>
      <c r="Q1102" s="16" t="str">
        <f aca="false">IF(P1102="","",IFERROR(VLOOKUP(P1102,PARTNERS!$A$2:$B$30,2,0),""))</f>
        <v/>
      </c>
      <c r="R1102" s="17" t="str">
        <f aca="false">IF(O1102="","",IF(OR(P1102="",Q1102=""),0,(O1102-N1102)*IF(Q1102&gt;1,Q1102/100,Q1102)))</f>
        <v/>
      </c>
      <c r="S1102" s="14" t="str">
        <f aca="false">IF(O1102="","",O1102-R1102)</f>
        <v/>
      </c>
      <c r="T1102" s="11"/>
      <c r="U1102" s="18" t="str">
        <f aca="false">IF(T1102="","",IFERROR(VLOOKUP(T1102,REPS!$A$2:$D$40,2,0),""))</f>
        <v/>
      </c>
      <c r="V1102" s="14" t="str">
        <f aca="false">IF(O1102="","",IF(U1102="",0,O1102*IF(U1102&gt;1,U1102/100,U1102)))</f>
        <v/>
      </c>
      <c r="W1102" s="11"/>
      <c r="X1102" s="18" t="str">
        <f aca="false">IF(W1102="","",IFERROR(VLOOKUP(W1102,REPS!$A$2:$D$40,3,0),""))</f>
        <v/>
      </c>
      <c r="Y1102" s="14" t="str">
        <f aca="false">IF(O1102="","",IF(X1102="",0,O1102*IF(X1102&gt;1,X1102/100,X1102)))</f>
        <v/>
      </c>
      <c r="Z1102" s="11"/>
      <c r="AA1102" s="18" t="str">
        <f aca="false">IF(Z1102="","",IFERROR(VLOOKUP(Z1102,REPS!$A$2:$D$40,4,0),""))</f>
        <v/>
      </c>
      <c r="AB1102" s="14" t="str">
        <f aca="false">IF(O1102="","",IF(AA1102="",0,O1102*IF(AA1102&gt;1,AA1102/100,AA1102)))</f>
        <v/>
      </c>
      <c r="AC1102" s="14" t="str">
        <f aca="false">IF(O1102="","",V1102+Y1102+AB1102)</f>
        <v/>
      </c>
      <c r="AD1102" s="19" t="str">
        <f aca="false">IF(O1102="","",O1102-R1102-AC1102)</f>
        <v/>
      </c>
      <c r="AE1102" s="20"/>
      <c r="AF1102" s="10"/>
      <c r="AG1102" s="21" t="n">
        <f aca="false">IF(OR(AE1102="",AE1102=0),0,AE1102*IF(U1102="",0,IF(U1102&gt;1,U1102/100,U1102)))</f>
        <v>0</v>
      </c>
      <c r="AH1102" s="21" t="n">
        <f aca="false">IF(OR(AE1102="",AE1102=0),0,AE1102*IF(X1102="",0,IF(X1102&gt;1,X1102/100,X1102)))</f>
        <v>0</v>
      </c>
      <c r="AI1102" s="21" t="n">
        <f aca="false">IF(OR(AE1102="",AE1102=0),0,AE1102*IF(AA1102="",0,IF(AA1102&gt;1,AA1102/100,AA1102)))</f>
        <v>0</v>
      </c>
      <c r="AJ1102" s="21" t="n">
        <f aca="false">AG1102+AH1102+AI1102</f>
        <v>0</v>
      </c>
      <c r="AK1102" s="21" t="n">
        <f aca="false">IF(OR(AE1102="",AE1102=0),0,AE1102-AJ1102)</f>
        <v>0</v>
      </c>
      <c r="AL1102" s="19" t="str">
        <f aca="false">IF(AD1102="","",AD1102-AK1102)</f>
        <v/>
      </c>
      <c r="AM1102" s="9" t="str">
        <f aca="false">IF(C1102="","","Waiting for payment")</f>
        <v/>
      </c>
      <c r="AN1102" s="10"/>
      <c r="AO1102" s="10"/>
      <c r="AP1102" s="22" t="str">
        <f aca="false">IF(OR(C1102="",I1102="",K1102=""),"",IF(K1102="Monthly",EDATE(C1102,ROUND(I1102*SETTINGS!$I$8,0)),WORKDAY(C1102,ROUND(I1102*SETTINGS!$I$8,0))))</f>
        <v/>
      </c>
      <c r="AQ1102" s="9" t="str">
        <f aca="true">IF(C1102="","",IF(AND(AP1102&lt;&gt;"",TODAY()&gt;=AP1102),"Refi Ready",IF(TODAY()-C1102&gt;=SETTINGS!$I$11,"Prospecting","Performing")))</f>
        <v/>
      </c>
      <c r="AR1102" s="22" t="str">
        <f aca="false">IF(OR(C1102="",I1102="",K1102=""),"",IF(K1102="Monthly",EDATE(C1102,I1102),WORKDAY(C1102,I1102)))</f>
        <v/>
      </c>
      <c r="AS1102" s="11"/>
      <c r="AT1102" s="23" t="str">
        <f aca="true">IF(C1102="","",IF(AM1102="Clawed Back","CLAWED",IF(TODAY()&lt;=C1102+SETTINGS!$I$2,"⚠ AT RISK","SAFE")))</f>
        <v/>
      </c>
      <c r="AU1102" s="11"/>
      <c r="AW1102" s="24" t="n">
        <f aca="false">AW1101+IF(AND(C1102&lt;&gt;"",AO1102&lt;&gt;"",OR('REP COMMISSION'!$B$3="",T1102='REP COMMISSION'!$B$3,W1102='REP COMMISSION'!$B$3,Z1102='REP COMMISSION'!$B$3)),1,0)</f>
        <v>0</v>
      </c>
      <c r="AX1102" s="24" t="n">
        <f aca="false">AX1101+IF(AND(C1102&lt;&gt;"",OR(F1102="LOC - INITIAL",F1102="CONSOLIDATION - UPFRONT COMM",F1102="REVERSE - TOTAL FUNDING")),1,0)</f>
        <v>0</v>
      </c>
    </row>
    <row r="1103" customFormat="false" ht="15" hidden="false" customHeight="false" outlineLevel="0" collapsed="false">
      <c r="A1103" s="25" t="str">
        <f aca="false">IF(C1103&lt;&gt;"","F27-"&amp;COUNT($C$4:C1103),"")</f>
        <v/>
      </c>
      <c r="B1103" s="26" t="str">
        <f aca="false">IF(OR(F1103="LOC - INITIAL",F1103="CONSOLIDATION - UPFRONT COMM",F1103="REVERSE - TOTAL FUNDING"),A1103,"")</f>
        <v/>
      </c>
      <c r="C1103" s="27"/>
      <c r="D1103" s="28"/>
      <c r="E1103" s="28"/>
      <c r="F1103" s="28"/>
      <c r="G1103" s="29"/>
      <c r="H1103" s="30"/>
      <c r="I1103" s="28"/>
      <c r="J1103" s="31" t="str">
        <f aca="false">IF(AND(G1103&lt;&gt;"",H1103&lt;&gt;""),G1103*H1103,"")</f>
        <v/>
      </c>
      <c r="K1103" s="28"/>
      <c r="L1103" s="32"/>
      <c r="M1103" s="32"/>
      <c r="N1103" s="31" t="n">
        <f aca="false">IF(OR(G1103="",M1103=""),0,IF(M1103&gt;100,M1103,G1103*IF(M1103&gt;1,M1103/100,M1103)))</f>
        <v>0</v>
      </c>
      <c r="O1103" s="31" t="str">
        <f aca="false">IF(G1103="","",G1103*IF(L1103="",0,IF(L1103&gt;1,L1103/100,L1103))+N1103)</f>
        <v/>
      </c>
      <c r="P1103" s="28"/>
      <c r="Q1103" s="33" t="str">
        <f aca="false">IF(P1103="","",IFERROR(VLOOKUP(P1103,PARTNERS!$A$2:$B$30,2,0),""))</f>
        <v/>
      </c>
      <c r="R1103" s="17" t="str">
        <f aca="false">IF(O1103="","",IF(OR(P1103="",Q1103=""),0,(O1103-N1103)*IF(Q1103&gt;1,Q1103/100,Q1103)))</f>
        <v/>
      </c>
      <c r="S1103" s="31" t="str">
        <f aca="false">IF(O1103="","",O1103-R1103)</f>
        <v/>
      </c>
      <c r="T1103" s="28"/>
      <c r="U1103" s="34" t="str">
        <f aca="false">IF(T1103="","",IFERROR(VLOOKUP(T1103,REPS!$A$2:$D$40,2,0),""))</f>
        <v/>
      </c>
      <c r="V1103" s="31" t="str">
        <f aca="false">IF(O1103="","",IF(U1103="",0,O1103*IF(U1103&gt;1,U1103/100,U1103)))</f>
        <v/>
      </c>
      <c r="W1103" s="28"/>
      <c r="X1103" s="34" t="str">
        <f aca="false">IF(W1103="","",IFERROR(VLOOKUP(W1103,REPS!$A$2:$D$40,3,0),""))</f>
        <v/>
      </c>
      <c r="Y1103" s="31" t="str">
        <f aca="false">IF(O1103="","",IF(X1103="",0,O1103*IF(X1103&gt;1,X1103/100,X1103)))</f>
        <v/>
      </c>
      <c r="Z1103" s="28"/>
      <c r="AA1103" s="34" t="str">
        <f aca="false">IF(Z1103="","",IFERROR(VLOOKUP(Z1103,REPS!$A$2:$D$40,4,0),""))</f>
        <v/>
      </c>
      <c r="AB1103" s="31" t="str">
        <f aca="false">IF(O1103="","",IF(AA1103="",0,O1103*IF(AA1103&gt;1,AA1103/100,AA1103)))</f>
        <v/>
      </c>
      <c r="AC1103" s="31" t="str">
        <f aca="false">IF(O1103="","",V1103+Y1103+AB1103)</f>
        <v/>
      </c>
      <c r="AD1103" s="19" t="str">
        <f aca="false">IF(O1103="","",O1103-R1103-AC1103)</f>
        <v/>
      </c>
      <c r="AE1103" s="20"/>
      <c r="AF1103" s="27"/>
      <c r="AG1103" s="21" t="n">
        <f aca="false">IF(OR(AE1103="",AE1103=0),0,AE1103*IF(U1103="",0,IF(U1103&gt;1,U1103/100,U1103)))</f>
        <v>0</v>
      </c>
      <c r="AH1103" s="21" t="n">
        <f aca="false">IF(OR(AE1103="",AE1103=0),0,AE1103*IF(X1103="",0,IF(X1103&gt;1,X1103/100,X1103)))</f>
        <v>0</v>
      </c>
      <c r="AI1103" s="21" t="n">
        <f aca="false">IF(OR(AE1103="",AE1103=0),0,AE1103*IF(AA1103="",0,IF(AA1103&gt;1,AA1103/100,AA1103)))</f>
        <v>0</v>
      </c>
      <c r="AJ1103" s="21" t="n">
        <f aca="false">AG1103+AH1103+AI1103</f>
        <v>0</v>
      </c>
      <c r="AK1103" s="21" t="n">
        <f aca="false">IF(OR(AE1103="",AE1103=0),0,AE1103-AJ1103)</f>
        <v>0</v>
      </c>
      <c r="AL1103" s="19" t="str">
        <f aca="false">IF(AD1103="","",AD1103-AK1103)</f>
        <v/>
      </c>
      <c r="AM1103" s="26" t="str">
        <f aca="false">IF(C1103="","","Waiting for payment")</f>
        <v/>
      </c>
      <c r="AN1103" s="27"/>
      <c r="AO1103" s="27"/>
      <c r="AP1103" s="35" t="str">
        <f aca="false">IF(OR(C1103="",I1103="",K1103=""),"",IF(K1103="Monthly",EDATE(C1103,ROUND(I1103*SETTINGS!$I$8,0)),WORKDAY(C1103,ROUND(I1103*SETTINGS!$I$8,0))))</f>
        <v/>
      </c>
      <c r="AQ1103" s="26" t="str">
        <f aca="true">IF(C1103="","",IF(AND(AP1103&lt;&gt;"",TODAY()&gt;=AP1103),"Refi Ready",IF(TODAY()-C1103&gt;=SETTINGS!$I$11,"Prospecting","Performing")))</f>
        <v/>
      </c>
      <c r="AR1103" s="35" t="str">
        <f aca="false">IF(OR(C1103="",I1103="",K1103=""),"",IF(K1103="Monthly",EDATE(C1103,I1103),WORKDAY(C1103,I1103)))</f>
        <v/>
      </c>
      <c r="AS1103" s="28"/>
      <c r="AT1103" s="36" t="str">
        <f aca="true">IF(C1103="","",IF(AM1103="Clawed Back","CLAWED",IF(TODAY()&lt;=C1103+SETTINGS!$I$2,"⚠ AT RISK","SAFE")))</f>
        <v/>
      </c>
      <c r="AU1103" s="28"/>
      <c r="AW1103" s="24" t="n">
        <f aca="false">AW1102+IF(AND(C1103&lt;&gt;"",AO1103&lt;&gt;"",OR('REP COMMISSION'!$B$3="",T1103='REP COMMISSION'!$B$3,W1103='REP COMMISSION'!$B$3,Z1103='REP COMMISSION'!$B$3)),1,0)</f>
        <v>0</v>
      </c>
      <c r="AX1103" s="24" t="n">
        <f aca="false">AX1102+IF(AND(C1103&lt;&gt;"",OR(F1103="LOC - INITIAL",F1103="CONSOLIDATION - UPFRONT COMM",F1103="REVERSE - TOTAL FUNDING")),1,0)</f>
        <v>0</v>
      </c>
    </row>
    <row r="1104" customFormat="false" ht="15" hidden="false" customHeight="false" outlineLevel="0" collapsed="false">
      <c r="A1104" s="8" t="str">
        <f aca="false">IF(C1104&lt;&gt;"","F27-"&amp;COUNT($C$4:C1104),"")</f>
        <v/>
      </c>
      <c r="B1104" s="9" t="str">
        <f aca="false">IF(OR(F1104="LOC - INITIAL",F1104="CONSOLIDATION - UPFRONT COMM",F1104="REVERSE - TOTAL FUNDING"),A1104,"")</f>
        <v/>
      </c>
      <c r="C1104" s="10"/>
      <c r="D1104" s="11"/>
      <c r="E1104" s="11"/>
      <c r="F1104" s="11"/>
      <c r="G1104" s="12"/>
      <c r="H1104" s="13"/>
      <c r="I1104" s="11"/>
      <c r="J1104" s="14" t="str">
        <f aca="false">IF(AND(G1104&lt;&gt;"",H1104&lt;&gt;""),G1104*H1104,"")</f>
        <v/>
      </c>
      <c r="K1104" s="11"/>
      <c r="L1104" s="15"/>
      <c r="M1104" s="15"/>
      <c r="N1104" s="14" t="n">
        <f aca="false">IF(OR(G1104="",M1104=""),0,IF(M1104&gt;100,M1104,G1104*IF(M1104&gt;1,M1104/100,M1104)))</f>
        <v>0</v>
      </c>
      <c r="O1104" s="14" t="str">
        <f aca="false">IF(G1104="","",G1104*IF(L1104="",0,IF(L1104&gt;1,L1104/100,L1104))+N1104)</f>
        <v/>
      </c>
      <c r="P1104" s="11"/>
      <c r="Q1104" s="16" t="str">
        <f aca="false">IF(P1104="","",IFERROR(VLOOKUP(P1104,PARTNERS!$A$2:$B$30,2,0),""))</f>
        <v/>
      </c>
      <c r="R1104" s="17" t="str">
        <f aca="false">IF(O1104="","",IF(OR(P1104="",Q1104=""),0,(O1104-N1104)*IF(Q1104&gt;1,Q1104/100,Q1104)))</f>
        <v/>
      </c>
      <c r="S1104" s="14" t="str">
        <f aca="false">IF(O1104="","",O1104-R1104)</f>
        <v/>
      </c>
      <c r="T1104" s="11"/>
      <c r="U1104" s="18" t="str">
        <f aca="false">IF(T1104="","",IFERROR(VLOOKUP(T1104,REPS!$A$2:$D$40,2,0),""))</f>
        <v/>
      </c>
      <c r="V1104" s="14" t="str">
        <f aca="false">IF(O1104="","",IF(U1104="",0,O1104*IF(U1104&gt;1,U1104/100,U1104)))</f>
        <v/>
      </c>
      <c r="W1104" s="11"/>
      <c r="X1104" s="18" t="str">
        <f aca="false">IF(W1104="","",IFERROR(VLOOKUP(W1104,REPS!$A$2:$D$40,3,0),""))</f>
        <v/>
      </c>
      <c r="Y1104" s="14" t="str">
        <f aca="false">IF(O1104="","",IF(X1104="",0,O1104*IF(X1104&gt;1,X1104/100,X1104)))</f>
        <v/>
      </c>
      <c r="Z1104" s="11"/>
      <c r="AA1104" s="18" t="str">
        <f aca="false">IF(Z1104="","",IFERROR(VLOOKUP(Z1104,REPS!$A$2:$D$40,4,0),""))</f>
        <v/>
      </c>
      <c r="AB1104" s="14" t="str">
        <f aca="false">IF(O1104="","",IF(AA1104="",0,O1104*IF(AA1104&gt;1,AA1104/100,AA1104)))</f>
        <v/>
      </c>
      <c r="AC1104" s="14" t="str">
        <f aca="false">IF(O1104="","",V1104+Y1104+AB1104)</f>
        <v/>
      </c>
      <c r="AD1104" s="19" t="str">
        <f aca="false">IF(O1104="","",O1104-R1104-AC1104)</f>
        <v/>
      </c>
      <c r="AE1104" s="20"/>
      <c r="AF1104" s="10"/>
      <c r="AG1104" s="21" t="n">
        <f aca="false">IF(OR(AE1104="",AE1104=0),0,AE1104*IF(U1104="",0,IF(U1104&gt;1,U1104/100,U1104)))</f>
        <v>0</v>
      </c>
      <c r="AH1104" s="21" t="n">
        <f aca="false">IF(OR(AE1104="",AE1104=0),0,AE1104*IF(X1104="",0,IF(X1104&gt;1,X1104/100,X1104)))</f>
        <v>0</v>
      </c>
      <c r="AI1104" s="21" t="n">
        <f aca="false">IF(OR(AE1104="",AE1104=0),0,AE1104*IF(AA1104="",0,IF(AA1104&gt;1,AA1104/100,AA1104)))</f>
        <v>0</v>
      </c>
      <c r="AJ1104" s="21" t="n">
        <f aca="false">AG1104+AH1104+AI1104</f>
        <v>0</v>
      </c>
      <c r="AK1104" s="21" t="n">
        <f aca="false">IF(OR(AE1104="",AE1104=0),0,AE1104-AJ1104)</f>
        <v>0</v>
      </c>
      <c r="AL1104" s="19" t="str">
        <f aca="false">IF(AD1104="","",AD1104-AK1104)</f>
        <v/>
      </c>
      <c r="AM1104" s="9" t="str">
        <f aca="false">IF(C1104="","","Waiting for payment")</f>
        <v/>
      </c>
      <c r="AN1104" s="10"/>
      <c r="AO1104" s="10"/>
      <c r="AP1104" s="22" t="str">
        <f aca="false">IF(OR(C1104="",I1104="",K1104=""),"",IF(K1104="Monthly",EDATE(C1104,ROUND(I1104*SETTINGS!$I$8,0)),WORKDAY(C1104,ROUND(I1104*SETTINGS!$I$8,0))))</f>
        <v/>
      </c>
      <c r="AQ1104" s="9" t="str">
        <f aca="true">IF(C1104="","",IF(AND(AP1104&lt;&gt;"",TODAY()&gt;=AP1104),"Refi Ready",IF(TODAY()-C1104&gt;=SETTINGS!$I$11,"Prospecting","Performing")))</f>
        <v/>
      </c>
      <c r="AR1104" s="22" t="str">
        <f aca="false">IF(OR(C1104="",I1104="",K1104=""),"",IF(K1104="Monthly",EDATE(C1104,I1104),WORKDAY(C1104,I1104)))</f>
        <v/>
      </c>
      <c r="AS1104" s="11"/>
      <c r="AT1104" s="23" t="str">
        <f aca="true">IF(C1104="","",IF(AM1104="Clawed Back","CLAWED",IF(TODAY()&lt;=C1104+SETTINGS!$I$2,"⚠ AT RISK","SAFE")))</f>
        <v/>
      </c>
      <c r="AU1104" s="11"/>
      <c r="AW1104" s="24" t="n">
        <f aca="false">AW1103+IF(AND(C1104&lt;&gt;"",AO1104&lt;&gt;"",OR('REP COMMISSION'!$B$3="",T1104='REP COMMISSION'!$B$3,W1104='REP COMMISSION'!$B$3,Z1104='REP COMMISSION'!$B$3)),1,0)</f>
        <v>0</v>
      </c>
      <c r="AX1104" s="24" t="n">
        <f aca="false">AX1103+IF(AND(C1104&lt;&gt;"",OR(F1104="LOC - INITIAL",F1104="CONSOLIDATION - UPFRONT COMM",F1104="REVERSE - TOTAL FUNDING")),1,0)</f>
        <v>0</v>
      </c>
    </row>
    <row r="1105" customFormat="false" ht="15" hidden="false" customHeight="false" outlineLevel="0" collapsed="false">
      <c r="A1105" s="25" t="str">
        <f aca="false">IF(C1105&lt;&gt;"","F27-"&amp;COUNT($C$4:C1105),"")</f>
        <v/>
      </c>
      <c r="B1105" s="26" t="str">
        <f aca="false">IF(OR(F1105="LOC - INITIAL",F1105="CONSOLIDATION - UPFRONT COMM",F1105="REVERSE - TOTAL FUNDING"),A1105,"")</f>
        <v/>
      </c>
      <c r="C1105" s="27"/>
      <c r="D1105" s="28"/>
      <c r="E1105" s="28"/>
      <c r="F1105" s="28"/>
      <c r="G1105" s="29"/>
      <c r="H1105" s="30"/>
      <c r="I1105" s="28"/>
      <c r="J1105" s="31" t="str">
        <f aca="false">IF(AND(G1105&lt;&gt;"",H1105&lt;&gt;""),G1105*H1105,"")</f>
        <v/>
      </c>
      <c r="K1105" s="28"/>
      <c r="L1105" s="32"/>
      <c r="M1105" s="32"/>
      <c r="N1105" s="31" t="n">
        <f aca="false">IF(OR(G1105="",M1105=""),0,IF(M1105&gt;100,M1105,G1105*IF(M1105&gt;1,M1105/100,M1105)))</f>
        <v>0</v>
      </c>
      <c r="O1105" s="31" t="str">
        <f aca="false">IF(G1105="","",G1105*IF(L1105="",0,IF(L1105&gt;1,L1105/100,L1105))+N1105)</f>
        <v/>
      </c>
      <c r="P1105" s="28"/>
      <c r="Q1105" s="33" t="str">
        <f aca="false">IF(P1105="","",IFERROR(VLOOKUP(P1105,PARTNERS!$A$2:$B$30,2,0),""))</f>
        <v/>
      </c>
      <c r="R1105" s="17" t="str">
        <f aca="false">IF(O1105="","",IF(OR(P1105="",Q1105=""),0,(O1105-N1105)*IF(Q1105&gt;1,Q1105/100,Q1105)))</f>
        <v/>
      </c>
      <c r="S1105" s="31" t="str">
        <f aca="false">IF(O1105="","",O1105-R1105)</f>
        <v/>
      </c>
      <c r="T1105" s="28"/>
      <c r="U1105" s="34" t="str">
        <f aca="false">IF(T1105="","",IFERROR(VLOOKUP(T1105,REPS!$A$2:$D$40,2,0),""))</f>
        <v/>
      </c>
      <c r="V1105" s="31" t="str">
        <f aca="false">IF(O1105="","",IF(U1105="",0,O1105*IF(U1105&gt;1,U1105/100,U1105)))</f>
        <v/>
      </c>
      <c r="W1105" s="28"/>
      <c r="X1105" s="34" t="str">
        <f aca="false">IF(W1105="","",IFERROR(VLOOKUP(W1105,REPS!$A$2:$D$40,3,0),""))</f>
        <v/>
      </c>
      <c r="Y1105" s="31" t="str">
        <f aca="false">IF(O1105="","",IF(X1105="",0,O1105*IF(X1105&gt;1,X1105/100,X1105)))</f>
        <v/>
      </c>
      <c r="Z1105" s="28"/>
      <c r="AA1105" s="34" t="str">
        <f aca="false">IF(Z1105="","",IFERROR(VLOOKUP(Z1105,REPS!$A$2:$D$40,4,0),""))</f>
        <v/>
      </c>
      <c r="AB1105" s="31" t="str">
        <f aca="false">IF(O1105="","",IF(AA1105="",0,O1105*IF(AA1105&gt;1,AA1105/100,AA1105)))</f>
        <v/>
      </c>
      <c r="AC1105" s="31" t="str">
        <f aca="false">IF(O1105="","",V1105+Y1105+AB1105)</f>
        <v/>
      </c>
      <c r="AD1105" s="19" t="str">
        <f aca="false">IF(O1105="","",O1105-R1105-AC1105)</f>
        <v/>
      </c>
      <c r="AE1105" s="20"/>
      <c r="AF1105" s="27"/>
      <c r="AG1105" s="21" t="n">
        <f aca="false">IF(OR(AE1105="",AE1105=0),0,AE1105*IF(U1105="",0,IF(U1105&gt;1,U1105/100,U1105)))</f>
        <v>0</v>
      </c>
      <c r="AH1105" s="21" t="n">
        <f aca="false">IF(OR(AE1105="",AE1105=0),0,AE1105*IF(X1105="",0,IF(X1105&gt;1,X1105/100,X1105)))</f>
        <v>0</v>
      </c>
      <c r="AI1105" s="21" t="n">
        <f aca="false">IF(OR(AE1105="",AE1105=0),0,AE1105*IF(AA1105="",0,IF(AA1105&gt;1,AA1105/100,AA1105)))</f>
        <v>0</v>
      </c>
      <c r="AJ1105" s="21" t="n">
        <f aca="false">AG1105+AH1105+AI1105</f>
        <v>0</v>
      </c>
      <c r="AK1105" s="21" t="n">
        <f aca="false">IF(OR(AE1105="",AE1105=0),0,AE1105-AJ1105)</f>
        <v>0</v>
      </c>
      <c r="AL1105" s="19" t="str">
        <f aca="false">IF(AD1105="","",AD1105-AK1105)</f>
        <v/>
      </c>
      <c r="AM1105" s="26" t="str">
        <f aca="false">IF(C1105="","","Waiting for payment")</f>
        <v/>
      </c>
      <c r="AN1105" s="27"/>
      <c r="AO1105" s="27"/>
      <c r="AP1105" s="35" t="str">
        <f aca="false">IF(OR(C1105="",I1105="",K1105=""),"",IF(K1105="Monthly",EDATE(C1105,ROUND(I1105*SETTINGS!$I$8,0)),WORKDAY(C1105,ROUND(I1105*SETTINGS!$I$8,0))))</f>
        <v/>
      </c>
      <c r="AQ1105" s="26" t="str">
        <f aca="true">IF(C1105="","",IF(AND(AP1105&lt;&gt;"",TODAY()&gt;=AP1105),"Refi Ready",IF(TODAY()-C1105&gt;=SETTINGS!$I$11,"Prospecting","Performing")))</f>
        <v/>
      </c>
      <c r="AR1105" s="35" t="str">
        <f aca="false">IF(OR(C1105="",I1105="",K1105=""),"",IF(K1105="Monthly",EDATE(C1105,I1105),WORKDAY(C1105,I1105)))</f>
        <v/>
      </c>
      <c r="AS1105" s="28"/>
      <c r="AT1105" s="36" t="str">
        <f aca="true">IF(C1105="","",IF(AM1105="Clawed Back","CLAWED",IF(TODAY()&lt;=C1105+SETTINGS!$I$2,"⚠ AT RISK","SAFE")))</f>
        <v/>
      </c>
      <c r="AU1105" s="28"/>
      <c r="AW1105" s="24" t="n">
        <f aca="false">AW1104+IF(AND(C1105&lt;&gt;"",AO1105&lt;&gt;"",OR('REP COMMISSION'!$B$3="",T1105='REP COMMISSION'!$B$3,W1105='REP COMMISSION'!$B$3,Z1105='REP COMMISSION'!$B$3)),1,0)</f>
        <v>0</v>
      </c>
      <c r="AX1105" s="24" t="n">
        <f aca="false">AX1104+IF(AND(C1105&lt;&gt;"",OR(F1105="LOC - INITIAL",F1105="CONSOLIDATION - UPFRONT COMM",F1105="REVERSE - TOTAL FUNDING")),1,0)</f>
        <v>0</v>
      </c>
    </row>
    <row r="1106" customFormat="false" ht="15" hidden="false" customHeight="false" outlineLevel="0" collapsed="false">
      <c r="A1106" s="8" t="str">
        <f aca="false">IF(C1106&lt;&gt;"","F27-"&amp;COUNT($C$4:C1106),"")</f>
        <v/>
      </c>
      <c r="B1106" s="9" t="str">
        <f aca="false">IF(OR(F1106="LOC - INITIAL",F1106="CONSOLIDATION - UPFRONT COMM",F1106="REVERSE - TOTAL FUNDING"),A1106,"")</f>
        <v/>
      </c>
      <c r="C1106" s="10"/>
      <c r="D1106" s="11"/>
      <c r="E1106" s="11"/>
      <c r="F1106" s="11"/>
      <c r="G1106" s="12"/>
      <c r="H1106" s="13"/>
      <c r="I1106" s="11"/>
      <c r="J1106" s="14" t="str">
        <f aca="false">IF(AND(G1106&lt;&gt;"",H1106&lt;&gt;""),G1106*H1106,"")</f>
        <v/>
      </c>
      <c r="K1106" s="11"/>
      <c r="L1106" s="15"/>
      <c r="M1106" s="15"/>
      <c r="N1106" s="14" t="n">
        <f aca="false">IF(OR(G1106="",M1106=""),0,IF(M1106&gt;100,M1106,G1106*IF(M1106&gt;1,M1106/100,M1106)))</f>
        <v>0</v>
      </c>
      <c r="O1106" s="14" t="str">
        <f aca="false">IF(G1106="","",G1106*IF(L1106="",0,IF(L1106&gt;1,L1106/100,L1106))+N1106)</f>
        <v/>
      </c>
      <c r="P1106" s="11"/>
      <c r="Q1106" s="16" t="str">
        <f aca="false">IF(P1106="","",IFERROR(VLOOKUP(P1106,PARTNERS!$A$2:$B$30,2,0),""))</f>
        <v/>
      </c>
      <c r="R1106" s="17" t="str">
        <f aca="false">IF(O1106="","",IF(OR(P1106="",Q1106=""),0,(O1106-N1106)*IF(Q1106&gt;1,Q1106/100,Q1106)))</f>
        <v/>
      </c>
      <c r="S1106" s="14" t="str">
        <f aca="false">IF(O1106="","",O1106-R1106)</f>
        <v/>
      </c>
      <c r="T1106" s="11"/>
      <c r="U1106" s="18" t="str">
        <f aca="false">IF(T1106="","",IFERROR(VLOOKUP(T1106,REPS!$A$2:$D$40,2,0),""))</f>
        <v/>
      </c>
      <c r="V1106" s="14" t="str">
        <f aca="false">IF(O1106="","",IF(U1106="",0,O1106*IF(U1106&gt;1,U1106/100,U1106)))</f>
        <v/>
      </c>
      <c r="W1106" s="11"/>
      <c r="X1106" s="18" t="str">
        <f aca="false">IF(W1106="","",IFERROR(VLOOKUP(W1106,REPS!$A$2:$D$40,3,0),""))</f>
        <v/>
      </c>
      <c r="Y1106" s="14" t="str">
        <f aca="false">IF(O1106="","",IF(X1106="",0,O1106*IF(X1106&gt;1,X1106/100,X1106)))</f>
        <v/>
      </c>
      <c r="Z1106" s="11"/>
      <c r="AA1106" s="18" t="str">
        <f aca="false">IF(Z1106="","",IFERROR(VLOOKUP(Z1106,REPS!$A$2:$D$40,4,0),""))</f>
        <v/>
      </c>
      <c r="AB1106" s="14" t="str">
        <f aca="false">IF(O1106="","",IF(AA1106="",0,O1106*IF(AA1106&gt;1,AA1106/100,AA1106)))</f>
        <v/>
      </c>
      <c r="AC1106" s="14" t="str">
        <f aca="false">IF(O1106="","",V1106+Y1106+AB1106)</f>
        <v/>
      </c>
      <c r="AD1106" s="19" t="str">
        <f aca="false">IF(O1106="","",O1106-R1106-AC1106)</f>
        <v/>
      </c>
      <c r="AE1106" s="20"/>
      <c r="AF1106" s="10"/>
      <c r="AG1106" s="21" t="n">
        <f aca="false">IF(OR(AE1106="",AE1106=0),0,AE1106*IF(U1106="",0,IF(U1106&gt;1,U1106/100,U1106)))</f>
        <v>0</v>
      </c>
      <c r="AH1106" s="21" t="n">
        <f aca="false">IF(OR(AE1106="",AE1106=0),0,AE1106*IF(X1106="",0,IF(X1106&gt;1,X1106/100,X1106)))</f>
        <v>0</v>
      </c>
      <c r="AI1106" s="21" t="n">
        <f aca="false">IF(OR(AE1106="",AE1106=0),0,AE1106*IF(AA1106="",0,IF(AA1106&gt;1,AA1106/100,AA1106)))</f>
        <v>0</v>
      </c>
      <c r="AJ1106" s="21" t="n">
        <f aca="false">AG1106+AH1106+AI1106</f>
        <v>0</v>
      </c>
      <c r="AK1106" s="21" t="n">
        <f aca="false">IF(OR(AE1106="",AE1106=0),0,AE1106-AJ1106)</f>
        <v>0</v>
      </c>
      <c r="AL1106" s="19" t="str">
        <f aca="false">IF(AD1106="","",AD1106-AK1106)</f>
        <v/>
      </c>
      <c r="AM1106" s="9" t="str">
        <f aca="false">IF(C1106="","","Waiting for payment")</f>
        <v/>
      </c>
      <c r="AN1106" s="10"/>
      <c r="AO1106" s="10"/>
      <c r="AP1106" s="22" t="str">
        <f aca="false">IF(OR(C1106="",I1106="",K1106=""),"",IF(K1106="Monthly",EDATE(C1106,ROUND(I1106*SETTINGS!$I$8,0)),WORKDAY(C1106,ROUND(I1106*SETTINGS!$I$8,0))))</f>
        <v/>
      </c>
      <c r="AQ1106" s="9" t="str">
        <f aca="true">IF(C1106="","",IF(AND(AP1106&lt;&gt;"",TODAY()&gt;=AP1106),"Refi Ready",IF(TODAY()-C1106&gt;=SETTINGS!$I$11,"Prospecting","Performing")))</f>
        <v/>
      </c>
      <c r="AR1106" s="22" t="str">
        <f aca="false">IF(OR(C1106="",I1106="",K1106=""),"",IF(K1106="Monthly",EDATE(C1106,I1106),WORKDAY(C1106,I1106)))</f>
        <v/>
      </c>
      <c r="AS1106" s="11"/>
      <c r="AT1106" s="23" t="str">
        <f aca="true">IF(C1106="","",IF(AM1106="Clawed Back","CLAWED",IF(TODAY()&lt;=C1106+SETTINGS!$I$2,"⚠ AT RISK","SAFE")))</f>
        <v/>
      </c>
      <c r="AU1106" s="11"/>
      <c r="AW1106" s="24" t="n">
        <f aca="false">AW1105+IF(AND(C1106&lt;&gt;"",AO1106&lt;&gt;"",OR('REP COMMISSION'!$B$3="",T1106='REP COMMISSION'!$B$3,W1106='REP COMMISSION'!$B$3,Z1106='REP COMMISSION'!$B$3)),1,0)</f>
        <v>0</v>
      </c>
      <c r="AX1106" s="24" t="n">
        <f aca="false">AX1105+IF(AND(C1106&lt;&gt;"",OR(F1106="LOC - INITIAL",F1106="CONSOLIDATION - UPFRONT COMM",F1106="REVERSE - TOTAL FUNDING")),1,0)</f>
        <v>0</v>
      </c>
    </row>
    <row r="1107" customFormat="false" ht="15" hidden="false" customHeight="false" outlineLevel="0" collapsed="false">
      <c r="A1107" s="25" t="str">
        <f aca="false">IF(C1107&lt;&gt;"","F27-"&amp;COUNT($C$4:C1107),"")</f>
        <v/>
      </c>
      <c r="B1107" s="26" t="str">
        <f aca="false">IF(OR(F1107="LOC - INITIAL",F1107="CONSOLIDATION - UPFRONT COMM",F1107="REVERSE - TOTAL FUNDING"),A1107,"")</f>
        <v/>
      </c>
      <c r="C1107" s="27"/>
      <c r="D1107" s="28"/>
      <c r="E1107" s="28"/>
      <c r="F1107" s="28"/>
      <c r="G1107" s="29"/>
      <c r="H1107" s="30"/>
      <c r="I1107" s="28"/>
      <c r="J1107" s="31" t="str">
        <f aca="false">IF(AND(G1107&lt;&gt;"",H1107&lt;&gt;""),G1107*H1107,"")</f>
        <v/>
      </c>
      <c r="K1107" s="28"/>
      <c r="L1107" s="32"/>
      <c r="M1107" s="32"/>
      <c r="N1107" s="31" t="n">
        <f aca="false">IF(OR(G1107="",M1107=""),0,IF(M1107&gt;100,M1107,G1107*IF(M1107&gt;1,M1107/100,M1107)))</f>
        <v>0</v>
      </c>
      <c r="O1107" s="31" t="str">
        <f aca="false">IF(G1107="","",G1107*IF(L1107="",0,IF(L1107&gt;1,L1107/100,L1107))+N1107)</f>
        <v/>
      </c>
      <c r="P1107" s="28"/>
      <c r="Q1107" s="33" t="str">
        <f aca="false">IF(P1107="","",IFERROR(VLOOKUP(P1107,PARTNERS!$A$2:$B$30,2,0),""))</f>
        <v/>
      </c>
      <c r="R1107" s="17" t="str">
        <f aca="false">IF(O1107="","",IF(OR(P1107="",Q1107=""),0,(O1107-N1107)*IF(Q1107&gt;1,Q1107/100,Q1107)))</f>
        <v/>
      </c>
      <c r="S1107" s="31" t="str">
        <f aca="false">IF(O1107="","",O1107-R1107)</f>
        <v/>
      </c>
      <c r="T1107" s="28"/>
      <c r="U1107" s="34" t="str">
        <f aca="false">IF(T1107="","",IFERROR(VLOOKUP(T1107,REPS!$A$2:$D$40,2,0),""))</f>
        <v/>
      </c>
      <c r="V1107" s="31" t="str">
        <f aca="false">IF(O1107="","",IF(U1107="",0,O1107*IF(U1107&gt;1,U1107/100,U1107)))</f>
        <v/>
      </c>
      <c r="W1107" s="28"/>
      <c r="X1107" s="34" t="str">
        <f aca="false">IF(W1107="","",IFERROR(VLOOKUP(W1107,REPS!$A$2:$D$40,3,0),""))</f>
        <v/>
      </c>
      <c r="Y1107" s="31" t="str">
        <f aca="false">IF(O1107="","",IF(X1107="",0,O1107*IF(X1107&gt;1,X1107/100,X1107)))</f>
        <v/>
      </c>
      <c r="Z1107" s="28"/>
      <c r="AA1107" s="34" t="str">
        <f aca="false">IF(Z1107="","",IFERROR(VLOOKUP(Z1107,REPS!$A$2:$D$40,4,0),""))</f>
        <v/>
      </c>
      <c r="AB1107" s="31" t="str">
        <f aca="false">IF(O1107="","",IF(AA1107="",0,O1107*IF(AA1107&gt;1,AA1107/100,AA1107)))</f>
        <v/>
      </c>
      <c r="AC1107" s="31" t="str">
        <f aca="false">IF(O1107="","",V1107+Y1107+AB1107)</f>
        <v/>
      </c>
      <c r="AD1107" s="19" t="str">
        <f aca="false">IF(O1107="","",O1107-R1107-AC1107)</f>
        <v/>
      </c>
      <c r="AE1107" s="20"/>
      <c r="AF1107" s="27"/>
      <c r="AG1107" s="21" t="n">
        <f aca="false">IF(OR(AE1107="",AE1107=0),0,AE1107*IF(U1107="",0,IF(U1107&gt;1,U1107/100,U1107)))</f>
        <v>0</v>
      </c>
      <c r="AH1107" s="21" t="n">
        <f aca="false">IF(OR(AE1107="",AE1107=0),0,AE1107*IF(X1107="",0,IF(X1107&gt;1,X1107/100,X1107)))</f>
        <v>0</v>
      </c>
      <c r="AI1107" s="21" t="n">
        <f aca="false">IF(OR(AE1107="",AE1107=0),0,AE1107*IF(AA1107="",0,IF(AA1107&gt;1,AA1107/100,AA1107)))</f>
        <v>0</v>
      </c>
      <c r="AJ1107" s="21" t="n">
        <f aca="false">AG1107+AH1107+AI1107</f>
        <v>0</v>
      </c>
      <c r="AK1107" s="21" t="n">
        <f aca="false">IF(OR(AE1107="",AE1107=0),0,AE1107-AJ1107)</f>
        <v>0</v>
      </c>
      <c r="AL1107" s="19" t="str">
        <f aca="false">IF(AD1107="","",AD1107-AK1107)</f>
        <v/>
      </c>
      <c r="AM1107" s="26" t="str">
        <f aca="false">IF(C1107="","","Waiting for payment")</f>
        <v/>
      </c>
      <c r="AN1107" s="27"/>
      <c r="AO1107" s="27"/>
      <c r="AP1107" s="35" t="str">
        <f aca="false">IF(OR(C1107="",I1107="",K1107=""),"",IF(K1107="Monthly",EDATE(C1107,ROUND(I1107*SETTINGS!$I$8,0)),WORKDAY(C1107,ROUND(I1107*SETTINGS!$I$8,0))))</f>
        <v/>
      </c>
      <c r="AQ1107" s="26" t="str">
        <f aca="true">IF(C1107="","",IF(AND(AP1107&lt;&gt;"",TODAY()&gt;=AP1107),"Refi Ready",IF(TODAY()-C1107&gt;=SETTINGS!$I$11,"Prospecting","Performing")))</f>
        <v/>
      </c>
      <c r="AR1107" s="35" t="str">
        <f aca="false">IF(OR(C1107="",I1107="",K1107=""),"",IF(K1107="Monthly",EDATE(C1107,I1107),WORKDAY(C1107,I1107)))</f>
        <v/>
      </c>
      <c r="AS1107" s="28"/>
      <c r="AT1107" s="36" t="str">
        <f aca="true">IF(C1107="","",IF(AM1107="Clawed Back","CLAWED",IF(TODAY()&lt;=C1107+SETTINGS!$I$2,"⚠ AT RISK","SAFE")))</f>
        <v/>
      </c>
      <c r="AU1107" s="28"/>
      <c r="AW1107" s="24" t="n">
        <f aca="false">AW1106+IF(AND(C1107&lt;&gt;"",AO1107&lt;&gt;"",OR('REP COMMISSION'!$B$3="",T1107='REP COMMISSION'!$B$3,W1107='REP COMMISSION'!$B$3,Z1107='REP COMMISSION'!$B$3)),1,0)</f>
        <v>0</v>
      </c>
      <c r="AX1107" s="24" t="n">
        <f aca="false">AX1106+IF(AND(C1107&lt;&gt;"",OR(F1107="LOC - INITIAL",F1107="CONSOLIDATION - UPFRONT COMM",F1107="REVERSE - TOTAL FUNDING")),1,0)</f>
        <v>0</v>
      </c>
    </row>
    <row r="1108" customFormat="false" ht="15" hidden="false" customHeight="false" outlineLevel="0" collapsed="false">
      <c r="A1108" s="8" t="str">
        <f aca="false">IF(C1108&lt;&gt;"","F27-"&amp;COUNT($C$4:C1108),"")</f>
        <v/>
      </c>
      <c r="B1108" s="9" t="str">
        <f aca="false">IF(OR(F1108="LOC - INITIAL",F1108="CONSOLIDATION - UPFRONT COMM",F1108="REVERSE - TOTAL FUNDING"),A1108,"")</f>
        <v/>
      </c>
      <c r="C1108" s="10"/>
      <c r="D1108" s="11"/>
      <c r="E1108" s="11"/>
      <c r="F1108" s="11"/>
      <c r="G1108" s="12"/>
      <c r="H1108" s="13"/>
      <c r="I1108" s="11"/>
      <c r="J1108" s="14" t="str">
        <f aca="false">IF(AND(G1108&lt;&gt;"",H1108&lt;&gt;""),G1108*H1108,"")</f>
        <v/>
      </c>
      <c r="K1108" s="11"/>
      <c r="L1108" s="15"/>
      <c r="M1108" s="15"/>
      <c r="N1108" s="14" t="n">
        <f aca="false">IF(OR(G1108="",M1108=""),0,IF(M1108&gt;100,M1108,G1108*IF(M1108&gt;1,M1108/100,M1108)))</f>
        <v>0</v>
      </c>
      <c r="O1108" s="14" t="str">
        <f aca="false">IF(G1108="","",G1108*IF(L1108="",0,IF(L1108&gt;1,L1108/100,L1108))+N1108)</f>
        <v/>
      </c>
      <c r="P1108" s="11"/>
      <c r="Q1108" s="16" t="str">
        <f aca="false">IF(P1108="","",IFERROR(VLOOKUP(P1108,PARTNERS!$A$2:$B$30,2,0),""))</f>
        <v/>
      </c>
      <c r="R1108" s="17" t="str">
        <f aca="false">IF(O1108="","",IF(OR(P1108="",Q1108=""),0,(O1108-N1108)*IF(Q1108&gt;1,Q1108/100,Q1108)))</f>
        <v/>
      </c>
      <c r="S1108" s="14" t="str">
        <f aca="false">IF(O1108="","",O1108-R1108)</f>
        <v/>
      </c>
      <c r="T1108" s="11"/>
      <c r="U1108" s="18" t="str">
        <f aca="false">IF(T1108="","",IFERROR(VLOOKUP(T1108,REPS!$A$2:$D$40,2,0),""))</f>
        <v/>
      </c>
      <c r="V1108" s="14" t="str">
        <f aca="false">IF(O1108="","",IF(U1108="",0,O1108*IF(U1108&gt;1,U1108/100,U1108)))</f>
        <v/>
      </c>
      <c r="W1108" s="11"/>
      <c r="X1108" s="18" t="str">
        <f aca="false">IF(W1108="","",IFERROR(VLOOKUP(W1108,REPS!$A$2:$D$40,3,0),""))</f>
        <v/>
      </c>
      <c r="Y1108" s="14" t="str">
        <f aca="false">IF(O1108="","",IF(X1108="",0,O1108*IF(X1108&gt;1,X1108/100,X1108)))</f>
        <v/>
      </c>
      <c r="Z1108" s="11"/>
      <c r="AA1108" s="18" t="str">
        <f aca="false">IF(Z1108="","",IFERROR(VLOOKUP(Z1108,REPS!$A$2:$D$40,4,0),""))</f>
        <v/>
      </c>
      <c r="AB1108" s="14" t="str">
        <f aca="false">IF(O1108="","",IF(AA1108="",0,O1108*IF(AA1108&gt;1,AA1108/100,AA1108)))</f>
        <v/>
      </c>
      <c r="AC1108" s="14" t="str">
        <f aca="false">IF(O1108="","",V1108+Y1108+AB1108)</f>
        <v/>
      </c>
      <c r="AD1108" s="19" t="str">
        <f aca="false">IF(O1108="","",O1108-R1108-AC1108)</f>
        <v/>
      </c>
      <c r="AE1108" s="20"/>
      <c r="AF1108" s="10"/>
      <c r="AG1108" s="21" t="n">
        <f aca="false">IF(OR(AE1108="",AE1108=0),0,AE1108*IF(U1108="",0,IF(U1108&gt;1,U1108/100,U1108)))</f>
        <v>0</v>
      </c>
      <c r="AH1108" s="21" t="n">
        <f aca="false">IF(OR(AE1108="",AE1108=0),0,AE1108*IF(X1108="",0,IF(X1108&gt;1,X1108/100,X1108)))</f>
        <v>0</v>
      </c>
      <c r="AI1108" s="21" t="n">
        <f aca="false">IF(OR(AE1108="",AE1108=0),0,AE1108*IF(AA1108="",0,IF(AA1108&gt;1,AA1108/100,AA1108)))</f>
        <v>0</v>
      </c>
      <c r="AJ1108" s="21" t="n">
        <f aca="false">AG1108+AH1108+AI1108</f>
        <v>0</v>
      </c>
      <c r="AK1108" s="21" t="n">
        <f aca="false">IF(OR(AE1108="",AE1108=0),0,AE1108-AJ1108)</f>
        <v>0</v>
      </c>
      <c r="AL1108" s="19" t="str">
        <f aca="false">IF(AD1108="","",AD1108-AK1108)</f>
        <v/>
      </c>
      <c r="AM1108" s="9" t="str">
        <f aca="false">IF(C1108="","","Waiting for payment")</f>
        <v/>
      </c>
      <c r="AN1108" s="10"/>
      <c r="AO1108" s="10"/>
      <c r="AP1108" s="22" t="str">
        <f aca="false">IF(OR(C1108="",I1108="",K1108=""),"",IF(K1108="Monthly",EDATE(C1108,ROUND(I1108*SETTINGS!$I$8,0)),WORKDAY(C1108,ROUND(I1108*SETTINGS!$I$8,0))))</f>
        <v/>
      </c>
      <c r="AQ1108" s="9" t="str">
        <f aca="true">IF(C1108="","",IF(AND(AP1108&lt;&gt;"",TODAY()&gt;=AP1108),"Refi Ready",IF(TODAY()-C1108&gt;=SETTINGS!$I$11,"Prospecting","Performing")))</f>
        <v/>
      </c>
      <c r="AR1108" s="22" t="str">
        <f aca="false">IF(OR(C1108="",I1108="",K1108=""),"",IF(K1108="Monthly",EDATE(C1108,I1108),WORKDAY(C1108,I1108)))</f>
        <v/>
      </c>
      <c r="AS1108" s="11"/>
      <c r="AT1108" s="23" t="str">
        <f aca="true">IF(C1108="","",IF(AM1108="Clawed Back","CLAWED",IF(TODAY()&lt;=C1108+SETTINGS!$I$2,"⚠ AT RISK","SAFE")))</f>
        <v/>
      </c>
      <c r="AU1108" s="11"/>
      <c r="AW1108" s="24" t="n">
        <f aca="false">AW1107+IF(AND(C1108&lt;&gt;"",AO1108&lt;&gt;"",OR('REP COMMISSION'!$B$3="",T1108='REP COMMISSION'!$B$3,W1108='REP COMMISSION'!$B$3,Z1108='REP COMMISSION'!$B$3)),1,0)</f>
        <v>0</v>
      </c>
      <c r="AX1108" s="24" t="n">
        <f aca="false">AX1107+IF(AND(C1108&lt;&gt;"",OR(F1108="LOC - INITIAL",F1108="CONSOLIDATION - UPFRONT COMM",F1108="REVERSE - TOTAL FUNDING")),1,0)</f>
        <v>0</v>
      </c>
    </row>
    <row r="1109" customFormat="false" ht="15" hidden="false" customHeight="false" outlineLevel="0" collapsed="false">
      <c r="A1109" s="25" t="str">
        <f aca="false">IF(C1109&lt;&gt;"","F27-"&amp;COUNT($C$4:C1109),"")</f>
        <v/>
      </c>
      <c r="B1109" s="26" t="str">
        <f aca="false">IF(OR(F1109="LOC - INITIAL",F1109="CONSOLIDATION - UPFRONT COMM",F1109="REVERSE - TOTAL FUNDING"),A1109,"")</f>
        <v/>
      </c>
      <c r="C1109" s="27"/>
      <c r="D1109" s="28"/>
      <c r="E1109" s="28"/>
      <c r="F1109" s="28"/>
      <c r="G1109" s="29"/>
      <c r="H1109" s="30"/>
      <c r="I1109" s="28"/>
      <c r="J1109" s="31" t="str">
        <f aca="false">IF(AND(G1109&lt;&gt;"",H1109&lt;&gt;""),G1109*H1109,"")</f>
        <v/>
      </c>
      <c r="K1109" s="28"/>
      <c r="L1109" s="32"/>
      <c r="M1109" s="32"/>
      <c r="N1109" s="31" t="n">
        <f aca="false">IF(OR(G1109="",M1109=""),0,IF(M1109&gt;100,M1109,G1109*IF(M1109&gt;1,M1109/100,M1109)))</f>
        <v>0</v>
      </c>
      <c r="O1109" s="31" t="str">
        <f aca="false">IF(G1109="","",G1109*IF(L1109="",0,IF(L1109&gt;1,L1109/100,L1109))+N1109)</f>
        <v/>
      </c>
      <c r="P1109" s="28"/>
      <c r="Q1109" s="33" t="str">
        <f aca="false">IF(P1109="","",IFERROR(VLOOKUP(P1109,PARTNERS!$A$2:$B$30,2,0),""))</f>
        <v/>
      </c>
      <c r="R1109" s="17" t="str">
        <f aca="false">IF(O1109="","",IF(OR(P1109="",Q1109=""),0,(O1109-N1109)*IF(Q1109&gt;1,Q1109/100,Q1109)))</f>
        <v/>
      </c>
      <c r="S1109" s="31" t="str">
        <f aca="false">IF(O1109="","",O1109-R1109)</f>
        <v/>
      </c>
      <c r="T1109" s="28"/>
      <c r="U1109" s="34" t="str">
        <f aca="false">IF(T1109="","",IFERROR(VLOOKUP(T1109,REPS!$A$2:$D$40,2,0),""))</f>
        <v/>
      </c>
      <c r="V1109" s="31" t="str">
        <f aca="false">IF(O1109="","",IF(U1109="",0,O1109*IF(U1109&gt;1,U1109/100,U1109)))</f>
        <v/>
      </c>
      <c r="W1109" s="28"/>
      <c r="X1109" s="34" t="str">
        <f aca="false">IF(W1109="","",IFERROR(VLOOKUP(W1109,REPS!$A$2:$D$40,3,0),""))</f>
        <v/>
      </c>
      <c r="Y1109" s="31" t="str">
        <f aca="false">IF(O1109="","",IF(X1109="",0,O1109*IF(X1109&gt;1,X1109/100,X1109)))</f>
        <v/>
      </c>
      <c r="Z1109" s="28"/>
      <c r="AA1109" s="34" t="str">
        <f aca="false">IF(Z1109="","",IFERROR(VLOOKUP(Z1109,REPS!$A$2:$D$40,4,0),""))</f>
        <v/>
      </c>
      <c r="AB1109" s="31" t="str">
        <f aca="false">IF(O1109="","",IF(AA1109="",0,O1109*IF(AA1109&gt;1,AA1109/100,AA1109)))</f>
        <v/>
      </c>
      <c r="AC1109" s="31" t="str">
        <f aca="false">IF(O1109="","",V1109+Y1109+AB1109)</f>
        <v/>
      </c>
      <c r="AD1109" s="19" t="str">
        <f aca="false">IF(O1109="","",O1109-R1109-AC1109)</f>
        <v/>
      </c>
      <c r="AE1109" s="20"/>
      <c r="AF1109" s="27"/>
      <c r="AG1109" s="21" t="n">
        <f aca="false">IF(OR(AE1109="",AE1109=0),0,AE1109*IF(U1109="",0,IF(U1109&gt;1,U1109/100,U1109)))</f>
        <v>0</v>
      </c>
      <c r="AH1109" s="21" t="n">
        <f aca="false">IF(OR(AE1109="",AE1109=0),0,AE1109*IF(X1109="",0,IF(X1109&gt;1,X1109/100,X1109)))</f>
        <v>0</v>
      </c>
      <c r="AI1109" s="21" t="n">
        <f aca="false">IF(OR(AE1109="",AE1109=0),0,AE1109*IF(AA1109="",0,IF(AA1109&gt;1,AA1109/100,AA1109)))</f>
        <v>0</v>
      </c>
      <c r="AJ1109" s="21" t="n">
        <f aca="false">AG1109+AH1109+AI1109</f>
        <v>0</v>
      </c>
      <c r="AK1109" s="21" t="n">
        <f aca="false">IF(OR(AE1109="",AE1109=0),0,AE1109-AJ1109)</f>
        <v>0</v>
      </c>
      <c r="AL1109" s="19" t="str">
        <f aca="false">IF(AD1109="","",AD1109-AK1109)</f>
        <v/>
      </c>
      <c r="AM1109" s="26" t="str">
        <f aca="false">IF(C1109="","","Waiting for payment")</f>
        <v/>
      </c>
      <c r="AN1109" s="27"/>
      <c r="AO1109" s="27"/>
      <c r="AP1109" s="35" t="str">
        <f aca="false">IF(OR(C1109="",I1109="",K1109=""),"",IF(K1109="Monthly",EDATE(C1109,ROUND(I1109*SETTINGS!$I$8,0)),WORKDAY(C1109,ROUND(I1109*SETTINGS!$I$8,0))))</f>
        <v/>
      </c>
      <c r="AQ1109" s="26" t="str">
        <f aca="true">IF(C1109="","",IF(AND(AP1109&lt;&gt;"",TODAY()&gt;=AP1109),"Refi Ready",IF(TODAY()-C1109&gt;=SETTINGS!$I$11,"Prospecting","Performing")))</f>
        <v/>
      </c>
      <c r="AR1109" s="35" t="str">
        <f aca="false">IF(OR(C1109="",I1109="",K1109=""),"",IF(K1109="Monthly",EDATE(C1109,I1109),WORKDAY(C1109,I1109)))</f>
        <v/>
      </c>
      <c r="AS1109" s="28"/>
      <c r="AT1109" s="36" t="str">
        <f aca="true">IF(C1109="","",IF(AM1109="Clawed Back","CLAWED",IF(TODAY()&lt;=C1109+SETTINGS!$I$2,"⚠ AT RISK","SAFE")))</f>
        <v/>
      </c>
      <c r="AU1109" s="28"/>
      <c r="AW1109" s="24" t="n">
        <f aca="false">AW1108+IF(AND(C1109&lt;&gt;"",AO1109&lt;&gt;"",OR('REP COMMISSION'!$B$3="",T1109='REP COMMISSION'!$B$3,W1109='REP COMMISSION'!$B$3,Z1109='REP COMMISSION'!$B$3)),1,0)</f>
        <v>0</v>
      </c>
      <c r="AX1109" s="24" t="n">
        <f aca="false">AX1108+IF(AND(C1109&lt;&gt;"",OR(F1109="LOC - INITIAL",F1109="CONSOLIDATION - UPFRONT COMM",F1109="REVERSE - TOTAL FUNDING")),1,0)</f>
        <v>0</v>
      </c>
    </row>
    <row r="1110" customFormat="false" ht="15" hidden="false" customHeight="false" outlineLevel="0" collapsed="false">
      <c r="A1110" s="8" t="str">
        <f aca="false">IF(C1110&lt;&gt;"","F27-"&amp;COUNT($C$4:C1110),"")</f>
        <v/>
      </c>
      <c r="B1110" s="9" t="str">
        <f aca="false">IF(OR(F1110="LOC - INITIAL",F1110="CONSOLIDATION - UPFRONT COMM",F1110="REVERSE - TOTAL FUNDING"),A1110,"")</f>
        <v/>
      </c>
      <c r="C1110" s="10"/>
      <c r="D1110" s="11"/>
      <c r="E1110" s="11"/>
      <c r="F1110" s="11"/>
      <c r="G1110" s="12"/>
      <c r="H1110" s="13"/>
      <c r="I1110" s="11"/>
      <c r="J1110" s="14" t="str">
        <f aca="false">IF(AND(G1110&lt;&gt;"",H1110&lt;&gt;""),G1110*H1110,"")</f>
        <v/>
      </c>
      <c r="K1110" s="11"/>
      <c r="L1110" s="15"/>
      <c r="M1110" s="15"/>
      <c r="N1110" s="14" t="n">
        <f aca="false">IF(OR(G1110="",M1110=""),0,IF(M1110&gt;100,M1110,G1110*IF(M1110&gt;1,M1110/100,M1110)))</f>
        <v>0</v>
      </c>
      <c r="O1110" s="14" t="str">
        <f aca="false">IF(G1110="","",G1110*IF(L1110="",0,IF(L1110&gt;1,L1110/100,L1110))+N1110)</f>
        <v/>
      </c>
      <c r="P1110" s="11"/>
      <c r="Q1110" s="16" t="str">
        <f aca="false">IF(P1110="","",IFERROR(VLOOKUP(P1110,PARTNERS!$A$2:$B$30,2,0),""))</f>
        <v/>
      </c>
      <c r="R1110" s="17" t="str">
        <f aca="false">IF(O1110="","",IF(OR(P1110="",Q1110=""),0,(O1110-N1110)*IF(Q1110&gt;1,Q1110/100,Q1110)))</f>
        <v/>
      </c>
      <c r="S1110" s="14" t="str">
        <f aca="false">IF(O1110="","",O1110-R1110)</f>
        <v/>
      </c>
      <c r="T1110" s="11"/>
      <c r="U1110" s="18" t="str">
        <f aca="false">IF(T1110="","",IFERROR(VLOOKUP(T1110,REPS!$A$2:$D$40,2,0),""))</f>
        <v/>
      </c>
      <c r="V1110" s="14" t="str">
        <f aca="false">IF(O1110="","",IF(U1110="",0,O1110*IF(U1110&gt;1,U1110/100,U1110)))</f>
        <v/>
      </c>
      <c r="W1110" s="11"/>
      <c r="X1110" s="18" t="str">
        <f aca="false">IF(W1110="","",IFERROR(VLOOKUP(W1110,REPS!$A$2:$D$40,3,0),""))</f>
        <v/>
      </c>
      <c r="Y1110" s="14" t="str">
        <f aca="false">IF(O1110="","",IF(X1110="",0,O1110*IF(X1110&gt;1,X1110/100,X1110)))</f>
        <v/>
      </c>
      <c r="Z1110" s="11"/>
      <c r="AA1110" s="18" t="str">
        <f aca="false">IF(Z1110="","",IFERROR(VLOOKUP(Z1110,REPS!$A$2:$D$40,4,0),""))</f>
        <v/>
      </c>
      <c r="AB1110" s="14" t="str">
        <f aca="false">IF(O1110="","",IF(AA1110="",0,O1110*IF(AA1110&gt;1,AA1110/100,AA1110)))</f>
        <v/>
      </c>
      <c r="AC1110" s="14" t="str">
        <f aca="false">IF(O1110="","",V1110+Y1110+AB1110)</f>
        <v/>
      </c>
      <c r="AD1110" s="19" t="str">
        <f aca="false">IF(O1110="","",O1110-R1110-AC1110)</f>
        <v/>
      </c>
      <c r="AE1110" s="20"/>
      <c r="AF1110" s="10"/>
      <c r="AG1110" s="21" t="n">
        <f aca="false">IF(OR(AE1110="",AE1110=0),0,AE1110*IF(U1110="",0,IF(U1110&gt;1,U1110/100,U1110)))</f>
        <v>0</v>
      </c>
      <c r="AH1110" s="21" t="n">
        <f aca="false">IF(OR(AE1110="",AE1110=0),0,AE1110*IF(X1110="",0,IF(X1110&gt;1,X1110/100,X1110)))</f>
        <v>0</v>
      </c>
      <c r="AI1110" s="21" t="n">
        <f aca="false">IF(OR(AE1110="",AE1110=0),0,AE1110*IF(AA1110="",0,IF(AA1110&gt;1,AA1110/100,AA1110)))</f>
        <v>0</v>
      </c>
      <c r="AJ1110" s="21" t="n">
        <f aca="false">AG1110+AH1110+AI1110</f>
        <v>0</v>
      </c>
      <c r="AK1110" s="21" t="n">
        <f aca="false">IF(OR(AE1110="",AE1110=0),0,AE1110-AJ1110)</f>
        <v>0</v>
      </c>
      <c r="AL1110" s="19" t="str">
        <f aca="false">IF(AD1110="","",AD1110-AK1110)</f>
        <v/>
      </c>
      <c r="AM1110" s="9" t="str">
        <f aca="false">IF(C1110="","","Waiting for payment")</f>
        <v/>
      </c>
      <c r="AN1110" s="10"/>
      <c r="AO1110" s="10"/>
      <c r="AP1110" s="22" t="str">
        <f aca="false">IF(OR(C1110="",I1110="",K1110=""),"",IF(K1110="Monthly",EDATE(C1110,ROUND(I1110*SETTINGS!$I$8,0)),WORKDAY(C1110,ROUND(I1110*SETTINGS!$I$8,0))))</f>
        <v/>
      </c>
      <c r="AQ1110" s="9" t="str">
        <f aca="true">IF(C1110="","",IF(AND(AP1110&lt;&gt;"",TODAY()&gt;=AP1110),"Refi Ready",IF(TODAY()-C1110&gt;=SETTINGS!$I$11,"Prospecting","Performing")))</f>
        <v/>
      </c>
      <c r="AR1110" s="22" t="str">
        <f aca="false">IF(OR(C1110="",I1110="",K1110=""),"",IF(K1110="Monthly",EDATE(C1110,I1110),WORKDAY(C1110,I1110)))</f>
        <v/>
      </c>
      <c r="AS1110" s="11"/>
      <c r="AT1110" s="23" t="str">
        <f aca="true">IF(C1110="","",IF(AM1110="Clawed Back","CLAWED",IF(TODAY()&lt;=C1110+SETTINGS!$I$2,"⚠ AT RISK","SAFE")))</f>
        <v/>
      </c>
      <c r="AU1110" s="11"/>
      <c r="AW1110" s="24" t="n">
        <f aca="false">AW1109+IF(AND(C1110&lt;&gt;"",AO1110&lt;&gt;"",OR('REP COMMISSION'!$B$3="",T1110='REP COMMISSION'!$B$3,W1110='REP COMMISSION'!$B$3,Z1110='REP COMMISSION'!$B$3)),1,0)</f>
        <v>0</v>
      </c>
      <c r="AX1110" s="24" t="n">
        <f aca="false">AX1109+IF(AND(C1110&lt;&gt;"",OR(F1110="LOC - INITIAL",F1110="CONSOLIDATION - UPFRONT COMM",F1110="REVERSE - TOTAL FUNDING")),1,0)</f>
        <v>0</v>
      </c>
    </row>
    <row r="1111" customFormat="false" ht="15" hidden="false" customHeight="false" outlineLevel="0" collapsed="false">
      <c r="A1111" s="25" t="str">
        <f aca="false">IF(C1111&lt;&gt;"","F27-"&amp;COUNT($C$4:C1111),"")</f>
        <v/>
      </c>
      <c r="B1111" s="26" t="str">
        <f aca="false">IF(OR(F1111="LOC - INITIAL",F1111="CONSOLIDATION - UPFRONT COMM",F1111="REVERSE - TOTAL FUNDING"),A1111,"")</f>
        <v/>
      </c>
      <c r="C1111" s="27"/>
      <c r="D1111" s="28"/>
      <c r="E1111" s="28"/>
      <c r="F1111" s="28"/>
      <c r="G1111" s="29"/>
      <c r="H1111" s="30"/>
      <c r="I1111" s="28"/>
      <c r="J1111" s="31" t="str">
        <f aca="false">IF(AND(G1111&lt;&gt;"",H1111&lt;&gt;""),G1111*H1111,"")</f>
        <v/>
      </c>
      <c r="K1111" s="28"/>
      <c r="L1111" s="32"/>
      <c r="M1111" s="32"/>
      <c r="N1111" s="31" t="n">
        <f aca="false">IF(OR(G1111="",M1111=""),0,IF(M1111&gt;100,M1111,G1111*IF(M1111&gt;1,M1111/100,M1111)))</f>
        <v>0</v>
      </c>
      <c r="O1111" s="31" t="str">
        <f aca="false">IF(G1111="","",G1111*IF(L1111="",0,IF(L1111&gt;1,L1111/100,L1111))+N1111)</f>
        <v/>
      </c>
      <c r="P1111" s="28"/>
      <c r="Q1111" s="33" t="str">
        <f aca="false">IF(P1111="","",IFERROR(VLOOKUP(P1111,PARTNERS!$A$2:$B$30,2,0),""))</f>
        <v/>
      </c>
      <c r="R1111" s="17" t="str">
        <f aca="false">IF(O1111="","",IF(OR(P1111="",Q1111=""),0,(O1111-N1111)*IF(Q1111&gt;1,Q1111/100,Q1111)))</f>
        <v/>
      </c>
      <c r="S1111" s="31" t="str">
        <f aca="false">IF(O1111="","",O1111-R1111)</f>
        <v/>
      </c>
      <c r="T1111" s="28"/>
      <c r="U1111" s="34" t="str">
        <f aca="false">IF(T1111="","",IFERROR(VLOOKUP(T1111,REPS!$A$2:$D$40,2,0),""))</f>
        <v/>
      </c>
      <c r="V1111" s="31" t="str">
        <f aca="false">IF(O1111="","",IF(U1111="",0,O1111*IF(U1111&gt;1,U1111/100,U1111)))</f>
        <v/>
      </c>
      <c r="W1111" s="28"/>
      <c r="X1111" s="34" t="str">
        <f aca="false">IF(W1111="","",IFERROR(VLOOKUP(W1111,REPS!$A$2:$D$40,3,0),""))</f>
        <v/>
      </c>
      <c r="Y1111" s="31" t="str">
        <f aca="false">IF(O1111="","",IF(X1111="",0,O1111*IF(X1111&gt;1,X1111/100,X1111)))</f>
        <v/>
      </c>
      <c r="Z1111" s="28"/>
      <c r="AA1111" s="34" t="str">
        <f aca="false">IF(Z1111="","",IFERROR(VLOOKUP(Z1111,REPS!$A$2:$D$40,4,0),""))</f>
        <v/>
      </c>
      <c r="AB1111" s="31" t="str">
        <f aca="false">IF(O1111="","",IF(AA1111="",0,O1111*IF(AA1111&gt;1,AA1111/100,AA1111)))</f>
        <v/>
      </c>
      <c r="AC1111" s="31" t="str">
        <f aca="false">IF(O1111="","",V1111+Y1111+AB1111)</f>
        <v/>
      </c>
      <c r="AD1111" s="19" t="str">
        <f aca="false">IF(O1111="","",O1111-R1111-AC1111)</f>
        <v/>
      </c>
      <c r="AE1111" s="20"/>
      <c r="AF1111" s="27"/>
      <c r="AG1111" s="21" t="n">
        <f aca="false">IF(OR(AE1111="",AE1111=0),0,AE1111*IF(U1111="",0,IF(U1111&gt;1,U1111/100,U1111)))</f>
        <v>0</v>
      </c>
      <c r="AH1111" s="21" t="n">
        <f aca="false">IF(OR(AE1111="",AE1111=0),0,AE1111*IF(X1111="",0,IF(X1111&gt;1,X1111/100,X1111)))</f>
        <v>0</v>
      </c>
      <c r="AI1111" s="21" t="n">
        <f aca="false">IF(OR(AE1111="",AE1111=0),0,AE1111*IF(AA1111="",0,IF(AA1111&gt;1,AA1111/100,AA1111)))</f>
        <v>0</v>
      </c>
      <c r="AJ1111" s="21" t="n">
        <f aca="false">AG1111+AH1111+AI1111</f>
        <v>0</v>
      </c>
      <c r="AK1111" s="21" t="n">
        <f aca="false">IF(OR(AE1111="",AE1111=0),0,AE1111-AJ1111)</f>
        <v>0</v>
      </c>
      <c r="AL1111" s="19" t="str">
        <f aca="false">IF(AD1111="","",AD1111-AK1111)</f>
        <v/>
      </c>
      <c r="AM1111" s="26" t="str">
        <f aca="false">IF(C1111="","","Waiting for payment")</f>
        <v/>
      </c>
      <c r="AN1111" s="27"/>
      <c r="AO1111" s="27"/>
      <c r="AP1111" s="35" t="str">
        <f aca="false">IF(OR(C1111="",I1111="",K1111=""),"",IF(K1111="Monthly",EDATE(C1111,ROUND(I1111*SETTINGS!$I$8,0)),WORKDAY(C1111,ROUND(I1111*SETTINGS!$I$8,0))))</f>
        <v/>
      </c>
      <c r="AQ1111" s="26" t="str">
        <f aca="true">IF(C1111="","",IF(AND(AP1111&lt;&gt;"",TODAY()&gt;=AP1111),"Refi Ready",IF(TODAY()-C1111&gt;=SETTINGS!$I$11,"Prospecting","Performing")))</f>
        <v/>
      </c>
      <c r="AR1111" s="35" t="str">
        <f aca="false">IF(OR(C1111="",I1111="",K1111=""),"",IF(K1111="Monthly",EDATE(C1111,I1111),WORKDAY(C1111,I1111)))</f>
        <v/>
      </c>
      <c r="AS1111" s="28"/>
      <c r="AT1111" s="36" t="str">
        <f aca="true">IF(C1111="","",IF(AM1111="Clawed Back","CLAWED",IF(TODAY()&lt;=C1111+SETTINGS!$I$2,"⚠ AT RISK","SAFE")))</f>
        <v/>
      </c>
      <c r="AU1111" s="28"/>
      <c r="AW1111" s="24" t="n">
        <f aca="false">AW1110+IF(AND(C1111&lt;&gt;"",AO1111&lt;&gt;"",OR('REP COMMISSION'!$B$3="",T1111='REP COMMISSION'!$B$3,W1111='REP COMMISSION'!$B$3,Z1111='REP COMMISSION'!$B$3)),1,0)</f>
        <v>0</v>
      </c>
      <c r="AX1111" s="24" t="n">
        <f aca="false">AX1110+IF(AND(C1111&lt;&gt;"",OR(F1111="LOC - INITIAL",F1111="CONSOLIDATION - UPFRONT COMM",F1111="REVERSE - TOTAL FUNDING")),1,0)</f>
        <v>0</v>
      </c>
    </row>
    <row r="1112" customFormat="false" ht="15" hidden="false" customHeight="false" outlineLevel="0" collapsed="false">
      <c r="A1112" s="8" t="str">
        <f aca="false">IF(C1112&lt;&gt;"","F27-"&amp;COUNT($C$4:C1112),"")</f>
        <v/>
      </c>
      <c r="B1112" s="9" t="str">
        <f aca="false">IF(OR(F1112="LOC - INITIAL",F1112="CONSOLIDATION - UPFRONT COMM",F1112="REVERSE - TOTAL FUNDING"),A1112,"")</f>
        <v/>
      </c>
      <c r="C1112" s="10"/>
      <c r="D1112" s="11"/>
      <c r="E1112" s="11"/>
      <c r="F1112" s="11"/>
      <c r="G1112" s="12"/>
      <c r="H1112" s="13"/>
      <c r="I1112" s="11"/>
      <c r="J1112" s="14" t="str">
        <f aca="false">IF(AND(G1112&lt;&gt;"",H1112&lt;&gt;""),G1112*H1112,"")</f>
        <v/>
      </c>
      <c r="K1112" s="11"/>
      <c r="L1112" s="15"/>
      <c r="M1112" s="15"/>
      <c r="N1112" s="14" t="n">
        <f aca="false">IF(OR(G1112="",M1112=""),0,IF(M1112&gt;100,M1112,G1112*IF(M1112&gt;1,M1112/100,M1112)))</f>
        <v>0</v>
      </c>
      <c r="O1112" s="14" t="str">
        <f aca="false">IF(G1112="","",G1112*IF(L1112="",0,IF(L1112&gt;1,L1112/100,L1112))+N1112)</f>
        <v/>
      </c>
      <c r="P1112" s="11"/>
      <c r="Q1112" s="16" t="str">
        <f aca="false">IF(P1112="","",IFERROR(VLOOKUP(P1112,PARTNERS!$A$2:$B$30,2,0),""))</f>
        <v/>
      </c>
      <c r="R1112" s="17" t="str">
        <f aca="false">IF(O1112="","",IF(OR(P1112="",Q1112=""),0,(O1112-N1112)*IF(Q1112&gt;1,Q1112/100,Q1112)))</f>
        <v/>
      </c>
      <c r="S1112" s="14" t="str">
        <f aca="false">IF(O1112="","",O1112-R1112)</f>
        <v/>
      </c>
      <c r="T1112" s="11"/>
      <c r="U1112" s="18" t="str">
        <f aca="false">IF(T1112="","",IFERROR(VLOOKUP(T1112,REPS!$A$2:$D$40,2,0),""))</f>
        <v/>
      </c>
      <c r="V1112" s="14" t="str">
        <f aca="false">IF(O1112="","",IF(U1112="",0,O1112*IF(U1112&gt;1,U1112/100,U1112)))</f>
        <v/>
      </c>
      <c r="W1112" s="11"/>
      <c r="X1112" s="18" t="str">
        <f aca="false">IF(W1112="","",IFERROR(VLOOKUP(W1112,REPS!$A$2:$D$40,3,0),""))</f>
        <v/>
      </c>
      <c r="Y1112" s="14" t="str">
        <f aca="false">IF(O1112="","",IF(X1112="",0,O1112*IF(X1112&gt;1,X1112/100,X1112)))</f>
        <v/>
      </c>
      <c r="Z1112" s="11"/>
      <c r="AA1112" s="18" t="str">
        <f aca="false">IF(Z1112="","",IFERROR(VLOOKUP(Z1112,REPS!$A$2:$D$40,4,0),""))</f>
        <v/>
      </c>
      <c r="AB1112" s="14" t="str">
        <f aca="false">IF(O1112="","",IF(AA1112="",0,O1112*IF(AA1112&gt;1,AA1112/100,AA1112)))</f>
        <v/>
      </c>
      <c r="AC1112" s="14" t="str">
        <f aca="false">IF(O1112="","",V1112+Y1112+AB1112)</f>
        <v/>
      </c>
      <c r="AD1112" s="19" t="str">
        <f aca="false">IF(O1112="","",O1112-R1112-AC1112)</f>
        <v/>
      </c>
      <c r="AE1112" s="20"/>
      <c r="AF1112" s="10"/>
      <c r="AG1112" s="21" t="n">
        <f aca="false">IF(OR(AE1112="",AE1112=0),0,AE1112*IF(U1112="",0,IF(U1112&gt;1,U1112/100,U1112)))</f>
        <v>0</v>
      </c>
      <c r="AH1112" s="21" t="n">
        <f aca="false">IF(OR(AE1112="",AE1112=0),0,AE1112*IF(X1112="",0,IF(X1112&gt;1,X1112/100,X1112)))</f>
        <v>0</v>
      </c>
      <c r="AI1112" s="21" t="n">
        <f aca="false">IF(OR(AE1112="",AE1112=0),0,AE1112*IF(AA1112="",0,IF(AA1112&gt;1,AA1112/100,AA1112)))</f>
        <v>0</v>
      </c>
      <c r="AJ1112" s="21" t="n">
        <f aca="false">AG1112+AH1112+AI1112</f>
        <v>0</v>
      </c>
      <c r="AK1112" s="21" t="n">
        <f aca="false">IF(OR(AE1112="",AE1112=0),0,AE1112-AJ1112)</f>
        <v>0</v>
      </c>
      <c r="AL1112" s="19" t="str">
        <f aca="false">IF(AD1112="","",AD1112-AK1112)</f>
        <v/>
      </c>
      <c r="AM1112" s="9" t="str">
        <f aca="false">IF(C1112="","","Waiting for payment")</f>
        <v/>
      </c>
      <c r="AN1112" s="10"/>
      <c r="AO1112" s="10"/>
      <c r="AP1112" s="22" t="str">
        <f aca="false">IF(OR(C1112="",I1112="",K1112=""),"",IF(K1112="Monthly",EDATE(C1112,ROUND(I1112*SETTINGS!$I$8,0)),WORKDAY(C1112,ROUND(I1112*SETTINGS!$I$8,0))))</f>
        <v/>
      </c>
      <c r="AQ1112" s="9" t="str">
        <f aca="true">IF(C1112="","",IF(AND(AP1112&lt;&gt;"",TODAY()&gt;=AP1112),"Refi Ready",IF(TODAY()-C1112&gt;=SETTINGS!$I$11,"Prospecting","Performing")))</f>
        <v/>
      </c>
      <c r="AR1112" s="22" t="str">
        <f aca="false">IF(OR(C1112="",I1112="",K1112=""),"",IF(K1112="Monthly",EDATE(C1112,I1112),WORKDAY(C1112,I1112)))</f>
        <v/>
      </c>
      <c r="AS1112" s="11"/>
      <c r="AT1112" s="23" t="str">
        <f aca="true">IF(C1112="","",IF(AM1112="Clawed Back","CLAWED",IF(TODAY()&lt;=C1112+SETTINGS!$I$2,"⚠ AT RISK","SAFE")))</f>
        <v/>
      </c>
      <c r="AU1112" s="11"/>
      <c r="AW1112" s="24" t="n">
        <f aca="false">AW1111+IF(AND(C1112&lt;&gt;"",AO1112&lt;&gt;"",OR('REP COMMISSION'!$B$3="",T1112='REP COMMISSION'!$B$3,W1112='REP COMMISSION'!$B$3,Z1112='REP COMMISSION'!$B$3)),1,0)</f>
        <v>0</v>
      </c>
      <c r="AX1112" s="24" t="n">
        <f aca="false">AX1111+IF(AND(C1112&lt;&gt;"",OR(F1112="LOC - INITIAL",F1112="CONSOLIDATION - UPFRONT COMM",F1112="REVERSE - TOTAL FUNDING")),1,0)</f>
        <v>0</v>
      </c>
    </row>
    <row r="1113" customFormat="false" ht="15" hidden="false" customHeight="false" outlineLevel="0" collapsed="false">
      <c r="A1113" s="25" t="str">
        <f aca="false">IF(C1113&lt;&gt;"","F27-"&amp;COUNT($C$4:C1113),"")</f>
        <v/>
      </c>
      <c r="B1113" s="26" t="str">
        <f aca="false">IF(OR(F1113="LOC - INITIAL",F1113="CONSOLIDATION - UPFRONT COMM",F1113="REVERSE - TOTAL FUNDING"),A1113,"")</f>
        <v/>
      </c>
      <c r="C1113" s="27"/>
      <c r="D1113" s="28"/>
      <c r="E1113" s="28"/>
      <c r="F1113" s="28"/>
      <c r="G1113" s="29"/>
      <c r="H1113" s="30"/>
      <c r="I1113" s="28"/>
      <c r="J1113" s="31" t="str">
        <f aca="false">IF(AND(G1113&lt;&gt;"",H1113&lt;&gt;""),G1113*H1113,"")</f>
        <v/>
      </c>
      <c r="K1113" s="28"/>
      <c r="L1113" s="32"/>
      <c r="M1113" s="32"/>
      <c r="N1113" s="31" t="n">
        <f aca="false">IF(OR(G1113="",M1113=""),0,IF(M1113&gt;100,M1113,G1113*IF(M1113&gt;1,M1113/100,M1113)))</f>
        <v>0</v>
      </c>
      <c r="O1113" s="31" t="str">
        <f aca="false">IF(G1113="","",G1113*IF(L1113="",0,IF(L1113&gt;1,L1113/100,L1113))+N1113)</f>
        <v/>
      </c>
      <c r="P1113" s="28"/>
      <c r="Q1113" s="33" t="str">
        <f aca="false">IF(P1113="","",IFERROR(VLOOKUP(P1113,PARTNERS!$A$2:$B$30,2,0),""))</f>
        <v/>
      </c>
      <c r="R1113" s="17" t="str">
        <f aca="false">IF(O1113="","",IF(OR(P1113="",Q1113=""),0,(O1113-N1113)*IF(Q1113&gt;1,Q1113/100,Q1113)))</f>
        <v/>
      </c>
      <c r="S1113" s="31" t="str">
        <f aca="false">IF(O1113="","",O1113-R1113)</f>
        <v/>
      </c>
      <c r="T1113" s="28"/>
      <c r="U1113" s="34" t="str">
        <f aca="false">IF(T1113="","",IFERROR(VLOOKUP(T1113,REPS!$A$2:$D$40,2,0),""))</f>
        <v/>
      </c>
      <c r="V1113" s="31" t="str">
        <f aca="false">IF(O1113="","",IF(U1113="",0,O1113*IF(U1113&gt;1,U1113/100,U1113)))</f>
        <v/>
      </c>
      <c r="W1113" s="28"/>
      <c r="X1113" s="34" t="str">
        <f aca="false">IF(W1113="","",IFERROR(VLOOKUP(W1113,REPS!$A$2:$D$40,3,0),""))</f>
        <v/>
      </c>
      <c r="Y1113" s="31" t="str">
        <f aca="false">IF(O1113="","",IF(X1113="",0,O1113*IF(X1113&gt;1,X1113/100,X1113)))</f>
        <v/>
      </c>
      <c r="Z1113" s="28"/>
      <c r="AA1113" s="34" t="str">
        <f aca="false">IF(Z1113="","",IFERROR(VLOOKUP(Z1113,REPS!$A$2:$D$40,4,0),""))</f>
        <v/>
      </c>
      <c r="AB1113" s="31" t="str">
        <f aca="false">IF(O1113="","",IF(AA1113="",0,O1113*IF(AA1113&gt;1,AA1113/100,AA1113)))</f>
        <v/>
      </c>
      <c r="AC1113" s="31" t="str">
        <f aca="false">IF(O1113="","",V1113+Y1113+AB1113)</f>
        <v/>
      </c>
      <c r="AD1113" s="19" t="str">
        <f aca="false">IF(O1113="","",O1113-R1113-AC1113)</f>
        <v/>
      </c>
      <c r="AE1113" s="20"/>
      <c r="AF1113" s="27"/>
      <c r="AG1113" s="21" t="n">
        <f aca="false">IF(OR(AE1113="",AE1113=0),0,AE1113*IF(U1113="",0,IF(U1113&gt;1,U1113/100,U1113)))</f>
        <v>0</v>
      </c>
      <c r="AH1113" s="21" t="n">
        <f aca="false">IF(OR(AE1113="",AE1113=0),0,AE1113*IF(X1113="",0,IF(X1113&gt;1,X1113/100,X1113)))</f>
        <v>0</v>
      </c>
      <c r="AI1113" s="21" t="n">
        <f aca="false">IF(OR(AE1113="",AE1113=0),0,AE1113*IF(AA1113="",0,IF(AA1113&gt;1,AA1113/100,AA1113)))</f>
        <v>0</v>
      </c>
      <c r="AJ1113" s="21" t="n">
        <f aca="false">AG1113+AH1113+AI1113</f>
        <v>0</v>
      </c>
      <c r="AK1113" s="21" t="n">
        <f aca="false">IF(OR(AE1113="",AE1113=0),0,AE1113-AJ1113)</f>
        <v>0</v>
      </c>
      <c r="AL1113" s="19" t="str">
        <f aca="false">IF(AD1113="","",AD1113-AK1113)</f>
        <v/>
      </c>
      <c r="AM1113" s="26" t="str">
        <f aca="false">IF(C1113="","","Waiting for payment")</f>
        <v/>
      </c>
      <c r="AN1113" s="27"/>
      <c r="AO1113" s="27"/>
      <c r="AP1113" s="35" t="str">
        <f aca="false">IF(OR(C1113="",I1113="",K1113=""),"",IF(K1113="Monthly",EDATE(C1113,ROUND(I1113*SETTINGS!$I$8,0)),WORKDAY(C1113,ROUND(I1113*SETTINGS!$I$8,0))))</f>
        <v/>
      </c>
      <c r="AQ1113" s="26" t="str">
        <f aca="true">IF(C1113="","",IF(AND(AP1113&lt;&gt;"",TODAY()&gt;=AP1113),"Refi Ready",IF(TODAY()-C1113&gt;=SETTINGS!$I$11,"Prospecting","Performing")))</f>
        <v/>
      </c>
      <c r="AR1113" s="35" t="str">
        <f aca="false">IF(OR(C1113="",I1113="",K1113=""),"",IF(K1113="Monthly",EDATE(C1113,I1113),WORKDAY(C1113,I1113)))</f>
        <v/>
      </c>
      <c r="AS1113" s="28"/>
      <c r="AT1113" s="36" t="str">
        <f aca="true">IF(C1113="","",IF(AM1113="Clawed Back","CLAWED",IF(TODAY()&lt;=C1113+SETTINGS!$I$2,"⚠ AT RISK","SAFE")))</f>
        <v/>
      </c>
      <c r="AU1113" s="28"/>
      <c r="AW1113" s="24" t="n">
        <f aca="false">AW1112+IF(AND(C1113&lt;&gt;"",AO1113&lt;&gt;"",OR('REP COMMISSION'!$B$3="",T1113='REP COMMISSION'!$B$3,W1113='REP COMMISSION'!$B$3,Z1113='REP COMMISSION'!$B$3)),1,0)</f>
        <v>0</v>
      </c>
      <c r="AX1113" s="24" t="n">
        <f aca="false">AX1112+IF(AND(C1113&lt;&gt;"",OR(F1113="LOC - INITIAL",F1113="CONSOLIDATION - UPFRONT COMM",F1113="REVERSE - TOTAL FUNDING")),1,0)</f>
        <v>0</v>
      </c>
    </row>
    <row r="1114" customFormat="false" ht="15" hidden="false" customHeight="false" outlineLevel="0" collapsed="false">
      <c r="A1114" s="8" t="str">
        <f aca="false">IF(C1114&lt;&gt;"","F27-"&amp;COUNT($C$4:C1114),"")</f>
        <v/>
      </c>
      <c r="B1114" s="9" t="str">
        <f aca="false">IF(OR(F1114="LOC - INITIAL",F1114="CONSOLIDATION - UPFRONT COMM",F1114="REVERSE - TOTAL FUNDING"),A1114,"")</f>
        <v/>
      </c>
      <c r="C1114" s="10"/>
      <c r="D1114" s="11"/>
      <c r="E1114" s="11"/>
      <c r="F1114" s="11"/>
      <c r="G1114" s="12"/>
      <c r="H1114" s="13"/>
      <c r="I1114" s="11"/>
      <c r="J1114" s="14" t="str">
        <f aca="false">IF(AND(G1114&lt;&gt;"",H1114&lt;&gt;""),G1114*H1114,"")</f>
        <v/>
      </c>
      <c r="K1114" s="11"/>
      <c r="L1114" s="15"/>
      <c r="M1114" s="15"/>
      <c r="N1114" s="14" t="n">
        <f aca="false">IF(OR(G1114="",M1114=""),0,IF(M1114&gt;100,M1114,G1114*IF(M1114&gt;1,M1114/100,M1114)))</f>
        <v>0</v>
      </c>
      <c r="O1114" s="14" t="str">
        <f aca="false">IF(G1114="","",G1114*IF(L1114="",0,IF(L1114&gt;1,L1114/100,L1114))+N1114)</f>
        <v/>
      </c>
      <c r="P1114" s="11"/>
      <c r="Q1114" s="16" t="str">
        <f aca="false">IF(P1114="","",IFERROR(VLOOKUP(P1114,PARTNERS!$A$2:$B$30,2,0),""))</f>
        <v/>
      </c>
      <c r="R1114" s="17" t="str">
        <f aca="false">IF(O1114="","",IF(OR(P1114="",Q1114=""),0,(O1114-N1114)*IF(Q1114&gt;1,Q1114/100,Q1114)))</f>
        <v/>
      </c>
      <c r="S1114" s="14" t="str">
        <f aca="false">IF(O1114="","",O1114-R1114)</f>
        <v/>
      </c>
      <c r="T1114" s="11"/>
      <c r="U1114" s="18" t="str">
        <f aca="false">IF(T1114="","",IFERROR(VLOOKUP(T1114,REPS!$A$2:$D$40,2,0),""))</f>
        <v/>
      </c>
      <c r="V1114" s="14" t="str">
        <f aca="false">IF(O1114="","",IF(U1114="",0,O1114*IF(U1114&gt;1,U1114/100,U1114)))</f>
        <v/>
      </c>
      <c r="W1114" s="11"/>
      <c r="X1114" s="18" t="str">
        <f aca="false">IF(W1114="","",IFERROR(VLOOKUP(W1114,REPS!$A$2:$D$40,3,0),""))</f>
        <v/>
      </c>
      <c r="Y1114" s="14" t="str">
        <f aca="false">IF(O1114="","",IF(X1114="",0,O1114*IF(X1114&gt;1,X1114/100,X1114)))</f>
        <v/>
      </c>
      <c r="Z1114" s="11"/>
      <c r="AA1114" s="18" t="str">
        <f aca="false">IF(Z1114="","",IFERROR(VLOOKUP(Z1114,REPS!$A$2:$D$40,4,0),""))</f>
        <v/>
      </c>
      <c r="AB1114" s="14" t="str">
        <f aca="false">IF(O1114="","",IF(AA1114="",0,O1114*IF(AA1114&gt;1,AA1114/100,AA1114)))</f>
        <v/>
      </c>
      <c r="AC1114" s="14" t="str">
        <f aca="false">IF(O1114="","",V1114+Y1114+AB1114)</f>
        <v/>
      </c>
      <c r="AD1114" s="19" t="str">
        <f aca="false">IF(O1114="","",O1114-R1114-AC1114)</f>
        <v/>
      </c>
      <c r="AE1114" s="20"/>
      <c r="AF1114" s="10"/>
      <c r="AG1114" s="21" t="n">
        <f aca="false">IF(OR(AE1114="",AE1114=0),0,AE1114*IF(U1114="",0,IF(U1114&gt;1,U1114/100,U1114)))</f>
        <v>0</v>
      </c>
      <c r="AH1114" s="21" t="n">
        <f aca="false">IF(OR(AE1114="",AE1114=0),0,AE1114*IF(X1114="",0,IF(X1114&gt;1,X1114/100,X1114)))</f>
        <v>0</v>
      </c>
      <c r="AI1114" s="21" t="n">
        <f aca="false">IF(OR(AE1114="",AE1114=0),0,AE1114*IF(AA1114="",0,IF(AA1114&gt;1,AA1114/100,AA1114)))</f>
        <v>0</v>
      </c>
      <c r="AJ1114" s="21" t="n">
        <f aca="false">AG1114+AH1114+AI1114</f>
        <v>0</v>
      </c>
      <c r="AK1114" s="21" t="n">
        <f aca="false">IF(OR(AE1114="",AE1114=0),0,AE1114-AJ1114)</f>
        <v>0</v>
      </c>
      <c r="AL1114" s="19" t="str">
        <f aca="false">IF(AD1114="","",AD1114-AK1114)</f>
        <v/>
      </c>
      <c r="AM1114" s="9" t="str">
        <f aca="false">IF(C1114="","","Waiting for payment")</f>
        <v/>
      </c>
      <c r="AN1114" s="10"/>
      <c r="AO1114" s="10"/>
      <c r="AP1114" s="22" t="str">
        <f aca="false">IF(OR(C1114="",I1114="",K1114=""),"",IF(K1114="Monthly",EDATE(C1114,ROUND(I1114*SETTINGS!$I$8,0)),WORKDAY(C1114,ROUND(I1114*SETTINGS!$I$8,0))))</f>
        <v/>
      </c>
      <c r="AQ1114" s="9" t="str">
        <f aca="true">IF(C1114="","",IF(AND(AP1114&lt;&gt;"",TODAY()&gt;=AP1114),"Refi Ready",IF(TODAY()-C1114&gt;=SETTINGS!$I$11,"Prospecting","Performing")))</f>
        <v/>
      </c>
      <c r="AR1114" s="22" t="str">
        <f aca="false">IF(OR(C1114="",I1114="",K1114=""),"",IF(K1114="Monthly",EDATE(C1114,I1114),WORKDAY(C1114,I1114)))</f>
        <v/>
      </c>
      <c r="AS1114" s="11"/>
      <c r="AT1114" s="23" t="str">
        <f aca="true">IF(C1114="","",IF(AM1114="Clawed Back","CLAWED",IF(TODAY()&lt;=C1114+SETTINGS!$I$2,"⚠ AT RISK","SAFE")))</f>
        <v/>
      </c>
      <c r="AU1114" s="11"/>
      <c r="AW1114" s="24" t="n">
        <f aca="false">AW1113+IF(AND(C1114&lt;&gt;"",AO1114&lt;&gt;"",OR('REP COMMISSION'!$B$3="",T1114='REP COMMISSION'!$B$3,W1114='REP COMMISSION'!$B$3,Z1114='REP COMMISSION'!$B$3)),1,0)</f>
        <v>0</v>
      </c>
      <c r="AX1114" s="24" t="n">
        <f aca="false">AX1113+IF(AND(C1114&lt;&gt;"",OR(F1114="LOC - INITIAL",F1114="CONSOLIDATION - UPFRONT COMM",F1114="REVERSE - TOTAL FUNDING")),1,0)</f>
        <v>0</v>
      </c>
    </row>
    <row r="1115" customFormat="false" ht="15" hidden="false" customHeight="false" outlineLevel="0" collapsed="false">
      <c r="A1115" s="25" t="str">
        <f aca="false">IF(C1115&lt;&gt;"","F27-"&amp;COUNT($C$4:C1115),"")</f>
        <v/>
      </c>
      <c r="B1115" s="26" t="str">
        <f aca="false">IF(OR(F1115="LOC - INITIAL",F1115="CONSOLIDATION - UPFRONT COMM",F1115="REVERSE - TOTAL FUNDING"),A1115,"")</f>
        <v/>
      </c>
      <c r="C1115" s="27"/>
      <c r="D1115" s="28"/>
      <c r="E1115" s="28"/>
      <c r="F1115" s="28"/>
      <c r="G1115" s="29"/>
      <c r="H1115" s="30"/>
      <c r="I1115" s="28"/>
      <c r="J1115" s="31" t="str">
        <f aca="false">IF(AND(G1115&lt;&gt;"",H1115&lt;&gt;""),G1115*H1115,"")</f>
        <v/>
      </c>
      <c r="K1115" s="28"/>
      <c r="L1115" s="32"/>
      <c r="M1115" s="32"/>
      <c r="N1115" s="31" t="n">
        <f aca="false">IF(OR(G1115="",M1115=""),0,IF(M1115&gt;100,M1115,G1115*IF(M1115&gt;1,M1115/100,M1115)))</f>
        <v>0</v>
      </c>
      <c r="O1115" s="31" t="str">
        <f aca="false">IF(G1115="","",G1115*IF(L1115="",0,IF(L1115&gt;1,L1115/100,L1115))+N1115)</f>
        <v/>
      </c>
      <c r="P1115" s="28"/>
      <c r="Q1115" s="33" t="str">
        <f aca="false">IF(P1115="","",IFERROR(VLOOKUP(P1115,PARTNERS!$A$2:$B$30,2,0),""))</f>
        <v/>
      </c>
      <c r="R1115" s="17" t="str">
        <f aca="false">IF(O1115="","",IF(OR(P1115="",Q1115=""),0,(O1115-N1115)*IF(Q1115&gt;1,Q1115/100,Q1115)))</f>
        <v/>
      </c>
      <c r="S1115" s="31" t="str">
        <f aca="false">IF(O1115="","",O1115-R1115)</f>
        <v/>
      </c>
      <c r="T1115" s="28"/>
      <c r="U1115" s="34" t="str">
        <f aca="false">IF(T1115="","",IFERROR(VLOOKUP(T1115,REPS!$A$2:$D$40,2,0),""))</f>
        <v/>
      </c>
      <c r="V1115" s="31" t="str">
        <f aca="false">IF(O1115="","",IF(U1115="",0,O1115*IF(U1115&gt;1,U1115/100,U1115)))</f>
        <v/>
      </c>
      <c r="W1115" s="28"/>
      <c r="X1115" s="34" t="str">
        <f aca="false">IF(W1115="","",IFERROR(VLOOKUP(W1115,REPS!$A$2:$D$40,3,0),""))</f>
        <v/>
      </c>
      <c r="Y1115" s="31" t="str">
        <f aca="false">IF(O1115="","",IF(X1115="",0,O1115*IF(X1115&gt;1,X1115/100,X1115)))</f>
        <v/>
      </c>
      <c r="Z1115" s="28"/>
      <c r="AA1115" s="34" t="str">
        <f aca="false">IF(Z1115="","",IFERROR(VLOOKUP(Z1115,REPS!$A$2:$D$40,4,0),""))</f>
        <v/>
      </c>
      <c r="AB1115" s="31" t="str">
        <f aca="false">IF(O1115="","",IF(AA1115="",0,O1115*IF(AA1115&gt;1,AA1115/100,AA1115)))</f>
        <v/>
      </c>
      <c r="AC1115" s="31" t="str">
        <f aca="false">IF(O1115="","",V1115+Y1115+AB1115)</f>
        <v/>
      </c>
      <c r="AD1115" s="19" t="str">
        <f aca="false">IF(O1115="","",O1115-R1115-AC1115)</f>
        <v/>
      </c>
      <c r="AE1115" s="20"/>
      <c r="AF1115" s="27"/>
      <c r="AG1115" s="21" t="n">
        <f aca="false">IF(OR(AE1115="",AE1115=0),0,AE1115*IF(U1115="",0,IF(U1115&gt;1,U1115/100,U1115)))</f>
        <v>0</v>
      </c>
      <c r="AH1115" s="21" t="n">
        <f aca="false">IF(OR(AE1115="",AE1115=0),0,AE1115*IF(X1115="",0,IF(X1115&gt;1,X1115/100,X1115)))</f>
        <v>0</v>
      </c>
      <c r="AI1115" s="21" t="n">
        <f aca="false">IF(OR(AE1115="",AE1115=0),0,AE1115*IF(AA1115="",0,IF(AA1115&gt;1,AA1115/100,AA1115)))</f>
        <v>0</v>
      </c>
      <c r="AJ1115" s="21" t="n">
        <f aca="false">AG1115+AH1115+AI1115</f>
        <v>0</v>
      </c>
      <c r="AK1115" s="21" t="n">
        <f aca="false">IF(OR(AE1115="",AE1115=0),0,AE1115-AJ1115)</f>
        <v>0</v>
      </c>
      <c r="AL1115" s="19" t="str">
        <f aca="false">IF(AD1115="","",AD1115-AK1115)</f>
        <v/>
      </c>
      <c r="AM1115" s="26" t="str">
        <f aca="false">IF(C1115="","","Waiting for payment")</f>
        <v/>
      </c>
      <c r="AN1115" s="27"/>
      <c r="AO1115" s="27"/>
      <c r="AP1115" s="35" t="str">
        <f aca="false">IF(OR(C1115="",I1115="",K1115=""),"",IF(K1115="Monthly",EDATE(C1115,ROUND(I1115*SETTINGS!$I$8,0)),WORKDAY(C1115,ROUND(I1115*SETTINGS!$I$8,0))))</f>
        <v/>
      </c>
      <c r="AQ1115" s="26" t="str">
        <f aca="true">IF(C1115="","",IF(AND(AP1115&lt;&gt;"",TODAY()&gt;=AP1115),"Refi Ready",IF(TODAY()-C1115&gt;=SETTINGS!$I$11,"Prospecting","Performing")))</f>
        <v/>
      </c>
      <c r="AR1115" s="35" t="str">
        <f aca="false">IF(OR(C1115="",I1115="",K1115=""),"",IF(K1115="Monthly",EDATE(C1115,I1115),WORKDAY(C1115,I1115)))</f>
        <v/>
      </c>
      <c r="AS1115" s="28"/>
      <c r="AT1115" s="36" t="str">
        <f aca="true">IF(C1115="","",IF(AM1115="Clawed Back","CLAWED",IF(TODAY()&lt;=C1115+SETTINGS!$I$2,"⚠ AT RISK","SAFE")))</f>
        <v/>
      </c>
      <c r="AU1115" s="28"/>
      <c r="AW1115" s="24" t="n">
        <f aca="false">AW1114+IF(AND(C1115&lt;&gt;"",AO1115&lt;&gt;"",OR('REP COMMISSION'!$B$3="",T1115='REP COMMISSION'!$B$3,W1115='REP COMMISSION'!$B$3,Z1115='REP COMMISSION'!$B$3)),1,0)</f>
        <v>0</v>
      </c>
      <c r="AX1115" s="24" t="n">
        <f aca="false">AX1114+IF(AND(C1115&lt;&gt;"",OR(F1115="LOC - INITIAL",F1115="CONSOLIDATION - UPFRONT COMM",F1115="REVERSE - TOTAL FUNDING")),1,0)</f>
        <v>0</v>
      </c>
    </row>
    <row r="1116" customFormat="false" ht="15" hidden="false" customHeight="false" outlineLevel="0" collapsed="false">
      <c r="A1116" s="8" t="str">
        <f aca="false">IF(C1116&lt;&gt;"","F27-"&amp;COUNT($C$4:C1116),"")</f>
        <v/>
      </c>
      <c r="B1116" s="9" t="str">
        <f aca="false">IF(OR(F1116="LOC - INITIAL",F1116="CONSOLIDATION - UPFRONT COMM",F1116="REVERSE - TOTAL FUNDING"),A1116,"")</f>
        <v/>
      </c>
      <c r="C1116" s="10"/>
      <c r="D1116" s="11"/>
      <c r="E1116" s="11"/>
      <c r="F1116" s="11"/>
      <c r="G1116" s="12"/>
      <c r="H1116" s="13"/>
      <c r="I1116" s="11"/>
      <c r="J1116" s="14" t="str">
        <f aca="false">IF(AND(G1116&lt;&gt;"",H1116&lt;&gt;""),G1116*H1116,"")</f>
        <v/>
      </c>
      <c r="K1116" s="11"/>
      <c r="L1116" s="15"/>
      <c r="M1116" s="15"/>
      <c r="N1116" s="14" t="n">
        <f aca="false">IF(OR(G1116="",M1116=""),0,IF(M1116&gt;100,M1116,G1116*IF(M1116&gt;1,M1116/100,M1116)))</f>
        <v>0</v>
      </c>
      <c r="O1116" s="14" t="str">
        <f aca="false">IF(G1116="","",G1116*IF(L1116="",0,IF(L1116&gt;1,L1116/100,L1116))+N1116)</f>
        <v/>
      </c>
      <c r="P1116" s="11"/>
      <c r="Q1116" s="16" t="str">
        <f aca="false">IF(P1116="","",IFERROR(VLOOKUP(P1116,PARTNERS!$A$2:$B$30,2,0),""))</f>
        <v/>
      </c>
      <c r="R1116" s="17" t="str">
        <f aca="false">IF(O1116="","",IF(OR(P1116="",Q1116=""),0,(O1116-N1116)*IF(Q1116&gt;1,Q1116/100,Q1116)))</f>
        <v/>
      </c>
      <c r="S1116" s="14" t="str">
        <f aca="false">IF(O1116="","",O1116-R1116)</f>
        <v/>
      </c>
      <c r="T1116" s="11"/>
      <c r="U1116" s="18" t="str">
        <f aca="false">IF(T1116="","",IFERROR(VLOOKUP(T1116,REPS!$A$2:$D$40,2,0),""))</f>
        <v/>
      </c>
      <c r="V1116" s="14" t="str">
        <f aca="false">IF(O1116="","",IF(U1116="",0,O1116*IF(U1116&gt;1,U1116/100,U1116)))</f>
        <v/>
      </c>
      <c r="W1116" s="11"/>
      <c r="X1116" s="18" t="str">
        <f aca="false">IF(W1116="","",IFERROR(VLOOKUP(W1116,REPS!$A$2:$D$40,3,0),""))</f>
        <v/>
      </c>
      <c r="Y1116" s="14" t="str">
        <f aca="false">IF(O1116="","",IF(X1116="",0,O1116*IF(X1116&gt;1,X1116/100,X1116)))</f>
        <v/>
      </c>
      <c r="Z1116" s="11"/>
      <c r="AA1116" s="18" t="str">
        <f aca="false">IF(Z1116="","",IFERROR(VLOOKUP(Z1116,REPS!$A$2:$D$40,4,0),""))</f>
        <v/>
      </c>
      <c r="AB1116" s="14" t="str">
        <f aca="false">IF(O1116="","",IF(AA1116="",0,O1116*IF(AA1116&gt;1,AA1116/100,AA1116)))</f>
        <v/>
      </c>
      <c r="AC1116" s="14" t="str">
        <f aca="false">IF(O1116="","",V1116+Y1116+AB1116)</f>
        <v/>
      </c>
      <c r="AD1116" s="19" t="str">
        <f aca="false">IF(O1116="","",O1116-R1116-AC1116)</f>
        <v/>
      </c>
      <c r="AE1116" s="20"/>
      <c r="AF1116" s="10"/>
      <c r="AG1116" s="21" t="n">
        <f aca="false">IF(OR(AE1116="",AE1116=0),0,AE1116*IF(U1116="",0,IF(U1116&gt;1,U1116/100,U1116)))</f>
        <v>0</v>
      </c>
      <c r="AH1116" s="21" t="n">
        <f aca="false">IF(OR(AE1116="",AE1116=0),0,AE1116*IF(X1116="",0,IF(X1116&gt;1,X1116/100,X1116)))</f>
        <v>0</v>
      </c>
      <c r="AI1116" s="21" t="n">
        <f aca="false">IF(OR(AE1116="",AE1116=0),0,AE1116*IF(AA1116="",0,IF(AA1116&gt;1,AA1116/100,AA1116)))</f>
        <v>0</v>
      </c>
      <c r="AJ1116" s="21" t="n">
        <f aca="false">AG1116+AH1116+AI1116</f>
        <v>0</v>
      </c>
      <c r="AK1116" s="21" t="n">
        <f aca="false">IF(OR(AE1116="",AE1116=0),0,AE1116-AJ1116)</f>
        <v>0</v>
      </c>
      <c r="AL1116" s="19" t="str">
        <f aca="false">IF(AD1116="","",AD1116-AK1116)</f>
        <v/>
      </c>
      <c r="AM1116" s="9" t="str">
        <f aca="false">IF(C1116="","","Waiting for payment")</f>
        <v/>
      </c>
      <c r="AN1116" s="10"/>
      <c r="AO1116" s="10"/>
      <c r="AP1116" s="22" t="str">
        <f aca="false">IF(OR(C1116="",I1116="",K1116=""),"",IF(K1116="Monthly",EDATE(C1116,ROUND(I1116*SETTINGS!$I$8,0)),WORKDAY(C1116,ROUND(I1116*SETTINGS!$I$8,0))))</f>
        <v/>
      </c>
      <c r="AQ1116" s="9" t="str">
        <f aca="true">IF(C1116="","",IF(AND(AP1116&lt;&gt;"",TODAY()&gt;=AP1116),"Refi Ready",IF(TODAY()-C1116&gt;=SETTINGS!$I$11,"Prospecting","Performing")))</f>
        <v/>
      </c>
      <c r="AR1116" s="22" t="str">
        <f aca="false">IF(OR(C1116="",I1116="",K1116=""),"",IF(K1116="Monthly",EDATE(C1116,I1116),WORKDAY(C1116,I1116)))</f>
        <v/>
      </c>
      <c r="AS1116" s="11"/>
      <c r="AT1116" s="23" t="str">
        <f aca="true">IF(C1116="","",IF(AM1116="Clawed Back","CLAWED",IF(TODAY()&lt;=C1116+SETTINGS!$I$2,"⚠ AT RISK","SAFE")))</f>
        <v/>
      </c>
      <c r="AU1116" s="11"/>
      <c r="AW1116" s="24" t="n">
        <f aca="false">AW1115+IF(AND(C1116&lt;&gt;"",AO1116&lt;&gt;"",OR('REP COMMISSION'!$B$3="",T1116='REP COMMISSION'!$B$3,W1116='REP COMMISSION'!$B$3,Z1116='REP COMMISSION'!$B$3)),1,0)</f>
        <v>0</v>
      </c>
      <c r="AX1116" s="24" t="n">
        <f aca="false">AX1115+IF(AND(C1116&lt;&gt;"",OR(F1116="LOC - INITIAL",F1116="CONSOLIDATION - UPFRONT COMM",F1116="REVERSE - TOTAL FUNDING")),1,0)</f>
        <v>0</v>
      </c>
    </row>
    <row r="1117" customFormat="false" ht="15" hidden="false" customHeight="false" outlineLevel="0" collapsed="false">
      <c r="A1117" s="25" t="str">
        <f aca="false">IF(C1117&lt;&gt;"","F27-"&amp;COUNT($C$4:C1117),"")</f>
        <v/>
      </c>
      <c r="B1117" s="26" t="str">
        <f aca="false">IF(OR(F1117="LOC - INITIAL",F1117="CONSOLIDATION - UPFRONT COMM",F1117="REVERSE - TOTAL FUNDING"),A1117,"")</f>
        <v/>
      </c>
      <c r="C1117" s="27"/>
      <c r="D1117" s="28"/>
      <c r="E1117" s="28"/>
      <c r="F1117" s="28"/>
      <c r="G1117" s="29"/>
      <c r="H1117" s="30"/>
      <c r="I1117" s="28"/>
      <c r="J1117" s="31" t="str">
        <f aca="false">IF(AND(G1117&lt;&gt;"",H1117&lt;&gt;""),G1117*H1117,"")</f>
        <v/>
      </c>
      <c r="K1117" s="28"/>
      <c r="L1117" s="32"/>
      <c r="M1117" s="32"/>
      <c r="N1117" s="31" t="n">
        <f aca="false">IF(OR(G1117="",M1117=""),0,IF(M1117&gt;100,M1117,G1117*IF(M1117&gt;1,M1117/100,M1117)))</f>
        <v>0</v>
      </c>
      <c r="O1117" s="31" t="str">
        <f aca="false">IF(G1117="","",G1117*IF(L1117="",0,IF(L1117&gt;1,L1117/100,L1117))+N1117)</f>
        <v/>
      </c>
      <c r="P1117" s="28"/>
      <c r="Q1117" s="33" t="str">
        <f aca="false">IF(P1117="","",IFERROR(VLOOKUP(P1117,PARTNERS!$A$2:$B$30,2,0),""))</f>
        <v/>
      </c>
      <c r="R1117" s="17" t="str">
        <f aca="false">IF(O1117="","",IF(OR(P1117="",Q1117=""),0,(O1117-N1117)*IF(Q1117&gt;1,Q1117/100,Q1117)))</f>
        <v/>
      </c>
      <c r="S1117" s="31" t="str">
        <f aca="false">IF(O1117="","",O1117-R1117)</f>
        <v/>
      </c>
      <c r="T1117" s="28"/>
      <c r="U1117" s="34" t="str">
        <f aca="false">IF(T1117="","",IFERROR(VLOOKUP(T1117,REPS!$A$2:$D$40,2,0),""))</f>
        <v/>
      </c>
      <c r="V1117" s="31" t="str">
        <f aca="false">IF(O1117="","",IF(U1117="",0,O1117*IF(U1117&gt;1,U1117/100,U1117)))</f>
        <v/>
      </c>
      <c r="W1117" s="28"/>
      <c r="X1117" s="34" t="str">
        <f aca="false">IF(W1117="","",IFERROR(VLOOKUP(W1117,REPS!$A$2:$D$40,3,0),""))</f>
        <v/>
      </c>
      <c r="Y1117" s="31" t="str">
        <f aca="false">IF(O1117="","",IF(X1117="",0,O1117*IF(X1117&gt;1,X1117/100,X1117)))</f>
        <v/>
      </c>
      <c r="Z1117" s="28"/>
      <c r="AA1117" s="34" t="str">
        <f aca="false">IF(Z1117="","",IFERROR(VLOOKUP(Z1117,REPS!$A$2:$D$40,4,0),""))</f>
        <v/>
      </c>
      <c r="AB1117" s="31" t="str">
        <f aca="false">IF(O1117="","",IF(AA1117="",0,O1117*IF(AA1117&gt;1,AA1117/100,AA1117)))</f>
        <v/>
      </c>
      <c r="AC1117" s="31" t="str">
        <f aca="false">IF(O1117="","",V1117+Y1117+AB1117)</f>
        <v/>
      </c>
      <c r="AD1117" s="19" t="str">
        <f aca="false">IF(O1117="","",O1117-R1117-AC1117)</f>
        <v/>
      </c>
      <c r="AE1117" s="20"/>
      <c r="AF1117" s="27"/>
      <c r="AG1117" s="21" t="n">
        <f aca="false">IF(OR(AE1117="",AE1117=0),0,AE1117*IF(U1117="",0,IF(U1117&gt;1,U1117/100,U1117)))</f>
        <v>0</v>
      </c>
      <c r="AH1117" s="21" t="n">
        <f aca="false">IF(OR(AE1117="",AE1117=0),0,AE1117*IF(X1117="",0,IF(X1117&gt;1,X1117/100,X1117)))</f>
        <v>0</v>
      </c>
      <c r="AI1117" s="21" t="n">
        <f aca="false">IF(OR(AE1117="",AE1117=0),0,AE1117*IF(AA1117="",0,IF(AA1117&gt;1,AA1117/100,AA1117)))</f>
        <v>0</v>
      </c>
      <c r="AJ1117" s="21" t="n">
        <f aca="false">AG1117+AH1117+AI1117</f>
        <v>0</v>
      </c>
      <c r="AK1117" s="21" t="n">
        <f aca="false">IF(OR(AE1117="",AE1117=0),0,AE1117-AJ1117)</f>
        <v>0</v>
      </c>
      <c r="AL1117" s="19" t="str">
        <f aca="false">IF(AD1117="","",AD1117-AK1117)</f>
        <v/>
      </c>
      <c r="AM1117" s="26" t="str">
        <f aca="false">IF(C1117="","","Waiting for payment")</f>
        <v/>
      </c>
      <c r="AN1117" s="27"/>
      <c r="AO1117" s="27"/>
      <c r="AP1117" s="35" t="str">
        <f aca="false">IF(OR(C1117="",I1117="",K1117=""),"",IF(K1117="Monthly",EDATE(C1117,ROUND(I1117*SETTINGS!$I$8,0)),WORKDAY(C1117,ROUND(I1117*SETTINGS!$I$8,0))))</f>
        <v/>
      </c>
      <c r="AQ1117" s="26" t="str">
        <f aca="true">IF(C1117="","",IF(AND(AP1117&lt;&gt;"",TODAY()&gt;=AP1117),"Refi Ready",IF(TODAY()-C1117&gt;=SETTINGS!$I$11,"Prospecting","Performing")))</f>
        <v/>
      </c>
      <c r="AR1117" s="35" t="str">
        <f aca="false">IF(OR(C1117="",I1117="",K1117=""),"",IF(K1117="Monthly",EDATE(C1117,I1117),WORKDAY(C1117,I1117)))</f>
        <v/>
      </c>
      <c r="AS1117" s="28"/>
      <c r="AT1117" s="36" t="str">
        <f aca="true">IF(C1117="","",IF(AM1117="Clawed Back","CLAWED",IF(TODAY()&lt;=C1117+SETTINGS!$I$2,"⚠ AT RISK","SAFE")))</f>
        <v/>
      </c>
      <c r="AU1117" s="28"/>
      <c r="AW1117" s="24" t="n">
        <f aca="false">AW1116+IF(AND(C1117&lt;&gt;"",AO1117&lt;&gt;"",OR('REP COMMISSION'!$B$3="",T1117='REP COMMISSION'!$B$3,W1117='REP COMMISSION'!$B$3,Z1117='REP COMMISSION'!$B$3)),1,0)</f>
        <v>0</v>
      </c>
      <c r="AX1117" s="24" t="n">
        <f aca="false">AX1116+IF(AND(C1117&lt;&gt;"",OR(F1117="LOC - INITIAL",F1117="CONSOLIDATION - UPFRONT COMM",F1117="REVERSE - TOTAL FUNDING")),1,0)</f>
        <v>0</v>
      </c>
    </row>
    <row r="1118" customFormat="false" ht="15" hidden="false" customHeight="false" outlineLevel="0" collapsed="false">
      <c r="A1118" s="8" t="str">
        <f aca="false">IF(C1118&lt;&gt;"","F27-"&amp;COUNT($C$4:C1118),"")</f>
        <v/>
      </c>
      <c r="B1118" s="9" t="str">
        <f aca="false">IF(OR(F1118="LOC - INITIAL",F1118="CONSOLIDATION - UPFRONT COMM",F1118="REVERSE - TOTAL FUNDING"),A1118,"")</f>
        <v/>
      </c>
      <c r="C1118" s="10"/>
      <c r="D1118" s="11"/>
      <c r="E1118" s="11"/>
      <c r="F1118" s="11"/>
      <c r="G1118" s="12"/>
      <c r="H1118" s="13"/>
      <c r="I1118" s="11"/>
      <c r="J1118" s="14" t="str">
        <f aca="false">IF(AND(G1118&lt;&gt;"",H1118&lt;&gt;""),G1118*H1118,"")</f>
        <v/>
      </c>
      <c r="K1118" s="11"/>
      <c r="L1118" s="15"/>
      <c r="M1118" s="15"/>
      <c r="N1118" s="14" t="n">
        <f aca="false">IF(OR(G1118="",M1118=""),0,IF(M1118&gt;100,M1118,G1118*IF(M1118&gt;1,M1118/100,M1118)))</f>
        <v>0</v>
      </c>
      <c r="O1118" s="14" t="str">
        <f aca="false">IF(G1118="","",G1118*IF(L1118="",0,IF(L1118&gt;1,L1118/100,L1118))+N1118)</f>
        <v/>
      </c>
      <c r="P1118" s="11"/>
      <c r="Q1118" s="16" t="str">
        <f aca="false">IF(P1118="","",IFERROR(VLOOKUP(P1118,PARTNERS!$A$2:$B$30,2,0),""))</f>
        <v/>
      </c>
      <c r="R1118" s="17" t="str">
        <f aca="false">IF(O1118="","",IF(OR(P1118="",Q1118=""),0,(O1118-N1118)*IF(Q1118&gt;1,Q1118/100,Q1118)))</f>
        <v/>
      </c>
      <c r="S1118" s="14" t="str">
        <f aca="false">IF(O1118="","",O1118-R1118)</f>
        <v/>
      </c>
      <c r="T1118" s="11"/>
      <c r="U1118" s="18" t="str">
        <f aca="false">IF(T1118="","",IFERROR(VLOOKUP(T1118,REPS!$A$2:$D$40,2,0),""))</f>
        <v/>
      </c>
      <c r="V1118" s="14" t="str">
        <f aca="false">IF(O1118="","",IF(U1118="",0,O1118*IF(U1118&gt;1,U1118/100,U1118)))</f>
        <v/>
      </c>
      <c r="W1118" s="11"/>
      <c r="X1118" s="18" t="str">
        <f aca="false">IF(W1118="","",IFERROR(VLOOKUP(W1118,REPS!$A$2:$D$40,3,0),""))</f>
        <v/>
      </c>
      <c r="Y1118" s="14" t="str">
        <f aca="false">IF(O1118="","",IF(X1118="",0,O1118*IF(X1118&gt;1,X1118/100,X1118)))</f>
        <v/>
      </c>
      <c r="Z1118" s="11"/>
      <c r="AA1118" s="18" t="str">
        <f aca="false">IF(Z1118="","",IFERROR(VLOOKUP(Z1118,REPS!$A$2:$D$40,4,0),""))</f>
        <v/>
      </c>
      <c r="AB1118" s="14" t="str">
        <f aca="false">IF(O1118="","",IF(AA1118="",0,O1118*IF(AA1118&gt;1,AA1118/100,AA1118)))</f>
        <v/>
      </c>
      <c r="AC1118" s="14" t="str">
        <f aca="false">IF(O1118="","",V1118+Y1118+AB1118)</f>
        <v/>
      </c>
      <c r="AD1118" s="19" t="str">
        <f aca="false">IF(O1118="","",O1118-R1118-AC1118)</f>
        <v/>
      </c>
      <c r="AE1118" s="20"/>
      <c r="AF1118" s="10"/>
      <c r="AG1118" s="21" t="n">
        <f aca="false">IF(OR(AE1118="",AE1118=0),0,AE1118*IF(U1118="",0,IF(U1118&gt;1,U1118/100,U1118)))</f>
        <v>0</v>
      </c>
      <c r="AH1118" s="21" t="n">
        <f aca="false">IF(OR(AE1118="",AE1118=0),0,AE1118*IF(X1118="",0,IF(X1118&gt;1,X1118/100,X1118)))</f>
        <v>0</v>
      </c>
      <c r="AI1118" s="21" t="n">
        <f aca="false">IF(OR(AE1118="",AE1118=0),0,AE1118*IF(AA1118="",0,IF(AA1118&gt;1,AA1118/100,AA1118)))</f>
        <v>0</v>
      </c>
      <c r="AJ1118" s="21" t="n">
        <f aca="false">AG1118+AH1118+AI1118</f>
        <v>0</v>
      </c>
      <c r="AK1118" s="21" t="n">
        <f aca="false">IF(OR(AE1118="",AE1118=0),0,AE1118-AJ1118)</f>
        <v>0</v>
      </c>
      <c r="AL1118" s="19" t="str">
        <f aca="false">IF(AD1118="","",AD1118-AK1118)</f>
        <v/>
      </c>
      <c r="AM1118" s="9" t="str">
        <f aca="false">IF(C1118="","","Waiting for payment")</f>
        <v/>
      </c>
      <c r="AN1118" s="10"/>
      <c r="AO1118" s="10"/>
      <c r="AP1118" s="22" t="str">
        <f aca="false">IF(OR(C1118="",I1118="",K1118=""),"",IF(K1118="Monthly",EDATE(C1118,ROUND(I1118*SETTINGS!$I$8,0)),WORKDAY(C1118,ROUND(I1118*SETTINGS!$I$8,0))))</f>
        <v/>
      </c>
      <c r="AQ1118" s="9" t="str">
        <f aca="true">IF(C1118="","",IF(AND(AP1118&lt;&gt;"",TODAY()&gt;=AP1118),"Refi Ready",IF(TODAY()-C1118&gt;=SETTINGS!$I$11,"Prospecting","Performing")))</f>
        <v/>
      </c>
      <c r="AR1118" s="22" t="str">
        <f aca="false">IF(OR(C1118="",I1118="",K1118=""),"",IF(K1118="Monthly",EDATE(C1118,I1118),WORKDAY(C1118,I1118)))</f>
        <v/>
      </c>
      <c r="AS1118" s="11"/>
      <c r="AT1118" s="23" t="str">
        <f aca="true">IF(C1118="","",IF(AM1118="Clawed Back","CLAWED",IF(TODAY()&lt;=C1118+SETTINGS!$I$2,"⚠ AT RISK","SAFE")))</f>
        <v/>
      </c>
      <c r="AU1118" s="11"/>
      <c r="AW1118" s="24" t="n">
        <f aca="false">AW1117+IF(AND(C1118&lt;&gt;"",AO1118&lt;&gt;"",OR('REP COMMISSION'!$B$3="",T1118='REP COMMISSION'!$B$3,W1118='REP COMMISSION'!$B$3,Z1118='REP COMMISSION'!$B$3)),1,0)</f>
        <v>0</v>
      </c>
      <c r="AX1118" s="24" t="n">
        <f aca="false">AX1117+IF(AND(C1118&lt;&gt;"",OR(F1118="LOC - INITIAL",F1118="CONSOLIDATION - UPFRONT COMM",F1118="REVERSE - TOTAL FUNDING")),1,0)</f>
        <v>0</v>
      </c>
    </row>
    <row r="1119" customFormat="false" ht="15" hidden="false" customHeight="false" outlineLevel="0" collapsed="false">
      <c r="A1119" s="25" t="str">
        <f aca="false">IF(C1119&lt;&gt;"","F27-"&amp;COUNT($C$4:C1119),"")</f>
        <v/>
      </c>
      <c r="B1119" s="26" t="str">
        <f aca="false">IF(OR(F1119="LOC - INITIAL",F1119="CONSOLIDATION - UPFRONT COMM",F1119="REVERSE - TOTAL FUNDING"),A1119,"")</f>
        <v/>
      </c>
      <c r="C1119" s="27"/>
      <c r="D1119" s="28"/>
      <c r="E1119" s="28"/>
      <c r="F1119" s="28"/>
      <c r="G1119" s="29"/>
      <c r="H1119" s="30"/>
      <c r="I1119" s="28"/>
      <c r="J1119" s="31" t="str">
        <f aca="false">IF(AND(G1119&lt;&gt;"",H1119&lt;&gt;""),G1119*H1119,"")</f>
        <v/>
      </c>
      <c r="K1119" s="28"/>
      <c r="L1119" s="32"/>
      <c r="M1119" s="32"/>
      <c r="N1119" s="31" t="n">
        <f aca="false">IF(OR(G1119="",M1119=""),0,IF(M1119&gt;100,M1119,G1119*IF(M1119&gt;1,M1119/100,M1119)))</f>
        <v>0</v>
      </c>
      <c r="O1119" s="31" t="str">
        <f aca="false">IF(G1119="","",G1119*IF(L1119="",0,IF(L1119&gt;1,L1119/100,L1119))+N1119)</f>
        <v/>
      </c>
      <c r="P1119" s="28"/>
      <c r="Q1119" s="33" t="str">
        <f aca="false">IF(P1119="","",IFERROR(VLOOKUP(P1119,PARTNERS!$A$2:$B$30,2,0),""))</f>
        <v/>
      </c>
      <c r="R1119" s="17" t="str">
        <f aca="false">IF(O1119="","",IF(OR(P1119="",Q1119=""),0,(O1119-N1119)*IF(Q1119&gt;1,Q1119/100,Q1119)))</f>
        <v/>
      </c>
      <c r="S1119" s="31" t="str">
        <f aca="false">IF(O1119="","",O1119-R1119)</f>
        <v/>
      </c>
      <c r="T1119" s="28"/>
      <c r="U1119" s="34" t="str">
        <f aca="false">IF(T1119="","",IFERROR(VLOOKUP(T1119,REPS!$A$2:$D$40,2,0),""))</f>
        <v/>
      </c>
      <c r="V1119" s="31" t="str">
        <f aca="false">IF(O1119="","",IF(U1119="",0,O1119*IF(U1119&gt;1,U1119/100,U1119)))</f>
        <v/>
      </c>
      <c r="W1119" s="28"/>
      <c r="X1119" s="34" t="str">
        <f aca="false">IF(W1119="","",IFERROR(VLOOKUP(W1119,REPS!$A$2:$D$40,3,0),""))</f>
        <v/>
      </c>
      <c r="Y1119" s="31" t="str">
        <f aca="false">IF(O1119="","",IF(X1119="",0,O1119*IF(X1119&gt;1,X1119/100,X1119)))</f>
        <v/>
      </c>
      <c r="Z1119" s="28"/>
      <c r="AA1119" s="34" t="str">
        <f aca="false">IF(Z1119="","",IFERROR(VLOOKUP(Z1119,REPS!$A$2:$D$40,4,0),""))</f>
        <v/>
      </c>
      <c r="AB1119" s="31" t="str">
        <f aca="false">IF(O1119="","",IF(AA1119="",0,O1119*IF(AA1119&gt;1,AA1119/100,AA1119)))</f>
        <v/>
      </c>
      <c r="AC1119" s="31" t="str">
        <f aca="false">IF(O1119="","",V1119+Y1119+AB1119)</f>
        <v/>
      </c>
      <c r="AD1119" s="19" t="str">
        <f aca="false">IF(O1119="","",O1119-R1119-AC1119)</f>
        <v/>
      </c>
      <c r="AE1119" s="20"/>
      <c r="AF1119" s="27"/>
      <c r="AG1119" s="21" t="n">
        <f aca="false">IF(OR(AE1119="",AE1119=0),0,AE1119*IF(U1119="",0,IF(U1119&gt;1,U1119/100,U1119)))</f>
        <v>0</v>
      </c>
      <c r="AH1119" s="21" t="n">
        <f aca="false">IF(OR(AE1119="",AE1119=0),0,AE1119*IF(X1119="",0,IF(X1119&gt;1,X1119/100,X1119)))</f>
        <v>0</v>
      </c>
      <c r="AI1119" s="21" t="n">
        <f aca="false">IF(OR(AE1119="",AE1119=0),0,AE1119*IF(AA1119="",0,IF(AA1119&gt;1,AA1119/100,AA1119)))</f>
        <v>0</v>
      </c>
      <c r="AJ1119" s="21" t="n">
        <f aca="false">AG1119+AH1119+AI1119</f>
        <v>0</v>
      </c>
      <c r="AK1119" s="21" t="n">
        <f aca="false">IF(OR(AE1119="",AE1119=0),0,AE1119-AJ1119)</f>
        <v>0</v>
      </c>
      <c r="AL1119" s="19" t="str">
        <f aca="false">IF(AD1119="","",AD1119-AK1119)</f>
        <v/>
      </c>
      <c r="AM1119" s="26" t="str">
        <f aca="false">IF(C1119="","","Waiting for payment")</f>
        <v/>
      </c>
      <c r="AN1119" s="27"/>
      <c r="AO1119" s="27"/>
      <c r="AP1119" s="35" t="str">
        <f aca="false">IF(OR(C1119="",I1119="",K1119=""),"",IF(K1119="Monthly",EDATE(C1119,ROUND(I1119*SETTINGS!$I$8,0)),WORKDAY(C1119,ROUND(I1119*SETTINGS!$I$8,0))))</f>
        <v/>
      </c>
      <c r="AQ1119" s="26" t="str">
        <f aca="true">IF(C1119="","",IF(AND(AP1119&lt;&gt;"",TODAY()&gt;=AP1119),"Refi Ready",IF(TODAY()-C1119&gt;=SETTINGS!$I$11,"Prospecting","Performing")))</f>
        <v/>
      </c>
      <c r="AR1119" s="35" t="str">
        <f aca="false">IF(OR(C1119="",I1119="",K1119=""),"",IF(K1119="Monthly",EDATE(C1119,I1119),WORKDAY(C1119,I1119)))</f>
        <v/>
      </c>
      <c r="AS1119" s="28"/>
      <c r="AT1119" s="36" t="str">
        <f aca="true">IF(C1119="","",IF(AM1119="Clawed Back","CLAWED",IF(TODAY()&lt;=C1119+SETTINGS!$I$2,"⚠ AT RISK","SAFE")))</f>
        <v/>
      </c>
      <c r="AU1119" s="28"/>
      <c r="AW1119" s="24" t="n">
        <f aca="false">AW1118+IF(AND(C1119&lt;&gt;"",AO1119&lt;&gt;"",OR('REP COMMISSION'!$B$3="",T1119='REP COMMISSION'!$B$3,W1119='REP COMMISSION'!$B$3,Z1119='REP COMMISSION'!$B$3)),1,0)</f>
        <v>0</v>
      </c>
      <c r="AX1119" s="24" t="n">
        <f aca="false">AX1118+IF(AND(C1119&lt;&gt;"",OR(F1119="LOC - INITIAL",F1119="CONSOLIDATION - UPFRONT COMM",F1119="REVERSE - TOTAL FUNDING")),1,0)</f>
        <v>0</v>
      </c>
    </row>
    <row r="1120" customFormat="false" ht="15" hidden="false" customHeight="false" outlineLevel="0" collapsed="false">
      <c r="A1120" s="8" t="str">
        <f aca="false">IF(C1120&lt;&gt;"","F27-"&amp;COUNT($C$4:C1120),"")</f>
        <v/>
      </c>
      <c r="B1120" s="9" t="str">
        <f aca="false">IF(OR(F1120="LOC - INITIAL",F1120="CONSOLIDATION - UPFRONT COMM",F1120="REVERSE - TOTAL FUNDING"),A1120,"")</f>
        <v/>
      </c>
      <c r="C1120" s="10"/>
      <c r="D1120" s="11"/>
      <c r="E1120" s="11"/>
      <c r="F1120" s="11"/>
      <c r="G1120" s="12"/>
      <c r="H1120" s="13"/>
      <c r="I1120" s="11"/>
      <c r="J1120" s="14" t="str">
        <f aca="false">IF(AND(G1120&lt;&gt;"",H1120&lt;&gt;""),G1120*H1120,"")</f>
        <v/>
      </c>
      <c r="K1120" s="11"/>
      <c r="L1120" s="15"/>
      <c r="M1120" s="15"/>
      <c r="N1120" s="14" t="n">
        <f aca="false">IF(OR(G1120="",M1120=""),0,IF(M1120&gt;100,M1120,G1120*IF(M1120&gt;1,M1120/100,M1120)))</f>
        <v>0</v>
      </c>
      <c r="O1120" s="14" t="str">
        <f aca="false">IF(G1120="","",G1120*IF(L1120="",0,IF(L1120&gt;1,L1120/100,L1120))+N1120)</f>
        <v/>
      </c>
      <c r="P1120" s="11"/>
      <c r="Q1120" s="16" t="str">
        <f aca="false">IF(P1120="","",IFERROR(VLOOKUP(P1120,PARTNERS!$A$2:$B$30,2,0),""))</f>
        <v/>
      </c>
      <c r="R1120" s="17" t="str">
        <f aca="false">IF(O1120="","",IF(OR(P1120="",Q1120=""),0,(O1120-N1120)*IF(Q1120&gt;1,Q1120/100,Q1120)))</f>
        <v/>
      </c>
      <c r="S1120" s="14" t="str">
        <f aca="false">IF(O1120="","",O1120-R1120)</f>
        <v/>
      </c>
      <c r="T1120" s="11"/>
      <c r="U1120" s="18" t="str">
        <f aca="false">IF(T1120="","",IFERROR(VLOOKUP(T1120,REPS!$A$2:$D$40,2,0),""))</f>
        <v/>
      </c>
      <c r="V1120" s="14" t="str">
        <f aca="false">IF(O1120="","",IF(U1120="",0,O1120*IF(U1120&gt;1,U1120/100,U1120)))</f>
        <v/>
      </c>
      <c r="W1120" s="11"/>
      <c r="X1120" s="18" t="str">
        <f aca="false">IF(W1120="","",IFERROR(VLOOKUP(W1120,REPS!$A$2:$D$40,3,0),""))</f>
        <v/>
      </c>
      <c r="Y1120" s="14" t="str">
        <f aca="false">IF(O1120="","",IF(X1120="",0,O1120*IF(X1120&gt;1,X1120/100,X1120)))</f>
        <v/>
      </c>
      <c r="Z1120" s="11"/>
      <c r="AA1120" s="18" t="str">
        <f aca="false">IF(Z1120="","",IFERROR(VLOOKUP(Z1120,REPS!$A$2:$D$40,4,0),""))</f>
        <v/>
      </c>
      <c r="AB1120" s="14" t="str">
        <f aca="false">IF(O1120="","",IF(AA1120="",0,O1120*IF(AA1120&gt;1,AA1120/100,AA1120)))</f>
        <v/>
      </c>
      <c r="AC1120" s="14" t="str">
        <f aca="false">IF(O1120="","",V1120+Y1120+AB1120)</f>
        <v/>
      </c>
      <c r="AD1120" s="19" t="str">
        <f aca="false">IF(O1120="","",O1120-R1120-AC1120)</f>
        <v/>
      </c>
      <c r="AE1120" s="20"/>
      <c r="AF1120" s="10"/>
      <c r="AG1120" s="21" t="n">
        <f aca="false">IF(OR(AE1120="",AE1120=0),0,AE1120*IF(U1120="",0,IF(U1120&gt;1,U1120/100,U1120)))</f>
        <v>0</v>
      </c>
      <c r="AH1120" s="21" t="n">
        <f aca="false">IF(OR(AE1120="",AE1120=0),0,AE1120*IF(X1120="",0,IF(X1120&gt;1,X1120/100,X1120)))</f>
        <v>0</v>
      </c>
      <c r="AI1120" s="21" t="n">
        <f aca="false">IF(OR(AE1120="",AE1120=0),0,AE1120*IF(AA1120="",0,IF(AA1120&gt;1,AA1120/100,AA1120)))</f>
        <v>0</v>
      </c>
      <c r="AJ1120" s="21" t="n">
        <f aca="false">AG1120+AH1120+AI1120</f>
        <v>0</v>
      </c>
      <c r="AK1120" s="21" t="n">
        <f aca="false">IF(OR(AE1120="",AE1120=0),0,AE1120-AJ1120)</f>
        <v>0</v>
      </c>
      <c r="AL1120" s="19" t="str">
        <f aca="false">IF(AD1120="","",AD1120-AK1120)</f>
        <v/>
      </c>
      <c r="AM1120" s="9" t="str">
        <f aca="false">IF(C1120="","","Waiting for payment")</f>
        <v/>
      </c>
      <c r="AN1120" s="10"/>
      <c r="AO1120" s="10"/>
      <c r="AP1120" s="22" t="str">
        <f aca="false">IF(OR(C1120="",I1120="",K1120=""),"",IF(K1120="Monthly",EDATE(C1120,ROUND(I1120*SETTINGS!$I$8,0)),WORKDAY(C1120,ROUND(I1120*SETTINGS!$I$8,0))))</f>
        <v/>
      </c>
      <c r="AQ1120" s="9" t="str">
        <f aca="true">IF(C1120="","",IF(AND(AP1120&lt;&gt;"",TODAY()&gt;=AP1120),"Refi Ready",IF(TODAY()-C1120&gt;=SETTINGS!$I$11,"Prospecting","Performing")))</f>
        <v/>
      </c>
      <c r="AR1120" s="22" t="str">
        <f aca="false">IF(OR(C1120="",I1120="",K1120=""),"",IF(K1120="Monthly",EDATE(C1120,I1120),WORKDAY(C1120,I1120)))</f>
        <v/>
      </c>
      <c r="AS1120" s="11"/>
      <c r="AT1120" s="23" t="str">
        <f aca="true">IF(C1120="","",IF(AM1120="Clawed Back","CLAWED",IF(TODAY()&lt;=C1120+SETTINGS!$I$2,"⚠ AT RISK","SAFE")))</f>
        <v/>
      </c>
      <c r="AU1120" s="11"/>
      <c r="AW1120" s="24" t="n">
        <f aca="false">AW1119+IF(AND(C1120&lt;&gt;"",AO1120&lt;&gt;"",OR('REP COMMISSION'!$B$3="",T1120='REP COMMISSION'!$B$3,W1120='REP COMMISSION'!$B$3,Z1120='REP COMMISSION'!$B$3)),1,0)</f>
        <v>0</v>
      </c>
      <c r="AX1120" s="24" t="n">
        <f aca="false">AX1119+IF(AND(C1120&lt;&gt;"",OR(F1120="LOC - INITIAL",F1120="CONSOLIDATION - UPFRONT COMM",F1120="REVERSE - TOTAL FUNDING")),1,0)</f>
        <v>0</v>
      </c>
    </row>
    <row r="1121" customFormat="false" ht="15" hidden="false" customHeight="false" outlineLevel="0" collapsed="false">
      <c r="A1121" s="25" t="str">
        <f aca="false">IF(C1121&lt;&gt;"","F27-"&amp;COUNT($C$4:C1121),"")</f>
        <v/>
      </c>
      <c r="B1121" s="26" t="str">
        <f aca="false">IF(OR(F1121="LOC - INITIAL",F1121="CONSOLIDATION - UPFRONT COMM",F1121="REVERSE - TOTAL FUNDING"),A1121,"")</f>
        <v/>
      </c>
      <c r="C1121" s="27"/>
      <c r="D1121" s="28"/>
      <c r="E1121" s="28"/>
      <c r="F1121" s="28"/>
      <c r="G1121" s="29"/>
      <c r="H1121" s="30"/>
      <c r="I1121" s="28"/>
      <c r="J1121" s="31" t="str">
        <f aca="false">IF(AND(G1121&lt;&gt;"",H1121&lt;&gt;""),G1121*H1121,"")</f>
        <v/>
      </c>
      <c r="K1121" s="28"/>
      <c r="L1121" s="32"/>
      <c r="M1121" s="32"/>
      <c r="N1121" s="31" t="n">
        <f aca="false">IF(OR(G1121="",M1121=""),0,IF(M1121&gt;100,M1121,G1121*IF(M1121&gt;1,M1121/100,M1121)))</f>
        <v>0</v>
      </c>
      <c r="O1121" s="31" t="str">
        <f aca="false">IF(G1121="","",G1121*IF(L1121="",0,IF(L1121&gt;1,L1121/100,L1121))+N1121)</f>
        <v/>
      </c>
      <c r="P1121" s="28"/>
      <c r="Q1121" s="33" t="str">
        <f aca="false">IF(P1121="","",IFERROR(VLOOKUP(P1121,PARTNERS!$A$2:$B$30,2,0),""))</f>
        <v/>
      </c>
      <c r="R1121" s="17" t="str">
        <f aca="false">IF(O1121="","",IF(OR(P1121="",Q1121=""),0,(O1121-N1121)*IF(Q1121&gt;1,Q1121/100,Q1121)))</f>
        <v/>
      </c>
      <c r="S1121" s="31" t="str">
        <f aca="false">IF(O1121="","",O1121-R1121)</f>
        <v/>
      </c>
      <c r="T1121" s="28"/>
      <c r="U1121" s="34" t="str">
        <f aca="false">IF(T1121="","",IFERROR(VLOOKUP(T1121,REPS!$A$2:$D$40,2,0),""))</f>
        <v/>
      </c>
      <c r="V1121" s="31" t="str">
        <f aca="false">IF(O1121="","",IF(U1121="",0,O1121*IF(U1121&gt;1,U1121/100,U1121)))</f>
        <v/>
      </c>
      <c r="W1121" s="28"/>
      <c r="X1121" s="34" t="str">
        <f aca="false">IF(W1121="","",IFERROR(VLOOKUP(W1121,REPS!$A$2:$D$40,3,0),""))</f>
        <v/>
      </c>
      <c r="Y1121" s="31" t="str">
        <f aca="false">IF(O1121="","",IF(X1121="",0,O1121*IF(X1121&gt;1,X1121/100,X1121)))</f>
        <v/>
      </c>
      <c r="Z1121" s="28"/>
      <c r="AA1121" s="34" t="str">
        <f aca="false">IF(Z1121="","",IFERROR(VLOOKUP(Z1121,REPS!$A$2:$D$40,4,0),""))</f>
        <v/>
      </c>
      <c r="AB1121" s="31" t="str">
        <f aca="false">IF(O1121="","",IF(AA1121="",0,O1121*IF(AA1121&gt;1,AA1121/100,AA1121)))</f>
        <v/>
      </c>
      <c r="AC1121" s="31" t="str">
        <f aca="false">IF(O1121="","",V1121+Y1121+AB1121)</f>
        <v/>
      </c>
      <c r="AD1121" s="19" t="str">
        <f aca="false">IF(O1121="","",O1121-R1121-AC1121)</f>
        <v/>
      </c>
      <c r="AE1121" s="20"/>
      <c r="AF1121" s="27"/>
      <c r="AG1121" s="21" t="n">
        <f aca="false">IF(OR(AE1121="",AE1121=0),0,AE1121*IF(U1121="",0,IF(U1121&gt;1,U1121/100,U1121)))</f>
        <v>0</v>
      </c>
      <c r="AH1121" s="21" t="n">
        <f aca="false">IF(OR(AE1121="",AE1121=0),0,AE1121*IF(X1121="",0,IF(X1121&gt;1,X1121/100,X1121)))</f>
        <v>0</v>
      </c>
      <c r="AI1121" s="21" t="n">
        <f aca="false">IF(OR(AE1121="",AE1121=0),0,AE1121*IF(AA1121="",0,IF(AA1121&gt;1,AA1121/100,AA1121)))</f>
        <v>0</v>
      </c>
      <c r="AJ1121" s="21" t="n">
        <f aca="false">AG1121+AH1121+AI1121</f>
        <v>0</v>
      </c>
      <c r="AK1121" s="21" t="n">
        <f aca="false">IF(OR(AE1121="",AE1121=0),0,AE1121-AJ1121)</f>
        <v>0</v>
      </c>
      <c r="AL1121" s="19" t="str">
        <f aca="false">IF(AD1121="","",AD1121-AK1121)</f>
        <v/>
      </c>
      <c r="AM1121" s="26" t="str">
        <f aca="false">IF(C1121="","","Waiting for payment")</f>
        <v/>
      </c>
      <c r="AN1121" s="27"/>
      <c r="AO1121" s="27"/>
      <c r="AP1121" s="35" t="str">
        <f aca="false">IF(OR(C1121="",I1121="",K1121=""),"",IF(K1121="Monthly",EDATE(C1121,ROUND(I1121*SETTINGS!$I$8,0)),WORKDAY(C1121,ROUND(I1121*SETTINGS!$I$8,0))))</f>
        <v/>
      </c>
      <c r="AQ1121" s="26" t="str">
        <f aca="true">IF(C1121="","",IF(AND(AP1121&lt;&gt;"",TODAY()&gt;=AP1121),"Refi Ready",IF(TODAY()-C1121&gt;=SETTINGS!$I$11,"Prospecting","Performing")))</f>
        <v/>
      </c>
      <c r="AR1121" s="35" t="str">
        <f aca="false">IF(OR(C1121="",I1121="",K1121=""),"",IF(K1121="Monthly",EDATE(C1121,I1121),WORKDAY(C1121,I1121)))</f>
        <v/>
      </c>
      <c r="AS1121" s="28"/>
      <c r="AT1121" s="36" t="str">
        <f aca="true">IF(C1121="","",IF(AM1121="Clawed Back","CLAWED",IF(TODAY()&lt;=C1121+SETTINGS!$I$2,"⚠ AT RISK","SAFE")))</f>
        <v/>
      </c>
      <c r="AU1121" s="28"/>
      <c r="AW1121" s="24" t="n">
        <f aca="false">AW1120+IF(AND(C1121&lt;&gt;"",AO1121&lt;&gt;"",OR('REP COMMISSION'!$B$3="",T1121='REP COMMISSION'!$B$3,W1121='REP COMMISSION'!$B$3,Z1121='REP COMMISSION'!$B$3)),1,0)</f>
        <v>0</v>
      </c>
      <c r="AX1121" s="24" t="n">
        <f aca="false">AX1120+IF(AND(C1121&lt;&gt;"",OR(F1121="LOC - INITIAL",F1121="CONSOLIDATION - UPFRONT COMM",F1121="REVERSE - TOTAL FUNDING")),1,0)</f>
        <v>0</v>
      </c>
    </row>
    <row r="1122" customFormat="false" ht="15" hidden="false" customHeight="false" outlineLevel="0" collapsed="false">
      <c r="A1122" s="8" t="str">
        <f aca="false">IF(C1122&lt;&gt;"","F27-"&amp;COUNT($C$4:C1122),"")</f>
        <v/>
      </c>
      <c r="B1122" s="9" t="str">
        <f aca="false">IF(OR(F1122="LOC - INITIAL",F1122="CONSOLIDATION - UPFRONT COMM",F1122="REVERSE - TOTAL FUNDING"),A1122,"")</f>
        <v/>
      </c>
      <c r="C1122" s="10"/>
      <c r="D1122" s="11"/>
      <c r="E1122" s="11"/>
      <c r="F1122" s="11"/>
      <c r="G1122" s="12"/>
      <c r="H1122" s="13"/>
      <c r="I1122" s="11"/>
      <c r="J1122" s="14" t="str">
        <f aca="false">IF(AND(G1122&lt;&gt;"",H1122&lt;&gt;""),G1122*H1122,"")</f>
        <v/>
      </c>
      <c r="K1122" s="11"/>
      <c r="L1122" s="15"/>
      <c r="M1122" s="15"/>
      <c r="N1122" s="14" t="n">
        <f aca="false">IF(OR(G1122="",M1122=""),0,IF(M1122&gt;100,M1122,G1122*IF(M1122&gt;1,M1122/100,M1122)))</f>
        <v>0</v>
      </c>
      <c r="O1122" s="14" t="str">
        <f aca="false">IF(G1122="","",G1122*IF(L1122="",0,IF(L1122&gt;1,L1122/100,L1122))+N1122)</f>
        <v/>
      </c>
      <c r="P1122" s="11"/>
      <c r="Q1122" s="16" t="str">
        <f aca="false">IF(P1122="","",IFERROR(VLOOKUP(P1122,PARTNERS!$A$2:$B$30,2,0),""))</f>
        <v/>
      </c>
      <c r="R1122" s="17" t="str">
        <f aca="false">IF(O1122="","",IF(OR(P1122="",Q1122=""),0,(O1122-N1122)*IF(Q1122&gt;1,Q1122/100,Q1122)))</f>
        <v/>
      </c>
      <c r="S1122" s="14" t="str">
        <f aca="false">IF(O1122="","",O1122-R1122)</f>
        <v/>
      </c>
      <c r="T1122" s="11"/>
      <c r="U1122" s="18" t="str">
        <f aca="false">IF(T1122="","",IFERROR(VLOOKUP(T1122,REPS!$A$2:$D$40,2,0),""))</f>
        <v/>
      </c>
      <c r="V1122" s="14" t="str">
        <f aca="false">IF(O1122="","",IF(U1122="",0,O1122*IF(U1122&gt;1,U1122/100,U1122)))</f>
        <v/>
      </c>
      <c r="W1122" s="11"/>
      <c r="X1122" s="18" t="str">
        <f aca="false">IF(W1122="","",IFERROR(VLOOKUP(W1122,REPS!$A$2:$D$40,3,0),""))</f>
        <v/>
      </c>
      <c r="Y1122" s="14" t="str">
        <f aca="false">IF(O1122="","",IF(X1122="",0,O1122*IF(X1122&gt;1,X1122/100,X1122)))</f>
        <v/>
      </c>
      <c r="Z1122" s="11"/>
      <c r="AA1122" s="18" t="str">
        <f aca="false">IF(Z1122="","",IFERROR(VLOOKUP(Z1122,REPS!$A$2:$D$40,4,0),""))</f>
        <v/>
      </c>
      <c r="AB1122" s="14" t="str">
        <f aca="false">IF(O1122="","",IF(AA1122="",0,O1122*IF(AA1122&gt;1,AA1122/100,AA1122)))</f>
        <v/>
      </c>
      <c r="AC1122" s="14" t="str">
        <f aca="false">IF(O1122="","",V1122+Y1122+AB1122)</f>
        <v/>
      </c>
      <c r="AD1122" s="19" t="str">
        <f aca="false">IF(O1122="","",O1122-R1122-AC1122)</f>
        <v/>
      </c>
      <c r="AE1122" s="20"/>
      <c r="AF1122" s="10"/>
      <c r="AG1122" s="21" t="n">
        <f aca="false">IF(OR(AE1122="",AE1122=0),0,AE1122*IF(U1122="",0,IF(U1122&gt;1,U1122/100,U1122)))</f>
        <v>0</v>
      </c>
      <c r="AH1122" s="21" t="n">
        <f aca="false">IF(OR(AE1122="",AE1122=0),0,AE1122*IF(X1122="",0,IF(X1122&gt;1,X1122/100,X1122)))</f>
        <v>0</v>
      </c>
      <c r="AI1122" s="21" t="n">
        <f aca="false">IF(OR(AE1122="",AE1122=0),0,AE1122*IF(AA1122="",0,IF(AA1122&gt;1,AA1122/100,AA1122)))</f>
        <v>0</v>
      </c>
      <c r="AJ1122" s="21" t="n">
        <f aca="false">AG1122+AH1122+AI1122</f>
        <v>0</v>
      </c>
      <c r="AK1122" s="21" t="n">
        <f aca="false">IF(OR(AE1122="",AE1122=0),0,AE1122-AJ1122)</f>
        <v>0</v>
      </c>
      <c r="AL1122" s="19" t="str">
        <f aca="false">IF(AD1122="","",AD1122-AK1122)</f>
        <v/>
      </c>
      <c r="AM1122" s="9" t="str">
        <f aca="false">IF(C1122="","","Waiting for payment")</f>
        <v/>
      </c>
      <c r="AN1122" s="10"/>
      <c r="AO1122" s="10"/>
      <c r="AP1122" s="22" t="str">
        <f aca="false">IF(OR(C1122="",I1122="",K1122=""),"",IF(K1122="Monthly",EDATE(C1122,ROUND(I1122*SETTINGS!$I$8,0)),WORKDAY(C1122,ROUND(I1122*SETTINGS!$I$8,0))))</f>
        <v/>
      </c>
      <c r="AQ1122" s="9" t="str">
        <f aca="true">IF(C1122="","",IF(AND(AP1122&lt;&gt;"",TODAY()&gt;=AP1122),"Refi Ready",IF(TODAY()-C1122&gt;=SETTINGS!$I$11,"Prospecting","Performing")))</f>
        <v/>
      </c>
      <c r="AR1122" s="22" t="str">
        <f aca="false">IF(OR(C1122="",I1122="",K1122=""),"",IF(K1122="Monthly",EDATE(C1122,I1122),WORKDAY(C1122,I1122)))</f>
        <v/>
      </c>
      <c r="AS1122" s="11"/>
      <c r="AT1122" s="23" t="str">
        <f aca="true">IF(C1122="","",IF(AM1122="Clawed Back","CLAWED",IF(TODAY()&lt;=C1122+SETTINGS!$I$2,"⚠ AT RISK","SAFE")))</f>
        <v/>
      </c>
      <c r="AU1122" s="11"/>
      <c r="AW1122" s="24" t="n">
        <f aca="false">AW1121+IF(AND(C1122&lt;&gt;"",AO1122&lt;&gt;"",OR('REP COMMISSION'!$B$3="",T1122='REP COMMISSION'!$B$3,W1122='REP COMMISSION'!$B$3,Z1122='REP COMMISSION'!$B$3)),1,0)</f>
        <v>0</v>
      </c>
      <c r="AX1122" s="24" t="n">
        <f aca="false">AX1121+IF(AND(C1122&lt;&gt;"",OR(F1122="LOC - INITIAL",F1122="CONSOLIDATION - UPFRONT COMM",F1122="REVERSE - TOTAL FUNDING")),1,0)</f>
        <v>0</v>
      </c>
    </row>
    <row r="1123" customFormat="false" ht="15" hidden="false" customHeight="false" outlineLevel="0" collapsed="false">
      <c r="A1123" s="25" t="str">
        <f aca="false">IF(C1123&lt;&gt;"","F27-"&amp;COUNT($C$4:C1123),"")</f>
        <v/>
      </c>
      <c r="B1123" s="26" t="str">
        <f aca="false">IF(OR(F1123="LOC - INITIAL",F1123="CONSOLIDATION - UPFRONT COMM",F1123="REVERSE - TOTAL FUNDING"),A1123,"")</f>
        <v/>
      </c>
      <c r="C1123" s="27"/>
      <c r="D1123" s="28"/>
      <c r="E1123" s="28"/>
      <c r="F1123" s="28"/>
      <c r="G1123" s="29"/>
      <c r="H1123" s="30"/>
      <c r="I1123" s="28"/>
      <c r="J1123" s="31" t="str">
        <f aca="false">IF(AND(G1123&lt;&gt;"",H1123&lt;&gt;""),G1123*H1123,"")</f>
        <v/>
      </c>
      <c r="K1123" s="28"/>
      <c r="L1123" s="32"/>
      <c r="M1123" s="32"/>
      <c r="N1123" s="31" t="n">
        <f aca="false">IF(OR(G1123="",M1123=""),0,IF(M1123&gt;100,M1123,G1123*IF(M1123&gt;1,M1123/100,M1123)))</f>
        <v>0</v>
      </c>
      <c r="O1123" s="31" t="str">
        <f aca="false">IF(G1123="","",G1123*IF(L1123="",0,IF(L1123&gt;1,L1123/100,L1123))+N1123)</f>
        <v/>
      </c>
      <c r="P1123" s="28"/>
      <c r="Q1123" s="33" t="str">
        <f aca="false">IF(P1123="","",IFERROR(VLOOKUP(P1123,PARTNERS!$A$2:$B$30,2,0),""))</f>
        <v/>
      </c>
      <c r="R1123" s="17" t="str">
        <f aca="false">IF(O1123="","",IF(OR(P1123="",Q1123=""),0,(O1123-N1123)*IF(Q1123&gt;1,Q1123/100,Q1123)))</f>
        <v/>
      </c>
      <c r="S1123" s="31" t="str">
        <f aca="false">IF(O1123="","",O1123-R1123)</f>
        <v/>
      </c>
      <c r="T1123" s="28"/>
      <c r="U1123" s="34" t="str">
        <f aca="false">IF(T1123="","",IFERROR(VLOOKUP(T1123,REPS!$A$2:$D$40,2,0),""))</f>
        <v/>
      </c>
      <c r="V1123" s="31" t="str">
        <f aca="false">IF(O1123="","",IF(U1123="",0,O1123*IF(U1123&gt;1,U1123/100,U1123)))</f>
        <v/>
      </c>
      <c r="W1123" s="28"/>
      <c r="X1123" s="34" t="str">
        <f aca="false">IF(W1123="","",IFERROR(VLOOKUP(W1123,REPS!$A$2:$D$40,3,0),""))</f>
        <v/>
      </c>
      <c r="Y1123" s="31" t="str">
        <f aca="false">IF(O1123="","",IF(X1123="",0,O1123*IF(X1123&gt;1,X1123/100,X1123)))</f>
        <v/>
      </c>
      <c r="Z1123" s="28"/>
      <c r="AA1123" s="34" t="str">
        <f aca="false">IF(Z1123="","",IFERROR(VLOOKUP(Z1123,REPS!$A$2:$D$40,4,0),""))</f>
        <v/>
      </c>
      <c r="AB1123" s="31" t="str">
        <f aca="false">IF(O1123="","",IF(AA1123="",0,O1123*IF(AA1123&gt;1,AA1123/100,AA1123)))</f>
        <v/>
      </c>
      <c r="AC1123" s="31" t="str">
        <f aca="false">IF(O1123="","",V1123+Y1123+AB1123)</f>
        <v/>
      </c>
      <c r="AD1123" s="19" t="str">
        <f aca="false">IF(O1123="","",O1123-R1123-AC1123)</f>
        <v/>
      </c>
      <c r="AE1123" s="20"/>
      <c r="AF1123" s="27"/>
      <c r="AG1123" s="21" t="n">
        <f aca="false">IF(OR(AE1123="",AE1123=0),0,AE1123*IF(U1123="",0,IF(U1123&gt;1,U1123/100,U1123)))</f>
        <v>0</v>
      </c>
      <c r="AH1123" s="21" t="n">
        <f aca="false">IF(OR(AE1123="",AE1123=0),0,AE1123*IF(X1123="",0,IF(X1123&gt;1,X1123/100,X1123)))</f>
        <v>0</v>
      </c>
      <c r="AI1123" s="21" t="n">
        <f aca="false">IF(OR(AE1123="",AE1123=0),0,AE1123*IF(AA1123="",0,IF(AA1123&gt;1,AA1123/100,AA1123)))</f>
        <v>0</v>
      </c>
      <c r="AJ1123" s="21" t="n">
        <f aca="false">AG1123+AH1123+AI1123</f>
        <v>0</v>
      </c>
      <c r="AK1123" s="21" t="n">
        <f aca="false">IF(OR(AE1123="",AE1123=0),0,AE1123-AJ1123)</f>
        <v>0</v>
      </c>
      <c r="AL1123" s="19" t="str">
        <f aca="false">IF(AD1123="","",AD1123-AK1123)</f>
        <v/>
      </c>
      <c r="AM1123" s="26" t="str">
        <f aca="false">IF(C1123="","","Waiting for payment")</f>
        <v/>
      </c>
      <c r="AN1123" s="27"/>
      <c r="AO1123" s="27"/>
      <c r="AP1123" s="35" t="str">
        <f aca="false">IF(OR(C1123="",I1123="",K1123=""),"",IF(K1123="Monthly",EDATE(C1123,ROUND(I1123*SETTINGS!$I$8,0)),WORKDAY(C1123,ROUND(I1123*SETTINGS!$I$8,0))))</f>
        <v/>
      </c>
      <c r="AQ1123" s="26" t="str">
        <f aca="true">IF(C1123="","",IF(AND(AP1123&lt;&gt;"",TODAY()&gt;=AP1123),"Refi Ready",IF(TODAY()-C1123&gt;=SETTINGS!$I$11,"Prospecting","Performing")))</f>
        <v/>
      </c>
      <c r="AR1123" s="35" t="str">
        <f aca="false">IF(OR(C1123="",I1123="",K1123=""),"",IF(K1123="Monthly",EDATE(C1123,I1123),WORKDAY(C1123,I1123)))</f>
        <v/>
      </c>
      <c r="AS1123" s="28"/>
      <c r="AT1123" s="36" t="str">
        <f aca="true">IF(C1123="","",IF(AM1123="Clawed Back","CLAWED",IF(TODAY()&lt;=C1123+SETTINGS!$I$2,"⚠ AT RISK","SAFE")))</f>
        <v/>
      </c>
      <c r="AU1123" s="28"/>
      <c r="AW1123" s="24" t="n">
        <f aca="false">AW1122+IF(AND(C1123&lt;&gt;"",AO1123&lt;&gt;"",OR('REP COMMISSION'!$B$3="",T1123='REP COMMISSION'!$B$3,W1123='REP COMMISSION'!$B$3,Z1123='REP COMMISSION'!$B$3)),1,0)</f>
        <v>0</v>
      </c>
      <c r="AX1123" s="24" t="n">
        <f aca="false">AX1122+IF(AND(C1123&lt;&gt;"",OR(F1123="LOC - INITIAL",F1123="CONSOLIDATION - UPFRONT COMM",F1123="REVERSE - TOTAL FUNDING")),1,0)</f>
        <v>0</v>
      </c>
    </row>
    <row r="1124" customFormat="false" ht="18" hidden="false" customHeight="true" outlineLevel="0" collapsed="false">
      <c r="A1124" s="37" t="s">
        <v>63</v>
      </c>
      <c r="B1124" s="38"/>
      <c r="C1124" s="38"/>
      <c r="D1124" s="37" t="str">
        <f aca="false">COUNT(C1024:C1123)&amp;" units"</f>
        <v>0 units</v>
      </c>
      <c r="E1124" s="38"/>
      <c r="F1124" s="38"/>
      <c r="G1124" s="39" t="n">
        <f aca="false">SUM(G1024:G1123)</f>
        <v>0</v>
      </c>
      <c r="H1124" s="38"/>
      <c r="I1124" s="38"/>
      <c r="J1124" s="38"/>
      <c r="K1124" s="38"/>
      <c r="L1124" s="38"/>
      <c r="M1124" s="38"/>
      <c r="N1124" s="39" t="n">
        <f aca="false">SUM(N1024:N1123)</f>
        <v>0</v>
      </c>
      <c r="O1124" s="39" t="n">
        <f aca="false">SUM(O1024:O1123)</f>
        <v>0</v>
      </c>
      <c r="P1124" s="38"/>
      <c r="Q1124" s="38"/>
      <c r="R1124" s="39" t="n">
        <f aca="false">SUM(R1024:R1123)</f>
        <v>0</v>
      </c>
      <c r="S1124" s="39" t="n">
        <f aca="false">SUM(S1024:S1123)</f>
        <v>0</v>
      </c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9" t="n">
        <f aca="false">SUM(AC1024:AC1123)</f>
        <v>0</v>
      </c>
      <c r="AD1124" s="39" t="n">
        <f aca="false">SUM(AD1024:AD1123)</f>
        <v>0</v>
      </c>
      <c r="AE1124" s="39" t="n">
        <f aca="false">SUM(AE1024:AE1123)</f>
        <v>0</v>
      </c>
      <c r="AF1124" s="38"/>
      <c r="AG1124" s="38"/>
      <c r="AH1124" s="38"/>
      <c r="AI1124" s="38"/>
      <c r="AJ1124" s="39" t="n">
        <f aca="false">SUM(AJ1024:AJ1123)</f>
        <v>0</v>
      </c>
      <c r="AK1124" s="39" t="n">
        <f aca="false">SUM(AK1024:AK1123)</f>
        <v>0</v>
      </c>
      <c r="AL1124" s="39" t="n">
        <f aca="false">SUM(AL1024:AL1123)</f>
        <v>0</v>
      </c>
      <c r="AM1124" s="38"/>
      <c r="AN1124" s="38"/>
      <c r="AO1124" s="38"/>
      <c r="AP1124" s="38"/>
      <c r="AQ1124" s="38"/>
      <c r="AR1124" s="38"/>
      <c r="AS1124" s="38"/>
      <c r="AT1124" s="38"/>
      <c r="AU1124" s="38"/>
      <c r="AW1124" s="24" t="n">
        <f aca="false">AW1123</f>
        <v>0</v>
      </c>
      <c r="AX1124" s="24" t="n">
        <f aca="false">AX1123</f>
        <v>0</v>
      </c>
    </row>
    <row r="1125" customFormat="false" ht="19.5" hidden="false" customHeight="true" outlineLevel="0" collapsed="false">
      <c r="A1125" s="6" t="s">
        <v>81</v>
      </c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W1125" s="24" t="n">
        <f aca="false">AW1124</f>
        <v>0</v>
      </c>
      <c r="AX1125" s="24" t="n">
        <f aca="false">AX1124</f>
        <v>0</v>
      </c>
    </row>
    <row r="1126" customFormat="false" ht="15" hidden="false" customHeight="false" outlineLevel="0" collapsed="false">
      <c r="A1126" s="8" t="str">
        <f aca="false">IF(C1126&lt;&gt;"","F27-"&amp;COUNT($C$4:C1126),"")</f>
        <v/>
      </c>
      <c r="B1126" s="9" t="str">
        <f aca="false">IF(OR(F1126="LOC - INITIAL",F1126="CONSOLIDATION - UPFRONT COMM",F1126="REVERSE - TOTAL FUNDING"),A1126,"")</f>
        <v/>
      </c>
      <c r="C1126" s="10"/>
      <c r="D1126" s="11"/>
      <c r="E1126" s="11"/>
      <c r="F1126" s="11"/>
      <c r="G1126" s="12"/>
      <c r="H1126" s="13"/>
      <c r="I1126" s="11"/>
      <c r="J1126" s="14" t="str">
        <f aca="false">IF(AND(G1126&lt;&gt;"",H1126&lt;&gt;""),G1126*H1126,"")</f>
        <v/>
      </c>
      <c r="K1126" s="11"/>
      <c r="L1126" s="15"/>
      <c r="M1126" s="15"/>
      <c r="N1126" s="14" t="n">
        <f aca="false">IF(OR(G1126="",M1126=""),0,IF(M1126&gt;100,M1126,G1126*IF(M1126&gt;1,M1126/100,M1126)))</f>
        <v>0</v>
      </c>
      <c r="O1126" s="14" t="str">
        <f aca="false">IF(G1126="","",G1126*IF(L1126="",0,IF(L1126&gt;1,L1126/100,L1126))+N1126)</f>
        <v/>
      </c>
      <c r="P1126" s="11"/>
      <c r="Q1126" s="16" t="str">
        <f aca="false">IF(P1126="","",IFERROR(VLOOKUP(P1126,PARTNERS!$A$2:$B$30,2,0),""))</f>
        <v/>
      </c>
      <c r="R1126" s="17" t="str">
        <f aca="false">IF(O1126="","",IF(OR(P1126="",Q1126=""),0,(O1126-N1126)*IF(Q1126&gt;1,Q1126/100,Q1126)))</f>
        <v/>
      </c>
      <c r="S1126" s="14" t="str">
        <f aca="false">IF(O1126="","",O1126-R1126)</f>
        <v/>
      </c>
      <c r="T1126" s="11"/>
      <c r="U1126" s="18" t="str">
        <f aca="false">IF(T1126="","",IFERROR(VLOOKUP(T1126,REPS!$A$2:$D$40,2,0),""))</f>
        <v/>
      </c>
      <c r="V1126" s="14" t="str">
        <f aca="false">IF(O1126="","",IF(U1126="",0,O1126*IF(U1126&gt;1,U1126/100,U1126)))</f>
        <v/>
      </c>
      <c r="W1126" s="11"/>
      <c r="X1126" s="18" t="str">
        <f aca="false">IF(W1126="","",IFERROR(VLOOKUP(W1126,REPS!$A$2:$D$40,3,0),""))</f>
        <v/>
      </c>
      <c r="Y1126" s="14" t="str">
        <f aca="false">IF(O1126="","",IF(X1126="",0,O1126*IF(X1126&gt;1,X1126/100,X1126)))</f>
        <v/>
      </c>
      <c r="Z1126" s="11"/>
      <c r="AA1126" s="18" t="str">
        <f aca="false">IF(Z1126="","",IFERROR(VLOOKUP(Z1126,REPS!$A$2:$D$40,4,0),""))</f>
        <v/>
      </c>
      <c r="AB1126" s="14" t="str">
        <f aca="false">IF(O1126="","",IF(AA1126="",0,O1126*IF(AA1126&gt;1,AA1126/100,AA1126)))</f>
        <v/>
      </c>
      <c r="AC1126" s="14" t="str">
        <f aca="false">IF(O1126="","",V1126+Y1126+AB1126)</f>
        <v/>
      </c>
      <c r="AD1126" s="19" t="str">
        <f aca="false">IF(O1126="","",O1126-R1126-AC1126)</f>
        <v/>
      </c>
      <c r="AE1126" s="20"/>
      <c r="AF1126" s="10"/>
      <c r="AG1126" s="21" t="n">
        <f aca="false">IF(OR(AE1126="",AE1126=0),0,AE1126*IF(U1126="",0,IF(U1126&gt;1,U1126/100,U1126)))</f>
        <v>0</v>
      </c>
      <c r="AH1126" s="21" t="n">
        <f aca="false">IF(OR(AE1126="",AE1126=0),0,AE1126*IF(X1126="",0,IF(X1126&gt;1,X1126/100,X1126)))</f>
        <v>0</v>
      </c>
      <c r="AI1126" s="21" t="n">
        <f aca="false">IF(OR(AE1126="",AE1126=0),0,AE1126*IF(AA1126="",0,IF(AA1126&gt;1,AA1126/100,AA1126)))</f>
        <v>0</v>
      </c>
      <c r="AJ1126" s="21" t="n">
        <f aca="false">AG1126+AH1126+AI1126</f>
        <v>0</v>
      </c>
      <c r="AK1126" s="21" t="n">
        <f aca="false">IF(OR(AE1126="",AE1126=0),0,AE1126-AJ1126)</f>
        <v>0</v>
      </c>
      <c r="AL1126" s="19" t="str">
        <f aca="false">IF(AD1126="","",AD1126-AK1126)</f>
        <v/>
      </c>
      <c r="AM1126" s="9" t="str">
        <f aca="false">IF(C1126="","","Waiting for payment")</f>
        <v/>
      </c>
      <c r="AN1126" s="10"/>
      <c r="AO1126" s="10"/>
      <c r="AP1126" s="22" t="str">
        <f aca="false">IF(OR(C1126="",I1126="",K1126=""),"",IF(K1126="Monthly",EDATE(C1126,ROUND(I1126*SETTINGS!$I$8,0)),WORKDAY(C1126,ROUND(I1126*SETTINGS!$I$8,0))))</f>
        <v/>
      </c>
      <c r="AQ1126" s="9" t="str">
        <f aca="true">IF(C1126="","",IF(AND(AP1126&lt;&gt;"",TODAY()&gt;=AP1126),"Refi Ready",IF(TODAY()-C1126&gt;=SETTINGS!$I$11,"Prospecting","Performing")))</f>
        <v/>
      </c>
      <c r="AR1126" s="22" t="str">
        <f aca="false">IF(OR(C1126="",I1126="",K1126=""),"",IF(K1126="Monthly",EDATE(C1126,I1126),WORKDAY(C1126,I1126)))</f>
        <v/>
      </c>
      <c r="AS1126" s="11"/>
      <c r="AT1126" s="23" t="str">
        <f aca="true">IF(C1126="","",IF(AM1126="Clawed Back","CLAWED",IF(TODAY()&lt;=C1126+SETTINGS!$I$2,"⚠ AT RISK","SAFE")))</f>
        <v/>
      </c>
      <c r="AU1126" s="11"/>
      <c r="AW1126" s="24" t="n">
        <f aca="false">AW1125+IF(AND(C1126&lt;&gt;"",AO1126&lt;&gt;"",OR('REP COMMISSION'!$B$3="",T1126='REP COMMISSION'!$B$3,W1126='REP COMMISSION'!$B$3,Z1126='REP COMMISSION'!$B$3)),1,0)</f>
        <v>0</v>
      </c>
      <c r="AX1126" s="24" t="n">
        <f aca="false">AX1125+IF(AND(C1126&lt;&gt;"",OR(F1126="LOC - INITIAL",F1126="CONSOLIDATION - UPFRONT COMM",F1126="REVERSE - TOTAL FUNDING")),1,0)</f>
        <v>0</v>
      </c>
    </row>
    <row r="1127" customFormat="false" ht="15" hidden="false" customHeight="false" outlineLevel="0" collapsed="false">
      <c r="A1127" s="25" t="str">
        <f aca="false">IF(C1127&lt;&gt;"","F27-"&amp;COUNT($C$4:C1127),"")</f>
        <v/>
      </c>
      <c r="B1127" s="26" t="str">
        <f aca="false">IF(OR(F1127="LOC - INITIAL",F1127="CONSOLIDATION - UPFRONT COMM",F1127="REVERSE - TOTAL FUNDING"),A1127,"")</f>
        <v/>
      </c>
      <c r="C1127" s="27"/>
      <c r="D1127" s="28"/>
      <c r="E1127" s="28"/>
      <c r="F1127" s="28"/>
      <c r="G1127" s="29"/>
      <c r="H1127" s="30"/>
      <c r="I1127" s="28"/>
      <c r="J1127" s="31" t="str">
        <f aca="false">IF(AND(G1127&lt;&gt;"",H1127&lt;&gt;""),G1127*H1127,"")</f>
        <v/>
      </c>
      <c r="K1127" s="28"/>
      <c r="L1127" s="32"/>
      <c r="M1127" s="32"/>
      <c r="N1127" s="31" t="n">
        <f aca="false">IF(OR(G1127="",M1127=""),0,IF(M1127&gt;100,M1127,G1127*IF(M1127&gt;1,M1127/100,M1127)))</f>
        <v>0</v>
      </c>
      <c r="O1127" s="31" t="str">
        <f aca="false">IF(G1127="","",G1127*IF(L1127="",0,IF(L1127&gt;1,L1127/100,L1127))+N1127)</f>
        <v/>
      </c>
      <c r="P1127" s="28"/>
      <c r="Q1127" s="33" t="str">
        <f aca="false">IF(P1127="","",IFERROR(VLOOKUP(P1127,PARTNERS!$A$2:$B$30,2,0),""))</f>
        <v/>
      </c>
      <c r="R1127" s="17" t="str">
        <f aca="false">IF(O1127="","",IF(OR(P1127="",Q1127=""),0,(O1127-N1127)*IF(Q1127&gt;1,Q1127/100,Q1127)))</f>
        <v/>
      </c>
      <c r="S1127" s="31" t="str">
        <f aca="false">IF(O1127="","",O1127-R1127)</f>
        <v/>
      </c>
      <c r="T1127" s="28"/>
      <c r="U1127" s="34" t="str">
        <f aca="false">IF(T1127="","",IFERROR(VLOOKUP(T1127,REPS!$A$2:$D$40,2,0),""))</f>
        <v/>
      </c>
      <c r="V1127" s="31" t="str">
        <f aca="false">IF(O1127="","",IF(U1127="",0,O1127*IF(U1127&gt;1,U1127/100,U1127)))</f>
        <v/>
      </c>
      <c r="W1127" s="28"/>
      <c r="X1127" s="34" t="str">
        <f aca="false">IF(W1127="","",IFERROR(VLOOKUP(W1127,REPS!$A$2:$D$40,3,0),""))</f>
        <v/>
      </c>
      <c r="Y1127" s="31" t="str">
        <f aca="false">IF(O1127="","",IF(X1127="",0,O1127*IF(X1127&gt;1,X1127/100,X1127)))</f>
        <v/>
      </c>
      <c r="Z1127" s="28"/>
      <c r="AA1127" s="34" t="str">
        <f aca="false">IF(Z1127="","",IFERROR(VLOOKUP(Z1127,REPS!$A$2:$D$40,4,0),""))</f>
        <v/>
      </c>
      <c r="AB1127" s="31" t="str">
        <f aca="false">IF(O1127="","",IF(AA1127="",0,O1127*IF(AA1127&gt;1,AA1127/100,AA1127)))</f>
        <v/>
      </c>
      <c r="AC1127" s="31" t="str">
        <f aca="false">IF(O1127="","",V1127+Y1127+AB1127)</f>
        <v/>
      </c>
      <c r="AD1127" s="19" t="str">
        <f aca="false">IF(O1127="","",O1127-R1127-AC1127)</f>
        <v/>
      </c>
      <c r="AE1127" s="20"/>
      <c r="AF1127" s="27"/>
      <c r="AG1127" s="21" t="n">
        <f aca="false">IF(OR(AE1127="",AE1127=0),0,AE1127*IF(U1127="",0,IF(U1127&gt;1,U1127/100,U1127)))</f>
        <v>0</v>
      </c>
      <c r="AH1127" s="21" t="n">
        <f aca="false">IF(OR(AE1127="",AE1127=0),0,AE1127*IF(X1127="",0,IF(X1127&gt;1,X1127/100,X1127)))</f>
        <v>0</v>
      </c>
      <c r="AI1127" s="21" t="n">
        <f aca="false">IF(OR(AE1127="",AE1127=0),0,AE1127*IF(AA1127="",0,IF(AA1127&gt;1,AA1127/100,AA1127)))</f>
        <v>0</v>
      </c>
      <c r="AJ1127" s="21" t="n">
        <f aca="false">AG1127+AH1127+AI1127</f>
        <v>0</v>
      </c>
      <c r="AK1127" s="21" t="n">
        <f aca="false">IF(OR(AE1127="",AE1127=0),0,AE1127-AJ1127)</f>
        <v>0</v>
      </c>
      <c r="AL1127" s="19" t="str">
        <f aca="false">IF(AD1127="","",AD1127-AK1127)</f>
        <v/>
      </c>
      <c r="AM1127" s="26" t="str">
        <f aca="false">IF(C1127="","","Waiting for payment")</f>
        <v/>
      </c>
      <c r="AN1127" s="27"/>
      <c r="AO1127" s="27"/>
      <c r="AP1127" s="35" t="str">
        <f aca="false">IF(OR(C1127="",I1127="",K1127=""),"",IF(K1127="Monthly",EDATE(C1127,ROUND(I1127*SETTINGS!$I$8,0)),WORKDAY(C1127,ROUND(I1127*SETTINGS!$I$8,0))))</f>
        <v/>
      </c>
      <c r="AQ1127" s="26" t="str">
        <f aca="true">IF(C1127="","",IF(AND(AP1127&lt;&gt;"",TODAY()&gt;=AP1127),"Refi Ready",IF(TODAY()-C1127&gt;=SETTINGS!$I$11,"Prospecting","Performing")))</f>
        <v/>
      </c>
      <c r="AR1127" s="35" t="str">
        <f aca="false">IF(OR(C1127="",I1127="",K1127=""),"",IF(K1127="Monthly",EDATE(C1127,I1127),WORKDAY(C1127,I1127)))</f>
        <v/>
      </c>
      <c r="AS1127" s="28"/>
      <c r="AT1127" s="36" t="str">
        <f aca="true">IF(C1127="","",IF(AM1127="Clawed Back","CLAWED",IF(TODAY()&lt;=C1127+SETTINGS!$I$2,"⚠ AT RISK","SAFE")))</f>
        <v/>
      </c>
      <c r="AU1127" s="28"/>
      <c r="AW1127" s="24" t="n">
        <f aca="false">AW1126+IF(AND(C1127&lt;&gt;"",AO1127&lt;&gt;"",OR('REP COMMISSION'!$B$3="",T1127='REP COMMISSION'!$B$3,W1127='REP COMMISSION'!$B$3,Z1127='REP COMMISSION'!$B$3)),1,0)</f>
        <v>0</v>
      </c>
      <c r="AX1127" s="24" t="n">
        <f aca="false">AX1126+IF(AND(C1127&lt;&gt;"",OR(F1127="LOC - INITIAL",F1127="CONSOLIDATION - UPFRONT COMM",F1127="REVERSE - TOTAL FUNDING")),1,0)</f>
        <v>0</v>
      </c>
    </row>
    <row r="1128" customFormat="false" ht="15" hidden="false" customHeight="false" outlineLevel="0" collapsed="false">
      <c r="A1128" s="8" t="str">
        <f aca="false">IF(C1128&lt;&gt;"","F27-"&amp;COUNT($C$4:C1128),"")</f>
        <v/>
      </c>
      <c r="B1128" s="9" t="str">
        <f aca="false">IF(OR(F1128="LOC - INITIAL",F1128="CONSOLIDATION - UPFRONT COMM",F1128="REVERSE - TOTAL FUNDING"),A1128,"")</f>
        <v/>
      </c>
      <c r="C1128" s="10"/>
      <c r="D1128" s="11"/>
      <c r="E1128" s="11"/>
      <c r="F1128" s="11"/>
      <c r="G1128" s="12"/>
      <c r="H1128" s="13"/>
      <c r="I1128" s="11"/>
      <c r="J1128" s="14" t="str">
        <f aca="false">IF(AND(G1128&lt;&gt;"",H1128&lt;&gt;""),G1128*H1128,"")</f>
        <v/>
      </c>
      <c r="K1128" s="11"/>
      <c r="L1128" s="15"/>
      <c r="M1128" s="15"/>
      <c r="N1128" s="14" t="n">
        <f aca="false">IF(OR(G1128="",M1128=""),0,IF(M1128&gt;100,M1128,G1128*IF(M1128&gt;1,M1128/100,M1128)))</f>
        <v>0</v>
      </c>
      <c r="O1128" s="14" t="str">
        <f aca="false">IF(G1128="","",G1128*IF(L1128="",0,IF(L1128&gt;1,L1128/100,L1128))+N1128)</f>
        <v/>
      </c>
      <c r="P1128" s="11"/>
      <c r="Q1128" s="16" t="str">
        <f aca="false">IF(P1128="","",IFERROR(VLOOKUP(P1128,PARTNERS!$A$2:$B$30,2,0),""))</f>
        <v/>
      </c>
      <c r="R1128" s="17" t="str">
        <f aca="false">IF(O1128="","",IF(OR(P1128="",Q1128=""),0,(O1128-N1128)*IF(Q1128&gt;1,Q1128/100,Q1128)))</f>
        <v/>
      </c>
      <c r="S1128" s="14" t="str">
        <f aca="false">IF(O1128="","",O1128-R1128)</f>
        <v/>
      </c>
      <c r="T1128" s="11"/>
      <c r="U1128" s="18" t="str">
        <f aca="false">IF(T1128="","",IFERROR(VLOOKUP(T1128,REPS!$A$2:$D$40,2,0),""))</f>
        <v/>
      </c>
      <c r="V1128" s="14" t="str">
        <f aca="false">IF(O1128="","",IF(U1128="",0,O1128*IF(U1128&gt;1,U1128/100,U1128)))</f>
        <v/>
      </c>
      <c r="W1128" s="11"/>
      <c r="X1128" s="18" t="str">
        <f aca="false">IF(W1128="","",IFERROR(VLOOKUP(W1128,REPS!$A$2:$D$40,3,0),""))</f>
        <v/>
      </c>
      <c r="Y1128" s="14" t="str">
        <f aca="false">IF(O1128="","",IF(X1128="",0,O1128*IF(X1128&gt;1,X1128/100,X1128)))</f>
        <v/>
      </c>
      <c r="Z1128" s="11"/>
      <c r="AA1128" s="18" t="str">
        <f aca="false">IF(Z1128="","",IFERROR(VLOOKUP(Z1128,REPS!$A$2:$D$40,4,0),""))</f>
        <v/>
      </c>
      <c r="AB1128" s="14" t="str">
        <f aca="false">IF(O1128="","",IF(AA1128="",0,O1128*IF(AA1128&gt;1,AA1128/100,AA1128)))</f>
        <v/>
      </c>
      <c r="AC1128" s="14" t="str">
        <f aca="false">IF(O1128="","",V1128+Y1128+AB1128)</f>
        <v/>
      </c>
      <c r="AD1128" s="19" t="str">
        <f aca="false">IF(O1128="","",O1128-R1128-AC1128)</f>
        <v/>
      </c>
      <c r="AE1128" s="20"/>
      <c r="AF1128" s="10"/>
      <c r="AG1128" s="21" t="n">
        <f aca="false">IF(OR(AE1128="",AE1128=0),0,AE1128*IF(U1128="",0,IF(U1128&gt;1,U1128/100,U1128)))</f>
        <v>0</v>
      </c>
      <c r="AH1128" s="21" t="n">
        <f aca="false">IF(OR(AE1128="",AE1128=0),0,AE1128*IF(X1128="",0,IF(X1128&gt;1,X1128/100,X1128)))</f>
        <v>0</v>
      </c>
      <c r="AI1128" s="21" t="n">
        <f aca="false">IF(OR(AE1128="",AE1128=0),0,AE1128*IF(AA1128="",0,IF(AA1128&gt;1,AA1128/100,AA1128)))</f>
        <v>0</v>
      </c>
      <c r="AJ1128" s="21" t="n">
        <f aca="false">AG1128+AH1128+AI1128</f>
        <v>0</v>
      </c>
      <c r="AK1128" s="21" t="n">
        <f aca="false">IF(OR(AE1128="",AE1128=0),0,AE1128-AJ1128)</f>
        <v>0</v>
      </c>
      <c r="AL1128" s="19" t="str">
        <f aca="false">IF(AD1128="","",AD1128-AK1128)</f>
        <v/>
      </c>
      <c r="AM1128" s="9" t="str">
        <f aca="false">IF(C1128="","","Waiting for payment")</f>
        <v/>
      </c>
      <c r="AN1128" s="10"/>
      <c r="AO1128" s="10"/>
      <c r="AP1128" s="22" t="str">
        <f aca="false">IF(OR(C1128="",I1128="",K1128=""),"",IF(K1128="Monthly",EDATE(C1128,ROUND(I1128*SETTINGS!$I$8,0)),WORKDAY(C1128,ROUND(I1128*SETTINGS!$I$8,0))))</f>
        <v/>
      </c>
      <c r="AQ1128" s="9" t="str">
        <f aca="true">IF(C1128="","",IF(AND(AP1128&lt;&gt;"",TODAY()&gt;=AP1128),"Refi Ready",IF(TODAY()-C1128&gt;=SETTINGS!$I$11,"Prospecting","Performing")))</f>
        <v/>
      </c>
      <c r="AR1128" s="22" t="str">
        <f aca="false">IF(OR(C1128="",I1128="",K1128=""),"",IF(K1128="Monthly",EDATE(C1128,I1128),WORKDAY(C1128,I1128)))</f>
        <v/>
      </c>
      <c r="AS1128" s="11"/>
      <c r="AT1128" s="23" t="str">
        <f aca="true">IF(C1128="","",IF(AM1128="Clawed Back","CLAWED",IF(TODAY()&lt;=C1128+SETTINGS!$I$2,"⚠ AT RISK","SAFE")))</f>
        <v/>
      </c>
      <c r="AU1128" s="11"/>
      <c r="AW1128" s="24" t="n">
        <f aca="false">AW1127+IF(AND(C1128&lt;&gt;"",AO1128&lt;&gt;"",OR('REP COMMISSION'!$B$3="",T1128='REP COMMISSION'!$B$3,W1128='REP COMMISSION'!$B$3,Z1128='REP COMMISSION'!$B$3)),1,0)</f>
        <v>0</v>
      </c>
      <c r="AX1128" s="24" t="n">
        <f aca="false">AX1127+IF(AND(C1128&lt;&gt;"",OR(F1128="LOC - INITIAL",F1128="CONSOLIDATION - UPFRONT COMM",F1128="REVERSE - TOTAL FUNDING")),1,0)</f>
        <v>0</v>
      </c>
    </row>
    <row r="1129" customFormat="false" ht="15" hidden="false" customHeight="false" outlineLevel="0" collapsed="false">
      <c r="A1129" s="25" t="str">
        <f aca="false">IF(C1129&lt;&gt;"","F27-"&amp;COUNT($C$4:C1129),"")</f>
        <v/>
      </c>
      <c r="B1129" s="26" t="str">
        <f aca="false">IF(OR(F1129="LOC - INITIAL",F1129="CONSOLIDATION - UPFRONT COMM",F1129="REVERSE - TOTAL FUNDING"),A1129,"")</f>
        <v/>
      </c>
      <c r="C1129" s="27"/>
      <c r="D1129" s="28"/>
      <c r="E1129" s="28"/>
      <c r="F1129" s="28"/>
      <c r="G1129" s="29"/>
      <c r="H1129" s="30"/>
      <c r="I1129" s="28"/>
      <c r="J1129" s="31" t="str">
        <f aca="false">IF(AND(G1129&lt;&gt;"",H1129&lt;&gt;""),G1129*H1129,"")</f>
        <v/>
      </c>
      <c r="K1129" s="28"/>
      <c r="L1129" s="32"/>
      <c r="M1129" s="32"/>
      <c r="N1129" s="31" t="n">
        <f aca="false">IF(OR(G1129="",M1129=""),0,IF(M1129&gt;100,M1129,G1129*IF(M1129&gt;1,M1129/100,M1129)))</f>
        <v>0</v>
      </c>
      <c r="O1129" s="31" t="str">
        <f aca="false">IF(G1129="","",G1129*IF(L1129="",0,IF(L1129&gt;1,L1129/100,L1129))+N1129)</f>
        <v/>
      </c>
      <c r="P1129" s="28"/>
      <c r="Q1129" s="33" t="str">
        <f aca="false">IF(P1129="","",IFERROR(VLOOKUP(P1129,PARTNERS!$A$2:$B$30,2,0),""))</f>
        <v/>
      </c>
      <c r="R1129" s="17" t="str">
        <f aca="false">IF(O1129="","",IF(OR(P1129="",Q1129=""),0,(O1129-N1129)*IF(Q1129&gt;1,Q1129/100,Q1129)))</f>
        <v/>
      </c>
      <c r="S1129" s="31" t="str">
        <f aca="false">IF(O1129="","",O1129-R1129)</f>
        <v/>
      </c>
      <c r="T1129" s="28"/>
      <c r="U1129" s="34" t="str">
        <f aca="false">IF(T1129="","",IFERROR(VLOOKUP(T1129,REPS!$A$2:$D$40,2,0),""))</f>
        <v/>
      </c>
      <c r="V1129" s="31" t="str">
        <f aca="false">IF(O1129="","",IF(U1129="",0,O1129*IF(U1129&gt;1,U1129/100,U1129)))</f>
        <v/>
      </c>
      <c r="W1129" s="28"/>
      <c r="X1129" s="34" t="str">
        <f aca="false">IF(W1129="","",IFERROR(VLOOKUP(W1129,REPS!$A$2:$D$40,3,0),""))</f>
        <v/>
      </c>
      <c r="Y1129" s="31" t="str">
        <f aca="false">IF(O1129="","",IF(X1129="",0,O1129*IF(X1129&gt;1,X1129/100,X1129)))</f>
        <v/>
      </c>
      <c r="Z1129" s="28"/>
      <c r="AA1129" s="34" t="str">
        <f aca="false">IF(Z1129="","",IFERROR(VLOOKUP(Z1129,REPS!$A$2:$D$40,4,0),""))</f>
        <v/>
      </c>
      <c r="AB1129" s="31" t="str">
        <f aca="false">IF(O1129="","",IF(AA1129="",0,O1129*IF(AA1129&gt;1,AA1129/100,AA1129)))</f>
        <v/>
      </c>
      <c r="AC1129" s="31" t="str">
        <f aca="false">IF(O1129="","",V1129+Y1129+AB1129)</f>
        <v/>
      </c>
      <c r="AD1129" s="19" t="str">
        <f aca="false">IF(O1129="","",O1129-R1129-AC1129)</f>
        <v/>
      </c>
      <c r="AE1129" s="20"/>
      <c r="AF1129" s="27"/>
      <c r="AG1129" s="21" t="n">
        <f aca="false">IF(OR(AE1129="",AE1129=0),0,AE1129*IF(U1129="",0,IF(U1129&gt;1,U1129/100,U1129)))</f>
        <v>0</v>
      </c>
      <c r="AH1129" s="21" t="n">
        <f aca="false">IF(OR(AE1129="",AE1129=0),0,AE1129*IF(X1129="",0,IF(X1129&gt;1,X1129/100,X1129)))</f>
        <v>0</v>
      </c>
      <c r="AI1129" s="21" t="n">
        <f aca="false">IF(OR(AE1129="",AE1129=0),0,AE1129*IF(AA1129="",0,IF(AA1129&gt;1,AA1129/100,AA1129)))</f>
        <v>0</v>
      </c>
      <c r="AJ1129" s="21" t="n">
        <f aca="false">AG1129+AH1129+AI1129</f>
        <v>0</v>
      </c>
      <c r="AK1129" s="21" t="n">
        <f aca="false">IF(OR(AE1129="",AE1129=0),0,AE1129-AJ1129)</f>
        <v>0</v>
      </c>
      <c r="AL1129" s="19" t="str">
        <f aca="false">IF(AD1129="","",AD1129-AK1129)</f>
        <v/>
      </c>
      <c r="AM1129" s="26" t="str">
        <f aca="false">IF(C1129="","","Waiting for payment")</f>
        <v/>
      </c>
      <c r="AN1129" s="27"/>
      <c r="AO1129" s="27"/>
      <c r="AP1129" s="35" t="str">
        <f aca="false">IF(OR(C1129="",I1129="",K1129=""),"",IF(K1129="Monthly",EDATE(C1129,ROUND(I1129*SETTINGS!$I$8,0)),WORKDAY(C1129,ROUND(I1129*SETTINGS!$I$8,0))))</f>
        <v/>
      </c>
      <c r="AQ1129" s="26" t="str">
        <f aca="true">IF(C1129="","",IF(AND(AP1129&lt;&gt;"",TODAY()&gt;=AP1129),"Refi Ready",IF(TODAY()-C1129&gt;=SETTINGS!$I$11,"Prospecting","Performing")))</f>
        <v/>
      </c>
      <c r="AR1129" s="35" t="str">
        <f aca="false">IF(OR(C1129="",I1129="",K1129=""),"",IF(K1129="Monthly",EDATE(C1129,I1129),WORKDAY(C1129,I1129)))</f>
        <v/>
      </c>
      <c r="AS1129" s="28"/>
      <c r="AT1129" s="36" t="str">
        <f aca="true">IF(C1129="","",IF(AM1129="Clawed Back","CLAWED",IF(TODAY()&lt;=C1129+SETTINGS!$I$2,"⚠ AT RISK","SAFE")))</f>
        <v/>
      </c>
      <c r="AU1129" s="28"/>
      <c r="AW1129" s="24" t="n">
        <f aca="false">AW1128+IF(AND(C1129&lt;&gt;"",AO1129&lt;&gt;"",OR('REP COMMISSION'!$B$3="",T1129='REP COMMISSION'!$B$3,W1129='REP COMMISSION'!$B$3,Z1129='REP COMMISSION'!$B$3)),1,0)</f>
        <v>0</v>
      </c>
      <c r="AX1129" s="24" t="n">
        <f aca="false">AX1128+IF(AND(C1129&lt;&gt;"",OR(F1129="LOC - INITIAL",F1129="CONSOLIDATION - UPFRONT COMM",F1129="REVERSE - TOTAL FUNDING")),1,0)</f>
        <v>0</v>
      </c>
    </row>
    <row r="1130" customFormat="false" ht="15" hidden="false" customHeight="false" outlineLevel="0" collapsed="false">
      <c r="A1130" s="8" t="str">
        <f aca="false">IF(C1130&lt;&gt;"","F27-"&amp;COUNT($C$4:C1130),"")</f>
        <v/>
      </c>
      <c r="B1130" s="9" t="str">
        <f aca="false">IF(OR(F1130="LOC - INITIAL",F1130="CONSOLIDATION - UPFRONT COMM",F1130="REVERSE - TOTAL FUNDING"),A1130,"")</f>
        <v/>
      </c>
      <c r="C1130" s="10"/>
      <c r="D1130" s="11"/>
      <c r="E1130" s="11"/>
      <c r="F1130" s="11"/>
      <c r="G1130" s="12"/>
      <c r="H1130" s="13"/>
      <c r="I1130" s="11"/>
      <c r="J1130" s="14" t="str">
        <f aca="false">IF(AND(G1130&lt;&gt;"",H1130&lt;&gt;""),G1130*H1130,"")</f>
        <v/>
      </c>
      <c r="K1130" s="11"/>
      <c r="L1130" s="15"/>
      <c r="M1130" s="15"/>
      <c r="N1130" s="14" t="n">
        <f aca="false">IF(OR(G1130="",M1130=""),0,IF(M1130&gt;100,M1130,G1130*IF(M1130&gt;1,M1130/100,M1130)))</f>
        <v>0</v>
      </c>
      <c r="O1130" s="14" t="str">
        <f aca="false">IF(G1130="","",G1130*IF(L1130="",0,IF(L1130&gt;1,L1130/100,L1130))+N1130)</f>
        <v/>
      </c>
      <c r="P1130" s="11"/>
      <c r="Q1130" s="16" t="str">
        <f aca="false">IF(P1130="","",IFERROR(VLOOKUP(P1130,PARTNERS!$A$2:$B$30,2,0),""))</f>
        <v/>
      </c>
      <c r="R1130" s="17" t="str">
        <f aca="false">IF(O1130="","",IF(OR(P1130="",Q1130=""),0,(O1130-N1130)*IF(Q1130&gt;1,Q1130/100,Q1130)))</f>
        <v/>
      </c>
      <c r="S1130" s="14" t="str">
        <f aca="false">IF(O1130="","",O1130-R1130)</f>
        <v/>
      </c>
      <c r="T1130" s="11"/>
      <c r="U1130" s="18" t="str">
        <f aca="false">IF(T1130="","",IFERROR(VLOOKUP(T1130,REPS!$A$2:$D$40,2,0),""))</f>
        <v/>
      </c>
      <c r="V1130" s="14" t="str">
        <f aca="false">IF(O1130="","",IF(U1130="",0,O1130*IF(U1130&gt;1,U1130/100,U1130)))</f>
        <v/>
      </c>
      <c r="W1130" s="11"/>
      <c r="X1130" s="18" t="str">
        <f aca="false">IF(W1130="","",IFERROR(VLOOKUP(W1130,REPS!$A$2:$D$40,3,0),""))</f>
        <v/>
      </c>
      <c r="Y1130" s="14" t="str">
        <f aca="false">IF(O1130="","",IF(X1130="",0,O1130*IF(X1130&gt;1,X1130/100,X1130)))</f>
        <v/>
      </c>
      <c r="Z1130" s="11"/>
      <c r="AA1130" s="18" t="str">
        <f aca="false">IF(Z1130="","",IFERROR(VLOOKUP(Z1130,REPS!$A$2:$D$40,4,0),""))</f>
        <v/>
      </c>
      <c r="AB1130" s="14" t="str">
        <f aca="false">IF(O1130="","",IF(AA1130="",0,O1130*IF(AA1130&gt;1,AA1130/100,AA1130)))</f>
        <v/>
      </c>
      <c r="AC1130" s="14" t="str">
        <f aca="false">IF(O1130="","",V1130+Y1130+AB1130)</f>
        <v/>
      </c>
      <c r="AD1130" s="19" t="str">
        <f aca="false">IF(O1130="","",O1130-R1130-AC1130)</f>
        <v/>
      </c>
      <c r="AE1130" s="20"/>
      <c r="AF1130" s="10"/>
      <c r="AG1130" s="21" t="n">
        <f aca="false">IF(OR(AE1130="",AE1130=0),0,AE1130*IF(U1130="",0,IF(U1130&gt;1,U1130/100,U1130)))</f>
        <v>0</v>
      </c>
      <c r="AH1130" s="21" t="n">
        <f aca="false">IF(OR(AE1130="",AE1130=0),0,AE1130*IF(X1130="",0,IF(X1130&gt;1,X1130/100,X1130)))</f>
        <v>0</v>
      </c>
      <c r="AI1130" s="21" t="n">
        <f aca="false">IF(OR(AE1130="",AE1130=0),0,AE1130*IF(AA1130="",0,IF(AA1130&gt;1,AA1130/100,AA1130)))</f>
        <v>0</v>
      </c>
      <c r="AJ1130" s="21" t="n">
        <f aca="false">AG1130+AH1130+AI1130</f>
        <v>0</v>
      </c>
      <c r="AK1130" s="21" t="n">
        <f aca="false">IF(OR(AE1130="",AE1130=0),0,AE1130-AJ1130)</f>
        <v>0</v>
      </c>
      <c r="AL1130" s="19" t="str">
        <f aca="false">IF(AD1130="","",AD1130-AK1130)</f>
        <v/>
      </c>
      <c r="AM1130" s="9" t="str">
        <f aca="false">IF(C1130="","","Waiting for payment")</f>
        <v/>
      </c>
      <c r="AN1130" s="10"/>
      <c r="AO1130" s="10"/>
      <c r="AP1130" s="22" t="str">
        <f aca="false">IF(OR(C1130="",I1130="",K1130=""),"",IF(K1130="Monthly",EDATE(C1130,ROUND(I1130*SETTINGS!$I$8,0)),WORKDAY(C1130,ROUND(I1130*SETTINGS!$I$8,0))))</f>
        <v/>
      </c>
      <c r="AQ1130" s="9" t="str">
        <f aca="true">IF(C1130="","",IF(AND(AP1130&lt;&gt;"",TODAY()&gt;=AP1130),"Refi Ready",IF(TODAY()-C1130&gt;=SETTINGS!$I$11,"Prospecting","Performing")))</f>
        <v/>
      </c>
      <c r="AR1130" s="22" t="str">
        <f aca="false">IF(OR(C1130="",I1130="",K1130=""),"",IF(K1130="Monthly",EDATE(C1130,I1130),WORKDAY(C1130,I1130)))</f>
        <v/>
      </c>
      <c r="AS1130" s="11"/>
      <c r="AT1130" s="23" t="str">
        <f aca="true">IF(C1130="","",IF(AM1130="Clawed Back","CLAWED",IF(TODAY()&lt;=C1130+SETTINGS!$I$2,"⚠ AT RISK","SAFE")))</f>
        <v/>
      </c>
      <c r="AU1130" s="11"/>
      <c r="AW1130" s="24" t="n">
        <f aca="false">AW1129+IF(AND(C1130&lt;&gt;"",AO1130&lt;&gt;"",OR('REP COMMISSION'!$B$3="",T1130='REP COMMISSION'!$B$3,W1130='REP COMMISSION'!$B$3,Z1130='REP COMMISSION'!$B$3)),1,0)</f>
        <v>0</v>
      </c>
      <c r="AX1130" s="24" t="n">
        <f aca="false">AX1129+IF(AND(C1130&lt;&gt;"",OR(F1130="LOC - INITIAL",F1130="CONSOLIDATION - UPFRONT COMM",F1130="REVERSE - TOTAL FUNDING")),1,0)</f>
        <v>0</v>
      </c>
    </row>
    <row r="1131" customFormat="false" ht="15" hidden="false" customHeight="false" outlineLevel="0" collapsed="false">
      <c r="A1131" s="25" t="str">
        <f aca="false">IF(C1131&lt;&gt;"","F27-"&amp;COUNT($C$4:C1131),"")</f>
        <v/>
      </c>
      <c r="B1131" s="26" t="str">
        <f aca="false">IF(OR(F1131="LOC - INITIAL",F1131="CONSOLIDATION - UPFRONT COMM",F1131="REVERSE - TOTAL FUNDING"),A1131,"")</f>
        <v/>
      </c>
      <c r="C1131" s="27"/>
      <c r="D1131" s="28"/>
      <c r="E1131" s="28"/>
      <c r="F1131" s="28"/>
      <c r="G1131" s="29"/>
      <c r="H1131" s="30"/>
      <c r="I1131" s="28"/>
      <c r="J1131" s="31" t="str">
        <f aca="false">IF(AND(G1131&lt;&gt;"",H1131&lt;&gt;""),G1131*H1131,"")</f>
        <v/>
      </c>
      <c r="K1131" s="28"/>
      <c r="L1131" s="32"/>
      <c r="M1131" s="32"/>
      <c r="N1131" s="31" t="n">
        <f aca="false">IF(OR(G1131="",M1131=""),0,IF(M1131&gt;100,M1131,G1131*IF(M1131&gt;1,M1131/100,M1131)))</f>
        <v>0</v>
      </c>
      <c r="O1131" s="31" t="str">
        <f aca="false">IF(G1131="","",G1131*IF(L1131="",0,IF(L1131&gt;1,L1131/100,L1131))+N1131)</f>
        <v/>
      </c>
      <c r="P1131" s="28"/>
      <c r="Q1131" s="33" t="str">
        <f aca="false">IF(P1131="","",IFERROR(VLOOKUP(P1131,PARTNERS!$A$2:$B$30,2,0),""))</f>
        <v/>
      </c>
      <c r="R1131" s="17" t="str">
        <f aca="false">IF(O1131="","",IF(OR(P1131="",Q1131=""),0,(O1131-N1131)*IF(Q1131&gt;1,Q1131/100,Q1131)))</f>
        <v/>
      </c>
      <c r="S1131" s="31" t="str">
        <f aca="false">IF(O1131="","",O1131-R1131)</f>
        <v/>
      </c>
      <c r="T1131" s="28"/>
      <c r="U1131" s="34" t="str">
        <f aca="false">IF(T1131="","",IFERROR(VLOOKUP(T1131,REPS!$A$2:$D$40,2,0),""))</f>
        <v/>
      </c>
      <c r="V1131" s="31" t="str">
        <f aca="false">IF(O1131="","",IF(U1131="",0,O1131*IF(U1131&gt;1,U1131/100,U1131)))</f>
        <v/>
      </c>
      <c r="W1131" s="28"/>
      <c r="X1131" s="34" t="str">
        <f aca="false">IF(W1131="","",IFERROR(VLOOKUP(W1131,REPS!$A$2:$D$40,3,0),""))</f>
        <v/>
      </c>
      <c r="Y1131" s="31" t="str">
        <f aca="false">IF(O1131="","",IF(X1131="",0,O1131*IF(X1131&gt;1,X1131/100,X1131)))</f>
        <v/>
      </c>
      <c r="Z1131" s="28"/>
      <c r="AA1131" s="34" t="str">
        <f aca="false">IF(Z1131="","",IFERROR(VLOOKUP(Z1131,REPS!$A$2:$D$40,4,0),""))</f>
        <v/>
      </c>
      <c r="AB1131" s="31" t="str">
        <f aca="false">IF(O1131="","",IF(AA1131="",0,O1131*IF(AA1131&gt;1,AA1131/100,AA1131)))</f>
        <v/>
      </c>
      <c r="AC1131" s="31" t="str">
        <f aca="false">IF(O1131="","",V1131+Y1131+AB1131)</f>
        <v/>
      </c>
      <c r="AD1131" s="19" t="str">
        <f aca="false">IF(O1131="","",O1131-R1131-AC1131)</f>
        <v/>
      </c>
      <c r="AE1131" s="20"/>
      <c r="AF1131" s="27"/>
      <c r="AG1131" s="21" t="n">
        <f aca="false">IF(OR(AE1131="",AE1131=0),0,AE1131*IF(U1131="",0,IF(U1131&gt;1,U1131/100,U1131)))</f>
        <v>0</v>
      </c>
      <c r="AH1131" s="21" t="n">
        <f aca="false">IF(OR(AE1131="",AE1131=0),0,AE1131*IF(X1131="",0,IF(X1131&gt;1,X1131/100,X1131)))</f>
        <v>0</v>
      </c>
      <c r="AI1131" s="21" t="n">
        <f aca="false">IF(OR(AE1131="",AE1131=0),0,AE1131*IF(AA1131="",0,IF(AA1131&gt;1,AA1131/100,AA1131)))</f>
        <v>0</v>
      </c>
      <c r="AJ1131" s="21" t="n">
        <f aca="false">AG1131+AH1131+AI1131</f>
        <v>0</v>
      </c>
      <c r="AK1131" s="21" t="n">
        <f aca="false">IF(OR(AE1131="",AE1131=0),0,AE1131-AJ1131)</f>
        <v>0</v>
      </c>
      <c r="AL1131" s="19" t="str">
        <f aca="false">IF(AD1131="","",AD1131-AK1131)</f>
        <v/>
      </c>
      <c r="AM1131" s="26" t="str">
        <f aca="false">IF(C1131="","","Waiting for payment")</f>
        <v/>
      </c>
      <c r="AN1131" s="27"/>
      <c r="AO1131" s="27"/>
      <c r="AP1131" s="35" t="str">
        <f aca="false">IF(OR(C1131="",I1131="",K1131=""),"",IF(K1131="Monthly",EDATE(C1131,ROUND(I1131*SETTINGS!$I$8,0)),WORKDAY(C1131,ROUND(I1131*SETTINGS!$I$8,0))))</f>
        <v/>
      </c>
      <c r="AQ1131" s="26" t="str">
        <f aca="true">IF(C1131="","",IF(AND(AP1131&lt;&gt;"",TODAY()&gt;=AP1131),"Refi Ready",IF(TODAY()-C1131&gt;=SETTINGS!$I$11,"Prospecting","Performing")))</f>
        <v/>
      </c>
      <c r="AR1131" s="35" t="str">
        <f aca="false">IF(OR(C1131="",I1131="",K1131=""),"",IF(K1131="Monthly",EDATE(C1131,I1131),WORKDAY(C1131,I1131)))</f>
        <v/>
      </c>
      <c r="AS1131" s="28"/>
      <c r="AT1131" s="36" t="str">
        <f aca="true">IF(C1131="","",IF(AM1131="Clawed Back","CLAWED",IF(TODAY()&lt;=C1131+SETTINGS!$I$2,"⚠ AT RISK","SAFE")))</f>
        <v/>
      </c>
      <c r="AU1131" s="28"/>
      <c r="AW1131" s="24" t="n">
        <f aca="false">AW1130+IF(AND(C1131&lt;&gt;"",AO1131&lt;&gt;"",OR('REP COMMISSION'!$B$3="",T1131='REP COMMISSION'!$B$3,W1131='REP COMMISSION'!$B$3,Z1131='REP COMMISSION'!$B$3)),1,0)</f>
        <v>0</v>
      </c>
      <c r="AX1131" s="24" t="n">
        <f aca="false">AX1130+IF(AND(C1131&lt;&gt;"",OR(F1131="LOC - INITIAL",F1131="CONSOLIDATION - UPFRONT COMM",F1131="REVERSE - TOTAL FUNDING")),1,0)</f>
        <v>0</v>
      </c>
    </row>
    <row r="1132" customFormat="false" ht="15" hidden="false" customHeight="false" outlineLevel="0" collapsed="false">
      <c r="A1132" s="8" t="str">
        <f aca="false">IF(C1132&lt;&gt;"","F27-"&amp;COUNT($C$4:C1132),"")</f>
        <v/>
      </c>
      <c r="B1132" s="9" t="str">
        <f aca="false">IF(OR(F1132="LOC - INITIAL",F1132="CONSOLIDATION - UPFRONT COMM",F1132="REVERSE - TOTAL FUNDING"),A1132,"")</f>
        <v/>
      </c>
      <c r="C1132" s="10"/>
      <c r="D1132" s="11"/>
      <c r="E1132" s="11"/>
      <c r="F1132" s="11"/>
      <c r="G1132" s="12"/>
      <c r="H1132" s="13"/>
      <c r="I1132" s="11"/>
      <c r="J1132" s="14" t="str">
        <f aca="false">IF(AND(G1132&lt;&gt;"",H1132&lt;&gt;""),G1132*H1132,"")</f>
        <v/>
      </c>
      <c r="K1132" s="11"/>
      <c r="L1132" s="15"/>
      <c r="M1132" s="15"/>
      <c r="N1132" s="14" t="n">
        <f aca="false">IF(OR(G1132="",M1132=""),0,IF(M1132&gt;100,M1132,G1132*IF(M1132&gt;1,M1132/100,M1132)))</f>
        <v>0</v>
      </c>
      <c r="O1132" s="14" t="str">
        <f aca="false">IF(G1132="","",G1132*IF(L1132="",0,IF(L1132&gt;1,L1132/100,L1132))+N1132)</f>
        <v/>
      </c>
      <c r="P1132" s="11"/>
      <c r="Q1132" s="16" t="str">
        <f aca="false">IF(P1132="","",IFERROR(VLOOKUP(P1132,PARTNERS!$A$2:$B$30,2,0),""))</f>
        <v/>
      </c>
      <c r="R1132" s="17" t="str">
        <f aca="false">IF(O1132="","",IF(OR(P1132="",Q1132=""),0,(O1132-N1132)*IF(Q1132&gt;1,Q1132/100,Q1132)))</f>
        <v/>
      </c>
      <c r="S1132" s="14" t="str">
        <f aca="false">IF(O1132="","",O1132-R1132)</f>
        <v/>
      </c>
      <c r="T1132" s="11"/>
      <c r="U1132" s="18" t="str">
        <f aca="false">IF(T1132="","",IFERROR(VLOOKUP(T1132,REPS!$A$2:$D$40,2,0),""))</f>
        <v/>
      </c>
      <c r="V1132" s="14" t="str">
        <f aca="false">IF(O1132="","",IF(U1132="",0,O1132*IF(U1132&gt;1,U1132/100,U1132)))</f>
        <v/>
      </c>
      <c r="W1132" s="11"/>
      <c r="X1132" s="18" t="str">
        <f aca="false">IF(W1132="","",IFERROR(VLOOKUP(W1132,REPS!$A$2:$D$40,3,0),""))</f>
        <v/>
      </c>
      <c r="Y1132" s="14" t="str">
        <f aca="false">IF(O1132="","",IF(X1132="",0,O1132*IF(X1132&gt;1,X1132/100,X1132)))</f>
        <v/>
      </c>
      <c r="Z1132" s="11"/>
      <c r="AA1132" s="18" t="str">
        <f aca="false">IF(Z1132="","",IFERROR(VLOOKUP(Z1132,REPS!$A$2:$D$40,4,0),""))</f>
        <v/>
      </c>
      <c r="AB1132" s="14" t="str">
        <f aca="false">IF(O1132="","",IF(AA1132="",0,O1132*IF(AA1132&gt;1,AA1132/100,AA1132)))</f>
        <v/>
      </c>
      <c r="AC1132" s="14" t="str">
        <f aca="false">IF(O1132="","",V1132+Y1132+AB1132)</f>
        <v/>
      </c>
      <c r="AD1132" s="19" t="str">
        <f aca="false">IF(O1132="","",O1132-R1132-AC1132)</f>
        <v/>
      </c>
      <c r="AE1132" s="20"/>
      <c r="AF1132" s="10"/>
      <c r="AG1132" s="21" t="n">
        <f aca="false">IF(OR(AE1132="",AE1132=0),0,AE1132*IF(U1132="",0,IF(U1132&gt;1,U1132/100,U1132)))</f>
        <v>0</v>
      </c>
      <c r="AH1132" s="21" t="n">
        <f aca="false">IF(OR(AE1132="",AE1132=0),0,AE1132*IF(X1132="",0,IF(X1132&gt;1,X1132/100,X1132)))</f>
        <v>0</v>
      </c>
      <c r="AI1132" s="21" t="n">
        <f aca="false">IF(OR(AE1132="",AE1132=0),0,AE1132*IF(AA1132="",0,IF(AA1132&gt;1,AA1132/100,AA1132)))</f>
        <v>0</v>
      </c>
      <c r="AJ1132" s="21" t="n">
        <f aca="false">AG1132+AH1132+AI1132</f>
        <v>0</v>
      </c>
      <c r="AK1132" s="21" t="n">
        <f aca="false">IF(OR(AE1132="",AE1132=0),0,AE1132-AJ1132)</f>
        <v>0</v>
      </c>
      <c r="AL1132" s="19" t="str">
        <f aca="false">IF(AD1132="","",AD1132-AK1132)</f>
        <v/>
      </c>
      <c r="AM1132" s="9" t="str">
        <f aca="false">IF(C1132="","","Waiting for payment")</f>
        <v/>
      </c>
      <c r="AN1132" s="10"/>
      <c r="AO1132" s="10"/>
      <c r="AP1132" s="22" t="str">
        <f aca="false">IF(OR(C1132="",I1132="",K1132=""),"",IF(K1132="Monthly",EDATE(C1132,ROUND(I1132*SETTINGS!$I$8,0)),WORKDAY(C1132,ROUND(I1132*SETTINGS!$I$8,0))))</f>
        <v/>
      </c>
      <c r="AQ1132" s="9" t="str">
        <f aca="true">IF(C1132="","",IF(AND(AP1132&lt;&gt;"",TODAY()&gt;=AP1132),"Refi Ready",IF(TODAY()-C1132&gt;=SETTINGS!$I$11,"Prospecting","Performing")))</f>
        <v/>
      </c>
      <c r="AR1132" s="22" t="str">
        <f aca="false">IF(OR(C1132="",I1132="",K1132=""),"",IF(K1132="Monthly",EDATE(C1132,I1132),WORKDAY(C1132,I1132)))</f>
        <v/>
      </c>
      <c r="AS1132" s="11"/>
      <c r="AT1132" s="23" t="str">
        <f aca="true">IF(C1132="","",IF(AM1132="Clawed Back","CLAWED",IF(TODAY()&lt;=C1132+SETTINGS!$I$2,"⚠ AT RISK","SAFE")))</f>
        <v/>
      </c>
      <c r="AU1132" s="11"/>
      <c r="AW1132" s="24" t="n">
        <f aca="false">AW1131+IF(AND(C1132&lt;&gt;"",AO1132&lt;&gt;"",OR('REP COMMISSION'!$B$3="",T1132='REP COMMISSION'!$B$3,W1132='REP COMMISSION'!$B$3,Z1132='REP COMMISSION'!$B$3)),1,0)</f>
        <v>0</v>
      </c>
      <c r="AX1132" s="24" t="n">
        <f aca="false">AX1131+IF(AND(C1132&lt;&gt;"",OR(F1132="LOC - INITIAL",F1132="CONSOLIDATION - UPFRONT COMM",F1132="REVERSE - TOTAL FUNDING")),1,0)</f>
        <v>0</v>
      </c>
    </row>
    <row r="1133" customFormat="false" ht="15" hidden="false" customHeight="false" outlineLevel="0" collapsed="false">
      <c r="A1133" s="25" t="str">
        <f aca="false">IF(C1133&lt;&gt;"","F27-"&amp;COUNT($C$4:C1133),"")</f>
        <v/>
      </c>
      <c r="B1133" s="26" t="str">
        <f aca="false">IF(OR(F1133="LOC - INITIAL",F1133="CONSOLIDATION - UPFRONT COMM",F1133="REVERSE - TOTAL FUNDING"),A1133,"")</f>
        <v/>
      </c>
      <c r="C1133" s="27"/>
      <c r="D1133" s="28"/>
      <c r="E1133" s="28"/>
      <c r="F1133" s="28"/>
      <c r="G1133" s="29"/>
      <c r="H1133" s="30"/>
      <c r="I1133" s="28"/>
      <c r="J1133" s="31" t="str">
        <f aca="false">IF(AND(G1133&lt;&gt;"",H1133&lt;&gt;""),G1133*H1133,"")</f>
        <v/>
      </c>
      <c r="K1133" s="28"/>
      <c r="L1133" s="32"/>
      <c r="M1133" s="32"/>
      <c r="N1133" s="31" t="n">
        <f aca="false">IF(OR(G1133="",M1133=""),0,IF(M1133&gt;100,M1133,G1133*IF(M1133&gt;1,M1133/100,M1133)))</f>
        <v>0</v>
      </c>
      <c r="O1133" s="31" t="str">
        <f aca="false">IF(G1133="","",G1133*IF(L1133="",0,IF(L1133&gt;1,L1133/100,L1133))+N1133)</f>
        <v/>
      </c>
      <c r="P1133" s="28"/>
      <c r="Q1133" s="33" t="str">
        <f aca="false">IF(P1133="","",IFERROR(VLOOKUP(P1133,PARTNERS!$A$2:$B$30,2,0),""))</f>
        <v/>
      </c>
      <c r="R1133" s="17" t="str">
        <f aca="false">IF(O1133="","",IF(OR(P1133="",Q1133=""),0,(O1133-N1133)*IF(Q1133&gt;1,Q1133/100,Q1133)))</f>
        <v/>
      </c>
      <c r="S1133" s="31" t="str">
        <f aca="false">IF(O1133="","",O1133-R1133)</f>
        <v/>
      </c>
      <c r="T1133" s="28"/>
      <c r="U1133" s="34" t="str">
        <f aca="false">IF(T1133="","",IFERROR(VLOOKUP(T1133,REPS!$A$2:$D$40,2,0),""))</f>
        <v/>
      </c>
      <c r="V1133" s="31" t="str">
        <f aca="false">IF(O1133="","",IF(U1133="",0,O1133*IF(U1133&gt;1,U1133/100,U1133)))</f>
        <v/>
      </c>
      <c r="W1133" s="28"/>
      <c r="X1133" s="34" t="str">
        <f aca="false">IF(W1133="","",IFERROR(VLOOKUP(W1133,REPS!$A$2:$D$40,3,0),""))</f>
        <v/>
      </c>
      <c r="Y1133" s="31" t="str">
        <f aca="false">IF(O1133="","",IF(X1133="",0,O1133*IF(X1133&gt;1,X1133/100,X1133)))</f>
        <v/>
      </c>
      <c r="Z1133" s="28"/>
      <c r="AA1133" s="34" t="str">
        <f aca="false">IF(Z1133="","",IFERROR(VLOOKUP(Z1133,REPS!$A$2:$D$40,4,0),""))</f>
        <v/>
      </c>
      <c r="AB1133" s="31" t="str">
        <f aca="false">IF(O1133="","",IF(AA1133="",0,O1133*IF(AA1133&gt;1,AA1133/100,AA1133)))</f>
        <v/>
      </c>
      <c r="AC1133" s="31" t="str">
        <f aca="false">IF(O1133="","",V1133+Y1133+AB1133)</f>
        <v/>
      </c>
      <c r="AD1133" s="19" t="str">
        <f aca="false">IF(O1133="","",O1133-R1133-AC1133)</f>
        <v/>
      </c>
      <c r="AE1133" s="20"/>
      <c r="AF1133" s="27"/>
      <c r="AG1133" s="21" t="n">
        <f aca="false">IF(OR(AE1133="",AE1133=0),0,AE1133*IF(U1133="",0,IF(U1133&gt;1,U1133/100,U1133)))</f>
        <v>0</v>
      </c>
      <c r="AH1133" s="21" t="n">
        <f aca="false">IF(OR(AE1133="",AE1133=0),0,AE1133*IF(X1133="",0,IF(X1133&gt;1,X1133/100,X1133)))</f>
        <v>0</v>
      </c>
      <c r="AI1133" s="21" t="n">
        <f aca="false">IF(OR(AE1133="",AE1133=0),0,AE1133*IF(AA1133="",0,IF(AA1133&gt;1,AA1133/100,AA1133)))</f>
        <v>0</v>
      </c>
      <c r="AJ1133" s="21" t="n">
        <f aca="false">AG1133+AH1133+AI1133</f>
        <v>0</v>
      </c>
      <c r="AK1133" s="21" t="n">
        <f aca="false">IF(OR(AE1133="",AE1133=0),0,AE1133-AJ1133)</f>
        <v>0</v>
      </c>
      <c r="AL1133" s="19" t="str">
        <f aca="false">IF(AD1133="","",AD1133-AK1133)</f>
        <v/>
      </c>
      <c r="AM1133" s="26" t="str">
        <f aca="false">IF(C1133="","","Waiting for payment")</f>
        <v/>
      </c>
      <c r="AN1133" s="27"/>
      <c r="AO1133" s="27"/>
      <c r="AP1133" s="35" t="str">
        <f aca="false">IF(OR(C1133="",I1133="",K1133=""),"",IF(K1133="Monthly",EDATE(C1133,ROUND(I1133*SETTINGS!$I$8,0)),WORKDAY(C1133,ROUND(I1133*SETTINGS!$I$8,0))))</f>
        <v/>
      </c>
      <c r="AQ1133" s="26" t="str">
        <f aca="true">IF(C1133="","",IF(AND(AP1133&lt;&gt;"",TODAY()&gt;=AP1133),"Refi Ready",IF(TODAY()-C1133&gt;=SETTINGS!$I$11,"Prospecting","Performing")))</f>
        <v/>
      </c>
      <c r="AR1133" s="35" t="str">
        <f aca="false">IF(OR(C1133="",I1133="",K1133=""),"",IF(K1133="Monthly",EDATE(C1133,I1133),WORKDAY(C1133,I1133)))</f>
        <v/>
      </c>
      <c r="AS1133" s="28"/>
      <c r="AT1133" s="36" t="str">
        <f aca="true">IF(C1133="","",IF(AM1133="Clawed Back","CLAWED",IF(TODAY()&lt;=C1133+SETTINGS!$I$2,"⚠ AT RISK","SAFE")))</f>
        <v/>
      </c>
      <c r="AU1133" s="28"/>
      <c r="AW1133" s="24" t="n">
        <f aca="false">AW1132+IF(AND(C1133&lt;&gt;"",AO1133&lt;&gt;"",OR('REP COMMISSION'!$B$3="",T1133='REP COMMISSION'!$B$3,W1133='REP COMMISSION'!$B$3,Z1133='REP COMMISSION'!$B$3)),1,0)</f>
        <v>0</v>
      </c>
      <c r="AX1133" s="24" t="n">
        <f aca="false">AX1132+IF(AND(C1133&lt;&gt;"",OR(F1133="LOC - INITIAL",F1133="CONSOLIDATION - UPFRONT COMM",F1133="REVERSE - TOTAL FUNDING")),1,0)</f>
        <v>0</v>
      </c>
    </row>
    <row r="1134" customFormat="false" ht="15" hidden="false" customHeight="false" outlineLevel="0" collapsed="false">
      <c r="A1134" s="8" t="str">
        <f aca="false">IF(C1134&lt;&gt;"","F27-"&amp;COUNT($C$4:C1134),"")</f>
        <v/>
      </c>
      <c r="B1134" s="9" t="str">
        <f aca="false">IF(OR(F1134="LOC - INITIAL",F1134="CONSOLIDATION - UPFRONT COMM",F1134="REVERSE - TOTAL FUNDING"),A1134,"")</f>
        <v/>
      </c>
      <c r="C1134" s="10"/>
      <c r="D1134" s="11"/>
      <c r="E1134" s="11"/>
      <c r="F1134" s="11"/>
      <c r="G1134" s="12"/>
      <c r="H1134" s="13"/>
      <c r="I1134" s="11"/>
      <c r="J1134" s="14" t="str">
        <f aca="false">IF(AND(G1134&lt;&gt;"",H1134&lt;&gt;""),G1134*H1134,"")</f>
        <v/>
      </c>
      <c r="K1134" s="11"/>
      <c r="L1134" s="15"/>
      <c r="M1134" s="15"/>
      <c r="N1134" s="14" t="n">
        <f aca="false">IF(OR(G1134="",M1134=""),0,IF(M1134&gt;100,M1134,G1134*IF(M1134&gt;1,M1134/100,M1134)))</f>
        <v>0</v>
      </c>
      <c r="O1134" s="14" t="str">
        <f aca="false">IF(G1134="","",G1134*IF(L1134="",0,IF(L1134&gt;1,L1134/100,L1134))+N1134)</f>
        <v/>
      </c>
      <c r="P1134" s="11"/>
      <c r="Q1134" s="16" t="str">
        <f aca="false">IF(P1134="","",IFERROR(VLOOKUP(P1134,PARTNERS!$A$2:$B$30,2,0),""))</f>
        <v/>
      </c>
      <c r="R1134" s="17" t="str">
        <f aca="false">IF(O1134="","",IF(OR(P1134="",Q1134=""),0,(O1134-N1134)*IF(Q1134&gt;1,Q1134/100,Q1134)))</f>
        <v/>
      </c>
      <c r="S1134" s="14" t="str">
        <f aca="false">IF(O1134="","",O1134-R1134)</f>
        <v/>
      </c>
      <c r="T1134" s="11"/>
      <c r="U1134" s="18" t="str">
        <f aca="false">IF(T1134="","",IFERROR(VLOOKUP(T1134,REPS!$A$2:$D$40,2,0),""))</f>
        <v/>
      </c>
      <c r="V1134" s="14" t="str">
        <f aca="false">IF(O1134="","",IF(U1134="",0,O1134*IF(U1134&gt;1,U1134/100,U1134)))</f>
        <v/>
      </c>
      <c r="W1134" s="11"/>
      <c r="X1134" s="18" t="str">
        <f aca="false">IF(W1134="","",IFERROR(VLOOKUP(W1134,REPS!$A$2:$D$40,3,0),""))</f>
        <v/>
      </c>
      <c r="Y1134" s="14" t="str">
        <f aca="false">IF(O1134="","",IF(X1134="",0,O1134*IF(X1134&gt;1,X1134/100,X1134)))</f>
        <v/>
      </c>
      <c r="Z1134" s="11"/>
      <c r="AA1134" s="18" t="str">
        <f aca="false">IF(Z1134="","",IFERROR(VLOOKUP(Z1134,REPS!$A$2:$D$40,4,0),""))</f>
        <v/>
      </c>
      <c r="AB1134" s="14" t="str">
        <f aca="false">IF(O1134="","",IF(AA1134="",0,O1134*IF(AA1134&gt;1,AA1134/100,AA1134)))</f>
        <v/>
      </c>
      <c r="AC1134" s="14" t="str">
        <f aca="false">IF(O1134="","",V1134+Y1134+AB1134)</f>
        <v/>
      </c>
      <c r="AD1134" s="19" t="str">
        <f aca="false">IF(O1134="","",O1134-R1134-AC1134)</f>
        <v/>
      </c>
      <c r="AE1134" s="20"/>
      <c r="AF1134" s="10"/>
      <c r="AG1134" s="21" t="n">
        <f aca="false">IF(OR(AE1134="",AE1134=0),0,AE1134*IF(U1134="",0,IF(U1134&gt;1,U1134/100,U1134)))</f>
        <v>0</v>
      </c>
      <c r="AH1134" s="21" t="n">
        <f aca="false">IF(OR(AE1134="",AE1134=0),0,AE1134*IF(X1134="",0,IF(X1134&gt;1,X1134/100,X1134)))</f>
        <v>0</v>
      </c>
      <c r="AI1134" s="21" t="n">
        <f aca="false">IF(OR(AE1134="",AE1134=0),0,AE1134*IF(AA1134="",0,IF(AA1134&gt;1,AA1134/100,AA1134)))</f>
        <v>0</v>
      </c>
      <c r="AJ1134" s="21" t="n">
        <f aca="false">AG1134+AH1134+AI1134</f>
        <v>0</v>
      </c>
      <c r="AK1134" s="21" t="n">
        <f aca="false">IF(OR(AE1134="",AE1134=0),0,AE1134-AJ1134)</f>
        <v>0</v>
      </c>
      <c r="AL1134" s="19" t="str">
        <f aca="false">IF(AD1134="","",AD1134-AK1134)</f>
        <v/>
      </c>
      <c r="AM1134" s="9" t="str">
        <f aca="false">IF(C1134="","","Waiting for payment")</f>
        <v/>
      </c>
      <c r="AN1134" s="10"/>
      <c r="AO1134" s="10"/>
      <c r="AP1134" s="22" t="str">
        <f aca="false">IF(OR(C1134="",I1134="",K1134=""),"",IF(K1134="Monthly",EDATE(C1134,ROUND(I1134*SETTINGS!$I$8,0)),WORKDAY(C1134,ROUND(I1134*SETTINGS!$I$8,0))))</f>
        <v/>
      </c>
      <c r="AQ1134" s="9" t="str">
        <f aca="true">IF(C1134="","",IF(AND(AP1134&lt;&gt;"",TODAY()&gt;=AP1134),"Refi Ready",IF(TODAY()-C1134&gt;=SETTINGS!$I$11,"Prospecting","Performing")))</f>
        <v/>
      </c>
      <c r="AR1134" s="22" t="str">
        <f aca="false">IF(OR(C1134="",I1134="",K1134=""),"",IF(K1134="Monthly",EDATE(C1134,I1134),WORKDAY(C1134,I1134)))</f>
        <v/>
      </c>
      <c r="AS1134" s="11"/>
      <c r="AT1134" s="23" t="str">
        <f aca="true">IF(C1134="","",IF(AM1134="Clawed Back","CLAWED",IF(TODAY()&lt;=C1134+SETTINGS!$I$2,"⚠ AT RISK","SAFE")))</f>
        <v/>
      </c>
      <c r="AU1134" s="11"/>
      <c r="AW1134" s="24" t="n">
        <f aca="false">AW1133+IF(AND(C1134&lt;&gt;"",AO1134&lt;&gt;"",OR('REP COMMISSION'!$B$3="",T1134='REP COMMISSION'!$B$3,W1134='REP COMMISSION'!$B$3,Z1134='REP COMMISSION'!$B$3)),1,0)</f>
        <v>0</v>
      </c>
      <c r="AX1134" s="24" t="n">
        <f aca="false">AX1133+IF(AND(C1134&lt;&gt;"",OR(F1134="LOC - INITIAL",F1134="CONSOLIDATION - UPFRONT COMM",F1134="REVERSE - TOTAL FUNDING")),1,0)</f>
        <v>0</v>
      </c>
    </row>
    <row r="1135" customFormat="false" ht="15" hidden="false" customHeight="false" outlineLevel="0" collapsed="false">
      <c r="A1135" s="25" t="str">
        <f aca="false">IF(C1135&lt;&gt;"","F27-"&amp;COUNT($C$4:C1135),"")</f>
        <v/>
      </c>
      <c r="B1135" s="26" t="str">
        <f aca="false">IF(OR(F1135="LOC - INITIAL",F1135="CONSOLIDATION - UPFRONT COMM",F1135="REVERSE - TOTAL FUNDING"),A1135,"")</f>
        <v/>
      </c>
      <c r="C1135" s="27"/>
      <c r="D1135" s="28"/>
      <c r="E1135" s="28"/>
      <c r="F1135" s="28"/>
      <c r="G1135" s="29"/>
      <c r="H1135" s="30"/>
      <c r="I1135" s="28"/>
      <c r="J1135" s="31" t="str">
        <f aca="false">IF(AND(G1135&lt;&gt;"",H1135&lt;&gt;""),G1135*H1135,"")</f>
        <v/>
      </c>
      <c r="K1135" s="28"/>
      <c r="L1135" s="32"/>
      <c r="M1135" s="32"/>
      <c r="N1135" s="31" t="n">
        <f aca="false">IF(OR(G1135="",M1135=""),0,IF(M1135&gt;100,M1135,G1135*IF(M1135&gt;1,M1135/100,M1135)))</f>
        <v>0</v>
      </c>
      <c r="O1135" s="31" t="str">
        <f aca="false">IF(G1135="","",G1135*IF(L1135="",0,IF(L1135&gt;1,L1135/100,L1135))+N1135)</f>
        <v/>
      </c>
      <c r="P1135" s="28"/>
      <c r="Q1135" s="33" t="str">
        <f aca="false">IF(P1135="","",IFERROR(VLOOKUP(P1135,PARTNERS!$A$2:$B$30,2,0),""))</f>
        <v/>
      </c>
      <c r="R1135" s="17" t="str">
        <f aca="false">IF(O1135="","",IF(OR(P1135="",Q1135=""),0,(O1135-N1135)*IF(Q1135&gt;1,Q1135/100,Q1135)))</f>
        <v/>
      </c>
      <c r="S1135" s="31" t="str">
        <f aca="false">IF(O1135="","",O1135-R1135)</f>
        <v/>
      </c>
      <c r="T1135" s="28"/>
      <c r="U1135" s="34" t="str">
        <f aca="false">IF(T1135="","",IFERROR(VLOOKUP(T1135,REPS!$A$2:$D$40,2,0),""))</f>
        <v/>
      </c>
      <c r="V1135" s="31" t="str">
        <f aca="false">IF(O1135="","",IF(U1135="",0,O1135*IF(U1135&gt;1,U1135/100,U1135)))</f>
        <v/>
      </c>
      <c r="W1135" s="28"/>
      <c r="X1135" s="34" t="str">
        <f aca="false">IF(W1135="","",IFERROR(VLOOKUP(W1135,REPS!$A$2:$D$40,3,0),""))</f>
        <v/>
      </c>
      <c r="Y1135" s="31" t="str">
        <f aca="false">IF(O1135="","",IF(X1135="",0,O1135*IF(X1135&gt;1,X1135/100,X1135)))</f>
        <v/>
      </c>
      <c r="Z1135" s="28"/>
      <c r="AA1135" s="34" t="str">
        <f aca="false">IF(Z1135="","",IFERROR(VLOOKUP(Z1135,REPS!$A$2:$D$40,4,0),""))</f>
        <v/>
      </c>
      <c r="AB1135" s="31" t="str">
        <f aca="false">IF(O1135="","",IF(AA1135="",0,O1135*IF(AA1135&gt;1,AA1135/100,AA1135)))</f>
        <v/>
      </c>
      <c r="AC1135" s="31" t="str">
        <f aca="false">IF(O1135="","",V1135+Y1135+AB1135)</f>
        <v/>
      </c>
      <c r="AD1135" s="19" t="str">
        <f aca="false">IF(O1135="","",O1135-R1135-AC1135)</f>
        <v/>
      </c>
      <c r="AE1135" s="20"/>
      <c r="AF1135" s="27"/>
      <c r="AG1135" s="21" t="n">
        <f aca="false">IF(OR(AE1135="",AE1135=0),0,AE1135*IF(U1135="",0,IF(U1135&gt;1,U1135/100,U1135)))</f>
        <v>0</v>
      </c>
      <c r="AH1135" s="21" t="n">
        <f aca="false">IF(OR(AE1135="",AE1135=0),0,AE1135*IF(X1135="",0,IF(X1135&gt;1,X1135/100,X1135)))</f>
        <v>0</v>
      </c>
      <c r="AI1135" s="21" t="n">
        <f aca="false">IF(OR(AE1135="",AE1135=0),0,AE1135*IF(AA1135="",0,IF(AA1135&gt;1,AA1135/100,AA1135)))</f>
        <v>0</v>
      </c>
      <c r="AJ1135" s="21" t="n">
        <f aca="false">AG1135+AH1135+AI1135</f>
        <v>0</v>
      </c>
      <c r="AK1135" s="21" t="n">
        <f aca="false">IF(OR(AE1135="",AE1135=0),0,AE1135-AJ1135)</f>
        <v>0</v>
      </c>
      <c r="AL1135" s="19" t="str">
        <f aca="false">IF(AD1135="","",AD1135-AK1135)</f>
        <v/>
      </c>
      <c r="AM1135" s="26" t="str">
        <f aca="false">IF(C1135="","","Waiting for payment")</f>
        <v/>
      </c>
      <c r="AN1135" s="27"/>
      <c r="AO1135" s="27"/>
      <c r="AP1135" s="35" t="str">
        <f aca="false">IF(OR(C1135="",I1135="",K1135=""),"",IF(K1135="Monthly",EDATE(C1135,ROUND(I1135*SETTINGS!$I$8,0)),WORKDAY(C1135,ROUND(I1135*SETTINGS!$I$8,0))))</f>
        <v/>
      </c>
      <c r="AQ1135" s="26" t="str">
        <f aca="true">IF(C1135="","",IF(AND(AP1135&lt;&gt;"",TODAY()&gt;=AP1135),"Refi Ready",IF(TODAY()-C1135&gt;=SETTINGS!$I$11,"Prospecting","Performing")))</f>
        <v/>
      </c>
      <c r="AR1135" s="35" t="str">
        <f aca="false">IF(OR(C1135="",I1135="",K1135=""),"",IF(K1135="Monthly",EDATE(C1135,I1135),WORKDAY(C1135,I1135)))</f>
        <v/>
      </c>
      <c r="AS1135" s="28"/>
      <c r="AT1135" s="36" t="str">
        <f aca="true">IF(C1135="","",IF(AM1135="Clawed Back","CLAWED",IF(TODAY()&lt;=C1135+SETTINGS!$I$2,"⚠ AT RISK","SAFE")))</f>
        <v/>
      </c>
      <c r="AU1135" s="28"/>
      <c r="AW1135" s="24" t="n">
        <f aca="false">AW1134+IF(AND(C1135&lt;&gt;"",AO1135&lt;&gt;"",OR('REP COMMISSION'!$B$3="",T1135='REP COMMISSION'!$B$3,W1135='REP COMMISSION'!$B$3,Z1135='REP COMMISSION'!$B$3)),1,0)</f>
        <v>0</v>
      </c>
      <c r="AX1135" s="24" t="n">
        <f aca="false">AX1134+IF(AND(C1135&lt;&gt;"",OR(F1135="LOC - INITIAL",F1135="CONSOLIDATION - UPFRONT COMM",F1135="REVERSE - TOTAL FUNDING")),1,0)</f>
        <v>0</v>
      </c>
    </row>
    <row r="1136" customFormat="false" ht="15" hidden="false" customHeight="false" outlineLevel="0" collapsed="false">
      <c r="A1136" s="8" t="str">
        <f aca="false">IF(C1136&lt;&gt;"","F27-"&amp;COUNT($C$4:C1136),"")</f>
        <v/>
      </c>
      <c r="B1136" s="9" t="str">
        <f aca="false">IF(OR(F1136="LOC - INITIAL",F1136="CONSOLIDATION - UPFRONT COMM",F1136="REVERSE - TOTAL FUNDING"),A1136,"")</f>
        <v/>
      </c>
      <c r="C1136" s="10"/>
      <c r="D1136" s="11"/>
      <c r="E1136" s="11"/>
      <c r="F1136" s="11"/>
      <c r="G1136" s="12"/>
      <c r="H1136" s="13"/>
      <c r="I1136" s="11"/>
      <c r="J1136" s="14" t="str">
        <f aca="false">IF(AND(G1136&lt;&gt;"",H1136&lt;&gt;""),G1136*H1136,"")</f>
        <v/>
      </c>
      <c r="K1136" s="11"/>
      <c r="L1136" s="15"/>
      <c r="M1136" s="15"/>
      <c r="N1136" s="14" t="n">
        <f aca="false">IF(OR(G1136="",M1136=""),0,IF(M1136&gt;100,M1136,G1136*IF(M1136&gt;1,M1136/100,M1136)))</f>
        <v>0</v>
      </c>
      <c r="O1136" s="14" t="str">
        <f aca="false">IF(G1136="","",G1136*IF(L1136="",0,IF(L1136&gt;1,L1136/100,L1136))+N1136)</f>
        <v/>
      </c>
      <c r="P1136" s="11"/>
      <c r="Q1136" s="16" t="str">
        <f aca="false">IF(P1136="","",IFERROR(VLOOKUP(P1136,PARTNERS!$A$2:$B$30,2,0),""))</f>
        <v/>
      </c>
      <c r="R1136" s="17" t="str">
        <f aca="false">IF(O1136="","",IF(OR(P1136="",Q1136=""),0,(O1136-N1136)*IF(Q1136&gt;1,Q1136/100,Q1136)))</f>
        <v/>
      </c>
      <c r="S1136" s="14" t="str">
        <f aca="false">IF(O1136="","",O1136-R1136)</f>
        <v/>
      </c>
      <c r="T1136" s="11"/>
      <c r="U1136" s="18" t="str">
        <f aca="false">IF(T1136="","",IFERROR(VLOOKUP(T1136,REPS!$A$2:$D$40,2,0),""))</f>
        <v/>
      </c>
      <c r="V1136" s="14" t="str">
        <f aca="false">IF(O1136="","",IF(U1136="",0,O1136*IF(U1136&gt;1,U1136/100,U1136)))</f>
        <v/>
      </c>
      <c r="W1136" s="11"/>
      <c r="X1136" s="18" t="str">
        <f aca="false">IF(W1136="","",IFERROR(VLOOKUP(W1136,REPS!$A$2:$D$40,3,0),""))</f>
        <v/>
      </c>
      <c r="Y1136" s="14" t="str">
        <f aca="false">IF(O1136="","",IF(X1136="",0,O1136*IF(X1136&gt;1,X1136/100,X1136)))</f>
        <v/>
      </c>
      <c r="Z1136" s="11"/>
      <c r="AA1136" s="18" t="str">
        <f aca="false">IF(Z1136="","",IFERROR(VLOOKUP(Z1136,REPS!$A$2:$D$40,4,0),""))</f>
        <v/>
      </c>
      <c r="AB1136" s="14" t="str">
        <f aca="false">IF(O1136="","",IF(AA1136="",0,O1136*IF(AA1136&gt;1,AA1136/100,AA1136)))</f>
        <v/>
      </c>
      <c r="AC1136" s="14" t="str">
        <f aca="false">IF(O1136="","",V1136+Y1136+AB1136)</f>
        <v/>
      </c>
      <c r="AD1136" s="19" t="str">
        <f aca="false">IF(O1136="","",O1136-R1136-AC1136)</f>
        <v/>
      </c>
      <c r="AE1136" s="20"/>
      <c r="AF1136" s="10"/>
      <c r="AG1136" s="21" t="n">
        <f aca="false">IF(OR(AE1136="",AE1136=0),0,AE1136*IF(U1136="",0,IF(U1136&gt;1,U1136/100,U1136)))</f>
        <v>0</v>
      </c>
      <c r="AH1136" s="21" t="n">
        <f aca="false">IF(OR(AE1136="",AE1136=0),0,AE1136*IF(X1136="",0,IF(X1136&gt;1,X1136/100,X1136)))</f>
        <v>0</v>
      </c>
      <c r="AI1136" s="21" t="n">
        <f aca="false">IF(OR(AE1136="",AE1136=0),0,AE1136*IF(AA1136="",0,IF(AA1136&gt;1,AA1136/100,AA1136)))</f>
        <v>0</v>
      </c>
      <c r="AJ1136" s="21" t="n">
        <f aca="false">AG1136+AH1136+AI1136</f>
        <v>0</v>
      </c>
      <c r="AK1136" s="21" t="n">
        <f aca="false">IF(OR(AE1136="",AE1136=0),0,AE1136-AJ1136)</f>
        <v>0</v>
      </c>
      <c r="AL1136" s="19" t="str">
        <f aca="false">IF(AD1136="","",AD1136-AK1136)</f>
        <v/>
      </c>
      <c r="AM1136" s="9" t="str">
        <f aca="false">IF(C1136="","","Waiting for payment")</f>
        <v/>
      </c>
      <c r="AN1136" s="10"/>
      <c r="AO1136" s="10"/>
      <c r="AP1136" s="22" t="str">
        <f aca="false">IF(OR(C1136="",I1136="",K1136=""),"",IF(K1136="Monthly",EDATE(C1136,ROUND(I1136*SETTINGS!$I$8,0)),WORKDAY(C1136,ROUND(I1136*SETTINGS!$I$8,0))))</f>
        <v/>
      </c>
      <c r="AQ1136" s="9" t="str">
        <f aca="true">IF(C1136="","",IF(AND(AP1136&lt;&gt;"",TODAY()&gt;=AP1136),"Refi Ready",IF(TODAY()-C1136&gt;=SETTINGS!$I$11,"Prospecting","Performing")))</f>
        <v/>
      </c>
      <c r="AR1136" s="22" t="str">
        <f aca="false">IF(OR(C1136="",I1136="",K1136=""),"",IF(K1136="Monthly",EDATE(C1136,I1136),WORKDAY(C1136,I1136)))</f>
        <v/>
      </c>
      <c r="AS1136" s="11"/>
      <c r="AT1136" s="23" t="str">
        <f aca="true">IF(C1136="","",IF(AM1136="Clawed Back","CLAWED",IF(TODAY()&lt;=C1136+SETTINGS!$I$2,"⚠ AT RISK","SAFE")))</f>
        <v/>
      </c>
      <c r="AU1136" s="11"/>
      <c r="AW1136" s="24" t="n">
        <f aca="false">AW1135+IF(AND(C1136&lt;&gt;"",AO1136&lt;&gt;"",OR('REP COMMISSION'!$B$3="",T1136='REP COMMISSION'!$B$3,W1136='REP COMMISSION'!$B$3,Z1136='REP COMMISSION'!$B$3)),1,0)</f>
        <v>0</v>
      </c>
      <c r="AX1136" s="24" t="n">
        <f aca="false">AX1135+IF(AND(C1136&lt;&gt;"",OR(F1136="LOC - INITIAL",F1136="CONSOLIDATION - UPFRONT COMM",F1136="REVERSE - TOTAL FUNDING")),1,0)</f>
        <v>0</v>
      </c>
    </row>
    <row r="1137" customFormat="false" ht="15" hidden="false" customHeight="false" outlineLevel="0" collapsed="false">
      <c r="A1137" s="25" t="str">
        <f aca="false">IF(C1137&lt;&gt;"","F27-"&amp;COUNT($C$4:C1137),"")</f>
        <v/>
      </c>
      <c r="B1137" s="26" t="str">
        <f aca="false">IF(OR(F1137="LOC - INITIAL",F1137="CONSOLIDATION - UPFRONT COMM",F1137="REVERSE - TOTAL FUNDING"),A1137,"")</f>
        <v/>
      </c>
      <c r="C1137" s="27"/>
      <c r="D1137" s="28"/>
      <c r="E1137" s="28"/>
      <c r="F1137" s="28"/>
      <c r="G1137" s="29"/>
      <c r="H1137" s="30"/>
      <c r="I1137" s="28"/>
      <c r="J1137" s="31" t="str">
        <f aca="false">IF(AND(G1137&lt;&gt;"",H1137&lt;&gt;""),G1137*H1137,"")</f>
        <v/>
      </c>
      <c r="K1137" s="28"/>
      <c r="L1137" s="32"/>
      <c r="M1137" s="32"/>
      <c r="N1137" s="31" t="n">
        <f aca="false">IF(OR(G1137="",M1137=""),0,IF(M1137&gt;100,M1137,G1137*IF(M1137&gt;1,M1137/100,M1137)))</f>
        <v>0</v>
      </c>
      <c r="O1137" s="31" t="str">
        <f aca="false">IF(G1137="","",G1137*IF(L1137="",0,IF(L1137&gt;1,L1137/100,L1137))+N1137)</f>
        <v/>
      </c>
      <c r="P1137" s="28"/>
      <c r="Q1137" s="33" t="str">
        <f aca="false">IF(P1137="","",IFERROR(VLOOKUP(P1137,PARTNERS!$A$2:$B$30,2,0),""))</f>
        <v/>
      </c>
      <c r="R1137" s="17" t="str">
        <f aca="false">IF(O1137="","",IF(OR(P1137="",Q1137=""),0,(O1137-N1137)*IF(Q1137&gt;1,Q1137/100,Q1137)))</f>
        <v/>
      </c>
      <c r="S1137" s="31" t="str">
        <f aca="false">IF(O1137="","",O1137-R1137)</f>
        <v/>
      </c>
      <c r="T1137" s="28"/>
      <c r="U1137" s="34" t="str">
        <f aca="false">IF(T1137="","",IFERROR(VLOOKUP(T1137,REPS!$A$2:$D$40,2,0),""))</f>
        <v/>
      </c>
      <c r="V1137" s="31" t="str">
        <f aca="false">IF(O1137="","",IF(U1137="",0,O1137*IF(U1137&gt;1,U1137/100,U1137)))</f>
        <v/>
      </c>
      <c r="W1137" s="28"/>
      <c r="X1137" s="34" t="str">
        <f aca="false">IF(W1137="","",IFERROR(VLOOKUP(W1137,REPS!$A$2:$D$40,3,0),""))</f>
        <v/>
      </c>
      <c r="Y1137" s="31" t="str">
        <f aca="false">IF(O1137="","",IF(X1137="",0,O1137*IF(X1137&gt;1,X1137/100,X1137)))</f>
        <v/>
      </c>
      <c r="Z1137" s="28"/>
      <c r="AA1137" s="34" t="str">
        <f aca="false">IF(Z1137="","",IFERROR(VLOOKUP(Z1137,REPS!$A$2:$D$40,4,0),""))</f>
        <v/>
      </c>
      <c r="AB1137" s="31" t="str">
        <f aca="false">IF(O1137="","",IF(AA1137="",0,O1137*IF(AA1137&gt;1,AA1137/100,AA1137)))</f>
        <v/>
      </c>
      <c r="AC1137" s="31" t="str">
        <f aca="false">IF(O1137="","",V1137+Y1137+AB1137)</f>
        <v/>
      </c>
      <c r="AD1137" s="19" t="str">
        <f aca="false">IF(O1137="","",O1137-R1137-AC1137)</f>
        <v/>
      </c>
      <c r="AE1137" s="20"/>
      <c r="AF1137" s="27"/>
      <c r="AG1137" s="21" t="n">
        <f aca="false">IF(OR(AE1137="",AE1137=0),0,AE1137*IF(U1137="",0,IF(U1137&gt;1,U1137/100,U1137)))</f>
        <v>0</v>
      </c>
      <c r="AH1137" s="21" t="n">
        <f aca="false">IF(OR(AE1137="",AE1137=0),0,AE1137*IF(X1137="",0,IF(X1137&gt;1,X1137/100,X1137)))</f>
        <v>0</v>
      </c>
      <c r="AI1137" s="21" t="n">
        <f aca="false">IF(OR(AE1137="",AE1137=0),0,AE1137*IF(AA1137="",0,IF(AA1137&gt;1,AA1137/100,AA1137)))</f>
        <v>0</v>
      </c>
      <c r="AJ1137" s="21" t="n">
        <f aca="false">AG1137+AH1137+AI1137</f>
        <v>0</v>
      </c>
      <c r="AK1137" s="21" t="n">
        <f aca="false">IF(OR(AE1137="",AE1137=0),0,AE1137-AJ1137)</f>
        <v>0</v>
      </c>
      <c r="AL1137" s="19" t="str">
        <f aca="false">IF(AD1137="","",AD1137-AK1137)</f>
        <v/>
      </c>
      <c r="AM1137" s="26" t="str">
        <f aca="false">IF(C1137="","","Waiting for payment")</f>
        <v/>
      </c>
      <c r="AN1137" s="27"/>
      <c r="AO1137" s="27"/>
      <c r="AP1137" s="35" t="str">
        <f aca="false">IF(OR(C1137="",I1137="",K1137=""),"",IF(K1137="Monthly",EDATE(C1137,ROUND(I1137*SETTINGS!$I$8,0)),WORKDAY(C1137,ROUND(I1137*SETTINGS!$I$8,0))))</f>
        <v/>
      </c>
      <c r="AQ1137" s="26" t="str">
        <f aca="true">IF(C1137="","",IF(AND(AP1137&lt;&gt;"",TODAY()&gt;=AP1137),"Refi Ready",IF(TODAY()-C1137&gt;=SETTINGS!$I$11,"Prospecting","Performing")))</f>
        <v/>
      </c>
      <c r="AR1137" s="35" t="str">
        <f aca="false">IF(OR(C1137="",I1137="",K1137=""),"",IF(K1137="Monthly",EDATE(C1137,I1137),WORKDAY(C1137,I1137)))</f>
        <v/>
      </c>
      <c r="AS1137" s="28"/>
      <c r="AT1137" s="36" t="str">
        <f aca="true">IF(C1137="","",IF(AM1137="Clawed Back","CLAWED",IF(TODAY()&lt;=C1137+SETTINGS!$I$2,"⚠ AT RISK","SAFE")))</f>
        <v/>
      </c>
      <c r="AU1137" s="28"/>
      <c r="AW1137" s="24" t="n">
        <f aca="false">AW1136+IF(AND(C1137&lt;&gt;"",AO1137&lt;&gt;"",OR('REP COMMISSION'!$B$3="",T1137='REP COMMISSION'!$B$3,W1137='REP COMMISSION'!$B$3,Z1137='REP COMMISSION'!$B$3)),1,0)</f>
        <v>0</v>
      </c>
      <c r="AX1137" s="24" t="n">
        <f aca="false">AX1136+IF(AND(C1137&lt;&gt;"",OR(F1137="LOC - INITIAL",F1137="CONSOLIDATION - UPFRONT COMM",F1137="REVERSE - TOTAL FUNDING")),1,0)</f>
        <v>0</v>
      </c>
    </row>
    <row r="1138" customFormat="false" ht="15" hidden="false" customHeight="false" outlineLevel="0" collapsed="false">
      <c r="A1138" s="8" t="str">
        <f aca="false">IF(C1138&lt;&gt;"","F27-"&amp;COUNT($C$4:C1138),"")</f>
        <v/>
      </c>
      <c r="B1138" s="9" t="str">
        <f aca="false">IF(OR(F1138="LOC - INITIAL",F1138="CONSOLIDATION - UPFRONT COMM",F1138="REVERSE - TOTAL FUNDING"),A1138,"")</f>
        <v/>
      </c>
      <c r="C1138" s="10"/>
      <c r="D1138" s="11"/>
      <c r="E1138" s="11"/>
      <c r="F1138" s="11"/>
      <c r="G1138" s="12"/>
      <c r="H1138" s="13"/>
      <c r="I1138" s="11"/>
      <c r="J1138" s="14" t="str">
        <f aca="false">IF(AND(G1138&lt;&gt;"",H1138&lt;&gt;""),G1138*H1138,"")</f>
        <v/>
      </c>
      <c r="K1138" s="11"/>
      <c r="L1138" s="15"/>
      <c r="M1138" s="15"/>
      <c r="N1138" s="14" t="n">
        <f aca="false">IF(OR(G1138="",M1138=""),0,IF(M1138&gt;100,M1138,G1138*IF(M1138&gt;1,M1138/100,M1138)))</f>
        <v>0</v>
      </c>
      <c r="O1138" s="14" t="str">
        <f aca="false">IF(G1138="","",G1138*IF(L1138="",0,IF(L1138&gt;1,L1138/100,L1138))+N1138)</f>
        <v/>
      </c>
      <c r="P1138" s="11"/>
      <c r="Q1138" s="16" t="str">
        <f aca="false">IF(P1138="","",IFERROR(VLOOKUP(P1138,PARTNERS!$A$2:$B$30,2,0),""))</f>
        <v/>
      </c>
      <c r="R1138" s="17" t="str">
        <f aca="false">IF(O1138="","",IF(OR(P1138="",Q1138=""),0,(O1138-N1138)*IF(Q1138&gt;1,Q1138/100,Q1138)))</f>
        <v/>
      </c>
      <c r="S1138" s="14" t="str">
        <f aca="false">IF(O1138="","",O1138-R1138)</f>
        <v/>
      </c>
      <c r="T1138" s="11"/>
      <c r="U1138" s="18" t="str">
        <f aca="false">IF(T1138="","",IFERROR(VLOOKUP(T1138,REPS!$A$2:$D$40,2,0),""))</f>
        <v/>
      </c>
      <c r="V1138" s="14" t="str">
        <f aca="false">IF(O1138="","",IF(U1138="",0,O1138*IF(U1138&gt;1,U1138/100,U1138)))</f>
        <v/>
      </c>
      <c r="W1138" s="11"/>
      <c r="X1138" s="18" t="str">
        <f aca="false">IF(W1138="","",IFERROR(VLOOKUP(W1138,REPS!$A$2:$D$40,3,0),""))</f>
        <v/>
      </c>
      <c r="Y1138" s="14" t="str">
        <f aca="false">IF(O1138="","",IF(X1138="",0,O1138*IF(X1138&gt;1,X1138/100,X1138)))</f>
        <v/>
      </c>
      <c r="Z1138" s="11"/>
      <c r="AA1138" s="18" t="str">
        <f aca="false">IF(Z1138="","",IFERROR(VLOOKUP(Z1138,REPS!$A$2:$D$40,4,0),""))</f>
        <v/>
      </c>
      <c r="AB1138" s="14" t="str">
        <f aca="false">IF(O1138="","",IF(AA1138="",0,O1138*IF(AA1138&gt;1,AA1138/100,AA1138)))</f>
        <v/>
      </c>
      <c r="AC1138" s="14" t="str">
        <f aca="false">IF(O1138="","",V1138+Y1138+AB1138)</f>
        <v/>
      </c>
      <c r="AD1138" s="19" t="str">
        <f aca="false">IF(O1138="","",O1138-R1138-AC1138)</f>
        <v/>
      </c>
      <c r="AE1138" s="20"/>
      <c r="AF1138" s="10"/>
      <c r="AG1138" s="21" t="n">
        <f aca="false">IF(OR(AE1138="",AE1138=0),0,AE1138*IF(U1138="",0,IF(U1138&gt;1,U1138/100,U1138)))</f>
        <v>0</v>
      </c>
      <c r="AH1138" s="21" t="n">
        <f aca="false">IF(OR(AE1138="",AE1138=0),0,AE1138*IF(X1138="",0,IF(X1138&gt;1,X1138/100,X1138)))</f>
        <v>0</v>
      </c>
      <c r="AI1138" s="21" t="n">
        <f aca="false">IF(OR(AE1138="",AE1138=0),0,AE1138*IF(AA1138="",0,IF(AA1138&gt;1,AA1138/100,AA1138)))</f>
        <v>0</v>
      </c>
      <c r="AJ1138" s="21" t="n">
        <f aca="false">AG1138+AH1138+AI1138</f>
        <v>0</v>
      </c>
      <c r="AK1138" s="21" t="n">
        <f aca="false">IF(OR(AE1138="",AE1138=0),0,AE1138-AJ1138)</f>
        <v>0</v>
      </c>
      <c r="AL1138" s="19" t="str">
        <f aca="false">IF(AD1138="","",AD1138-AK1138)</f>
        <v/>
      </c>
      <c r="AM1138" s="9" t="str">
        <f aca="false">IF(C1138="","","Waiting for payment")</f>
        <v/>
      </c>
      <c r="AN1138" s="10"/>
      <c r="AO1138" s="10"/>
      <c r="AP1138" s="22" t="str">
        <f aca="false">IF(OR(C1138="",I1138="",K1138=""),"",IF(K1138="Monthly",EDATE(C1138,ROUND(I1138*SETTINGS!$I$8,0)),WORKDAY(C1138,ROUND(I1138*SETTINGS!$I$8,0))))</f>
        <v/>
      </c>
      <c r="AQ1138" s="9" t="str">
        <f aca="true">IF(C1138="","",IF(AND(AP1138&lt;&gt;"",TODAY()&gt;=AP1138),"Refi Ready",IF(TODAY()-C1138&gt;=SETTINGS!$I$11,"Prospecting","Performing")))</f>
        <v/>
      </c>
      <c r="AR1138" s="22" t="str">
        <f aca="false">IF(OR(C1138="",I1138="",K1138=""),"",IF(K1138="Monthly",EDATE(C1138,I1138),WORKDAY(C1138,I1138)))</f>
        <v/>
      </c>
      <c r="AS1138" s="11"/>
      <c r="AT1138" s="23" t="str">
        <f aca="true">IF(C1138="","",IF(AM1138="Clawed Back","CLAWED",IF(TODAY()&lt;=C1138+SETTINGS!$I$2,"⚠ AT RISK","SAFE")))</f>
        <v/>
      </c>
      <c r="AU1138" s="11"/>
      <c r="AW1138" s="24" t="n">
        <f aca="false">AW1137+IF(AND(C1138&lt;&gt;"",AO1138&lt;&gt;"",OR('REP COMMISSION'!$B$3="",T1138='REP COMMISSION'!$B$3,W1138='REP COMMISSION'!$B$3,Z1138='REP COMMISSION'!$B$3)),1,0)</f>
        <v>0</v>
      </c>
      <c r="AX1138" s="24" t="n">
        <f aca="false">AX1137+IF(AND(C1138&lt;&gt;"",OR(F1138="LOC - INITIAL",F1138="CONSOLIDATION - UPFRONT COMM",F1138="REVERSE - TOTAL FUNDING")),1,0)</f>
        <v>0</v>
      </c>
    </row>
    <row r="1139" customFormat="false" ht="15" hidden="false" customHeight="false" outlineLevel="0" collapsed="false">
      <c r="A1139" s="25" t="str">
        <f aca="false">IF(C1139&lt;&gt;"","F27-"&amp;COUNT($C$4:C1139),"")</f>
        <v/>
      </c>
      <c r="B1139" s="26" t="str">
        <f aca="false">IF(OR(F1139="LOC - INITIAL",F1139="CONSOLIDATION - UPFRONT COMM",F1139="REVERSE - TOTAL FUNDING"),A1139,"")</f>
        <v/>
      </c>
      <c r="C1139" s="27"/>
      <c r="D1139" s="28"/>
      <c r="E1139" s="28"/>
      <c r="F1139" s="28"/>
      <c r="G1139" s="29"/>
      <c r="H1139" s="30"/>
      <c r="I1139" s="28"/>
      <c r="J1139" s="31" t="str">
        <f aca="false">IF(AND(G1139&lt;&gt;"",H1139&lt;&gt;""),G1139*H1139,"")</f>
        <v/>
      </c>
      <c r="K1139" s="28"/>
      <c r="L1139" s="32"/>
      <c r="M1139" s="32"/>
      <c r="N1139" s="31" t="n">
        <f aca="false">IF(OR(G1139="",M1139=""),0,IF(M1139&gt;100,M1139,G1139*IF(M1139&gt;1,M1139/100,M1139)))</f>
        <v>0</v>
      </c>
      <c r="O1139" s="31" t="str">
        <f aca="false">IF(G1139="","",G1139*IF(L1139="",0,IF(L1139&gt;1,L1139/100,L1139))+N1139)</f>
        <v/>
      </c>
      <c r="P1139" s="28"/>
      <c r="Q1139" s="33" t="str">
        <f aca="false">IF(P1139="","",IFERROR(VLOOKUP(P1139,PARTNERS!$A$2:$B$30,2,0),""))</f>
        <v/>
      </c>
      <c r="R1139" s="17" t="str">
        <f aca="false">IF(O1139="","",IF(OR(P1139="",Q1139=""),0,(O1139-N1139)*IF(Q1139&gt;1,Q1139/100,Q1139)))</f>
        <v/>
      </c>
      <c r="S1139" s="31" t="str">
        <f aca="false">IF(O1139="","",O1139-R1139)</f>
        <v/>
      </c>
      <c r="T1139" s="28"/>
      <c r="U1139" s="34" t="str">
        <f aca="false">IF(T1139="","",IFERROR(VLOOKUP(T1139,REPS!$A$2:$D$40,2,0),""))</f>
        <v/>
      </c>
      <c r="V1139" s="31" t="str">
        <f aca="false">IF(O1139="","",IF(U1139="",0,O1139*IF(U1139&gt;1,U1139/100,U1139)))</f>
        <v/>
      </c>
      <c r="W1139" s="28"/>
      <c r="X1139" s="34" t="str">
        <f aca="false">IF(W1139="","",IFERROR(VLOOKUP(W1139,REPS!$A$2:$D$40,3,0),""))</f>
        <v/>
      </c>
      <c r="Y1139" s="31" t="str">
        <f aca="false">IF(O1139="","",IF(X1139="",0,O1139*IF(X1139&gt;1,X1139/100,X1139)))</f>
        <v/>
      </c>
      <c r="Z1139" s="28"/>
      <c r="AA1139" s="34" t="str">
        <f aca="false">IF(Z1139="","",IFERROR(VLOOKUP(Z1139,REPS!$A$2:$D$40,4,0),""))</f>
        <v/>
      </c>
      <c r="AB1139" s="31" t="str">
        <f aca="false">IF(O1139="","",IF(AA1139="",0,O1139*IF(AA1139&gt;1,AA1139/100,AA1139)))</f>
        <v/>
      </c>
      <c r="AC1139" s="31" t="str">
        <f aca="false">IF(O1139="","",V1139+Y1139+AB1139)</f>
        <v/>
      </c>
      <c r="AD1139" s="19" t="str">
        <f aca="false">IF(O1139="","",O1139-R1139-AC1139)</f>
        <v/>
      </c>
      <c r="AE1139" s="20"/>
      <c r="AF1139" s="27"/>
      <c r="AG1139" s="21" t="n">
        <f aca="false">IF(OR(AE1139="",AE1139=0),0,AE1139*IF(U1139="",0,IF(U1139&gt;1,U1139/100,U1139)))</f>
        <v>0</v>
      </c>
      <c r="AH1139" s="21" t="n">
        <f aca="false">IF(OR(AE1139="",AE1139=0),0,AE1139*IF(X1139="",0,IF(X1139&gt;1,X1139/100,X1139)))</f>
        <v>0</v>
      </c>
      <c r="AI1139" s="21" t="n">
        <f aca="false">IF(OR(AE1139="",AE1139=0),0,AE1139*IF(AA1139="",0,IF(AA1139&gt;1,AA1139/100,AA1139)))</f>
        <v>0</v>
      </c>
      <c r="AJ1139" s="21" t="n">
        <f aca="false">AG1139+AH1139+AI1139</f>
        <v>0</v>
      </c>
      <c r="AK1139" s="21" t="n">
        <f aca="false">IF(OR(AE1139="",AE1139=0),0,AE1139-AJ1139)</f>
        <v>0</v>
      </c>
      <c r="AL1139" s="19" t="str">
        <f aca="false">IF(AD1139="","",AD1139-AK1139)</f>
        <v/>
      </c>
      <c r="AM1139" s="26" t="str">
        <f aca="false">IF(C1139="","","Waiting for payment")</f>
        <v/>
      </c>
      <c r="AN1139" s="27"/>
      <c r="AO1139" s="27"/>
      <c r="AP1139" s="35" t="str">
        <f aca="false">IF(OR(C1139="",I1139="",K1139=""),"",IF(K1139="Monthly",EDATE(C1139,ROUND(I1139*SETTINGS!$I$8,0)),WORKDAY(C1139,ROUND(I1139*SETTINGS!$I$8,0))))</f>
        <v/>
      </c>
      <c r="AQ1139" s="26" t="str">
        <f aca="true">IF(C1139="","",IF(AND(AP1139&lt;&gt;"",TODAY()&gt;=AP1139),"Refi Ready",IF(TODAY()-C1139&gt;=SETTINGS!$I$11,"Prospecting","Performing")))</f>
        <v/>
      </c>
      <c r="AR1139" s="35" t="str">
        <f aca="false">IF(OR(C1139="",I1139="",K1139=""),"",IF(K1139="Monthly",EDATE(C1139,I1139),WORKDAY(C1139,I1139)))</f>
        <v/>
      </c>
      <c r="AS1139" s="28"/>
      <c r="AT1139" s="36" t="str">
        <f aca="true">IF(C1139="","",IF(AM1139="Clawed Back","CLAWED",IF(TODAY()&lt;=C1139+SETTINGS!$I$2,"⚠ AT RISK","SAFE")))</f>
        <v/>
      </c>
      <c r="AU1139" s="28"/>
      <c r="AW1139" s="24" t="n">
        <f aca="false">AW1138+IF(AND(C1139&lt;&gt;"",AO1139&lt;&gt;"",OR('REP COMMISSION'!$B$3="",T1139='REP COMMISSION'!$B$3,W1139='REP COMMISSION'!$B$3,Z1139='REP COMMISSION'!$B$3)),1,0)</f>
        <v>0</v>
      </c>
      <c r="AX1139" s="24" t="n">
        <f aca="false">AX1138+IF(AND(C1139&lt;&gt;"",OR(F1139="LOC - INITIAL",F1139="CONSOLIDATION - UPFRONT COMM",F1139="REVERSE - TOTAL FUNDING")),1,0)</f>
        <v>0</v>
      </c>
    </row>
    <row r="1140" customFormat="false" ht="15" hidden="false" customHeight="false" outlineLevel="0" collapsed="false">
      <c r="A1140" s="8" t="str">
        <f aca="false">IF(C1140&lt;&gt;"","F27-"&amp;COUNT($C$4:C1140),"")</f>
        <v/>
      </c>
      <c r="B1140" s="9" t="str">
        <f aca="false">IF(OR(F1140="LOC - INITIAL",F1140="CONSOLIDATION - UPFRONT COMM",F1140="REVERSE - TOTAL FUNDING"),A1140,"")</f>
        <v/>
      </c>
      <c r="C1140" s="10"/>
      <c r="D1140" s="11"/>
      <c r="E1140" s="11"/>
      <c r="F1140" s="11"/>
      <c r="G1140" s="12"/>
      <c r="H1140" s="13"/>
      <c r="I1140" s="11"/>
      <c r="J1140" s="14" t="str">
        <f aca="false">IF(AND(G1140&lt;&gt;"",H1140&lt;&gt;""),G1140*H1140,"")</f>
        <v/>
      </c>
      <c r="K1140" s="11"/>
      <c r="L1140" s="15"/>
      <c r="M1140" s="15"/>
      <c r="N1140" s="14" t="n">
        <f aca="false">IF(OR(G1140="",M1140=""),0,IF(M1140&gt;100,M1140,G1140*IF(M1140&gt;1,M1140/100,M1140)))</f>
        <v>0</v>
      </c>
      <c r="O1140" s="14" t="str">
        <f aca="false">IF(G1140="","",G1140*IF(L1140="",0,IF(L1140&gt;1,L1140/100,L1140))+N1140)</f>
        <v/>
      </c>
      <c r="P1140" s="11"/>
      <c r="Q1140" s="16" t="str">
        <f aca="false">IF(P1140="","",IFERROR(VLOOKUP(P1140,PARTNERS!$A$2:$B$30,2,0),""))</f>
        <v/>
      </c>
      <c r="R1140" s="17" t="str">
        <f aca="false">IF(O1140="","",IF(OR(P1140="",Q1140=""),0,(O1140-N1140)*IF(Q1140&gt;1,Q1140/100,Q1140)))</f>
        <v/>
      </c>
      <c r="S1140" s="14" t="str">
        <f aca="false">IF(O1140="","",O1140-R1140)</f>
        <v/>
      </c>
      <c r="T1140" s="11"/>
      <c r="U1140" s="18" t="str">
        <f aca="false">IF(T1140="","",IFERROR(VLOOKUP(T1140,REPS!$A$2:$D$40,2,0),""))</f>
        <v/>
      </c>
      <c r="V1140" s="14" t="str">
        <f aca="false">IF(O1140="","",IF(U1140="",0,O1140*IF(U1140&gt;1,U1140/100,U1140)))</f>
        <v/>
      </c>
      <c r="W1140" s="11"/>
      <c r="X1140" s="18" t="str">
        <f aca="false">IF(W1140="","",IFERROR(VLOOKUP(W1140,REPS!$A$2:$D$40,3,0),""))</f>
        <v/>
      </c>
      <c r="Y1140" s="14" t="str">
        <f aca="false">IF(O1140="","",IF(X1140="",0,O1140*IF(X1140&gt;1,X1140/100,X1140)))</f>
        <v/>
      </c>
      <c r="Z1140" s="11"/>
      <c r="AA1140" s="18" t="str">
        <f aca="false">IF(Z1140="","",IFERROR(VLOOKUP(Z1140,REPS!$A$2:$D$40,4,0),""))</f>
        <v/>
      </c>
      <c r="AB1140" s="14" t="str">
        <f aca="false">IF(O1140="","",IF(AA1140="",0,O1140*IF(AA1140&gt;1,AA1140/100,AA1140)))</f>
        <v/>
      </c>
      <c r="AC1140" s="14" t="str">
        <f aca="false">IF(O1140="","",V1140+Y1140+AB1140)</f>
        <v/>
      </c>
      <c r="AD1140" s="19" t="str">
        <f aca="false">IF(O1140="","",O1140-R1140-AC1140)</f>
        <v/>
      </c>
      <c r="AE1140" s="20"/>
      <c r="AF1140" s="10"/>
      <c r="AG1140" s="21" t="n">
        <f aca="false">IF(OR(AE1140="",AE1140=0),0,AE1140*IF(U1140="",0,IF(U1140&gt;1,U1140/100,U1140)))</f>
        <v>0</v>
      </c>
      <c r="AH1140" s="21" t="n">
        <f aca="false">IF(OR(AE1140="",AE1140=0),0,AE1140*IF(X1140="",0,IF(X1140&gt;1,X1140/100,X1140)))</f>
        <v>0</v>
      </c>
      <c r="AI1140" s="21" t="n">
        <f aca="false">IF(OR(AE1140="",AE1140=0),0,AE1140*IF(AA1140="",0,IF(AA1140&gt;1,AA1140/100,AA1140)))</f>
        <v>0</v>
      </c>
      <c r="AJ1140" s="21" t="n">
        <f aca="false">AG1140+AH1140+AI1140</f>
        <v>0</v>
      </c>
      <c r="AK1140" s="21" t="n">
        <f aca="false">IF(OR(AE1140="",AE1140=0),0,AE1140-AJ1140)</f>
        <v>0</v>
      </c>
      <c r="AL1140" s="19" t="str">
        <f aca="false">IF(AD1140="","",AD1140-AK1140)</f>
        <v/>
      </c>
      <c r="AM1140" s="9" t="str">
        <f aca="false">IF(C1140="","","Waiting for payment")</f>
        <v/>
      </c>
      <c r="AN1140" s="10"/>
      <c r="AO1140" s="10"/>
      <c r="AP1140" s="22" t="str">
        <f aca="false">IF(OR(C1140="",I1140="",K1140=""),"",IF(K1140="Monthly",EDATE(C1140,ROUND(I1140*SETTINGS!$I$8,0)),WORKDAY(C1140,ROUND(I1140*SETTINGS!$I$8,0))))</f>
        <v/>
      </c>
      <c r="AQ1140" s="9" t="str">
        <f aca="true">IF(C1140="","",IF(AND(AP1140&lt;&gt;"",TODAY()&gt;=AP1140),"Refi Ready",IF(TODAY()-C1140&gt;=SETTINGS!$I$11,"Prospecting","Performing")))</f>
        <v/>
      </c>
      <c r="AR1140" s="22" t="str">
        <f aca="false">IF(OR(C1140="",I1140="",K1140=""),"",IF(K1140="Monthly",EDATE(C1140,I1140),WORKDAY(C1140,I1140)))</f>
        <v/>
      </c>
      <c r="AS1140" s="11"/>
      <c r="AT1140" s="23" t="str">
        <f aca="true">IF(C1140="","",IF(AM1140="Clawed Back","CLAWED",IF(TODAY()&lt;=C1140+SETTINGS!$I$2,"⚠ AT RISK","SAFE")))</f>
        <v/>
      </c>
      <c r="AU1140" s="11"/>
      <c r="AW1140" s="24" t="n">
        <f aca="false">AW1139+IF(AND(C1140&lt;&gt;"",AO1140&lt;&gt;"",OR('REP COMMISSION'!$B$3="",T1140='REP COMMISSION'!$B$3,W1140='REP COMMISSION'!$B$3,Z1140='REP COMMISSION'!$B$3)),1,0)</f>
        <v>0</v>
      </c>
      <c r="AX1140" s="24" t="n">
        <f aca="false">AX1139+IF(AND(C1140&lt;&gt;"",OR(F1140="LOC - INITIAL",F1140="CONSOLIDATION - UPFRONT COMM",F1140="REVERSE - TOTAL FUNDING")),1,0)</f>
        <v>0</v>
      </c>
    </row>
    <row r="1141" customFormat="false" ht="15" hidden="false" customHeight="false" outlineLevel="0" collapsed="false">
      <c r="A1141" s="25" t="str">
        <f aca="false">IF(C1141&lt;&gt;"","F27-"&amp;COUNT($C$4:C1141),"")</f>
        <v/>
      </c>
      <c r="B1141" s="26" t="str">
        <f aca="false">IF(OR(F1141="LOC - INITIAL",F1141="CONSOLIDATION - UPFRONT COMM",F1141="REVERSE - TOTAL FUNDING"),A1141,"")</f>
        <v/>
      </c>
      <c r="C1141" s="27"/>
      <c r="D1141" s="28"/>
      <c r="E1141" s="28"/>
      <c r="F1141" s="28"/>
      <c r="G1141" s="29"/>
      <c r="H1141" s="30"/>
      <c r="I1141" s="28"/>
      <c r="J1141" s="31" t="str">
        <f aca="false">IF(AND(G1141&lt;&gt;"",H1141&lt;&gt;""),G1141*H1141,"")</f>
        <v/>
      </c>
      <c r="K1141" s="28"/>
      <c r="L1141" s="32"/>
      <c r="M1141" s="32"/>
      <c r="N1141" s="31" t="n">
        <f aca="false">IF(OR(G1141="",M1141=""),0,IF(M1141&gt;100,M1141,G1141*IF(M1141&gt;1,M1141/100,M1141)))</f>
        <v>0</v>
      </c>
      <c r="O1141" s="31" t="str">
        <f aca="false">IF(G1141="","",G1141*IF(L1141="",0,IF(L1141&gt;1,L1141/100,L1141))+N1141)</f>
        <v/>
      </c>
      <c r="P1141" s="28"/>
      <c r="Q1141" s="33" t="str">
        <f aca="false">IF(P1141="","",IFERROR(VLOOKUP(P1141,PARTNERS!$A$2:$B$30,2,0),""))</f>
        <v/>
      </c>
      <c r="R1141" s="17" t="str">
        <f aca="false">IF(O1141="","",IF(OR(P1141="",Q1141=""),0,(O1141-N1141)*IF(Q1141&gt;1,Q1141/100,Q1141)))</f>
        <v/>
      </c>
      <c r="S1141" s="31" t="str">
        <f aca="false">IF(O1141="","",O1141-R1141)</f>
        <v/>
      </c>
      <c r="T1141" s="28"/>
      <c r="U1141" s="34" t="str">
        <f aca="false">IF(T1141="","",IFERROR(VLOOKUP(T1141,REPS!$A$2:$D$40,2,0),""))</f>
        <v/>
      </c>
      <c r="V1141" s="31" t="str">
        <f aca="false">IF(O1141="","",IF(U1141="",0,O1141*IF(U1141&gt;1,U1141/100,U1141)))</f>
        <v/>
      </c>
      <c r="W1141" s="28"/>
      <c r="X1141" s="34" t="str">
        <f aca="false">IF(W1141="","",IFERROR(VLOOKUP(W1141,REPS!$A$2:$D$40,3,0),""))</f>
        <v/>
      </c>
      <c r="Y1141" s="31" t="str">
        <f aca="false">IF(O1141="","",IF(X1141="",0,O1141*IF(X1141&gt;1,X1141/100,X1141)))</f>
        <v/>
      </c>
      <c r="Z1141" s="28"/>
      <c r="AA1141" s="34" t="str">
        <f aca="false">IF(Z1141="","",IFERROR(VLOOKUP(Z1141,REPS!$A$2:$D$40,4,0),""))</f>
        <v/>
      </c>
      <c r="AB1141" s="31" t="str">
        <f aca="false">IF(O1141="","",IF(AA1141="",0,O1141*IF(AA1141&gt;1,AA1141/100,AA1141)))</f>
        <v/>
      </c>
      <c r="AC1141" s="31" t="str">
        <f aca="false">IF(O1141="","",V1141+Y1141+AB1141)</f>
        <v/>
      </c>
      <c r="AD1141" s="19" t="str">
        <f aca="false">IF(O1141="","",O1141-R1141-AC1141)</f>
        <v/>
      </c>
      <c r="AE1141" s="20"/>
      <c r="AF1141" s="27"/>
      <c r="AG1141" s="21" t="n">
        <f aca="false">IF(OR(AE1141="",AE1141=0),0,AE1141*IF(U1141="",0,IF(U1141&gt;1,U1141/100,U1141)))</f>
        <v>0</v>
      </c>
      <c r="AH1141" s="21" t="n">
        <f aca="false">IF(OR(AE1141="",AE1141=0),0,AE1141*IF(X1141="",0,IF(X1141&gt;1,X1141/100,X1141)))</f>
        <v>0</v>
      </c>
      <c r="AI1141" s="21" t="n">
        <f aca="false">IF(OR(AE1141="",AE1141=0),0,AE1141*IF(AA1141="",0,IF(AA1141&gt;1,AA1141/100,AA1141)))</f>
        <v>0</v>
      </c>
      <c r="AJ1141" s="21" t="n">
        <f aca="false">AG1141+AH1141+AI1141</f>
        <v>0</v>
      </c>
      <c r="AK1141" s="21" t="n">
        <f aca="false">IF(OR(AE1141="",AE1141=0),0,AE1141-AJ1141)</f>
        <v>0</v>
      </c>
      <c r="AL1141" s="19" t="str">
        <f aca="false">IF(AD1141="","",AD1141-AK1141)</f>
        <v/>
      </c>
      <c r="AM1141" s="26" t="str">
        <f aca="false">IF(C1141="","","Waiting for payment")</f>
        <v/>
      </c>
      <c r="AN1141" s="27"/>
      <c r="AO1141" s="27"/>
      <c r="AP1141" s="35" t="str">
        <f aca="false">IF(OR(C1141="",I1141="",K1141=""),"",IF(K1141="Monthly",EDATE(C1141,ROUND(I1141*SETTINGS!$I$8,0)),WORKDAY(C1141,ROUND(I1141*SETTINGS!$I$8,0))))</f>
        <v/>
      </c>
      <c r="AQ1141" s="26" t="str">
        <f aca="true">IF(C1141="","",IF(AND(AP1141&lt;&gt;"",TODAY()&gt;=AP1141),"Refi Ready",IF(TODAY()-C1141&gt;=SETTINGS!$I$11,"Prospecting","Performing")))</f>
        <v/>
      </c>
      <c r="AR1141" s="35" t="str">
        <f aca="false">IF(OR(C1141="",I1141="",K1141=""),"",IF(K1141="Monthly",EDATE(C1141,I1141),WORKDAY(C1141,I1141)))</f>
        <v/>
      </c>
      <c r="AS1141" s="28"/>
      <c r="AT1141" s="36" t="str">
        <f aca="true">IF(C1141="","",IF(AM1141="Clawed Back","CLAWED",IF(TODAY()&lt;=C1141+SETTINGS!$I$2,"⚠ AT RISK","SAFE")))</f>
        <v/>
      </c>
      <c r="AU1141" s="28"/>
      <c r="AW1141" s="24" t="n">
        <f aca="false">AW1140+IF(AND(C1141&lt;&gt;"",AO1141&lt;&gt;"",OR('REP COMMISSION'!$B$3="",T1141='REP COMMISSION'!$B$3,W1141='REP COMMISSION'!$B$3,Z1141='REP COMMISSION'!$B$3)),1,0)</f>
        <v>0</v>
      </c>
      <c r="AX1141" s="24" t="n">
        <f aca="false">AX1140+IF(AND(C1141&lt;&gt;"",OR(F1141="LOC - INITIAL",F1141="CONSOLIDATION - UPFRONT COMM",F1141="REVERSE - TOTAL FUNDING")),1,0)</f>
        <v>0</v>
      </c>
    </row>
    <row r="1142" customFormat="false" ht="15" hidden="false" customHeight="false" outlineLevel="0" collapsed="false">
      <c r="A1142" s="8" t="str">
        <f aca="false">IF(C1142&lt;&gt;"","F27-"&amp;COUNT($C$4:C1142),"")</f>
        <v/>
      </c>
      <c r="B1142" s="9" t="str">
        <f aca="false">IF(OR(F1142="LOC - INITIAL",F1142="CONSOLIDATION - UPFRONT COMM",F1142="REVERSE - TOTAL FUNDING"),A1142,"")</f>
        <v/>
      </c>
      <c r="C1142" s="10"/>
      <c r="D1142" s="11"/>
      <c r="E1142" s="11"/>
      <c r="F1142" s="11"/>
      <c r="G1142" s="12"/>
      <c r="H1142" s="13"/>
      <c r="I1142" s="11"/>
      <c r="J1142" s="14" t="str">
        <f aca="false">IF(AND(G1142&lt;&gt;"",H1142&lt;&gt;""),G1142*H1142,"")</f>
        <v/>
      </c>
      <c r="K1142" s="11"/>
      <c r="L1142" s="15"/>
      <c r="M1142" s="15"/>
      <c r="N1142" s="14" t="n">
        <f aca="false">IF(OR(G1142="",M1142=""),0,IF(M1142&gt;100,M1142,G1142*IF(M1142&gt;1,M1142/100,M1142)))</f>
        <v>0</v>
      </c>
      <c r="O1142" s="14" t="str">
        <f aca="false">IF(G1142="","",G1142*IF(L1142="",0,IF(L1142&gt;1,L1142/100,L1142))+N1142)</f>
        <v/>
      </c>
      <c r="P1142" s="11"/>
      <c r="Q1142" s="16" t="str">
        <f aca="false">IF(P1142="","",IFERROR(VLOOKUP(P1142,PARTNERS!$A$2:$B$30,2,0),""))</f>
        <v/>
      </c>
      <c r="R1142" s="17" t="str">
        <f aca="false">IF(O1142="","",IF(OR(P1142="",Q1142=""),0,(O1142-N1142)*IF(Q1142&gt;1,Q1142/100,Q1142)))</f>
        <v/>
      </c>
      <c r="S1142" s="14" t="str">
        <f aca="false">IF(O1142="","",O1142-R1142)</f>
        <v/>
      </c>
      <c r="T1142" s="11"/>
      <c r="U1142" s="18" t="str">
        <f aca="false">IF(T1142="","",IFERROR(VLOOKUP(T1142,REPS!$A$2:$D$40,2,0),""))</f>
        <v/>
      </c>
      <c r="V1142" s="14" t="str">
        <f aca="false">IF(O1142="","",IF(U1142="",0,O1142*IF(U1142&gt;1,U1142/100,U1142)))</f>
        <v/>
      </c>
      <c r="W1142" s="11"/>
      <c r="X1142" s="18" t="str">
        <f aca="false">IF(W1142="","",IFERROR(VLOOKUP(W1142,REPS!$A$2:$D$40,3,0),""))</f>
        <v/>
      </c>
      <c r="Y1142" s="14" t="str">
        <f aca="false">IF(O1142="","",IF(X1142="",0,O1142*IF(X1142&gt;1,X1142/100,X1142)))</f>
        <v/>
      </c>
      <c r="Z1142" s="11"/>
      <c r="AA1142" s="18" t="str">
        <f aca="false">IF(Z1142="","",IFERROR(VLOOKUP(Z1142,REPS!$A$2:$D$40,4,0),""))</f>
        <v/>
      </c>
      <c r="AB1142" s="14" t="str">
        <f aca="false">IF(O1142="","",IF(AA1142="",0,O1142*IF(AA1142&gt;1,AA1142/100,AA1142)))</f>
        <v/>
      </c>
      <c r="AC1142" s="14" t="str">
        <f aca="false">IF(O1142="","",V1142+Y1142+AB1142)</f>
        <v/>
      </c>
      <c r="AD1142" s="19" t="str">
        <f aca="false">IF(O1142="","",O1142-R1142-AC1142)</f>
        <v/>
      </c>
      <c r="AE1142" s="20"/>
      <c r="AF1142" s="10"/>
      <c r="AG1142" s="21" t="n">
        <f aca="false">IF(OR(AE1142="",AE1142=0),0,AE1142*IF(U1142="",0,IF(U1142&gt;1,U1142/100,U1142)))</f>
        <v>0</v>
      </c>
      <c r="AH1142" s="21" t="n">
        <f aca="false">IF(OR(AE1142="",AE1142=0),0,AE1142*IF(X1142="",0,IF(X1142&gt;1,X1142/100,X1142)))</f>
        <v>0</v>
      </c>
      <c r="AI1142" s="21" t="n">
        <f aca="false">IF(OR(AE1142="",AE1142=0),0,AE1142*IF(AA1142="",0,IF(AA1142&gt;1,AA1142/100,AA1142)))</f>
        <v>0</v>
      </c>
      <c r="AJ1142" s="21" t="n">
        <f aca="false">AG1142+AH1142+AI1142</f>
        <v>0</v>
      </c>
      <c r="AK1142" s="21" t="n">
        <f aca="false">IF(OR(AE1142="",AE1142=0),0,AE1142-AJ1142)</f>
        <v>0</v>
      </c>
      <c r="AL1142" s="19" t="str">
        <f aca="false">IF(AD1142="","",AD1142-AK1142)</f>
        <v/>
      </c>
      <c r="AM1142" s="9" t="str">
        <f aca="false">IF(C1142="","","Waiting for payment")</f>
        <v/>
      </c>
      <c r="AN1142" s="10"/>
      <c r="AO1142" s="10"/>
      <c r="AP1142" s="22" t="str">
        <f aca="false">IF(OR(C1142="",I1142="",K1142=""),"",IF(K1142="Monthly",EDATE(C1142,ROUND(I1142*SETTINGS!$I$8,0)),WORKDAY(C1142,ROUND(I1142*SETTINGS!$I$8,0))))</f>
        <v/>
      </c>
      <c r="AQ1142" s="9" t="str">
        <f aca="true">IF(C1142="","",IF(AND(AP1142&lt;&gt;"",TODAY()&gt;=AP1142),"Refi Ready",IF(TODAY()-C1142&gt;=SETTINGS!$I$11,"Prospecting","Performing")))</f>
        <v/>
      </c>
      <c r="AR1142" s="22" t="str">
        <f aca="false">IF(OR(C1142="",I1142="",K1142=""),"",IF(K1142="Monthly",EDATE(C1142,I1142),WORKDAY(C1142,I1142)))</f>
        <v/>
      </c>
      <c r="AS1142" s="11"/>
      <c r="AT1142" s="23" t="str">
        <f aca="true">IF(C1142="","",IF(AM1142="Clawed Back","CLAWED",IF(TODAY()&lt;=C1142+SETTINGS!$I$2,"⚠ AT RISK","SAFE")))</f>
        <v/>
      </c>
      <c r="AU1142" s="11"/>
      <c r="AW1142" s="24" t="n">
        <f aca="false">AW1141+IF(AND(C1142&lt;&gt;"",AO1142&lt;&gt;"",OR('REP COMMISSION'!$B$3="",T1142='REP COMMISSION'!$B$3,W1142='REP COMMISSION'!$B$3,Z1142='REP COMMISSION'!$B$3)),1,0)</f>
        <v>0</v>
      </c>
      <c r="AX1142" s="24" t="n">
        <f aca="false">AX1141+IF(AND(C1142&lt;&gt;"",OR(F1142="LOC - INITIAL",F1142="CONSOLIDATION - UPFRONT COMM",F1142="REVERSE - TOTAL FUNDING")),1,0)</f>
        <v>0</v>
      </c>
    </row>
    <row r="1143" customFormat="false" ht="15" hidden="false" customHeight="false" outlineLevel="0" collapsed="false">
      <c r="A1143" s="25" t="str">
        <f aca="false">IF(C1143&lt;&gt;"","F27-"&amp;COUNT($C$4:C1143),"")</f>
        <v/>
      </c>
      <c r="B1143" s="26" t="str">
        <f aca="false">IF(OR(F1143="LOC - INITIAL",F1143="CONSOLIDATION - UPFRONT COMM",F1143="REVERSE - TOTAL FUNDING"),A1143,"")</f>
        <v/>
      </c>
      <c r="C1143" s="27"/>
      <c r="D1143" s="28"/>
      <c r="E1143" s="28"/>
      <c r="F1143" s="28"/>
      <c r="G1143" s="29"/>
      <c r="H1143" s="30"/>
      <c r="I1143" s="28"/>
      <c r="J1143" s="31" t="str">
        <f aca="false">IF(AND(G1143&lt;&gt;"",H1143&lt;&gt;""),G1143*H1143,"")</f>
        <v/>
      </c>
      <c r="K1143" s="28"/>
      <c r="L1143" s="32"/>
      <c r="M1143" s="32"/>
      <c r="N1143" s="31" t="n">
        <f aca="false">IF(OR(G1143="",M1143=""),0,IF(M1143&gt;100,M1143,G1143*IF(M1143&gt;1,M1143/100,M1143)))</f>
        <v>0</v>
      </c>
      <c r="O1143" s="31" t="str">
        <f aca="false">IF(G1143="","",G1143*IF(L1143="",0,IF(L1143&gt;1,L1143/100,L1143))+N1143)</f>
        <v/>
      </c>
      <c r="P1143" s="28"/>
      <c r="Q1143" s="33" t="str">
        <f aca="false">IF(P1143="","",IFERROR(VLOOKUP(P1143,PARTNERS!$A$2:$B$30,2,0),""))</f>
        <v/>
      </c>
      <c r="R1143" s="17" t="str">
        <f aca="false">IF(O1143="","",IF(OR(P1143="",Q1143=""),0,(O1143-N1143)*IF(Q1143&gt;1,Q1143/100,Q1143)))</f>
        <v/>
      </c>
      <c r="S1143" s="31" t="str">
        <f aca="false">IF(O1143="","",O1143-R1143)</f>
        <v/>
      </c>
      <c r="T1143" s="28"/>
      <c r="U1143" s="34" t="str">
        <f aca="false">IF(T1143="","",IFERROR(VLOOKUP(T1143,REPS!$A$2:$D$40,2,0),""))</f>
        <v/>
      </c>
      <c r="V1143" s="31" t="str">
        <f aca="false">IF(O1143="","",IF(U1143="",0,O1143*IF(U1143&gt;1,U1143/100,U1143)))</f>
        <v/>
      </c>
      <c r="W1143" s="28"/>
      <c r="X1143" s="34" t="str">
        <f aca="false">IF(W1143="","",IFERROR(VLOOKUP(W1143,REPS!$A$2:$D$40,3,0),""))</f>
        <v/>
      </c>
      <c r="Y1143" s="31" t="str">
        <f aca="false">IF(O1143="","",IF(X1143="",0,O1143*IF(X1143&gt;1,X1143/100,X1143)))</f>
        <v/>
      </c>
      <c r="Z1143" s="28"/>
      <c r="AA1143" s="34" t="str">
        <f aca="false">IF(Z1143="","",IFERROR(VLOOKUP(Z1143,REPS!$A$2:$D$40,4,0),""))</f>
        <v/>
      </c>
      <c r="AB1143" s="31" t="str">
        <f aca="false">IF(O1143="","",IF(AA1143="",0,O1143*IF(AA1143&gt;1,AA1143/100,AA1143)))</f>
        <v/>
      </c>
      <c r="AC1143" s="31" t="str">
        <f aca="false">IF(O1143="","",V1143+Y1143+AB1143)</f>
        <v/>
      </c>
      <c r="AD1143" s="19" t="str">
        <f aca="false">IF(O1143="","",O1143-R1143-AC1143)</f>
        <v/>
      </c>
      <c r="AE1143" s="20"/>
      <c r="AF1143" s="27"/>
      <c r="AG1143" s="21" t="n">
        <f aca="false">IF(OR(AE1143="",AE1143=0),0,AE1143*IF(U1143="",0,IF(U1143&gt;1,U1143/100,U1143)))</f>
        <v>0</v>
      </c>
      <c r="AH1143" s="21" t="n">
        <f aca="false">IF(OR(AE1143="",AE1143=0),0,AE1143*IF(X1143="",0,IF(X1143&gt;1,X1143/100,X1143)))</f>
        <v>0</v>
      </c>
      <c r="AI1143" s="21" t="n">
        <f aca="false">IF(OR(AE1143="",AE1143=0),0,AE1143*IF(AA1143="",0,IF(AA1143&gt;1,AA1143/100,AA1143)))</f>
        <v>0</v>
      </c>
      <c r="AJ1143" s="21" t="n">
        <f aca="false">AG1143+AH1143+AI1143</f>
        <v>0</v>
      </c>
      <c r="AK1143" s="21" t="n">
        <f aca="false">IF(OR(AE1143="",AE1143=0),0,AE1143-AJ1143)</f>
        <v>0</v>
      </c>
      <c r="AL1143" s="19" t="str">
        <f aca="false">IF(AD1143="","",AD1143-AK1143)</f>
        <v/>
      </c>
      <c r="AM1143" s="26" t="str">
        <f aca="false">IF(C1143="","","Waiting for payment")</f>
        <v/>
      </c>
      <c r="AN1143" s="27"/>
      <c r="AO1143" s="27"/>
      <c r="AP1143" s="35" t="str">
        <f aca="false">IF(OR(C1143="",I1143="",K1143=""),"",IF(K1143="Monthly",EDATE(C1143,ROUND(I1143*SETTINGS!$I$8,0)),WORKDAY(C1143,ROUND(I1143*SETTINGS!$I$8,0))))</f>
        <v/>
      </c>
      <c r="AQ1143" s="26" t="str">
        <f aca="true">IF(C1143="","",IF(AND(AP1143&lt;&gt;"",TODAY()&gt;=AP1143),"Refi Ready",IF(TODAY()-C1143&gt;=SETTINGS!$I$11,"Prospecting","Performing")))</f>
        <v/>
      </c>
      <c r="AR1143" s="35" t="str">
        <f aca="false">IF(OR(C1143="",I1143="",K1143=""),"",IF(K1143="Monthly",EDATE(C1143,I1143),WORKDAY(C1143,I1143)))</f>
        <v/>
      </c>
      <c r="AS1143" s="28"/>
      <c r="AT1143" s="36" t="str">
        <f aca="true">IF(C1143="","",IF(AM1143="Clawed Back","CLAWED",IF(TODAY()&lt;=C1143+SETTINGS!$I$2,"⚠ AT RISK","SAFE")))</f>
        <v/>
      </c>
      <c r="AU1143" s="28"/>
      <c r="AW1143" s="24" t="n">
        <f aca="false">AW1142+IF(AND(C1143&lt;&gt;"",AO1143&lt;&gt;"",OR('REP COMMISSION'!$B$3="",T1143='REP COMMISSION'!$B$3,W1143='REP COMMISSION'!$B$3,Z1143='REP COMMISSION'!$B$3)),1,0)</f>
        <v>0</v>
      </c>
      <c r="AX1143" s="24" t="n">
        <f aca="false">AX1142+IF(AND(C1143&lt;&gt;"",OR(F1143="LOC - INITIAL",F1143="CONSOLIDATION - UPFRONT COMM",F1143="REVERSE - TOTAL FUNDING")),1,0)</f>
        <v>0</v>
      </c>
    </row>
    <row r="1144" customFormat="false" ht="15" hidden="false" customHeight="false" outlineLevel="0" collapsed="false">
      <c r="A1144" s="8" t="str">
        <f aca="false">IF(C1144&lt;&gt;"","F27-"&amp;COUNT($C$4:C1144),"")</f>
        <v/>
      </c>
      <c r="B1144" s="9" t="str">
        <f aca="false">IF(OR(F1144="LOC - INITIAL",F1144="CONSOLIDATION - UPFRONT COMM",F1144="REVERSE - TOTAL FUNDING"),A1144,"")</f>
        <v/>
      </c>
      <c r="C1144" s="10"/>
      <c r="D1144" s="11"/>
      <c r="E1144" s="11"/>
      <c r="F1144" s="11"/>
      <c r="G1144" s="12"/>
      <c r="H1144" s="13"/>
      <c r="I1144" s="11"/>
      <c r="J1144" s="14" t="str">
        <f aca="false">IF(AND(G1144&lt;&gt;"",H1144&lt;&gt;""),G1144*H1144,"")</f>
        <v/>
      </c>
      <c r="K1144" s="11"/>
      <c r="L1144" s="15"/>
      <c r="M1144" s="15"/>
      <c r="N1144" s="14" t="n">
        <f aca="false">IF(OR(G1144="",M1144=""),0,IF(M1144&gt;100,M1144,G1144*IF(M1144&gt;1,M1144/100,M1144)))</f>
        <v>0</v>
      </c>
      <c r="O1144" s="14" t="str">
        <f aca="false">IF(G1144="","",G1144*IF(L1144="",0,IF(L1144&gt;1,L1144/100,L1144))+N1144)</f>
        <v/>
      </c>
      <c r="P1144" s="11"/>
      <c r="Q1144" s="16" t="str">
        <f aca="false">IF(P1144="","",IFERROR(VLOOKUP(P1144,PARTNERS!$A$2:$B$30,2,0),""))</f>
        <v/>
      </c>
      <c r="R1144" s="17" t="str">
        <f aca="false">IF(O1144="","",IF(OR(P1144="",Q1144=""),0,(O1144-N1144)*IF(Q1144&gt;1,Q1144/100,Q1144)))</f>
        <v/>
      </c>
      <c r="S1144" s="14" t="str">
        <f aca="false">IF(O1144="","",O1144-R1144)</f>
        <v/>
      </c>
      <c r="T1144" s="11"/>
      <c r="U1144" s="18" t="str">
        <f aca="false">IF(T1144="","",IFERROR(VLOOKUP(T1144,REPS!$A$2:$D$40,2,0),""))</f>
        <v/>
      </c>
      <c r="V1144" s="14" t="str">
        <f aca="false">IF(O1144="","",IF(U1144="",0,O1144*IF(U1144&gt;1,U1144/100,U1144)))</f>
        <v/>
      </c>
      <c r="W1144" s="11"/>
      <c r="X1144" s="18" t="str">
        <f aca="false">IF(W1144="","",IFERROR(VLOOKUP(W1144,REPS!$A$2:$D$40,3,0),""))</f>
        <v/>
      </c>
      <c r="Y1144" s="14" t="str">
        <f aca="false">IF(O1144="","",IF(X1144="",0,O1144*IF(X1144&gt;1,X1144/100,X1144)))</f>
        <v/>
      </c>
      <c r="Z1144" s="11"/>
      <c r="AA1144" s="18" t="str">
        <f aca="false">IF(Z1144="","",IFERROR(VLOOKUP(Z1144,REPS!$A$2:$D$40,4,0),""))</f>
        <v/>
      </c>
      <c r="AB1144" s="14" t="str">
        <f aca="false">IF(O1144="","",IF(AA1144="",0,O1144*IF(AA1144&gt;1,AA1144/100,AA1144)))</f>
        <v/>
      </c>
      <c r="AC1144" s="14" t="str">
        <f aca="false">IF(O1144="","",V1144+Y1144+AB1144)</f>
        <v/>
      </c>
      <c r="AD1144" s="19" t="str">
        <f aca="false">IF(O1144="","",O1144-R1144-AC1144)</f>
        <v/>
      </c>
      <c r="AE1144" s="20"/>
      <c r="AF1144" s="10"/>
      <c r="AG1144" s="21" t="n">
        <f aca="false">IF(OR(AE1144="",AE1144=0),0,AE1144*IF(U1144="",0,IF(U1144&gt;1,U1144/100,U1144)))</f>
        <v>0</v>
      </c>
      <c r="AH1144" s="21" t="n">
        <f aca="false">IF(OR(AE1144="",AE1144=0),0,AE1144*IF(X1144="",0,IF(X1144&gt;1,X1144/100,X1144)))</f>
        <v>0</v>
      </c>
      <c r="AI1144" s="21" t="n">
        <f aca="false">IF(OR(AE1144="",AE1144=0),0,AE1144*IF(AA1144="",0,IF(AA1144&gt;1,AA1144/100,AA1144)))</f>
        <v>0</v>
      </c>
      <c r="AJ1144" s="21" t="n">
        <f aca="false">AG1144+AH1144+AI1144</f>
        <v>0</v>
      </c>
      <c r="AK1144" s="21" t="n">
        <f aca="false">IF(OR(AE1144="",AE1144=0),0,AE1144-AJ1144)</f>
        <v>0</v>
      </c>
      <c r="AL1144" s="19" t="str">
        <f aca="false">IF(AD1144="","",AD1144-AK1144)</f>
        <v/>
      </c>
      <c r="AM1144" s="9" t="str">
        <f aca="false">IF(C1144="","","Waiting for payment")</f>
        <v/>
      </c>
      <c r="AN1144" s="10"/>
      <c r="AO1144" s="10"/>
      <c r="AP1144" s="22" t="str">
        <f aca="false">IF(OR(C1144="",I1144="",K1144=""),"",IF(K1144="Monthly",EDATE(C1144,ROUND(I1144*SETTINGS!$I$8,0)),WORKDAY(C1144,ROUND(I1144*SETTINGS!$I$8,0))))</f>
        <v/>
      </c>
      <c r="AQ1144" s="9" t="str">
        <f aca="true">IF(C1144="","",IF(AND(AP1144&lt;&gt;"",TODAY()&gt;=AP1144),"Refi Ready",IF(TODAY()-C1144&gt;=SETTINGS!$I$11,"Prospecting","Performing")))</f>
        <v/>
      </c>
      <c r="AR1144" s="22" t="str">
        <f aca="false">IF(OR(C1144="",I1144="",K1144=""),"",IF(K1144="Monthly",EDATE(C1144,I1144),WORKDAY(C1144,I1144)))</f>
        <v/>
      </c>
      <c r="AS1144" s="11"/>
      <c r="AT1144" s="23" t="str">
        <f aca="true">IF(C1144="","",IF(AM1144="Clawed Back","CLAWED",IF(TODAY()&lt;=C1144+SETTINGS!$I$2,"⚠ AT RISK","SAFE")))</f>
        <v/>
      </c>
      <c r="AU1144" s="11"/>
      <c r="AW1144" s="24" t="n">
        <f aca="false">AW1143+IF(AND(C1144&lt;&gt;"",AO1144&lt;&gt;"",OR('REP COMMISSION'!$B$3="",T1144='REP COMMISSION'!$B$3,W1144='REP COMMISSION'!$B$3,Z1144='REP COMMISSION'!$B$3)),1,0)</f>
        <v>0</v>
      </c>
      <c r="AX1144" s="24" t="n">
        <f aca="false">AX1143+IF(AND(C1144&lt;&gt;"",OR(F1144="LOC - INITIAL",F1144="CONSOLIDATION - UPFRONT COMM",F1144="REVERSE - TOTAL FUNDING")),1,0)</f>
        <v>0</v>
      </c>
    </row>
    <row r="1145" customFormat="false" ht="15" hidden="false" customHeight="false" outlineLevel="0" collapsed="false">
      <c r="A1145" s="25" t="str">
        <f aca="false">IF(C1145&lt;&gt;"","F27-"&amp;COUNT($C$4:C1145),"")</f>
        <v/>
      </c>
      <c r="B1145" s="26" t="str">
        <f aca="false">IF(OR(F1145="LOC - INITIAL",F1145="CONSOLIDATION - UPFRONT COMM",F1145="REVERSE - TOTAL FUNDING"),A1145,"")</f>
        <v/>
      </c>
      <c r="C1145" s="27"/>
      <c r="D1145" s="28"/>
      <c r="E1145" s="28"/>
      <c r="F1145" s="28"/>
      <c r="G1145" s="29"/>
      <c r="H1145" s="30"/>
      <c r="I1145" s="28"/>
      <c r="J1145" s="31" t="str">
        <f aca="false">IF(AND(G1145&lt;&gt;"",H1145&lt;&gt;""),G1145*H1145,"")</f>
        <v/>
      </c>
      <c r="K1145" s="28"/>
      <c r="L1145" s="32"/>
      <c r="M1145" s="32"/>
      <c r="N1145" s="31" t="n">
        <f aca="false">IF(OR(G1145="",M1145=""),0,IF(M1145&gt;100,M1145,G1145*IF(M1145&gt;1,M1145/100,M1145)))</f>
        <v>0</v>
      </c>
      <c r="O1145" s="31" t="str">
        <f aca="false">IF(G1145="","",G1145*IF(L1145="",0,IF(L1145&gt;1,L1145/100,L1145))+N1145)</f>
        <v/>
      </c>
      <c r="P1145" s="28"/>
      <c r="Q1145" s="33" t="str">
        <f aca="false">IF(P1145="","",IFERROR(VLOOKUP(P1145,PARTNERS!$A$2:$B$30,2,0),""))</f>
        <v/>
      </c>
      <c r="R1145" s="17" t="str">
        <f aca="false">IF(O1145="","",IF(OR(P1145="",Q1145=""),0,(O1145-N1145)*IF(Q1145&gt;1,Q1145/100,Q1145)))</f>
        <v/>
      </c>
      <c r="S1145" s="31" t="str">
        <f aca="false">IF(O1145="","",O1145-R1145)</f>
        <v/>
      </c>
      <c r="T1145" s="28"/>
      <c r="U1145" s="34" t="str">
        <f aca="false">IF(T1145="","",IFERROR(VLOOKUP(T1145,REPS!$A$2:$D$40,2,0),""))</f>
        <v/>
      </c>
      <c r="V1145" s="31" t="str">
        <f aca="false">IF(O1145="","",IF(U1145="",0,O1145*IF(U1145&gt;1,U1145/100,U1145)))</f>
        <v/>
      </c>
      <c r="W1145" s="28"/>
      <c r="X1145" s="34" t="str">
        <f aca="false">IF(W1145="","",IFERROR(VLOOKUP(W1145,REPS!$A$2:$D$40,3,0),""))</f>
        <v/>
      </c>
      <c r="Y1145" s="31" t="str">
        <f aca="false">IF(O1145="","",IF(X1145="",0,O1145*IF(X1145&gt;1,X1145/100,X1145)))</f>
        <v/>
      </c>
      <c r="Z1145" s="28"/>
      <c r="AA1145" s="34" t="str">
        <f aca="false">IF(Z1145="","",IFERROR(VLOOKUP(Z1145,REPS!$A$2:$D$40,4,0),""))</f>
        <v/>
      </c>
      <c r="AB1145" s="31" t="str">
        <f aca="false">IF(O1145="","",IF(AA1145="",0,O1145*IF(AA1145&gt;1,AA1145/100,AA1145)))</f>
        <v/>
      </c>
      <c r="AC1145" s="31" t="str">
        <f aca="false">IF(O1145="","",V1145+Y1145+AB1145)</f>
        <v/>
      </c>
      <c r="AD1145" s="19" t="str">
        <f aca="false">IF(O1145="","",O1145-R1145-AC1145)</f>
        <v/>
      </c>
      <c r="AE1145" s="20"/>
      <c r="AF1145" s="27"/>
      <c r="AG1145" s="21" t="n">
        <f aca="false">IF(OR(AE1145="",AE1145=0),0,AE1145*IF(U1145="",0,IF(U1145&gt;1,U1145/100,U1145)))</f>
        <v>0</v>
      </c>
      <c r="AH1145" s="21" t="n">
        <f aca="false">IF(OR(AE1145="",AE1145=0),0,AE1145*IF(X1145="",0,IF(X1145&gt;1,X1145/100,X1145)))</f>
        <v>0</v>
      </c>
      <c r="AI1145" s="21" t="n">
        <f aca="false">IF(OR(AE1145="",AE1145=0),0,AE1145*IF(AA1145="",0,IF(AA1145&gt;1,AA1145/100,AA1145)))</f>
        <v>0</v>
      </c>
      <c r="AJ1145" s="21" t="n">
        <f aca="false">AG1145+AH1145+AI1145</f>
        <v>0</v>
      </c>
      <c r="AK1145" s="21" t="n">
        <f aca="false">IF(OR(AE1145="",AE1145=0),0,AE1145-AJ1145)</f>
        <v>0</v>
      </c>
      <c r="AL1145" s="19" t="str">
        <f aca="false">IF(AD1145="","",AD1145-AK1145)</f>
        <v/>
      </c>
      <c r="AM1145" s="26" t="str">
        <f aca="false">IF(C1145="","","Waiting for payment")</f>
        <v/>
      </c>
      <c r="AN1145" s="27"/>
      <c r="AO1145" s="27"/>
      <c r="AP1145" s="35" t="str">
        <f aca="false">IF(OR(C1145="",I1145="",K1145=""),"",IF(K1145="Monthly",EDATE(C1145,ROUND(I1145*SETTINGS!$I$8,0)),WORKDAY(C1145,ROUND(I1145*SETTINGS!$I$8,0))))</f>
        <v/>
      </c>
      <c r="AQ1145" s="26" t="str">
        <f aca="true">IF(C1145="","",IF(AND(AP1145&lt;&gt;"",TODAY()&gt;=AP1145),"Refi Ready",IF(TODAY()-C1145&gt;=SETTINGS!$I$11,"Prospecting","Performing")))</f>
        <v/>
      </c>
      <c r="AR1145" s="35" t="str">
        <f aca="false">IF(OR(C1145="",I1145="",K1145=""),"",IF(K1145="Monthly",EDATE(C1145,I1145),WORKDAY(C1145,I1145)))</f>
        <v/>
      </c>
      <c r="AS1145" s="28"/>
      <c r="AT1145" s="36" t="str">
        <f aca="true">IF(C1145="","",IF(AM1145="Clawed Back","CLAWED",IF(TODAY()&lt;=C1145+SETTINGS!$I$2,"⚠ AT RISK","SAFE")))</f>
        <v/>
      </c>
      <c r="AU1145" s="28"/>
      <c r="AW1145" s="24" t="n">
        <f aca="false">AW1144+IF(AND(C1145&lt;&gt;"",AO1145&lt;&gt;"",OR('REP COMMISSION'!$B$3="",T1145='REP COMMISSION'!$B$3,W1145='REP COMMISSION'!$B$3,Z1145='REP COMMISSION'!$B$3)),1,0)</f>
        <v>0</v>
      </c>
      <c r="AX1145" s="24" t="n">
        <f aca="false">AX1144+IF(AND(C1145&lt;&gt;"",OR(F1145="LOC - INITIAL",F1145="CONSOLIDATION - UPFRONT COMM",F1145="REVERSE - TOTAL FUNDING")),1,0)</f>
        <v>0</v>
      </c>
    </row>
    <row r="1146" customFormat="false" ht="15" hidden="false" customHeight="false" outlineLevel="0" collapsed="false">
      <c r="A1146" s="8" t="str">
        <f aca="false">IF(C1146&lt;&gt;"","F27-"&amp;COUNT($C$4:C1146),"")</f>
        <v/>
      </c>
      <c r="B1146" s="9" t="str">
        <f aca="false">IF(OR(F1146="LOC - INITIAL",F1146="CONSOLIDATION - UPFRONT COMM",F1146="REVERSE - TOTAL FUNDING"),A1146,"")</f>
        <v/>
      </c>
      <c r="C1146" s="10"/>
      <c r="D1146" s="11"/>
      <c r="E1146" s="11"/>
      <c r="F1146" s="11"/>
      <c r="G1146" s="12"/>
      <c r="H1146" s="13"/>
      <c r="I1146" s="11"/>
      <c r="J1146" s="14" t="str">
        <f aca="false">IF(AND(G1146&lt;&gt;"",H1146&lt;&gt;""),G1146*H1146,"")</f>
        <v/>
      </c>
      <c r="K1146" s="11"/>
      <c r="L1146" s="15"/>
      <c r="M1146" s="15"/>
      <c r="N1146" s="14" t="n">
        <f aca="false">IF(OR(G1146="",M1146=""),0,IF(M1146&gt;100,M1146,G1146*IF(M1146&gt;1,M1146/100,M1146)))</f>
        <v>0</v>
      </c>
      <c r="O1146" s="14" t="str">
        <f aca="false">IF(G1146="","",G1146*IF(L1146="",0,IF(L1146&gt;1,L1146/100,L1146))+N1146)</f>
        <v/>
      </c>
      <c r="P1146" s="11"/>
      <c r="Q1146" s="16" t="str">
        <f aca="false">IF(P1146="","",IFERROR(VLOOKUP(P1146,PARTNERS!$A$2:$B$30,2,0),""))</f>
        <v/>
      </c>
      <c r="R1146" s="17" t="str">
        <f aca="false">IF(O1146="","",IF(OR(P1146="",Q1146=""),0,(O1146-N1146)*IF(Q1146&gt;1,Q1146/100,Q1146)))</f>
        <v/>
      </c>
      <c r="S1146" s="14" t="str">
        <f aca="false">IF(O1146="","",O1146-R1146)</f>
        <v/>
      </c>
      <c r="T1146" s="11"/>
      <c r="U1146" s="18" t="str">
        <f aca="false">IF(T1146="","",IFERROR(VLOOKUP(T1146,REPS!$A$2:$D$40,2,0),""))</f>
        <v/>
      </c>
      <c r="V1146" s="14" t="str">
        <f aca="false">IF(O1146="","",IF(U1146="",0,O1146*IF(U1146&gt;1,U1146/100,U1146)))</f>
        <v/>
      </c>
      <c r="W1146" s="11"/>
      <c r="X1146" s="18" t="str">
        <f aca="false">IF(W1146="","",IFERROR(VLOOKUP(W1146,REPS!$A$2:$D$40,3,0),""))</f>
        <v/>
      </c>
      <c r="Y1146" s="14" t="str">
        <f aca="false">IF(O1146="","",IF(X1146="",0,O1146*IF(X1146&gt;1,X1146/100,X1146)))</f>
        <v/>
      </c>
      <c r="Z1146" s="11"/>
      <c r="AA1146" s="18" t="str">
        <f aca="false">IF(Z1146="","",IFERROR(VLOOKUP(Z1146,REPS!$A$2:$D$40,4,0),""))</f>
        <v/>
      </c>
      <c r="AB1146" s="14" t="str">
        <f aca="false">IF(O1146="","",IF(AA1146="",0,O1146*IF(AA1146&gt;1,AA1146/100,AA1146)))</f>
        <v/>
      </c>
      <c r="AC1146" s="14" t="str">
        <f aca="false">IF(O1146="","",V1146+Y1146+AB1146)</f>
        <v/>
      </c>
      <c r="AD1146" s="19" t="str">
        <f aca="false">IF(O1146="","",O1146-R1146-AC1146)</f>
        <v/>
      </c>
      <c r="AE1146" s="20"/>
      <c r="AF1146" s="10"/>
      <c r="AG1146" s="21" t="n">
        <f aca="false">IF(OR(AE1146="",AE1146=0),0,AE1146*IF(U1146="",0,IF(U1146&gt;1,U1146/100,U1146)))</f>
        <v>0</v>
      </c>
      <c r="AH1146" s="21" t="n">
        <f aca="false">IF(OR(AE1146="",AE1146=0),0,AE1146*IF(X1146="",0,IF(X1146&gt;1,X1146/100,X1146)))</f>
        <v>0</v>
      </c>
      <c r="AI1146" s="21" t="n">
        <f aca="false">IF(OR(AE1146="",AE1146=0),0,AE1146*IF(AA1146="",0,IF(AA1146&gt;1,AA1146/100,AA1146)))</f>
        <v>0</v>
      </c>
      <c r="AJ1146" s="21" t="n">
        <f aca="false">AG1146+AH1146+AI1146</f>
        <v>0</v>
      </c>
      <c r="AK1146" s="21" t="n">
        <f aca="false">IF(OR(AE1146="",AE1146=0),0,AE1146-AJ1146)</f>
        <v>0</v>
      </c>
      <c r="AL1146" s="19" t="str">
        <f aca="false">IF(AD1146="","",AD1146-AK1146)</f>
        <v/>
      </c>
      <c r="AM1146" s="9" t="str">
        <f aca="false">IF(C1146="","","Waiting for payment")</f>
        <v/>
      </c>
      <c r="AN1146" s="10"/>
      <c r="AO1146" s="10"/>
      <c r="AP1146" s="22" t="str">
        <f aca="false">IF(OR(C1146="",I1146="",K1146=""),"",IF(K1146="Monthly",EDATE(C1146,ROUND(I1146*SETTINGS!$I$8,0)),WORKDAY(C1146,ROUND(I1146*SETTINGS!$I$8,0))))</f>
        <v/>
      </c>
      <c r="AQ1146" s="9" t="str">
        <f aca="true">IF(C1146="","",IF(AND(AP1146&lt;&gt;"",TODAY()&gt;=AP1146),"Refi Ready",IF(TODAY()-C1146&gt;=SETTINGS!$I$11,"Prospecting","Performing")))</f>
        <v/>
      </c>
      <c r="AR1146" s="22" t="str">
        <f aca="false">IF(OR(C1146="",I1146="",K1146=""),"",IF(K1146="Monthly",EDATE(C1146,I1146),WORKDAY(C1146,I1146)))</f>
        <v/>
      </c>
      <c r="AS1146" s="11"/>
      <c r="AT1146" s="23" t="str">
        <f aca="true">IF(C1146="","",IF(AM1146="Clawed Back","CLAWED",IF(TODAY()&lt;=C1146+SETTINGS!$I$2,"⚠ AT RISK","SAFE")))</f>
        <v/>
      </c>
      <c r="AU1146" s="11"/>
      <c r="AW1146" s="24" t="n">
        <f aca="false">AW1145+IF(AND(C1146&lt;&gt;"",AO1146&lt;&gt;"",OR('REP COMMISSION'!$B$3="",T1146='REP COMMISSION'!$B$3,W1146='REP COMMISSION'!$B$3,Z1146='REP COMMISSION'!$B$3)),1,0)</f>
        <v>0</v>
      </c>
      <c r="AX1146" s="24" t="n">
        <f aca="false">AX1145+IF(AND(C1146&lt;&gt;"",OR(F1146="LOC - INITIAL",F1146="CONSOLIDATION - UPFRONT COMM",F1146="REVERSE - TOTAL FUNDING")),1,0)</f>
        <v>0</v>
      </c>
    </row>
    <row r="1147" customFormat="false" ht="15" hidden="false" customHeight="false" outlineLevel="0" collapsed="false">
      <c r="A1147" s="25" t="str">
        <f aca="false">IF(C1147&lt;&gt;"","F27-"&amp;COUNT($C$4:C1147),"")</f>
        <v/>
      </c>
      <c r="B1147" s="26" t="str">
        <f aca="false">IF(OR(F1147="LOC - INITIAL",F1147="CONSOLIDATION - UPFRONT COMM",F1147="REVERSE - TOTAL FUNDING"),A1147,"")</f>
        <v/>
      </c>
      <c r="C1147" s="27"/>
      <c r="D1147" s="28"/>
      <c r="E1147" s="28"/>
      <c r="F1147" s="28"/>
      <c r="G1147" s="29"/>
      <c r="H1147" s="30"/>
      <c r="I1147" s="28"/>
      <c r="J1147" s="31" t="str">
        <f aca="false">IF(AND(G1147&lt;&gt;"",H1147&lt;&gt;""),G1147*H1147,"")</f>
        <v/>
      </c>
      <c r="K1147" s="28"/>
      <c r="L1147" s="32"/>
      <c r="M1147" s="32"/>
      <c r="N1147" s="31" t="n">
        <f aca="false">IF(OR(G1147="",M1147=""),0,IF(M1147&gt;100,M1147,G1147*IF(M1147&gt;1,M1147/100,M1147)))</f>
        <v>0</v>
      </c>
      <c r="O1147" s="31" t="str">
        <f aca="false">IF(G1147="","",G1147*IF(L1147="",0,IF(L1147&gt;1,L1147/100,L1147))+N1147)</f>
        <v/>
      </c>
      <c r="P1147" s="28"/>
      <c r="Q1147" s="33" t="str">
        <f aca="false">IF(P1147="","",IFERROR(VLOOKUP(P1147,PARTNERS!$A$2:$B$30,2,0),""))</f>
        <v/>
      </c>
      <c r="R1147" s="17" t="str">
        <f aca="false">IF(O1147="","",IF(OR(P1147="",Q1147=""),0,(O1147-N1147)*IF(Q1147&gt;1,Q1147/100,Q1147)))</f>
        <v/>
      </c>
      <c r="S1147" s="31" t="str">
        <f aca="false">IF(O1147="","",O1147-R1147)</f>
        <v/>
      </c>
      <c r="T1147" s="28"/>
      <c r="U1147" s="34" t="str">
        <f aca="false">IF(T1147="","",IFERROR(VLOOKUP(T1147,REPS!$A$2:$D$40,2,0),""))</f>
        <v/>
      </c>
      <c r="V1147" s="31" t="str">
        <f aca="false">IF(O1147="","",IF(U1147="",0,O1147*IF(U1147&gt;1,U1147/100,U1147)))</f>
        <v/>
      </c>
      <c r="W1147" s="28"/>
      <c r="X1147" s="34" t="str">
        <f aca="false">IF(W1147="","",IFERROR(VLOOKUP(W1147,REPS!$A$2:$D$40,3,0),""))</f>
        <v/>
      </c>
      <c r="Y1147" s="31" t="str">
        <f aca="false">IF(O1147="","",IF(X1147="",0,O1147*IF(X1147&gt;1,X1147/100,X1147)))</f>
        <v/>
      </c>
      <c r="Z1147" s="28"/>
      <c r="AA1147" s="34" t="str">
        <f aca="false">IF(Z1147="","",IFERROR(VLOOKUP(Z1147,REPS!$A$2:$D$40,4,0),""))</f>
        <v/>
      </c>
      <c r="AB1147" s="31" t="str">
        <f aca="false">IF(O1147="","",IF(AA1147="",0,O1147*IF(AA1147&gt;1,AA1147/100,AA1147)))</f>
        <v/>
      </c>
      <c r="AC1147" s="31" t="str">
        <f aca="false">IF(O1147="","",V1147+Y1147+AB1147)</f>
        <v/>
      </c>
      <c r="AD1147" s="19" t="str">
        <f aca="false">IF(O1147="","",O1147-R1147-AC1147)</f>
        <v/>
      </c>
      <c r="AE1147" s="20"/>
      <c r="AF1147" s="27"/>
      <c r="AG1147" s="21" t="n">
        <f aca="false">IF(OR(AE1147="",AE1147=0),0,AE1147*IF(U1147="",0,IF(U1147&gt;1,U1147/100,U1147)))</f>
        <v>0</v>
      </c>
      <c r="AH1147" s="21" t="n">
        <f aca="false">IF(OR(AE1147="",AE1147=0),0,AE1147*IF(X1147="",0,IF(X1147&gt;1,X1147/100,X1147)))</f>
        <v>0</v>
      </c>
      <c r="AI1147" s="21" t="n">
        <f aca="false">IF(OR(AE1147="",AE1147=0),0,AE1147*IF(AA1147="",0,IF(AA1147&gt;1,AA1147/100,AA1147)))</f>
        <v>0</v>
      </c>
      <c r="AJ1147" s="21" t="n">
        <f aca="false">AG1147+AH1147+AI1147</f>
        <v>0</v>
      </c>
      <c r="AK1147" s="21" t="n">
        <f aca="false">IF(OR(AE1147="",AE1147=0),0,AE1147-AJ1147)</f>
        <v>0</v>
      </c>
      <c r="AL1147" s="19" t="str">
        <f aca="false">IF(AD1147="","",AD1147-AK1147)</f>
        <v/>
      </c>
      <c r="AM1147" s="26" t="str">
        <f aca="false">IF(C1147="","","Waiting for payment")</f>
        <v/>
      </c>
      <c r="AN1147" s="27"/>
      <c r="AO1147" s="27"/>
      <c r="AP1147" s="35" t="str">
        <f aca="false">IF(OR(C1147="",I1147="",K1147=""),"",IF(K1147="Monthly",EDATE(C1147,ROUND(I1147*SETTINGS!$I$8,0)),WORKDAY(C1147,ROUND(I1147*SETTINGS!$I$8,0))))</f>
        <v/>
      </c>
      <c r="AQ1147" s="26" t="str">
        <f aca="true">IF(C1147="","",IF(AND(AP1147&lt;&gt;"",TODAY()&gt;=AP1147),"Refi Ready",IF(TODAY()-C1147&gt;=SETTINGS!$I$11,"Prospecting","Performing")))</f>
        <v/>
      </c>
      <c r="AR1147" s="35" t="str">
        <f aca="false">IF(OR(C1147="",I1147="",K1147=""),"",IF(K1147="Monthly",EDATE(C1147,I1147),WORKDAY(C1147,I1147)))</f>
        <v/>
      </c>
      <c r="AS1147" s="28"/>
      <c r="AT1147" s="36" t="str">
        <f aca="true">IF(C1147="","",IF(AM1147="Clawed Back","CLAWED",IF(TODAY()&lt;=C1147+SETTINGS!$I$2,"⚠ AT RISK","SAFE")))</f>
        <v/>
      </c>
      <c r="AU1147" s="28"/>
      <c r="AW1147" s="24" t="n">
        <f aca="false">AW1146+IF(AND(C1147&lt;&gt;"",AO1147&lt;&gt;"",OR('REP COMMISSION'!$B$3="",T1147='REP COMMISSION'!$B$3,W1147='REP COMMISSION'!$B$3,Z1147='REP COMMISSION'!$B$3)),1,0)</f>
        <v>0</v>
      </c>
      <c r="AX1147" s="24" t="n">
        <f aca="false">AX1146+IF(AND(C1147&lt;&gt;"",OR(F1147="LOC - INITIAL",F1147="CONSOLIDATION - UPFRONT COMM",F1147="REVERSE - TOTAL FUNDING")),1,0)</f>
        <v>0</v>
      </c>
    </row>
    <row r="1148" customFormat="false" ht="15" hidden="false" customHeight="false" outlineLevel="0" collapsed="false">
      <c r="A1148" s="8" t="str">
        <f aca="false">IF(C1148&lt;&gt;"","F27-"&amp;COUNT($C$4:C1148),"")</f>
        <v/>
      </c>
      <c r="B1148" s="9" t="str">
        <f aca="false">IF(OR(F1148="LOC - INITIAL",F1148="CONSOLIDATION - UPFRONT COMM",F1148="REVERSE - TOTAL FUNDING"),A1148,"")</f>
        <v/>
      </c>
      <c r="C1148" s="10"/>
      <c r="D1148" s="11"/>
      <c r="E1148" s="11"/>
      <c r="F1148" s="11"/>
      <c r="G1148" s="12"/>
      <c r="H1148" s="13"/>
      <c r="I1148" s="11"/>
      <c r="J1148" s="14" t="str">
        <f aca="false">IF(AND(G1148&lt;&gt;"",H1148&lt;&gt;""),G1148*H1148,"")</f>
        <v/>
      </c>
      <c r="K1148" s="11"/>
      <c r="L1148" s="15"/>
      <c r="M1148" s="15"/>
      <c r="N1148" s="14" t="n">
        <f aca="false">IF(OR(G1148="",M1148=""),0,IF(M1148&gt;100,M1148,G1148*IF(M1148&gt;1,M1148/100,M1148)))</f>
        <v>0</v>
      </c>
      <c r="O1148" s="14" t="str">
        <f aca="false">IF(G1148="","",G1148*IF(L1148="",0,IF(L1148&gt;1,L1148/100,L1148))+N1148)</f>
        <v/>
      </c>
      <c r="P1148" s="11"/>
      <c r="Q1148" s="16" t="str">
        <f aca="false">IF(P1148="","",IFERROR(VLOOKUP(P1148,PARTNERS!$A$2:$B$30,2,0),""))</f>
        <v/>
      </c>
      <c r="R1148" s="17" t="str">
        <f aca="false">IF(O1148="","",IF(OR(P1148="",Q1148=""),0,(O1148-N1148)*IF(Q1148&gt;1,Q1148/100,Q1148)))</f>
        <v/>
      </c>
      <c r="S1148" s="14" t="str">
        <f aca="false">IF(O1148="","",O1148-R1148)</f>
        <v/>
      </c>
      <c r="T1148" s="11"/>
      <c r="U1148" s="18" t="str">
        <f aca="false">IF(T1148="","",IFERROR(VLOOKUP(T1148,REPS!$A$2:$D$40,2,0),""))</f>
        <v/>
      </c>
      <c r="V1148" s="14" t="str">
        <f aca="false">IF(O1148="","",IF(U1148="",0,O1148*IF(U1148&gt;1,U1148/100,U1148)))</f>
        <v/>
      </c>
      <c r="W1148" s="11"/>
      <c r="X1148" s="18" t="str">
        <f aca="false">IF(W1148="","",IFERROR(VLOOKUP(W1148,REPS!$A$2:$D$40,3,0),""))</f>
        <v/>
      </c>
      <c r="Y1148" s="14" t="str">
        <f aca="false">IF(O1148="","",IF(X1148="",0,O1148*IF(X1148&gt;1,X1148/100,X1148)))</f>
        <v/>
      </c>
      <c r="Z1148" s="11"/>
      <c r="AA1148" s="18" t="str">
        <f aca="false">IF(Z1148="","",IFERROR(VLOOKUP(Z1148,REPS!$A$2:$D$40,4,0),""))</f>
        <v/>
      </c>
      <c r="AB1148" s="14" t="str">
        <f aca="false">IF(O1148="","",IF(AA1148="",0,O1148*IF(AA1148&gt;1,AA1148/100,AA1148)))</f>
        <v/>
      </c>
      <c r="AC1148" s="14" t="str">
        <f aca="false">IF(O1148="","",V1148+Y1148+AB1148)</f>
        <v/>
      </c>
      <c r="AD1148" s="19" t="str">
        <f aca="false">IF(O1148="","",O1148-R1148-AC1148)</f>
        <v/>
      </c>
      <c r="AE1148" s="20"/>
      <c r="AF1148" s="10"/>
      <c r="AG1148" s="21" t="n">
        <f aca="false">IF(OR(AE1148="",AE1148=0),0,AE1148*IF(U1148="",0,IF(U1148&gt;1,U1148/100,U1148)))</f>
        <v>0</v>
      </c>
      <c r="AH1148" s="21" t="n">
        <f aca="false">IF(OR(AE1148="",AE1148=0),0,AE1148*IF(X1148="",0,IF(X1148&gt;1,X1148/100,X1148)))</f>
        <v>0</v>
      </c>
      <c r="AI1148" s="21" t="n">
        <f aca="false">IF(OR(AE1148="",AE1148=0),0,AE1148*IF(AA1148="",0,IF(AA1148&gt;1,AA1148/100,AA1148)))</f>
        <v>0</v>
      </c>
      <c r="AJ1148" s="21" t="n">
        <f aca="false">AG1148+AH1148+AI1148</f>
        <v>0</v>
      </c>
      <c r="AK1148" s="21" t="n">
        <f aca="false">IF(OR(AE1148="",AE1148=0),0,AE1148-AJ1148)</f>
        <v>0</v>
      </c>
      <c r="AL1148" s="19" t="str">
        <f aca="false">IF(AD1148="","",AD1148-AK1148)</f>
        <v/>
      </c>
      <c r="AM1148" s="9" t="str">
        <f aca="false">IF(C1148="","","Waiting for payment")</f>
        <v/>
      </c>
      <c r="AN1148" s="10"/>
      <c r="AO1148" s="10"/>
      <c r="AP1148" s="22" t="str">
        <f aca="false">IF(OR(C1148="",I1148="",K1148=""),"",IF(K1148="Monthly",EDATE(C1148,ROUND(I1148*SETTINGS!$I$8,0)),WORKDAY(C1148,ROUND(I1148*SETTINGS!$I$8,0))))</f>
        <v/>
      </c>
      <c r="AQ1148" s="9" t="str">
        <f aca="true">IF(C1148="","",IF(AND(AP1148&lt;&gt;"",TODAY()&gt;=AP1148),"Refi Ready",IF(TODAY()-C1148&gt;=SETTINGS!$I$11,"Prospecting","Performing")))</f>
        <v/>
      </c>
      <c r="AR1148" s="22" t="str">
        <f aca="false">IF(OR(C1148="",I1148="",K1148=""),"",IF(K1148="Monthly",EDATE(C1148,I1148),WORKDAY(C1148,I1148)))</f>
        <v/>
      </c>
      <c r="AS1148" s="11"/>
      <c r="AT1148" s="23" t="str">
        <f aca="true">IF(C1148="","",IF(AM1148="Clawed Back","CLAWED",IF(TODAY()&lt;=C1148+SETTINGS!$I$2,"⚠ AT RISK","SAFE")))</f>
        <v/>
      </c>
      <c r="AU1148" s="11"/>
      <c r="AW1148" s="24" t="n">
        <f aca="false">AW1147+IF(AND(C1148&lt;&gt;"",AO1148&lt;&gt;"",OR('REP COMMISSION'!$B$3="",T1148='REP COMMISSION'!$B$3,W1148='REP COMMISSION'!$B$3,Z1148='REP COMMISSION'!$B$3)),1,0)</f>
        <v>0</v>
      </c>
      <c r="AX1148" s="24" t="n">
        <f aca="false">AX1147+IF(AND(C1148&lt;&gt;"",OR(F1148="LOC - INITIAL",F1148="CONSOLIDATION - UPFRONT COMM",F1148="REVERSE - TOTAL FUNDING")),1,0)</f>
        <v>0</v>
      </c>
    </row>
    <row r="1149" customFormat="false" ht="15" hidden="false" customHeight="false" outlineLevel="0" collapsed="false">
      <c r="A1149" s="25" t="str">
        <f aca="false">IF(C1149&lt;&gt;"","F27-"&amp;COUNT($C$4:C1149),"")</f>
        <v/>
      </c>
      <c r="B1149" s="26" t="str">
        <f aca="false">IF(OR(F1149="LOC - INITIAL",F1149="CONSOLIDATION - UPFRONT COMM",F1149="REVERSE - TOTAL FUNDING"),A1149,"")</f>
        <v/>
      </c>
      <c r="C1149" s="27"/>
      <c r="D1149" s="28"/>
      <c r="E1149" s="28"/>
      <c r="F1149" s="28"/>
      <c r="G1149" s="29"/>
      <c r="H1149" s="30"/>
      <c r="I1149" s="28"/>
      <c r="J1149" s="31" t="str">
        <f aca="false">IF(AND(G1149&lt;&gt;"",H1149&lt;&gt;""),G1149*H1149,"")</f>
        <v/>
      </c>
      <c r="K1149" s="28"/>
      <c r="L1149" s="32"/>
      <c r="M1149" s="32"/>
      <c r="N1149" s="31" t="n">
        <f aca="false">IF(OR(G1149="",M1149=""),0,IF(M1149&gt;100,M1149,G1149*IF(M1149&gt;1,M1149/100,M1149)))</f>
        <v>0</v>
      </c>
      <c r="O1149" s="31" t="str">
        <f aca="false">IF(G1149="","",G1149*IF(L1149="",0,IF(L1149&gt;1,L1149/100,L1149))+N1149)</f>
        <v/>
      </c>
      <c r="P1149" s="28"/>
      <c r="Q1149" s="33" t="str">
        <f aca="false">IF(P1149="","",IFERROR(VLOOKUP(P1149,PARTNERS!$A$2:$B$30,2,0),""))</f>
        <v/>
      </c>
      <c r="R1149" s="17" t="str">
        <f aca="false">IF(O1149="","",IF(OR(P1149="",Q1149=""),0,(O1149-N1149)*IF(Q1149&gt;1,Q1149/100,Q1149)))</f>
        <v/>
      </c>
      <c r="S1149" s="31" t="str">
        <f aca="false">IF(O1149="","",O1149-R1149)</f>
        <v/>
      </c>
      <c r="T1149" s="28"/>
      <c r="U1149" s="34" t="str">
        <f aca="false">IF(T1149="","",IFERROR(VLOOKUP(T1149,REPS!$A$2:$D$40,2,0),""))</f>
        <v/>
      </c>
      <c r="V1149" s="31" t="str">
        <f aca="false">IF(O1149="","",IF(U1149="",0,O1149*IF(U1149&gt;1,U1149/100,U1149)))</f>
        <v/>
      </c>
      <c r="W1149" s="28"/>
      <c r="X1149" s="34" t="str">
        <f aca="false">IF(W1149="","",IFERROR(VLOOKUP(W1149,REPS!$A$2:$D$40,3,0),""))</f>
        <v/>
      </c>
      <c r="Y1149" s="31" t="str">
        <f aca="false">IF(O1149="","",IF(X1149="",0,O1149*IF(X1149&gt;1,X1149/100,X1149)))</f>
        <v/>
      </c>
      <c r="Z1149" s="28"/>
      <c r="AA1149" s="34" t="str">
        <f aca="false">IF(Z1149="","",IFERROR(VLOOKUP(Z1149,REPS!$A$2:$D$40,4,0),""))</f>
        <v/>
      </c>
      <c r="AB1149" s="31" t="str">
        <f aca="false">IF(O1149="","",IF(AA1149="",0,O1149*IF(AA1149&gt;1,AA1149/100,AA1149)))</f>
        <v/>
      </c>
      <c r="AC1149" s="31" t="str">
        <f aca="false">IF(O1149="","",V1149+Y1149+AB1149)</f>
        <v/>
      </c>
      <c r="AD1149" s="19" t="str">
        <f aca="false">IF(O1149="","",O1149-R1149-AC1149)</f>
        <v/>
      </c>
      <c r="AE1149" s="20"/>
      <c r="AF1149" s="27"/>
      <c r="AG1149" s="21" t="n">
        <f aca="false">IF(OR(AE1149="",AE1149=0),0,AE1149*IF(U1149="",0,IF(U1149&gt;1,U1149/100,U1149)))</f>
        <v>0</v>
      </c>
      <c r="AH1149" s="21" t="n">
        <f aca="false">IF(OR(AE1149="",AE1149=0),0,AE1149*IF(X1149="",0,IF(X1149&gt;1,X1149/100,X1149)))</f>
        <v>0</v>
      </c>
      <c r="AI1149" s="21" t="n">
        <f aca="false">IF(OR(AE1149="",AE1149=0),0,AE1149*IF(AA1149="",0,IF(AA1149&gt;1,AA1149/100,AA1149)))</f>
        <v>0</v>
      </c>
      <c r="AJ1149" s="21" t="n">
        <f aca="false">AG1149+AH1149+AI1149</f>
        <v>0</v>
      </c>
      <c r="AK1149" s="21" t="n">
        <f aca="false">IF(OR(AE1149="",AE1149=0),0,AE1149-AJ1149)</f>
        <v>0</v>
      </c>
      <c r="AL1149" s="19" t="str">
        <f aca="false">IF(AD1149="","",AD1149-AK1149)</f>
        <v/>
      </c>
      <c r="AM1149" s="26" t="str">
        <f aca="false">IF(C1149="","","Waiting for payment")</f>
        <v/>
      </c>
      <c r="AN1149" s="27"/>
      <c r="AO1149" s="27"/>
      <c r="AP1149" s="35" t="str">
        <f aca="false">IF(OR(C1149="",I1149="",K1149=""),"",IF(K1149="Monthly",EDATE(C1149,ROUND(I1149*SETTINGS!$I$8,0)),WORKDAY(C1149,ROUND(I1149*SETTINGS!$I$8,0))))</f>
        <v/>
      </c>
      <c r="AQ1149" s="26" t="str">
        <f aca="true">IF(C1149="","",IF(AND(AP1149&lt;&gt;"",TODAY()&gt;=AP1149),"Refi Ready",IF(TODAY()-C1149&gt;=SETTINGS!$I$11,"Prospecting","Performing")))</f>
        <v/>
      </c>
      <c r="AR1149" s="35" t="str">
        <f aca="false">IF(OR(C1149="",I1149="",K1149=""),"",IF(K1149="Monthly",EDATE(C1149,I1149),WORKDAY(C1149,I1149)))</f>
        <v/>
      </c>
      <c r="AS1149" s="28"/>
      <c r="AT1149" s="36" t="str">
        <f aca="true">IF(C1149="","",IF(AM1149="Clawed Back","CLAWED",IF(TODAY()&lt;=C1149+SETTINGS!$I$2,"⚠ AT RISK","SAFE")))</f>
        <v/>
      </c>
      <c r="AU1149" s="28"/>
      <c r="AW1149" s="24" t="n">
        <f aca="false">AW1148+IF(AND(C1149&lt;&gt;"",AO1149&lt;&gt;"",OR('REP COMMISSION'!$B$3="",T1149='REP COMMISSION'!$B$3,W1149='REP COMMISSION'!$B$3,Z1149='REP COMMISSION'!$B$3)),1,0)</f>
        <v>0</v>
      </c>
      <c r="AX1149" s="24" t="n">
        <f aca="false">AX1148+IF(AND(C1149&lt;&gt;"",OR(F1149="LOC - INITIAL",F1149="CONSOLIDATION - UPFRONT COMM",F1149="REVERSE - TOTAL FUNDING")),1,0)</f>
        <v>0</v>
      </c>
    </row>
    <row r="1150" customFormat="false" ht="15" hidden="false" customHeight="false" outlineLevel="0" collapsed="false">
      <c r="A1150" s="8" t="str">
        <f aca="false">IF(C1150&lt;&gt;"","F27-"&amp;COUNT($C$4:C1150),"")</f>
        <v/>
      </c>
      <c r="B1150" s="9" t="str">
        <f aca="false">IF(OR(F1150="LOC - INITIAL",F1150="CONSOLIDATION - UPFRONT COMM",F1150="REVERSE - TOTAL FUNDING"),A1150,"")</f>
        <v/>
      </c>
      <c r="C1150" s="10"/>
      <c r="D1150" s="11"/>
      <c r="E1150" s="11"/>
      <c r="F1150" s="11"/>
      <c r="G1150" s="12"/>
      <c r="H1150" s="13"/>
      <c r="I1150" s="11"/>
      <c r="J1150" s="14" t="str">
        <f aca="false">IF(AND(G1150&lt;&gt;"",H1150&lt;&gt;""),G1150*H1150,"")</f>
        <v/>
      </c>
      <c r="K1150" s="11"/>
      <c r="L1150" s="15"/>
      <c r="M1150" s="15"/>
      <c r="N1150" s="14" t="n">
        <f aca="false">IF(OR(G1150="",M1150=""),0,IF(M1150&gt;100,M1150,G1150*IF(M1150&gt;1,M1150/100,M1150)))</f>
        <v>0</v>
      </c>
      <c r="O1150" s="14" t="str">
        <f aca="false">IF(G1150="","",G1150*IF(L1150="",0,IF(L1150&gt;1,L1150/100,L1150))+N1150)</f>
        <v/>
      </c>
      <c r="P1150" s="11"/>
      <c r="Q1150" s="16" t="str">
        <f aca="false">IF(P1150="","",IFERROR(VLOOKUP(P1150,PARTNERS!$A$2:$B$30,2,0),""))</f>
        <v/>
      </c>
      <c r="R1150" s="17" t="str">
        <f aca="false">IF(O1150="","",IF(OR(P1150="",Q1150=""),0,(O1150-N1150)*IF(Q1150&gt;1,Q1150/100,Q1150)))</f>
        <v/>
      </c>
      <c r="S1150" s="14" t="str">
        <f aca="false">IF(O1150="","",O1150-R1150)</f>
        <v/>
      </c>
      <c r="T1150" s="11"/>
      <c r="U1150" s="18" t="str">
        <f aca="false">IF(T1150="","",IFERROR(VLOOKUP(T1150,REPS!$A$2:$D$40,2,0),""))</f>
        <v/>
      </c>
      <c r="V1150" s="14" t="str">
        <f aca="false">IF(O1150="","",IF(U1150="",0,O1150*IF(U1150&gt;1,U1150/100,U1150)))</f>
        <v/>
      </c>
      <c r="W1150" s="11"/>
      <c r="X1150" s="18" t="str">
        <f aca="false">IF(W1150="","",IFERROR(VLOOKUP(W1150,REPS!$A$2:$D$40,3,0),""))</f>
        <v/>
      </c>
      <c r="Y1150" s="14" t="str">
        <f aca="false">IF(O1150="","",IF(X1150="",0,O1150*IF(X1150&gt;1,X1150/100,X1150)))</f>
        <v/>
      </c>
      <c r="Z1150" s="11"/>
      <c r="AA1150" s="18" t="str">
        <f aca="false">IF(Z1150="","",IFERROR(VLOOKUP(Z1150,REPS!$A$2:$D$40,4,0),""))</f>
        <v/>
      </c>
      <c r="AB1150" s="14" t="str">
        <f aca="false">IF(O1150="","",IF(AA1150="",0,O1150*IF(AA1150&gt;1,AA1150/100,AA1150)))</f>
        <v/>
      </c>
      <c r="AC1150" s="14" t="str">
        <f aca="false">IF(O1150="","",V1150+Y1150+AB1150)</f>
        <v/>
      </c>
      <c r="AD1150" s="19" t="str">
        <f aca="false">IF(O1150="","",O1150-R1150-AC1150)</f>
        <v/>
      </c>
      <c r="AE1150" s="20"/>
      <c r="AF1150" s="10"/>
      <c r="AG1150" s="21" t="n">
        <f aca="false">IF(OR(AE1150="",AE1150=0),0,AE1150*IF(U1150="",0,IF(U1150&gt;1,U1150/100,U1150)))</f>
        <v>0</v>
      </c>
      <c r="AH1150" s="21" t="n">
        <f aca="false">IF(OR(AE1150="",AE1150=0),0,AE1150*IF(X1150="",0,IF(X1150&gt;1,X1150/100,X1150)))</f>
        <v>0</v>
      </c>
      <c r="AI1150" s="21" t="n">
        <f aca="false">IF(OR(AE1150="",AE1150=0),0,AE1150*IF(AA1150="",0,IF(AA1150&gt;1,AA1150/100,AA1150)))</f>
        <v>0</v>
      </c>
      <c r="AJ1150" s="21" t="n">
        <f aca="false">AG1150+AH1150+AI1150</f>
        <v>0</v>
      </c>
      <c r="AK1150" s="21" t="n">
        <f aca="false">IF(OR(AE1150="",AE1150=0),0,AE1150-AJ1150)</f>
        <v>0</v>
      </c>
      <c r="AL1150" s="19" t="str">
        <f aca="false">IF(AD1150="","",AD1150-AK1150)</f>
        <v/>
      </c>
      <c r="AM1150" s="9" t="str">
        <f aca="false">IF(C1150="","","Waiting for payment")</f>
        <v/>
      </c>
      <c r="AN1150" s="10"/>
      <c r="AO1150" s="10"/>
      <c r="AP1150" s="22" t="str">
        <f aca="false">IF(OR(C1150="",I1150="",K1150=""),"",IF(K1150="Monthly",EDATE(C1150,ROUND(I1150*SETTINGS!$I$8,0)),WORKDAY(C1150,ROUND(I1150*SETTINGS!$I$8,0))))</f>
        <v/>
      </c>
      <c r="AQ1150" s="9" t="str">
        <f aca="true">IF(C1150="","",IF(AND(AP1150&lt;&gt;"",TODAY()&gt;=AP1150),"Refi Ready",IF(TODAY()-C1150&gt;=SETTINGS!$I$11,"Prospecting","Performing")))</f>
        <v/>
      </c>
      <c r="AR1150" s="22" t="str">
        <f aca="false">IF(OR(C1150="",I1150="",K1150=""),"",IF(K1150="Monthly",EDATE(C1150,I1150),WORKDAY(C1150,I1150)))</f>
        <v/>
      </c>
      <c r="AS1150" s="11"/>
      <c r="AT1150" s="23" t="str">
        <f aca="true">IF(C1150="","",IF(AM1150="Clawed Back","CLAWED",IF(TODAY()&lt;=C1150+SETTINGS!$I$2,"⚠ AT RISK","SAFE")))</f>
        <v/>
      </c>
      <c r="AU1150" s="11"/>
      <c r="AW1150" s="24" t="n">
        <f aca="false">AW1149+IF(AND(C1150&lt;&gt;"",AO1150&lt;&gt;"",OR('REP COMMISSION'!$B$3="",T1150='REP COMMISSION'!$B$3,W1150='REP COMMISSION'!$B$3,Z1150='REP COMMISSION'!$B$3)),1,0)</f>
        <v>0</v>
      </c>
      <c r="AX1150" s="24" t="n">
        <f aca="false">AX1149+IF(AND(C1150&lt;&gt;"",OR(F1150="LOC - INITIAL",F1150="CONSOLIDATION - UPFRONT COMM",F1150="REVERSE - TOTAL FUNDING")),1,0)</f>
        <v>0</v>
      </c>
    </row>
    <row r="1151" customFormat="false" ht="15" hidden="false" customHeight="false" outlineLevel="0" collapsed="false">
      <c r="A1151" s="25" t="str">
        <f aca="false">IF(C1151&lt;&gt;"","F27-"&amp;COUNT($C$4:C1151),"")</f>
        <v/>
      </c>
      <c r="B1151" s="26" t="str">
        <f aca="false">IF(OR(F1151="LOC - INITIAL",F1151="CONSOLIDATION - UPFRONT COMM",F1151="REVERSE - TOTAL FUNDING"),A1151,"")</f>
        <v/>
      </c>
      <c r="C1151" s="27"/>
      <c r="D1151" s="28"/>
      <c r="E1151" s="28"/>
      <c r="F1151" s="28"/>
      <c r="G1151" s="29"/>
      <c r="H1151" s="30"/>
      <c r="I1151" s="28"/>
      <c r="J1151" s="31" t="str">
        <f aca="false">IF(AND(G1151&lt;&gt;"",H1151&lt;&gt;""),G1151*H1151,"")</f>
        <v/>
      </c>
      <c r="K1151" s="28"/>
      <c r="L1151" s="32"/>
      <c r="M1151" s="32"/>
      <c r="N1151" s="31" t="n">
        <f aca="false">IF(OR(G1151="",M1151=""),0,IF(M1151&gt;100,M1151,G1151*IF(M1151&gt;1,M1151/100,M1151)))</f>
        <v>0</v>
      </c>
      <c r="O1151" s="31" t="str">
        <f aca="false">IF(G1151="","",G1151*IF(L1151="",0,IF(L1151&gt;1,L1151/100,L1151))+N1151)</f>
        <v/>
      </c>
      <c r="P1151" s="28"/>
      <c r="Q1151" s="33" t="str">
        <f aca="false">IF(P1151="","",IFERROR(VLOOKUP(P1151,PARTNERS!$A$2:$B$30,2,0),""))</f>
        <v/>
      </c>
      <c r="R1151" s="17" t="str">
        <f aca="false">IF(O1151="","",IF(OR(P1151="",Q1151=""),0,(O1151-N1151)*IF(Q1151&gt;1,Q1151/100,Q1151)))</f>
        <v/>
      </c>
      <c r="S1151" s="31" t="str">
        <f aca="false">IF(O1151="","",O1151-R1151)</f>
        <v/>
      </c>
      <c r="T1151" s="28"/>
      <c r="U1151" s="34" t="str">
        <f aca="false">IF(T1151="","",IFERROR(VLOOKUP(T1151,REPS!$A$2:$D$40,2,0),""))</f>
        <v/>
      </c>
      <c r="V1151" s="31" t="str">
        <f aca="false">IF(O1151="","",IF(U1151="",0,O1151*IF(U1151&gt;1,U1151/100,U1151)))</f>
        <v/>
      </c>
      <c r="W1151" s="28"/>
      <c r="X1151" s="34" t="str">
        <f aca="false">IF(W1151="","",IFERROR(VLOOKUP(W1151,REPS!$A$2:$D$40,3,0),""))</f>
        <v/>
      </c>
      <c r="Y1151" s="31" t="str">
        <f aca="false">IF(O1151="","",IF(X1151="",0,O1151*IF(X1151&gt;1,X1151/100,X1151)))</f>
        <v/>
      </c>
      <c r="Z1151" s="28"/>
      <c r="AA1151" s="34" t="str">
        <f aca="false">IF(Z1151="","",IFERROR(VLOOKUP(Z1151,REPS!$A$2:$D$40,4,0),""))</f>
        <v/>
      </c>
      <c r="AB1151" s="31" t="str">
        <f aca="false">IF(O1151="","",IF(AA1151="",0,O1151*IF(AA1151&gt;1,AA1151/100,AA1151)))</f>
        <v/>
      </c>
      <c r="AC1151" s="31" t="str">
        <f aca="false">IF(O1151="","",V1151+Y1151+AB1151)</f>
        <v/>
      </c>
      <c r="AD1151" s="19" t="str">
        <f aca="false">IF(O1151="","",O1151-R1151-AC1151)</f>
        <v/>
      </c>
      <c r="AE1151" s="20"/>
      <c r="AF1151" s="27"/>
      <c r="AG1151" s="21" t="n">
        <f aca="false">IF(OR(AE1151="",AE1151=0),0,AE1151*IF(U1151="",0,IF(U1151&gt;1,U1151/100,U1151)))</f>
        <v>0</v>
      </c>
      <c r="AH1151" s="21" t="n">
        <f aca="false">IF(OR(AE1151="",AE1151=0),0,AE1151*IF(X1151="",0,IF(X1151&gt;1,X1151/100,X1151)))</f>
        <v>0</v>
      </c>
      <c r="AI1151" s="21" t="n">
        <f aca="false">IF(OR(AE1151="",AE1151=0),0,AE1151*IF(AA1151="",0,IF(AA1151&gt;1,AA1151/100,AA1151)))</f>
        <v>0</v>
      </c>
      <c r="AJ1151" s="21" t="n">
        <f aca="false">AG1151+AH1151+AI1151</f>
        <v>0</v>
      </c>
      <c r="AK1151" s="21" t="n">
        <f aca="false">IF(OR(AE1151="",AE1151=0),0,AE1151-AJ1151)</f>
        <v>0</v>
      </c>
      <c r="AL1151" s="19" t="str">
        <f aca="false">IF(AD1151="","",AD1151-AK1151)</f>
        <v/>
      </c>
      <c r="AM1151" s="26" t="str">
        <f aca="false">IF(C1151="","","Waiting for payment")</f>
        <v/>
      </c>
      <c r="AN1151" s="27"/>
      <c r="AO1151" s="27"/>
      <c r="AP1151" s="35" t="str">
        <f aca="false">IF(OR(C1151="",I1151="",K1151=""),"",IF(K1151="Monthly",EDATE(C1151,ROUND(I1151*SETTINGS!$I$8,0)),WORKDAY(C1151,ROUND(I1151*SETTINGS!$I$8,0))))</f>
        <v/>
      </c>
      <c r="AQ1151" s="26" t="str">
        <f aca="true">IF(C1151="","",IF(AND(AP1151&lt;&gt;"",TODAY()&gt;=AP1151),"Refi Ready",IF(TODAY()-C1151&gt;=SETTINGS!$I$11,"Prospecting","Performing")))</f>
        <v/>
      </c>
      <c r="AR1151" s="35" t="str">
        <f aca="false">IF(OR(C1151="",I1151="",K1151=""),"",IF(K1151="Monthly",EDATE(C1151,I1151),WORKDAY(C1151,I1151)))</f>
        <v/>
      </c>
      <c r="AS1151" s="28"/>
      <c r="AT1151" s="36" t="str">
        <f aca="true">IF(C1151="","",IF(AM1151="Clawed Back","CLAWED",IF(TODAY()&lt;=C1151+SETTINGS!$I$2,"⚠ AT RISK","SAFE")))</f>
        <v/>
      </c>
      <c r="AU1151" s="28"/>
      <c r="AW1151" s="24" t="n">
        <f aca="false">AW1150+IF(AND(C1151&lt;&gt;"",AO1151&lt;&gt;"",OR('REP COMMISSION'!$B$3="",T1151='REP COMMISSION'!$B$3,W1151='REP COMMISSION'!$B$3,Z1151='REP COMMISSION'!$B$3)),1,0)</f>
        <v>0</v>
      </c>
      <c r="AX1151" s="24" t="n">
        <f aca="false">AX1150+IF(AND(C1151&lt;&gt;"",OR(F1151="LOC - INITIAL",F1151="CONSOLIDATION - UPFRONT COMM",F1151="REVERSE - TOTAL FUNDING")),1,0)</f>
        <v>0</v>
      </c>
    </row>
    <row r="1152" customFormat="false" ht="15" hidden="false" customHeight="false" outlineLevel="0" collapsed="false">
      <c r="A1152" s="8" t="str">
        <f aca="false">IF(C1152&lt;&gt;"","F27-"&amp;COUNT($C$4:C1152),"")</f>
        <v/>
      </c>
      <c r="B1152" s="9" t="str">
        <f aca="false">IF(OR(F1152="LOC - INITIAL",F1152="CONSOLIDATION - UPFRONT COMM",F1152="REVERSE - TOTAL FUNDING"),A1152,"")</f>
        <v/>
      </c>
      <c r="C1152" s="10"/>
      <c r="D1152" s="11"/>
      <c r="E1152" s="11"/>
      <c r="F1152" s="11"/>
      <c r="G1152" s="12"/>
      <c r="H1152" s="13"/>
      <c r="I1152" s="11"/>
      <c r="J1152" s="14" t="str">
        <f aca="false">IF(AND(G1152&lt;&gt;"",H1152&lt;&gt;""),G1152*H1152,"")</f>
        <v/>
      </c>
      <c r="K1152" s="11"/>
      <c r="L1152" s="15"/>
      <c r="M1152" s="15"/>
      <c r="N1152" s="14" t="n">
        <f aca="false">IF(OR(G1152="",M1152=""),0,IF(M1152&gt;100,M1152,G1152*IF(M1152&gt;1,M1152/100,M1152)))</f>
        <v>0</v>
      </c>
      <c r="O1152" s="14" t="str">
        <f aca="false">IF(G1152="","",G1152*IF(L1152="",0,IF(L1152&gt;1,L1152/100,L1152))+N1152)</f>
        <v/>
      </c>
      <c r="P1152" s="11"/>
      <c r="Q1152" s="16" t="str">
        <f aca="false">IF(P1152="","",IFERROR(VLOOKUP(P1152,PARTNERS!$A$2:$B$30,2,0),""))</f>
        <v/>
      </c>
      <c r="R1152" s="17" t="str">
        <f aca="false">IF(O1152="","",IF(OR(P1152="",Q1152=""),0,(O1152-N1152)*IF(Q1152&gt;1,Q1152/100,Q1152)))</f>
        <v/>
      </c>
      <c r="S1152" s="14" t="str">
        <f aca="false">IF(O1152="","",O1152-R1152)</f>
        <v/>
      </c>
      <c r="T1152" s="11"/>
      <c r="U1152" s="18" t="str">
        <f aca="false">IF(T1152="","",IFERROR(VLOOKUP(T1152,REPS!$A$2:$D$40,2,0),""))</f>
        <v/>
      </c>
      <c r="V1152" s="14" t="str">
        <f aca="false">IF(O1152="","",IF(U1152="",0,O1152*IF(U1152&gt;1,U1152/100,U1152)))</f>
        <v/>
      </c>
      <c r="W1152" s="11"/>
      <c r="X1152" s="18" t="str">
        <f aca="false">IF(W1152="","",IFERROR(VLOOKUP(W1152,REPS!$A$2:$D$40,3,0),""))</f>
        <v/>
      </c>
      <c r="Y1152" s="14" t="str">
        <f aca="false">IF(O1152="","",IF(X1152="",0,O1152*IF(X1152&gt;1,X1152/100,X1152)))</f>
        <v/>
      </c>
      <c r="Z1152" s="11"/>
      <c r="AA1152" s="18" t="str">
        <f aca="false">IF(Z1152="","",IFERROR(VLOOKUP(Z1152,REPS!$A$2:$D$40,4,0),""))</f>
        <v/>
      </c>
      <c r="AB1152" s="14" t="str">
        <f aca="false">IF(O1152="","",IF(AA1152="",0,O1152*IF(AA1152&gt;1,AA1152/100,AA1152)))</f>
        <v/>
      </c>
      <c r="AC1152" s="14" t="str">
        <f aca="false">IF(O1152="","",V1152+Y1152+AB1152)</f>
        <v/>
      </c>
      <c r="AD1152" s="19" t="str">
        <f aca="false">IF(O1152="","",O1152-R1152-AC1152)</f>
        <v/>
      </c>
      <c r="AE1152" s="20"/>
      <c r="AF1152" s="10"/>
      <c r="AG1152" s="21" t="n">
        <f aca="false">IF(OR(AE1152="",AE1152=0),0,AE1152*IF(U1152="",0,IF(U1152&gt;1,U1152/100,U1152)))</f>
        <v>0</v>
      </c>
      <c r="AH1152" s="21" t="n">
        <f aca="false">IF(OR(AE1152="",AE1152=0),0,AE1152*IF(X1152="",0,IF(X1152&gt;1,X1152/100,X1152)))</f>
        <v>0</v>
      </c>
      <c r="AI1152" s="21" t="n">
        <f aca="false">IF(OR(AE1152="",AE1152=0),0,AE1152*IF(AA1152="",0,IF(AA1152&gt;1,AA1152/100,AA1152)))</f>
        <v>0</v>
      </c>
      <c r="AJ1152" s="21" t="n">
        <f aca="false">AG1152+AH1152+AI1152</f>
        <v>0</v>
      </c>
      <c r="AK1152" s="21" t="n">
        <f aca="false">IF(OR(AE1152="",AE1152=0),0,AE1152-AJ1152)</f>
        <v>0</v>
      </c>
      <c r="AL1152" s="19" t="str">
        <f aca="false">IF(AD1152="","",AD1152-AK1152)</f>
        <v/>
      </c>
      <c r="AM1152" s="9" t="str">
        <f aca="false">IF(C1152="","","Waiting for payment")</f>
        <v/>
      </c>
      <c r="AN1152" s="10"/>
      <c r="AO1152" s="10"/>
      <c r="AP1152" s="22" t="str">
        <f aca="false">IF(OR(C1152="",I1152="",K1152=""),"",IF(K1152="Monthly",EDATE(C1152,ROUND(I1152*SETTINGS!$I$8,0)),WORKDAY(C1152,ROUND(I1152*SETTINGS!$I$8,0))))</f>
        <v/>
      </c>
      <c r="AQ1152" s="9" t="str">
        <f aca="true">IF(C1152="","",IF(AND(AP1152&lt;&gt;"",TODAY()&gt;=AP1152),"Refi Ready",IF(TODAY()-C1152&gt;=SETTINGS!$I$11,"Prospecting","Performing")))</f>
        <v/>
      </c>
      <c r="AR1152" s="22" t="str">
        <f aca="false">IF(OR(C1152="",I1152="",K1152=""),"",IF(K1152="Monthly",EDATE(C1152,I1152),WORKDAY(C1152,I1152)))</f>
        <v/>
      </c>
      <c r="AS1152" s="11"/>
      <c r="AT1152" s="23" t="str">
        <f aca="true">IF(C1152="","",IF(AM1152="Clawed Back","CLAWED",IF(TODAY()&lt;=C1152+SETTINGS!$I$2,"⚠ AT RISK","SAFE")))</f>
        <v/>
      </c>
      <c r="AU1152" s="11"/>
      <c r="AW1152" s="24" t="n">
        <f aca="false">AW1151+IF(AND(C1152&lt;&gt;"",AO1152&lt;&gt;"",OR('REP COMMISSION'!$B$3="",T1152='REP COMMISSION'!$B$3,W1152='REP COMMISSION'!$B$3,Z1152='REP COMMISSION'!$B$3)),1,0)</f>
        <v>0</v>
      </c>
      <c r="AX1152" s="24" t="n">
        <f aca="false">AX1151+IF(AND(C1152&lt;&gt;"",OR(F1152="LOC - INITIAL",F1152="CONSOLIDATION - UPFRONT COMM",F1152="REVERSE - TOTAL FUNDING")),1,0)</f>
        <v>0</v>
      </c>
    </row>
    <row r="1153" customFormat="false" ht="15" hidden="false" customHeight="false" outlineLevel="0" collapsed="false">
      <c r="A1153" s="25" t="str">
        <f aca="false">IF(C1153&lt;&gt;"","F27-"&amp;COUNT($C$4:C1153),"")</f>
        <v/>
      </c>
      <c r="B1153" s="26" t="str">
        <f aca="false">IF(OR(F1153="LOC - INITIAL",F1153="CONSOLIDATION - UPFRONT COMM",F1153="REVERSE - TOTAL FUNDING"),A1153,"")</f>
        <v/>
      </c>
      <c r="C1153" s="27"/>
      <c r="D1153" s="28"/>
      <c r="E1153" s="28"/>
      <c r="F1153" s="28"/>
      <c r="G1153" s="29"/>
      <c r="H1153" s="30"/>
      <c r="I1153" s="28"/>
      <c r="J1153" s="31" t="str">
        <f aca="false">IF(AND(G1153&lt;&gt;"",H1153&lt;&gt;""),G1153*H1153,"")</f>
        <v/>
      </c>
      <c r="K1153" s="28"/>
      <c r="L1153" s="32"/>
      <c r="M1153" s="32"/>
      <c r="N1153" s="31" t="n">
        <f aca="false">IF(OR(G1153="",M1153=""),0,IF(M1153&gt;100,M1153,G1153*IF(M1153&gt;1,M1153/100,M1153)))</f>
        <v>0</v>
      </c>
      <c r="O1153" s="31" t="str">
        <f aca="false">IF(G1153="","",G1153*IF(L1153="",0,IF(L1153&gt;1,L1153/100,L1153))+N1153)</f>
        <v/>
      </c>
      <c r="P1153" s="28"/>
      <c r="Q1153" s="33" t="str">
        <f aca="false">IF(P1153="","",IFERROR(VLOOKUP(P1153,PARTNERS!$A$2:$B$30,2,0),""))</f>
        <v/>
      </c>
      <c r="R1153" s="17" t="str">
        <f aca="false">IF(O1153="","",IF(OR(P1153="",Q1153=""),0,(O1153-N1153)*IF(Q1153&gt;1,Q1153/100,Q1153)))</f>
        <v/>
      </c>
      <c r="S1153" s="31" t="str">
        <f aca="false">IF(O1153="","",O1153-R1153)</f>
        <v/>
      </c>
      <c r="T1153" s="28"/>
      <c r="U1153" s="34" t="str">
        <f aca="false">IF(T1153="","",IFERROR(VLOOKUP(T1153,REPS!$A$2:$D$40,2,0),""))</f>
        <v/>
      </c>
      <c r="V1153" s="31" t="str">
        <f aca="false">IF(O1153="","",IF(U1153="",0,O1153*IF(U1153&gt;1,U1153/100,U1153)))</f>
        <v/>
      </c>
      <c r="W1153" s="28"/>
      <c r="X1153" s="34" t="str">
        <f aca="false">IF(W1153="","",IFERROR(VLOOKUP(W1153,REPS!$A$2:$D$40,3,0),""))</f>
        <v/>
      </c>
      <c r="Y1153" s="31" t="str">
        <f aca="false">IF(O1153="","",IF(X1153="",0,O1153*IF(X1153&gt;1,X1153/100,X1153)))</f>
        <v/>
      </c>
      <c r="Z1153" s="28"/>
      <c r="AA1153" s="34" t="str">
        <f aca="false">IF(Z1153="","",IFERROR(VLOOKUP(Z1153,REPS!$A$2:$D$40,4,0),""))</f>
        <v/>
      </c>
      <c r="AB1153" s="31" t="str">
        <f aca="false">IF(O1153="","",IF(AA1153="",0,O1153*IF(AA1153&gt;1,AA1153/100,AA1153)))</f>
        <v/>
      </c>
      <c r="AC1153" s="31" t="str">
        <f aca="false">IF(O1153="","",V1153+Y1153+AB1153)</f>
        <v/>
      </c>
      <c r="AD1153" s="19" t="str">
        <f aca="false">IF(O1153="","",O1153-R1153-AC1153)</f>
        <v/>
      </c>
      <c r="AE1153" s="20"/>
      <c r="AF1153" s="27"/>
      <c r="AG1153" s="21" t="n">
        <f aca="false">IF(OR(AE1153="",AE1153=0),0,AE1153*IF(U1153="",0,IF(U1153&gt;1,U1153/100,U1153)))</f>
        <v>0</v>
      </c>
      <c r="AH1153" s="21" t="n">
        <f aca="false">IF(OR(AE1153="",AE1153=0),0,AE1153*IF(X1153="",0,IF(X1153&gt;1,X1153/100,X1153)))</f>
        <v>0</v>
      </c>
      <c r="AI1153" s="21" t="n">
        <f aca="false">IF(OR(AE1153="",AE1153=0),0,AE1153*IF(AA1153="",0,IF(AA1153&gt;1,AA1153/100,AA1153)))</f>
        <v>0</v>
      </c>
      <c r="AJ1153" s="21" t="n">
        <f aca="false">AG1153+AH1153+AI1153</f>
        <v>0</v>
      </c>
      <c r="AK1153" s="21" t="n">
        <f aca="false">IF(OR(AE1153="",AE1153=0),0,AE1153-AJ1153)</f>
        <v>0</v>
      </c>
      <c r="AL1153" s="19" t="str">
        <f aca="false">IF(AD1153="","",AD1153-AK1153)</f>
        <v/>
      </c>
      <c r="AM1153" s="26" t="str">
        <f aca="false">IF(C1153="","","Waiting for payment")</f>
        <v/>
      </c>
      <c r="AN1153" s="27"/>
      <c r="AO1153" s="27"/>
      <c r="AP1153" s="35" t="str">
        <f aca="false">IF(OR(C1153="",I1153="",K1153=""),"",IF(K1153="Monthly",EDATE(C1153,ROUND(I1153*SETTINGS!$I$8,0)),WORKDAY(C1153,ROUND(I1153*SETTINGS!$I$8,0))))</f>
        <v/>
      </c>
      <c r="AQ1153" s="26" t="str">
        <f aca="true">IF(C1153="","",IF(AND(AP1153&lt;&gt;"",TODAY()&gt;=AP1153),"Refi Ready",IF(TODAY()-C1153&gt;=SETTINGS!$I$11,"Prospecting","Performing")))</f>
        <v/>
      </c>
      <c r="AR1153" s="35" t="str">
        <f aca="false">IF(OR(C1153="",I1153="",K1153=""),"",IF(K1153="Monthly",EDATE(C1153,I1153),WORKDAY(C1153,I1153)))</f>
        <v/>
      </c>
      <c r="AS1153" s="28"/>
      <c r="AT1153" s="36" t="str">
        <f aca="true">IF(C1153="","",IF(AM1153="Clawed Back","CLAWED",IF(TODAY()&lt;=C1153+SETTINGS!$I$2,"⚠ AT RISK","SAFE")))</f>
        <v/>
      </c>
      <c r="AU1153" s="28"/>
      <c r="AW1153" s="24" t="n">
        <f aca="false">AW1152+IF(AND(C1153&lt;&gt;"",AO1153&lt;&gt;"",OR('REP COMMISSION'!$B$3="",T1153='REP COMMISSION'!$B$3,W1153='REP COMMISSION'!$B$3,Z1153='REP COMMISSION'!$B$3)),1,0)</f>
        <v>0</v>
      </c>
      <c r="AX1153" s="24" t="n">
        <f aca="false">AX1152+IF(AND(C1153&lt;&gt;"",OR(F1153="LOC - INITIAL",F1153="CONSOLIDATION - UPFRONT COMM",F1153="REVERSE - TOTAL FUNDING")),1,0)</f>
        <v>0</v>
      </c>
    </row>
    <row r="1154" customFormat="false" ht="15" hidden="false" customHeight="false" outlineLevel="0" collapsed="false">
      <c r="A1154" s="8" t="str">
        <f aca="false">IF(C1154&lt;&gt;"","F27-"&amp;COUNT($C$4:C1154),"")</f>
        <v/>
      </c>
      <c r="B1154" s="9" t="str">
        <f aca="false">IF(OR(F1154="LOC - INITIAL",F1154="CONSOLIDATION - UPFRONT COMM",F1154="REVERSE - TOTAL FUNDING"),A1154,"")</f>
        <v/>
      </c>
      <c r="C1154" s="10"/>
      <c r="D1154" s="11"/>
      <c r="E1154" s="11"/>
      <c r="F1154" s="11"/>
      <c r="G1154" s="12"/>
      <c r="H1154" s="13"/>
      <c r="I1154" s="11"/>
      <c r="J1154" s="14" t="str">
        <f aca="false">IF(AND(G1154&lt;&gt;"",H1154&lt;&gt;""),G1154*H1154,"")</f>
        <v/>
      </c>
      <c r="K1154" s="11"/>
      <c r="L1154" s="15"/>
      <c r="M1154" s="15"/>
      <c r="N1154" s="14" t="n">
        <f aca="false">IF(OR(G1154="",M1154=""),0,IF(M1154&gt;100,M1154,G1154*IF(M1154&gt;1,M1154/100,M1154)))</f>
        <v>0</v>
      </c>
      <c r="O1154" s="14" t="str">
        <f aca="false">IF(G1154="","",G1154*IF(L1154="",0,IF(L1154&gt;1,L1154/100,L1154))+N1154)</f>
        <v/>
      </c>
      <c r="P1154" s="11"/>
      <c r="Q1154" s="16" t="str">
        <f aca="false">IF(P1154="","",IFERROR(VLOOKUP(P1154,PARTNERS!$A$2:$B$30,2,0),""))</f>
        <v/>
      </c>
      <c r="R1154" s="17" t="str">
        <f aca="false">IF(O1154="","",IF(OR(P1154="",Q1154=""),0,(O1154-N1154)*IF(Q1154&gt;1,Q1154/100,Q1154)))</f>
        <v/>
      </c>
      <c r="S1154" s="14" t="str">
        <f aca="false">IF(O1154="","",O1154-R1154)</f>
        <v/>
      </c>
      <c r="T1154" s="11"/>
      <c r="U1154" s="18" t="str">
        <f aca="false">IF(T1154="","",IFERROR(VLOOKUP(T1154,REPS!$A$2:$D$40,2,0),""))</f>
        <v/>
      </c>
      <c r="V1154" s="14" t="str">
        <f aca="false">IF(O1154="","",IF(U1154="",0,O1154*IF(U1154&gt;1,U1154/100,U1154)))</f>
        <v/>
      </c>
      <c r="W1154" s="11"/>
      <c r="X1154" s="18" t="str">
        <f aca="false">IF(W1154="","",IFERROR(VLOOKUP(W1154,REPS!$A$2:$D$40,3,0),""))</f>
        <v/>
      </c>
      <c r="Y1154" s="14" t="str">
        <f aca="false">IF(O1154="","",IF(X1154="",0,O1154*IF(X1154&gt;1,X1154/100,X1154)))</f>
        <v/>
      </c>
      <c r="Z1154" s="11"/>
      <c r="AA1154" s="18" t="str">
        <f aca="false">IF(Z1154="","",IFERROR(VLOOKUP(Z1154,REPS!$A$2:$D$40,4,0),""))</f>
        <v/>
      </c>
      <c r="AB1154" s="14" t="str">
        <f aca="false">IF(O1154="","",IF(AA1154="",0,O1154*IF(AA1154&gt;1,AA1154/100,AA1154)))</f>
        <v/>
      </c>
      <c r="AC1154" s="14" t="str">
        <f aca="false">IF(O1154="","",V1154+Y1154+AB1154)</f>
        <v/>
      </c>
      <c r="AD1154" s="19" t="str">
        <f aca="false">IF(O1154="","",O1154-R1154-AC1154)</f>
        <v/>
      </c>
      <c r="AE1154" s="20"/>
      <c r="AF1154" s="10"/>
      <c r="AG1154" s="21" t="n">
        <f aca="false">IF(OR(AE1154="",AE1154=0),0,AE1154*IF(U1154="",0,IF(U1154&gt;1,U1154/100,U1154)))</f>
        <v>0</v>
      </c>
      <c r="AH1154" s="21" t="n">
        <f aca="false">IF(OR(AE1154="",AE1154=0),0,AE1154*IF(X1154="",0,IF(X1154&gt;1,X1154/100,X1154)))</f>
        <v>0</v>
      </c>
      <c r="AI1154" s="21" t="n">
        <f aca="false">IF(OR(AE1154="",AE1154=0),0,AE1154*IF(AA1154="",0,IF(AA1154&gt;1,AA1154/100,AA1154)))</f>
        <v>0</v>
      </c>
      <c r="AJ1154" s="21" t="n">
        <f aca="false">AG1154+AH1154+AI1154</f>
        <v>0</v>
      </c>
      <c r="AK1154" s="21" t="n">
        <f aca="false">IF(OR(AE1154="",AE1154=0),0,AE1154-AJ1154)</f>
        <v>0</v>
      </c>
      <c r="AL1154" s="19" t="str">
        <f aca="false">IF(AD1154="","",AD1154-AK1154)</f>
        <v/>
      </c>
      <c r="AM1154" s="9" t="str">
        <f aca="false">IF(C1154="","","Waiting for payment")</f>
        <v/>
      </c>
      <c r="AN1154" s="10"/>
      <c r="AO1154" s="10"/>
      <c r="AP1154" s="22" t="str">
        <f aca="false">IF(OR(C1154="",I1154="",K1154=""),"",IF(K1154="Monthly",EDATE(C1154,ROUND(I1154*SETTINGS!$I$8,0)),WORKDAY(C1154,ROUND(I1154*SETTINGS!$I$8,0))))</f>
        <v/>
      </c>
      <c r="AQ1154" s="9" t="str">
        <f aca="true">IF(C1154="","",IF(AND(AP1154&lt;&gt;"",TODAY()&gt;=AP1154),"Refi Ready",IF(TODAY()-C1154&gt;=SETTINGS!$I$11,"Prospecting","Performing")))</f>
        <v/>
      </c>
      <c r="AR1154" s="22" t="str">
        <f aca="false">IF(OR(C1154="",I1154="",K1154=""),"",IF(K1154="Monthly",EDATE(C1154,I1154),WORKDAY(C1154,I1154)))</f>
        <v/>
      </c>
      <c r="AS1154" s="11"/>
      <c r="AT1154" s="23" t="str">
        <f aca="true">IF(C1154="","",IF(AM1154="Clawed Back","CLAWED",IF(TODAY()&lt;=C1154+SETTINGS!$I$2,"⚠ AT RISK","SAFE")))</f>
        <v/>
      </c>
      <c r="AU1154" s="11"/>
      <c r="AW1154" s="24" t="n">
        <f aca="false">AW1153+IF(AND(C1154&lt;&gt;"",AO1154&lt;&gt;"",OR('REP COMMISSION'!$B$3="",T1154='REP COMMISSION'!$B$3,W1154='REP COMMISSION'!$B$3,Z1154='REP COMMISSION'!$B$3)),1,0)</f>
        <v>0</v>
      </c>
      <c r="AX1154" s="24" t="n">
        <f aca="false">AX1153+IF(AND(C1154&lt;&gt;"",OR(F1154="LOC - INITIAL",F1154="CONSOLIDATION - UPFRONT COMM",F1154="REVERSE - TOTAL FUNDING")),1,0)</f>
        <v>0</v>
      </c>
    </row>
    <row r="1155" customFormat="false" ht="15" hidden="false" customHeight="false" outlineLevel="0" collapsed="false">
      <c r="A1155" s="25" t="str">
        <f aca="false">IF(C1155&lt;&gt;"","F27-"&amp;COUNT($C$4:C1155),"")</f>
        <v/>
      </c>
      <c r="B1155" s="26" t="str">
        <f aca="false">IF(OR(F1155="LOC - INITIAL",F1155="CONSOLIDATION - UPFRONT COMM",F1155="REVERSE - TOTAL FUNDING"),A1155,"")</f>
        <v/>
      </c>
      <c r="C1155" s="27"/>
      <c r="D1155" s="28"/>
      <c r="E1155" s="28"/>
      <c r="F1155" s="28"/>
      <c r="G1155" s="29"/>
      <c r="H1155" s="30"/>
      <c r="I1155" s="28"/>
      <c r="J1155" s="31" t="str">
        <f aca="false">IF(AND(G1155&lt;&gt;"",H1155&lt;&gt;""),G1155*H1155,"")</f>
        <v/>
      </c>
      <c r="K1155" s="28"/>
      <c r="L1155" s="32"/>
      <c r="M1155" s="32"/>
      <c r="N1155" s="31" t="n">
        <f aca="false">IF(OR(G1155="",M1155=""),0,IF(M1155&gt;100,M1155,G1155*IF(M1155&gt;1,M1155/100,M1155)))</f>
        <v>0</v>
      </c>
      <c r="O1155" s="31" t="str">
        <f aca="false">IF(G1155="","",G1155*IF(L1155="",0,IF(L1155&gt;1,L1155/100,L1155))+N1155)</f>
        <v/>
      </c>
      <c r="P1155" s="28"/>
      <c r="Q1155" s="33" t="str">
        <f aca="false">IF(P1155="","",IFERROR(VLOOKUP(P1155,PARTNERS!$A$2:$B$30,2,0),""))</f>
        <v/>
      </c>
      <c r="R1155" s="17" t="str">
        <f aca="false">IF(O1155="","",IF(OR(P1155="",Q1155=""),0,(O1155-N1155)*IF(Q1155&gt;1,Q1155/100,Q1155)))</f>
        <v/>
      </c>
      <c r="S1155" s="31" t="str">
        <f aca="false">IF(O1155="","",O1155-R1155)</f>
        <v/>
      </c>
      <c r="T1155" s="28"/>
      <c r="U1155" s="34" t="str">
        <f aca="false">IF(T1155="","",IFERROR(VLOOKUP(T1155,REPS!$A$2:$D$40,2,0),""))</f>
        <v/>
      </c>
      <c r="V1155" s="31" t="str">
        <f aca="false">IF(O1155="","",IF(U1155="",0,O1155*IF(U1155&gt;1,U1155/100,U1155)))</f>
        <v/>
      </c>
      <c r="W1155" s="28"/>
      <c r="X1155" s="34" t="str">
        <f aca="false">IF(W1155="","",IFERROR(VLOOKUP(W1155,REPS!$A$2:$D$40,3,0),""))</f>
        <v/>
      </c>
      <c r="Y1155" s="31" t="str">
        <f aca="false">IF(O1155="","",IF(X1155="",0,O1155*IF(X1155&gt;1,X1155/100,X1155)))</f>
        <v/>
      </c>
      <c r="Z1155" s="28"/>
      <c r="AA1155" s="34" t="str">
        <f aca="false">IF(Z1155="","",IFERROR(VLOOKUP(Z1155,REPS!$A$2:$D$40,4,0),""))</f>
        <v/>
      </c>
      <c r="AB1155" s="31" t="str">
        <f aca="false">IF(O1155="","",IF(AA1155="",0,O1155*IF(AA1155&gt;1,AA1155/100,AA1155)))</f>
        <v/>
      </c>
      <c r="AC1155" s="31" t="str">
        <f aca="false">IF(O1155="","",V1155+Y1155+AB1155)</f>
        <v/>
      </c>
      <c r="AD1155" s="19" t="str">
        <f aca="false">IF(O1155="","",O1155-R1155-AC1155)</f>
        <v/>
      </c>
      <c r="AE1155" s="20"/>
      <c r="AF1155" s="27"/>
      <c r="AG1155" s="21" t="n">
        <f aca="false">IF(OR(AE1155="",AE1155=0),0,AE1155*IF(U1155="",0,IF(U1155&gt;1,U1155/100,U1155)))</f>
        <v>0</v>
      </c>
      <c r="AH1155" s="21" t="n">
        <f aca="false">IF(OR(AE1155="",AE1155=0),0,AE1155*IF(X1155="",0,IF(X1155&gt;1,X1155/100,X1155)))</f>
        <v>0</v>
      </c>
      <c r="AI1155" s="21" t="n">
        <f aca="false">IF(OR(AE1155="",AE1155=0),0,AE1155*IF(AA1155="",0,IF(AA1155&gt;1,AA1155/100,AA1155)))</f>
        <v>0</v>
      </c>
      <c r="AJ1155" s="21" t="n">
        <f aca="false">AG1155+AH1155+AI1155</f>
        <v>0</v>
      </c>
      <c r="AK1155" s="21" t="n">
        <f aca="false">IF(OR(AE1155="",AE1155=0),0,AE1155-AJ1155)</f>
        <v>0</v>
      </c>
      <c r="AL1155" s="19" t="str">
        <f aca="false">IF(AD1155="","",AD1155-AK1155)</f>
        <v/>
      </c>
      <c r="AM1155" s="26" t="str">
        <f aca="false">IF(C1155="","","Waiting for payment")</f>
        <v/>
      </c>
      <c r="AN1155" s="27"/>
      <c r="AO1155" s="27"/>
      <c r="AP1155" s="35" t="str">
        <f aca="false">IF(OR(C1155="",I1155="",K1155=""),"",IF(K1155="Monthly",EDATE(C1155,ROUND(I1155*SETTINGS!$I$8,0)),WORKDAY(C1155,ROUND(I1155*SETTINGS!$I$8,0))))</f>
        <v/>
      </c>
      <c r="AQ1155" s="26" t="str">
        <f aca="true">IF(C1155="","",IF(AND(AP1155&lt;&gt;"",TODAY()&gt;=AP1155),"Refi Ready",IF(TODAY()-C1155&gt;=SETTINGS!$I$11,"Prospecting","Performing")))</f>
        <v/>
      </c>
      <c r="AR1155" s="35" t="str">
        <f aca="false">IF(OR(C1155="",I1155="",K1155=""),"",IF(K1155="Monthly",EDATE(C1155,I1155),WORKDAY(C1155,I1155)))</f>
        <v/>
      </c>
      <c r="AS1155" s="28"/>
      <c r="AT1155" s="36" t="str">
        <f aca="true">IF(C1155="","",IF(AM1155="Clawed Back","CLAWED",IF(TODAY()&lt;=C1155+SETTINGS!$I$2,"⚠ AT RISK","SAFE")))</f>
        <v/>
      </c>
      <c r="AU1155" s="28"/>
      <c r="AW1155" s="24" t="n">
        <f aca="false">AW1154+IF(AND(C1155&lt;&gt;"",AO1155&lt;&gt;"",OR('REP COMMISSION'!$B$3="",T1155='REP COMMISSION'!$B$3,W1155='REP COMMISSION'!$B$3,Z1155='REP COMMISSION'!$B$3)),1,0)</f>
        <v>0</v>
      </c>
      <c r="AX1155" s="24" t="n">
        <f aca="false">AX1154+IF(AND(C1155&lt;&gt;"",OR(F1155="LOC - INITIAL",F1155="CONSOLIDATION - UPFRONT COMM",F1155="REVERSE - TOTAL FUNDING")),1,0)</f>
        <v>0</v>
      </c>
    </row>
    <row r="1156" customFormat="false" ht="15" hidden="false" customHeight="false" outlineLevel="0" collapsed="false">
      <c r="A1156" s="8" t="str">
        <f aca="false">IF(C1156&lt;&gt;"","F27-"&amp;COUNT($C$4:C1156),"")</f>
        <v/>
      </c>
      <c r="B1156" s="9" t="str">
        <f aca="false">IF(OR(F1156="LOC - INITIAL",F1156="CONSOLIDATION - UPFRONT COMM",F1156="REVERSE - TOTAL FUNDING"),A1156,"")</f>
        <v/>
      </c>
      <c r="C1156" s="10"/>
      <c r="D1156" s="11"/>
      <c r="E1156" s="11"/>
      <c r="F1156" s="11"/>
      <c r="G1156" s="12"/>
      <c r="H1156" s="13"/>
      <c r="I1156" s="11"/>
      <c r="J1156" s="14" t="str">
        <f aca="false">IF(AND(G1156&lt;&gt;"",H1156&lt;&gt;""),G1156*H1156,"")</f>
        <v/>
      </c>
      <c r="K1156" s="11"/>
      <c r="L1156" s="15"/>
      <c r="M1156" s="15"/>
      <c r="N1156" s="14" t="n">
        <f aca="false">IF(OR(G1156="",M1156=""),0,IF(M1156&gt;100,M1156,G1156*IF(M1156&gt;1,M1156/100,M1156)))</f>
        <v>0</v>
      </c>
      <c r="O1156" s="14" t="str">
        <f aca="false">IF(G1156="","",G1156*IF(L1156="",0,IF(L1156&gt;1,L1156/100,L1156))+N1156)</f>
        <v/>
      </c>
      <c r="P1156" s="11"/>
      <c r="Q1156" s="16" t="str">
        <f aca="false">IF(P1156="","",IFERROR(VLOOKUP(P1156,PARTNERS!$A$2:$B$30,2,0),""))</f>
        <v/>
      </c>
      <c r="R1156" s="17" t="str">
        <f aca="false">IF(O1156="","",IF(OR(P1156="",Q1156=""),0,(O1156-N1156)*IF(Q1156&gt;1,Q1156/100,Q1156)))</f>
        <v/>
      </c>
      <c r="S1156" s="14" t="str">
        <f aca="false">IF(O1156="","",O1156-R1156)</f>
        <v/>
      </c>
      <c r="T1156" s="11"/>
      <c r="U1156" s="18" t="str">
        <f aca="false">IF(T1156="","",IFERROR(VLOOKUP(T1156,REPS!$A$2:$D$40,2,0),""))</f>
        <v/>
      </c>
      <c r="V1156" s="14" t="str">
        <f aca="false">IF(O1156="","",IF(U1156="",0,O1156*IF(U1156&gt;1,U1156/100,U1156)))</f>
        <v/>
      </c>
      <c r="W1156" s="11"/>
      <c r="X1156" s="18" t="str">
        <f aca="false">IF(W1156="","",IFERROR(VLOOKUP(W1156,REPS!$A$2:$D$40,3,0),""))</f>
        <v/>
      </c>
      <c r="Y1156" s="14" t="str">
        <f aca="false">IF(O1156="","",IF(X1156="",0,O1156*IF(X1156&gt;1,X1156/100,X1156)))</f>
        <v/>
      </c>
      <c r="Z1156" s="11"/>
      <c r="AA1156" s="18" t="str">
        <f aca="false">IF(Z1156="","",IFERROR(VLOOKUP(Z1156,REPS!$A$2:$D$40,4,0),""))</f>
        <v/>
      </c>
      <c r="AB1156" s="14" t="str">
        <f aca="false">IF(O1156="","",IF(AA1156="",0,O1156*IF(AA1156&gt;1,AA1156/100,AA1156)))</f>
        <v/>
      </c>
      <c r="AC1156" s="14" t="str">
        <f aca="false">IF(O1156="","",V1156+Y1156+AB1156)</f>
        <v/>
      </c>
      <c r="AD1156" s="19" t="str">
        <f aca="false">IF(O1156="","",O1156-R1156-AC1156)</f>
        <v/>
      </c>
      <c r="AE1156" s="20"/>
      <c r="AF1156" s="10"/>
      <c r="AG1156" s="21" t="n">
        <f aca="false">IF(OR(AE1156="",AE1156=0),0,AE1156*IF(U1156="",0,IF(U1156&gt;1,U1156/100,U1156)))</f>
        <v>0</v>
      </c>
      <c r="AH1156" s="21" t="n">
        <f aca="false">IF(OR(AE1156="",AE1156=0),0,AE1156*IF(X1156="",0,IF(X1156&gt;1,X1156/100,X1156)))</f>
        <v>0</v>
      </c>
      <c r="AI1156" s="21" t="n">
        <f aca="false">IF(OR(AE1156="",AE1156=0),0,AE1156*IF(AA1156="",0,IF(AA1156&gt;1,AA1156/100,AA1156)))</f>
        <v>0</v>
      </c>
      <c r="AJ1156" s="21" t="n">
        <f aca="false">AG1156+AH1156+AI1156</f>
        <v>0</v>
      </c>
      <c r="AK1156" s="21" t="n">
        <f aca="false">IF(OR(AE1156="",AE1156=0),0,AE1156-AJ1156)</f>
        <v>0</v>
      </c>
      <c r="AL1156" s="19" t="str">
        <f aca="false">IF(AD1156="","",AD1156-AK1156)</f>
        <v/>
      </c>
      <c r="AM1156" s="9" t="str">
        <f aca="false">IF(C1156="","","Waiting for payment")</f>
        <v/>
      </c>
      <c r="AN1156" s="10"/>
      <c r="AO1156" s="10"/>
      <c r="AP1156" s="22" t="str">
        <f aca="false">IF(OR(C1156="",I1156="",K1156=""),"",IF(K1156="Monthly",EDATE(C1156,ROUND(I1156*SETTINGS!$I$8,0)),WORKDAY(C1156,ROUND(I1156*SETTINGS!$I$8,0))))</f>
        <v/>
      </c>
      <c r="AQ1156" s="9" t="str">
        <f aca="true">IF(C1156="","",IF(AND(AP1156&lt;&gt;"",TODAY()&gt;=AP1156),"Refi Ready",IF(TODAY()-C1156&gt;=SETTINGS!$I$11,"Prospecting","Performing")))</f>
        <v/>
      </c>
      <c r="AR1156" s="22" t="str">
        <f aca="false">IF(OR(C1156="",I1156="",K1156=""),"",IF(K1156="Monthly",EDATE(C1156,I1156),WORKDAY(C1156,I1156)))</f>
        <v/>
      </c>
      <c r="AS1156" s="11"/>
      <c r="AT1156" s="23" t="str">
        <f aca="true">IF(C1156="","",IF(AM1156="Clawed Back","CLAWED",IF(TODAY()&lt;=C1156+SETTINGS!$I$2,"⚠ AT RISK","SAFE")))</f>
        <v/>
      </c>
      <c r="AU1156" s="11"/>
      <c r="AW1156" s="24" t="n">
        <f aca="false">AW1155+IF(AND(C1156&lt;&gt;"",AO1156&lt;&gt;"",OR('REP COMMISSION'!$B$3="",T1156='REP COMMISSION'!$B$3,W1156='REP COMMISSION'!$B$3,Z1156='REP COMMISSION'!$B$3)),1,0)</f>
        <v>0</v>
      </c>
      <c r="AX1156" s="24" t="n">
        <f aca="false">AX1155+IF(AND(C1156&lt;&gt;"",OR(F1156="LOC - INITIAL",F1156="CONSOLIDATION - UPFRONT COMM",F1156="REVERSE - TOTAL FUNDING")),1,0)</f>
        <v>0</v>
      </c>
    </row>
    <row r="1157" customFormat="false" ht="15" hidden="false" customHeight="false" outlineLevel="0" collapsed="false">
      <c r="A1157" s="25" t="str">
        <f aca="false">IF(C1157&lt;&gt;"","F27-"&amp;COUNT($C$4:C1157),"")</f>
        <v/>
      </c>
      <c r="B1157" s="26" t="str">
        <f aca="false">IF(OR(F1157="LOC - INITIAL",F1157="CONSOLIDATION - UPFRONT COMM",F1157="REVERSE - TOTAL FUNDING"),A1157,"")</f>
        <v/>
      </c>
      <c r="C1157" s="27"/>
      <c r="D1157" s="28"/>
      <c r="E1157" s="28"/>
      <c r="F1157" s="28"/>
      <c r="G1157" s="29"/>
      <c r="H1157" s="30"/>
      <c r="I1157" s="28"/>
      <c r="J1157" s="31" t="str">
        <f aca="false">IF(AND(G1157&lt;&gt;"",H1157&lt;&gt;""),G1157*H1157,"")</f>
        <v/>
      </c>
      <c r="K1157" s="28"/>
      <c r="L1157" s="32"/>
      <c r="M1157" s="32"/>
      <c r="N1157" s="31" t="n">
        <f aca="false">IF(OR(G1157="",M1157=""),0,IF(M1157&gt;100,M1157,G1157*IF(M1157&gt;1,M1157/100,M1157)))</f>
        <v>0</v>
      </c>
      <c r="O1157" s="31" t="str">
        <f aca="false">IF(G1157="","",G1157*IF(L1157="",0,IF(L1157&gt;1,L1157/100,L1157))+N1157)</f>
        <v/>
      </c>
      <c r="P1157" s="28"/>
      <c r="Q1157" s="33" t="str">
        <f aca="false">IF(P1157="","",IFERROR(VLOOKUP(P1157,PARTNERS!$A$2:$B$30,2,0),""))</f>
        <v/>
      </c>
      <c r="R1157" s="17" t="str">
        <f aca="false">IF(O1157="","",IF(OR(P1157="",Q1157=""),0,(O1157-N1157)*IF(Q1157&gt;1,Q1157/100,Q1157)))</f>
        <v/>
      </c>
      <c r="S1157" s="31" t="str">
        <f aca="false">IF(O1157="","",O1157-R1157)</f>
        <v/>
      </c>
      <c r="T1157" s="28"/>
      <c r="U1157" s="34" t="str">
        <f aca="false">IF(T1157="","",IFERROR(VLOOKUP(T1157,REPS!$A$2:$D$40,2,0),""))</f>
        <v/>
      </c>
      <c r="V1157" s="31" t="str">
        <f aca="false">IF(O1157="","",IF(U1157="",0,O1157*IF(U1157&gt;1,U1157/100,U1157)))</f>
        <v/>
      </c>
      <c r="W1157" s="28"/>
      <c r="X1157" s="34" t="str">
        <f aca="false">IF(W1157="","",IFERROR(VLOOKUP(W1157,REPS!$A$2:$D$40,3,0),""))</f>
        <v/>
      </c>
      <c r="Y1157" s="31" t="str">
        <f aca="false">IF(O1157="","",IF(X1157="",0,O1157*IF(X1157&gt;1,X1157/100,X1157)))</f>
        <v/>
      </c>
      <c r="Z1157" s="28"/>
      <c r="AA1157" s="34" t="str">
        <f aca="false">IF(Z1157="","",IFERROR(VLOOKUP(Z1157,REPS!$A$2:$D$40,4,0),""))</f>
        <v/>
      </c>
      <c r="AB1157" s="31" t="str">
        <f aca="false">IF(O1157="","",IF(AA1157="",0,O1157*IF(AA1157&gt;1,AA1157/100,AA1157)))</f>
        <v/>
      </c>
      <c r="AC1157" s="31" t="str">
        <f aca="false">IF(O1157="","",V1157+Y1157+AB1157)</f>
        <v/>
      </c>
      <c r="AD1157" s="19" t="str">
        <f aca="false">IF(O1157="","",O1157-R1157-AC1157)</f>
        <v/>
      </c>
      <c r="AE1157" s="20"/>
      <c r="AF1157" s="27"/>
      <c r="AG1157" s="21" t="n">
        <f aca="false">IF(OR(AE1157="",AE1157=0),0,AE1157*IF(U1157="",0,IF(U1157&gt;1,U1157/100,U1157)))</f>
        <v>0</v>
      </c>
      <c r="AH1157" s="21" t="n">
        <f aca="false">IF(OR(AE1157="",AE1157=0),0,AE1157*IF(X1157="",0,IF(X1157&gt;1,X1157/100,X1157)))</f>
        <v>0</v>
      </c>
      <c r="AI1157" s="21" t="n">
        <f aca="false">IF(OR(AE1157="",AE1157=0),0,AE1157*IF(AA1157="",0,IF(AA1157&gt;1,AA1157/100,AA1157)))</f>
        <v>0</v>
      </c>
      <c r="AJ1157" s="21" t="n">
        <f aca="false">AG1157+AH1157+AI1157</f>
        <v>0</v>
      </c>
      <c r="AK1157" s="21" t="n">
        <f aca="false">IF(OR(AE1157="",AE1157=0),0,AE1157-AJ1157)</f>
        <v>0</v>
      </c>
      <c r="AL1157" s="19" t="str">
        <f aca="false">IF(AD1157="","",AD1157-AK1157)</f>
        <v/>
      </c>
      <c r="AM1157" s="26" t="str">
        <f aca="false">IF(C1157="","","Waiting for payment")</f>
        <v/>
      </c>
      <c r="AN1157" s="27"/>
      <c r="AO1157" s="27"/>
      <c r="AP1157" s="35" t="str">
        <f aca="false">IF(OR(C1157="",I1157="",K1157=""),"",IF(K1157="Monthly",EDATE(C1157,ROUND(I1157*SETTINGS!$I$8,0)),WORKDAY(C1157,ROUND(I1157*SETTINGS!$I$8,0))))</f>
        <v/>
      </c>
      <c r="AQ1157" s="26" t="str">
        <f aca="true">IF(C1157="","",IF(AND(AP1157&lt;&gt;"",TODAY()&gt;=AP1157),"Refi Ready",IF(TODAY()-C1157&gt;=SETTINGS!$I$11,"Prospecting","Performing")))</f>
        <v/>
      </c>
      <c r="AR1157" s="35" t="str">
        <f aca="false">IF(OR(C1157="",I1157="",K1157=""),"",IF(K1157="Monthly",EDATE(C1157,I1157),WORKDAY(C1157,I1157)))</f>
        <v/>
      </c>
      <c r="AS1157" s="28"/>
      <c r="AT1157" s="36" t="str">
        <f aca="true">IF(C1157="","",IF(AM1157="Clawed Back","CLAWED",IF(TODAY()&lt;=C1157+SETTINGS!$I$2,"⚠ AT RISK","SAFE")))</f>
        <v/>
      </c>
      <c r="AU1157" s="28"/>
      <c r="AW1157" s="24" t="n">
        <f aca="false">AW1156+IF(AND(C1157&lt;&gt;"",AO1157&lt;&gt;"",OR('REP COMMISSION'!$B$3="",T1157='REP COMMISSION'!$B$3,W1157='REP COMMISSION'!$B$3,Z1157='REP COMMISSION'!$B$3)),1,0)</f>
        <v>0</v>
      </c>
      <c r="AX1157" s="24" t="n">
        <f aca="false">AX1156+IF(AND(C1157&lt;&gt;"",OR(F1157="LOC - INITIAL",F1157="CONSOLIDATION - UPFRONT COMM",F1157="REVERSE - TOTAL FUNDING")),1,0)</f>
        <v>0</v>
      </c>
    </row>
    <row r="1158" customFormat="false" ht="15" hidden="false" customHeight="false" outlineLevel="0" collapsed="false">
      <c r="A1158" s="8" t="str">
        <f aca="false">IF(C1158&lt;&gt;"","F27-"&amp;COUNT($C$4:C1158),"")</f>
        <v/>
      </c>
      <c r="B1158" s="9" t="str">
        <f aca="false">IF(OR(F1158="LOC - INITIAL",F1158="CONSOLIDATION - UPFRONT COMM",F1158="REVERSE - TOTAL FUNDING"),A1158,"")</f>
        <v/>
      </c>
      <c r="C1158" s="10"/>
      <c r="D1158" s="11"/>
      <c r="E1158" s="11"/>
      <c r="F1158" s="11"/>
      <c r="G1158" s="12"/>
      <c r="H1158" s="13"/>
      <c r="I1158" s="11"/>
      <c r="J1158" s="14" t="str">
        <f aca="false">IF(AND(G1158&lt;&gt;"",H1158&lt;&gt;""),G1158*H1158,"")</f>
        <v/>
      </c>
      <c r="K1158" s="11"/>
      <c r="L1158" s="15"/>
      <c r="M1158" s="15"/>
      <c r="N1158" s="14" t="n">
        <f aca="false">IF(OR(G1158="",M1158=""),0,IF(M1158&gt;100,M1158,G1158*IF(M1158&gt;1,M1158/100,M1158)))</f>
        <v>0</v>
      </c>
      <c r="O1158" s="14" t="str">
        <f aca="false">IF(G1158="","",G1158*IF(L1158="",0,IF(L1158&gt;1,L1158/100,L1158))+N1158)</f>
        <v/>
      </c>
      <c r="P1158" s="11"/>
      <c r="Q1158" s="16" t="str">
        <f aca="false">IF(P1158="","",IFERROR(VLOOKUP(P1158,PARTNERS!$A$2:$B$30,2,0),""))</f>
        <v/>
      </c>
      <c r="R1158" s="17" t="str">
        <f aca="false">IF(O1158="","",IF(OR(P1158="",Q1158=""),0,(O1158-N1158)*IF(Q1158&gt;1,Q1158/100,Q1158)))</f>
        <v/>
      </c>
      <c r="S1158" s="14" t="str">
        <f aca="false">IF(O1158="","",O1158-R1158)</f>
        <v/>
      </c>
      <c r="T1158" s="11"/>
      <c r="U1158" s="18" t="str">
        <f aca="false">IF(T1158="","",IFERROR(VLOOKUP(T1158,REPS!$A$2:$D$40,2,0),""))</f>
        <v/>
      </c>
      <c r="V1158" s="14" t="str">
        <f aca="false">IF(O1158="","",IF(U1158="",0,O1158*IF(U1158&gt;1,U1158/100,U1158)))</f>
        <v/>
      </c>
      <c r="W1158" s="11"/>
      <c r="X1158" s="18" t="str">
        <f aca="false">IF(W1158="","",IFERROR(VLOOKUP(W1158,REPS!$A$2:$D$40,3,0),""))</f>
        <v/>
      </c>
      <c r="Y1158" s="14" t="str">
        <f aca="false">IF(O1158="","",IF(X1158="",0,O1158*IF(X1158&gt;1,X1158/100,X1158)))</f>
        <v/>
      </c>
      <c r="Z1158" s="11"/>
      <c r="AA1158" s="18" t="str">
        <f aca="false">IF(Z1158="","",IFERROR(VLOOKUP(Z1158,REPS!$A$2:$D$40,4,0),""))</f>
        <v/>
      </c>
      <c r="AB1158" s="14" t="str">
        <f aca="false">IF(O1158="","",IF(AA1158="",0,O1158*IF(AA1158&gt;1,AA1158/100,AA1158)))</f>
        <v/>
      </c>
      <c r="AC1158" s="14" t="str">
        <f aca="false">IF(O1158="","",V1158+Y1158+AB1158)</f>
        <v/>
      </c>
      <c r="AD1158" s="19" t="str">
        <f aca="false">IF(O1158="","",O1158-R1158-AC1158)</f>
        <v/>
      </c>
      <c r="AE1158" s="20"/>
      <c r="AF1158" s="10"/>
      <c r="AG1158" s="21" t="n">
        <f aca="false">IF(OR(AE1158="",AE1158=0),0,AE1158*IF(U1158="",0,IF(U1158&gt;1,U1158/100,U1158)))</f>
        <v>0</v>
      </c>
      <c r="AH1158" s="21" t="n">
        <f aca="false">IF(OR(AE1158="",AE1158=0),0,AE1158*IF(X1158="",0,IF(X1158&gt;1,X1158/100,X1158)))</f>
        <v>0</v>
      </c>
      <c r="AI1158" s="21" t="n">
        <f aca="false">IF(OR(AE1158="",AE1158=0),0,AE1158*IF(AA1158="",0,IF(AA1158&gt;1,AA1158/100,AA1158)))</f>
        <v>0</v>
      </c>
      <c r="AJ1158" s="21" t="n">
        <f aca="false">AG1158+AH1158+AI1158</f>
        <v>0</v>
      </c>
      <c r="AK1158" s="21" t="n">
        <f aca="false">IF(OR(AE1158="",AE1158=0),0,AE1158-AJ1158)</f>
        <v>0</v>
      </c>
      <c r="AL1158" s="19" t="str">
        <f aca="false">IF(AD1158="","",AD1158-AK1158)</f>
        <v/>
      </c>
      <c r="AM1158" s="9" t="str">
        <f aca="false">IF(C1158="","","Waiting for payment")</f>
        <v/>
      </c>
      <c r="AN1158" s="10"/>
      <c r="AO1158" s="10"/>
      <c r="AP1158" s="22" t="str">
        <f aca="false">IF(OR(C1158="",I1158="",K1158=""),"",IF(K1158="Monthly",EDATE(C1158,ROUND(I1158*SETTINGS!$I$8,0)),WORKDAY(C1158,ROUND(I1158*SETTINGS!$I$8,0))))</f>
        <v/>
      </c>
      <c r="AQ1158" s="9" t="str">
        <f aca="true">IF(C1158="","",IF(AND(AP1158&lt;&gt;"",TODAY()&gt;=AP1158),"Refi Ready",IF(TODAY()-C1158&gt;=SETTINGS!$I$11,"Prospecting","Performing")))</f>
        <v/>
      </c>
      <c r="AR1158" s="22" t="str">
        <f aca="false">IF(OR(C1158="",I1158="",K1158=""),"",IF(K1158="Monthly",EDATE(C1158,I1158),WORKDAY(C1158,I1158)))</f>
        <v/>
      </c>
      <c r="AS1158" s="11"/>
      <c r="AT1158" s="23" t="str">
        <f aca="true">IF(C1158="","",IF(AM1158="Clawed Back","CLAWED",IF(TODAY()&lt;=C1158+SETTINGS!$I$2,"⚠ AT RISK","SAFE")))</f>
        <v/>
      </c>
      <c r="AU1158" s="11"/>
      <c r="AW1158" s="24" t="n">
        <f aca="false">AW1157+IF(AND(C1158&lt;&gt;"",AO1158&lt;&gt;"",OR('REP COMMISSION'!$B$3="",T1158='REP COMMISSION'!$B$3,W1158='REP COMMISSION'!$B$3,Z1158='REP COMMISSION'!$B$3)),1,0)</f>
        <v>0</v>
      </c>
      <c r="AX1158" s="24" t="n">
        <f aca="false">AX1157+IF(AND(C1158&lt;&gt;"",OR(F1158="LOC - INITIAL",F1158="CONSOLIDATION - UPFRONT COMM",F1158="REVERSE - TOTAL FUNDING")),1,0)</f>
        <v>0</v>
      </c>
    </row>
    <row r="1159" customFormat="false" ht="15" hidden="false" customHeight="false" outlineLevel="0" collapsed="false">
      <c r="A1159" s="25" t="str">
        <f aca="false">IF(C1159&lt;&gt;"","F27-"&amp;COUNT($C$4:C1159),"")</f>
        <v/>
      </c>
      <c r="B1159" s="26" t="str">
        <f aca="false">IF(OR(F1159="LOC - INITIAL",F1159="CONSOLIDATION - UPFRONT COMM",F1159="REVERSE - TOTAL FUNDING"),A1159,"")</f>
        <v/>
      </c>
      <c r="C1159" s="27"/>
      <c r="D1159" s="28"/>
      <c r="E1159" s="28"/>
      <c r="F1159" s="28"/>
      <c r="G1159" s="29"/>
      <c r="H1159" s="30"/>
      <c r="I1159" s="28"/>
      <c r="J1159" s="31" t="str">
        <f aca="false">IF(AND(G1159&lt;&gt;"",H1159&lt;&gt;""),G1159*H1159,"")</f>
        <v/>
      </c>
      <c r="K1159" s="28"/>
      <c r="L1159" s="32"/>
      <c r="M1159" s="32"/>
      <c r="N1159" s="31" t="n">
        <f aca="false">IF(OR(G1159="",M1159=""),0,IF(M1159&gt;100,M1159,G1159*IF(M1159&gt;1,M1159/100,M1159)))</f>
        <v>0</v>
      </c>
      <c r="O1159" s="31" t="str">
        <f aca="false">IF(G1159="","",G1159*IF(L1159="",0,IF(L1159&gt;1,L1159/100,L1159))+N1159)</f>
        <v/>
      </c>
      <c r="P1159" s="28"/>
      <c r="Q1159" s="33" t="str">
        <f aca="false">IF(P1159="","",IFERROR(VLOOKUP(P1159,PARTNERS!$A$2:$B$30,2,0),""))</f>
        <v/>
      </c>
      <c r="R1159" s="17" t="str">
        <f aca="false">IF(O1159="","",IF(OR(P1159="",Q1159=""),0,(O1159-N1159)*IF(Q1159&gt;1,Q1159/100,Q1159)))</f>
        <v/>
      </c>
      <c r="S1159" s="31" t="str">
        <f aca="false">IF(O1159="","",O1159-R1159)</f>
        <v/>
      </c>
      <c r="T1159" s="28"/>
      <c r="U1159" s="34" t="str">
        <f aca="false">IF(T1159="","",IFERROR(VLOOKUP(T1159,REPS!$A$2:$D$40,2,0),""))</f>
        <v/>
      </c>
      <c r="V1159" s="31" t="str">
        <f aca="false">IF(O1159="","",IF(U1159="",0,O1159*IF(U1159&gt;1,U1159/100,U1159)))</f>
        <v/>
      </c>
      <c r="W1159" s="28"/>
      <c r="X1159" s="34" t="str">
        <f aca="false">IF(W1159="","",IFERROR(VLOOKUP(W1159,REPS!$A$2:$D$40,3,0),""))</f>
        <v/>
      </c>
      <c r="Y1159" s="31" t="str">
        <f aca="false">IF(O1159="","",IF(X1159="",0,O1159*IF(X1159&gt;1,X1159/100,X1159)))</f>
        <v/>
      </c>
      <c r="Z1159" s="28"/>
      <c r="AA1159" s="34" t="str">
        <f aca="false">IF(Z1159="","",IFERROR(VLOOKUP(Z1159,REPS!$A$2:$D$40,4,0),""))</f>
        <v/>
      </c>
      <c r="AB1159" s="31" t="str">
        <f aca="false">IF(O1159="","",IF(AA1159="",0,O1159*IF(AA1159&gt;1,AA1159/100,AA1159)))</f>
        <v/>
      </c>
      <c r="AC1159" s="31" t="str">
        <f aca="false">IF(O1159="","",V1159+Y1159+AB1159)</f>
        <v/>
      </c>
      <c r="AD1159" s="19" t="str">
        <f aca="false">IF(O1159="","",O1159-R1159-AC1159)</f>
        <v/>
      </c>
      <c r="AE1159" s="20"/>
      <c r="AF1159" s="27"/>
      <c r="AG1159" s="21" t="n">
        <f aca="false">IF(OR(AE1159="",AE1159=0),0,AE1159*IF(U1159="",0,IF(U1159&gt;1,U1159/100,U1159)))</f>
        <v>0</v>
      </c>
      <c r="AH1159" s="21" t="n">
        <f aca="false">IF(OR(AE1159="",AE1159=0),0,AE1159*IF(X1159="",0,IF(X1159&gt;1,X1159/100,X1159)))</f>
        <v>0</v>
      </c>
      <c r="AI1159" s="21" t="n">
        <f aca="false">IF(OR(AE1159="",AE1159=0),0,AE1159*IF(AA1159="",0,IF(AA1159&gt;1,AA1159/100,AA1159)))</f>
        <v>0</v>
      </c>
      <c r="AJ1159" s="21" t="n">
        <f aca="false">AG1159+AH1159+AI1159</f>
        <v>0</v>
      </c>
      <c r="AK1159" s="21" t="n">
        <f aca="false">IF(OR(AE1159="",AE1159=0),0,AE1159-AJ1159)</f>
        <v>0</v>
      </c>
      <c r="AL1159" s="19" t="str">
        <f aca="false">IF(AD1159="","",AD1159-AK1159)</f>
        <v/>
      </c>
      <c r="AM1159" s="26" t="str">
        <f aca="false">IF(C1159="","","Waiting for payment")</f>
        <v/>
      </c>
      <c r="AN1159" s="27"/>
      <c r="AO1159" s="27"/>
      <c r="AP1159" s="35" t="str">
        <f aca="false">IF(OR(C1159="",I1159="",K1159=""),"",IF(K1159="Monthly",EDATE(C1159,ROUND(I1159*SETTINGS!$I$8,0)),WORKDAY(C1159,ROUND(I1159*SETTINGS!$I$8,0))))</f>
        <v/>
      </c>
      <c r="AQ1159" s="26" t="str">
        <f aca="true">IF(C1159="","",IF(AND(AP1159&lt;&gt;"",TODAY()&gt;=AP1159),"Refi Ready",IF(TODAY()-C1159&gt;=SETTINGS!$I$11,"Prospecting","Performing")))</f>
        <v/>
      </c>
      <c r="AR1159" s="35" t="str">
        <f aca="false">IF(OR(C1159="",I1159="",K1159=""),"",IF(K1159="Monthly",EDATE(C1159,I1159),WORKDAY(C1159,I1159)))</f>
        <v/>
      </c>
      <c r="AS1159" s="28"/>
      <c r="AT1159" s="36" t="str">
        <f aca="true">IF(C1159="","",IF(AM1159="Clawed Back","CLAWED",IF(TODAY()&lt;=C1159+SETTINGS!$I$2,"⚠ AT RISK","SAFE")))</f>
        <v/>
      </c>
      <c r="AU1159" s="28"/>
      <c r="AW1159" s="24" t="n">
        <f aca="false">AW1158+IF(AND(C1159&lt;&gt;"",AO1159&lt;&gt;"",OR('REP COMMISSION'!$B$3="",T1159='REP COMMISSION'!$B$3,W1159='REP COMMISSION'!$B$3,Z1159='REP COMMISSION'!$B$3)),1,0)</f>
        <v>0</v>
      </c>
      <c r="AX1159" s="24" t="n">
        <f aca="false">AX1158+IF(AND(C1159&lt;&gt;"",OR(F1159="LOC - INITIAL",F1159="CONSOLIDATION - UPFRONT COMM",F1159="REVERSE - TOTAL FUNDING")),1,0)</f>
        <v>0</v>
      </c>
    </row>
    <row r="1160" customFormat="false" ht="15" hidden="false" customHeight="false" outlineLevel="0" collapsed="false">
      <c r="A1160" s="8" t="str">
        <f aca="false">IF(C1160&lt;&gt;"","F27-"&amp;COUNT($C$4:C1160),"")</f>
        <v/>
      </c>
      <c r="B1160" s="9" t="str">
        <f aca="false">IF(OR(F1160="LOC - INITIAL",F1160="CONSOLIDATION - UPFRONT COMM",F1160="REVERSE - TOTAL FUNDING"),A1160,"")</f>
        <v/>
      </c>
      <c r="C1160" s="10"/>
      <c r="D1160" s="11"/>
      <c r="E1160" s="11"/>
      <c r="F1160" s="11"/>
      <c r="G1160" s="12"/>
      <c r="H1160" s="13"/>
      <c r="I1160" s="11"/>
      <c r="J1160" s="14" t="str">
        <f aca="false">IF(AND(G1160&lt;&gt;"",H1160&lt;&gt;""),G1160*H1160,"")</f>
        <v/>
      </c>
      <c r="K1160" s="11"/>
      <c r="L1160" s="15"/>
      <c r="M1160" s="15"/>
      <c r="N1160" s="14" t="n">
        <f aca="false">IF(OR(G1160="",M1160=""),0,IF(M1160&gt;100,M1160,G1160*IF(M1160&gt;1,M1160/100,M1160)))</f>
        <v>0</v>
      </c>
      <c r="O1160" s="14" t="str">
        <f aca="false">IF(G1160="","",G1160*IF(L1160="",0,IF(L1160&gt;1,L1160/100,L1160))+N1160)</f>
        <v/>
      </c>
      <c r="P1160" s="11"/>
      <c r="Q1160" s="16" t="str">
        <f aca="false">IF(P1160="","",IFERROR(VLOOKUP(P1160,PARTNERS!$A$2:$B$30,2,0),""))</f>
        <v/>
      </c>
      <c r="R1160" s="17" t="str">
        <f aca="false">IF(O1160="","",IF(OR(P1160="",Q1160=""),0,(O1160-N1160)*IF(Q1160&gt;1,Q1160/100,Q1160)))</f>
        <v/>
      </c>
      <c r="S1160" s="14" t="str">
        <f aca="false">IF(O1160="","",O1160-R1160)</f>
        <v/>
      </c>
      <c r="T1160" s="11"/>
      <c r="U1160" s="18" t="str">
        <f aca="false">IF(T1160="","",IFERROR(VLOOKUP(T1160,REPS!$A$2:$D$40,2,0),""))</f>
        <v/>
      </c>
      <c r="V1160" s="14" t="str">
        <f aca="false">IF(O1160="","",IF(U1160="",0,O1160*IF(U1160&gt;1,U1160/100,U1160)))</f>
        <v/>
      </c>
      <c r="W1160" s="11"/>
      <c r="X1160" s="18" t="str">
        <f aca="false">IF(W1160="","",IFERROR(VLOOKUP(W1160,REPS!$A$2:$D$40,3,0),""))</f>
        <v/>
      </c>
      <c r="Y1160" s="14" t="str">
        <f aca="false">IF(O1160="","",IF(X1160="",0,O1160*IF(X1160&gt;1,X1160/100,X1160)))</f>
        <v/>
      </c>
      <c r="Z1160" s="11"/>
      <c r="AA1160" s="18" t="str">
        <f aca="false">IF(Z1160="","",IFERROR(VLOOKUP(Z1160,REPS!$A$2:$D$40,4,0),""))</f>
        <v/>
      </c>
      <c r="AB1160" s="14" t="str">
        <f aca="false">IF(O1160="","",IF(AA1160="",0,O1160*IF(AA1160&gt;1,AA1160/100,AA1160)))</f>
        <v/>
      </c>
      <c r="AC1160" s="14" t="str">
        <f aca="false">IF(O1160="","",V1160+Y1160+AB1160)</f>
        <v/>
      </c>
      <c r="AD1160" s="19" t="str">
        <f aca="false">IF(O1160="","",O1160-R1160-AC1160)</f>
        <v/>
      </c>
      <c r="AE1160" s="20"/>
      <c r="AF1160" s="10"/>
      <c r="AG1160" s="21" t="n">
        <f aca="false">IF(OR(AE1160="",AE1160=0),0,AE1160*IF(U1160="",0,IF(U1160&gt;1,U1160/100,U1160)))</f>
        <v>0</v>
      </c>
      <c r="AH1160" s="21" t="n">
        <f aca="false">IF(OR(AE1160="",AE1160=0),0,AE1160*IF(X1160="",0,IF(X1160&gt;1,X1160/100,X1160)))</f>
        <v>0</v>
      </c>
      <c r="AI1160" s="21" t="n">
        <f aca="false">IF(OR(AE1160="",AE1160=0),0,AE1160*IF(AA1160="",0,IF(AA1160&gt;1,AA1160/100,AA1160)))</f>
        <v>0</v>
      </c>
      <c r="AJ1160" s="21" t="n">
        <f aca="false">AG1160+AH1160+AI1160</f>
        <v>0</v>
      </c>
      <c r="AK1160" s="21" t="n">
        <f aca="false">IF(OR(AE1160="",AE1160=0),0,AE1160-AJ1160)</f>
        <v>0</v>
      </c>
      <c r="AL1160" s="19" t="str">
        <f aca="false">IF(AD1160="","",AD1160-AK1160)</f>
        <v/>
      </c>
      <c r="AM1160" s="9" t="str">
        <f aca="false">IF(C1160="","","Waiting for payment")</f>
        <v/>
      </c>
      <c r="AN1160" s="10"/>
      <c r="AO1160" s="10"/>
      <c r="AP1160" s="22" t="str">
        <f aca="false">IF(OR(C1160="",I1160="",K1160=""),"",IF(K1160="Monthly",EDATE(C1160,ROUND(I1160*SETTINGS!$I$8,0)),WORKDAY(C1160,ROUND(I1160*SETTINGS!$I$8,0))))</f>
        <v/>
      </c>
      <c r="AQ1160" s="9" t="str">
        <f aca="true">IF(C1160="","",IF(AND(AP1160&lt;&gt;"",TODAY()&gt;=AP1160),"Refi Ready",IF(TODAY()-C1160&gt;=SETTINGS!$I$11,"Prospecting","Performing")))</f>
        <v/>
      </c>
      <c r="AR1160" s="22" t="str">
        <f aca="false">IF(OR(C1160="",I1160="",K1160=""),"",IF(K1160="Monthly",EDATE(C1160,I1160),WORKDAY(C1160,I1160)))</f>
        <v/>
      </c>
      <c r="AS1160" s="11"/>
      <c r="AT1160" s="23" t="str">
        <f aca="true">IF(C1160="","",IF(AM1160="Clawed Back","CLAWED",IF(TODAY()&lt;=C1160+SETTINGS!$I$2,"⚠ AT RISK","SAFE")))</f>
        <v/>
      </c>
      <c r="AU1160" s="11"/>
      <c r="AW1160" s="24" t="n">
        <f aca="false">AW1159+IF(AND(C1160&lt;&gt;"",AO1160&lt;&gt;"",OR('REP COMMISSION'!$B$3="",T1160='REP COMMISSION'!$B$3,W1160='REP COMMISSION'!$B$3,Z1160='REP COMMISSION'!$B$3)),1,0)</f>
        <v>0</v>
      </c>
      <c r="AX1160" s="24" t="n">
        <f aca="false">AX1159+IF(AND(C1160&lt;&gt;"",OR(F1160="LOC - INITIAL",F1160="CONSOLIDATION - UPFRONT COMM",F1160="REVERSE - TOTAL FUNDING")),1,0)</f>
        <v>0</v>
      </c>
    </row>
    <row r="1161" customFormat="false" ht="15" hidden="false" customHeight="false" outlineLevel="0" collapsed="false">
      <c r="A1161" s="25" t="str">
        <f aca="false">IF(C1161&lt;&gt;"","F27-"&amp;COUNT($C$4:C1161),"")</f>
        <v/>
      </c>
      <c r="B1161" s="26" t="str">
        <f aca="false">IF(OR(F1161="LOC - INITIAL",F1161="CONSOLIDATION - UPFRONT COMM",F1161="REVERSE - TOTAL FUNDING"),A1161,"")</f>
        <v/>
      </c>
      <c r="C1161" s="27"/>
      <c r="D1161" s="28"/>
      <c r="E1161" s="28"/>
      <c r="F1161" s="28"/>
      <c r="G1161" s="29"/>
      <c r="H1161" s="30"/>
      <c r="I1161" s="28"/>
      <c r="J1161" s="31" t="str">
        <f aca="false">IF(AND(G1161&lt;&gt;"",H1161&lt;&gt;""),G1161*H1161,"")</f>
        <v/>
      </c>
      <c r="K1161" s="28"/>
      <c r="L1161" s="32"/>
      <c r="M1161" s="32"/>
      <c r="N1161" s="31" t="n">
        <f aca="false">IF(OR(G1161="",M1161=""),0,IF(M1161&gt;100,M1161,G1161*IF(M1161&gt;1,M1161/100,M1161)))</f>
        <v>0</v>
      </c>
      <c r="O1161" s="31" t="str">
        <f aca="false">IF(G1161="","",G1161*IF(L1161="",0,IF(L1161&gt;1,L1161/100,L1161))+N1161)</f>
        <v/>
      </c>
      <c r="P1161" s="28"/>
      <c r="Q1161" s="33" t="str">
        <f aca="false">IF(P1161="","",IFERROR(VLOOKUP(P1161,PARTNERS!$A$2:$B$30,2,0),""))</f>
        <v/>
      </c>
      <c r="R1161" s="17" t="str">
        <f aca="false">IF(O1161="","",IF(OR(P1161="",Q1161=""),0,(O1161-N1161)*IF(Q1161&gt;1,Q1161/100,Q1161)))</f>
        <v/>
      </c>
      <c r="S1161" s="31" t="str">
        <f aca="false">IF(O1161="","",O1161-R1161)</f>
        <v/>
      </c>
      <c r="T1161" s="28"/>
      <c r="U1161" s="34" t="str">
        <f aca="false">IF(T1161="","",IFERROR(VLOOKUP(T1161,REPS!$A$2:$D$40,2,0),""))</f>
        <v/>
      </c>
      <c r="V1161" s="31" t="str">
        <f aca="false">IF(O1161="","",IF(U1161="",0,O1161*IF(U1161&gt;1,U1161/100,U1161)))</f>
        <v/>
      </c>
      <c r="W1161" s="28"/>
      <c r="X1161" s="34" t="str">
        <f aca="false">IF(W1161="","",IFERROR(VLOOKUP(W1161,REPS!$A$2:$D$40,3,0),""))</f>
        <v/>
      </c>
      <c r="Y1161" s="31" t="str">
        <f aca="false">IF(O1161="","",IF(X1161="",0,O1161*IF(X1161&gt;1,X1161/100,X1161)))</f>
        <v/>
      </c>
      <c r="Z1161" s="28"/>
      <c r="AA1161" s="34" t="str">
        <f aca="false">IF(Z1161="","",IFERROR(VLOOKUP(Z1161,REPS!$A$2:$D$40,4,0),""))</f>
        <v/>
      </c>
      <c r="AB1161" s="31" t="str">
        <f aca="false">IF(O1161="","",IF(AA1161="",0,O1161*IF(AA1161&gt;1,AA1161/100,AA1161)))</f>
        <v/>
      </c>
      <c r="AC1161" s="31" t="str">
        <f aca="false">IF(O1161="","",V1161+Y1161+AB1161)</f>
        <v/>
      </c>
      <c r="AD1161" s="19" t="str">
        <f aca="false">IF(O1161="","",O1161-R1161-AC1161)</f>
        <v/>
      </c>
      <c r="AE1161" s="20"/>
      <c r="AF1161" s="27"/>
      <c r="AG1161" s="21" t="n">
        <f aca="false">IF(OR(AE1161="",AE1161=0),0,AE1161*IF(U1161="",0,IF(U1161&gt;1,U1161/100,U1161)))</f>
        <v>0</v>
      </c>
      <c r="AH1161" s="21" t="n">
        <f aca="false">IF(OR(AE1161="",AE1161=0),0,AE1161*IF(X1161="",0,IF(X1161&gt;1,X1161/100,X1161)))</f>
        <v>0</v>
      </c>
      <c r="AI1161" s="21" t="n">
        <f aca="false">IF(OR(AE1161="",AE1161=0),0,AE1161*IF(AA1161="",0,IF(AA1161&gt;1,AA1161/100,AA1161)))</f>
        <v>0</v>
      </c>
      <c r="AJ1161" s="21" t="n">
        <f aca="false">AG1161+AH1161+AI1161</f>
        <v>0</v>
      </c>
      <c r="AK1161" s="21" t="n">
        <f aca="false">IF(OR(AE1161="",AE1161=0),0,AE1161-AJ1161)</f>
        <v>0</v>
      </c>
      <c r="AL1161" s="19" t="str">
        <f aca="false">IF(AD1161="","",AD1161-AK1161)</f>
        <v/>
      </c>
      <c r="AM1161" s="26" t="str">
        <f aca="false">IF(C1161="","","Waiting for payment")</f>
        <v/>
      </c>
      <c r="AN1161" s="27"/>
      <c r="AO1161" s="27"/>
      <c r="AP1161" s="35" t="str">
        <f aca="false">IF(OR(C1161="",I1161="",K1161=""),"",IF(K1161="Monthly",EDATE(C1161,ROUND(I1161*SETTINGS!$I$8,0)),WORKDAY(C1161,ROUND(I1161*SETTINGS!$I$8,0))))</f>
        <v/>
      </c>
      <c r="AQ1161" s="26" t="str">
        <f aca="true">IF(C1161="","",IF(AND(AP1161&lt;&gt;"",TODAY()&gt;=AP1161),"Refi Ready",IF(TODAY()-C1161&gt;=SETTINGS!$I$11,"Prospecting","Performing")))</f>
        <v/>
      </c>
      <c r="AR1161" s="35" t="str">
        <f aca="false">IF(OR(C1161="",I1161="",K1161=""),"",IF(K1161="Monthly",EDATE(C1161,I1161),WORKDAY(C1161,I1161)))</f>
        <v/>
      </c>
      <c r="AS1161" s="28"/>
      <c r="AT1161" s="36" t="str">
        <f aca="true">IF(C1161="","",IF(AM1161="Clawed Back","CLAWED",IF(TODAY()&lt;=C1161+SETTINGS!$I$2,"⚠ AT RISK","SAFE")))</f>
        <v/>
      </c>
      <c r="AU1161" s="28"/>
      <c r="AW1161" s="24" t="n">
        <f aca="false">AW1160+IF(AND(C1161&lt;&gt;"",AO1161&lt;&gt;"",OR('REP COMMISSION'!$B$3="",T1161='REP COMMISSION'!$B$3,W1161='REP COMMISSION'!$B$3,Z1161='REP COMMISSION'!$B$3)),1,0)</f>
        <v>0</v>
      </c>
      <c r="AX1161" s="24" t="n">
        <f aca="false">AX1160+IF(AND(C1161&lt;&gt;"",OR(F1161="LOC - INITIAL",F1161="CONSOLIDATION - UPFRONT COMM",F1161="REVERSE - TOTAL FUNDING")),1,0)</f>
        <v>0</v>
      </c>
    </row>
    <row r="1162" customFormat="false" ht="15" hidden="false" customHeight="false" outlineLevel="0" collapsed="false">
      <c r="A1162" s="8" t="str">
        <f aca="false">IF(C1162&lt;&gt;"","F27-"&amp;COUNT($C$4:C1162),"")</f>
        <v/>
      </c>
      <c r="B1162" s="9" t="str">
        <f aca="false">IF(OR(F1162="LOC - INITIAL",F1162="CONSOLIDATION - UPFRONT COMM",F1162="REVERSE - TOTAL FUNDING"),A1162,"")</f>
        <v/>
      </c>
      <c r="C1162" s="10"/>
      <c r="D1162" s="11"/>
      <c r="E1162" s="11"/>
      <c r="F1162" s="11"/>
      <c r="G1162" s="12"/>
      <c r="H1162" s="13"/>
      <c r="I1162" s="11"/>
      <c r="J1162" s="14" t="str">
        <f aca="false">IF(AND(G1162&lt;&gt;"",H1162&lt;&gt;""),G1162*H1162,"")</f>
        <v/>
      </c>
      <c r="K1162" s="11"/>
      <c r="L1162" s="15"/>
      <c r="M1162" s="15"/>
      <c r="N1162" s="14" t="n">
        <f aca="false">IF(OR(G1162="",M1162=""),0,IF(M1162&gt;100,M1162,G1162*IF(M1162&gt;1,M1162/100,M1162)))</f>
        <v>0</v>
      </c>
      <c r="O1162" s="14" t="str">
        <f aca="false">IF(G1162="","",G1162*IF(L1162="",0,IF(L1162&gt;1,L1162/100,L1162))+N1162)</f>
        <v/>
      </c>
      <c r="P1162" s="11"/>
      <c r="Q1162" s="16" t="str">
        <f aca="false">IF(P1162="","",IFERROR(VLOOKUP(P1162,PARTNERS!$A$2:$B$30,2,0),""))</f>
        <v/>
      </c>
      <c r="R1162" s="17" t="str">
        <f aca="false">IF(O1162="","",IF(OR(P1162="",Q1162=""),0,(O1162-N1162)*IF(Q1162&gt;1,Q1162/100,Q1162)))</f>
        <v/>
      </c>
      <c r="S1162" s="14" t="str">
        <f aca="false">IF(O1162="","",O1162-R1162)</f>
        <v/>
      </c>
      <c r="T1162" s="11"/>
      <c r="U1162" s="18" t="str">
        <f aca="false">IF(T1162="","",IFERROR(VLOOKUP(T1162,REPS!$A$2:$D$40,2,0),""))</f>
        <v/>
      </c>
      <c r="V1162" s="14" t="str">
        <f aca="false">IF(O1162="","",IF(U1162="",0,O1162*IF(U1162&gt;1,U1162/100,U1162)))</f>
        <v/>
      </c>
      <c r="W1162" s="11"/>
      <c r="X1162" s="18" t="str">
        <f aca="false">IF(W1162="","",IFERROR(VLOOKUP(W1162,REPS!$A$2:$D$40,3,0),""))</f>
        <v/>
      </c>
      <c r="Y1162" s="14" t="str">
        <f aca="false">IF(O1162="","",IF(X1162="",0,O1162*IF(X1162&gt;1,X1162/100,X1162)))</f>
        <v/>
      </c>
      <c r="Z1162" s="11"/>
      <c r="AA1162" s="18" t="str">
        <f aca="false">IF(Z1162="","",IFERROR(VLOOKUP(Z1162,REPS!$A$2:$D$40,4,0),""))</f>
        <v/>
      </c>
      <c r="AB1162" s="14" t="str">
        <f aca="false">IF(O1162="","",IF(AA1162="",0,O1162*IF(AA1162&gt;1,AA1162/100,AA1162)))</f>
        <v/>
      </c>
      <c r="AC1162" s="14" t="str">
        <f aca="false">IF(O1162="","",V1162+Y1162+AB1162)</f>
        <v/>
      </c>
      <c r="AD1162" s="19" t="str">
        <f aca="false">IF(O1162="","",O1162-R1162-AC1162)</f>
        <v/>
      </c>
      <c r="AE1162" s="20"/>
      <c r="AF1162" s="10"/>
      <c r="AG1162" s="21" t="n">
        <f aca="false">IF(OR(AE1162="",AE1162=0),0,AE1162*IF(U1162="",0,IF(U1162&gt;1,U1162/100,U1162)))</f>
        <v>0</v>
      </c>
      <c r="AH1162" s="21" t="n">
        <f aca="false">IF(OR(AE1162="",AE1162=0),0,AE1162*IF(X1162="",0,IF(X1162&gt;1,X1162/100,X1162)))</f>
        <v>0</v>
      </c>
      <c r="AI1162" s="21" t="n">
        <f aca="false">IF(OR(AE1162="",AE1162=0),0,AE1162*IF(AA1162="",0,IF(AA1162&gt;1,AA1162/100,AA1162)))</f>
        <v>0</v>
      </c>
      <c r="AJ1162" s="21" t="n">
        <f aca="false">AG1162+AH1162+AI1162</f>
        <v>0</v>
      </c>
      <c r="AK1162" s="21" t="n">
        <f aca="false">IF(OR(AE1162="",AE1162=0),0,AE1162-AJ1162)</f>
        <v>0</v>
      </c>
      <c r="AL1162" s="19" t="str">
        <f aca="false">IF(AD1162="","",AD1162-AK1162)</f>
        <v/>
      </c>
      <c r="AM1162" s="9" t="str">
        <f aca="false">IF(C1162="","","Waiting for payment")</f>
        <v/>
      </c>
      <c r="AN1162" s="10"/>
      <c r="AO1162" s="10"/>
      <c r="AP1162" s="22" t="str">
        <f aca="false">IF(OR(C1162="",I1162="",K1162=""),"",IF(K1162="Monthly",EDATE(C1162,ROUND(I1162*SETTINGS!$I$8,0)),WORKDAY(C1162,ROUND(I1162*SETTINGS!$I$8,0))))</f>
        <v/>
      </c>
      <c r="AQ1162" s="9" t="str">
        <f aca="true">IF(C1162="","",IF(AND(AP1162&lt;&gt;"",TODAY()&gt;=AP1162),"Refi Ready",IF(TODAY()-C1162&gt;=SETTINGS!$I$11,"Prospecting","Performing")))</f>
        <v/>
      </c>
      <c r="AR1162" s="22" t="str">
        <f aca="false">IF(OR(C1162="",I1162="",K1162=""),"",IF(K1162="Monthly",EDATE(C1162,I1162),WORKDAY(C1162,I1162)))</f>
        <v/>
      </c>
      <c r="AS1162" s="11"/>
      <c r="AT1162" s="23" t="str">
        <f aca="true">IF(C1162="","",IF(AM1162="Clawed Back","CLAWED",IF(TODAY()&lt;=C1162+SETTINGS!$I$2,"⚠ AT RISK","SAFE")))</f>
        <v/>
      </c>
      <c r="AU1162" s="11"/>
      <c r="AW1162" s="24" t="n">
        <f aca="false">AW1161+IF(AND(C1162&lt;&gt;"",AO1162&lt;&gt;"",OR('REP COMMISSION'!$B$3="",T1162='REP COMMISSION'!$B$3,W1162='REP COMMISSION'!$B$3,Z1162='REP COMMISSION'!$B$3)),1,0)</f>
        <v>0</v>
      </c>
      <c r="AX1162" s="24" t="n">
        <f aca="false">AX1161+IF(AND(C1162&lt;&gt;"",OR(F1162="LOC - INITIAL",F1162="CONSOLIDATION - UPFRONT COMM",F1162="REVERSE - TOTAL FUNDING")),1,0)</f>
        <v>0</v>
      </c>
    </row>
    <row r="1163" customFormat="false" ht="15" hidden="false" customHeight="false" outlineLevel="0" collapsed="false">
      <c r="A1163" s="25" t="str">
        <f aca="false">IF(C1163&lt;&gt;"","F27-"&amp;COUNT($C$4:C1163),"")</f>
        <v/>
      </c>
      <c r="B1163" s="26" t="str">
        <f aca="false">IF(OR(F1163="LOC - INITIAL",F1163="CONSOLIDATION - UPFRONT COMM",F1163="REVERSE - TOTAL FUNDING"),A1163,"")</f>
        <v/>
      </c>
      <c r="C1163" s="27"/>
      <c r="D1163" s="28"/>
      <c r="E1163" s="28"/>
      <c r="F1163" s="28"/>
      <c r="G1163" s="29"/>
      <c r="H1163" s="30"/>
      <c r="I1163" s="28"/>
      <c r="J1163" s="31" t="str">
        <f aca="false">IF(AND(G1163&lt;&gt;"",H1163&lt;&gt;""),G1163*H1163,"")</f>
        <v/>
      </c>
      <c r="K1163" s="28"/>
      <c r="L1163" s="32"/>
      <c r="M1163" s="32"/>
      <c r="N1163" s="31" t="n">
        <f aca="false">IF(OR(G1163="",M1163=""),0,IF(M1163&gt;100,M1163,G1163*IF(M1163&gt;1,M1163/100,M1163)))</f>
        <v>0</v>
      </c>
      <c r="O1163" s="31" t="str">
        <f aca="false">IF(G1163="","",G1163*IF(L1163="",0,IF(L1163&gt;1,L1163/100,L1163))+N1163)</f>
        <v/>
      </c>
      <c r="P1163" s="28"/>
      <c r="Q1163" s="33" t="str">
        <f aca="false">IF(P1163="","",IFERROR(VLOOKUP(P1163,PARTNERS!$A$2:$B$30,2,0),""))</f>
        <v/>
      </c>
      <c r="R1163" s="17" t="str">
        <f aca="false">IF(O1163="","",IF(OR(P1163="",Q1163=""),0,(O1163-N1163)*IF(Q1163&gt;1,Q1163/100,Q1163)))</f>
        <v/>
      </c>
      <c r="S1163" s="31" t="str">
        <f aca="false">IF(O1163="","",O1163-R1163)</f>
        <v/>
      </c>
      <c r="T1163" s="28"/>
      <c r="U1163" s="34" t="str">
        <f aca="false">IF(T1163="","",IFERROR(VLOOKUP(T1163,REPS!$A$2:$D$40,2,0),""))</f>
        <v/>
      </c>
      <c r="V1163" s="31" t="str">
        <f aca="false">IF(O1163="","",IF(U1163="",0,O1163*IF(U1163&gt;1,U1163/100,U1163)))</f>
        <v/>
      </c>
      <c r="W1163" s="28"/>
      <c r="X1163" s="34" t="str">
        <f aca="false">IF(W1163="","",IFERROR(VLOOKUP(W1163,REPS!$A$2:$D$40,3,0),""))</f>
        <v/>
      </c>
      <c r="Y1163" s="31" t="str">
        <f aca="false">IF(O1163="","",IF(X1163="",0,O1163*IF(X1163&gt;1,X1163/100,X1163)))</f>
        <v/>
      </c>
      <c r="Z1163" s="28"/>
      <c r="AA1163" s="34" t="str">
        <f aca="false">IF(Z1163="","",IFERROR(VLOOKUP(Z1163,REPS!$A$2:$D$40,4,0),""))</f>
        <v/>
      </c>
      <c r="AB1163" s="31" t="str">
        <f aca="false">IF(O1163="","",IF(AA1163="",0,O1163*IF(AA1163&gt;1,AA1163/100,AA1163)))</f>
        <v/>
      </c>
      <c r="AC1163" s="31" t="str">
        <f aca="false">IF(O1163="","",V1163+Y1163+AB1163)</f>
        <v/>
      </c>
      <c r="AD1163" s="19" t="str">
        <f aca="false">IF(O1163="","",O1163-R1163-AC1163)</f>
        <v/>
      </c>
      <c r="AE1163" s="20"/>
      <c r="AF1163" s="27"/>
      <c r="AG1163" s="21" t="n">
        <f aca="false">IF(OR(AE1163="",AE1163=0),0,AE1163*IF(U1163="",0,IF(U1163&gt;1,U1163/100,U1163)))</f>
        <v>0</v>
      </c>
      <c r="AH1163" s="21" t="n">
        <f aca="false">IF(OR(AE1163="",AE1163=0),0,AE1163*IF(X1163="",0,IF(X1163&gt;1,X1163/100,X1163)))</f>
        <v>0</v>
      </c>
      <c r="AI1163" s="21" t="n">
        <f aca="false">IF(OR(AE1163="",AE1163=0),0,AE1163*IF(AA1163="",0,IF(AA1163&gt;1,AA1163/100,AA1163)))</f>
        <v>0</v>
      </c>
      <c r="AJ1163" s="21" t="n">
        <f aca="false">AG1163+AH1163+AI1163</f>
        <v>0</v>
      </c>
      <c r="AK1163" s="21" t="n">
        <f aca="false">IF(OR(AE1163="",AE1163=0),0,AE1163-AJ1163)</f>
        <v>0</v>
      </c>
      <c r="AL1163" s="19" t="str">
        <f aca="false">IF(AD1163="","",AD1163-AK1163)</f>
        <v/>
      </c>
      <c r="AM1163" s="26" t="str">
        <f aca="false">IF(C1163="","","Waiting for payment")</f>
        <v/>
      </c>
      <c r="AN1163" s="27"/>
      <c r="AO1163" s="27"/>
      <c r="AP1163" s="35" t="str">
        <f aca="false">IF(OR(C1163="",I1163="",K1163=""),"",IF(K1163="Monthly",EDATE(C1163,ROUND(I1163*SETTINGS!$I$8,0)),WORKDAY(C1163,ROUND(I1163*SETTINGS!$I$8,0))))</f>
        <v/>
      </c>
      <c r="AQ1163" s="26" t="str">
        <f aca="true">IF(C1163="","",IF(AND(AP1163&lt;&gt;"",TODAY()&gt;=AP1163),"Refi Ready",IF(TODAY()-C1163&gt;=SETTINGS!$I$11,"Prospecting","Performing")))</f>
        <v/>
      </c>
      <c r="AR1163" s="35" t="str">
        <f aca="false">IF(OR(C1163="",I1163="",K1163=""),"",IF(K1163="Monthly",EDATE(C1163,I1163),WORKDAY(C1163,I1163)))</f>
        <v/>
      </c>
      <c r="AS1163" s="28"/>
      <c r="AT1163" s="36" t="str">
        <f aca="true">IF(C1163="","",IF(AM1163="Clawed Back","CLAWED",IF(TODAY()&lt;=C1163+SETTINGS!$I$2,"⚠ AT RISK","SAFE")))</f>
        <v/>
      </c>
      <c r="AU1163" s="28"/>
      <c r="AW1163" s="24" t="n">
        <f aca="false">AW1162+IF(AND(C1163&lt;&gt;"",AO1163&lt;&gt;"",OR('REP COMMISSION'!$B$3="",T1163='REP COMMISSION'!$B$3,W1163='REP COMMISSION'!$B$3,Z1163='REP COMMISSION'!$B$3)),1,0)</f>
        <v>0</v>
      </c>
      <c r="AX1163" s="24" t="n">
        <f aca="false">AX1162+IF(AND(C1163&lt;&gt;"",OR(F1163="LOC - INITIAL",F1163="CONSOLIDATION - UPFRONT COMM",F1163="REVERSE - TOTAL FUNDING")),1,0)</f>
        <v>0</v>
      </c>
    </row>
    <row r="1164" customFormat="false" ht="15" hidden="false" customHeight="false" outlineLevel="0" collapsed="false">
      <c r="A1164" s="8" t="str">
        <f aca="false">IF(C1164&lt;&gt;"","F27-"&amp;COUNT($C$4:C1164),"")</f>
        <v/>
      </c>
      <c r="B1164" s="9" t="str">
        <f aca="false">IF(OR(F1164="LOC - INITIAL",F1164="CONSOLIDATION - UPFRONT COMM",F1164="REVERSE - TOTAL FUNDING"),A1164,"")</f>
        <v/>
      </c>
      <c r="C1164" s="10"/>
      <c r="D1164" s="11"/>
      <c r="E1164" s="11"/>
      <c r="F1164" s="11"/>
      <c r="G1164" s="12"/>
      <c r="H1164" s="13"/>
      <c r="I1164" s="11"/>
      <c r="J1164" s="14" t="str">
        <f aca="false">IF(AND(G1164&lt;&gt;"",H1164&lt;&gt;""),G1164*H1164,"")</f>
        <v/>
      </c>
      <c r="K1164" s="11"/>
      <c r="L1164" s="15"/>
      <c r="M1164" s="15"/>
      <c r="N1164" s="14" t="n">
        <f aca="false">IF(OR(G1164="",M1164=""),0,IF(M1164&gt;100,M1164,G1164*IF(M1164&gt;1,M1164/100,M1164)))</f>
        <v>0</v>
      </c>
      <c r="O1164" s="14" t="str">
        <f aca="false">IF(G1164="","",G1164*IF(L1164="",0,IF(L1164&gt;1,L1164/100,L1164))+N1164)</f>
        <v/>
      </c>
      <c r="P1164" s="11"/>
      <c r="Q1164" s="16" t="str">
        <f aca="false">IF(P1164="","",IFERROR(VLOOKUP(P1164,PARTNERS!$A$2:$B$30,2,0),""))</f>
        <v/>
      </c>
      <c r="R1164" s="17" t="str">
        <f aca="false">IF(O1164="","",IF(OR(P1164="",Q1164=""),0,(O1164-N1164)*IF(Q1164&gt;1,Q1164/100,Q1164)))</f>
        <v/>
      </c>
      <c r="S1164" s="14" t="str">
        <f aca="false">IF(O1164="","",O1164-R1164)</f>
        <v/>
      </c>
      <c r="T1164" s="11"/>
      <c r="U1164" s="18" t="str">
        <f aca="false">IF(T1164="","",IFERROR(VLOOKUP(T1164,REPS!$A$2:$D$40,2,0),""))</f>
        <v/>
      </c>
      <c r="V1164" s="14" t="str">
        <f aca="false">IF(O1164="","",IF(U1164="",0,O1164*IF(U1164&gt;1,U1164/100,U1164)))</f>
        <v/>
      </c>
      <c r="W1164" s="11"/>
      <c r="X1164" s="18" t="str">
        <f aca="false">IF(W1164="","",IFERROR(VLOOKUP(W1164,REPS!$A$2:$D$40,3,0),""))</f>
        <v/>
      </c>
      <c r="Y1164" s="14" t="str">
        <f aca="false">IF(O1164="","",IF(X1164="",0,O1164*IF(X1164&gt;1,X1164/100,X1164)))</f>
        <v/>
      </c>
      <c r="Z1164" s="11"/>
      <c r="AA1164" s="18" t="str">
        <f aca="false">IF(Z1164="","",IFERROR(VLOOKUP(Z1164,REPS!$A$2:$D$40,4,0),""))</f>
        <v/>
      </c>
      <c r="AB1164" s="14" t="str">
        <f aca="false">IF(O1164="","",IF(AA1164="",0,O1164*IF(AA1164&gt;1,AA1164/100,AA1164)))</f>
        <v/>
      </c>
      <c r="AC1164" s="14" t="str">
        <f aca="false">IF(O1164="","",V1164+Y1164+AB1164)</f>
        <v/>
      </c>
      <c r="AD1164" s="19" t="str">
        <f aca="false">IF(O1164="","",O1164-R1164-AC1164)</f>
        <v/>
      </c>
      <c r="AE1164" s="20"/>
      <c r="AF1164" s="10"/>
      <c r="AG1164" s="21" t="n">
        <f aca="false">IF(OR(AE1164="",AE1164=0),0,AE1164*IF(U1164="",0,IF(U1164&gt;1,U1164/100,U1164)))</f>
        <v>0</v>
      </c>
      <c r="AH1164" s="21" t="n">
        <f aca="false">IF(OR(AE1164="",AE1164=0),0,AE1164*IF(X1164="",0,IF(X1164&gt;1,X1164/100,X1164)))</f>
        <v>0</v>
      </c>
      <c r="AI1164" s="21" t="n">
        <f aca="false">IF(OR(AE1164="",AE1164=0),0,AE1164*IF(AA1164="",0,IF(AA1164&gt;1,AA1164/100,AA1164)))</f>
        <v>0</v>
      </c>
      <c r="AJ1164" s="21" t="n">
        <f aca="false">AG1164+AH1164+AI1164</f>
        <v>0</v>
      </c>
      <c r="AK1164" s="21" t="n">
        <f aca="false">IF(OR(AE1164="",AE1164=0),0,AE1164-AJ1164)</f>
        <v>0</v>
      </c>
      <c r="AL1164" s="19" t="str">
        <f aca="false">IF(AD1164="","",AD1164-AK1164)</f>
        <v/>
      </c>
      <c r="AM1164" s="9" t="str">
        <f aca="false">IF(C1164="","","Waiting for payment")</f>
        <v/>
      </c>
      <c r="AN1164" s="10"/>
      <c r="AO1164" s="10"/>
      <c r="AP1164" s="22" t="str">
        <f aca="false">IF(OR(C1164="",I1164="",K1164=""),"",IF(K1164="Monthly",EDATE(C1164,ROUND(I1164*SETTINGS!$I$8,0)),WORKDAY(C1164,ROUND(I1164*SETTINGS!$I$8,0))))</f>
        <v/>
      </c>
      <c r="AQ1164" s="9" t="str">
        <f aca="true">IF(C1164="","",IF(AND(AP1164&lt;&gt;"",TODAY()&gt;=AP1164),"Refi Ready",IF(TODAY()-C1164&gt;=SETTINGS!$I$11,"Prospecting","Performing")))</f>
        <v/>
      </c>
      <c r="AR1164" s="22" t="str">
        <f aca="false">IF(OR(C1164="",I1164="",K1164=""),"",IF(K1164="Monthly",EDATE(C1164,I1164),WORKDAY(C1164,I1164)))</f>
        <v/>
      </c>
      <c r="AS1164" s="11"/>
      <c r="AT1164" s="23" t="str">
        <f aca="true">IF(C1164="","",IF(AM1164="Clawed Back","CLAWED",IF(TODAY()&lt;=C1164+SETTINGS!$I$2,"⚠ AT RISK","SAFE")))</f>
        <v/>
      </c>
      <c r="AU1164" s="11"/>
      <c r="AW1164" s="24" t="n">
        <f aca="false">AW1163+IF(AND(C1164&lt;&gt;"",AO1164&lt;&gt;"",OR('REP COMMISSION'!$B$3="",T1164='REP COMMISSION'!$B$3,W1164='REP COMMISSION'!$B$3,Z1164='REP COMMISSION'!$B$3)),1,0)</f>
        <v>0</v>
      </c>
      <c r="AX1164" s="24" t="n">
        <f aca="false">AX1163+IF(AND(C1164&lt;&gt;"",OR(F1164="LOC - INITIAL",F1164="CONSOLIDATION - UPFRONT COMM",F1164="REVERSE - TOTAL FUNDING")),1,0)</f>
        <v>0</v>
      </c>
    </row>
    <row r="1165" customFormat="false" ht="15" hidden="false" customHeight="false" outlineLevel="0" collapsed="false">
      <c r="A1165" s="25" t="str">
        <f aca="false">IF(C1165&lt;&gt;"","F27-"&amp;COUNT($C$4:C1165),"")</f>
        <v/>
      </c>
      <c r="B1165" s="26" t="str">
        <f aca="false">IF(OR(F1165="LOC - INITIAL",F1165="CONSOLIDATION - UPFRONT COMM",F1165="REVERSE - TOTAL FUNDING"),A1165,"")</f>
        <v/>
      </c>
      <c r="C1165" s="27"/>
      <c r="D1165" s="28"/>
      <c r="E1165" s="28"/>
      <c r="F1165" s="28"/>
      <c r="G1165" s="29"/>
      <c r="H1165" s="30"/>
      <c r="I1165" s="28"/>
      <c r="J1165" s="31" t="str">
        <f aca="false">IF(AND(G1165&lt;&gt;"",H1165&lt;&gt;""),G1165*H1165,"")</f>
        <v/>
      </c>
      <c r="K1165" s="28"/>
      <c r="L1165" s="32"/>
      <c r="M1165" s="32"/>
      <c r="N1165" s="31" t="n">
        <f aca="false">IF(OR(G1165="",M1165=""),0,IF(M1165&gt;100,M1165,G1165*IF(M1165&gt;1,M1165/100,M1165)))</f>
        <v>0</v>
      </c>
      <c r="O1165" s="31" t="str">
        <f aca="false">IF(G1165="","",G1165*IF(L1165="",0,IF(L1165&gt;1,L1165/100,L1165))+N1165)</f>
        <v/>
      </c>
      <c r="P1165" s="28"/>
      <c r="Q1165" s="33" t="str">
        <f aca="false">IF(P1165="","",IFERROR(VLOOKUP(P1165,PARTNERS!$A$2:$B$30,2,0),""))</f>
        <v/>
      </c>
      <c r="R1165" s="17" t="str">
        <f aca="false">IF(O1165="","",IF(OR(P1165="",Q1165=""),0,(O1165-N1165)*IF(Q1165&gt;1,Q1165/100,Q1165)))</f>
        <v/>
      </c>
      <c r="S1165" s="31" t="str">
        <f aca="false">IF(O1165="","",O1165-R1165)</f>
        <v/>
      </c>
      <c r="T1165" s="28"/>
      <c r="U1165" s="34" t="str">
        <f aca="false">IF(T1165="","",IFERROR(VLOOKUP(T1165,REPS!$A$2:$D$40,2,0),""))</f>
        <v/>
      </c>
      <c r="V1165" s="31" t="str">
        <f aca="false">IF(O1165="","",IF(U1165="",0,O1165*IF(U1165&gt;1,U1165/100,U1165)))</f>
        <v/>
      </c>
      <c r="W1165" s="28"/>
      <c r="X1165" s="34" t="str">
        <f aca="false">IF(W1165="","",IFERROR(VLOOKUP(W1165,REPS!$A$2:$D$40,3,0),""))</f>
        <v/>
      </c>
      <c r="Y1165" s="31" t="str">
        <f aca="false">IF(O1165="","",IF(X1165="",0,O1165*IF(X1165&gt;1,X1165/100,X1165)))</f>
        <v/>
      </c>
      <c r="Z1165" s="28"/>
      <c r="AA1165" s="34" t="str">
        <f aca="false">IF(Z1165="","",IFERROR(VLOOKUP(Z1165,REPS!$A$2:$D$40,4,0),""))</f>
        <v/>
      </c>
      <c r="AB1165" s="31" t="str">
        <f aca="false">IF(O1165="","",IF(AA1165="",0,O1165*IF(AA1165&gt;1,AA1165/100,AA1165)))</f>
        <v/>
      </c>
      <c r="AC1165" s="31" t="str">
        <f aca="false">IF(O1165="","",V1165+Y1165+AB1165)</f>
        <v/>
      </c>
      <c r="AD1165" s="19" t="str">
        <f aca="false">IF(O1165="","",O1165-R1165-AC1165)</f>
        <v/>
      </c>
      <c r="AE1165" s="20"/>
      <c r="AF1165" s="27"/>
      <c r="AG1165" s="21" t="n">
        <f aca="false">IF(OR(AE1165="",AE1165=0),0,AE1165*IF(U1165="",0,IF(U1165&gt;1,U1165/100,U1165)))</f>
        <v>0</v>
      </c>
      <c r="AH1165" s="21" t="n">
        <f aca="false">IF(OR(AE1165="",AE1165=0),0,AE1165*IF(X1165="",0,IF(X1165&gt;1,X1165/100,X1165)))</f>
        <v>0</v>
      </c>
      <c r="AI1165" s="21" t="n">
        <f aca="false">IF(OR(AE1165="",AE1165=0),0,AE1165*IF(AA1165="",0,IF(AA1165&gt;1,AA1165/100,AA1165)))</f>
        <v>0</v>
      </c>
      <c r="AJ1165" s="21" t="n">
        <f aca="false">AG1165+AH1165+AI1165</f>
        <v>0</v>
      </c>
      <c r="AK1165" s="21" t="n">
        <f aca="false">IF(OR(AE1165="",AE1165=0),0,AE1165-AJ1165)</f>
        <v>0</v>
      </c>
      <c r="AL1165" s="19" t="str">
        <f aca="false">IF(AD1165="","",AD1165-AK1165)</f>
        <v/>
      </c>
      <c r="AM1165" s="26" t="str">
        <f aca="false">IF(C1165="","","Waiting for payment")</f>
        <v/>
      </c>
      <c r="AN1165" s="27"/>
      <c r="AO1165" s="27"/>
      <c r="AP1165" s="35" t="str">
        <f aca="false">IF(OR(C1165="",I1165="",K1165=""),"",IF(K1165="Monthly",EDATE(C1165,ROUND(I1165*SETTINGS!$I$8,0)),WORKDAY(C1165,ROUND(I1165*SETTINGS!$I$8,0))))</f>
        <v/>
      </c>
      <c r="AQ1165" s="26" t="str">
        <f aca="true">IF(C1165="","",IF(AND(AP1165&lt;&gt;"",TODAY()&gt;=AP1165),"Refi Ready",IF(TODAY()-C1165&gt;=SETTINGS!$I$11,"Prospecting","Performing")))</f>
        <v/>
      </c>
      <c r="AR1165" s="35" t="str">
        <f aca="false">IF(OR(C1165="",I1165="",K1165=""),"",IF(K1165="Monthly",EDATE(C1165,I1165),WORKDAY(C1165,I1165)))</f>
        <v/>
      </c>
      <c r="AS1165" s="28"/>
      <c r="AT1165" s="36" t="str">
        <f aca="true">IF(C1165="","",IF(AM1165="Clawed Back","CLAWED",IF(TODAY()&lt;=C1165+SETTINGS!$I$2,"⚠ AT RISK","SAFE")))</f>
        <v/>
      </c>
      <c r="AU1165" s="28"/>
      <c r="AW1165" s="24" t="n">
        <f aca="false">AW1164+IF(AND(C1165&lt;&gt;"",AO1165&lt;&gt;"",OR('REP COMMISSION'!$B$3="",T1165='REP COMMISSION'!$B$3,W1165='REP COMMISSION'!$B$3,Z1165='REP COMMISSION'!$B$3)),1,0)</f>
        <v>0</v>
      </c>
      <c r="AX1165" s="24" t="n">
        <f aca="false">AX1164+IF(AND(C1165&lt;&gt;"",OR(F1165="LOC - INITIAL",F1165="CONSOLIDATION - UPFRONT COMM",F1165="REVERSE - TOTAL FUNDING")),1,0)</f>
        <v>0</v>
      </c>
    </row>
    <row r="1166" customFormat="false" ht="15" hidden="false" customHeight="false" outlineLevel="0" collapsed="false">
      <c r="A1166" s="8" t="str">
        <f aca="false">IF(C1166&lt;&gt;"","F27-"&amp;COUNT($C$4:C1166),"")</f>
        <v/>
      </c>
      <c r="B1166" s="9" t="str">
        <f aca="false">IF(OR(F1166="LOC - INITIAL",F1166="CONSOLIDATION - UPFRONT COMM",F1166="REVERSE - TOTAL FUNDING"),A1166,"")</f>
        <v/>
      </c>
      <c r="C1166" s="10"/>
      <c r="D1166" s="11"/>
      <c r="E1166" s="11"/>
      <c r="F1166" s="11"/>
      <c r="G1166" s="12"/>
      <c r="H1166" s="13"/>
      <c r="I1166" s="11"/>
      <c r="J1166" s="14" t="str">
        <f aca="false">IF(AND(G1166&lt;&gt;"",H1166&lt;&gt;""),G1166*H1166,"")</f>
        <v/>
      </c>
      <c r="K1166" s="11"/>
      <c r="L1166" s="15"/>
      <c r="M1166" s="15"/>
      <c r="N1166" s="14" t="n">
        <f aca="false">IF(OR(G1166="",M1166=""),0,IF(M1166&gt;100,M1166,G1166*IF(M1166&gt;1,M1166/100,M1166)))</f>
        <v>0</v>
      </c>
      <c r="O1166" s="14" t="str">
        <f aca="false">IF(G1166="","",G1166*IF(L1166="",0,IF(L1166&gt;1,L1166/100,L1166))+N1166)</f>
        <v/>
      </c>
      <c r="P1166" s="11"/>
      <c r="Q1166" s="16" t="str">
        <f aca="false">IF(P1166="","",IFERROR(VLOOKUP(P1166,PARTNERS!$A$2:$B$30,2,0),""))</f>
        <v/>
      </c>
      <c r="R1166" s="17" t="str">
        <f aca="false">IF(O1166="","",IF(OR(P1166="",Q1166=""),0,(O1166-N1166)*IF(Q1166&gt;1,Q1166/100,Q1166)))</f>
        <v/>
      </c>
      <c r="S1166" s="14" t="str">
        <f aca="false">IF(O1166="","",O1166-R1166)</f>
        <v/>
      </c>
      <c r="T1166" s="11"/>
      <c r="U1166" s="18" t="str">
        <f aca="false">IF(T1166="","",IFERROR(VLOOKUP(T1166,REPS!$A$2:$D$40,2,0),""))</f>
        <v/>
      </c>
      <c r="V1166" s="14" t="str">
        <f aca="false">IF(O1166="","",IF(U1166="",0,O1166*IF(U1166&gt;1,U1166/100,U1166)))</f>
        <v/>
      </c>
      <c r="W1166" s="11"/>
      <c r="X1166" s="18" t="str">
        <f aca="false">IF(W1166="","",IFERROR(VLOOKUP(W1166,REPS!$A$2:$D$40,3,0),""))</f>
        <v/>
      </c>
      <c r="Y1166" s="14" t="str">
        <f aca="false">IF(O1166="","",IF(X1166="",0,O1166*IF(X1166&gt;1,X1166/100,X1166)))</f>
        <v/>
      </c>
      <c r="Z1166" s="11"/>
      <c r="AA1166" s="18" t="str">
        <f aca="false">IF(Z1166="","",IFERROR(VLOOKUP(Z1166,REPS!$A$2:$D$40,4,0),""))</f>
        <v/>
      </c>
      <c r="AB1166" s="14" t="str">
        <f aca="false">IF(O1166="","",IF(AA1166="",0,O1166*IF(AA1166&gt;1,AA1166/100,AA1166)))</f>
        <v/>
      </c>
      <c r="AC1166" s="14" t="str">
        <f aca="false">IF(O1166="","",V1166+Y1166+AB1166)</f>
        <v/>
      </c>
      <c r="AD1166" s="19" t="str">
        <f aca="false">IF(O1166="","",O1166-R1166-AC1166)</f>
        <v/>
      </c>
      <c r="AE1166" s="20"/>
      <c r="AF1166" s="10"/>
      <c r="AG1166" s="21" t="n">
        <f aca="false">IF(OR(AE1166="",AE1166=0),0,AE1166*IF(U1166="",0,IF(U1166&gt;1,U1166/100,U1166)))</f>
        <v>0</v>
      </c>
      <c r="AH1166" s="21" t="n">
        <f aca="false">IF(OR(AE1166="",AE1166=0),0,AE1166*IF(X1166="",0,IF(X1166&gt;1,X1166/100,X1166)))</f>
        <v>0</v>
      </c>
      <c r="AI1166" s="21" t="n">
        <f aca="false">IF(OR(AE1166="",AE1166=0),0,AE1166*IF(AA1166="",0,IF(AA1166&gt;1,AA1166/100,AA1166)))</f>
        <v>0</v>
      </c>
      <c r="AJ1166" s="21" t="n">
        <f aca="false">AG1166+AH1166+AI1166</f>
        <v>0</v>
      </c>
      <c r="AK1166" s="21" t="n">
        <f aca="false">IF(OR(AE1166="",AE1166=0),0,AE1166-AJ1166)</f>
        <v>0</v>
      </c>
      <c r="AL1166" s="19" t="str">
        <f aca="false">IF(AD1166="","",AD1166-AK1166)</f>
        <v/>
      </c>
      <c r="AM1166" s="9" t="str">
        <f aca="false">IF(C1166="","","Waiting for payment")</f>
        <v/>
      </c>
      <c r="AN1166" s="10"/>
      <c r="AO1166" s="10"/>
      <c r="AP1166" s="22" t="str">
        <f aca="false">IF(OR(C1166="",I1166="",K1166=""),"",IF(K1166="Monthly",EDATE(C1166,ROUND(I1166*SETTINGS!$I$8,0)),WORKDAY(C1166,ROUND(I1166*SETTINGS!$I$8,0))))</f>
        <v/>
      </c>
      <c r="AQ1166" s="9" t="str">
        <f aca="true">IF(C1166="","",IF(AND(AP1166&lt;&gt;"",TODAY()&gt;=AP1166),"Refi Ready",IF(TODAY()-C1166&gt;=SETTINGS!$I$11,"Prospecting","Performing")))</f>
        <v/>
      </c>
      <c r="AR1166" s="22" t="str">
        <f aca="false">IF(OR(C1166="",I1166="",K1166=""),"",IF(K1166="Monthly",EDATE(C1166,I1166),WORKDAY(C1166,I1166)))</f>
        <v/>
      </c>
      <c r="AS1166" s="11"/>
      <c r="AT1166" s="23" t="str">
        <f aca="true">IF(C1166="","",IF(AM1166="Clawed Back","CLAWED",IF(TODAY()&lt;=C1166+SETTINGS!$I$2,"⚠ AT RISK","SAFE")))</f>
        <v/>
      </c>
      <c r="AU1166" s="11"/>
      <c r="AW1166" s="24" t="n">
        <f aca="false">AW1165+IF(AND(C1166&lt;&gt;"",AO1166&lt;&gt;"",OR('REP COMMISSION'!$B$3="",T1166='REP COMMISSION'!$B$3,W1166='REP COMMISSION'!$B$3,Z1166='REP COMMISSION'!$B$3)),1,0)</f>
        <v>0</v>
      </c>
      <c r="AX1166" s="24" t="n">
        <f aca="false">AX1165+IF(AND(C1166&lt;&gt;"",OR(F1166="LOC - INITIAL",F1166="CONSOLIDATION - UPFRONT COMM",F1166="REVERSE - TOTAL FUNDING")),1,0)</f>
        <v>0</v>
      </c>
    </row>
    <row r="1167" customFormat="false" ht="15" hidden="false" customHeight="false" outlineLevel="0" collapsed="false">
      <c r="A1167" s="25" t="str">
        <f aca="false">IF(C1167&lt;&gt;"","F27-"&amp;COUNT($C$4:C1167),"")</f>
        <v/>
      </c>
      <c r="B1167" s="26" t="str">
        <f aca="false">IF(OR(F1167="LOC - INITIAL",F1167="CONSOLIDATION - UPFRONT COMM",F1167="REVERSE - TOTAL FUNDING"),A1167,"")</f>
        <v/>
      </c>
      <c r="C1167" s="27"/>
      <c r="D1167" s="28"/>
      <c r="E1167" s="28"/>
      <c r="F1167" s="28"/>
      <c r="G1167" s="29"/>
      <c r="H1167" s="30"/>
      <c r="I1167" s="28"/>
      <c r="J1167" s="31" t="str">
        <f aca="false">IF(AND(G1167&lt;&gt;"",H1167&lt;&gt;""),G1167*H1167,"")</f>
        <v/>
      </c>
      <c r="K1167" s="28"/>
      <c r="L1167" s="32"/>
      <c r="M1167" s="32"/>
      <c r="N1167" s="31" t="n">
        <f aca="false">IF(OR(G1167="",M1167=""),0,IF(M1167&gt;100,M1167,G1167*IF(M1167&gt;1,M1167/100,M1167)))</f>
        <v>0</v>
      </c>
      <c r="O1167" s="31" t="str">
        <f aca="false">IF(G1167="","",G1167*IF(L1167="",0,IF(L1167&gt;1,L1167/100,L1167))+N1167)</f>
        <v/>
      </c>
      <c r="P1167" s="28"/>
      <c r="Q1167" s="33" t="str">
        <f aca="false">IF(P1167="","",IFERROR(VLOOKUP(P1167,PARTNERS!$A$2:$B$30,2,0),""))</f>
        <v/>
      </c>
      <c r="R1167" s="17" t="str">
        <f aca="false">IF(O1167="","",IF(OR(P1167="",Q1167=""),0,(O1167-N1167)*IF(Q1167&gt;1,Q1167/100,Q1167)))</f>
        <v/>
      </c>
      <c r="S1167" s="31" t="str">
        <f aca="false">IF(O1167="","",O1167-R1167)</f>
        <v/>
      </c>
      <c r="T1167" s="28"/>
      <c r="U1167" s="34" t="str">
        <f aca="false">IF(T1167="","",IFERROR(VLOOKUP(T1167,REPS!$A$2:$D$40,2,0),""))</f>
        <v/>
      </c>
      <c r="V1167" s="31" t="str">
        <f aca="false">IF(O1167="","",IF(U1167="",0,O1167*IF(U1167&gt;1,U1167/100,U1167)))</f>
        <v/>
      </c>
      <c r="W1167" s="28"/>
      <c r="X1167" s="34" t="str">
        <f aca="false">IF(W1167="","",IFERROR(VLOOKUP(W1167,REPS!$A$2:$D$40,3,0),""))</f>
        <v/>
      </c>
      <c r="Y1167" s="31" t="str">
        <f aca="false">IF(O1167="","",IF(X1167="",0,O1167*IF(X1167&gt;1,X1167/100,X1167)))</f>
        <v/>
      </c>
      <c r="Z1167" s="28"/>
      <c r="AA1167" s="34" t="str">
        <f aca="false">IF(Z1167="","",IFERROR(VLOOKUP(Z1167,REPS!$A$2:$D$40,4,0),""))</f>
        <v/>
      </c>
      <c r="AB1167" s="31" t="str">
        <f aca="false">IF(O1167="","",IF(AA1167="",0,O1167*IF(AA1167&gt;1,AA1167/100,AA1167)))</f>
        <v/>
      </c>
      <c r="AC1167" s="31" t="str">
        <f aca="false">IF(O1167="","",V1167+Y1167+AB1167)</f>
        <v/>
      </c>
      <c r="AD1167" s="19" t="str">
        <f aca="false">IF(O1167="","",O1167-R1167-AC1167)</f>
        <v/>
      </c>
      <c r="AE1167" s="20"/>
      <c r="AF1167" s="27"/>
      <c r="AG1167" s="21" t="n">
        <f aca="false">IF(OR(AE1167="",AE1167=0),0,AE1167*IF(U1167="",0,IF(U1167&gt;1,U1167/100,U1167)))</f>
        <v>0</v>
      </c>
      <c r="AH1167" s="21" t="n">
        <f aca="false">IF(OR(AE1167="",AE1167=0),0,AE1167*IF(X1167="",0,IF(X1167&gt;1,X1167/100,X1167)))</f>
        <v>0</v>
      </c>
      <c r="AI1167" s="21" t="n">
        <f aca="false">IF(OR(AE1167="",AE1167=0),0,AE1167*IF(AA1167="",0,IF(AA1167&gt;1,AA1167/100,AA1167)))</f>
        <v>0</v>
      </c>
      <c r="AJ1167" s="21" t="n">
        <f aca="false">AG1167+AH1167+AI1167</f>
        <v>0</v>
      </c>
      <c r="AK1167" s="21" t="n">
        <f aca="false">IF(OR(AE1167="",AE1167=0),0,AE1167-AJ1167)</f>
        <v>0</v>
      </c>
      <c r="AL1167" s="19" t="str">
        <f aca="false">IF(AD1167="","",AD1167-AK1167)</f>
        <v/>
      </c>
      <c r="AM1167" s="26" t="str">
        <f aca="false">IF(C1167="","","Waiting for payment")</f>
        <v/>
      </c>
      <c r="AN1167" s="27"/>
      <c r="AO1167" s="27"/>
      <c r="AP1167" s="35" t="str">
        <f aca="false">IF(OR(C1167="",I1167="",K1167=""),"",IF(K1167="Monthly",EDATE(C1167,ROUND(I1167*SETTINGS!$I$8,0)),WORKDAY(C1167,ROUND(I1167*SETTINGS!$I$8,0))))</f>
        <v/>
      </c>
      <c r="AQ1167" s="26" t="str">
        <f aca="true">IF(C1167="","",IF(AND(AP1167&lt;&gt;"",TODAY()&gt;=AP1167),"Refi Ready",IF(TODAY()-C1167&gt;=SETTINGS!$I$11,"Prospecting","Performing")))</f>
        <v/>
      </c>
      <c r="AR1167" s="35" t="str">
        <f aca="false">IF(OR(C1167="",I1167="",K1167=""),"",IF(K1167="Monthly",EDATE(C1167,I1167),WORKDAY(C1167,I1167)))</f>
        <v/>
      </c>
      <c r="AS1167" s="28"/>
      <c r="AT1167" s="36" t="str">
        <f aca="true">IF(C1167="","",IF(AM1167="Clawed Back","CLAWED",IF(TODAY()&lt;=C1167+SETTINGS!$I$2,"⚠ AT RISK","SAFE")))</f>
        <v/>
      </c>
      <c r="AU1167" s="28"/>
      <c r="AW1167" s="24" t="n">
        <f aca="false">AW1166+IF(AND(C1167&lt;&gt;"",AO1167&lt;&gt;"",OR('REP COMMISSION'!$B$3="",T1167='REP COMMISSION'!$B$3,W1167='REP COMMISSION'!$B$3,Z1167='REP COMMISSION'!$B$3)),1,0)</f>
        <v>0</v>
      </c>
      <c r="AX1167" s="24" t="n">
        <f aca="false">AX1166+IF(AND(C1167&lt;&gt;"",OR(F1167="LOC - INITIAL",F1167="CONSOLIDATION - UPFRONT COMM",F1167="REVERSE - TOTAL FUNDING")),1,0)</f>
        <v>0</v>
      </c>
    </row>
    <row r="1168" customFormat="false" ht="15" hidden="false" customHeight="false" outlineLevel="0" collapsed="false">
      <c r="A1168" s="8" t="str">
        <f aca="false">IF(C1168&lt;&gt;"","F27-"&amp;COUNT($C$4:C1168),"")</f>
        <v/>
      </c>
      <c r="B1168" s="9" t="str">
        <f aca="false">IF(OR(F1168="LOC - INITIAL",F1168="CONSOLIDATION - UPFRONT COMM",F1168="REVERSE - TOTAL FUNDING"),A1168,"")</f>
        <v/>
      </c>
      <c r="C1168" s="10"/>
      <c r="D1168" s="11"/>
      <c r="E1168" s="11"/>
      <c r="F1168" s="11"/>
      <c r="G1168" s="12"/>
      <c r="H1168" s="13"/>
      <c r="I1168" s="11"/>
      <c r="J1168" s="14" t="str">
        <f aca="false">IF(AND(G1168&lt;&gt;"",H1168&lt;&gt;""),G1168*H1168,"")</f>
        <v/>
      </c>
      <c r="K1168" s="11"/>
      <c r="L1168" s="15"/>
      <c r="M1168" s="15"/>
      <c r="N1168" s="14" t="n">
        <f aca="false">IF(OR(G1168="",M1168=""),0,IF(M1168&gt;100,M1168,G1168*IF(M1168&gt;1,M1168/100,M1168)))</f>
        <v>0</v>
      </c>
      <c r="O1168" s="14" t="str">
        <f aca="false">IF(G1168="","",G1168*IF(L1168="",0,IF(L1168&gt;1,L1168/100,L1168))+N1168)</f>
        <v/>
      </c>
      <c r="P1168" s="11"/>
      <c r="Q1168" s="16" t="str">
        <f aca="false">IF(P1168="","",IFERROR(VLOOKUP(P1168,PARTNERS!$A$2:$B$30,2,0),""))</f>
        <v/>
      </c>
      <c r="R1168" s="17" t="str">
        <f aca="false">IF(O1168="","",IF(OR(P1168="",Q1168=""),0,(O1168-N1168)*IF(Q1168&gt;1,Q1168/100,Q1168)))</f>
        <v/>
      </c>
      <c r="S1168" s="14" t="str">
        <f aca="false">IF(O1168="","",O1168-R1168)</f>
        <v/>
      </c>
      <c r="T1168" s="11"/>
      <c r="U1168" s="18" t="str">
        <f aca="false">IF(T1168="","",IFERROR(VLOOKUP(T1168,REPS!$A$2:$D$40,2,0),""))</f>
        <v/>
      </c>
      <c r="V1168" s="14" t="str">
        <f aca="false">IF(O1168="","",IF(U1168="",0,O1168*IF(U1168&gt;1,U1168/100,U1168)))</f>
        <v/>
      </c>
      <c r="W1168" s="11"/>
      <c r="X1168" s="18" t="str">
        <f aca="false">IF(W1168="","",IFERROR(VLOOKUP(W1168,REPS!$A$2:$D$40,3,0),""))</f>
        <v/>
      </c>
      <c r="Y1168" s="14" t="str">
        <f aca="false">IF(O1168="","",IF(X1168="",0,O1168*IF(X1168&gt;1,X1168/100,X1168)))</f>
        <v/>
      </c>
      <c r="Z1168" s="11"/>
      <c r="AA1168" s="18" t="str">
        <f aca="false">IF(Z1168="","",IFERROR(VLOOKUP(Z1168,REPS!$A$2:$D$40,4,0),""))</f>
        <v/>
      </c>
      <c r="AB1168" s="14" t="str">
        <f aca="false">IF(O1168="","",IF(AA1168="",0,O1168*IF(AA1168&gt;1,AA1168/100,AA1168)))</f>
        <v/>
      </c>
      <c r="AC1168" s="14" t="str">
        <f aca="false">IF(O1168="","",V1168+Y1168+AB1168)</f>
        <v/>
      </c>
      <c r="AD1168" s="19" t="str">
        <f aca="false">IF(O1168="","",O1168-R1168-AC1168)</f>
        <v/>
      </c>
      <c r="AE1168" s="20"/>
      <c r="AF1168" s="10"/>
      <c r="AG1168" s="21" t="n">
        <f aca="false">IF(OR(AE1168="",AE1168=0),0,AE1168*IF(U1168="",0,IF(U1168&gt;1,U1168/100,U1168)))</f>
        <v>0</v>
      </c>
      <c r="AH1168" s="21" t="n">
        <f aca="false">IF(OR(AE1168="",AE1168=0),0,AE1168*IF(X1168="",0,IF(X1168&gt;1,X1168/100,X1168)))</f>
        <v>0</v>
      </c>
      <c r="AI1168" s="21" t="n">
        <f aca="false">IF(OR(AE1168="",AE1168=0),0,AE1168*IF(AA1168="",0,IF(AA1168&gt;1,AA1168/100,AA1168)))</f>
        <v>0</v>
      </c>
      <c r="AJ1168" s="21" t="n">
        <f aca="false">AG1168+AH1168+AI1168</f>
        <v>0</v>
      </c>
      <c r="AK1168" s="21" t="n">
        <f aca="false">IF(OR(AE1168="",AE1168=0),0,AE1168-AJ1168)</f>
        <v>0</v>
      </c>
      <c r="AL1168" s="19" t="str">
        <f aca="false">IF(AD1168="","",AD1168-AK1168)</f>
        <v/>
      </c>
      <c r="AM1168" s="9" t="str">
        <f aca="false">IF(C1168="","","Waiting for payment")</f>
        <v/>
      </c>
      <c r="AN1168" s="10"/>
      <c r="AO1168" s="10"/>
      <c r="AP1168" s="22" t="str">
        <f aca="false">IF(OR(C1168="",I1168="",K1168=""),"",IF(K1168="Monthly",EDATE(C1168,ROUND(I1168*SETTINGS!$I$8,0)),WORKDAY(C1168,ROUND(I1168*SETTINGS!$I$8,0))))</f>
        <v/>
      </c>
      <c r="AQ1168" s="9" t="str">
        <f aca="true">IF(C1168="","",IF(AND(AP1168&lt;&gt;"",TODAY()&gt;=AP1168),"Refi Ready",IF(TODAY()-C1168&gt;=SETTINGS!$I$11,"Prospecting","Performing")))</f>
        <v/>
      </c>
      <c r="AR1168" s="22" t="str">
        <f aca="false">IF(OR(C1168="",I1168="",K1168=""),"",IF(K1168="Monthly",EDATE(C1168,I1168),WORKDAY(C1168,I1168)))</f>
        <v/>
      </c>
      <c r="AS1168" s="11"/>
      <c r="AT1168" s="23" t="str">
        <f aca="true">IF(C1168="","",IF(AM1168="Clawed Back","CLAWED",IF(TODAY()&lt;=C1168+SETTINGS!$I$2,"⚠ AT RISK","SAFE")))</f>
        <v/>
      </c>
      <c r="AU1168" s="11"/>
      <c r="AW1168" s="24" t="n">
        <f aca="false">AW1167+IF(AND(C1168&lt;&gt;"",AO1168&lt;&gt;"",OR('REP COMMISSION'!$B$3="",T1168='REP COMMISSION'!$B$3,W1168='REP COMMISSION'!$B$3,Z1168='REP COMMISSION'!$B$3)),1,0)</f>
        <v>0</v>
      </c>
      <c r="AX1168" s="24" t="n">
        <f aca="false">AX1167+IF(AND(C1168&lt;&gt;"",OR(F1168="LOC - INITIAL",F1168="CONSOLIDATION - UPFRONT COMM",F1168="REVERSE - TOTAL FUNDING")),1,0)</f>
        <v>0</v>
      </c>
    </row>
    <row r="1169" customFormat="false" ht="15" hidden="false" customHeight="false" outlineLevel="0" collapsed="false">
      <c r="A1169" s="25" t="str">
        <f aca="false">IF(C1169&lt;&gt;"","F27-"&amp;COUNT($C$4:C1169),"")</f>
        <v/>
      </c>
      <c r="B1169" s="26" t="str">
        <f aca="false">IF(OR(F1169="LOC - INITIAL",F1169="CONSOLIDATION - UPFRONT COMM",F1169="REVERSE - TOTAL FUNDING"),A1169,"")</f>
        <v/>
      </c>
      <c r="C1169" s="27"/>
      <c r="D1169" s="28"/>
      <c r="E1169" s="28"/>
      <c r="F1169" s="28"/>
      <c r="G1169" s="29"/>
      <c r="H1169" s="30"/>
      <c r="I1169" s="28"/>
      <c r="J1169" s="31" t="str">
        <f aca="false">IF(AND(G1169&lt;&gt;"",H1169&lt;&gt;""),G1169*H1169,"")</f>
        <v/>
      </c>
      <c r="K1169" s="28"/>
      <c r="L1169" s="32"/>
      <c r="M1169" s="32"/>
      <c r="N1169" s="31" t="n">
        <f aca="false">IF(OR(G1169="",M1169=""),0,IF(M1169&gt;100,M1169,G1169*IF(M1169&gt;1,M1169/100,M1169)))</f>
        <v>0</v>
      </c>
      <c r="O1169" s="31" t="str">
        <f aca="false">IF(G1169="","",G1169*IF(L1169="",0,IF(L1169&gt;1,L1169/100,L1169))+N1169)</f>
        <v/>
      </c>
      <c r="P1169" s="28"/>
      <c r="Q1169" s="33" t="str">
        <f aca="false">IF(P1169="","",IFERROR(VLOOKUP(P1169,PARTNERS!$A$2:$B$30,2,0),""))</f>
        <v/>
      </c>
      <c r="R1169" s="17" t="str">
        <f aca="false">IF(O1169="","",IF(OR(P1169="",Q1169=""),0,(O1169-N1169)*IF(Q1169&gt;1,Q1169/100,Q1169)))</f>
        <v/>
      </c>
      <c r="S1169" s="31" t="str">
        <f aca="false">IF(O1169="","",O1169-R1169)</f>
        <v/>
      </c>
      <c r="T1169" s="28"/>
      <c r="U1169" s="34" t="str">
        <f aca="false">IF(T1169="","",IFERROR(VLOOKUP(T1169,REPS!$A$2:$D$40,2,0),""))</f>
        <v/>
      </c>
      <c r="V1169" s="31" t="str">
        <f aca="false">IF(O1169="","",IF(U1169="",0,O1169*IF(U1169&gt;1,U1169/100,U1169)))</f>
        <v/>
      </c>
      <c r="W1169" s="28"/>
      <c r="X1169" s="34" t="str">
        <f aca="false">IF(W1169="","",IFERROR(VLOOKUP(W1169,REPS!$A$2:$D$40,3,0),""))</f>
        <v/>
      </c>
      <c r="Y1169" s="31" t="str">
        <f aca="false">IF(O1169="","",IF(X1169="",0,O1169*IF(X1169&gt;1,X1169/100,X1169)))</f>
        <v/>
      </c>
      <c r="Z1169" s="28"/>
      <c r="AA1169" s="34" t="str">
        <f aca="false">IF(Z1169="","",IFERROR(VLOOKUP(Z1169,REPS!$A$2:$D$40,4,0),""))</f>
        <v/>
      </c>
      <c r="AB1169" s="31" t="str">
        <f aca="false">IF(O1169="","",IF(AA1169="",0,O1169*IF(AA1169&gt;1,AA1169/100,AA1169)))</f>
        <v/>
      </c>
      <c r="AC1169" s="31" t="str">
        <f aca="false">IF(O1169="","",V1169+Y1169+AB1169)</f>
        <v/>
      </c>
      <c r="AD1169" s="19" t="str">
        <f aca="false">IF(O1169="","",O1169-R1169-AC1169)</f>
        <v/>
      </c>
      <c r="AE1169" s="20"/>
      <c r="AF1169" s="27"/>
      <c r="AG1169" s="21" t="n">
        <f aca="false">IF(OR(AE1169="",AE1169=0),0,AE1169*IF(U1169="",0,IF(U1169&gt;1,U1169/100,U1169)))</f>
        <v>0</v>
      </c>
      <c r="AH1169" s="21" t="n">
        <f aca="false">IF(OR(AE1169="",AE1169=0),0,AE1169*IF(X1169="",0,IF(X1169&gt;1,X1169/100,X1169)))</f>
        <v>0</v>
      </c>
      <c r="AI1169" s="21" t="n">
        <f aca="false">IF(OR(AE1169="",AE1169=0),0,AE1169*IF(AA1169="",0,IF(AA1169&gt;1,AA1169/100,AA1169)))</f>
        <v>0</v>
      </c>
      <c r="AJ1169" s="21" t="n">
        <f aca="false">AG1169+AH1169+AI1169</f>
        <v>0</v>
      </c>
      <c r="AK1169" s="21" t="n">
        <f aca="false">IF(OR(AE1169="",AE1169=0),0,AE1169-AJ1169)</f>
        <v>0</v>
      </c>
      <c r="AL1169" s="19" t="str">
        <f aca="false">IF(AD1169="","",AD1169-AK1169)</f>
        <v/>
      </c>
      <c r="AM1169" s="26" t="str">
        <f aca="false">IF(C1169="","","Waiting for payment")</f>
        <v/>
      </c>
      <c r="AN1169" s="27"/>
      <c r="AO1169" s="27"/>
      <c r="AP1169" s="35" t="str">
        <f aca="false">IF(OR(C1169="",I1169="",K1169=""),"",IF(K1169="Monthly",EDATE(C1169,ROUND(I1169*SETTINGS!$I$8,0)),WORKDAY(C1169,ROUND(I1169*SETTINGS!$I$8,0))))</f>
        <v/>
      </c>
      <c r="AQ1169" s="26" t="str">
        <f aca="true">IF(C1169="","",IF(AND(AP1169&lt;&gt;"",TODAY()&gt;=AP1169),"Refi Ready",IF(TODAY()-C1169&gt;=SETTINGS!$I$11,"Prospecting","Performing")))</f>
        <v/>
      </c>
      <c r="AR1169" s="35" t="str">
        <f aca="false">IF(OR(C1169="",I1169="",K1169=""),"",IF(K1169="Monthly",EDATE(C1169,I1169),WORKDAY(C1169,I1169)))</f>
        <v/>
      </c>
      <c r="AS1169" s="28"/>
      <c r="AT1169" s="36" t="str">
        <f aca="true">IF(C1169="","",IF(AM1169="Clawed Back","CLAWED",IF(TODAY()&lt;=C1169+SETTINGS!$I$2,"⚠ AT RISK","SAFE")))</f>
        <v/>
      </c>
      <c r="AU1169" s="28"/>
      <c r="AW1169" s="24" t="n">
        <f aca="false">AW1168+IF(AND(C1169&lt;&gt;"",AO1169&lt;&gt;"",OR('REP COMMISSION'!$B$3="",T1169='REP COMMISSION'!$B$3,W1169='REP COMMISSION'!$B$3,Z1169='REP COMMISSION'!$B$3)),1,0)</f>
        <v>0</v>
      </c>
      <c r="AX1169" s="24" t="n">
        <f aca="false">AX1168+IF(AND(C1169&lt;&gt;"",OR(F1169="LOC - INITIAL",F1169="CONSOLIDATION - UPFRONT COMM",F1169="REVERSE - TOTAL FUNDING")),1,0)</f>
        <v>0</v>
      </c>
    </row>
    <row r="1170" customFormat="false" ht="15" hidden="false" customHeight="false" outlineLevel="0" collapsed="false">
      <c r="A1170" s="8" t="str">
        <f aca="false">IF(C1170&lt;&gt;"","F27-"&amp;COUNT($C$4:C1170),"")</f>
        <v/>
      </c>
      <c r="B1170" s="9" t="str">
        <f aca="false">IF(OR(F1170="LOC - INITIAL",F1170="CONSOLIDATION - UPFRONT COMM",F1170="REVERSE - TOTAL FUNDING"),A1170,"")</f>
        <v/>
      </c>
      <c r="C1170" s="10"/>
      <c r="D1170" s="11"/>
      <c r="E1170" s="11"/>
      <c r="F1170" s="11"/>
      <c r="G1170" s="12"/>
      <c r="H1170" s="13"/>
      <c r="I1170" s="11"/>
      <c r="J1170" s="14" t="str">
        <f aca="false">IF(AND(G1170&lt;&gt;"",H1170&lt;&gt;""),G1170*H1170,"")</f>
        <v/>
      </c>
      <c r="K1170" s="11"/>
      <c r="L1170" s="15"/>
      <c r="M1170" s="15"/>
      <c r="N1170" s="14" t="n">
        <f aca="false">IF(OR(G1170="",M1170=""),0,IF(M1170&gt;100,M1170,G1170*IF(M1170&gt;1,M1170/100,M1170)))</f>
        <v>0</v>
      </c>
      <c r="O1170" s="14" t="str">
        <f aca="false">IF(G1170="","",G1170*IF(L1170="",0,IF(L1170&gt;1,L1170/100,L1170))+N1170)</f>
        <v/>
      </c>
      <c r="P1170" s="11"/>
      <c r="Q1170" s="16" t="str">
        <f aca="false">IF(P1170="","",IFERROR(VLOOKUP(P1170,PARTNERS!$A$2:$B$30,2,0),""))</f>
        <v/>
      </c>
      <c r="R1170" s="17" t="str">
        <f aca="false">IF(O1170="","",IF(OR(P1170="",Q1170=""),0,(O1170-N1170)*IF(Q1170&gt;1,Q1170/100,Q1170)))</f>
        <v/>
      </c>
      <c r="S1170" s="14" t="str">
        <f aca="false">IF(O1170="","",O1170-R1170)</f>
        <v/>
      </c>
      <c r="T1170" s="11"/>
      <c r="U1170" s="18" t="str">
        <f aca="false">IF(T1170="","",IFERROR(VLOOKUP(T1170,REPS!$A$2:$D$40,2,0),""))</f>
        <v/>
      </c>
      <c r="V1170" s="14" t="str">
        <f aca="false">IF(O1170="","",IF(U1170="",0,O1170*IF(U1170&gt;1,U1170/100,U1170)))</f>
        <v/>
      </c>
      <c r="W1170" s="11"/>
      <c r="X1170" s="18" t="str">
        <f aca="false">IF(W1170="","",IFERROR(VLOOKUP(W1170,REPS!$A$2:$D$40,3,0),""))</f>
        <v/>
      </c>
      <c r="Y1170" s="14" t="str">
        <f aca="false">IF(O1170="","",IF(X1170="",0,O1170*IF(X1170&gt;1,X1170/100,X1170)))</f>
        <v/>
      </c>
      <c r="Z1170" s="11"/>
      <c r="AA1170" s="18" t="str">
        <f aca="false">IF(Z1170="","",IFERROR(VLOOKUP(Z1170,REPS!$A$2:$D$40,4,0),""))</f>
        <v/>
      </c>
      <c r="AB1170" s="14" t="str">
        <f aca="false">IF(O1170="","",IF(AA1170="",0,O1170*IF(AA1170&gt;1,AA1170/100,AA1170)))</f>
        <v/>
      </c>
      <c r="AC1170" s="14" t="str">
        <f aca="false">IF(O1170="","",V1170+Y1170+AB1170)</f>
        <v/>
      </c>
      <c r="AD1170" s="19" t="str">
        <f aca="false">IF(O1170="","",O1170-R1170-AC1170)</f>
        <v/>
      </c>
      <c r="AE1170" s="20"/>
      <c r="AF1170" s="10"/>
      <c r="AG1170" s="21" t="n">
        <f aca="false">IF(OR(AE1170="",AE1170=0),0,AE1170*IF(U1170="",0,IF(U1170&gt;1,U1170/100,U1170)))</f>
        <v>0</v>
      </c>
      <c r="AH1170" s="21" t="n">
        <f aca="false">IF(OR(AE1170="",AE1170=0),0,AE1170*IF(X1170="",0,IF(X1170&gt;1,X1170/100,X1170)))</f>
        <v>0</v>
      </c>
      <c r="AI1170" s="21" t="n">
        <f aca="false">IF(OR(AE1170="",AE1170=0),0,AE1170*IF(AA1170="",0,IF(AA1170&gt;1,AA1170/100,AA1170)))</f>
        <v>0</v>
      </c>
      <c r="AJ1170" s="21" t="n">
        <f aca="false">AG1170+AH1170+AI1170</f>
        <v>0</v>
      </c>
      <c r="AK1170" s="21" t="n">
        <f aca="false">IF(OR(AE1170="",AE1170=0),0,AE1170-AJ1170)</f>
        <v>0</v>
      </c>
      <c r="AL1170" s="19" t="str">
        <f aca="false">IF(AD1170="","",AD1170-AK1170)</f>
        <v/>
      </c>
      <c r="AM1170" s="9" t="str">
        <f aca="false">IF(C1170="","","Waiting for payment")</f>
        <v/>
      </c>
      <c r="AN1170" s="10"/>
      <c r="AO1170" s="10"/>
      <c r="AP1170" s="22" t="str">
        <f aca="false">IF(OR(C1170="",I1170="",K1170=""),"",IF(K1170="Monthly",EDATE(C1170,ROUND(I1170*SETTINGS!$I$8,0)),WORKDAY(C1170,ROUND(I1170*SETTINGS!$I$8,0))))</f>
        <v/>
      </c>
      <c r="AQ1170" s="9" t="str">
        <f aca="true">IF(C1170="","",IF(AND(AP1170&lt;&gt;"",TODAY()&gt;=AP1170),"Refi Ready",IF(TODAY()-C1170&gt;=SETTINGS!$I$11,"Prospecting","Performing")))</f>
        <v/>
      </c>
      <c r="AR1170" s="22" t="str">
        <f aca="false">IF(OR(C1170="",I1170="",K1170=""),"",IF(K1170="Monthly",EDATE(C1170,I1170),WORKDAY(C1170,I1170)))</f>
        <v/>
      </c>
      <c r="AS1170" s="11"/>
      <c r="AT1170" s="23" t="str">
        <f aca="true">IF(C1170="","",IF(AM1170="Clawed Back","CLAWED",IF(TODAY()&lt;=C1170+SETTINGS!$I$2,"⚠ AT RISK","SAFE")))</f>
        <v/>
      </c>
      <c r="AU1170" s="11"/>
      <c r="AW1170" s="24" t="n">
        <f aca="false">AW1169+IF(AND(C1170&lt;&gt;"",AO1170&lt;&gt;"",OR('REP COMMISSION'!$B$3="",T1170='REP COMMISSION'!$B$3,W1170='REP COMMISSION'!$B$3,Z1170='REP COMMISSION'!$B$3)),1,0)</f>
        <v>0</v>
      </c>
      <c r="AX1170" s="24" t="n">
        <f aca="false">AX1169+IF(AND(C1170&lt;&gt;"",OR(F1170="LOC - INITIAL",F1170="CONSOLIDATION - UPFRONT COMM",F1170="REVERSE - TOTAL FUNDING")),1,0)</f>
        <v>0</v>
      </c>
    </row>
    <row r="1171" customFormat="false" ht="15" hidden="false" customHeight="false" outlineLevel="0" collapsed="false">
      <c r="A1171" s="25" t="str">
        <f aca="false">IF(C1171&lt;&gt;"","F27-"&amp;COUNT($C$4:C1171),"")</f>
        <v/>
      </c>
      <c r="B1171" s="26" t="str">
        <f aca="false">IF(OR(F1171="LOC - INITIAL",F1171="CONSOLIDATION - UPFRONT COMM",F1171="REVERSE - TOTAL FUNDING"),A1171,"")</f>
        <v/>
      </c>
      <c r="C1171" s="27"/>
      <c r="D1171" s="28"/>
      <c r="E1171" s="28"/>
      <c r="F1171" s="28"/>
      <c r="G1171" s="29"/>
      <c r="H1171" s="30"/>
      <c r="I1171" s="28"/>
      <c r="J1171" s="31" t="str">
        <f aca="false">IF(AND(G1171&lt;&gt;"",H1171&lt;&gt;""),G1171*H1171,"")</f>
        <v/>
      </c>
      <c r="K1171" s="28"/>
      <c r="L1171" s="32"/>
      <c r="M1171" s="32"/>
      <c r="N1171" s="31" t="n">
        <f aca="false">IF(OR(G1171="",M1171=""),0,IF(M1171&gt;100,M1171,G1171*IF(M1171&gt;1,M1171/100,M1171)))</f>
        <v>0</v>
      </c>
      <c r="O1171" s="31" t="str">
        <f aca="false">IF(G1171="","",G1171*IF(L1171="",0,IF(L1171&gt;1,L1171/100,L1171))+N1171)</f>
        <v/>
      </c>
      <c r="P1171" s="28"/>
      <c r="Q1171" s="33" t="str">
        <f aca="false">IF(P1171="","",IFERROR(VLOOKUP(P1171,PARTNERS!$A$2:$B$30,2,0),""))</f>
        <v/>
      </c>
      <c r="R1171" s="17" t="str">
        <f aca="false">IF(O1171="","",IF(OR(P1171="",Q1171=""),0,(O1171-N1171)*IF(Q1171&gt;1,Q1171/100,Q1171)))</f>
        <v/>
      </c>
      <c r="S1171" s="31" t="str">
        <f aca="false">IF(O1171="","",O1171-R1171)</f>
        <v/>
      </c>
      <c r="T1171" s="28"/>
      <c r="U1171" s="34" t="str">
        <f aca="false">IF(T1171="","",IFERROR(VLOOKUP(T1171,REPS!$A$2:$D$40,2,0),""))</f>
        <v/>
      </c>
      <c r="V1171" s="31" t="str">
        <f aca="false">IF(O1171="","",IF(U1171="",0,O1171*IF(U1171&gt;1,U1171/100,U1171)))</f>
        <v/>
      </c>
      <c r="W1171" s="28"/>
      <c r="X1171" s="34" t="str">
        <f aca="false">IF(W1171="","",IFERROR(VLOOKUP(W1171,REPS!$A$2:$D$40,3,0),""))</f>
        <v/>
      </c>
      <c r="Y1171" s="31" t="str">
        <f aca="false">IF(O1171="","",IF(X1171="",0,O1171*IF(X1171&gt;1,X1171/100,X1171)))</f>
        <v/>
      </c>
      <c r="Z1171" s="28"/>
      <c r="AA1171" s="34" t="str">
        <f aca="false">IF(Z1171="","",IFERROR(VLOOKUP(Z1171,REPS!$A$2:$D$40,4,0),""))</f>
        <v/>
      </c>
      <c r="AB1171" s="31" t="str">
        <f aca="false">IF(O1171="","",IF(AA1171="",0,O1171*IF(AA1171&gt;1,AA1171/100,AA1171)))</f>
        <v/>
      </c>
      <c r="AC1171" s="31" t="str">
        <f aca="false">IF(O1171="","",V1171+Y1171+AB1171)</f>
        <v/>
      </c>
      <c r="AD1171" s="19" t="str">
        <f aca="false">IF(O1171="","",O1171-R1171-AC1171)</f>
        <v/>
      </c>
      <c r="AE1171" s="20"/>
      <c r="AF1171" s="27"/>
      <c r="AG1171" s="21" t="n">
        <f aca="false">IF(OR(AE1171="",AE1171=0),0,AE1171*IF(U1171="",0,IF(U1171&gt;1,U1171/100,U1171)))</f>
        <v>0</v>
      </c>
      <c r="AH1171" s="21" t="n">
        <f aca="false">IF(OR(AE1171="",AE1171=0),0,AE1171*IF(X1171="",0,IF(X1171&gt;1,X1171/100,X1171)))</f>
        <v>0</v>
      </c>
      <c r="AI1171" s="21" t="n">
        <f aca="false">IF(OR(AE1171="",AE1171=0),0,AE1171*IF(AA1171="",0,IF(AA1171&gt;1,AA1171/100,AA1171)))</f>
        <v>0</v>
      </c>
      <c r="AJ1171" s="21" t="n">
        <f aca="false">AG1171+AH1171+AI1171</f>
        <v>0</v>
      </c>
      <c r="AK1171" s="21" t="n">
        <f aca="false">IF(OR(AE1171="",AE1171=0),0,AE1171-AJ1171)</f>
        <v>0</v>
      </c>
      <c r="AL1171" s="19" t="str">
        <f aca="false">IF(AD1171="","",AD1171-AK1171)</f>
        <v/>
      </c>
      <c r="AM1171" s="26" t="str">
        <f aca="false">IF(C1171="","","Waiting for payment")</f>
        <v/>
      </c>
      <c r="AN1171" s="27"/>
      <c r="AO1171" s="27"/>
      <c r="AP1171" s="35" t="str">
        <f aca="false">IF(OR(C1171="",I1171="",K1171=""),"",IF(K1171="Monthly",EDATE(C1171,ROUND(I1171*SETTINGS!$I$8,0)),WORKDAY(C1171,ROUND(I1171*SETTINGS!$I$8,0))))</f>
        <v/>
      </c>
      <c r="AQ1171" s="26" t="str">
        <f aca="true">IF(C1171="","",IF(AND(AP1171&lt;&gt;"",TODAY()&gt;=AP1171),"Refi Ready",IF(TODAY()-C1171&gt;=SETTINGS!$I$11,"Prospecting","Performing")))</f>
        <v/>
      </c>
      <c r="AR1171" s="35" t="str">
        <f aca="false">IF(OR(C1171="",I1171="",K1171=""),"",IF(K1171="Monthly",EDATE(C1171,I1171),WORKDAY(C1171,I1171)))</f>
        <v/>
      </c>
      <c r="AS1171" s="28"/>
      <c r="AT1171" s="36" t="str">
        <f aca="true">IF(C1171="","",IF(AM1171="Clawed Back","CLAWED",IF(TODAY()&lt;=C1171+SETTINGS!$I$2,"⚠ AT RISK","SAFE")))</f>
        <v/>
      </c>
      <c r="AU1171" s="28"/>
      <c r="AW1171" s="24" t="n">
        <f aca="false">AW1170+IF(AND(C1171&lt;&gt;"",AO1171&lt;&gt;"",OR('REP COMMISSION'!$B$3="",T1171='REP COMMISSION'!$B$3,W1171='REP COMMISSION'!$B$3,Z1171='REP COMMISSION'!$B$3)),1,0)</f>
        <v>0</v>
      </c>
      <c r="AX1171" s="24" t="n">
        <f aca="false">AX1170+IF(AND(C1171&lt;&gt;"",OR(F1171="LOC - INITIAL",F1171="CONSOLIDATION - UPFRONT COMM",F1171="REVERSE - TOTAL FUNDING")),1,0)</f>
        <v>0</v>
      </c>
    </row>
    <row r="1172" customFormat="false" ht="15" hidden="false" customHeight="false" outlineLevel="0" collapsed="false">
      <c r="A1172" s="8" t="str">
        <f aca="false">IF(C1172&lt;&gt;"","F27-"&amp;COUNT($C$4:C1172),"")</f>
        <v/>
      </c>
      <c r="B1172" s="9" t="str">
        <f aca="false">IF(OR(F1172="LOC - INITIAL",F1172="CONSOLIDATION - UPFRONT COMM",F1172="REVERSE - TOTAL FUNDING"),A1172,"")</f>
        <v/>
      </c>
      <c r="C1172" s="10"/>
      <c r="D1172" s="11"/>
      <c r="E1172" s="11"/>
      <c r="F1172" s="11"/>
      <c r="G1172" s="12"/>
      <c r="H1172" s="13"/>
      <c r="I1172" s="11"/>
      <c r="J1172" s="14" t="str">
        <f aca="false">IF(AND(G1172&lt;&gt;"",H1172&lt;&gt;""),G1172*H1172,"")</f>
        <v/>
      </c>
      <c r="K1172" s="11"/>
      <c r="L1172" s="15"/>
      <c r="M1172" s="15"/>
      <c r="N1172" s="14" t="n">
        <f aca="false">IF(OR(G1172="",M1172=""),0,IF(M1172&gt;100,M1172,G1172*IF(M1172&gt;1,M1172/100,M1172)))</f>
        <v>0</v>
      </c>
      <c r="O1172" s="14" t="str">
        <f aca="false">IF(G1172="","",G1172*IF(L1172="",0,IF(L1172&gt;1,L1172/100,L1172))+N1172)</f>
        <v/>
      </c>
      <c r="P1172" s="11"/>
      <c r="Q1172" s="16" t="str">
        <f aca="false">IF(P1172="","",IFERROR(VLOOKUP(P1172,PARTNERS!$A$2:$B$30,2,0),""))</f>
        <v/>
      </c>
      <c r="R1172" s="17" t="str">
        <f aca="false">IF(O1172="","",IF(OR(P1172="",Q1172=""),0,(O1172-N1172)*IF(Q1172&gt;1,Q1172/100,Q1172)))</f>
        <v/>
      </c>
      <c r="S1172" s="14" t="str">
        <f aca="false">IF(O1172="","",O1172-R1172)</f>
        <v/>
      </c>
      <c r="T1172" s="11"/>
      <c r="U1172" s="18" t="str">
        <f aca="false">IF(T1172="","",IFERROR(VLOOKUP(T1172,REPS!$A$2:$D$40,2,0),""))</f>
        <v/>
      </c>
      <c r="V1172" s="14" t="str">
        <f aca="false">IF(O1172="","",IF(U1172="",0,O1172*IF(U1172&gt;1,U1172/100,U1172)))</f>
        <v/>
      </c>
      <c r="W1172" s="11"/>
      <c r="X1172" s="18" t="str">
        <f aca="false">IF(W1172="","",IFERROR(VLOOKUP(W1172,REPS!$A$2:$D$40,3,0),""))</f>
        <v/>
      </c>
      <c r="Y1172" s="14" t="str">
        <f aca="false">IF(O1172="","",IF(X1172="",0,O1172*IF(X1172&gt;1,X1172/100,X1172)))</f>
        <v/>
      </c>
      <c r="Z1172" s="11"/>
      <c r="AA1172" s="18" t="str">
        <f aca="false">IF(Z1172="","",IFERROR(VLOOKUP(Z1172,REPS!$A$2:$D$40,4,0),""))</f>
        <v/>
      </c>
      <c r="AB1172" s="14" t="str">
        <f aca="false">IF(O1172="","",IF(AA1172="",0,O1172*IF(AA1172&gt;1,AA1172/100,AA1172)))</f>
        <v/>
      </c>
      <c r="AC1172" s="14" t="str">
        <f aca="false">IF(O1172="","",V1172+Y1172+AB1172)</f>
        <v/>
      </c>
      <c r="AD1172" s="19" t="str">
        <f aca="false">IF(O1172="","",O1172-R1172-AC1172)</f>
        <v/>
      </c>
      <c r="AE1172" s="20"/>
      <c r="AF1172" s="10"/>
      <c r="AG1172" s="21" t="n">
        <f aca="false">IF(OR(AE1172="",AE1172=0),0,AE1172*IF(U1172="",0,IF(U1172&gt;1,U1172/100,U1172)))</f>
        <v>0</v>
      </c>
      <c r="AH1172" s="21" t="n">
        <f aca="false">IF(OR(AE1172="",AE1172=0),0,AE1172*IF(X1172="",0,IF(X1172&gt;1,X1172/100,X1172)))</f>
        <v>0</v>
      </c>
      <c r="AI1172" s="21" t="n">
        <f aca="false">IF(OR(AE1172="",AE1172=0),0,AE1172*IF(AA1172="",0,IF(AA1172&gt;1,AA1172/100,AA1172)))</f>
        <v>0</v>
      </c>
      <c r="AJ1172" s="21" t="n">
        <f aca="false">AG1172+AH1172+AI1172</f>
        <v>0</v>
      </c>
      <c r="AK1172" s="21" t="n">
        <f aca="false">IF(OR(AE1172="",AE1172=0),0,AE1172-AJ1172)</f>
        <v>0</v>
      </c>
      <c r="AL1172" s="19" t="str">
        <f aca="false">IF(AD1172="","",AD1172-AK1172)</f>
        <v/>
      </c>
      <c r="AM1172" s="9" t="str">
        <f aca="false">IF(C1172="","","Waiting for payment")</f>
        <v/>
      </c>
      <c r="AN1172" s="10"/>
      <c r="AO1172" s="10"/>
      <c r="AP1172" s="22" t="str">
        <f aca="false">IF(OR(C1172="",I1172="",K1172=""),"",IF(K1172="Monthly",EDATE(C1172,ROUND(I1172*SETTINGS!$I$8,0)),WORKDAY(C1172,ROUND(I1172*SETTINGS!$I$8,0))))</f>
        <v/>
      </c>
      <c r="AQ1172" s="9" t="str">
        <f aca="true">IF(C1172="","",IF(AND(AP1172&lt;&gt;"",TODAY()&gt;=AP1172),"Refi Ready",IF(TODAY()-C1172&gt;=SETTINGS!$I$11,"Prospecting","Performing")))</f>
        <v/>
      </c>
      <c r="AR1172" s="22" t="str">
        <f aca="false">IF(OR(C1172="",I1172="",K1172=""),"",IF(K1172="Monthly",EDATE(C1172,I1172),WORKDAY(C1172,I1172)))</f>
        <v/>
      </c>
      <c r="AS1172" s="11"/>
      <c r="AT1172" s="23" t="str">
        <f aca="true">IF(C1172="","",IF(AM1172="Clawed Back","CLAWED",IF(TODAY()&lt;=C1172+SETTINGS!$I$2,"⚠ AT RISK","SAFE")))</f>
        <v/>
      </c>
      <c r="AU1172" s="11"/>
      <c r="AW1172" s="24" t="n">
        <f aca="false">AW1171+IF(AND(C1172&lt;&gt;"",AO1172&lt;&gt;"",OR('REP COMMISSION'!$B$3="",T1172='REP COMMISSION'!$B$3,W1172='REP COMMISSION'!$B$3,Z1172='REP COMMISSION'!$B$3)),1,0)</f>
        <v>0</v>
      </c>
      <c r="AX1172" s="24" t="n">
        <f aca="false">AX1171+IF(AND(C1172&lt;&gt;"",OR(F1172="LOC - INITIAL",F1172="CONSOLIDATION - UPFRONT COMM",F1172="REVERSE - TOTAL FUNDING")),1,0)</f>
        <v>0</v>
      </c>
    </row>
    <row r="1173" customFormat="false" ht="15" hidden="false" customHeight="false" outlineLevel="0" collapsed="false">
      <c r="A1173" s="25" t="str">
        <f aca="false">IF(C1173&lt;&gt;"","F27-"&amp;COUNT($C$4:C1173),"")</f>
        <v/>
      </c>
      <c r="B1173" s="26" t="str">
        <f aca="false">IF(OR(F1173="LOC - INITIAL",F1173="CONSOLIDATION - UPFRONT COMM",F1173="REVERSE - TOTAL FUNDING"),A1173,"")</f>
        <v/>
      </c>
      <c r="C1173" s="27"/>
      <c r="D1173" s="28"/>
      <c r="E1173" s="28"/>
      <c r="F1173" s="28"/>
      <c r="G1173" s="29"/>
      <c r="H1173" s="30"/>
      <c r="I1173" s="28"/>
      <c r="J1173" s="31" t="str">
        <f aca="false">IF(AND(G1173&lt;&gt;"",H1173&lt;&gt;""),G1173*H1173,"")</f>
        <v/>
      </c>
      <c r="K1173" s="28"/>
      <c r="L1173" s="32"/>
      <c r="M1173" s="32"/>
      <c r="N1173" s="31" t="n">
        <f aca="false">IF(OR(G1173="",M1173=""),0,IF(M1173&gt;100,M1173,G1173*IF(M1173&gt;1,M1173/100,M1173)))</f>
        <v>0</v>
      </c>
      <c r="O1173" s="31" t="str">
        <f aca="false">IF(G1173="","",G1173*IF(L1173="",0,IF(L1173&gt;1,L1173/100,L1173))+N1173)</f>
        <v/>
      </c>
      <c r="P1173" s="28"/>
      <c r="Q1173" s="33" t="str">
        <f aca="false">IF(P1173="","",IFERROR(VLOOKUP(P1173,PARTNERS!$A$2:$B$30,2,0),""))</f>
        <v/>
      </c>
      <c r="R1173" s="17" t="str">
        <f aca="false">IF(O1173="","",IF(OR(P1173="",Q1173=""),0,(O1173-N1173)*IF(Q1173&gt;1,Q1173/100,Q1173)))</f>
        <v/>
      </c>
      <c r="S1173" s="31" t="str">
        <f aca="false">IF(O1173="","",O1173-R1173)</f>
        <v/>
      </c>
      <c r="T1173" s="28"/>
      <c r="U1173" s="34" t="str">
        <f aca="false">IF(T1173="","",IFERROR(VLOOKUP(T1173,REPS!$A$2:$D$40,2,0),""))</f>
        <v/>
      </c>
      <c r="V1173" s="31" t="str">
        <f aca="false">IF(O1173="","",IF(U1173="",0,O1173*IF(U1173&gt;1,U1173/100,U1173)))</f>
        <v/>
      </c>
      <c r="W1173" s="28"/>
      <c r="X1173" s="34" t="str">
        <f aca="false">IF(W1173="","",IFERROR(VLOOKUP(W1173,REPS!$A$2:$D$40,3,0),""))</f>
        <v/>
      </c>
      <c r="Y1173" s="31" t="str">
        <f aca="false">IF(O1173="","",IF(X1173="",0,O1173*IF(X1173&gt;1,X1173/100,X1173)))</f>
        <v/>
      </c>
      <c r="Z1173" s="28"/>
      <c r="AA1173" s="34" t="str">
        <f aca="false">IF(Z1173="","",IFERROR(VLOOKUP(Z1173,REPS!$A$2:$D$40,4,0),""))</f>
        <v/>
      </c>
      <c r="AB1173" s="31" t="str">
        <f aca="false">IF(O1173="","",IF(AA1173="",0,O1173*IF(AA1173&gt;1,AA1173/100,AA1173)))</f>
        <v/>
      </c>
      <c r="AC1173" s="31" t="str">
        <f aca="false">IF(O1173="","",V1173+Y1173+AB1173)</f>
        <v/>
      </c>
      <c r="AD1173" s="19" t="str">
        <f aca="false">IF(O1173="","",O1173-R1173-AC1173)</f>
        <v/>
      </c>
      <c r="AE1173" s="20"/>
      <c r="AF1173" s="27"/>
      <c r="AG1173" s="21" t="n">
        <f aca="false">IF(OR(AE1173="",AE1173=0),0,AE1173*IF(U1173="",0,IF(U1173&gt;1,U1173/100,U1173)))</f>
        <v>0</v>
      </c>
      <c r="AH1173" s="21" t="n">
        <f aca="false">IF(OR(AE1173="",AE1173=0),0,AE1173*IF(X1173="",0,IF(X1173&gt;1,X1173/100,X1173)))</f>
        <v>0</v>
      </c>
      <c r="AI1173" s="21" t="n">
        <f aca="false">IF(OR(AE1173="",AE1173=0),0,AE1173*IF(AA1173="",0,IF(AA1173&gt;1,AA1173/100,AA1173)))</f>
        <v>0</v>
      </c>
      <c r="AJ1173" s="21" t="n">
        <f aca="false">AG1173+AH1173+AI1173</f>
        <v>0</v>
      </c>
      <c r="AK1173" s="21" t="n">
        <f aca="false">IF(OR(AE1173="",AE1173=0),0,AE1173-AJ1173)</f>
        <v>0</v>
      </c>
      <c r="AL1173" s="19" t="str">
        <f aca="false">IF(AD1173="","",AD1173-AK1173)</f>
        <v/>
      </c>
      <c r="AM1173" s="26" t="str">
        <f aca="false">IF(C1173="","","Waiting for payment")</f>
        <v/>
      </c>
      <c r="AN1173" s="27"/>
      <c r="AO1173" s="27"/>
      <c r="AP1173" s="35" t="str">
        <f aca="false">IF(OR(C1173="",I1173="",K1173=""),"",IF(K1173="Monthly",EDATE(C1173,ROUND(I1173*SETTINGS!$I$8,0)),WORKDAY(C1173,ROUND(I1173*SETTINGS!$I$8,0))))</f>
        <v/>
      </c>
      <c r="AQ1173" s="26" t="str">
        <f aca="true">IF(C1173="","",IF(AND(AP1173&lt;&gt;"",TODAY()&gt;=AP1173),"Refi Ready",IF(TODAY()-C1173&gt;=SETTINGS!$I$11,"Prospecting","Performing")))</f>
        <v/>
      </c>
      <c r="AR1173" s="35" t="str">
        <f aca="false">IF(OR(C1173="",I1173="",K1173=""),"",IF(K1173="Monthly",EDATE(C1173,I1173),WORKDAY(C1173,I1173)))</f>
        <v/>
      </c>
      <c r="AS1173" s="28"/>
      <c r="AT1173" s="36" t="str">
        <f aca="true">IF(C1173="","",IF(AM1173="Clawed Back","CLAWED",IF(TODAY()&lt;=C1173+SETTINGS!$I$2,"⚠ AT RISK","SAFE")))</f>
        <v/>
      </c>
      <c r="AU1173" s="28"/>
      <c r="AW1173" s="24" t="n">
        <f aca="false">AW1172+IF(AND(C1173&lt;&gt;"",AO1173&lt;&gt;"",OR('REP COMMISSION'!$B$3="",T1173='REP COMMISSION'!$B$3,W1173='REP COMMISSION'!$B$3,Z1173='REP COMMISSION'!$B$3)),1,0)</f>
        <v>0</v>
      </c>
      <c r="AX1173" s="24" t="n">
        <f aca="false">AX1172+IF(AND(C1173&lt;&gt;"",OR(F1173="LOC - INITIAL",F1173="CONSOLIDATION - UPFRONT COMM",F1173="REVERSE - TOTAL FUNDING")),1,0)</f>
        <v>0</v>
      </c>
    </row>
    <row r="1174" customFormat="false" ht="15" hidden="false" customHeight="false" outlineLevel="0" collapsed="false">
      <c r="A1174" s="8" t="str">
        <f aca="false">IF(C1174&lt;&gt;"","F27-"&amp;COUNT($C$4:C1174),"")</f>
        <v/>
      </c>
      <c r="B1174" s="9" t="str">
        <f aca="false">IF(OR(F1174="LOC - INITIAL",F1174="CONSOLIDATION - UPFRONT COMM",F1174="REVERSE - TOTAL FUNDING"),A1174,"")</f>
        <v/>
      </c>
      <c r="C1174" s="10"/>
      <c r="D1174" s="11"/>
      <c r="E1174" s="11"/>
      <c r="F1174" s="11"/>
      <c r="G1174" s="12"/>
      <c r="H1174" s="13"/>
      <c r="I1174" s="11"/>
      <c r="J1174" s="14" t="str">
        <f aca="false">IF(AND(G1174&lt;&gt;"",H1174&lt;&gt;""),G1174*H1174,"")</f>
        <v/>
      </c>
      <c r="K1174" s="11"/>
      <c r="L1174" s="15"/>
      <c r="M1174" s="15"/>
      <c r="N1174" s="14" t="n">
        <f aca="false">IF(OR(G1174="",M1174=""),0,IF(M1174&gt;100,M1174,G1174*IF(M1174&gt;1,M1174/100,M1174)))</f>
        <v>0</v>
      </c>
      <c r="O1174" s="14" t="str">
        <f aca="false">IF(G1174="","",G1174*IF(L1174="",0,IF(L1174&gt;1,L1174/100,L1174))+N1174)</f>
        <v/>
      </c>
      <c r="P1174" s="11"/>
      <c r="Q1174" s="16" t="str">
        <f aca="false">IF(P1174="","",IFERROR(VLOOKUP(P1174,PARTNERS!$A$2:$B$30,2,0),""))</f>
        <v/>
      </c>
      <c r="R1174" s="17" t="str">
        <f aca="false">IF(O1174="","",IF(OR(P1174="",Q1174=""),0,(O1174-N1174)*IF(Q1174&gt;1,Q1174/100,Q1174)))</f>
        <v/>
      </c>
      <c r="S1174" s="14" t="str">
        <f aca="false">IF(O1174="","",O1174-R1174)</f>
        <v/>
      </c>
      <c r="T1174" s="11"/>
      <c r="U1174" s="18" t="str">
        <f aca="false">IF(T1174="","",IFERROR(VLOOKUP(T1174,REPS!$A$2:$D$40,2,0),""))</f>
        <v/>
      </c>
      <c r="V1174" s="14" t="str">
        <f aca="false">IF(O1174="","",IF(U1174="",0,O1174*IF(U1174&gt;1,U1174/100,U1174)))</f>
        <v/>
      </c>
      <c r="W1174" s="11"/>
      <c r="X1174" s="18" t="str">
        <f aca="false">IF(W1174="","",IFERROR(VLOOKUP(W1174,REPS!$A$2:$D$40,3,0),""))</f>
        <v/>
      </c>
      <c r="Y1174" s="14" t="str">
        <f aca="false">IF(O1174="","",IF(X1174="",0,O1174*IF(X1174&gt;1,X1174/100,X1174)))</f>
        <v/>
      </c>
      <c r="Z1174" s="11"/>
      <c r="AA1174" s="18" t="str">
        <f aca="false">IF(Z1174="","",IFERROR(VLOOKUP(Z1174,REPS!$A$2:$D$40,4,0),""))</f>
        <v/>
      </c>
      <c r="AB1174" s="14" t="str">
        <f aca="false">IF(O1174="","",IF(AA1174="",0,O1174*IF(AA1174&gt;1,AA1174/100,AA1174)))</f>
        <v/>
      </c>
      <c r="AC1174" s="14" t="str">
        <f aca="false">IF(O1174="","",V1174+Y1174+AB1174)</f>
        <v/>
      </c>
      <c r="AD1174" s="19" t="str">
        <f aca="false">IF(O1174="","",O1174-R1174-AC1174)</f>
        <v/>
      </c>
      <c r="AE1174" s="20"/>
      <c r="AF1174" s="10"/>
      <c r="AG1174" s="21" t="n">
        <f aca="false">IF(OR(AE1174="",AE1174=0),0,AE1174*IF(U1174="",0,IF(U1174&gt;1,U1174/100,U1174)))</f>
        <v>0</v>
      </c>
      <c r="AH1174" s="21" t="n">
        <f aca="false">IF(OR(AE1174="",AE1174=0),0,AE1174*IF(X1174="",0,IF(X1174&gt;1,X1174/100,X1174)))</f>
        <v>0</v>
      </c>
      <c r="AI1174" s="21" t="n">
        <f aca="false">IF(OR(AE1174="",AE1174=0),0,AE1174*IF(AA1174="",0,IF(AA1174&gt;1,AA1174/100,AA1174)))</f>
        <v>0</v>
      </c>
      <c r="AJ1174" s="21" t="n">
        <f aca="false">AG1174+AH1174+AI1174</f>
        <v>0</v>
      </c>
      <c r="AK1174" s="21" t="n">
        <f aca="false">IF(OR(AE1174="",AE1174=0),0,AE1174-AJ1174)</f>
        <v>0</v>
      </c>
      <c r="AL1174" s="19" t="str">
        <f aca="false">IF(AD1174="","",AD1174-AK1174)</f>
        <v/>
      </c>
      <c r="AM1174" s="9" t="str">
        <f aca="false">IF(C1174="","","Waiting for payment")</f>
        <v/>
      </c>
      <c r="AN1174" s="10"/>
      <c r="AO1174" s="10"/>
      <c r="AP1174" s="22" t="str">
        <f aca="false">IF(OR(C1174="",I1174="",K1174=""),"",IF(K1174="Monthly",EDATE(C1174,ROUND(I1174*SETTINGS!$I$8,0)),WORKDAY(C1174,ROUND(I1174*SETTINGS!$I$8,0))))</f>
        <v/>
      </c>
      <c r="AQ1174" s="9" t="str">
        <f aca="true">IF(C1174="","",IF(AND(AP1174&lt;&gt;"",TODAY()&gt;=AP1174),"Refi Ready",IF(TODAY()-C1174&gt;=SETTINGS!$I$11,"Prospecting","Performing")))</f>
        <v/>
      </c>
      <c r="AR1174" s="22" t="str">
        <f aca="false">IF(OR(C1174="",I1174="",K1174=""),"",IF(K1174="Monthly",EDATE(C1174,I1174),WORKDAY(C1174,I1174)))</f>
        <v/>
      </c>
      <c r="AS1174" s="11"/>
      <c r="AT1174" s="23" t="str">
        <f aca="true">IF(C1174="","",IF(AM1174="Clawed Back","CLAWED",IF(TODAY()&lt;=C1174+SETTINGS!$I$2,"⚠ AT RISK","SAFE")))</f>
        <v/>
      </c>
      <c r="AU1174" s="11"/>
      <c r="AW1174" s="24" t="n">
        <f aca="false">AW1173+IF(AND(C1174&lt;&gt;"",AO1174&lt;&gt;"",OR('REP COMMISSION'!$B$3="",T1174='REP COMMISSION'!$B$3,W1174='REP COMMISSION'!$B$3,Z1174='REP COMMISSION'!$B$3)),1,0)</f>
        <v>0</v>
      </c>
      <c r="AX1174" s="24" t="n">
        <f aca="false">AX1173+IF(AND(C1174&lt;&gt;"",OR(F1174="LOC - INITIAL",F1174="CONSOLIDATION - UPFRONT COMM",F1174="REVERSE - TOTAL FUNDING")),1,0)</f>
        <v>0</v>
      </c>
    </row>
    <row r="1175" customFormat="false" ht="15" hidden="false" customHeight="false" outlineLevel="0" collapsed="false">
      <c r="A1175" s="25" t="str">
        <f aca="false">IF(C1175&lt;&gt;"","F27-"&amp;COUNT($C$4:C1175),"")</f>
        <v/>
      </c>
      <c r="B1175" s="26" t="str">
        <f aca="false">IF(OR(F1175="LOC - INITIAL",F1175="CONSOLIDATION - UPFRONT COMM",F1175="REVERSE - TOTAL FUNDING"),A1175,"")</f>
        <v/>
      </c>
      <c r="C1175" s="27"/>
      <c r="D1175" s="28"/>
      <c r="E1175" s="28"/>
      <c r="F1175" s="28"/>
      <c r="G1175" s="29"/>
      <c r="H1175" s="30"/>
      <c r="I1175" s="28"/>
      <c r="J1175" s="31" t="str">
        <f aca="false">IF(AND(G1175&lt;&gt;"",H1175&lt;&gt;""),G1175*H1175,"")</f>
        <v/>
      </c>
      <c r="K1175" s="28"/>
      <c r="L1175" s="32"/>
      <c r="M1175" s="32"/>
      <c r="N1175" s="31" t="n">
        <f aca="false">IF(OR(G1175="",M1175=""),0,IF(M1175&gt;100,M1175,G1175*IF(M1175&gt;1,M1175/100,M1175)))</f>
        <v>0</v>
      </c>
      <c r="O1175" s="31" t="str">
        <f aca="false">IF(G1175="","",G1175*IF(L1175="",0,IF(L1175&gt;1,L1175/100,L1175))+N1175)</f>
        <v/>
      </c>
      <c r="P1175" s="28"/>
      <c r="Q1175" s="33" t="str">
        <f aca="false">IF(P1175="","",IFERROR(VLOOKUP(P1175,PARTNERS!$A$2:$B$30,2,0),""))</f>
        <v/>
      </c>
      <c r="R1175" s="17" t="str">
        <f aca="false">IF(O1175="","",IF(OR(P1175="",Q1175=""),0,(O1175-N1175)*IF(Q1175&gt;1,Q1175/100,Q1175)))</f>
        <v/>
      </c>
      <c r="S1175" s="31" t="str">
        <f aca="false">IF(O1175="","",O1175-R1175)</f>
        <v/>
      </c>
      <c r="T1175" s="28"/>
      <c r="U1175" s="34" t="str">
        <f aca="false">IF(T1175="","",IFERROR(VLOOKUP(T1175,REPS!$A$2:$D$40,2,0),""))</f>
        <v/>
      </c>
      <c r="V1175" s="31" t="str">
        <f aca="false">IF(O1175="","",IF(U1175="",0,O1175*IF(U1175&gt;1,U1175/100,U1175)))</f>
        <v/>
      </c>
      <c r="W1175" s="28"/>
      <c r="X1175" s="34" t="str">
        <f aca="false">IF(W1175="","",IFERROR(VLOOKUP(W1175,REPS!$A$2:$D$40,3,0),""))</f>
        <v/>
      </c>
      <c r="Y1175" s="31" t="str">
        <f aca="false">IF(O1175="","",IF(X1175="",0,O1175*IF(X1175&gt;1,X1175/100,X1175)))</f>
        <v/>
      </c>
      <c r="Z1175" s="28"/>
      <c r="AA1175" s="34" t="str">
        <f aca="false">IF(Z1175="","",IFERROR(VLOOKUP(Z1175,REPS!$A$2:$D$40,4,0),""))</f>
        <v/>
      </c>
      <c r="AB1175" s="31" t="str">
        <f aca="false">IF(O1175="","",IF(AA1175="",0,O1175*IF(AA1175&gt;1,AA1175/100,AA1175)))</f>
        <v/>
      </c>
      <c r="AC1175" s="31" t="str">
        <f aca="false">IF(O1175="","",V1175+Y1175+AB1175)</f>
        <v/>
      </c>
      <c r="AD1175" s="19" t="str">
        <f aca="false">IF(O1175="","",O1175-R1175-AC1175)</f>
        <v/>
      </c>
      <c r="AE1175" s="20"/>
      <c r="AF1175" s="27"/>
      <c r="AG1175" s="21" t="n">
        <f aca="false">IF(OR(AE1175="",AE1175=0),0,AE1175*IF(U1175="",0,IF(U1175&gt;1,U1175/100,U1175)))</f>
        <v>0</v>
      </c>
      <c r="AH1175" s="21" t="n">
        <f aca="false">IF(OR(AE1175="",AE1175=0),0,AE1175*IF(X1175="",0,IF(X1175&gt;1,X1175/100,X1175)))</f>
        <v>0</v>
      </c>
      <c r="AI1175" s="21" t="n">
        <f aca="false">IF(OR(AE1175="",AE1175=0),0,AE1175*IF(AA1175="",0,IF(AA1175&gt;1,AA1175/100,AA1175)))</f>
        <v>0</v>
      </c>
      <c r="AJ1175" s="21" t="n">
        <f aca="false">AG1175+AH1175+AI1175</f>
        <v>0</v>
      </c>
      <c r="AK1175" s="21" t="n">
        <f aca="false">IF(OR(AE1175="",AE1175=0),0,AE1175-AJ1175)</f>
        <v>0</v>
      </c>
      <c r="AL1175" s="19" t="str">
        <f aca="false">IF(AD1175="","",AD1175-AK1175)</f>
        <v/>
      </c>
      <c r="AM1175" s="26" t="str">
        <f aca="false">IF(C1175="","","Waiting for payment")</f>
        <v/>
      </c>
      <c r="AN1175" s="27"/>
      <c r="AO1175" s="27"/>
      <c r="AP1175" s="35" t="str">
        <f aca="false">IF(OR(C1175="",I1175="",K1175=""),"",IF(K1175="Monthly",EDATE(C1175,ROUND(I1175*SETTINGS!$I$8,0)),WORKDAY(C1175,ROUND(I1175*SETTINGS!$I$8,0))))</f>
        <v/>
      </c>
      <c r="AQ1175" s="26" t="str">
        <f aca="true">IF(C1175="","",IF(AND(AP1175&lt;&gt;"",TODAY()&gt;=AP1175),"Refi Ready",IF(TODAY()-C1175&gt;=SETTINGS!$I$11,"Prospecting","Performing")))</f>
        <v/>
      </c>
      <c r="AR1175" s="35" t="str">
        <f aca="false">IF(OR(C1175="",I1175="",K1175=""),"",IF(K1175="Monthly",EDATE(C1175,I1175),WORKDAY(C1175,I1175)))</f>
        <v/>
      </c>
      <c r="AS1175" s="28"/>
      <c r="AT1175" s="36" t="str">
        <f aca="true">IF(C1175="","",IF(AM1175="Clawed Back","CLAWED",IF(TODAY()&lt;=C1175+SETTINGS!$I$2,"⚠ AT RISK","SAFE")))</f>
        <v/>
      </c>
      <c r="AU1175" s="28"/>
      <c r="AW1175" s="24" t="n">
        <f aca="false">AW1174+IF(AND(C1175&lt;&gt;"",AO1175&lt;&gt;"",OR('REP COMMISSION'!$B$3="",T1175='REP COMMISSION'!$B$3,W1175='REP COMMISSION'!$B$3,Z1175='REP COMMISSION'!$B$3)),1,0)</f>
        <v>0</v>
      </c>
      <c r="AX1175" s="24" t="n">
        <f aca="false">AX1174+IF(AND(C1175&lt;&gt;"",OR(F1175="LOC - INITIAL",F1175="CONSOLIDATION - UPFRONT COMM",F1175="REVERSE - TOTAL FUNDING")),1,0)</f>
        <v>0</v>
      </c>
    </row>
    <row r="1176" customFormat="false" ht="15" hidden="false" customHeight="false" outlineLevel="0" collapsed="false">
      <c r="A1176" s="8" t="str">
        <f aca="false">IF(C1176&lt;&gt;"","F27-"&amp;COUNT($C$4:C1176),"")</f>
        <v/>
      </c>
      <c r="B1176" s="9" t="str">
        <f aca="false">IF(OR(F1176="LOC - INITIAL",F1176="CONSOLIDATION - UPFRONT COMM",F1176="REVERSE - TOTAL FUNDING"),A1176,"")</f>
        <v/>
      </c>
      <c r="C1176" s="10"/>
      <c r="D1176" s="11"/>
      <c r="E1176" s="11"/>
      <c r="F1176" s="11"/>
      <c r="G1176" s="12"/>
      <c r="H1176" s="13"/>
      <c r="I1176" s="11"/>
      <c r="J1176" s="14" t="str">
        <f aca="false">IF(AND(G1176&lt;&gt;"",H1176&lt;&gt;""),G1176*H1176,"")</f>
        <v/>
      </c>
      <c r="K1176" s="11"/>
      <c r="L1176" s="15"/>
      <c r="M1176" s="15"/>
      <c r="N1176" s="14" t="n">
        <f aca="false">IF(OR(G1176="",M1176=""),0,IF(M1176&gt;100,M1176,G1176*IF(M1176&gt;1,M1176/100,M1176)))</f>
        <v>0</v>
      </c>
      <c r="O1176" s="14" t="str">
        <f aca="false">IF(G1176="","",G1176*IF(L1176="",0,IF(L1176&gt;1,L1176/100,L1176))+N1176)</f>
        <v/>
      </c>
      <c r="P1176" s="11"/>
      <c r="Q1176" s="16" t="str">
        <f aca="false">IF(P1176="","",IFERROR(VLOOKUP(P1176,PARTNERS!$A$2:$B$30,2,0),""))</f>
        <v/>
      </c>
      <c r="R1176" s="17" t="str">
        <f aca="false">IF(O1176="","",IF(OR(P1176="",Q1176=""),0,(O1176-N1176)*IF(Q1176&gt;1,Q1176/100,Q1176)))</f>
        <v/>
      </c>
      <c r="S1176" s="14" t="str">
        <f aca="false">IF(O1176="","",O1176-R1176)</f>
        <v/>
      </c>
      <c r="T1176" s="11"/>
      <c r="U1176" s="18" t="str">
        <f aca="false">IF(T1176="","",IFERROR(VLOOKUP(T1176,REPS!$A$2:$D$40,2,0),""))</f>
        <v/>
      </c>
      <c r="V1176" s="14" t="str">
        <f aca="false">IF(O1176="","",IF(U1176="",0,O1176*IF(U1176&gt;1,U1176/100,U1176)))</f>
        <v/>
      </c>
      <c r="W1176" s="11"/>
      <c r="X1176" s="18" t="str">
        <f aca="false">IF(W1176="","",IFERROR(VLOOKUP(W1176,REPS!$A$2:$D$40,3,0),""))</f>
        <v/>
      </c>
      <c r="Y1176" s="14" t="str">
        <f aca="false">IF(O1176="","",IF(X1176="",0,O1176*IF(X1176&gt;1,X1176/100,X1176)))</f>
        <v/>
      </c>
      <c r="Z1176" s="11"/>
      <c r="AA1176" s="18" t="str">
        <f aca="false">IF(Z1176="","",IFERROR(VLOOKUP(Z1176,REPS!$A$2:$D$40,4,0),""))</f>
        <v/>
      </c>
      <c r="AB1176" s="14" t="str">
        <f aca="false">IF(O1176="","",IF(AA1176="",0,O1176*IF(AA1176&gt;1,AA1176/100,AA1176)))</f>
        <v/>
      </c>
      <c r="AC1176" s="14" t="str">
        <f aca="false">IF(O1176="","",V1176+Y1176+AB1176)</f>
        <v/>
      </c>
      <c r="AD1176" s="19" t="str">
        <f aca="false">IF(O1176="","",O1176-R1176-AC1176)</f>
        <v/>
      </c>
      <c r="AE1176" s="20"/>
      <c r="AF1176" s="10"/>
      <c r="AG1176" s="21" t="n">
        <f aca="false">IF(OR(AE1176="",AE1176=0),0,AE1176*IF(U1176="",0,IF(U1176&gt;1,U1176/100,U1176)))</f>
        <v>0</v>
      </c>
      <c r="AH1176" s="21" t="n">
        <f aca="false">IF(OR(AE1176="",AE1176=0),0,AE1176*IF(X1176="",0,IF(X1176&gt;1,X1176/100,X1176)))</f>
        <v>0</v>
      </c>
      <c r="AI1176" s="21" t="n">
        <f aca="false">IF(OR(AE1176="",AE1176=0),0,AE1176*IF(AA1176="",0,IF(AA1176&gt;1,AA1176/100,AA1176)))</f>
        <v>0</v>
      </c>
      <c r="AJ1176" s="21" t="n">
        <f aca="false">AG1176+AH1176+AI1176</f>
        <v>0</v>
      </c>
      <c r="AK1176" s="21" t="n">
        <f aca="false">IF(OR(AE1176="",AE1176=0),0,AE1176-AJ1176)</f>
        <v>0</v>
      </c>
      <c r="AL1176" s="19" t="str">
        <f aca="false">IF(AD1176="","",AD1176-AK1176)</f>
        <v/>
      </c>
      <c r="AM1176" s="9" t="str">
        <f aca="false">IF(C1176="","","Waiting for payment")</f>
        <v/>
      </c>
      <c r="AN1176" s="10"/>
      <c r="AO1176" s="10"/>
      <c r="AP1176" s="22" t="str">
        <f aca="false">IF(OR(C1176="",I1176="",K1176=""),"",IF(K1176="Monthly",EDATE(C1176,ROUND(I1176*SETTINGS!$I$8,0)),WORKDAY(C1176,ROUND(I1176*SETTINGS!$I$8,0))))</f>
        <v/>
      </c>
      <c r="AQ1176" s="9" t="str">
        <f aca="true">IF(C1176="","",IF(AND(AP1176&lt;&gt;"",TODAY()&gt;=AP1176),"Refi Ready",IF(TODAY()-C1176&gt;=SETTINGS!$I$11,"Prospecting","Performing")))</f>
        <v/>
      </c>
      <c r="AR1176" s="22" t="str">
        <f aca="false">IF(OR(C1176="",I1176="",K1176=""),"",IF(K1176="Monthly",EDATE(C1176,I1176),WORKDAY(C1176,I1176)))</f>
        <v/>
      </c>
      <c r="AS1176" s="11"/>
      <c r="AT1176" s="23" t="str">
        <f aca="true">IF(C1176="","",IF(AM1176="Clawed Back","CLAWED",IF(TODAY()&lt;=C1176+SETTINGS!$I$2,"⚠ AT RISK","SAFE")))</f>
        <v/>
      </c>
      <c r="AU1176" s="11"/>
      <c r="AW1176" s="24" t="n">
        <f aca="false">AW1175+IF(AND(C1176&lt;&gt;"",AO1176&lt;&gt;"",OR('REP COMMISSION'!$B$3="",T1176='REP COMMISSION'!$B$3,W1176='REP COMMISSION'!$B$3,Z1176='REP COMMISSION'!$B$3)),1,0)</f>
        <v>0</v>
      </c>
      <c r="AX1176" s="24" t="n">
        <f aca="false">AX1175+IF(AND(C1176&lt;&gt;"",OR(F1176="LOC - INITIAL",F1176="CONSOLIDATION - UPFRONT COMM",F1176="REVERSE - TOTAL FUNDING")),1,0)</f>
        <v>0</v>
      </c>
    </row>
    <row r="1177" customFormat="false" ht="15" hidden="false" customHeight="false" outlineLevel="0" collapsed="false">
      <c r="A1177" s="25" t="str">
        <f aca="false">IF(C1177&lt;&gt;"","F27-"&amp;COUNT($C$4:C1177),"")</f>
        <v/>
      </c>
      <c r="B1177" s="26" t="str">
        <f aca="false">IF(OR(F1177="LOC - INITIAL",F1177="CONSOLIDATION - UPFRONT COMM",F1177="REVERSE - TOTAL FUNDING"),A1177,"")</f>
        <v/>
      </c>
      <c r="C1177" s="27"/>
      <c r="D1177" s="28"/>
      <c r="E1177" s="28"/>
      <c r="F1177" s="28"/>
      <c r="G1177" s="29"/>
      <c r="H1177" s="30"/>
      <c r="I1177" s="28"/>
      <c r="J1177" s="31" t="str">
        <f aca="false">IF(AND(G1177&lt;&gt;"",H1177&lt;&gt;""),G1177*H1177,"")</f>
        <v/>
      </c>
      <c r="K1177" s="28"/>
      <c r="L1177" s="32"/>
      <c r="M1177" s="32"/>
      <c r="N1177" s="31" t="n">
        <f aca="false">IF(OR(G1177="",M1177=""),0,IF(M1177&gt;100,M1177,G1177*IF(M1177&gt;1,M1177/100,M1177)))</f>
        <v>0</v>
      </c>
      <c r="O1177" s="31" t="str">
        <f aca="false">IF(G1177="","",G1177*IF(L1177="",0,IF(L1177&gt;1,L1177/100,L1177))+N1177)</f>
        <v/>
      </c>
      <c r="P1177" s="28"/>
      <c r="Q1177" s="33" t="str">
        <f aca="false">IF(P1177="","",IFERROR(VLOOKUP(P1177,PARTNERS!$A$2:$B$30,2,0),""))</f>
        <v/>
      </c>
      <c r="R1177" s="17" t="str">
        <f aca="false">IF(O1177="","",IF(OR(P1177="",Q1177=""),0,(O1177-N1177)*IF(Q1177&gt;1,Q1177/100,Q1177)))</f>
        <v/>
      </c>
      <c r="S1177" s="31" t="str">
        <f aca="false">IF(O1177="","",O1177-R1177)</f>
        <v/>
      </c>
      <c r="T1177" s="28"/>
      <c r="U1177" s="34" t="str">
        <f aca="false">IF(T1177="","",IFERROR(VLOOKUP(T1177,REPS!$A$2:$D$40,2,0),""))</f>
        <v/>
      </c>
      <c r="V1177" s="31" t="str">
        <f aca="false">IF(O1177="","",IF(U1177="",0,O1177*IF(U1177&gt;1,U1177/100,U1177)))</f>
        <v/>
      </c>
      <c r="W1177" s="28"/>
      <c r="X1177" s="34" t="str">
        <f aca="false">IF(W1177="","",IFERROR(VLOOKUP(W1177,REPS!$A$2:$D$40,3,0),""))</f>
        <v/>
      </c>
      <c r="Y1177" s="31" t="str">
        <f aca="false">IF(O1177="","",IF(X1177="",0,O1177*IF(X1177&gt;1,X1177/100,X1177)))</f>
        <v/>
      </c>
      <c r="Z1177" s="28"/>
      <c r="AA1177" s="34" t="str">
        <f aca="false">IF(Z1177="","",IFERROR(VLOOKUP(Z1177,REPS!$A$2:$D$40,4,0),""))</f>
        <v/>
      </c>
      <c r="AB1177" s="31" t="str">
        <f aca="false">IF(O1177="","",IF(AA1177="",0,O1177*IF(AA1177&gt;1,AA1177/100,AA1177)))</f>
        <v/>
      </c>
      <c r="AC1177" s="31" t="str">
        <f aca="false">IF(O1177="","",V1177+Y1177+AB1177)</f>
        <v/>
      </c>
      <c r="AD1177" s="19" t="str">
        <f aca="false">IF(O1177="","",O1177-R1177-AC1177)</f>
        <v/>
      </c>
      <c r="AE1177" s="20"/>
      <c r="AF1177" s="27"/>
      <c r="AG1177" s="21" t="n">
        <f aca="false">IF(OR(AE1177="",AE1177=0),0,AE1177*IF(U1177="",0,IF(U1177&gt;1,U1177/100,U1177)))</f>
        <v>0</v>
      </c>
      <c r="AH1177" s="21" t="n">
        <f aca="false">IF(OR(AE1177="",AE1177=0),0,AE1177*IF(X1177="",0,IF(X1177&gt;1,X1177/100,X1177)))</f>
        <v>0</v>
      </c>
      <c r="AI1177" s="21" t="n">
        <f aca="false">IF(OR(AE1177="",AE1177=0),0,AE1177*IF(AA1177="",0,IF(AA1177&gt;1,AA1177/100,AA1177)))</f>
        <v>0</v>
      </c>
      <c r="AJ1177" s="21" t="n">
        <f aca="false">AG1177+AH1177+AI1177</f>
        <v>0</v>
      </c>
      <c r="AK1177" s="21" t="n">
        <f aca="false">IF(OR(AE1177="",AE1177=0),0,AE1177-AJ1177)</f>
        <v>0</v>
      </c>
      <c r="AL1177" s="19" t="str">
        <f aca="false">IF(AD1177="","",AD1177-AK1177)</f>
        <v/>
      </c>
      <c r="AM1177" s="26" t="str">
        <f aca="false">IF(C1177="","","Waiting for payment")</f>
        <v/>
      </c>
      <c r="AN1177" s="27"/>
      <c r="AO1177" s="27"/>
      <c r="AP1177" s="35" t="str">
        <f aca="false">IF(OR(C1177="",I1177="",K1177=""),"",IF(K1177="Monthly",EDATE(C1177,ROUND(I1177*SETTINGS!$I$8,0)),WORKDAY(C1177,ROUND(I1177*SETTINGS!$I$8,0))))</f>
        <v/>
      </c>
      <c r="AQ1177" s="26" t="str">
        <f aca="true">IF(C1177="","",IF(AND(AP1177&lt;&gt;"",TODAY()&gt;=AP1177),"Refi Ready",IF(TODAY()-C1177&gt;=SETTINGS!$I$11,"Prospecting","Performing")))</f>
        <v/>
      </c>
      <c r="AR1177" s="35" t="str">
        <f aca="false">IF(OR(C1177="",I1177="",K1177=""),"",IF(K1177="Monthly",EDATE(C1177,I1177),WORKDAY(C1177,I1177)))</f>
        <v/>
      </c>
      <c r="AS1177" s="28"/>
      <c r="AT1177" s="36" t="str">
        <f aca="true">IF(C1177="","",IF(AM1177="Clawed Back","CLAWED",IF(TODAY()&lt;=C1177+SETTINGS!$I$2,"⚠ AT RISK","SAFE")))</f>
        <v/>
      </c>
      <c r="AU1177" s="28"/>
      <c r="AW1177" s="24" t="n">
        <f aca="false">AW1176+IF(AND(C1177&lt;&gt;"",AO1177&lt;&gt;"",OR('REP COMMISSION'!$B$3="",T1177='REP COMMISSION'!$B$3,W1177='REP COMMISSION'!$B$3,Z1177='REP COMMISSION'!$B$3)),1,0)</f>
        <v>0</v>
      </c>
      <c r="AX1177" s="24" t="n">
        <f aca="false">AX1176+IF(AND(C1177&lt;&gt;"",OR(F1177="LOC - INITIAL",F1177="CONSOLIDATION - UPFRONT COMM",F1177="REVERSE - TOTAL FUNDING")),1,0)</f>
        <v>0</v>
      </c>
    </row>
    <row r="1178" customFormat="false" ht="15" hidden="false" customHeight="false" outlineLevel="0" collapsed="false">
      <c r="A1178" s="8" t="str">
        <f aca="false">IF(C1178&lt;&gt;"","F27-"&amp;COUNT($C$4:C1178),"")</f>
        <v/>
      </c>
      <c r="B1178" s="9" t="str">
        <f aca="false">IF(OR(F1178="LOC - INITIAL",F1178="CONSOLIDATION - UPFRONT COMM",F1178="REVERSE - TOTAL FUNDING"),A1178,"")</f>
        <v/>
      </c>
      <c r="C1178" s="10"/>
      <c r="D1178" s="11"/>
      <c r="E1178" s="11"/>
      <c r="F1178" s="11"/>
      <c r="G1178" s="12"/>
      <c r="H1178" s="13"/>
      <c r="I1178" s="11"/>
      <c r="J1178" s="14" t="str">
        <f aca="false">IF(AND(G1178&lt;&gt;"",H1178&lt;&gt;""),G1178*H1178,"")</f>
        <v/>
      </c>
      <c r="K1178" s="11"/>
      <c r="L1178" s="15"/>
      <c r="M1178" s="15"/>
      <c r="N1178" s="14" t="n">
        <f aca="false">IF(OR(G1178="",M1178=""),0,IF(M1178&gt;100,M1178,G1178*IF(M1178&gt;1,M1178/100,M1178)))</f>
        <v>0</v>
      </c>
      <c r="O1178" s="14" t="str">
        <f aca="false">IF(G1178="","",G1178*IF(L1178="",0,IF(L1178&gt;1,L1178/100,L1178))+N1178)</f>
        <v/>
      </c>
      <c r="P1178" s="11"/>
      <c r="Q1178" s="16" t="str">
        <f aca="false">IF(P1178="","",IFERROR(VLOOKUP(P1178,PARTNERS!$A$2:$B$30,2,0),""))</f>
        <v/>
      </c>
      <c r="R1178" s="17" t="str">
        <f aca="false">IF(O1178="","",IF(OR(P1178="",Q1178=""),0,(O1178-N1178)*IF(Q1178&gt;1,Q1178/100,Q1178)))</f>
        <v/>
      </c>
      <c r="S1178" s="14" t="str">
        <f aca="false">IF(O1178="","",O1178-R1178)</f>
        <v/>
      </c>
      <c r="T1178" s="11"/>
      <c r="U1178" s="18" t="str">
        <f aca="false">IF(T1178="","",IFERROR(VLOOKUP(T1178,REPS!$A$2:$D$40,2,0),""))</f>
        <v/>
      </c>
      <c r="V1178" s="14" t="str">
        <f aca="false">IF(O1178="","",IF(U1178="",0,O1178*IF(U1178&gt;1,U1178/100,U1178)))</f>
        <v/>
      </c>
      <c r="W1178" s="11"/>
      <c r="X1178" s="18" t="str">
        <f aca="false">IF(W1178="","",IFERROR(VLOOKUP(W1178,REPS!$A$2:$D$40,3,0),""))</f>
        <v/>
      </c>
      <c r="Y1178" s="14" t="str">
        <f aca="false">IF(O1178="","",IF(X1178="",0,O1178*IF(X1178&gt;1,X1178/100,X1178)))</f>
        <v/>
      </c>
      <c r="Z1178" s="11"/>
      <c r="AA1178" s="18" t="str">
        <f aca="false">IF(Z1178="","",IFERROR(VLOOKUP(Z1178,REPS!$A$2:$D$40,4,0),""))</f>
        <v/>
      </c>
      <c r="AB1178" s="14" t="str">
        <f aca="false">IF(O1178="","",IF(AA1178="",0,O1178*IF(AA1178&gt;1,AA1178/100,AA1178)))</f>
        <v/>
      </c>
      <c r="AC1178" s="14" t="str">
        <f aca="false">IF(O1178="","",V1178+Y1178+AB1178)</f>
        <v/>
      </c>
      <c r="AD1178" s="19" t="str">
        <f aca="false">IF(O1178="","",O1178-R1178-AC1178)</f>
        <v/>
      </c>
      <c r="AE1178" s="20"/>
      <c r="AF1178" s="10"/>
      <c r="AG1178" s="21" t="n">
        <f aca="false">IF(OR(AE1178="",AE1178=0),0,AE1178*IF(U1178="",0,IF(U1178&gt;1,U1178/100,U1178)))</f>
        <v>0</v>
      </c>
      <c r="AH1178" s="21" t="n">
        <f aca="false">IF(OR(AE1178="",AE1178=0),0,AE1178*IF(X1178="",0,IF(X1178&gt;1,X1178/100,X1178)))</f>
        <v>0</v>
      </c>
      <c r="AI1178" s="21" t="n">
        <f aca="false">IF(OR(AE1178="",AE1178=0),0,AE1178*IF(AA1178="",0,IF(AA1178&gt;1,AA1178/100,AA1178)))</f>
        <v>0</v>
      </c>
      <c r="AJ1178" s="21" t="n">
        <f aca="false">AG1178+AH1178+AI1178</f>
        <v>0</v>
      </c>
      <c r="AK1178" s="21" t="n">
        <f aca="false">IF(OR(AE1178="",AE1178=0),0,AE1178-AJ1178)</f>
        <v>0</v>
      </c>
      <c r="AL1178" s="19" t="str">
        <f aca="false">IF(AD1178="","",AD1178-AK1178)</f>
        <v/>
      </c>
      <c r="AM1178" s="9" t="str">
        <f aca="false">IF(C1178="","","Waiting for payment")</f>
        <v/>
      </c>
      <c r="AN1178" s="10"/>
      <c r="AO1178" s="10"/>
      <c r="AP1178" s="22" t="str">
        <f aca="false">IF(OR(C1178="",I1178="",K1178=""),"",IF(K1178="Monthly",EDATE(C1178,ROUND(I1178*SETTINGS!$I$8,0)),WORKDAY(C1178,ROUND(I1178*SETTINGS!$I$8,0))))</f>
        <v/>
      </c>
      <c r="AQ1178" s="9" t="str">
        <f aca="true">IF(C1178="","",IF(AND(AP1178&lt;&gt;"",TODAY()&gt;=AP1178),"Refi Ready",IF(TODAY()-C1178&gt;=SETTINGS!$I$11,"Prospecting","Performing")))</f>
        <v/>
      </c>
      <c r="AR1178" s="22" t="str">
        <f aca="false">IF(OR(C1178="",I1178="",K1178=""),"",IF(K1178="Monthly",EDATE(C1178,I1178),WORKDAY(C1178,I1178)))</f>
        <v/>
      </c>
      <c r="AS1178" s="11"/>
      <c r="AT1178" s="23" t="str">
        <f aca="true">IF(C1178="","",IF(AM1178="Clawed Back","CLAWED",IF(TODAY()&lt;=C1178+SETTINGS!$I$2,"⚠ AT RISK","SAFE")))</f>
        <v/>
      </c>
      <c r="AU1178" s="11"/>
      <c r="AW1178" s="24" t="n">
        <f aca="false">AW1177+IF(AND(C1178&lt;&gt;"",AO1178&lt;&gt;"",OR('REP COMMISSION'!$B$3="",T1178='REP COMMISSION'!$B$3,W1178='REP COMMISSION'!$B$3,Z1178='REP COMMISSION'!$B$3)),1,0)</f>
        <v>0</v>
      </c>
      <c r="AX1178" s="24" t="n">
        <f aca="false">AX1177+IF(AND(C1178&lt;&gt;"",OR(F1178="LOC - INITIAL",F1178="CONSOLIDATION - UPFRONT COMM",F1178="REVERSE - TOTAL FUNDING")),1,0)</f>
        <v>0</v>
      </c>
    </row>
    <row r="1179" customFormat="false" ht="15" hidden="false" customHeight="false" outlineLevel="0" collapsed="false">
      <c r="A1179" s="25" t="str">
        <f aca="false">IF(C1179&lt;&gt;"","F27-"&amp;COUNT($C$4:C1179),"")</f>
        <v/>
      </c>
      <c r="B1179" s="26" t="str">
        <f aca="false">IF(OR(F1179="LOC - INITIAL",F1179="CONSOLIDATION - UPFRONT COMM",F1179="REVERSE - TOTAL FUNDING"),A1179,"")</f>
        <v/>
      </c>
      <c r="C1179" s="27"/>
      <c r="D1179" s="28"/>
      <c r="E1179" s="28"/>
      <c r="F1179" s="28"/>
      <c r="G1179" s="29"/>
      <c r="H1179" s="30"/>
      <c r="I1179" s="28"/>
      <c r="J1179" s="31" t="str">
        <f aca="false">IF(AND(G1179&lt;&gt;"",H1179&lt;&gt;""),G1179*H1179,"")</f>
        <v/>
      </c>
      <c r="K1179" s="28"/>
      <c r="L1179" s="32"/>
      <c r="M1179" s="32"/>
      <c r="N1179" s="31" t="n">
        <f aca="false">IF(OR(G1179="",M1179=""),0,IF(M1179&gt;100,M1179,G1179*IF(M1179&gt;1,M1179/100,M1179)))</f>
        <v>0</v>
      </c>
      <c r="O1179" s="31" t="str">
        <f aca="false">IF(G1179="","",G1179*IF(L1179="",0,IF(L1179&gt;1,L1179/100,L1179))+N1179)</f>
        <v/>
      </c>
      <c r="P1179" s="28"/>
      <c r="Q1179" s="33" t="str">
        <f aca="false">IF(P1179="","",IFERROR(VLOOKUP(P1179,PARTNERS!$A$2:$B$30,2,0),""))</f>
        <v/>
      </c>
      <c r="R1179" s="17" t="str">
        <f aca="false">IF(O1179="","",IF(OR(P1179="",Q1179=""),0,(O1179-N1179)*IF(Q1179&gt;1,Q1179/100,Q1179)))</f>
        <v/>
      </c>
      <c r="S1179" s="31" t="str">
        <f aca="false">IF(O1179="","",O1179-R1179)</f>
        <v/>
      </c>
      <c r="T1179" s="28"/>
      <c r="U1179" s="34" t="str">
        <f aca="false">IF(T1179="","",IFERROR(VLOOKUP(T1179,REPS!$A$2:$D$40,2,0),""))</f>
        <v/>
      </c>
      <c r="V1179" s="31" t="str">
        <f aca="false">IF(O1179="","",IF(U1179="",0,O1179*IF(U1179&gt;1,U1179/100,U1179)))</f>
        <v/>
      </c>
      <c r="W1179" s="28"/>
      <c r="X1179" s="34" t="str">
        <f aca="false">IF(W1179="","",IFERROR(VLOOKUP(W1179,REPS!$A$2:$D$40,3,0),""))</f>
        <v/>
      </c>
      <c r="Y1179" s="31" t="str">
        <f aca="false">IF(O1179="","",IF(X1179="",0,O1179*IF(X1179&gt;1,X1179/100,X1179)))</f>
        <v/>
      </c>
      <c r="Z1179" s="28"/>
      <c r="AA1179" s="34" t="str">
        <f aca="false">IF(Z1179="","",IFERROR(VLOOKUP(Z1179,REPS!$A$2:$D$40,4,0),""))</f>
        <v/>
      </c>
      <c r="AB1179" s="31" t="str">
        <f aca="false">IF(O1179="","",IF(AA1179="",0,O1179*IF(AA1179&gt;1,AA1179/100,AA1179)))</f>
        <v/>
      </c>
      <c r="AC1179" s="31" t="str">
        <f aca="false">IF(O1179="","",V1179+Y1179+AB1179)</f>
        <v/>
      </c>
      <c r="AD1179" s="19" t="str">
        <f aca="false">IF(O1179="","",O1179-R1179-AC1179)</f>
        <v/>
      </c>
      <c r="AE1179" s="20"/>
      <c r="AF1179" s="27"/>
      <c r="AG1179" s="21" t="n">
        <f aca="false">IF(OR(AE1179="",AE1179=0),0,AE1179*IF(U1179="",0,IF(U1179&gt;1,U1179/100,U1179)))</f>
        <v>0</v>
      </c>
      <c r="AH1179" s="21" t="n">
        <f aca="false">IF(OR(AE1179="",AE1179=0),0,AE1179*IF(X1179="",0,IF(X1179&gt;1,X1179/100,X1179)))</f>
        <v>0</v>
      </c>
      <c r="AI1179" s="21" t="n">
        <f aca="false">IF(OR(AE1179="",AE1179=0),0,AE1179*IF(AA1179="",0,IF(AA1179&gt;1,AA1179/100,AA1179)))</f>
        <v>0</v>
      </c>
      <c r="AJ1179" s="21" t="n">
        <f aca="false">AG1179+AH1179+AI1179</f>
        <v>0</v>
      </c>
      <c r="AK1179" s="21" t="n">
        <f aca="false">IF(OR(AE1179="",AE1179=0),0,AE1179-AJ1179)</f>
        <v>0</v>
      </c>
      <c r="AL1179" s="19" t="str">
        <f aca="false">IF(AD1179="","",AD1179-AK1179)</f>
        <v/>
      </c>
      <c r="AM1179" s="26" t="str">
        <f aca="false">IF(C1179="","","Waiting for payment")</f>
        <v/>
      </c>
      <c r="AN1179" s="27"/>
      <c r="AO1179" s="27"/>
      <c r="AP1179" s="35" t="str">
        <f aca="false">IF(OR(C1179="",I1179="",K1179=""),"",IF(K1179="Monthly",EDATE(C1179,ROUND(I1179*SETTINGS!$I$8,0)),WORKDAY(C1179,ROUND(I1179*SETTINGS!$I$8,0))))</f>
        <v/>
      </c>
      <c r="AQ1179" s="26" t="str">
        <f aca="true">IF(C1179="","",IF(AND(AP1179&lt;&gt;"",TODAY()&gt;=AP1179),"Refi Ready",IF(TODAY()-C1179&gt;=SETTINGS!$I$11,"Prospecting","Performing")))</f>
        <v/>
      </c>
      <c r="AR1179" s="35" t="str">
        <f aca="false">IF(OR(C1179="",I1179="",K1179=""),"",IF(K1179="Monthly",EDATE(C1179,I1179),WORKDAY(C1179,I1179)))</f>
        <v/>
      </c>
      <c r="AS1179" s="28"/>
      <c r="AT1179" s="36" t="str">
        <f aca="true">IF(C1179="","",IF(AM1179="Clawed Back","CLAWED",IF(TODAY()&lt;=C1179+SETTINGS!$I$2,"⚠ AT RISK","SAFE")))</f>
        <v/>
      </c>
      <c r="AU1179" s="28"/>
      <c r="AW1179" s="24" t="n">
        <f aca="false">AW1178+IF(AND(C1179&lt;&gt;"",AO1179&lt;&gt;"",OR('REP COMMISSION'!$B$3="",T1179='REP COMMISSION'!$B$3,W1179='REP COMMISSION'!$B$3,Z1179='REP COMMISSION'!$B$3)),1,0)</f>
        <v>0</v>
      </c>
      <c r="AX1179" s="24" t="n">
        <f aca="false">AX1178+IF(AND(C1179&lt;&gt;"",OR(F1179="LOC - INITIAL",F1179="CONSOLIDATION - UPFRONT COMM",F1179="REVERSE - TOTAL FUNDING")),1,0)</f>
        <v>0</v>
      </c>
    </row>
    <row r="1180" customFormat="false" ht="15" hidden="false" customHeight="false" outlineLevel="0" collapsed="false">
      <c r="A1180" s="8" t="str">
        <f aca="false">IF(C1180&lt;&gt;"","F27-"&amp;COUNT($C$4:C1180),"")</f>
        <v/>
      </c>
      <c r="B1180" s="9" t="str">
        <f aca="false">IF(OR(F1180="LOC - INITIAL",F1180="CONSOLIDATION - UPFRONT COMM",F1180="REVERSE - TOTAL FUNDING"),A1180,"")</f>
        <v/>
      </c>
      <c r="C1180" s="10"/>
      <c r="D1180" s="11"/>
      <c r="E1180" s="11"/>
      <c r="F1180" s="11"/>
      <c r="G1180" s="12"/>
      <c r="H1180" s="13"/>
      <c r="I1180" s="11"/>
      <c r="J1180" s="14" t="str">
        <f aca="false">IF(AND(G1180&lt;&gt;"",H1180&lt;&gt;""),G1180*H1180,"")</f>
        <v/>
      </c>
      <c r="K1180" s="11"/>
      <c r="L1180" s="15"/>
      <c r="M1180" s="15"/>
      <c r="N1180" s="14" t="n">
        <f aca="false">IF(OR(G1180="",M1180=""),0,IF(M1180&gt;100,M1180,G1180*IF(M1180&gt;1,M1180/100,M1180)))</f>
        <v>0</v>
      </c>
      <c r="O1180" s="14" t="str">
        <f aca="false">IF(G1180="","",G1180*IF(L1180="",0,IF(L1180&gt;1,L1180/100,L1180))+N1180)</f>
        <v/>
      </c>
      <c r="P1180" s="11"/>
      <c r="Q1180" s="16" t="str">
        <f aca="false">IF(P1180="","",IFERROR(VLOOKUP(P1180,PARTNERS!$A$2:$B$30,2,0),""))</f>
        <v/>
      </c>
      <c r="R1180" s="17" t="str">
        <f aca="false">IF(O1180="","",IF(OR(P1180="",Q1180=""),0,(O1180-N1180)*IF(Q1180&gt;1,Q1180/100,Q1180)))</f>
        <v/>
      </c>
      <c r="S1180" s="14" t="str">
        <f aca="false">IF(O1180="","",O1180-R1180)</f>
        <v/>
      </c>
      <c r="T1180" s="11"/>
      <c r="U1180" s="18" t="str">
        <f aca="false">IF(T1180="","",IFERROR(VLOOKUP(T1180,REPS!$A$2:$D$40,2,0),""))</f>
        <v/>
      </c>
      <c r="V1180" s="14" t="str">
        <f aca="false">IF(O1180="","",IF(U1180="",0,O1180*IF(U1180&gt;1,U1180/100,U1180)))</f>
        <v/>
      </c>
      <c r="W1180" s="11"/>
      <c r="X1180" s="18" t="str">
        <f aca="false">IF(W1180="","",IFERROR(VLOOKUP(W1180,REPS!$A$2:$D$40,3,0),""))</f>
        <v/>
      </c>
      <c r="Y1180" s="14" t="str">
        <f aca="false">IF(O1180="","",IF(X1180="",0,O1180*IF(X1180&gt;1,X1180/100,X1180)))</f>
        <v/>
      </c>
      <c r="Z1180" s="11"/>
      <c r="AA1180" s="18" t="str">
        <f aca="false">IF(Z1180="","",IFERROR(VLOOKUP(Z1180,REPS!$A$2:$D$40,4,0),""))</f>
        <v/>
      </c>
      <c r="AB1180" s="14" t="str">
        <f aca="false">IF(O1180="","",IF(AA1180="",0,O1180*IF(AA1180&gt;1,AA1180/100,AA1180)))</f>
        <v/>
      </c>
      <c r="AC1180" s="14" t="str">
        <f aca="false">IF(O1180="","",V1180+Y1180+AB1180)</f>
        <v/>
      </c>
      <c r="AD1180" s="19" t="str">
        <f aca="false">IF(O1180="","",O1180-R1180-AC1180)</f>
        <v/>
      </c>
      <c r="AE1180" s="20"/>
      <c r="AF1180" s="10"/>
      <c r="AG1180" s="21" t="n">
        <f aca="false">IF(OR(AE1180="",AE1180=0),0,AE1180*IF(U1180="",0,IF(U1180&gt;1,U1180/100,U1180)))</f>
        <v>0</v>
      </c>
      <c r="AH1180" s="21" t="n">
        <f aca="false">IF(OR(AE1180="",AE1180=0),0,AE1180*IF(X1180="",0,IF(X1180&gt;1,X1180/100,X1180)))</f>
        <v>0</v>
      </c>
      <c r="AI1180" s="21" t="n">
        <f aca="false">IF(OR(AE1180="",AE1180=0),0,AE1180*IF(AA1180="",0,IF(AA1180&gt;1,AA1180/100,AA1180)))</f>
        <v>0</v>
      </c>
      <c r="AJ1180" s="21" t="n">
        <f aca="false">AG1180+AH1180+AI1180</f>
        <v>0</v>
      </c>
      <c r="AK1180" s="21" t="n">
        <f aca="false">IF(OR(AE1180="",AE1180=0),0,AE1180-AJ1180)</f>
        <v>0</v>
      </c>
      <c r="AL1180" s="19" t="str">
        <f aca="false">IF(AD1180="","",AD1180-AK1180)</f>
        <v/>
      </c>
      <c r="AM1180" s="9" t="str">
        <f aca="false">IF(C1180="","","Waiting for payment")</f>
        <v/>
      </c>
      <c r="AN1180" s="10"/>
      <c r="AO1180" s="10"/>
      <c r="AP1180" s="22" t="str">
        <f aca="false">IF(OR(C1180="",I1180="",K1180=""),"",IF(K1180="Monthly",EDATE(C1180,ROUND(I1180*SETTINGS!$I$8,0)),WORKDAY(C1180,ROUND(I1180*SETTINGS!$I$8,0))))</f>
        <v/>
      </c>
      <c r="AQ1180" s="9" t="str">
        <f aca="true">IF(C1180="","",IF(AND(AP1180&lt;&gt;"",TODAY()&gt;=AP1180),"Refi Ready",IF(TODAY()-C1180&gt;=SETTINGS!$I$11,"Prospecting","Performing")))</f>
        <v/>
      </c>
      <c r="AR1180" s="22" t="str">
        <f aca="false">IF(OR(C1180="",I1180="",K1180=""),"",IF(K1180="Monthly",EDATE(C1180,I1180),WORKDAY(C1180,I1180)))</f>
        <v/>
      </c>
      <c r="AS1180" s="11"/>
      <c r="AT1180" s="23" t="str">
        <f aca="true">IF(C1180="","",IF(AM1180="Clawed Back","CLAWED",IF(TODAY()&lt;=C1180+SETTINGS!$I$2,"⚠ AT RISK","SAFE")))</f>
        <v/>
      </c>
      <c r="AU1180" s="11"/>
      <c r="AW1180" s="24" t="n">
        <f aca="false">AW1179+IF(AND(C1180&lt;&gt;"",AO1180&lt;&gt;"",OR('REP COMMISSION'!$B$3="",T1180='REP COMMISSION'!$B$3,W1180='REP COMMISSION'!$B$3,Z1180='REP COMMISSION'!$B$3)),1,0)</f>
        <v>0</v>
      </c>
      <c r="AX1180" s="24" t="n">
        <f aca="false">AX1179+IF(AND(C1180&lt;&gt;"",OR(F1180="LOC - INITIAL",F1180="CONSOLIDATION - UPFRONT COMM",F1180="REVERSE - TOTAL FUNDING")),1,0)</f>
        <v>0</v>
      </c>
    </row>
    <row r="1181" customFormat="false" ht="15" hidden="false" customHeight="false" outlineLevel="0" collapsed="false">
      <c r="A1181" s="25" t="str">
        <f aca="false">IF(C1181&lt;&gt;"","F27-"&amp;COUNT($C$4:C1181),"")</f>
        <v/>
      </c>
      <c r="B1181" s="26" t="str">
        <f aca="false">IF(OR(F1181="LOC - INITIAL",F1181="CONSOLIDATION - UPFRONT COMM",F1181="REVERSE - TOTAL FUNDING"),A1181,"")</f>
        <v/>
      </c>
      <c r="C1181" s="27"/>
      <c r="D1181" s="28"/>
      <c r="E1181" s="28"/>
      <c r="F1181" s="28"/>
      <c r="G1181" s="29"/>
      <c r="H1181" s="30"/>
      <c r="I1181" s="28"/>
      <c r="J1181" s="31" t="str">
        <f aca="false">IF(AND(G1181&lt;&gt;"",H1181&lt;&gt;""),G1181*H1181,"")</f>
        <v/>
      </c>
      <c r="K1181" s="28"/>
      <c r="L1181" s="32"/>
      <c r="M1181" s="32"/>
      <c r="N1181" s="31" t="n">
        <f aca="false">IF(OR(G1181="",M1181=""),0,IF(M1181&gt;100,M1181,G1181*IF(M1181&gt;1,M1181/100,M1181)))</f>
        <v>0</v>
      </c>
      <c r="O1181" s="31" t="str">
        <f aca="false">IF(G1181="","",G1181*IF(L1181="",0,IF(L1181&gt;1,L1181/100,L1181))+N1181)</f>
        <v/>
      </c>
      <c r="P1181" s="28"/>
      <c r="Q1181" s="33" t="str">
        <f aca="false">IF(P1181="","",IFERROR(VLOOKUP(P1181,PARTNERS!$A$2:$B$30,2,0),""))</f>
        <v/>
      </c>
      <c r="R1181" s="17" t="str">
        <f aca="false">IF(O1181="","",IF(OR(P1181="",Q1181=""),0,(O1181-N1181)*IF(Q1181&gt;1,Q1181/100,Q1181)))</f>
        <v/>
      </c>
      <c r="S1181" s="31" t="str">
        <f aca="false">IF(O1181="","",O1181-R1181)</f>
        <v/>
      </c>
      <c r="T1181" s="28"/>
      <c r="U1181" s="34" t="str">
        <f aca="false">IF(T1181="","",IFERROR(VLOOKUP(T1181,REPS!$A$2:$D$40,2,0),""))</f>
        <v/>
      </c>
      <c r="V1181" s="31" t="str">
        <f aca="false">IF(O1181="","",IF(U1181="",0,O1181*IF(U1181&gt;1,U1181/100,U1181)))</f>
        <v/>
      </c>
      <c r="W1181" s="28"/>
      <c r="X1181" s="34" t="str">
        <f aca="false">IF(W1181="","",IFERROR(VLOOKUP(W1181,REPS!$A$2:$D$40,3,0),""))</f>
        <v/>
      </c>
      <c r="Y1181" s="31" t="str">
        <f aca="false">IF(O1181="","",IF(X1181="",0,O1181*IF(X1181&gt;1,X1181/100,X1181)))</f>
        <v/>
      </c>
      <c r="Z1181" s="28"/>
      <c r="AA1181" s="34" t="str">
        <f aca="false">IF(Z1181="","",IFERROR(VLOOKUP(Z1181,REPS!$A$2:$D$40,4,0),""))</f>
        <v/>
      </c>
      <c r="AB1181" s="31" t="str">
        <f aca="false">IF(O1181="","",IF(AA1181="",0,O1181*IF(AA1181&gt;1,AA1181/100,AA1181)))</f>
        <v/>
      </c>
      <c r="AC1181" s="31" t="str">
        <f aca="false">IF(O1181="","",V1181+Y1181+AB1181)</f>
        <v/>
      </c>
      <c r="AD1181" s="19" t="str">
        <f aca="false">IF(O1181="","",O1181-R1181-AC1181)</f>
        <v/>
      </c>
      <c r="AE1181" s="20"/>
      <c r="AF1181" s="27"/>
      <c r="AG1181" s="21" t="n">
        <f aca="false">IF(OR(AE1181="",AE1181=0),0,AE1181*IF(U1181="",0,IF(U1181&gt;1,U1181/100,U1181)))</f>
        <v>0</v>
      </c>
      <c r="AH1181" s="21" t="n">
        <f aca="false">IF(OR(AE1181="",AE1181=0),0,AE1181*IF(X1181="",0,IF(X1181&gt;1,X1181/100,X1181)))</f>
        <v>0</v>
      </c>
      <c r="AI1181" s="21" t="n">
        <f aca="false">IF(OR(AE1181="",AE1181=0),0,AE1181*IF(AA1181="",0,IF(AA1181&gt;1,AA1181/100,AA1181)))</f>
        <v>0</v>
      </c>
      <c r="AJ1181" s="21" t="n">
        <f aca="false">AG1181+AH1181+AI1181</f>
        <v>0</v>
      </c>
      <c r="AK1181" s="21" t="n">
        <f aca="false">IF(OR(AE1181="",AE1181=0),0,AE1181-AJ1181)</f>
        <v>0</v>
      </c>
      <c r="AL1181" s="19" t="str">
        <f aca="false">IF(AD1181="","",AD1181-AK1181)</f>
        <v/>
      </c>
      <c r="AM1181" s="26" t="str">
        <f aca="false">IF(C1181="","","Waiting for payment")</f>
        <v/>
      </c>
      <c r="AN1181" s="27"/>
      <c r="AO1181" s="27"/>
      <c r="AP1181" s="35" t="str">
        <f aca="false">IF(OR(C1181="",I1181="",K1181=""),"",IF(K1181="Monthly",EDATE(C1181,ROUND(I1181*SETTINGS!$I$8,0)),WORKDAY(C1181,ROUND(I1181*SETTINGS!$I$8,0))))</f>
        <v/>
      </c>
      <c r="AQ1181" s="26" t="str">
        <f aca="true">IF(C1181="","",IF(AND(AP1181&lt;&gt;"",TODAY()&gt;=AP1181),"Refi Ready",IF(TODAY()-C1181&gt;=SETTINGS!$I$11,"Prospecting","Performing")))</f>
        <v/>
      </c>
      <c r="AR1181" s="35" t="str">
        <f aca="false">IF(OR(C1181="",I1181="",K1181=""),"",IF(K1181="Monthly",EDATE(C1181,I1181),WORKDAY(C1181,I1181)))</f>
        <v/>
      </c>
      <c r="AS1181" s="28"/>
      <c r="AT1181" s="36" t="str">
        <f aca="true">IF(C1181="","",IF(AM1181="Clawed Back","CLAWED",IF(TODAY()&lt;=C1181+SETTINGS!$I$2,"⚠ AT RISK","SAFE")))</f>
        <v/>
      </c>
      <c r="AU1181" s="28"/>
      <c r="AW1181" s="24" t="n">
        <f aca="false">AW1180+IF(AND(C1181&lt;&gt;"",AO1181&lt;&gt;"",OR('REP COMMISSION'!$B$3="",T1181='REP COMMISSION'!$B$3,W1181='REP COMMISSION'!$B$3,Z1181='REP COMMISSION'!$B$3)),1,0)</f>
        <v>0</v>
      </c>
      <c r="AX1181" s="24" t="n">
        <f aca="false">AX1180+IF(AND(C1181&lt;&gt;"",OR(F1181="LOC - INITIAL",F1181="CONSOLIDATION - UPFRONT COMM",F1181="REVERSE - TOTAL FUNDING")),1,0)</f>
        <v>0</v>
      </c>
    </row>
    <row r="1182" customFormat="false" ht="15" hidden="false" customHeight="false" outlineLevel="0" collapsed="false">
      <c r="A1182" s="8" t="str">
        <f aca="false">IF(C1182&lt;&gt;"","F27-"&amp;COUNT($C$4:C1182),"")</f>
        <v/>
      </c>
      <c r="B1182" s="9" t="str">
        <f aca="false">IF(OR(F1182="LOC - INITIAL",F1182="CONSOLIDATION - UPFRONT COMM",F1182="REVERSE - TOTAL FUNDING"),A1182,"")</f>
        <v/>
      </c>
      <c r="C1182" s="10"/>
      <c r="D1182" s="11"/>
      <c r="E1182" s="11"/>
      <c r="F1182" s="11"/>
      <c r="G1182" s="12"/>
      <c r="H1182" s="13"/>
      <c r="I1182" s="11"/>
      <c r="J1182" s="14" t="str">
        <f aca="false">IF(AND(G1182&lt;&gt;"",H1182&lt;&gt;""),G1182*H1182,"")</f>
        <v/>
      </c>
      <c r="K1182" s="11"/>
      <c r="L1182" s="15"/>
      <c r="M1182" s="15"/>
      <c r="N1182" s="14" t="n">
        <f aca="false">IF(OR(G1182="",M1182=""),0,IF(M1182&gt;100,M1182,G1182*IF(M1182&gt;1,M1182/100,M1182)))</f>
        <v>0</v>
      </c>
      <c r="O1182" s="14" t="str">
        <f aca="false">IF(G1182="","",G1182*IF(L1182="",0,IF(L1182&gt;1,L1182/100,L1182))+N1182)</f>
        <v/>
      </c>
      <c r="P1182" s="11"/>
      <c r="Q1182" s="16" t="str">
        <f aca="false">IF(P1182="","",IFERROR(VLOOKUP(P1182,PARTNERS!$A$2:$B$30,2,0),""))</f>
        <v/>
      </c>
      <c r="R1182" s="17" t="str">
        <f aca="false">IF(O1182="","",IF(OR(P1182="",Q1182=""),0,(O1182-N1182)*IF(Q1182&gt;1,Q1182/100,Q1182)))</f>
        <v/>
      </c>
      <c r="S1182" s="14" t="str">
        <f aca="false">IF(O1182="","",O1182-R1182)</f>
        <v/>
      </c>
      <c r="T1182" s="11"/>
      <c r="U1182" s="18" t="str">
        <f aca="false">IF(T1182="","",IFERROR(VLOOKUP(T1182,REPS!$A$2:$D$40,2,0),""))</f>
        <v/>
      </c>
      <c r="V1182" s="14" t="str">
        <f aca="false">IF(O1182="","",IF(U1182="",0,O1182*IF(U1182&gt;1,U1182/100,U1182)))</f>
        <v/>
      </c>
      <c r="W1182" s="11"/>
      <c r="X1182" s="18" t="str">
        <f aca="false">IF(W1182="","",IFERROR(VLOOKUP(W1182,REPS!$A$2:$D$40,3,0),""))</f>
        <v/>
      </c>
      <c r="Y1182" s="14" t="str">
        <f aca="false">IF(O1182="","",IF(X1182="",0,O1182*IF(X1182&gt;1,X1182/100,X1182)))</f>
        <v/>
      </c>
      <c r="Z1182" s="11"/>
      <c r="AA1182" s="18" t="str">
        <f aca="false">IF(Z1182="","",IFERROR(VLOOKUP(Z1182,REPS!$A$2:$D$40,4,0),""))</f>
        <v/>
      </c>
      <c r="AB1182" s="14" t="str">
        <f aca="false">IF(O1182="","",IF(AA1182="",0,O1182*IF(AA1182&gt;1,AA1182/100,AA1182)))</f>
        <v/>
      </c>
      <c r="AC1182" s="14" t="str">
        <f aca="false">IF(O1182="","",V1182+Y1182+AB1182)</f>
        <v/>
      </c>
      <c r="AD1182" s="19" t="str">
        <f aca="false">IF(O1182="","",O1182-R1182-AC1182)</f>
        <v/>
      </c>
      <c r="AE1182" s="20"/>
      <c r="AF1182" s="10"/>
      <c r="AG1182" s="21" t="n">
        <f aca="false">IF(OR(AE1182="",AE1182=0),0,AE1182*IF(U1182="",0,IF(U1182&gt;1,U1182/100,U1182)))</f>
        <v>0</v>
      </c>
      <c r="AH1182" s="21" t="n">
        <f aca="false">IF(OR(AE1182="",AE1182=0),0,AE1182*IF(X1182="",0,IF(X1182&gt;1,X1182/100,X1182)))</f>
        <v>0</v>
      </c>
      <c r="AI1182" s="21" t="n">
        <f aca="false">IF(OR(AE1182="",AE1182=0),0,AE1182*IF(AA1182="",0,IF(AA1182&gt;1,AA1182/100,AA1182)))</f>
        <v>0</v>
      </c>
      <c r="AJ1182" s="21" t="n">
        <f aca="false">AG1182+AH1182+AI1182</f>
        <v>0</v>
      </c>
      <c r="AK1182" s="21" t="n">
        <f aca="false">IF(OR(AE1182="",AE1182=0),0,AE1182-AJ1182)</f>
        <v>0</v>
      </c>
      <c r="AL1182" s="19" t="str">
        <f aca="false">IF(AD1182="","",AD1182-AK1182)</f>
        <v/>
      </c>
      <c r="AM1182" s="9" t="str">
        <f aca="false">IF(C1182="","","Waiting for payment")</f>
        <v/>
      </c>
      <c r="AN1182" s="10"/>
      <c r="AO1182" s="10"/>
      <c r="AP1182" s="22" t="str">
        <f aca="false">IF(OR(C1182="",I1182="",K1182=""),"",IF(K1182="Monthly",EDATE(C1182,ROUND(I1182*SETTINGS!$I$8,0)),WORKDAY(C1182,ROUND(I1182*SETTINGS!$I$8,0))))</f>
        <v/>
      </c>
      <c r="AQ1182" s="9" t="str">
        <f aca="true">IF(C1182="","",IF(AND(AP1182&lt;&gt;"",TODAY()&gt;=AP1182),"Refi Ready",IF(TODAY()-C1182&gt;=SETTINGS!$I$11,"Prospecting","Performing")))</f>
        <v/>
      </c>
      <c r="AR1182" s="22" t="str">
        <f aca="false">IF(OR(C1182="",I1182="",K1182=""),"",IF(K1182="Monthly",EDATE(C1182,I1182),WORKDAY(C1182,I1182)))</f>
        <v/>
      </c>
      <c r="AS1182" s="11"/>
      <c r="AT1182" s="23" t="str">
        <f aca="true">IF(C1182="","",IF(AM1182="Clawed Back","CLAWED",IF(TODAY()&lt;=C1182+SETTINGS!$I$2,"⚠ AT RISK","SAFE")))</f>
        <v/>
      </c>
      <c r="AU1182" s="11"/>
      <c r="AW1182" s="24" t="n">
        <f aca="false">AW1181+IF(AND(C1182&lt;&gt;"",AO1182&lt;&gt;"",OR('REP COMMISSION'!$B$3="",T1182='REP COMMISSION'!$B$3,W1182='REP COMMISSION'!$B$3,Z1182='REP COMMISSION'!$B$3)),1,0)</f>
        <v>0</v>
      </c>
      <c r="AX1182" s="24" t="n">
        <f aca="false">AX1181+IF(AND(C1182&lt;&gt;"",OR(F1182="LOC - INITIAL",F1182="CONSOLIDATION - UPFRONT COMM",F1182="REVERSE - TOTAL FUNDING")),1,0)</f>
        <v>0</v>
      </c>
    </row>
    <row r="1183" customFormat="false" ht="15" hidden="false" customHeight="false" outlineLevel="0" collapsed="false">
      <c r="A1183" s="25" t="str">
        <f aca="false">IF(C1183&lt;&gt;"","F27-"&amp;COUNT($C$4:C1183),"")</f>
        <v/>
      </c>
      <c r="B1183" s="26" t="str">
        <f aca="false">IF(OR(F1183="LOC - INITIAL",F1183="CONSOLIDATION - UPFRONT COMM",F1183="REVERSE - TOTAL FUNDING"),A1183,"")</f>
        <v/>
      </c>
      <c r="C1183" s="27"/>
      <c r="D1183" s="28"/>
      <c r="E1183" s="28"/>
      <c r="F1183" s="28"/>
      <c r="G1183" s="29"/>
      <c r="H1183" s="30"/>
      <c r="I1183" s="28"/>
      <c r="J1183" s="31" t="str">
        <f aca="false">IF(AND(G1183&lt;&gt;"",H1183&lt;&gt;""),G1183*H1183,"")</f>
        <v/>
      </c>
      <c r="K1183" s="28"/>
      <c r="L1183" s="32"/>
      <c r="M1183" s="32"/>
      <c r="N1183" s="31" t="n">
        <f aca="false">IF(OR(G1183="",M1183=""),0,IF(M1183&gt;100,M1183,G1183*IF(M1183&gt;1,M1183/100,M1183)))</f>
        <v>0</v>
      </c>
      <c r="O1183" s="31" t="str">
        <f aca="false">IF(G1183="","",G1183*IF(L1183="",0,IF(L1183&gt;1,L1183/100,L1183))+N1183)</f>
        <v/>
      </c>
      <c r="P1183" s="28"/>
      <c r="Q1183" s="33" t="str">
        <f aca="false">IF(P1183="","",IFERROR(VLOOKUP(P1183,PARTNERS!$A$2:$B$30,2,0),""))</f>
        <v/>
      </c>
      <c r="R1183" s="17" t="str">
        <f aca="false">IF(O1183="","",IF(OR(P1183="",Q1183=""),0,(O1183-N1183)*IF(Q1183&gt;1,Q1183/100,Q1183)))</f>
        <v/>
      </c>
      <c r="S1183" s="31" t="str">
        <f aca="false">IF(O1183="","",O1183-R1183)</f>
        <v/>
      </c>
      <c r="T1183" s="28"/>
      <c r="U1183" s="34" t="str">
        <f aca="false">IF(T1183="","",IFERROR(VLOOKUP(T1183,REPS!$A$2:$D$40,2,0),""))</f>
        <v/>
      </c>
      <c r="V1183" s="31" t="str">
        <f aca="false">IF(O1183="","",IF(U1183="",0,O1183*IF(U1183&gt;1,U1183/100,U1183)))</f>
        <v/>
      </c>
      <c r="W1183" s="28"/>
      <c r="X1183" s="34" t="str">
        <f aca="false">IF(W1183="","",IFERROR(VLOOKUP(W1183,REPS!$A$2:$D$40,3,0),""))</f>
        <v/>
      </c>
      <c r="Y1183" s="31" t="str">
        <f aca="false">IF(O1183="","",IF(X1183="",0,O1183*IF(X1183&gt;1,X1183/100,X1183)))</f>
        <v/>
      </c>
      <c r="Z1183" s="28"/>
      <c r="AA1183" s="34" t="str">
        <f aca="false">IF(Z1183="","",IFERROR(VLOOKUP(Z1183,REPS!$A$2:$D$40,4,0),""))</f>
        <v/>
      </c>
      <c r="AB1183" s="31" t="str">
        <f aca="false">IF(O1183="","",IF(AA1183="",0,O1183*IF(AA1183&gt;1,AA1183/100,AA1183)))</f>
        <v/>
      </c>
      <c r="AC1183" s="31" t="str">
        <f aca="false">IF(O1183="","",V1183+Y1183+AB1183)</f>
        <v/>
      </c>
      <c r="AD1183" s="19" t="str">
        <f aca="false">IF(O1183="","",O1183-R1183-AC1183)</f>
        <v/>
      </c>
      <c r="AE1183" s="20"/>
      <c r="AF1183" s="27"/>
      <c r="AG1183" s="21" t="n">
        <f aca="false">IF(OR(AE1183="",AE1183=0),0,AE1183*IF(U1183="",0,IF(U1183&gt;1,U1183/100,U1183)))</f>
        <v>0</v>
      </c>
      <c r="AH1183" s="21" t="n">
        <f aca="false">IF(OR(AE1183="",AE1183=0),0,AE1183*IF(X1183="",0,IF(X1183&gt;1,X1183/100,X1183)))</f>
        <v>0</v>
      </c>
      <c r="AI1183" s="21" t="n">
        <f aca="false">IF(OR(AE1183="",AE1183=0),0,AE1183*IF(AA1183="",0,IF(AA1183&gt;1,AA1183/100,AA1183)))</f>
        <v>0</v>
      </c>
      <c r="AJ1183" s="21" t="n">
        <f aca="false">AG1183+AH1183+AI1183</f>
        <v>0</v>
      </c>
      <c r="AK1183" s="21" t="n">
        <f aca="false">IF(OR(AE1183="",AE1183=0),0,AE1183-AJ1183)</f>
        <v>0</v>
      </c>
      <c r="AL1183" s="19" t="str">
        <f aca="false">IF(AD1183="","",AD1183-AK1183)</f>
        <v/>
      </c>
      <c r="AM1183" s="26" t="str">
        <f aca="false">IF(C1183="","","Waiting for payment")</f>
        <v/>
      </c>
      <c r="AN1183" s="27"/>
      <c r="AO1183" s="27"/>
      <c r="AP1183" s="35" t="str">
        <f aca="false">IF(OR(C1183="",I1183="",K1183=""),"",IF(K1183="Monthly",EDATE(C1183,ROUND(I1183*SETTINGS!$I$8,0)),WORKDAY(C1183,ROUND(I1183*SETTINGS!$I$8,0))))</f>
        <v/>
      </c>
      <c r="AQ1183" s="26" t="str">
        <f aca="true">IF(C1183="","",IF(AND(AP1183&lt;&gt;"",TODAY()&gt;=AP1183),"Refi Ready",IF(TODAY()-C1183&gt;=SETTINGS!$I$11,"Prospecting","Performing")))</f>
        <v/>
      </c>
      <c r="AR1183" s="35" t="str">
        <f aca="false">IF(OR(C1183="",I1183="",K1183=""),"",IF(K1183="Monthly",EDATE(C1183,I1183),WORKDAY(C1183,I1183)))</f>
        <v/>
      </c>
      <c r="AS1183" s="28"/>
      <c r="AT1183" s="36" t="str">
        <f aca="true">IF(C1183="","",IF(AM1183="Clawed Back","CLAWED",IF(TODAY()&lt;=C1183+SETTINGS!$I$2,"⚠ AT RISK","SAFE")))</f>
        <v/>
      </c>
      <c r="AU1183" s="28"/>
      <c r="AW1183" s="24" t="n">
        <f aca="false">AW1182+IF(AND(C1183&lt;&gt;"",AO1183&lt;&gt;"",OR('REP COMMISSION'!$B$3="",T1183='REP COMMISSION'!$B$3,W1183='REP COMMISSION'!$B$3,Z1183='REP COMMISSION'!$B$3)),1,0)</f>
        <v>0</v>
      </c>
      <c r="AX1183" s="24" t="n">
        <f aca="false">AX1182+IF(AND(C1183&lt;&gt;"",OR(F1183="LOC - INITIAL",F1183="CONSOLIDATION - UPFRONT COMM",F1183="REVERSE - TOTAL FUNDING")),1,0)</f>
        <v>0</v>
      </c>
    </row>
    <row r="1184" customFormat="false" ht="15" hidden="false" customHeight="false" outlineLevel="0" collapsed="false">
      <c r="A1184" s="8" t="str">
        <f aca="false">IF(C1184&lt;&gt;"","F27-"&amp;COUNT($C$4:C1184),"")</f>
        <v/>
      </c>
      <c r="B1184" s="9" t="str">
        <f aca="false">IF(OR(F1184="LOC - INITIAL",F1184="CONSOLIDATION - UPFRONT COMM",F1184="REVERSE - TOTAL FUNDING"),A1184,"")</f>
        <v/>
      </c>
      <c r="C1184" s="10"/>
      <c r="D1184" s="11"/>
      <c r="E1184" s="11"/>
      <c r="F1184" s="11"/>
      <c r="G1184" s="12"/>
      <c r="H1184" s="13"/>
      <c r="I1184" s="11"/>
      <c r="J1184" s="14" t="str">
        <f aca="false">IF(AND(G1184&lt;&gt;"",H1184&lt;&gt;""),G1184*H1184,"")</f>
        <v/>
      </c>
      <c r="K1184" s="11"/>
      <c r="L1184" s="15"/>
      <c r="M1184" s="15"/>
      <c r="N1184" s="14" t="n">
        <f aca="false">IF(OR(G1184="",M1184=""),0,IF(M1184&gt;100,M1184,G1184*IF(M1184&gt;1,M1184/100,M1184)))</f>
        <v>0</v>
      </c>
      <c r="O1184" s="14" t="str">
        <f aca="false">IF(G1184="","",G1184*IF(L1184="",0,IF(L1184&gt;1,L1184/100,L1184))+N1184)</f>
        <v/>
      </c>
      <c r="P1184" s="11"/>
      <c r="Q1184" s="16" t="str">
        <f aca="false">IF(P1184="","",IFERROR(VLOOKUP(P1184,PARTNERS!$A$2:$B$30,2,0),""))</f>
        <v/>
      </c>
      <c r="R1184" s="17" t="str">
        <f aca="false">IF(O1184="","",IF(OR(P1184="",Q1184=""),0,(O1184-N1184)*IF(Q1184&gt;1,Q1184/100,Q1184)))</f>
        <v/>
      </c>
      <c r="S1184" s="14" t="str">
        <f aca="false">IF(O1184="","",O1184-R1184)</f>
        <v/>
      </c>
      <c r="T1184" s="11"/>
      <c r="U1184" s="18" t="str">
        <f aca="false">IF(T1184="","",IFERROR(VLOOKUP(T1184,REPS!$A$2:$D$40,2,0),""))</f>
        <v/>
      </c>
      <c r="V1184" s="14" t="str">
        <f aca="false">IF(O1184="","",IF(U1184="",0,O1184*IF(U1184&gt;1,U1184/100,U1184)))</f>
        <v/>
      </c>
      <c r="W1184" s="11"/>
      <c r="X1184" s="18" t="str">
        <f aca="false">IF(W1184="","",IFERROR(VLOOKUP(W1184,REPS!$A$2:$D$40,3,0),""))</f>
        <v/>
      </c>
      <c r="Y1184" s="14" t="str">
        <f aca="false">IF(O1184="","",IF(X1184="",0,O1184*IF(X1184&gt;1,X1184/100,X1184)))</f>
        <v/>
      </c>
      <c r="Z1184" s="11"/>
      <c r="AA1184" s="18" t="str">
        <f aca="false">IF(Z1184="","",IFERROR(VLOOKUP(Z1184,REPS!$A$2:$D$40,4,0),""))</f>
        <v/>
      </c>
      <c r="AB1184" s="14" t="str">
        <f aca="false">IF(O1184="","",IF(AA1184="",0,O1184*IF(AA1184&gt;1,AA1184/100,AA1184)))</f>
        <v/>
      </c>
      <c r="AC1184" s="14" t="str">
        <f aca="false">IF(O1184="","",V1184+Y1184+AB1184)</f>
        <v/>
      </c>
      <c r="AD1184" s="19" t="str">
        <f aca="false">IF(O1184="","",O1184-R1184-AC1184)</f>
        <v/>
      </c>
      <c r="AE1184" s="20"/>
      <c r="AF1184" s="10"/>
      <c r="AG1184" s="21" t="n">
        <f aca="false">IF(OR(AE1184="",AE1184=0),0,AE1184*IF(U1184="",0,IF(U1184&gt;1,U1184/100,U1184)))</f>
        <v>0</v>
      </c>
      <c r="AH1184" s="21" t="n">
        <f aca="false">IF(OR(AE1184="",AE1184=0),0,AE1184*IF(X1184="",0,IF(X1184&gt;1,X1184/100,X1184)))</f>
        <v>0</v>
      </c>
      <c r="AI1184" s="21" t="n">
        <f aca="false">IF(OR(AE1184="",AE1184=0),0,AE1184*IF(AA1184="",0,IF(AA1184&gt;1,AA1184/100,AA1184)))</f>
        <v>0</v>
      </c>
      <c r="AJ1184" s="21" t="n">
        <f aca="false">AG1184+AH1184+AI1184</f>
        <v>0</v>
      </c>
      <c r="AK1184" s="21" t="n">
        <f aca="false">IF(OR(AE1184="",AE1184=0),0,AE1184-AJ1184)</f>
        <v>0</v>
      </c>
      <c r="AL1184" s="19" t="str">
        <f aca="false">IF(AD1184="","",AD1184-AK1184)</f>
        <v/>
      </c>
      <c r="AM1184" s="9" t="str">
        <f aca="false">IF(C1184="","","Waiting for payment")</f>
        <v/>
      </c>
      <c r="AN1184" s="10"/>
      <c r="AO1184" s="10"/>
      <c r="AP1184" s="22" t="str">
        <f aca="false">IF(OR(C1184="",I1184="",K1184=""),"",IF(K1184="Monthly",EDATE(C1184,ROUND(I1184*SETTINGS!$I$8,0)),WORKDAY(C1184,ROUND(I1184*SETTINGS!$I$8,0))))</f>
        <v/>
      </c>
      <c r="AQ1184" s="9" t="str">
        <f aca="true">IF(C1184="","",IF(AND(AP1184&lt;&gt;"",TODAY()&gt;=AP1184),"Refi Ready",IF(TODAY()-C1184&gt;=SETTINGS!$I$11,"Prospecting","Performing")))</f>
        <v/>
      </c>
      <c r="AR1184" s="22" t="str">
        <f aca="false">IF(OR(C1184="",I1184="",K1184=""),"",IF(K1184="Monthly",EDATE(C1184,I1184),WORKDAY(C1184,I1184)))</f>
        <v/>
      </c>
      <c r="AS1184" s="11"/>
      <c r="AT1184" s="23" t="str">
        <f aca="true">IF(C1184="","",IF(AM1184="Clawed Back","CLAWED",IF(TODAY()&lt;=C1184+SETTINGS!$I$2,"⚠ AT RISK","SAFE")))</f>
        <v/>
      </c>
      <c r="AU1184" s="11"/>
      <c r="AW1184" s="24" t="n">
        <f aca="false">AW1183+IF(AND(C1184&lt;&gt;"",AO1184&lt;&gt;"",OR('REP COMMISSION'!$B$3="",T1184='REP COMMISSION'!$B$3,W1184='REP COMMISSION'!$B$3,Z1184='REP COMMISSION'!$B$3)),1,0)</f>
        <v>0</v>
      </c>
      <c r="AX1184" s="24" t="n">
        <f aca="false">AX1183+IF(AND(C1184&lt;&gt;"",OR(F1184="LOC - INITIAL",F1184="CONSOLIDATION - UPFRONT COMM",F1184="REVERSE - TOTAL FUNDING")),1,0)</f>
        <v>0</v>
      </c>
    </row>
    <row r="1185" customFormat="false" ht="15" hidden="false" customHeight="false" outlineLevel="0" collapsed="false">
      <c r="A1185" s="25" t="str">
        <f aca="false">IF(C1185&lt;&gt;"","F27-"&amp;COUNT($C$4:C1185),"")</f>
        <v/>
      </c>
      <c r="B1185" s="26" t="str">
        <f aca="false">IF(OR(F1185="LOC - INITIAL",F1185="CONSOLIDATION - UPFRONT COMM",F1185="REVERSE - TOTAL FUNDING"),A1185,"")</f>
        <v/>
      </c>
      <c r="C1185" s="27"/>
      <c r="D1185" s="28"/>
      <c r="E1185" s="28"/>
      <c r="F1185" s="28"/>
      <c r="G1185" s="29"/>
      <c r="H1185" s="30"/>
      <c r="I1185" s="28"/>
      <c r="J1185" s="31" t="str">
        <f aca="false">IF(AND(G1185&lt;&gt;"",H1185&lt;&gt;""),G1185*H1185,"")</f>
        <v/>
      </c>
      <c r="K1185" s="28"/>
      <c r="L1185" s="32"/>
      <c r="M1185" s="32"/>
      <c r="N1185" s="31" t="n">
        <f aca="false">IF(OR(G1185="",M1185=""),0,IF(M1185&gt;100,M1185,G1185*IF(M1185&gt;1,M1185/100,M1185)))</f>
        <v>0</v>
      </c>
      <c r="O1185" s="31" t="str">
        <f aca="false">IF(G1185="","",G1185*IF(L1185="",0,IF(L1185&gt;1,L1185/100,L1185))+N1185)</f>
        <v/>
      </c>
      <c r="P1185" s="28"/>
      <c r="Q1185" s="33" t="str">
        <f aca="false">IF(P1185="","",IFERROR(VLOOKUP(P1185,PARTNERS!$A$2:$B$30,2,0),""))</f>
        <v/>
      </c>
      <c r="R1185" s="17" t="str">
        <f aca="false">IF(O1185="","",IF(OR(P1185="",Q1185=""),0,(O1185-N1185)*IF(Q1185&gt;1,Q1185/100,Q1185)))</f>
        <v/>
      </c>
      <c r="S1185" s="31" t="str">
        <f aca="false">IF(O1185="","",O1185-R1185)</f>
        <v/>
      </c>
      <c r="T1185" s="28"/>
      <c r="U1185" s="34" t="str">
        <f aca="false">IF(T1185="","",IFERROR(VLOOKUP(T1185,REPS!$A$2:$D$40,2,0),""))</f>
        <v/>
      </c>
      <c r="V1185" s="31" t="str">
        <f aca="false">IF(O1185="","",IF(U1185="",0,O1185*IF(U1185&gt;1,U1185/100,U1185)))</f>
        <v/>
      </c>
      <c r="W1185" s="28"/>
      <c r="X1185" s="34" t="str">
        <f aca="false">IF(W1185="","",IFERROR(VLOOKUP(W1185,REPS!$A$2:$D$40,3,0),""))</f>
        <v/>
      </c>
      <c r="Y1185" s="31" t="str">
        <f aca="false">IF(O1185="","",IF(X1185="",0,O1185*IF(X1185&gt;1,X1185/100,X1185)))</f>
        <v/>
      </c>
      <c r="Z1185" s="28"/>
      <c r="AA1185" s="34" t="str">
        <f aca="false">IF(Z1185="","",IFERROR(VLOOKUP(Z1185,REPS!$A$2:$D$40,4,0),""))</f>
        <v/>
      </c>
      <c r="AB1185" s="31" t="str">
        <f aca="false">IF(O1185="","",IF(AA1185="",0,O1185*IF(AA1185&gt;1,AA1185/100,AA1185)))</f>
        <v/>
      </c>
      <c r="AC1185" s="31" t="str">
        <f aca="false">IF(O1185="","",V1185+Y1185+AB1185)</f>
        <v/>
      </c>
      <c r="AD1185" s="19" t="str">
        <f aca="false">IF(O1185="","",O1185-R1185-AC1185)</f>
        <v/>
      </c>
      <c r="AE1185" s="20"/>
      <c r="AF1185" s="27"/>
      <c r="AG1185" s="21" t="n">
        <f aca="false">IF(OR(AE1185="",AE1185=0),0,AE1185*IF(U1185="",0,IF(U1185&gt;1,U1185/100,U1185)))</f>
        <v>0</v>
      </c>
      <c r="AH1185" s="21" t="n">
        <f aca="false">IF(OR(AE1185="",AE1185=0),0,AE1185*IF(X1185="",0,IF(X1185&gt;1,X1185/100,X1185)))</f>
        <v>0</v>
      </c>
      <c r="AI1185" s="21" t="n">
        <f aca="false">IF(OR(AE1185="",AE1185=0),0,AE1185*IF(AA1185="",0,IF(AA1185&gt;1,AA1185/100,AA1185)))</f>
        <v>0</v>
      </c>
      <c r="AJ1185" s="21" t="n">
        <f aca="false">AG1185+AH1185+AI1185</f>
        <v>0</v>
      </c>
      <c r="AK1185" s="21" t="n">
        <f aca="false">IF(OR(AE1185="",AE1185=0),0,AE1185-AJ1185)</f>
        <v>0</v>
      </c>
      <c r="AL1185" s="19" t="str">
        <f aca="false">IF(AD1185="","",AD1185-AK1185)</f>
        <v/>
      </c>
      <c r="AM1185" s="26" t="str">
        <f aca="false">IF(C1185="","","Waiting for payment")</f>
        <v/>
      </c>
      <c r="AN1185" s="27"/>
      <c r="AO1185" s="27"/>
      <c r="AP1185" s="35" t="str">
        <f aca="false">IF(OR(C1185="",I1185="",K1185=""),"",IF(K1185="Monthly",EDATE(C1185,ROUND(I1185*SETTINGS!$I$8,0)),WORKDAY(C1185,ROUND(I1185*SETTINGS!$I$8,0))))</f>
        <v/>
      </c>
      <c r="AQ1185" s="26" t="str">
        <f aca="true">IF(C1185="","",IF(AND(AP1185&lt;&gt;"",TODAY()&gt;=AP1185),"Refi Ready",IF(TODAY()-C1185&gt;=SETTINGS!$I$11,"Prospecting","Performing")))</f>
        <v/>
      </c>
      <c r="AR1185" s="35" t="str">
        <f aca="false">IF(OR(C1185="",I1185="",K1185=""),"",IF(K1185="Monthly",EDATE(C1185,I1185),WORKDAY(C1185,I1185)))</f>
        <v/>
      </c>
      <c r="AS1185" s="28"/>
      <c r="AT1185" s="36" t="str">
        <f aca="true">IF(C1185="","",IF(AM1185="Clawed Back","CLAWED",IF(TODAY()&lt;=C1185+SETTINGS!$I$2,"⚠ AT RISK","SAFE")))</f>
        <v/>
      </c>
      <c r="AU1185" s="28"/>
      <c r="AW1185" s="24" t="n">
        <f aca="false">AW1184+IF(AND(C1185&lt;&gt;"",AO1185&lt;&gt;"",OR('REP COMMISSION'!$B$3="",T1185='REP COMMISSION'!$B$3,W1185='REP COMMISSION'!$B$3,Z1185='REP COMMISSION'!$B$3)),1,0)</f>
        <v>0</v>
      </c>
      <c r="AX1185" s="24" t="n">
        <f aca="false">AX1184+IF(AND(C1185&lt;&gt;"",OR(F1185="LOC - INITIAL",F1185="CONSOLIDATION - UPFRONT COMM",F1185="REVERSE - TOTAL FUNDING")),1,0)</f>
        <v>0</v>
      </c>
    </row>
    <row r="1186" customFormat="false" ht="15" hidden="false" customHeight="false" outlineLevel="0" collapsed="false">
      <c r="A1186" s="8" t="str">
        <f aca="false">IF(C1186&lt;&gt;"","F27-"&amp;COUNT($C$4:C1186),"")</f>
        <v/>
      </c>
      <c r="B1186" s="9" t="str">
        <f aca="false">IF(OR(F1186="LOC - INITIAL",F1186="CONSOLIDATION - UPFRONT COMM",F1186="REVERSE - TOTAL FUNDING"),A1186,"")</f>
        <v/>
      </c>
      <c r="C1186" s="10"/>
      <c r="D1186" s="11"/>
      <c r="E1186" s="11"/>
      <c r="F1186" s="11"/>
      <c r="G1186" s="12"/>
      <c r="H1186" s="13"/>
      <c r="I1186" s="11"/>
      <c r="J1186" s="14" t="str">
        <f aca="false">IF(AND(G1186&lt;&gt;"",H1186&lt;&gt;""),G1186*H1186,"")</f>
        <v/>
      </c>
      <c r="K1186" s="11"/>
      <c r="L1186" s="15"/>
      <c r="M1186" s="15"/>
      <c r="N1186" s="14" t="n">
        <f aca="false">IF(OR(G1186="",M1186=""),0,IF(M1186&gt;100,M1186,G1186*IF(M1186&gt;1,M1186/100,M1186)))</f>
        <v>0</v>
      </c>
      <c r="O1186" s="14" t="str">
        <f aca="false">IF(G1186="","",G1186*IF(L1186="",0,IF(L1186&gt;1,L1186/100,L1186))+N1186)</f>
        <v/>
      </c>
      <c r="P1186" s="11"/>
      <c r="Q1186" s="16" t="str">
        <f aca="false">IF(P1186="","",IFERROR(VLOOKUP(P1186,PARTNERS!$A$2:$B$30,2,0),""))</f>
        <v/>
      </c>
      <c r="R1186" s="17" t="str">
        <f aca="false">IF(O1186="","",IF(OR(P1186="",Q1186=""),0,(O1186-N1186)*IF(Q1186&gt;1,Q1186/100,Q1186)))</f>
        <v/>
      </c>
      <c r="S1186" s="14" t="str">
        <f aca="false">IF(O1186="","",O1186-R1186)</f>
        <v/>
      </c>
      <c r="T1186" s="11"/>
      <c r="U1186" s="18" t="str">
        <f aca="false">IF(T1186="","",IFERROR(VLOOKUP(T1186,REPS!$A$2:$D$40,2,0),""))</f>
        <v/>
      </c>
      <c r="V1186" s="14" t="str">
        <f aca="false">IF(O1186="","",IF(U1186="",0,O1186*IF(U1186&gt;1,U1186/100,U1186)))</f>
        <v/>
      </c>
      <c r="W1186" s="11"/>
      <c r="X1186" s="18" t="str">
        <f aca="false">IF(W1186="","",IFERROR(VLOOKUP(W1186,REPS!$A$2:$D$40,3,0),""))</f>
        <v/>
      </c>
      <c r="Y1186" s="14" t="str">
        <f aca="false">IF(O1186="","",IF(X1186="",0,O1186*IF(X1186&gt;1,X1186/100,X1186)))</f>
        <v/>
      </c>
      <c r="Z1186" s="11"/>
      <c r="AA1186" s="18" t="str">
        <f aca="false">IF(Z1186="","",IFERROR(VLOOKUP(Z1186,REPS!$A$2:$D$40,4,0),""))</f>
        <v/>
      </c>
      <c r="AB1186" s="14" t="str">
        <f aca="false">IF(O1186="","",IF(AA1186="",0,O1186*IF(AA1186&gt;1,AA1186/100,AA1186)))</f>
        <v/>
      </c>
      <c r="AC1186" s="14" t="str">
        <f aca="false">IF(O1186="","",V1186+Y1186+AB1186)</f>
        <v/>
      </c>
      <c r="AD1186" s="19" t="str">
        <f aca="false">IF(O1186="","",O1186-R1186-AC1186)</f>
        <v/>
      </c>
      <c r="AE1186" s="20"/>
      <c r="AF1186" s="10"/>
      <c r="AG1186" s="21" t="n">
        <f aca="false">IF(OR(AE1186="",AE1186=0),0,AE1186*IF(U1186="",0,IF(U1186&gt;1,U1186/100,U1186)))</f>
        <v>0</v>
      </c>
      <c r="AH1186" s="21" t="n">
        <f aca="false">IF(OR(AE1186="",AE1186=0),0,AE1186*IF(X1186="",0,IF(X1186&gt;1,X1186/100,X1186)))</f>
        <v>0</v>
      </c>
      <c r="AI1186" s="21" t="n">
        <f aca="false">IF(OR(AE1186="",AE1186=0),0,AE1186*IF(AA1186="",0,IF(AA1186&gt;1,AA1186/100,AA1186)))</f>
        <v>0</v>
      </c>
      <c r="AJ1186" s="21" t="n">
        <f aca="false">AG1186+AH1186+AI1186</f>
        <v>0</v>
      </c>
      <c r="AK1186" s="21" t="n">
        <f aca="false">IF(OR(AE1186="",AE1186=0),0,AE1186-AJ1186)</f>
        <v>0</v>
      </c>
      <c r="AL1186" s="19" t="str">
        <f aca="false">IF(AD1186="","",AD1186-AK1186)</f>
        <v/>
      </c>
      <c r="AM1186" s="9" t="str">
        <f aca="false">IF(C1186="","","Waiting for payment")</f>
        <v/>
      </c>
      <c r="AN1186" s="10"/>
      <c r="AO1186" s="10"/>
      <c r="AP1186" s="22" t="str">
        <f aca="false">IF(OR(C1186="",I1186="",K1186=""),"",IF(K1186="Monthly",EDATE(C1186,ROUND(I1186*SETTINGS!$I$8,0)),WORKDAY(C1186,ROUND(I1186*SETTINGS!$I$8,0))))</f>
        <v/>
      </c>
      <c r="AQ1186" s="9" t="str">
        <f aca="true">IF(C1186="","",IF(AND(AP1186&lt;&gt;"",TODAY()&gt;=AP1186),"Refi Ready",IF(TODAY()-C1186&gt;=SETTINGS!$I$11,"Prospecting","Performing")))</f>
        <v/>
      </c>
      <c r="AR1186" s="22" t="str">
        <f aca="false">IF(OR(C1186="",I1186="",K1186=""),"",IF(K1186="Monthly",EDATE(C1186,I1186),WORKDAY(C1186,I1186)))</f>
        <v/>
      </c>
      <c r="AS1186" s="11"/>
      <c r="AT1186" s="23" t="str">
        <f aca="true">IF(C1186="","",IF(AM1186="Clawed Back","CLAWED",IF(TODAY()&lt;=C1186+SETTINGS!$I$2,"⚠ AT RISK","SAFE")))</f>
        <v/>
      </c>
      <c r="AU1186" s="11"/>
      <c r="AW1186" s="24" t="n">
        <f aca="false">AW1185+IF(AND(C1186&lt;&gt;"",AO1186&lt;&gt;"",OR('REP COMMISSION'!$B$3="",T1186='REP COMMISSION'!$B$3,W1186='REP COMMISSION'!$B$3,Z1186='REP COMMISSION'!$B$3)),1,0)</f>
        <v>0</v>
      </c>
      <c r="AX1186" s="24" t="n">
        <f aca="false">AX1185+IF(AND(C1186&lt;&gt;"",OR(F1186="LOC - INITIAL",F1186="CONSOLIDATION - UPFRONT COMM",F1186="REVERSE - TOTAL FUNDING")),1,0)</f>
        <v>0</v>
      </c>
    </row>
    <row r="1187" customFormat="false" ht="15" hidden="false" customHeight="false" outlineLevel="0" collapsed="false">
      <c r="A1187" s="25" t="str">
        <f aca="false">IF(C1187&lt;&gt;"","F27-"&amp;COUNT($C$4:C1187),"")</f>
        <v/>
      </c>
      <c r="B1187" s="26" t="str">
        <f aca="false">IF(OR(F1187="LOC - INITIAL",F1187="CONSOLIDATION - UPFRONT COMM",F1187="REVERSE - TOTAL FUNDING"),A1187,"")</f>
        <v/>
      </c>
      <c r="C1187" s="27"/>
      <c r="D1187" s="28"/>
      <c r="E1187" s="28"/>
      <c r="F1187" s="28"/>
      <c r="G1187" s="29"/>
      <c r="H1187" s="30"/>
      <c r="I1187" s="28"/>
      <c r="J1187" s="31" t="str">
        <f aca="false">IF(AND(G1187&lt;&gt;"",H1187&lt;&gt;""),G1187*H1187,"")</f>
        <v/>
      </c>
      <c r="K1187" s="28"/>
      <c r="L1187" s="32"/>
      <c r="M1187" s="32"/>
      <c r="N1187" s="31" t="n">
        <f aca="false">IF(OR(G1187="",M1187=""),0,IF(M1187&gt;100,M1187,G1187*IF(M1187&gt;1,M1187/100,M1187)))</f>
        <v>0</v>
      </c>
      <c r="O1187" s="31" t="str">
        <f aca="false">IF(G1187="","",G1187*IF(L1187="",0,IF(L1187&gt;1,L1187/100,L1187))+N1187)</f>
        <v/>
      </c>
      <c r="P1187" s="28"/>
      <c r="Q1187" s="33" t="str">
        <f aca="false">IF(P1187="","",IFERROR(VLOOKUP(P1187,PARTNERS!$A$2:$B$30,2,0),""))</f>
        <v/>
      </c>
      <c r="R1187" s="17" t="str">
        <f aca="false">IF(O1187="","",IF(OR(P1187="",Q1187=""),0,(O1187-N1187)*IF(Q1187&gt;1,Q1187/100,Q1187)))</f>
        <v/>
      </c>
      <c r="S1187" s="31" t="str">
        <f aca="false">IF(O1187="","",O1187-R1187)</f>
        <v/>
      </c>
      <c r="T1187" s="28"/>
      <c r="U1187" s="34" t="str">
        <f aca="false">IF(T1187="","",IFERROR(VLOOKUP(T1187,REPS!$A$2:$D$40,2,0),""))</f>
        <v/>
      </c>
      <c r="V1187" s="31" t="str">
        <f aca="false">IF(O1187="","",IF(U1187="",0,O1187*IF(U1187&gt;1,U1187/100,U1187)))</f>
        <v/>
      </c>
      <c r="W1187" s="28"/>
      <c r="X1187" s="34" t="str">
        <f aca="false">IF(W1187="","",IFERROR(VLOOKUP(W1187,REPS!$A$2:$D$40,3,0),""))</f>
        <v/>
      </c>
      <c r="Y1187" s="31" t="str">
        <f aca="false">IF(O1187="","",IF(X1187="",0,O1187*IF(X1187&gt;1,X1187/100,X1187)))</f>
        <v/>
      </c>
      <c r="Z1187" s="28"/>
      <c r="AA1187" s="34" t="str">
        <f aca="false">IF(Z1187="","",IFERROR(VLOOKUP(Z1187,REPS!$A$2:$D$40,4,0),""))</f>
        <v/>
      </c>
      <c r="AB1187" s="31" t="str">
        <f aca="false">IF(O1187="","",IF(AA1187="",0,O1187*IF(AA1187&gt;1,AA1187/100,AA1187)))</f>
        <v/>
      </c>
      <c r="AC1187" s="31" t="str">
        <f aca="false">IF(O1187="","",V1187+Y1187+AB1187)</f>
        <v/>
      </c>
      <c r="AD1187" s="19" t="str">
        <f aca="false">IF(O1187="","",O1187-R1187-AC1187)</f>
        <v/>
      </c>
      <c r="AE1187" s="20"/>
      <c r="AF1187" s="27"/>
      <c r="AG1187" s="21" t="n">
        <f aca="false">IF(OR(AE1187="",AE1187=0),0,AE1187*IF(U1187="",0,IF(U1187&gt;1,U1187/100,U1187)))</f>
        <v>0</v>
      </c>
      <c r="AH1187" s="21" t="n">
        <f aca="false">IF(OR(AE1187="",AE1187=0),0,AE1187*IF(X1187="",0,IF(X1187&gt;1,X1187/100,X1187)))</f>
        <v>0</v>
      </c>
      <c r="AI1187" s="21" t="n">
        <f aca="false">IF(OR(AE1187="",AE1187=0),0,AE1187*IF(AA1187="",0,IF(AA1187&gt;1,AA1187/100,AA1187)))</f>
        <v>0</v>
      </c>
      <c r="AJ1187" s="21" t="n">
        <f aca="false">AG1187+AH1187+AI1187</f>
        <v>0</v>
      </c>
      <c r="AK1187" s="21" t="n">
        <f aca="false">IF(OR(AE1187="",AE1187=0),0,AE1187-AJ1187)</f>
        <v>0</v>
      </c>
      <c r="AL1187" s="19" t="str">
        <f aca="false">IF(AD1187="","",AD1187-AK1187)</f>
        <v/>
      </c>
      <c r="AM1187" s="26" t="str">
        <f aca="false">IF(C1187="","","Waiting for payment")</f>
        <v/>
      </c>
      <c r="AN1187" s="27"/>
      <c r="AO1187" s="27"/>
      <c r="AP1187" s="35" t="str">
        <f aca="false">IF(OR(C1187="",I1187="",K1187=""),"",IF(K1187="Monthly",EDATE(C1187,ROUND(I1187*SETTINGS!$I$8,0)),WORKDAY(C1187,ROUND(I1187*SETTINGS!$I$8,0))))</f>
        <v/>
      </c>
      <c r="AQ1187" s="26" t="str">
        <f aca="true">IF(C1187="","",IF(AND(AP1187&lt;&gt;"",TODAY()&gt;=AP1187),"Refi Ready",IF(TODAY()-C1187&gt;=SETTINGS!$I$11,"Prospecting","Performing")))</f>
        <v/>
      </c>
      <c r="AR1187" s="35" t="str">
        <f aca="false">IF(OR(C1187="",I1187="",K1187=""),"",IF(K1187="Monthly",EDATE(C1187,I1187),WORKDAY(C1187,I1187)))</f>
        <v/>
      </c>
      <c r="AS1187" s="28"/>
      <c r="AT1187" s="36" t="str">
        <f aca="true">IF(C1187="","",IF(AM1187="Clawed Back","CLAWED",IF(TODAY()&lt;=C1187+SETTINGS!$I$2,"⚠ AT RISK","SAFE")))</f>
        <v/>
      </c>
      <c r="AU1187" s="28"/>
      <c r="AW1187" s="24" t="n">
        <f aca="false">AW1186+IF(AND(C1187&lt;&gt;"",AO1187&lt;&gt;"",OR('REP COMMISSION'!$B$3="",T1187='REP COMMISSION'!$B$3,W1187='REP COMMISSION'!$B$3,Z1187='REP COMMISSION'!$B$3)),1,0)</f>
        <v>0</v>
      </c>
      <c r="AX1187" s="24" t="n">
        <f aca="false">AX1186+IF(AND(C1187&lt;&gt;"",OR(F1187="LOC - INITIAL",F1187="CONSOLIDATION - UPFRONT COMM",F1187="REVERSE - TOTAL FUNDING")),1,0)</f>
        <v>0</v>
      </c>
    </row>
    <row r="1188" customFormat="false" ht="15" hidden="false" customHeight="false" outlineLevel="0" collapsed="false">
      <c r="A1188" s="8" t="str">
        <f aca="false">IF(C1188&lt;&gt;"","F27-"&amp;COUNT($C$4:C1188),"")</f>
        <v/>
      </c>
      <c r="B1188" s="9" t="str">
        <f aca="false">IF(OR(F1188="LOC - INITIAL",F1188="CONSOLIDATION - UPFRONT COMM",F1188="REVERSE - TOTAL FUNDING"),A1188,"")</f>
        <v/>
      </c>
      <c r="C1188" s="10"/>
      <c r="D1188" s="11"/>
      <c r="E1188" s="11"/>
      <c r="F1188" s="11"/>
      <c r="G1188" s="12"/>
      <c r="H1188" s="13"/>
      <c r="I1188" s="11"/>
      <c r="J1188" s="14" t="str">
        <f aca="false">IF(AND(G1188&lt;&gt;"",H1188&lt;&gt;""),G1188*H1188,"")</f>
        <v/>
      </c>
      <c r="K1188" s="11"/>
      <c r="L1188" s="15"/>
      <c r="M1188" s="15"/>
      <c r="N1188" s="14" t="n">
        <f aca="false">IF(OR(G1188="",M1188=""),0,IF(M1188&gt;100,M1188,G1188*IF(M1188&gt;1,M1188/100,M1188)))</f>
        <v>0</v>
      </c>
      <c r="O1188" s="14" t="str">
        <f aca="false">IF(G1188="","",G1188*IF(L1188="",0,IF(L1188&gt;1,L1188/100,L1188))+N1188)</f>
        <v/>
      </c>
      <c r="P1188" s="11"/>
      <c r="Q1188" s="16" t="str">
        <f aca="false">IF(P1188="","",IFERROR(VLOOKUP(P1188,PARTNERS!$A$2:$B$30,2,0),""))</f>
        <v/>
      </c>
      <c r="R1188" s="17" t="str">
        <f aca="false">IF(O1188="","",IF(OR(P1188="",Q1188=""),0,(O1188-N1188)*IF(Q1188&gt;1,Q1188/100,Q1188)))</f>
        <v/>
      </c>
      <c r="S1188" s="14" t="str">
        <f aca="false">IF(O1188="","",O1188-R1188)</f>
        <v/>
      </c>
      <c r="T1188" s="11"/>
      <c r="U1188" s="18" t="str">
        <f aca="false">IF(T1188="","",IFERROR(VLOOKUP(T1188,REPS!$A$2:$D$40,2,0),""))</f>
        <v/>
      </c>
      <c r="V1188" s="14" t="str">
        <f aca="false">IF(O1188="","",IF(U1188="",0,O1188*IF(U1188&gt;1,U1188/100,U1188)))</f>
        <v/>
      </c>
      <c r="W1188" s="11"/>
      <c r="X1188" s="18" t="str">
        <f aca="false">IF(W1188="","",IFERROR(VLOOKUP(W1188,REPS!$A$2:$D$40,3,0),""))</f>
        <v/>
      </c>
      <c r="Y1188" s="14" t="str">
        <f aca="false">IF(O1188="","",IF(X1188="",0,O1188*IF(X1188&gt;1,X1188/100,X1188)))</f>
        <v/>
      </c>
      <c r="Z1188" s="11"/>
      <c r="AA1188" s="18" t="str">
        <f aca="false">IF(Z1188="","",IFERROR(VLOOKUP(Z1188,REPS!$A$2:$D$40,4,0),""))</f>
        <v/>
      </c>
      <c r="AB1188" s="14" t="str">
        <f aca="false">IF(O1188="","",IF(AA1188="",0,O1188*IF(AA1188&gt;1,AA1188/100,AA1188)))</f>
        <v/>
      </c>
      <c r="AC1188" s="14" t="str">
        <f aca="false">IF(O1188="","",V1188+Y1188+AB1188)</f>
        <v/>
      </c>
      <c r="AD1188" s="19" t="str">
        <f aca="false">IF(O1188="","",O1188-R1188-AC1188)</f>
        <v/>
      </c>
      <c r="AE1188" s="20"/>
      <c r="AF1188" s="10"/>
      <c r="AG1188" s="21" t="n">
        <f aca="false">IF(OR(AE1188="",AE1188=0),0,AE1188*IF(U1188="",0,IF(U1188&gt;1,U1188/100,U1188)))</f>
        <v>0</v>
      </c>
      <c r="AH1188" s="21" t="n">
        <f aca="false">IF(OR(AE1188="",AE1188=0),0,AE1188*IF(X1188="",0,IF(X1188&gt;1,X1188/100,X1188)))</f>
        <v>0</v>
      </c>
      <c r="AI1188" s="21" t="n">
        <f aca="false">IF(OR(AE1188="",AE1188=0),0,AE1188*IF(AA1188="",0,IF(AA1188&gt;1,AA1188/100,AA1188)))</f>
        <v>0</v>
      </c>
      <c r="AJ1188" s="21" t="n">
        <f aca="false">AG1188+AH1188+AI1188</f>
        <v>0</v>
      </c>
      <c r="AK1188" s="21" t="n">
        <f aca="false">IF(OR(AE1188="",AE1188=0),0,AE1188-AJ1188)</f>
        <v>0</v>
      </c>
      <c r="AL1188" s="19" t="str">
        <f aca="false">IF(AD1188="","",AD1188-AK1188)</f>
        <v/>
      </c>
      <c r="AM1188" s="9" t="str">
        <f aca="false">IF(C1188="","","Waiting for payment")</f>
        <v/>
      </c>
      <c r="AN1188" s="10"/>
      <c r="AO1188" s="10"/>
      <c r="AP1188" s="22" t="str">
        <f aca="false">IF(OR(C1188="",I1188="",K1188=""),"",IF(K1188="Monthly",EDATE(C1188,ROUND(I1188*SETTINGS!$I$8,0)),WORKDAY(C1188,ROUND(I1188*SETTINGS!$I$8,0))))</f>
        <v/>
      </c>
      <c r="AQ1188" s="9" t="str">
        <f aca="true">IF(C1188="","",IF(AND(AP1188&lt;&gt;"",TODAY()&gt;=AP1188),"Refi Ready",IF(TODAY()-C1188&gt;=SETTINGS!$I$11,"Prospecting","Performing")))</f>
        <v/>
      </c>
      <c r="AR1188" s="22" t="str">
        <f aca="false">IF(OR(C1188="",I1188="",K1188=""),"",IF(K1188="Monthly",EDATE(C1188,I1188),WORKDAY(C1188,I1188)))</f>
        <v/>
      </c>
      <c r="AS1188" s="11"/>
      <c r="AT1188" s="23" t="str">
        <f aca="true">IF(C1188="","",IF(AM1188="Clawed Back","CLAWED",IF(TODAY()&lt;=C1188+SETTINGS!$I$2,"⚠ AT RISK","SAFE")))</f>
        <v/>
      </c>
      <c r="AU1188" s="11"/>
      <c r="AW1188" s="24" t="n">
        <f aca="false">AW1187+IF(AND(C1188&lt;&gt;"",AO1188&lt;&gt;"",OR('REP COMMISSION'!$B$3="",T1188='REP COMMISSION'!$B$3,W1188='REP COMMISSION'!$B$3,Z1188='REP COMMISSION'!$B$3)),1,0)</f>
        <v>0</v>
      </c>
      <c r="AX1188" s="24" t="n">
        <f aca="false">AX1187+IF(AND(C1188&lt;&gt;"",OR(F1188="LOC - INITIAL",F1188="CONSOLIDATION - UPFRONT COMM",F1188="REVERSE - TOTAL FUNDING")),1,0)</f>
        <v>0</v>
      </c>
    </row>
    <row r="1189" customFormat="false" ht="15" hidden="false" customHeight="false" outlineLevel="0" collapsed="false">
      <c r="A1189" s="25" t="str">
        <f aca="false">IF(C1189&lt;&gt;"","F27-"&amp;COUNT($C$4:C1189),"")</f>
        <v/>
      </c>
      <c r="B1189" s="26" t="str">
        <f aca="false">IF(OR(F1189="LOC - INITIAL",F1189="CONSOLIDATION - UPFRONT COMM",F1189="REVERSE - TOTAL FUNDING"),A1189,"")</f>
        <v/>
      </c>
      <c r="C1189" s="27"/>
      <c r="D1189" s="28"/>
      <c r="E1189" s="28"/>
      <c r="F1189" s="28"/>
      <c r="G1189" s="29"/>
      <c r="H1189" s="30"/>
      <c r="I1189" s="28"/>
      <c r="J1189" s="31" t="str">
        <f aca="false">IF(AND(G1189&lt;&gt;"",H1189&lt;&gt;""),G1189*H1189,"")</f>
        <v/>
      </c>
      <c r="K1189" s="28"/>
      <c r="L1189" s="32"/>
      <c r="M1189" s="32"/>
      <c r="N1189" s="31" t="n">
        <f aca="false">IF(OR(G1189="",M1189=""),0,IF(M1189&gt;100,M1189,G1189*IF(M1189&gt;1,M1189/100,M1189)))</f>
        <v>0</v>
      </c>
      <c r="O1189" s="31" t="str">
        <f aca="false">IF(G1189="","",G1189*IF(L1189="",0,IF(L1189&gt;1,L1189/100,L1189))+N1189)</f>
        <v/>
      </c>
      <c r="P1189" s="28"/>
      <c r="Q1189" s="33" t="str">
        <f aca="false">IF(P1189="","",IFERROR(VLOOKUP(P1189,PARTNERS!$A$2:$B$30,2,0),""))</f>
        <v/>
      </c>
      <c r="R1189" s="17" t="str">
        <f aca="false">IF(O1189="","",IF(OR(P1189="",Q1189=""),0,(O1189-N1189)*IF(Q1189&gt;1,Q1189/100,Q1189)))</f>
        <v/>
      </c>
      <c r="S1189" s="31" t="str">
        <f aca="false">IF(O1189="","",O1189-R1189)</f>
        <v/>
      </c>
      <c r="T1189" s="28"/>
      <c r="U1189" s="34" t="str">
        <f aca="false">IF(T1189="","",IFERROR(VLOOKUP(T1189,REPS!$A$2:$D$40,2,0),""))</f>
        <v/>
      </c>
      <c r="V1189" s="31" t="str">
        <f aca="false">IF(O1189="","",IF(U1189="",0,O1189*IF(U1189&gt;1,U1189/100,U1189)))</f>
        <v/>
      </c>
      <c r="W1189" s="28"/>
      <c r="X1189" s="34" t="str">
        <f aca="false">IF(W1189="","",IFERROR(VLOOKUP(W1189,REPS!$A$2:$D$40,3,0),""))</f>
        <v/>
      </c>
      <c r="Y1189" s="31" t="str">
        <f aca="false">IF(O1189="","",IF(X1189="",0,O1189*IF(X1189&gt;1,X1189/100,X1189)))</f>
        <v/>
      </c>
      <c r="Z1189" s="28"/>
      <c r="AA1189" s="34" t="str">
        <f aca="false">IF(Z1189="","",IFERROR(VLOOKUP(Z1189,REPS!$A$2:$D$40,4,0),""))</f>
        <v/>
      </c>
      <c r="AB1189" s="31" t="str">
        <f aca="false">IF(O1189="","",IF(AA1189="",0,O1189*IF(AA1189&gt;1,AA1189/100,AA1189)))</f>
        <v/>
      </c>
      <c r="AC1189" s="31" t="str">
        <f aca="false">IF(O1189="","",V1189+Y1189+AB1189)</f>
        <v/>
      </c>
      <c r="AD1189" s="19" t="str">
        <f aca="false">IF(O1189="","",O1189-R1189-AC1189)</f>
        <v/>
      </c>
      <c r="AE1189" s="20"/>
      <c r="AF1189" s="27"/>
      <c r="AG1189" s="21" t="n">
        <f aca="false">IF(OR(AE1189="",AE1189=0),0,AE1189*IF(U1189="",0,IF(U1189&gt;1,U1189/100,U1189)))</f>
        <v>0</v>
      </c>
      <c r="AH1189" s="21" t="n">
        <f aca="false">IF(OR(AE1189="",AE1189=0),0,AE1189*IF(X1189="",0,IF(X1189&gt;1,X1189/100,X1189)))</f>
        <v>0</v>
      </c>
      <c r="AI1189" s="21" t="n">
        <f aca="false">IF(OR(AE1189="",AE1189=0),0,AE1189*IF(AA1189="",0,IF(AA1189&gt;1,AA1189/100,AA1189)))</f>
        <v>0</v>
      </c>
      <c r="AJ1189" s="21" t="n">
        <f aca="false">AG1189+AH1189+AI1189</f>
        <v>0</v>
      </c>
      <c r="AK1189" s="21" t="n">
        <f aca="false">IF(OR(AE1189="",AE1189=0),0,AE1189-AJ1189)</f>
        <v>0</v>
      </c>
      <c r="AL1189" s="19" t="str">
        <f aca="false">IF(AD1189="","",AD1189-AK1189)</f>
        <v/>
      </c>
      <c r="AM1189" s="26" t="str">
        <f aca="false">IF(C1189="","","Waiting for payment")</f>
        <v/>
      </c>
      <c r="AN1189" s="27"/>
      <c r="AO1189" s="27"/>
      <c r="AP1189" s="35" t="str">
        <f aca="false">IF(OR(C1189="",I1189="",K1189=""),"",IF(K1189="Monthly",EDATE(C1189,ROUND(I1189*SETTINGS!$I$8,0)),WORKDAY(C1189,ROUND(I1189*SETTINGS!$I$8,0))))</f>
        <v/>
      </c>
      <c r="AQ1189" s="26" t="str">
        <f aca="true">IF(C1189="","",IF(AND(AP1189&lt;&gt;"",TODAY()&gt;=AP1189),"Refi Ready",IF(TODAY()-C1189&gt;=SETTINGS!$I$11,"Prospecting","Performing")))</f>
        <v/>
      </c>
      <c r="AR1189" s="35" t="str">
        <f aca="false">IF(OR(C1189="",I1189="",K1189=""),"",IF(K1189="Monthly",EDATE(C1189,I1189),WORKDAY(C1189,I1189)))</f>
        <v/>
      </c>
      <c r="AS1189" s="28"/>
      <c r="AT1189" s="36" t="str">
        <f aca="true">IF(C1189="","",IF(AM1189="Clawed Back","CLAWED",IF(TODAY()&lt;=C1189+SETTINGS!$I$2,"⚠ AT RISK","SAFE")))</f>
        <v/>
      </c>
      <c r="AU1189" s="28"/>
      <c r="AW1189" s="24" t="n">
        <f aca="false">AW1188+IF(AND(C1189&lt;&gt;"",AO1189&lt;&gt;"",OR('REP COMMISSION'!$B$3="",T1189='REP COMMISSION'!$B$3,W1189='REP COMMISSION'!$B$3,Z1189='REP COMMISSION'!$B$3)),1,0)</f>
        <v>0</v>
      </c>
      <c r="AX1189" s="24" t="n">
        <f aca="false">AX1188+IF(AND(C1189&lt;&gt;"",OR(F1189="LOC - INITIAL",F1189="CONSOLIDATION - UPFRONT COMM",F1189="REVERSE - TOTAL FUNDING")),1,0)</f>
        <v>0</v>
      </c>
    </row>
    <row r="1190" customFormat="false" ht="15" hidden="false" customHeight="false" outlineLevel="0" collapsed="false">
      <c r="A1190" s="8" t="str">
        <f aca="false">IF(C1190&lt;&gt;"","F27-"&amp;COUNT($C$4:C1190),"")</f>
        <v/>
      </c>
      <c r="B1190" s="9" t="str">
        <f aca="false">IF(OR(F1190="LOC - INITIAL",F1190="CONSOLIDATION - UPFRONT COMM",F1190="REVERSE - TOTAL FUNDING"),A1190,"")</f>
        <v/>
      </c>
      <c r="C1190" s="10"/>
      <c r="D1190" s="11"/>
      <c r="E1190" s="11"/>
      <c r="F1190" s="11"/>
      <c r="G1190" s="12"/>
      <c r="H1190" s="13"/>
      <c r="I1190" s="11"/>
      <c r="J1190" s="14" t="str">
        <f aca="false">IF(AND(G1190&lt;&gt;"",H1190&lt;&gt;""),G1190*H1190,"")</f>
        <v/>
      </c>
      <c r="K1190" s="11"/>
      <c r="L1190" s="15"/>
      <c r="M1190" s="15"/>
      <c r="N1190" s="14" t="n">
        <f aca="false">IF(OR(G1190="",M1190=""),0,IF(M1190&gt;100,M1190,G1190*IF(M1190&gt;1,M1190/100,M1190)))</f>
        <v>0</v>
      </c>
      <c r="O1190" s="14" t="str">
        <f aca="false">IF(G1190="","",G1190*IF(L1190="",0,IF(L1190&gt;1,L1190/100,L1190))+N1190)</f>
        <v/>
      </c>
      <c r="P1190" s="11"/>
      <c r="Q1190" s="16" t="str">
        <f aca="false">IF(P1190="","",IFERROR(VLOOKUP(P1190,PARTNERS!$A$2:$B$30,2,0),""))</f>
        <v/>
      </c>
      <c r="R1190" s="17" t="str">
        <f aca="false">IF(O1190="","",IF(OR(P1190="",Q1190=""),0,(O1190-N1190)*IF(Q1190&gt;1,Q1190/100,Q1190)))</f>
        <v/>
      </c>
      <c r="S1190" s="14" t="str">
        <f aca="false">IF(O1190="","",O1190-R1190)</f>
        <v/>
      </c>
      <c r="T1190" s="11"/>
      <c r="U1190" s="18" t="str">
        <f aca="false">IF(T1190="","",IFERROR(VLOOKUP(T1190,REPS!$A$2:$D$40,2,0),""))</f>
        <v/>
      </c>
      <c r="V1190" s="14" t="str">
        <f aca="false">IF(O1190="","",IF(U1190="",0,O1190*IF(U1190&gt;1,U1190/100,U1190)))</f>
        <v/>
      </c>
      <c r="W1190" s="11"/>
      <c r="X1190" s="18" t="str">
        <f aca="false">IF(W1190="","",IFERROR(VLOOKUP(W1190,REPS!$A$2:$D$40,3,0),""))</f>
        <v/>
      </c>
      <c r="Y1190" s="14" t="str">
        <f aca="false">IF(O1190="","",IF(X1190="",0,O1190*IF(X1190&gt;1,X1190/100,X1190)))</f>
        <v/>
      </c>
      <c r="Z1190" s="11"/>
      <c r="AA1190" s="18" t="str">
        <f aca="false">IF(Z1190="","",IFERROR(VLOOKUP(Z1190,REPS!$A$2:$D$40,4,0),""))</f>
        <v/>
      </c>
      <c r="AB1190" s="14" t="str">
        <f aca="false">IF(O1190="","",IF(AA1190="",0,O1190*IF(AA1190&gt;1,AA1190/100,AA1190)))</f>
        <v/>
      </c>
      <c r="AC1190" s="14" t="str">
        <f aca="false">IF(O1190="","",V1190+Y1190+AB1190)</f>
        <v/>
      </c>
      <c r="AD1190" s="19" t="str">
        <f aca="false">IF(O1190="","",O1190-R1190-AC1190)</f>
        <v/>
      </c>
      <c r="AE1190" s="20"/>
      <c r="AF1190" s="10"/>
      <c r="AG1190" s="21" t="n">
        <f aca="false">IF(OR(AE1190="",AE1190=0),0,AE1190*IF(U1190="",0,IF(U1190&gt;1,U1190/100,U1190)))</f>
        <v>0</v>
      </c>
      <c r="AH1190" s="21" t="n">
        <f aca="false">IF(OR(AE1190="",AE1190=0),0,AE1190*IF(X1190="",0,IF(X1190&gt;1,X1190/100,X1190)))</f>
        <v>0</v>
      </c>
      <c r="AI1190" s="21" t="n">
        <f aca="false">IF(OR(AE1190="",AE1190=0),0,AE1190*IF(AA1190="",0,IF(AA1190&gt;1,AA1190/100,AA1190)))</f>
        <v>0</v>
      </c>
      <c r="AJ1190" s="21" t="n">
        <f aca="false">AG1190+AH1190+AI1190</f>
        <v>0</v>
      </c>
      <c r="AK1190" s="21" t="n">
        <f aca="false">IF(OR(AE1190="",AE1190=0),0,AE1190-AJ1190)</f>
        <v>0</v>
      </c>
      <c r="AL1190" s="19" t="str">
        <f aca="false">IF(AD1190="","",AD1190-AK1190)</f>
        <v/>
      </c>
      <c r="AM1190" s="9" t="str">
        <f aca="false">IF(C1190="","","Waiting for payment")</f>
        <v/>
      </c>
      <c r="AN1190" s="10"/>
      <c r="AO1190" s="10"/>
      <c r="AP1190" s="22" t="str">
        <f aca="false">IF(OR(C1190="",I1190="",K1190=""),"",IF(K1190="Monthly",EDATE(C1190,ROUND(I1190*SETTINGS!$I$8,0)),WORKDAY(C1190,ROUND(I1190*SETTINGS!$I$8,0))))</f>
        <v/>
      </c>
      <c r="AQ1190" s="9" t="str">
        <f aca="true">IF(C1190="","",IF(AND(AP1190&lt;&gt;"",TODAY()&gt;=AP1190),"Refi Ready",IF(TODAY()-C1190&gt;=SETTINGS!$I$11,"Prospecting","Performing")))</f>
        <v/>
      </c>
      <c r="AR1190" s="22" t="str">
        <f aca="false">IF(OR(C1190="",I1190="",K1190=""),"",IF(K1190="Monthly",EDATE(C1190,I1190),WORKDAY(C1190,I1190)))</f>
        <v/>
      </c>
      <c r="AS1190" s="11"/>
      <c r="AT1190" s="23" t="str">
        <f aca="true">IF(C1190="","",IF(AM1190="Clawed Back","CLAWED",IF(TODAY()&lt;=C1190+SETTINGS!$I$2,"⚠ AT RISK","SAFE")))</f>
        <v/>
      </c>
      <c r="AU1190" s="11"/>
      <c r="AW1190" s="24" t="n">
        <f aca="false">AW1189+IF(AND(C1190&lt;&gt;"",AO1190&lt;&gt;"",OR('REP COMMISSION'!$B$3="",T1190='REP COMMISSION'!$B$3,W1190='REP COMMISSION'!$B$3,Z1190='REP COMMISSION'!$B$3)),1,0)</f>
        <v>0</v>
      </c>
      <c r="AX1190" s="24" t="n">
        <f aca="false">AX1189+IF(AND(C1190&lt;&gt;"",OR(F1190="LOC - INITIAL",F1190="CONSOLIDATION - UPFRONT COMM",F1190="REVERSE - TOTAL FUNDING")),1,0)</f>
        <v>0</v>
      </c>
    </row>
    <row r="1191" customFormat="false" ht="15" hidden="false" customHeight="false" outlineLevel="0" collapsed="false">
      <c r="A1191" s="25" t="str">
        <f aca="false">IF(C1191&lt;&gt;"","F27-"&amp;COUNT($C$4:C1191),"")</f>
        <v/>
      </c>
      <c r="B1191" s="26" t="str">
        <f aca="false">IF(OR(F1191="LOC - INITIAL",F1191="CONSOLIDATION - UPFRONT COMM",F1191="REVERSE - TOTAL FUNDING"),A1191,"")</f>
        <v/>
      </c>
      <c r="C1191" s="27"/>
      <c r="D1191" s="28"/>
      <c r="E1191" s="28"/>
      <c r="F1191" s="28"/>
      <c r="G1191" s="29"/>
      <c r="H1191" s="30"/>
      <c r="I1191" s="28"/>
      <c r="J1191" s="31" t="str">
        <f aca="false">IF(AND(G1191&lt;&gt;"",H1191&lt;&gt;""),G1191*H1191,"")</f>
        <v/>
      </c>
      <c r="K1191" s="28"/>
      <c r="L1191" s="32"/>
      <c r="M1191" s="32"/>
      <c r="N1191" s="31" t="n">
        <f aca="false">IF(OR(G1191="",M1191=""),0,IF(M1191&gt;100,M1191,G1191*IF(M1191&gt;1,M1191/100,M1191)))</f>
        <v>0</v>
      </c>
      <c r="O1191" s="31" t="str">
        <f aca="false">IF(G1191="","",G1191*IF(L1191="",0,IF(L1191&gt;1,L1191/100,L1191))+N1191)</f>
        <v/>
      </c>
      <c r="P1191" s="28"/>
      <c r="Q1191" s="33" t="str">
        <f aca="false">IF(P1191="","",IFERROR(VLOOKUP(P1191,PARTNERS!$A$2:$B$30,2,0),""))</f>
        <v/>
      </c>
      <c r="R1191" s="17" t="str">
        <f aca="false">IF(O1191="","",IF(OR(P1191="",Q1191=""),0,(O1191-N1191)*IF(Q1191&gt;1,Q1191/100,Q1191)))</f>
        <v/>
      </c>
      <c r="S1191" s="31" t="str">
        <f aca="false">IF(O1191="","",O1191-R1191)</f>
        <v/>
      </c>
      <c r="T1191" s="28"/>
      <c r="U1191" s="34" t="str">
        <f aca="false">IF(T1191="","",IFERROR(VLOOKUP(T1191,REPS!$A$2:$D$40,2,0),""))</f>
        <v/>
      </c>
      <c r="V1191" s="31" t="str">
        <f aca="false">IF(O1191="","",IF(U1191="",0,O1191*IF(U1191&gt;1,U1191/100,U1191)))</f>
        <v/>
      </c>
      <c r="W1191" s="28"/>
      <c r="X1191" s="34" t="str">
        <f aca="false">IF(W1191="","",IFERROR(VLOOKUP(W1191,REPS!$A$2:$D$40,3,0),""))</f>
        <v/>
      </c>
      <c r="Y1191" s="31" t="str">
        <f aca="false">IF(O1191="","",IF(X1191="",0,O1191*IF(X1191&gt;1,X1191/100,X1191)))</f>
        <v/>
      </c>
      <c r="Z1191" s="28"/>
      <c r="AA1191" s="34" t="str">
        <f aca="false">IF(Z1191="","",IFERROR(VLOOKUP(Z1191,REPS!$A$2:$D$40,4,0),""))</f>
        <v/>
      </c>
      <c r="AB1191" s="31" t="str">
        <f aca="false">IF(O1191="","",IF(AA1191="",0,O1191*IF(AA1191&gt;1,AA1191/100,AA1191)))</f>
        <v/>
      </c>
      <c r="AC1191" s="31" t="str">
        <f aca="false">IF(O1191="","",V1191+Y1191+AB1191)</f>
        <v/>
      </c>
      <c r="AD1191" s="19" t="str">
        <f aca="false">IF(O1191="","",O1191-R1191-AC1191)</f>
        <v/>
      </c>
      <c r="AE1191" s="20"/>
      <c r="AF1191" s="27"/>
      <c r="AG1191" s="21" t="n">
        <f aca="false">IF(OR(AE1191="",AE1191=0),0,AE1191*IF(U1191="",0,IF(U1191&gt;1,U1191/100,U1191)))</f>
        <v>0</v>
      </c>
      <c r="AH1191" s="21" t="n">
        <f aca="false">IF(OR(AE1191="",AE1191=0),0,AE1191*IF(X1191="",0,IF(X1191&gt;1,X1191/100,X1191)))</f>
        <v>0</v>
      </c>
      <c r="AI1191" s="21" t="n">
        <f aca="false">IF(OR(AE1191="",AE1191=0),0,AE1191*IF(AA1191="",0,IF(AA1191&gt;1,AA1191/100,AA1191)))</f>
        <v>0</v>
      </c>
      <c r="AJ1191" s="21" t="n">
        <f aca="false">AG1191+AH1191+AI1191</f>
        <v>0</v>
      </c>
      <c r="AK1191" s="21" t="n">
        <f aca="false">IF(OR(AE1191="",AE1191=0),0,AE1191-AJ1191)</f>
        <v>0</v>
      </c>
      <c r="AL1191" s="19" t="str">
        <f aca="false">IF(AD1191="","",AD1191-AK1191)</f>
        <v/>
      </c>
      <c r="AM1191" s="26" t="str">
        <f aca="false">IF(C1191="","","Waiting for payment")</f>
        <v/>
      </c>
      <c r="AN1191" s="27"/>
      <c r="AO1191" s="27"/>
      <c r="AP1191" s="35" t="str">
        <f aca="false">IF(OR(C1191="",I1191="",K1191=""),"",IF(K1191="Monthly",EDATE(C1191,ROUND(I1191*SETTINGS!$I$8,0)),WORKDAY(C1191,ROUND(I1191*SETTINGS!$I$8,0))))</f>
        <v/>
      </c>
      <c r="AQ1191" s="26" t="str">
        <f aca="true">IF(C1191="","",IF(AND(AP1191&lt;&gt;"",TODAY()&gt;=AP1191),"Refi Ready",IF(TODAY()-C1191&gt;=SETTINGS!$I$11,"Prospecting","Performing")))</f>
        <v/>
      </c>
      <c r="AR1191" s="35" t="str">
        <f aca="false">IF(OR(C1191="",I1191="",K1191=""),"",IF(K1191="Monthly",EDATE(C1191,I1191),WORKDAY(C1191,I1191)))</f>
        <v/>
      </c>
      <c r="AS1191" s="28"/>
      <c r="AT1191" s="36" t="str">
        <f aca="true">IF(C1191="","",IF(AM1191="Clawed Back","CLAWED",IF(TODAY()&lt;=C1191+SETTINGS!$I$2,"⚠ AT RISK","SAFE")))</f>
        <v/>
      </c>
      <c r="AU1191" s="28"/>
      <c r="AW1191" s="24" t="n">
        <f aca="false">AW1190+IF(AND(C1191&lt;&gt;"",AO1191&lt;&gt;"",OR('REP COMMISSION'!$B$3="",T1191='REP COMMISSION'!$B$3,W1191='REP COMMISSION'!$B$3,Z1191='REP COMMISSION'!$B$3)),1,0)</f>
        <v>0</v>
      </c>
      <c r="AX1191" s="24" t="n">
        <f aca="false">AX1190+IF(AND(C1191&lt;&gt;"",OR(F1191="LOC - INITIAL",F1191="CONSOLIDATION - UPFRONT COMM",F1191="REVERSE - TOTAL FUNDING")),1,0)</f>
        <v>0</v>
      </c>
    </row>
    <row r="1192" customFormat="false" ht="15" hidden="false" customHeight="false" outlineLevel="0" collapsed="false">
      <c r="A1192" s="8" t="str">
        <f aca="false">IF(C1192&lt;&gt;"","F27-"&amp;COUNT($C$4:C1192),"")</f>
        <v/>
      </c>
      <c r="B1192" s="9" t="str">
        <f aca="false">IF(OR(F1192="LOC - INITIAL",F1192="CONSOLIDATION - UPFRONT COMM",F1192="REVERSE - TOTAL FUNDING"),A1192,"")</f>
        <v/>
      </c>
      <c r="C1192" s="10"/>
      <c r="D1192" s="11"/>
      <c r="E1192" s="11"/>
      <c r="F1192" s="11"/>
      <c r="G1192" s="12"/>
      <c r="H1192" s="13"/>
      <c r="I1192" s="11"/>
      <c r="J1192" s="14" t="str">
        <f aca="false">IF(AND(G1192&lt;&gt;"",H1192&lt;&gt;""),G1192*H1192,"")</f>
        <v/>
      </c>
      <c r="K1192" s="11"/>
      <c r="L1192" s="15"/>
      <c r="M1192" s="15"/>
      <c r="N1192" s="14" t="n">
        <f aca="false">IF(OR(G1192="",M1192=""),0,IF(M1192&gt;100,M1192,G1192*IF(M1192&gt;1,M1192/100,M1192)))</f>
        <v>0</v>
      </c>
      <c r="O1192" s="14" t="str">
        <f aca="false">IF(G1192="","",G1192*IF(L1192="",0,IF(L1192&gt;1,L1192/100,L1192))+N1192)</f>
        <v/>
      </c>
      <c r="P1192" s="11"/>
      <c r="Q1192" s="16" t="str">
        <f aca="false">IF(P1192="","",IFERROR(VLOOKUP(P1192,PARTNERS!$A$2:$B$30,2,0),""))</f>
        <v/>
      </c>
      <c r="R1192" s="17" t="str">
        <f aca="false">IF(O1192="","",IF(OR(P1192="",Q1192=""),0,(O1192-N1192)*IF(Q1192&gt;1,Q1192/100,Q1192)))</f>
        <v/>
      </c>
      <c r="S1192" s="14" t="str">
        <f aca="false">IF(O1192="","",O1192-R1192)</f>
        <v/>
      </c>
      <c r="T1192" s="11"/>
      <c r="U1192" s="18" t="str">
        <f aca="false">IF(T1192="","",IFERROR(VLOOKUP(T1192,REPS!$A$2:$D$40,2,0),""))</f>
        <v/>
      </c>
      <c r="V1192" s="14" t="str">
        <f aca="false">IF(O1192="","",IF(U1192="",0,O1192*IF(U1192&gt;1,U1192/100,U1192)))</f>
        <v/>
      </c>
      <c r="W1192" s="11"/>
      <c r="X1192" s="18" t="str">
        <f aca="false">IF(W1192="","",IFERROR(VLOOKUP(W1192,REPS!$A$2:$D$40,3,0),""))</f>
        <v/>
      </c>
      <c r="Y1192" s="14" t="str">
        <f aca="false">IF(O1192="","",IF(X1192="",0,O1192*IF(X1192&gt;1,X1192/100,X1192)))</f>
        <v/>
      </c>
      <c r="Z1192" s="11"/>
      <c r="AA1192" s="18" t="str">
        <f aca="false">IF(Z1192="","",IFERROR(VLOOKUP(Z1192,REPS!$A$2:$D$40,4,0),""))</f>
        <v/>
      </c>
      <c r="AB1192" s="14" t="str">
        <f aca="false">IF(O1192="","",IF(AA1192="",0,O1192*IF(AA1192&gt;1,AA1192/100,AA1192)))</f>
        <v/>
      </c>
      <c r="AC1192" s="14" t="str">
        <f aca="false">IF(O1192="","",V1192+Y1192+AB1192)</f>
        <v/>
      </c>
      <c r="AD1192" s="19" t="str">
        <f aca="false">IF(O1192="","",O1192-R1192-AC1192)</f>
        <v/>
      </c>
      <c r="AE1192" s="20"/>
      <c r="AF1192" s="10"/>
      <c r="AG1192" s="21" t="n">
        <f aca="false">IF(OR(AE1192="",AE1192=0),0,AE1192*IF(U1192="",0,IF(U1192&gt;1,U1192/100,U1192)))</f>
        <v>0</v>
      </c>
      <c r="AH1192" s="21" t="n">
        <f aca="false">IF(OR(AE1192="",AE1192=0),0,AE1192*IF(X1192="",0,IF(X1192&gt;1,X1192/100,X1192)))</f>
        <v>0</v>
      </c>
      <c r="AI1192" s="21" t="n">
        <f aca="false">IF(OR(AE1192="",AE1192=0),0,AE1192*IF(AA1192="",0,IF(AA1192&gt;1,AA1192/100,AA1192)))</f>
        <v>0</v>
      </c>
      <c r="AJ1192" s="21" t="n">
        <f aca="false">AG1192+AH1192+AI1192</f>
        <v>0</v>
      </c>
      <c r="AK1192" s="21" t="n">
        <f aca="false">IF(OR(AE1192="",AE1192=0),0,AE1192-AJ1192)</f>
        <v>0</v>
      </c>
      <c r="AL1192" s="19" t="str">
        <f aca="false">IF(AD1192="","",AD1192-AK1192)</f>
        <v/>
      </c>
      <c r="AM1192" s="9" t="str">
        <f aca="false">IF(C1192="","","Waiting for payment")</f>
        <v/>
      </c>
      <c r="AN1192" s="10"/>
      <c r="AO1192" s="10"/>
      <c r="AP1192" s="22" t="str">
        <f aca="false">IF(OR(C1192="",I1192="",K1192=""),"",IF(K1192="Monthly",EDATE(C1192,ROUND(I1192*SETTINGS!$I$8,0)),WORKDAY(C1192,ROUND(I1192*SETTINGS!$I$8,0))))</f>
        <v/>
      </c>
      <c r="AQ1192" s="9" t="str">
        <f aca="true">IF(C1192="","",IF(AND(AP1192&lt;&gt;"",TODAY()&gt;=AP1192),"Refi Ready",IF(TODAY()-C1192&gt;=SETTINGS!$I$11,"Prospecting","Performing")))</f>
        <v/>
      </c>
      <c r="AR1192" s="22" t="str">
        <f aca="false">IF(OR(C1192="",I1192="",K1192=""),"",IF(K1192="Monthly",EDATE(C1192,I1192),WORKDAY(C1192,I1192)))</f>
        <v/>
      </c>
      <c r="AS1192" s="11"/>
      <c r="AT1192" s="23" t="str">
        <f aca="true">IF(C1192="","",IF(AM1192="Clawed Back","CLAWED",IF(TODAY()&lt;=C1192+SETTINGS!$I$2,"⚠ AT RISK","SAFE")))</f>
        <v/>
      </c>
      <c r="AU1192" s="11"/>
      <c r="AW1192" s="24" t="n">
        <f aca="false">AW1191+IF(AND(C1192&lt;&gt;"",AO1192&lt;&gt;"",OR('REP COMMISSION'!$B$3="",T1192='REP COMMISSION'!$B$3,W1192='REP COMMISSION'!$B$3,Z1192='REP COMMISSION'!$B$3)),1,0)</f>
        <v>0</v>
      </c>
      <c r="AX1192" s="24" t="n">
        <f aca="false">AX1191+IF(AND(C1192&lt;&gt;"",OR(F1192="LOC - INITIAL",F1192="CONSOLIDATION - UPFRONT COMM",F1192="REVERSE - TOTAL FUNDING")),1,0)</f>
        <v>0</v>
      </c>
    </row>
    <row r="1193" customFormat="false" ht="15" hidden="false" customHeight="false" outlineLevel="0" collapsed="false">
      <c r="A1193" s="25" t="str">
        <f aca="false">IF(C1193&lt;&gt;"","F27-"&amp;COUNT($C$4:C1193),"")</f>
        <v/>
      </c>
      <c r="B1193" s="26" t="str">
        <f aca="false">IF(OR(F1193="LOC - INITIAL",F1193="CONSOLIDATION - UPFRONT COMM",F1193="REVERSE - TOTAL FUNDING"),A1193,"")</f>
        <v/>
      </c>
      <c r="C1193" s="27"/>
      <c r="D1193" s="28"/>
      <c r="E1193" s="28"/>
      <c r="F1193" s="28"/>
      <c r="G1193" s="29"/>
      <c r="H1193" s="30"/>
      <c r="I1193" s="28"/>
      <c r="J1193" s="31" t="str">
        <f aca="false">IF(AND(G1193&lt;&gt;"",H1193&lt;&gt;""),G1193*H1193,"")</f>
        <v/>
      </c>
      <c r="K1193" s="28"/>
      <c r="L1193" s="32"/>
      <c r="M1193" s="32"/>
      <c r="N1193" s="31" t="n">
        <f aca="false">IF(OR(G1193="",M1193=""),0,IF(M1193&gt;100,M1193,G1193*IF(M1193&gt;1,M1193/100,M1193)))</f>
        <v>0</v>
      </c>
      <c r="O1193" s="31" t="str">
        <f aca="false">IF(G1193="","",G1193*IF(L1193="",0,IF(L1193&gt;1,L1193/100,L1193))+N1193)</f>
        <v/>
      </c>
      <c r="P1193" s="28"/>
      <c r="Q1193" s="33" t="str">
        <f aca="false">IF(P1193="","",IFERROR(VLOOKUP(P1193,PARTNERS!$A$2:$B$30,2,0),""))</f>
        <v/>
      </c>
      <c r="R1193" s="17" t="str">
        <f aca="false">IF(O1193="","",IF(OR(P1193="",Q1193=""),0,(O1193-N1193)*IF(Q1193&gt;1,Q1193/100,Q1193)))</f>
        <v/>
      </c>
      <c r="S1193" s="31" t="str">
        <f aca="false">IF(O1193="","",O1193-R1193)</f>
        <v/>
      </c>
      <c r="T1193" s="28"/>
      <c r="U1193" s="34" t="str">
        <f aca="false">IF(T1193="","",IFERROR(VLOOKUP(T1193,REPS!$A$2:$D$40,2,0),""))</f>
        <v/>
      </c>
      <c r="V1193" s="31" t="str">
        <f aca="false">IF(O1193="","",IF(U1193="",0,O1193*IF(U1193&gt;1,U1193/100,U1193)))</f>
        <v/>
      </c>
      <c r="W1193" s="28"/>
      <c r="X1193" s="34" t="str">
        <f aca="false">IF(W1193="","",IFERROR(VLOOKUP(W1193,REPS!$A$2:$D$40,3,0),""))</f>
        <v/>
      </c>
      <c r="Y1193" s="31" t="str">
        <f aca="false">IF(O1193="","",IF(X1193="",0,O1193*IF(X1193&gt;1,X1193/100,X1193)))</f>
        <v/>
      </c>
      <c r="Z1193" s="28"/>
      <c r="AA1193" s="34" t="str">
        <f aca="false">IF(Z1193="","",IFERROR(VLOOKUP(Z1193,REPS!$A$2:$D$40,4,0),""))</f>
        <v/>
      </c>
      <c r="AB1193" s="31" t="str">
        <f aca="false">IF(O1193="","",IF(AA1193="",0,O1193*IF(AA1193&gt;1,AA1193/100,AA1193)))</f>
        <v/>
      </c>
      <c r="AC1193" s="31" t="str">
        <f aca="false">IF(O1193="","",V1193+Y1193+AB1193)</f>
        <v/>
      </c>
      <c r="AD1193" s="19" t="str">
        <f aca="false">IF(O1193="","",O1193-R1193-AC1193)</f>
        <v/>
      </c>
      <c r="AE1193" s="20"/>
      <c r="AF1193" s="27"/>
      <c r="AG1193" s="21" t="n">
        <f aca="false">IF(OR(AE1193="",AE1193=0),0,AE1193*IF(U1193="",0,IF(U1193&gt;1,U1193/100,U1193)))</f>
        <v>0</v>
      </c>
      <c r="AH1193" s="21" t="n">
        <f aca="false">IF(OR(AE1193="",AE1193=0),0,AE1193*IF(X1193="",0,IF(X1193&gt;1,X1193/100,X1193)))</f>
        <v>0</v>
      </c>
      <c r="AI1193" s="21" t="n">
        <f aca="false">IF(OR(AE1193="",AE1193=0),0,AE1193*IF(AA1193="",0,IF(AA1193&gt;1,AA1193/100,AA1193)))</f>
        <v>0</v>
      </c>
      <c r="AJ1193" s="21" t="n">
        <f aca="false">AG1193+AH1193+AI1193</f>
        <v>0</v>
      </c>
      <c r="AK1193" s="21" t="n">
        <f aca="false">IF(OR(AE1193="",AE1193=0),0,AE1193-AJ1193)</f>
        <v>0</v>
      </c>
      <c r="AL1193" s="19" t="str">
        <f aca="false">IF(AD1193="","",AD1193-AK1193)</f>
        <v/>
      </c>
      <c r="AM1193" s="26" t="str">
        <f aca="false">IF(C1193="","","Waiting for payment")</f>
        <v/>
      </c>
      <c r="AN1193" s="27"/>
      <c r="AO1193" s="27"/>
      <c r="AP1193" s="35" t="str">
        <f aca="false">IF(OR(C1193="",I1193="",K1193=""),"",IF(K1193="Monthly",EDATE(C1193,ROUND(I1193*SETTINGS!$I$8,0)),WORKDAY(C1193,ROUND(I1193*SETTINGS!$I$8,0))))</f>
        <v/>
      </c>
      <c r="AQ1193" s="26" t="str">
        <f aca="true">IF(C1193="","",IF(AND(AP1193&lt;&gt;"",TODAY()&gt;=AP1193),"Refi Ready",IF(TODAY()-C1193&gt;=SETTINGS!$I$11,"Prospecting","Performing")))</f>
        <v/>
      </c>
      <c r="AR1193" s="35" t="str">
        <f aca="false">IF(OR(C1193="",I1193="",K1193=""),"",IF(K1193="Monthly",EDATE(C1193,I1193),WORKDAY(C1193,I1193)))</f>
        <v/>
      </c>
      <c r="AS1193" s="28"/>
      <c r="AT1193" s="36" t="str">
        <f aca="true">IF(C1193="","",IF(AM1193="Clawed Back","CLAWED",IF(TODAY()&lt;=C1193+SETTINGS!$I$2,"⚠ AT RISK","SAFE")))</f>
        <v/>
      </c>
      <c r="AU1193" s="28"/>
      <c r="AW1193" s="24" t="n">
        <f aca="false">AW1192+IF(AND(C1193&lt;&gt;"",AO1193&lt;&gt;"",OR('REP COMMISSION'!$B$3="",T1193='REP COMMISSION'!$B$3,W1193='REP COMMISSION'!$B$3,Z1193='REP COMMISSION'!$B$3)),1,0)</f>
        <v>0</v>
      </c>
      <c r="AX1193" s="24" t="n">
        <f aca="false">AX1192+IF(AND(C1193&lt;&gt;"",OR(F1193="LOC - INITIAL",F1193="CONSOLIDATION - UPFRONT COMM",F1193="REVERSE - TOTAL FUNDING")),1,0)</f>
        <v>0</v>
      </c>
    </row>
    <row r="1194" customFormat="false" ht="15" hidden="false" customHeight="false" outlineLevel="0" collapsed="false">
      <c r="A1194" s="8" t="str">
        <f aca="false">IF(C1194&lt;&gt;"","F27-"&amp;COUNT($C$4:C1194),"")</f>
        <v/>
      </c>
      <c r="B1194" s="9" t="str">
        <f aca="false">IF(OR(F1194="LOC - INITIAL",F1194="CONSOLIDATION - UPFRONT COMM",F1194="REVERSE - TOTAL FUNDING"),A1194,"")</f>
        <v/>
      </c>
      <c r="C1194" s="10"/>
      <c r="D1194" s="11"/>
      <c r="E1194" s="11"/>
      <c r="F1194" s="11"/>
      <c r="G1194" s="12"/>
      <c r="H1194" s="13"/>
      <c r="I1194" s="11"/>
      <c r="J1194" s="14" t="str">
        <f aca="false">IF(AND(G1194&lt;&gt;"",H1194&lt;&gt;""),G1194*H1194,"")</f>
        <v/>
      </c>
      <c r="K1194" s="11"/>
      <c r="L1194" s="15"/>
      <c r="M1194" s="15"/>
      <c r="N1194" s="14" t="n">
        <f aca="false">IF(OR(G1194="",M1194=""),0,IF(M1194&gt;100,M1194,G1194*IF(M1194&gt;1,M1194/100,M1194)))</f>
        <v>0</v>
      </c>
      <c r="O1194" s="14" t="str">
        <f aca="false">IF(G1194="","",G1194*IF(L1194="",0,IF(L1194&gt;1,L1194/100,L1194))+N1194)</f>
        <v/>
      </c>
      <c r="P1194" s="11"/>
      <c r="Q1194" s="16" t="str">
        <f aca="false">IF(P1194="","",IFERROR(VLOOKUP(P1194,PARTNERS!$A$2:$B$30,2,0),""))</f>
        <v/>
      </c>
      <c r="R1194" s="17" t="str">
        <f aca="false">IF(O1194="","",IF(OR(P1194="",Q1194=""),0,(O1194-N1194)*IF(Q1194&gt;1,Q1194/100,Q1194)))</f>
        <v/>
      </c>
      <c r="S1194" s="14" t="str">
        <f aca="false">IF(O1194="","",O1194-R1194)</f>
        <v/>
      </c>
      <c r="T1194" s="11"/>
      <c r="U1194" s="18" t="str">
        <f aca="false">IF(T1194="","",IFERROR(VLOOKUP(T1194,REPS!$A$2:$D$40,2,0),""))</f>
        <v/>
      </c>
      <c r="V1194" s="14" t="str">
        <f aca="false">IF(O1194="","",IF(U1194="",0,O1194*IF(U1194&gt;1,U1194/100,U1194)))</f>
        <v/>
      </c>
      <c r="W1194" s="11"/>
      <c r="X1194" s="18" t="str">
        <f aca="false">IF(W1194="","",IFERROR(VLOOKUP(W1194,REPS!$A$2:$D$40,3,0),""))</f>
        <v/>
      </c>
      <c r="Y1194" s="14" t="str">
        <f aca="false">IF(O1194="","",IF(X1194="",0,O1194*IF(X1194&gt;1,X1194/100,X1194)))</f>
        <v/>
      </c>
      <c r="Z1194" s="11"/>
      <c r="AA1194" s="18" t="str">
        <f aca="false">IF(Z1194="","",IFERROR(VLOOKUP(Z1194,REPS!$A$2:$D$40,4,0),""))</f>
        <v/>
      </c>
      <c r="AB1194" s="14" t="str">
        <f aca="false">IF(O1194="","",IF(AA1194="",0,O1194*IF(AA1194&gt;1,AA1194/100,AA1194)))</f>
        <v/>
      </c>
      <c r="AC1194" s="14" t="str">
        <f aca="false">IF(O1194="","",V1194+Y1194+AB1194)</f>
        <v/>
      </c>
      <c r="AD1194" s="19" t="str">
        <f aca="false">IF(O1194="","",O1194-R1194-AC1194)</f>
        <v/>
      </c>
      <c r="AE1194" s="20"/>
      <c r="AF1194" s="10"/>
      <c r="AG1194" s="21" t="n">
        <f aca="false">IF(OR(AE1194="",AE1194=0),0,AE1194*IF(U1194="",0,IF(U1194&gt;1,U1194/100,U1194)))</f>
        <v>0</v>
      </c>
      <c r="AH1194" s="21" t="n">
        <f aca="false">IF(OR(AE1194="",AE1194=0),0,AE1194*IF(X1194="",0,IF(X1194&gt;1,X1194/100,X1194)))</f>
        <v>0</v>
      </c>
      <c r="AI1194" s="21" t="n">
        <f aca="false">IF(OR(AE1194="",AE1194=0),0,AE1194*IF(AA1194="",0,IF(AA1194&gt;1,AA1194/100,AA1194)))</f>
        <v>0</v>
      </c>
      <c r="AJ1194" s="21" t="n">
        <f aca="false">AG1194+AH1194+AI1194</f>
        <v>0</v>
      </c>
      <c r="AK1194" s="21" t="n">
        <f aca="false">IF(OR(AE1194="",AE1194=0),0,AE1194-AJ1194)</f>
        <v>0</v>
      </c>
      <c r="AL1194" s="19" t="str">
        <f aca="false">IF(AD1194="","",AD1194-AK1194)</f>
        <v/>
      </c>
      <c r="AM1194" s="9" t="str">
        <f aca="false">IF(C1194="","","Waiting for payment")</f>
        <v/>
      </c>
      <c r="AN1194" s="10"/>
      <c r="AO1194" s="10"/>
      <c r="AP1194" s="22" t="str">
        <f aca="false">IF(OR(C1194="",I1194="",K1194=""),"",IF(K1194="Monthly",EDATE(C1194,ROUND(I1194*SETTINGS!$I$8,0)),WORKDAY(C1194,ROUND(I1194*SETTINGS!$I$8,0))))</f>
        <v/>
      </c>
      <c r="AQ1194" s="9" t="str">
        <f aca="true">IF(C1194="","",IF(AND(AP1194&lt;&gt;"",TODAY()&gt;=AP1194),"Refi Ready",IF(TODAY()-C1194&gt;=SETTINGS!$I$11,"Prospecting","Performing")))</f>
        <v/>
      </c>
      <c r="AR1194" s="22" t="str">
        <f aca="false">IF(OR(C1194="",I1194="",K1194=""),"",IF(K1194="Monthly",EDATE(C1194,I1194),WORKDAY(C1194,I1194)))</f>
        <v/>
      </c>
      <c r="AS1194" s="11"/>
      <c r="AT1194" s="23" t="str">
        <f aca="true">IF(C1194="","",IF(AM1194="Clawed Back","CLAWED",IF(TODAY()&lt;=C1194+SETTINGS!$I$2,"⚠ AT RISK","SAFE")))</f>
        <v/>
      </c>
      <c r="AU1194" s="11"/>
      <c r="AW1194" s="24" t="n">
        <f aca="false">AW1193+IF(AND(C1194&lt;&gt;"",AO1194&lt;&gt;"",OR('REP COMMISSION'!$B$3="",T1194='REP COMMISSION'!$B$3,W1194='REP COMMISSION'!$B$3,Z1194='REP COMMISSION'!$B$3)),1,0)</f>
        <v>0</v>
      </c>
      <c r="AX1194" s="24" t="n">
        <f aca="false">AX1193+IF(AND(C1194&lt;&gt;"",OR(F1194="LOC - INITIAL",F1194="CONSOLIDATION - UPFRONT COMM",F1194="REVERSE - TOTAL FUNDING")),1,0)</f>
        <v>0</v>
      </c>
    </row>
    <row r="1195" customFormat="false" ht="15" hidden="false" customHeight="false" outlineLevel="0" collapsed="false">
      <c r="A1195" s="25" t="str">
        <f aca="false">IF(C1195&lt;&gt;"","F27-"&amp;COUNT($C$4:C1195),"")</f>
        <v/>
      </c>
      <c r="B1195" s="26" t="str">
        <f aca="false">IF(OR(F1195="LOC - INITIAL",F1195="CONSOLIDATION - UPFRONT COMM",F1195="REVERSE - TOTAL FUNDING"),A1195,"")</f>
        <v/>
      </c>
      <c r="C1195" s="27"/>
      <c r="D1195" s="28"/>
      <c r="E1195" s="28"/>
      <c r="F1195" s="28"/>
      <c r="G1195" s="29"/>
      <c r="H1195" s="30"/>
      <c r="I1195" s="28"/>
      <c r="J1195" s="31" t="str">
        <f aca="false">IF(AND(G1195&lt;&gt;"",H1195&lt;&gt;""),G1195*H1195,"")</f>
        <v/>
      </c>
      <c r="K1195" s="28"/>
      <c r="L1195" s="32"/>
      <c r="M1195" s="32"/>
      <c r="N1195" s="31" t="n">
        <f aca="false">IF(OR(G1195="",M1195=""),0,IF(M1195&gt;100,M1195,G1195*IF(M1195&gt;1,M1195/100,M1195)))</f>
        <v>0</v>
      </c>
      <c r="O1195" s="31" t="str">
        <f aca="false">IF(G1195="","",G1195*IF(L1195="",0,IF(L1195&gt;1,L1195/100,L1195))+N1195)</f>
        <v/>
      </c>
      <c r="P1195" s="28"/>
      <c r="Q1195" s="33" t="str">
        <f aca="false">IF(P1195="","",IFERROR(VLOOKUP(P1195,PARTNERS!$A$2:$B$30,2,0),""))</f>
        <v/>
      </c>
      <c r="R1195" s="17" t="str">
        <f aca="false">IF(O1195="","",IF(OR(P1195="",Q1195=""),0,(O1195-N1195)*IF(Q1195&gt;1,Q1195/100,Q1195)))</f>
        <v/>
      </c>
      <c r="S1195" s="31" t="str">
        <f aca="false">IF(O1195="","",O1195-R1195)</f>
        <v/>
      </c>
      <c r="T1195" s="28"/>
      <c r="U1195" s="34" t="str">
        <f aca="false">IF(T1195="","",IFERROR(VLOOKUP(T1195,REPS!$A$2:$D$40,2,0),""))</f>
        <v/>
      </c>
      <c r="V1195" s="31" t="str">
        <f aca="false">IF(O1195="","",IF(U1195="",0,O1195*IF(U1195&gt;1,U1195/100,U1195)))</f>
        <v/>
      </c>
      <c r="W1195" s="28"/>
      <c r="X1195" s="34" t="str">
        <f aca="false">IF(W1195="","",IFERROR(VLOOKUP(W1195,REPS!$A$2:$D$40,3,0),""))</f>
        <v/>
      </c>
      <c r="Y1195" s="31" t="str">
        <f aca="false">IF(O1195="","",IF(X1195="",0,O1195*IF(X1195&gt;1,X1195/100,X1195)))</f>
        <v/>
      </c>
      <c r="Z1195" s="28"/>
      <c r="AA1195" s="34" t="str">
        <f aca="false">IF(Z1195="","",IFERROR(VLOOKUP(Z1195,REPS!$A$2:$D$40,4,0),""))</f>
        <v/>
      </c>
      <c r="AB1195" s="31" t="str">
        <f aca="false">IF(O1195="","",IF(AA1195="",0,O1195*IF(AA1195&gt;1,AA1195/100,AA1195)))</f>
        <v/>
      </c>
      <c r="AC1195" s="31" t="str">
        <f aca="false">IF(O1195="","",V1195+Y1195+AB1195)</f>
        <v/>
      </c>
      <c r="AD1195" s="19" t="str">
        <f aca="false">IF(O1195="","",O1195-R1195-AC1195)</f>
        <v/>
      </c>
      <c r="AE1195" s="20"/>
      <c r="AF1195" s="27"/>
      <c r="AG1195" s="21" t="n">
        <f aca="false">IF(OR(AE1195="",AE1195=0),0,AE1195*IF(U1195="",0,IF(U1195&gt;1,U1195/100,U1195)))</f>
        <v>0</v>
      </c>
      <c r="AH1195" s="21" t="n">
        <f aca="false">IF(OR(AE1195="",AE1195=0),0,AE1195*IF(X1195="",0,IF(X1195&gt;1,X1195/100,X1195)))</f>
        <v>0</v>
      </c>
      <c r="AI1195" s="21" t="n">
        <f aca="false">IF(OR(AE1195="",AE1195=0),0,AE1195*IF(AA1195="",0,IF(AA1195&gt;1,AA1195/100,AA1195)))</f>
        <v>0</v>
      </c>
      <c r="AJ1195" s="21" t="n">
        <f aca="false">AG1195+AH1195+AI1195</f>
        <v>0</v>
      </c>
      <c r="AK1195" s="21" t="n">
        <f aca="false">IF(OR(AE1195="",AE1195=0),0,AE1195-AJ1195)</f>
        <v>0</v>
      </c>
      <c r="AL1195" s="19" t="str">
        <f aca="false">IF(AD1195="","",AD1195-AK1195)</f>
        <v/>
      </c>
      <c r="AM1195" s="26" t="str">
        <f aca="false">IF(C1195="","","Waiting for payment")</f>
        <v/>
      </c>
      <c r="AN1195" s="27"/>
      <c r="AO1195" s="27"/>
      <c r="AP1195" s="35" t="str">
        <f aca="false">IF(OR(C1195="",I1195="",K1195=""),"",IF(K1195="Monthly",EDATE(C1195,ROUND(I1195*SETTINGS!$I$8,0)),WORKDAY(C1195,ROUND(I1195*SETTINGS!$I$8,0))))</f>
        <v/>
      </c>
      <c r="AQ1195" s="26" t="str">
        <f aca="true">IF(C1195="","",IF(AND(AP1195&lt;&gt;"",TODAY()&gt;=AP1195),"Refi Ready",IF(TODAY()-C1195&gt;=SETTINGS!$I$11,"Prospecting","Performing")))</f>
        <v/>
      </c>
      <c r="AR1195" s="35" t="str">
        <f aca="false">IF(OR(C1195="",I1195="",K1195=""),"",IF(K1195="Monthly",EDATE(C1195,I1195),WORKDAY(C1195,I1195)))</f>
        <v/>
      </c>
      <c r="AS1195" s="28"/>
      <c r="AT1195" s="36" t="str">
        <f aca="true">IF(C1195="","",IF(AM1195="Clawed Back","CLAWED",IF(TODAY()&lt;=C1195+SETTINGS!$I$2,"⚠ AT RISK","SAFE")))</f>
        <v/>
      </c>
      <c r="AU1195" s="28"/>
      <c r="AW1195" s="24" t="n">
        <f aca="false">AW1194+IF(AND(C1195&lt;&gt;"",AO1195&lt;&gt;"",OR('REP COMMISSION'!$B$3="",T1195='REP COMMISSION'!$B$3,W1195='REP COMMISSION'!$B$3,Z1195='REP COMMISSION'!$B$3)),1,0)</f>
        <v>0</v>
      </c>
      <c r="AX1195" s="24" t="n">
        <f aca="false">AX1194+IF(AND(C1195&lt;&gt;"",OR(F1195="LOC - INITIAL",F1195="CONSOLIDATION - UPFRONT COMM",F1195="REVERSE - TOTAL FUNDING")),1,0)</f>
        <v>0</v>
      </c>
    </row>
    <row r="1196" customFormat="false" ht="15" hidden="false" customHeight="false" outlineLevel="0" collapsed="false">
      <c r="A1196" s="8" t="str">
        <f aca="false">IF(C1196&lt;&gt;"","F27-"&amp;COUNT($C$4:C1196),"")</f>
        <v/>
      </c>
      <c r="B1196" s="9" t="str">
        <f aca="false">IF(OR(F1196="LOC - INITIAL",F1196="CONSOLIDATION - UPFRONT COMM",F1196="REVERSE - TOTAL FUNDING"),A1196,"")</f>
        <v/>
      </c>
      <c r="C1196" s="10"/>
      <c r="D1196" s="11"/>
      <c r="E1196" s="11"/>
      <c r="F1196" s="11"/>
      <c r="G1196" s="12"/>
      <c r="H1196" s="13"/>
      <c r="I1196" s="11"/>
      <c r="J1196" s="14" t="str">
        <f aca="false">IF(AND(G1196&lt;&gt;"",H1196&lt;&gt;""),G1196*H1196,"")</f>
        <v/>
      </c>
      <c r="K1196" s="11"/>
      <c r="L1196" s="15"/>
      <c r="M1196" s="15"/>
      <c r="N1196" s="14" t="n">
        <f aca="false">IF(OR(G1196="",M1196=""),0,IF(M1196&gt;100,M1196,G1196*IF(M1196&gt;1,M1196/100,M1196)))</f>
        <v>0</v>
      </c>
      <c r="O1196" s="14" t="str">
        <f aca="false">IF(G1196="","",G1196*IF(L1196="",0,IF(L1196&gt;1,L1196/100,L1196))+N1196)</f>
        <v/>
      </c>
      <c r="P1196" s="11"/>
      <c r="Q1196" s="16" t="str">
        <f aca="false">IF(P1196="","",IFERROR(VLOOKUP(P1196,PARTNERS!$A$2:$B$30,2,0),""))</f>
        <v/>
      </c>
      <c r="R1196" s="17" t="str">
        <f aca="false">IF(O1196="","",IF(OR(P1196="",Q1196=""),0,(O1196-N1196)*IF(Q1196&gt;1,Q1196/100,Q1196)))</f>
        <v/>
      </c>
      <c r="S1196" s="14" t="str">
        <f aca="false">IF(O1196="","",O1196-R1196)</f>
        <v/>
      </c>
      <c r="T1196" s="11"/>
      <c r="U1196" s="18" t="str">
        <f aca="false">IF(T1196="","",IFERROR(VLOOKUP(T1196,REPS!$A$2:$D$40,2,0),""))</f>
        <v/>
      </c>
      <c r="V1196" s="14" t="str">
        <f aca="false">IF(O1196="","",IF(U1196="",0,O1196*IF(U1196&gt;1,U1196/100,U1196)))</f>
        <v/>
      </c>
      <c r="W1196" s="11"/>
      <c r="X1196" s="18" t="str">
        <f aca="false">IF(W1196="","",IFERROR(VLOOKUP(W1196,REPS!$A$2:$D$40,3,0),""))</f>
        <v/>
      </c>
      <c r="Y1196" s="14" t="str">
        <f aca="false">IF(O1196="","",IF(X1196="",0,O1196*IF(X1196&gt;1,X1196/100,X1196)))</f>
        <v/>
      </c>
      <c r="Z1196" s="11"/>
      <c r="AA1196" s="18" t="str">
        <f aca="false">IF(Z1196="","",IFERROR(VLOOKUP(Z1196,REPS!$A$2:$D$40,4,0),""))</f>
        <v/>
      </c>
      <c r="AB1196" s="14" t="str">
        <f aca="false">IF(O1196="","",IF(AA1196="",0,O1196*IF(AA1196&gt;1,AA1196/100,AA1196)))</f>
        <v/>
      </c>
      <c r="AC1196" s="14" t="str">
        <f aca="false">IF(O1196="","",V1196+Y1196+AB1196)</f>
        <v/>
      </c>
      <c r="AD1196" s="19" t="str">
        <f aca="false">IF(O1196="","",O1196-R1196-AC1196)</f>
        <v/>
      </c>
      <c r="AE1196" s="20"/>
      <c r="AF1196" s="10"/>
      <c r="AG1196" s="21" t="n">
        <f aca="false">IF(OR(AE1196="",AE1196=0),0,AE1196*IF(U1196="",0,IF(U1196&gt;1,U1196/100,U1196)))</f>
        <v>0</v>
      </c>
      <c r="AH1196" s="21" t="n">
        <f aca="false">IF(OR(AE1196="",AE1196=0),0,AE1196*IF(X1196="",0,IF(X1196&gt;1,X1196/100,X1196)))</f>
        <v>0</v>
      </c>
      <c r="AI1196" s="21" t="n">
        <f aca="false">IF(OR(AE1196="",AE1196=0),0,AE1196*IF(AA1196="",0,IF(AA1196&gt;1,AA1196/100,AA1196)))</f>
        <v>0</v>
      </c>
      <c r="AJ1196" s="21" t="n">
        <f aca="false">AG1196+AH1196+AI1196</f>
        <v>0</v>
      </c>
      <c r="AK1196" s="21" t="n">
        <f aca="false">IF(OR(AE1196="",AE1196=0),0,AE1196-AJ1196)</f>
        <v>0</v>
      </c>
      <c r="AL1196" s="19" t="str">
        <f aca="false">IF(AD1196="","",AD1196-AK1196)</f>
        <v/>
      </c>
      <c r="AM1196" s="9" t="str">
        <f aca="false">IF(C1196="","","Waiting for payment")</f>
        <v/>
      </c>
      <c r="AN1196" s="10"/>
      <c r="AO1196" s="10"/>
      <c r="AP1196" s="22" t="str">
        <f aca="false">IF(OR(C1196="",I1196="",K1196=""),"",IF(K1196="Monthly",EDATE(C1196,ROUND(I1196*SETTINGS!$I$8,0)),WORKDAY(C1196,ROUND(I1196*SETTINGS!$I$8,0))))</f>
        <v/>
      </c>
      <c r="AQ1196" s="9" t="str">
        <f aca="true">IF(C1196="","",IF(AND(AP1196&lt;&gt;"",TODAY()&gt;=AP1196),"Refi Ready",IF(TODAY()-C1196&gt;=SETTINGS!$I$11,"Prospecting","Performing")))</f>
        <v/>
      </c>
      <c r="AR1196" s="22" t="str">
        <f aca="false">IF(OR(C1196="",I1196="",K1196=""),"",IF(K1196="Monthly",EDATE(C1196,I1196),WORKDAY(C1196,I1196)))</f>
        <v/>
      </c>
      <c r="AS1196" s="11"/>
      <c r="AT1196" s="23" t="str">
        <f aca="true">IF(C1196="","",IF(AM1196="Clawed Back","CLAWED",IF(TODAY()&lt;=C1196+SETTINGS!$I$2,"⚠ AT RISK","SAFE")))</f>
        <v/>
      </c>
      <c r="AU1196" s="11"/>
      <c r="AW1196" s="24" t="n">
        <f aca="false">AW1195+IF(AND(C1196&lt;&gt;"",AO1196&lt;&gt;"",OR('REP COMMISSION'!$B$3="",T1196='REP COMMISSION'!$B$3,W1196='REP COMMISSION'!$B$3,Z1196='REP COMMISSION'!$B$3)),1,0)</f>
        <v>0</v>
      </c>
      <c r="AX1196" s="24" t="n">
        <f aca="false">AX1195+IF(AND(C1196&lt;&gt;"",OR(F1196="LOC - INITIAL",F1196="CONSOLIDATION - UPFRONT COMM",F1196="REVERSE - TOTAL FUNDING")),1,0)</f>
        <v>0</v>
      </c>
    </row>
    <row r="1197" customFormat="false" ht="15" hidden="false" customHeight="false" outlineLevel="0" collapsed="false">
      <c r="A1197" s="25" t="str">
        <f aca="false">IF(C1197&lt;&gt;"","F27-"&amp;COUNT($C$4:C1197),"")</f>
        <v/>
      </c>
      <c r="B1197" s="26" t="str">
        <f aca="false">IF(OR(F1197="LOC - INITIAL",F1197="CONSOLIDATION - UPFRONT COMM",F1197="REVERSE - TOTAL FUNDING"),A1197,"")</f>
        <v/>
      </c>
      <c r="C1197" s="27"/>
      <c r="D1197" s="28"/>
      <c r="E1197" s="28"/>
      <c r="F1197" s="28"/>
      <c r="G1197" s="29"/>
      <c r="H1197" s="30"/>
      <c r="I1197" s="28"/>
      <c r="J1197" s="31" t="str">
        <f aca="false">IF(AND(G1197&lt;&gt;"",H1197&lt;&gt;""),G1197*H1197,"")</f>
        <v/>
      </c>
      <c r="K1197" s="28"/>
      <c r="L1197" s="32"/>
      <c r="M1197" s="32"/>
      <c r="N1197" s="31" t="n">
        <f aca="false">IF(OR(G1197="",M1197=""),0,IF(M1197&gt;100,M1197,G1197*IF(M1197&gt;1,M1197/100,M1197)))</f>
        <v>0</v>
      </c>
      <c r="O1197" s="31" t="str">
        <f aca="false">IF(G1197="","",G1197*IF(L1197="",0,IF(L1197&gt;1,L1197/100,L1197))+N1197)</f>
        <v/>
      </c>
      <c r="P1197" s="28"/>
      <c r="Q1197" s="33" t="str">
        <f aca="false">IF(P1197="","",IFERROR(VLOOKUP(P1197,PARTNERS!$A$2:$B$30,2,0),""))</f>
        <v/>
      </c>
      <c r="R1197" s="17" t="str">
        <f aca="false">IF(O1197="","",IF(OR(P1197="",Q1197=""),0,(O1197-N1197)*IF(Q1197&gt;1,Q1197/100,Q1197)))</f>
        <v/>
      </c>
      <c r="S1197" s="31" t="str">
        <f aca="false">IF(O1197="","",O1197-R1197)</f>
        <v/>
      </c>
      <c r="T1197" s="28"/>
      <c r="U1197" s="34" t="str">
        <f aca="false">IF(T1197="","",IFERROR(VLOOKUP(T1197,REPS!$A$2:$D$40,2,0),""))</f>
        <v/>
      </c>
      <c r="V1197" s="31" t="str">
        <f aca="false">IF(O1197="","",IF(U1197="",0,O1197*IF(U1197&gt;1,U1197/100,U1197)))</f>
        <v/>
      </c>
      <c r="W1197" s="28"/>
      <c r="X1197" s="34" t="str">
        <f aca="false">IF(W1197="","",IFERROR(VLOOKUP(W1197,REPS!$A$2:$D$40,3,0),""))</f>
        <v/>
      </c>
      <c r="Y1197" s="31" t="str">
        <f aca="false">IF(O1197="","",IF(X1197="",0,O1197*IF(X1197&gt;1,X1197/100,X1197)))</f>
        <v/>
      </c>
      <c r="Z1197" s="28"/>
      <c r="AA1197" s="34" t="str">
        <f aca="false">IF(Z1197="","",IFERROR(VLOOKUP(Z1197,REPS!$A$2:$D$40,4,0),""))</f>
        <v/>
      </c>
      <c r="AB1197" s="31" t="str">
        <f aca="false">IF(O1197="","",IF(AA1197="",0,O1197*IF(AA1197&gt;1,AA1197/100,AA1197)))</f>
        <v/>
      </c>
      <c r="AC1197" s="31" t="str">
        <f aca="false">IF(O1197="","",V1197+Y1197+AB1197)</f>
        <v/>
      </c>
      <c r="AD1197" s="19" t="str">
        <f aca="false">IF(O1197="","",O1197-R1197-AC1197)</f>
        <v/>
      </c>
      <c r="AE1197" s="20"/>
      <c r="AF1197" s="27"/>
      <c r="AG1197" s="21" t="n">
        <f aca="false">IF(OR(AE1197="",AE1197=0),0,AE1197*IF(U1197="",0,IF(U1197&gt;1,U1197/100,U1197)))</f>
        <v>0</v>
      </c>
      <c r="AH1197" s="21" t="n">
        <f aca="false">IF(OR(AE1197="",AE1197=0),0,AE1197*IF(X1197="",0,IF(X1197&gt;1,X1197/100,X1197)))</f>
        <v>0</v>
      </c>
      <c r="AI1197" s="21" t="n">
        <f aca="false">IF(OR(AE1197="",AE1197=0),0,AE1197*IF(AA1197="",0,IF(AA1197&gt;1,AA1197/100,AA1197)))</f>
        <v>0</v>
      </c>
      <c r="AJ1197" s="21" t="n">
        <f aca="false">AG1197+AH1197+AI1197</f>
        <v>0</v>
      </c>
      <c r="AK1197" s="21" t="n">
        <f aca="false">IF(OR(AE1197="",AE1197=0),0,AE1197-AJ1197)</f>
        <v>0</v>
      </c>
      <c r="AL1197" s="19" t="str">
        <f aca="false">IF(AD1197="","",AD1197-AK1197)</f>
        <v/>
      </c>
      <c r="AM1197" s="26" t="str">
        <f aca="false">IF(C1197="","","Waiting for payment")</f>
        <v/>
      </c>
      <c r="AN1197" s="27"/>
      <c r="AO1197" s="27"/>
      <c r="AP1197" s="35" t="str">
        <f aca="false">IF(OR(C1197="",I1197="",K1197=""),"",IF(K1197="Monthly",EDATE(C1197,ROUND(I1197*SETTINGS!$I$8,0)),WORKDAY(C1197,ROUND(I1197*SETTINGS!$I$8,0))))</f>
        <v/>
      </c>
      <c r="AQ1197" s="26" t="str">
        <f aca="true">IF(C1197="","",IF(AND(AP1197&lt;&gt;"",TODAY()&gt;=AP1197),"Refi Ready",IF(TODAY()-C1197&gt;=SETTINGS!$I$11,"Prospecting","Performing")))</f>
        <v/>
      </c>
      <c r="AR1197" s="35" t="str">
        <f aca="false">IF(OR(C1197="",I1197="",K1197=""),"",IF(K1197="Monthly",EDATE(C1197,I1197),WORKDAY(C1197,I1197)))</f>
        <v/>
      </c>
      <c r="AS1197" s="28"/>
      <c r="AT1197" s="36" t="str">
        <f aca="true">IF(C1197="","",IF(AM1197="Clawed Back","CLAWED",IF(TODAY()&lt;=C1197+SETTINGS!$I$2,"⚠ AT RISK","SAFE")))</f>
        <v/>
      </c>
      <c r="AU1197" s="28"/>
      <c r="AW1197" s="24" t="n">
        <f aca="false">AW1196+IF(AND(C1197&lt;&gt;"",AO1197&lt;&gt;"",OR('REP COMMISSION'!$B$3="",T1197='REP COMMISSION'!$B$3,W1197='REP COMMISSION'!$B$3,Z1197='REP COMMISSION'!$B$3)),1,0)</f>
        <v>0</v>
      </c>
      <c r="AX1197" s="24" t="n">
        <f aca="false">AX1196+IF(AND(C1197&lt;&gt;"",OR(F1197="LOC - INITIAL",F1197="CONSOLIDATION - UPFRONT COMM",F1197="REVERSE - TOTAL FUNDING")),1,0)</f>
        <v>0</v>
      </c>
    </row>
    <row r="1198" customFormat="false" ht="15" hidden="false" customHeight="false" outlineLevel="0" collapsed="false">
      <c r="A1198" s="8" t="str">
        <f aca="false">IF(C1198&lt;&gt;"","F27-"&amp;COUNT($C$4:C1198),"")</f>
        <v/>
      </c>
      <c r="B1198" s="9" t="str">
        <f aca="false">IF(OR(F1198="LOC - INITIAL",F1198="CONSOLIDATION - UPFRONT COMM",F1198="REVERSE - TOTAL FUNDING"),A1198,"")</f>
        <v/>
      </c>
      <c r="C1198" s="10"/>
      <c r="D1198" s="11"/>
      <c r="E1198" s="11"/>
      <c r="F1198" s="11"/>
      <c r="G1198" s="12"/>
      <c r="H1198" s="13"/>
      <c r="I1198" s="11"/>
      <c r="J1198" s="14" t="str">
        <f aca="false">IF(AND(G1198&lt;&gt;"",H1198&lt;&gt;""),G1198*H1198,"")</f>
        <v/>
      </c>
      <c r="K1198" s="11"/>
      <c r="L1198" s="15"/>
      <c r="M1198" s="15"/>
      <c r="N1198" s="14" t="n">
        <f aca="false">IF(OR(G1198="",M1198=""),0,IF(M1198&gt;100,M1198,G1198*IF(M1198&gt;1,M1198/100,M1198)))</f>
        <v>0</v>
      </c>
      <c r="O1198" s="14" t="str">
        <f aca="false">IF(G1198="","",G1198*IF(L1198="",0,IF(L1198&gt;1,L1198/100,L1198))+N1198)</f>
        <v/>
      </c>
      <c r="P1198" s="11"/>
      <c r="Q1198" s="16" t="str">
        <f aca="false">IF(P1198="","",IFERROR(VLOOKUP(P1198,PARTNERS!$A$2:$B$30,2,0),""))</f>
        <v/>
      </c>
      <c r="R1198" s="17" t="str">
        <f aca="false">IF(O1198="","",IF(OR(P1198="",Q1198=""),0,(O1198-N1198)*IF(Q1198&gt;1,Q1198/100,Q1198)))</f>
        <v/>
      </c>
      <c r="S1198" s="14" t="str">
        <f aca="false">IF(O1198="","",O1198-R1198)</f>
        <v/>
      </c>
      <c r="T1198" s="11"/>
      <c r="U1198" s="18" t="str">
        <f aca="false">IF(T1198="","",IFERROR(VLOOKUP(T1198,REPS!$A$2:$D$40,2,0),""))</f>
        <v/>
      </c>
      <c r="V1198" s="14" t="str">
        <f aca="false">IF(O1198="","",IF(U1198="",0,O1198*IF(U1198&gt;1,U1198/100,U1198)))</f>
        <v/>
      </c>
      <c r="W1198" s="11"/>
      <c r="X1198" s="18" t="str">
        <f aca="false">IF(W1198="","",IFERROR(VLOOKUP(W1198,REPS!$A$2:$D$40,3,0),""))</f>
        <v/>
      </c>
      <c r="Y1198" s="14" t="str">
        <f aca="false">IF(O1198="","",IF(X1198="",0,O1198*IF(X1198&gt;1,X1198/100,X1198)))</f>
        <v/>
      </c>
      <c r="Z1198" s="11"/>
      <c r="AA1198" s="18" t="str">
        <f aca="false">IF(Z1198="","",IFERROR(VLOOKUP(Z1198,REPS!$A$2:$D$40,4,0),""))</f>
        <v/>
      </c>
      <c r="AB1198" s="14" t="str">
        <f aca="false">IF(O1198="","",IF(AA1198="",0,O1198*IF(AA1198&gt;1,AA1198/100,AA1198)))</f>
        <v/>
      </c>
      <c r="AC1198" s="14" t="str">
        <f aca="false">IF(O1198="","",V1198+Y1198+AB1198)</f>
        <v/>
      </c>
      <c r="AD1198" s="19" t="str">
        <f aca="false">IF(O1198="","",O1198-R1198-AC1198)</f>
        <v/>
      </c>
      <c r="AE1198" s="20"/>
      <c r="AF1198" s="10"/>
      <c r="AG1198" s="21" t="n">
        <f aca="false">IF(OR(AE1198="",AE1198=0),0,AE1198*IF(U1198="",0,IF(U1198&gt;1,U1198/100,U1198)))</f>
        <v>0</v>
      </c>
      <c r="AH1198" s="21" t="n">
        <f aca="false">IF(OR(AE1198="",AE1198=0),0,AE1198*IF(X1198="",0,IF(X1198&gt;1,X1198/100,X1198)))</f>
        <v>0</v>
      </c>
      <c r="AI1198" s="21" t="n">
        <f aca="false">IF(OR(AE1198="",AE1198=0),0,AE1198*IF(AA1198="",0,IF(AA1198&gt;1,AA1198/100,AA1198)))</f>
        <v>0</v>
      </c>
      <c r="AJ1198" s="21" t="n">
        <f aca="false">AG1198+AH1198+AI1198</f>
        <v>0</v>
      </c>
      <c r="AK1198" s="21" t="n">
        <f aca="false">IF(OR(AE1198="",AE1198=0),0,AE1198-AJ1198)</f>
        <v>0</v>
      </c>
      <c r="AL1198" s="19" t="str">
        <f aca="false">IF(AD1198="","",AD1198-AK1198)</f>
        <v/>
      </c>
      <c r="AM1198" s="9" t="str">
        <f aca="false">IF(C1198="","","Waiting for payment")</f>
        <v/>
      </c>
      <c r="AN1198" s="10"/>
      <c r="AO1198" s="10"/>
      <c r="AP1198" s="22" t="str">
        <f aca="false">IF(OR(C1198="",I1198="",K1198=""),"",IF(K1198="Monthly",EDATE(C1198,ROUND(I1198*SETTINGS!$I$8,0)),WORKDAY(C1198,ROUND(I1198*SETTINGS!$I$8,0))))</f>
        <v/>
      </c>
      <c r="AQ1198" s="9" t="str">
        <f aca="true">IF(C1198="","",IF(AND(AP1198&lt;&gt;"",TODAY()&gt;=AP1198),"Refi Ready",IF(TODAY()-C1198&gt;=SETTINGS!$I$11,"Prospecting","Performing")))</f>
        <v/>
      </c>
      <c r="AR1198" s="22" t="str">
        <f aca="false">IF(OR(C1198="",I1198="",K1198=""),"",IF(K1198="Monthly",EDATE(C1198,I1198),WORKDAY(C1198,I1198)))</f>
        <v/>
      </c>
      <c r="AS1198" s="11"/>
      <c r="AT1198" s="23" t="str">
        <f aca="true">IF(C1198="","",IF(AM1198="Clawed Back","CLAWED",IF(TODAY()&lt;=C1198+SETTINGS!$I$2,"⚠ AT RISK","SAFE")))</f>
        <v/>
      </c>
      <c r="AU1198" s="11"/>
      <c r="AW1198" s="24" t="n">
        <f aca="false">AW1197+IF(AND(C1198&lt;&gt;"",AO1198&lt;&gt;"",OR('REP COMMISSION'!$B$3="",T1198='REP COMMISSION'!$B$3,W1198='REP COMMISSION'!$B$3,Z1198='REP COMMISSION'!$B$3)),1,0)</f>
        <v>0</v>
      </c>
      <c r="AX1198" s="24" t="n">
        <f aca="false">AX1197+IF(AND(C1198&lt;&gt;"",OR(F1198="LOC - INITIAL",F1198="CONSOLIDATION - UPFRONT COMM",F1198="REVERSE - TOTAL FUNDING")),1,0)</f>
        <v>0</v>
      </c>
    </row>
    <row r="1199" customFormat="false" ht="15" hidden="false" customHeight="false" outlineLevel="0" collapsed="false">
      <c r="A1199" s="25" t="str">
        <f aca="false">IF(C1199&lt;&gt;"","F27-"&amp;COUNT($C$4:C1199),"")</f>
        <v/>
      </c>
      <c r="B1199" s="26" t="str">
        <f aca="false">IF(OR(F1199="LOC - INITIAL",F1199="CONSOLIDATION - UPFRONT COMM",F1199="REVERSE - TOTAL FUNDING"),A1199,"")</f>
        <v/>
      </c>
      <c r="C1199" s="27"/>
      <c r="D1199" s="28"/>
      <c r="E1199" s="28"/>
      <c r="F1199" s="28"/>
      <c r="G1199" s="29"/>
      <c r="H1199" s="30"/>
      <c r="I1199" s="28"/>
      <c r="J1199" s="31" t="str">
        <f aca="false">IF(AND(G1199&lt;&gt;"",H1199&lt;&gt;""),G1199*H1199,"")</f>
        <v/>
      </c>
      <c r="K1199" s="28"/>
      <c r="L1199" s="32"/>
      <c r="M1199" s="32"/>
      <c r="N1199" s="31" t="n">
        <f aca="false">IF(OR(G1199="",M1199=""),0,IF(M1199&gt;100,M1199,G1199*IF(M1199&gt;1,M1199/100,M1199)))</f>
        <v>0</v>
      </c>
      <c r="O1199" s="31" t="str">
        <f aca="false">IF(G1199="","",G1199*IF(L1199="",0,IF(L1199&gt;1,L1199/100,L1199))+N1199)</f>
        <v/>
      </c>
      <c r="P1199" s="28"/>
      <c r="Q1199" s="33" t="str">
        <f aca="false">IF(P1199="","",IFERROR(VLOOKUP(P1199,PARTNERS!$A$2:$B$30,2,0),""))</f>
        <v/>
      </c>
      <c r="R1199" s="17" t="str">
        <f aca="false">IF(O1199="","",IF(OR(P1199="",Q1199=""),0,(O1199-N1199)*IF(Q1199&gt;1,Q1199/100,Q1199)))</f>
        <v/>
      </c>
      <c r="S1199" s="31" t="str">
        <f aca="false">IF(O1199="","",O1199-R1199)</f>
        <v/>
      </c>
      <c r="T1199" s="28"/>
      <c r="U1199" s="34" t="str">
        <f aca="false">IF(T1199="","",IFERROR(VLOOKUP(T1199,REPS!$A$2:$D$40,2,0),""))</f>
        <v/>
      </c>
      <c r="V1199" s="31" t="str">
        <f aca="false">IF(O1199="","",IF(U1199="",0,O1199*IF(U1199&gt;1,U1199/100,U1199)))</f>
        <v/>
      </c>
      <c r="W1199" s="28"/>
      <c r="X1199" s="34" t="str">
        <f aca="false">IF(W1199="","",IFERROR(VLOOKUP(W1199,REPS!$A$2:$D$40,3,0),""))</f>
        <v/>
      </c>
      <c r="Y1199" s="31" t="str">
        <f aca="false">IF(O1199="","",IF(X1199="",0,O1199*IF(X1199&gt;1,X1199/100,X1199)))</f>
        <v/>
      </c>
      <c r="Z1199" s="28"/>
      <c r="AA1199" s="34" t="str">
        <f aca="false">IF(Z1199="","",IFERROR(VLOOKUP(Z1199,REPS!$A$2:$D$40,4,0),""))</f>
        <v/>
      </c>
      <c r="AB1199" s="31" t="str">
        <f aca="false">IF(O1199="","",IF(AA1199="",0,O1199*IF(AA1199&gt;1,AA1199/100,AA1199)))</f>
        <v/>
      </c>
      <c r="AC1199" s="31" t="str">
        <f aca="false">IF(O1199="","",V1199+Y1199+AB1199)</f>
        <v/>
      </c>
      <c r="AD1199" s="19" t="str">
        <f aca="false">IF(O1199="","",O1199-R1199-AC1199)</f>
        <v/>
      </c>
      <c r="AE1199" s="20"/>
      <c r="AF1199" s="27"/>
      <c r="AG1199" s="21" t="n">
        <f aca="false">IF(OR(AE1199="",AE1199=0),0,AE1199*IF(U1199="",0,IF(U1199&gt;1,U1199/100,U1199)))</f>
        <v>0</v>
      </c>
      <c r="AH1199" s="21" t="n">
        <f aca="false">IF(OR(AE1199="",AE1199=0),0,AE1199*IF(X1199="",0,IF(X1199&gt;1,X1199/100,X1199)))</f>
        <v>0</v>
      </c>
      <c r="AI1199" s="21" t="n">
        <f aca="false">IF(OR(AE1199="",AE1199=0),0,AE1199*IF(AA1199="",0,IF(AA1199&gt;1,AA1199/100,AA1199)))</f>
        <v>0</v>
      </c>
      <c r="AJ1199" s="21" t="n">
        <f aca="false">AG1199+AH1199+AI1199</f>
        <v>0</v>
      </c>
      <c r="AK1199" s="21" t="n">
        <f aca="false">IF(OR(AE1199="",AE1199=0),0,AE1199-AJ1199)</f>
        <v>0</v>
      </c>
      <c r="AL1199" s="19" t="str">
        <f aca="false">IF(AD1199="","",AD1199-AK1199)</f>
        <v/>
      </c>
      <c r="AM1199" s="26" t="str">
        <f aca="false">IF(C1199="","","Waiting for payment")</f>
        <v/>
      </c>
      <c r="AN1199" s="27"/>
      <c r="AO1199" s="27"/>
      <c r="AP1199" s="35" t="str">
        <f aca="false">IF(OR(C1199="",I1199="",K1199=""),"",IF(K1199="Monthly",EDATE(C1199,ROUND(I1199*SETTINGS!$I$8,0)),WORKDAY(C1199,ROUND(I1199*SETTINGS!$I$8,0))))</f>
        <v/>
      </c>
      <c r="AQ1199" s="26" t="str">
        <f aca="true">IF(C1199="","",IF(AND(AP1199&lt;&gt;"",TODAY()&gt;=AP1199),"Refi Ready",IF(TODAY()-C1199&gt;=SETTINGS!$I$11,"Prospecting","Performing")))</f>
        <v/>
      </c>
      <c r="AR1199" s="35" t="str">
        <f aca="false">IF(OR(C1199="",I1199="",K1199=""),"",IF(K1199="Monthly",EDATE(C1199,I1199),WORKDAY(C1199,I1199)))</f>
        <v/>
      </c>
      <c r="AS1199" s="28"/>
      <c r="AT1199" s="36" t="str">
        <f aca="true">IF(C1199="","",IF(AM1199="Clawed Back","CLAWED",IF(TODAY()&lt;=C1199+SETTINGS!$I$2,"⚠ AT RISK","SAFE")))</f>
        <v/>
      </c>
      <c r="AU1199" s="28"/>
      <c r="AW1199" s="24" t="n">
        <f aca="false">AW1198+IF(AND(C1199&lt;&gt;"",AO1199&lt;&gt;"",OR('REP COMMISSION'!$B$3="",T1199='REP COMMISSION'!$B$3,W1199='REP COMMISSION'!$B$3,Z1199='REP COMMISSION'!$B$3)),1,0)</f>
        <v>0</v>
      </c>
      <c r="AX1199" s="24" t="n">
        <f aca="false">AX1198+IF(AND(C1199&lt;&gt;"",OR(F1199="LOC - INITIAL",F1199="CONSOLIDATION - UPFRONT COMM",F1199="REVERSE - TOTAL FUNDING")),1,0)</f>
        <v>0</v>
      </c>
    </row>
    <row r="1200" customFormat="false" ht="15" hidden="false" customHeight="false" outlineLevel="0" collapsed="false">
      <c r="A1200" s="8" t="str">
        <f aca="false">IF(C1200&lt;&gt;"","F27-"&amp;COUNT($C$4:C1200),"")</f>
        <v/>
      </c>
      <c r="B1200" s="9" t="str">
        <f aca="false">IF(OR(F1200="LOC - INITIAL",F1200="CONSOLIDATION - UPFRONT COMM",F1200="REVERSE - TOTAL FUNDING"),A1200,"")</f>
        <v/>
      </c>
      <c r="C1200" s="10"/>
      <c r="D1200" s="11"/>
      <c r="E1200" s="11"/>
      <c r="F1200" s="11"/>
      <c r="G1200" s="12"/>
      <c r="H1200" s="13"/>
      <c r="I1200" s="11"/>
      <c r="J1200" s="14" t="str">
        <f aca="false">IF(AND(G1200&lt;&gt;"",H1200&lt;&gt;""),G1200*H1200,"")</f>
        <v/>
      </c>
      <c r="K1200" s="11"/>
      <c r="L1200" s="15"/>
      <c r="M1200" s="15"/>
      <c r="N1200" s="14" t="n">
        <f aca="false">IF(OR(G1200="",M1200=""),0,IF(M1200&gt;100,M1200,G1200*IF(M1200&gt;1,M1200/100,M1200)))</f>
        <v>0</v>
      </c>
      <c r="O1200" s="14" t="str">
        <f aca="false">IF(G1200="","",G1200*IF(L1200="",0,IF(L1200&gt;1,L1200/100,L1200))+N1200)</f>
        <v/>
      </c>
      <c r="P1200" s="11"/>
      <c r="Q1200" s="16" t="str">
        <f aca="false">IF(P1200="","",IFERROR(VLOOKUP(P1200,PARTNERS!$A$2:$B$30,2,0),""))</f>
        <v/>
      </c>
      <c r="R1200" s="17" t="str">
        <f aca="false">IF(O1200="","",IF(OR(P1200="",Q1200=""),0,(O1200-N1200)*IF(Q1200&gt;1,Q1200/100,Q1200)))</f>
        <v/>
      </c>
      <c r="S1200" s="14" t="str">
        <f aca="false">IF(O1200="","",O1200-R1200)</f>
        <v/>
      </c>
      <c r="T1200" s="11"/>
      <c r="U1200" s="18" t="str">
        <f aca="false">IF(T1200="","",IFERROR(VLOOKUP(T1200,REPS!$A$2:$D$40,2,0),""))</f>
        <v/>
      </c>
      <c r="V1200" s="14" t="str">
        <f aca="false">IF(O1200="","",IF(U1200="",0,O1200*IF(U1200&gt;1,U1200/100,U1200)))</f>
        <v/>
      </c>
      <c r="W1200" s="11"/>
      <c r="X1200" s="18" t="str">
        <f aca="false">IF(W1200="","",IFERROR(VLOOKUP(W1200,REPS!$A$2:$D$40,3,0),""))</f>
        <v/>
      </c>
      <c r="Y1200" s="14" t="str">
        <f aca="false">IF(O1200="","",IF(X1200="",0,O1200*IF(X1200&gt;1,X1200/100,X1200)))</f>
        <v/>
      </c>
      <c r="Z1200" s="11"/>
      <c r="AA1200" s="18" t="str">
        <f aca="false">IF(Z1200="","",IFERROR(VLOOKUP(Z1200,REPS!$A$2:$D$40,4,0),""))</f>
        <v/>
      </c>
      <c r="AB1200" s="14" t="str">
        <f aca="false">IF(O1200="","",IF(AA1200="",0,O1200*IF(AA1200&gt;1,AA1200/100,AA1200)))</f>
        <v/>
      </c>
      <c r="AC1200" s="14" t="str">
        <f aca="false">IF(O1200="","",V1200+Y1200+AB1200)</f>
        <v/>
      </c>
      <c r="AD1200" s="19" t="str">
        <f aca="false">IF(O1200="","",O1200-R1200-AC1200)</f>
        <v/>
      </c>
      <c r="AE1200" s="20"/>
      <c r="AF1200" s="10"/>
      <c r="AG1200" s="21" t="n">
        <f aca="false">IF(OR(AE1200="",AE1200=0),0,AE1200*IF(U1200="",0,IF(U1200&gt;1,U1200/100,U1200)))</f>
        <v>0</v>
      </c>
      <c r="AH1200" s="21" t="n">
        <f aca="false">IF(OR(AE1200="",AE1200=0),0,AE1200*IF(X1200="",0,IF(X1200&gt;1,X1200/100,X1200)))</f>
        <v>0</v>
      </c>
      <c r="AI1200" s="21" t="n">
        <f aca="false">IF(OR(AE1200="",AE1200=0),0,AE1200*IF(AA1200="",0,IF(AA1200&gt;1,AA1200/100,AA1200)))</f>
        <v>0</v>
      </c>
      <c r="AJ1200" s="21" t="n">
        <f aca="false">AG1200+AH1200+AI1200</f>
        <v>0</v>
      </c>
      <c r="AK1200" s="21" t="n">
        <f aca="false">IF(OR(AE1200="",AE1200=0),0,AE1200-AJ1200)</f>
        <v>0</v>
      </c>
      <c r="AL1200" s="19" t="str">
        <f aca="false">IF(AD1200="","",AD1200-AK1200)</f>
        <v/>
      </c>
      <c r="AM1200" s="9" t="str">
        <f aca="false">IF(C1200="","","Waiting for payment")</f>
        <v/>
      </c>
      <c r="AN1200" s="10"/>
      <c r="AO1200" s="10"/>
      <c r="AP1200" s="22" t="str">
        <f aca="false">IF(OR(C1200="",I1200="",K1200=""),"",IF(K1200="Monthly",EDATE(C1200,ROUND(I1200*SETTINGS!$I$8,0)),WORKDAY(C1200,ROUND(I1200*SETTINGS!$I$8,0))))</f>
        <v/>
      </c>
      <c r="AQ1200" s="9" t="str">
        <f aca="true">IF(C1200="","",IF(AND(AP1200&lt;&gt;"",TODAY()&gt;=AP1200),"Refi Ready",IF(TODAY()-C1200&gt;=SETTINGS!$I$11,"Prospecting","Performing")))</f>
        <v/>
      </c>
      <c r="AR1200" s="22" t="str">
        <f aca="false">IF(OR(C1200="",I1200="",K1200=""),"",IF(K1200="Monthly",EDATE(C1200,I1200),WORKDAY(C1200,I1200)))</f>
        <v/>
      </c>
      <c r="AS1200" s="11"/>
      <c r="AT1200" s="23" t="str">
        <f aca="true">IF(C1200="","",IF(AM1200="Clawed Back","CLAWED",IF(TODAY()&lt;=C1200+SETTINGS!$I$2,"⚠ AT RISK","SAFE")))</f>
        <v/>
      </c>
      <c r="AU1200" s="11"/>
      <c r="AW1200" s="24" t="n">
        <f aca="false">AW1199+IF(AND(C1200&lt;&gt;"",AO1200&lt;&gt;"",OR('REP COMMISSION'!$B$3="",T1200='REP COMMISSION'!$B$3,W1200='REP COMMISSION'!$B$3,Z1200='REP COMMISSION'!$B$3)),1,0)</f>
        <v>0</v>
      </c>
      <c r="AX1200" s="24" t="n">
        <f aca="false">AX1199+IF(AND(C1200&lt;&gt;"",OR(F1200="LOC - INITIAL",F1200="CONSOLIDATION - UPFRONT COMM",F1200="REVERSE - TOTAL FUNDING")),1,0)</f>
        <v>0</v>
      </c>
    </row>
    <row r="1201" customFormat="false" ht="15" hidden="false" customHeight="false" outlineLevel="0" collapsed="false">
      <c r="A1201" s="25" t="str">
        <f aca="false">IF(C1201&lt;&gt;"","F27-"&amp;COUNT($C$4:C1201),"")</f>
        <v/>
      </c>
      <c r="B1201" s="26" t="str">
        <f aca="false">IF(OR(F1201="LOC - INITIAL",F1201="CONSOLIDATION - UPFRONT COMM",F1201="REVERSE - TOTAL FUNDING"),A1201,"")</f>
        <v/>
      </c>
      <c r="C1201" s="27"/>
      <c r="D1201" s="28"/>
      <c r="E1201" s="28"/>
      <c r="F1201" s="28"/>
      <c r="G1201" s="29"/>
      <c r="H1201" s="30"/>
      <c r="I1201" s="28"/>
      <c r="J1201" s="31" t="str">
        <f aca="false">IF(AND(G1201&lt;&gt;"",H1201&lt;&gt;""),G1201*H1201,"")</f>
        <v/>
      </c>
      <c r="K1201" s="28"/>
      <c r="L1201" s="32"/>
      <c r="M1201" s="32"/>
      <c r="N1201" s="31" t="n">
        <f aca="false">IF(OR(G1201="",M1201=""),0,IF(M1201&gt;100,M1201,G1201*IF(M1201&gt;1,M1201/100,M1201)))</f>
        <v>0</v>
      </c>
      <c r="O1201" s="31" t="str">
        <f aca="false">IF(G1201="","",G1201*IF(L1201="",0,IF(L1201&gt;1,L1201/100,L1201))+N1201)</f>
        <v/>
      </c>
      <c r="P1201" s="28"/>
      <c r="Q1201" s="33" t="str">
        <f aca="false">IF(P1201="","",IFERROR(VLOOKUP(P1201,PARTNERS!$A$2:$B$30,2,0),""))</f>
        <v/>
      </c>
      <c r="R1201" s="17" t="str">
        <f aca="false">IF(O1201="","",IF(OR(P1201="",Q1201=""),0,(O1201-N1201)*IF(Q1201&gt;1,Q1201/100,Q1201)))</f>
        <v/>
      </c>
      <c r="S1201" s="31" t="str">
        <f aca="false">IF(O1201="","",O1201-R1201)</f>
        <v/>
      </c>
      <c r="T1201" s="28"/>
      <c r="U1201" s="34" t="str">
        <f aca="false">IF(T1201="","",IFERROR(VLOOKUP(T1201,REPS!$A$2:$D$40,2,0),""))</f>
        <v/>
      </c>
      <c r="V1201" s="31" t="str">
        <f aca="false">IF(O1201="","",IF(U1201="",0,O1201*IF(U1201&gt;1,U1201/100,U1201)))</f>
        <v/>
      </c>
      <c r="W1201" s="28"/>
      <c r="X1201" s="34" t="str">
        <f aca="false">IF(W1201="","",IFERROR(VLOOKUP(W1201,REPS!$A$2:$D$40,3,0),""))</f>
        <v/>
      </c>
      <c r="Y1201" s="31" t="str">
        <f aca="false">IF(O1201="","",IF(X1201="",0,O1201*IF(X1201&gt;1,X1201/100,X1201)))</f>
        <v/>
      </c>
      <c r="Z1201" s="28"/>
      <c r="AA1201" s="34" t="str">
        <f aca="false">IF(Z1201="","",IFERROR(VLOOKUP(Z1201,REPS!$A$2:$D$40,4,0),""))</f>
        <v/>
      </c>
      <c r="AB1201" s="31" t="str">
        <f aca="false">IF(O1201="","",IF(AA1201="",0,O1201*IF(AA1201&gt;1,AA1201/100,AA1201)))</f>
        <v/>
      </c>
      <c r="AC1201" s="31" t="str">
        <f aca="false">IF(O1201="","",V1201+Y1201+AB1201)</f>
        <v/>
      </c>
      <c r="AD1201" s="19" t="str">
        <f aca="false">IF(O1201="","",O1201-R1201-AC1201)</f>
        <v/>
      </c>
      <c r="AE1201" s="20"/>
      <c r="AF1201" s="27"/>
      <c r="AG1201" s="21" t="n">
        <f aca="false">IF(OR(AE1201="",AE1201=0),0,AE1201*IF(U1201="",0,IF(U1201&gt;1,U1201/100,U1201)))</f>
        <v>0</v>
      </c>
      <c r="AH1201" s="21" t="n">
        <f aca="false">IF(OR(AE1201="",AE1201=0),0,AE1201*IF(X1201="",0,IF(X1201&gt;1,X1201/100,X1201)))</f>
        <v>0</v>
      </c>
      <c r="AI1201" s="21" t="n">
        <f aca="false">IF(OR(AE1201="",AE1201=0),0,AE1201*IF(AA1201="",0,IF(AA1201&gt;1,AA1201/100,AA1201)))</f>
        <v>0</v>
      </c>
      <c r="AJ1201" s="21" t="n">
        <f aca="false">AG1201+AH1201+AI1201</f>
        <v>0</v>
      </c>
      <c r="AK1201" s="21" t="n">
        <f aca="false">IF(OR(AE1201="",AE1201=0),0,AE1201-AJ1201)</f>
        <v>0</v>
      </c>
      <c r="AL1201" s="19" t="str">
        <f aca="false">IF(AD1201="","",AD1201-AK1201)</f>
        <v/>
      </c>
      <c r="AM1201" s="26" t="str">
        <f aca="false">IF(C1201="","","Waiting for payment")</f>
        <v/>
      </c>
      <c r="AN1201" s="27"/>
      <c r="AO1201" s="27"/>
      <c r="AP1201" s="35" t="str">
        <f aca="false">IF(OR(C1201="",I1201="",K1201=""),"",IF(K1201="Monthly",EDATE(C1201,ROUND(I1201*SETTINGS!$I$8,0)),WORKDAY(C1201,ROUND(I1201*SETTINGS!$I$8,0))))</f>
        <v/>
      </c>
      <c r="AQ1201" s="26" t="str">
        <f aca="true">IF(C1201="","",IF(AND(AP1201&lt;&gt;"",TODAY()&gt;=AP1201),"Refi Ready",IF(TODAY()-C1201&gt;=SETTINGS!$I$11,"Prospecting","Performing")))</f>
        <v/>
      </c>
      <c r="AR1201" s="35" t="str">
        <f aca="false">IF(OR(C1201="",I1201="",K1201=""),"",IF(K1201="Monthly",EDATE(C1201,I1201),WORKDAY(C1201,I1201)))</f>
        <v/>
      </c>
      <c r="AS1201" s="28"/>
      <c r="AT1201" s="36" t="str">
        <f aca="true">IF(C1201="","",IF(AM1201="Clawed Back","CLAWED",IF(TODAY()&lt;=C1201+SETTINGS!$I$2,"⚠ AT RISK","SAFE")))</f>
        <v/>
      </c>
      <c r="AU1201" s="28"/>
      <c r="AW1201" s="24" t="n">
        <f aca="false">AW1200+IF(AND(C1201&lt;&gt;"",AO1201&lt;&gt;"",OR('REP COMMISSION'!$B$3="",T1201='REP COMMISSION'!$B$3,W1201='REP COMMISSION'!$B$3,Z1201='REP COMMISSION'!$B$3)),1,0)</f>
        <v>0</v>
      </c>
      <c r="AX1201" s="24" t="n">
        <f aca="false">AX1200+IF(AND(C1201&lt;&gt;"",OR(F1201="LOC - INITIAL",F1201="CONSOLIDATION - UPFRONT COMM",F1201="REVERSE - TOTAL FUNDING")),1,0)</f>
        <v>0</v>
      </c>
    </row>
    <row r="1202" customFormat="false" ht="15" hidden="false" customHeight="false" outlineLevel="0" collapsed="false">
      <c r="A1202" s="8" t="str">
        <f aca="false">IF(C1202&lt;&gt;"","F27-"&amp;COUNT($C$4:C1202),"")</f>
        <v/>
      </c>
      <c r="B1202" s="9" t="str">
        <f aca="false">IF(OR(F1202="LOC - INITIAL",F1202="CONSOLIDATION - UPFRONT COMM",F1202="REVERSE - TOTAL FUNDING"),A1202,"")</f>
        <v/>
      </c>
      <c r="C1202" s="10"/>
      <c r="D1202" s="11"/>
      <c r="E1202" s="11"/>
      <c r="F1202" s="11"/>
      <c r="G1202" s="12"/>
      <c r="H1202" s="13"/>
      <c r="I1202" s="11"/>
      <c r="J1202" s="14" t="str">
        <f aca="false">IF(AND(G1202&lt;&gt;"",H1202&lt;&gt;""),G1202*H1202,"")</f>
        <v/>
      </c>
      <c r="K1202" s="11"/>
      <c r="L1202" s="15"/>
      <c r="M1202" s="15"/>
      <c r="N1202" s="14" t="n">
        <f aca="false">IF(OR(G1202="",M1202=""),0,IF(M1202&gt;100,M1202,G1202*IF(M1202&gt;1,M1202/100,M1202)))</f>
        <v>0</v>
      </c>
      <c r="O1202" s="14" t="str">
        <f aca="false">IF(G1202="","",G1202*IF(L1202="",0,IF(L1202&gt;1,L1202/100,L1202))+N1202)</f>
        <v/>
      </c>
      <c r="P1202" s="11"/>
      <c r="Q1202" s="16" t="str">
        <f aca="false">IF(P1202="","",IFERROR(VLOOKUP(P1202,PARTNERS!$A$2:$B$30,2,0),""))</f>
        <v/>
      </c>
      <c r="R1202" s="17" t="str">
        <f aca="false">IF(O1202="","",IF(OR(P1202="",Q1202=""),0,(O1202-N1202)*IF(Q1202&gt;1,Q1202/100,Q1202)))</f>
        <v/>
      </c>
      <c r="S1202" s="14" t="str">
        <f aca="false">IF(O1202="","",O1202-R1202)</f>
        <v/>
      </c>
      <c r="T1202" s="11"/>
      <c r="U1202" s="18" t="str">
        <f aca="false">IF(T1202="","",IFERROR(VLOOKUP(T1202,REPS!$A$2:$D$40,2,0),""))</f>
        <v/>
      </c>
      <c r="V1202" s="14" t="str">
        <f aca="false">IF(O1202="","",IF(U1202="",0,O1202*IF(U1202&gt;1,U1202/100,U1202)))</f>
        <v/>
      </c>
      <c r="W1202" s="11"/>
      <c r="X1202" s="18" t="str">
        <f aca="false">IF(W1202="","",IFERROR(VLOOKUP(W1202,REPS!$A$2:$D$40,3,0),""))</f>
        <v/>
      </c>
      <c r="Y1202" s="14" t="str">
        <f aca="false">IF(O1202="","",IF(X1202="",0,O1202*IF(X1202&gt;1,X1202/100,X1202)))</f>
        <v/>
      </c>
      <c r="Z1202" s="11"/>
      <c r="AA1202" s="18" t="str">
        <f aca="false">IF(Z1202="","",IFERROR(VLOOKUP(Z1202,REPS!$A$2:$D$40,4,0),""))</f>
        <v/>
      </c>
      <c r="AB1202" s="14" t="str">
        <f aca="false">IF(O1202="","",IF(AA1202="",0,O1202*IF(AA1202&gt;1,AA1202/100,AA1202)))</f>
        <v/>
      </c>
      <c r="AC1202" s="14" t="str">
        <f aca="false">IF(O1202="","",V1202+Y1202+AB1202)</f>
        <v/>
      </c>
      <c r="AD1202" s="19" t="str">
        <f aca="false">IF(O1202="","",O1202-R1202-AC1202)</f>
        <v/>
      </c>
      <c r="AE1202" s="20"/>
      <c r="AF1202" s="10"/>
      <c r="AG1202" s="21" t="n">
        <f aca="false">IF(OR(AE1202="",AE1202=0),0,AE1202*IF(U1202="",0,IF(U1202&gt;1,U1202/100,U1202)))</f>
        <v>0</v>
      </c>
      <c r="AH1202" s="21" t="n">
        <f aca="false">IF(OR(AE1202="",AE1202=0),0,AE1202*IF(X1202="",0,IF(X1202&gt;1,X1202/100,X1202)))</f>
        <v>0</v>
      </c>
      <c r="AI1202" s="21" t="n">
        <f aca="false">IF(OR(AE1202="",AE1202=0),0,AE1202*IF(AA1202="",0,IF(AA1202&gt;1,AA1202/100,AA1202)))</f>
        <v>0</v>
      </c>
      <c r="AJ1202" s="21" t="n">
        <f aca="false">AG1202+AH1202+AI1202</f>
        <v>0</v>
      </c>
      <c r="AK1202" s="21" t="n">
        <f aca="false">IF(OR(AE1202="",AE1202=0),0,AE1202-AJ1202)</f>
        <v>0</v>
      </c>
      <c r="AL1202" s="19" t="str">
        <f aca="false">IF(AD1202="","",AD1202-AK1202)</f>
        <v/>
      </c>
      <c r="AM1202" s="9" t="str">
        <f aca="false">IF(C1202="","","Waiting for payment")</f>
        <v/>
      </c>
      <c r="AN1202" s="10"/>
      <c r="AO1202" s="10"/>
      <c r="AP1202" s="22" t="str">
        <f aca="false">IF(OR(C1202="",I1202="",K1202=""),"",IF(K1202="Monthly",EDATE(C1202,ROUND(I1202*SETTINGS!$I$8,0)),WORKDAY(C1202,ROUND(I1202*SETTINGS!$I$8,0))))</f>
        <v/>
      </c>
      <c r="AQ1202" s="9" t="str">
        <f aca="true">IF(C1202="","",IF(AND(AP1202&lt;&gt;"",TODAY()&gt;=AP1202),"Refi Ready",IF(TODAY()-C1202&gt;=SETTINGS!$I$11,"Prospecting","Performing")))</f>
        <v/>
      </c>
      <c r="AR1202" s="22" t="str">
        <f aca="false">IF(OR(C1202="",I1202="",K1202=""),"",IF(K1202="Monthly",EDATE(C1202,I1202),WORKDAY(C1202,I1202)))</f>
        <v/>
      </c>
      <c r="AS1202" s="11"/>
      <c r="AT1202" s="23" t="str">
        <f aca="true">IF(C1202="","",IF(AM1202="Clawed Back","CLAWED",IF(TODAY()&lt;=C1202+SETTINGS!$I$2,"⚠ AT RISK","SAFE")))</f>
        <v/>
      </c>
      <c r="AU1202" s="11"/>
      <c r="AW1202" s="24" t="n">
        <f aca="false">AW1201+IF(AND(C1202&lt;&gt;"",AO1202&lt;&gt;"",OR('REP COMMISSION'!$B$3="",T1202='REP COMMISSION'!$B$3,W1202='REP COMMISSION'!$B$3,Z1202='REP COMMISSION'!$B$3)),1,0)</f>
        <v>0</v>
      </c>
      <c r="AX1202" s="24" t="n">
        <f aca="false">AX1201+IF(AND(C1202&lt;&gt;"",OR(F1202="LOC - INITIAL",F1202="CONSOLIDATION - UPFRONT COMM",F1202="REVERSE - TOTAL FUNDING")),1,0)</f>
        <v>0</v>
      </c>
    </row>
    <row r="1203" customFormat="false" ht="15" hidden="false" customHeight="false" outlineLevel="0" collapsed="false">
      <c r="A1203" s="25" t="str">
        <f aca="false">IF(C1203&lt;&gt;"","F27-"&amp;COUNT($C$4:C1203),"")</f>
        <v/>
      </c>
      <c r="B1203" s="26" t="str">
        <f aca="false">IF(OR(F1203="LOC - INITIAL",F1203="CONSOLIDATION - UPFRONT COMM",F1203="REVERSE - TOTAL FUNDING"),A1203,"")</f>
        <v/>
      </c>
      <c r="C1203" s="27"/>
      <c r="D1203" s="28"/>
      <c r="E1203" s="28"/>
      <c r="F1203" s="28"/>
      <c r="G1203" s="29"/>
      <c r="H1203" s="30"/>
      <c r="I1203" s="28"/>
      <c r="J1203" s="31" t="str">
        <f aca="false">IF(AND(G1203&lt;&gt;"",H1203&lt;&gt;""),G1203*H1203,"")</f>
        <v/>
      </c>
      <c r="K1203" s="28"/>
      <c r="L1203" s="32"/>
      <c r="M1203" s="32"/>
      <c r="N1203" s="31" t="n">
        <f aca="false">IF(OR(G1203="",M1203=""),0,IF(M1203&gt;100,M1203,G1203*IF(M1203&gt;1,M1203/100,M1203)))</f>
        <v>0</v>
      </c>
      <c r="O1203" s="31" t="str">
        <f aca="false">IF(G1203="","",G1203*IF(L1203="",0,IF(L1203&gt;1,L1203/100,L1203))+N1203)</f>
        <v/>
      </c>
      <c r="P1203" s="28"/>
      <c r="Q1203" s="33" t="str">
        <f aca="false">IF(P1203="","",IFERROR(VLOOKUP(P1203,PARTNERS!$A$2:$B$30,2,0),""))</f>
        <v/>
      </c>
      <c r="R1203" s="17" t="str">
        <f aca="false">IF(O1203="","",IF(OR(P1203="",Q1203=""),0,(O1203-N1203)*IF(Q1203&gt;1,Q1203/100,Q1203)))</f>
        <v/>
      </c>
      <c r="S1203" s="31" t="str">
        <f aca="false">IF(O1203="","",O1203-R1203)</f>
        <v/>
      </c>
      <c r="T1203" s="28"/>
      <c r="U1203" s="34" t="str">
        <f aca="false">IF(T1203="","",IFERROR(VLOOKUP(T1203,REPS!$A$2:$D$40,2,0),""))</f>
        <v/>
      </c>
      <c r="V1203" s="31" t="str">
        <f aca="false">IF(O1203="","",IF(U1203="",0,O1203*IF(U1203&gt;1,U1203/100,U1203)))</f>
        <v/>
      </c>
      <c r="W1203" s="28"/>
      <c r="X1203" s="34" t="str">
        <f aca="false">IF(W1203="","",IFERROR(VLOOKUP(W1203,REPS!$A$2:$D$40,3,0),""))</f>
        <v/>
      </c>
      <c r="Y1203" s="31" t="str">
        <f aca="false">IF(O1203="","",IF(X1203="",0,O1203*IF(X1203&gt;1,X1203/100,X1203)))</f>
        <v/>
      </c>
      <c r="Z1203" s="28"/>
      <c r="AA1203" s="34" t="str">
        <f aca="false">IF(Z1203="","",IFERROR(VLOOKUP(Z1203,REPS!$A$2:$D$40,4,0),""))</f>
        <v/>
      </c>
      <c r="AB1203" s="31" t="str">
        <f aca="false">IF(O1203="","",IF(AA1203="",0,O1203*IF(AA1203&gt;1,AA1203/100,AA1203)))</f>
        <v/>
      </c>
      <c r="AC1203" s="31" t="str">
        <f aca="false">IF(O1203="","",V1203+Y1203+AB1203)</f>
        <v/>
      </c>
      <c r="AD1203" s="19" t="str">
        <f aca="false">IF(O1203="","",O1203-R1203-AC1203)</f>
        <v/>
      </c>
      <c r="AE1203" s="20"/>
      <c r="AF1203" s="27"/>
      <c r="AG1203" s="21" t="n">
        <f aca="false">IF(OR(AE1203="",AE1203=0),0,AE1203*IF(U1203="",0,IF(U1203&gt;1,U1203/100,U1203)))</f>
        <v>0</v>
      </c>
      <c r="AH1203" s="21" t="n">
        <f aca="false">IF(OR(AE1203="",AE1203=0),0,AE1203*IF(X1203="",0,IF(X1203&gt;1,X1203/100,X1203)))</f>
        <v>0</v>
      </c>
      <c r="AI1203" s="21" t="n">
        <f aca="false">IF(OR(AE1203="",AE1203=0),0,AE1203*IF(AA1203="",0,IF(AA1203&gt;1,AA1203/100,AA1203)))</f>
        <v>0</v>
      </c>
      <c r="AJ1203" s="21" t="n">
        <f aca="false">AG1203+AH1203+AI1203</f>
        <v>0</v>
      </c>
      <c r="AK1203" s="21" t="n">
        <f aca="false">IF(OR(AE1203="",AE1203=0),0,AE1203-AJ1203)</f>
        <v>0</v>
      </c>
      <c r="AL1203" s="19" t="str">
        <f aca="false">IF(AD1203="","",AD1203-AK1203)</f>
        <v/>
      </c>
      <c r="AM1203" s="26" t="str">
        <f aca="false">IF(C1203="","","Waiting for payment")</f>
        <v/>
      </c>
      <c r="AN1203" s="27"/>
      <c r="AO1203" s="27"/>
      <c r="AP1203" s="35" t="str">
        <f aca="false">IF(OR(C1203="",I1203="",K1203=""),"",IF(K1203="Monthly",EDATE(C1203,ROUND(I1203*SETTINGS!$I$8,0)),WORKDAY(C1203,ROUND(I1203*SETTINGS!$I$8,0))))</f>
        <v/>
      </c>
      <c r="AQ1203" s="26" t="str">
        <f aca="true">IF(C1203="","",IF(AND(AP1203&lt;&gt;"",TODAY()&gt;=AP1203),"Refi Ready",IF(TODAY()-C1203&gt;=SETTINGS!$I$11,"Prospecting","Performing")))</f>
        <v/>
      </c>
      <c r="AR1203" s="35" t="str">
        <f aca="false">IF(OR(C1203="",I1203="",K1203=""),"",IF(K1203="Monthly",EDATE(C1203,I1203),WORKDAY(C1203,I1203)))</f>
        <v/>
      </c>
      <c r="AS1203" s="28"/>
      <c r="AT1203" s="36" t="str">
        <f aca="true">IF(C1203="","",IF(AM1203="Clawed Back","CLAWED",IF(TODAY()&lt;=C1203+SETTINGS!$I$2,"⚠ AT RISK","SAFE")))</f>
        <v/>
      </c>
      <c r="AU1203" s="28"/>
      <c r="AW1203" s="24" t="n">
        <f aca="false">AW1202+IF(AND(C1203&lt;&gt;"",AO1203&lt;&gt;"",OR('REP COMMISSION'!$B$3="",T1203='REP COMMISSION'!$B$3,W1203='REP COMMISSION'!$B$3,Z1203='REP COMMISSION'!$B$3)),1,0)</f>
        <v>0</v>
      </c>
      <c r="AX1203" s="24" t="n">
        <f aca="false">AX1202+IF(AND(C1203&lt;&gt;"",OR(F1203="LOC - INITIAL",F1203="CONSOLIDATION - UPFRONT COMM",F1203="REVERSE - TOTAL FUNDING")),1,0)</f>
        <v>0</v>
      </c>
    </row>
    <row r="1204" customFormat="false" ht="15" hidden="false" customHeight="false" outlineLevel="0" collapsed="false">
      <c r="A1204" s="8" t="str">
        <f aca="false">IF(C1204&lt;&gt;"","F27-"&amp;COUNT($C$4:C1204),"")</f>
        <v/>
      </c>
      <c r="B1204" s="9" t="str">
        <f aca="false">IF(OR(F1204="LOC - INITIAL",F1204="CONSOLIDATION - UPFRONT COMM",F1204="REVERSE - TOTAL FUNDING"),A1204,"")</f>
        <v/>
      </c>
      <c r="C1204" s="10"/>
      <c r="D1204" s="11"/>
      <c r="E1204" s="11"/>
      <c r="F1204" s="11"/>
      <c r="G1204" s="12"/>
      <c r="H1204" s="13"/>
      <c r="I1204" s="11"/>
      <c r="J1204" s="14" t="str">
        <f aca="false">IF(AND(G1204&lt;&gt;"",H1204&lt;&gt;""),G1204*H1204,"")</f>
        <v/>
      </c>
      <c r="K1204" s="11"/>
      <c r="L1204" s="15"/>
      <c r="M1204" s="15"/>
      <c r="N1204" s="14" t="n">
        <f aca="false">IF(OR(G1204="",M1204=""),0,IF(M1204&gt;100,M1204,G1204*IF(M1204&gt;1,M1204/100,M1204)))</f>
        <v>0</v>
      </c>
      <c r="O1204" s="14" t="str">
        <f aca="false">IF(G1204="","",G1204*IF(L1204="",0,IF(L1204&gt;1,L1204/100,L1204))+N1204)</f>
        <v/>
      </c>
      <c r="P1204" s="11"/>
      <c r="Q1204" s="16" t="str">
        <f aca="false">IF(P1204="","",IFERROR(VLOOKUP(P1204,PARTNERS!$A$2:$B$30,2,0),""))</f>
        <v/>
      </c>
      <c r="R1204" s="17" t="str">
        <f aca="false">IF(O1204="","",IF(OR(P1204="",Q1204=""),0,(O1204-N1204)*IF(Q1204&gt;1,Q1204/100,Q1204)))</f>
        <v/>
      </c>
      <c r="S1204" s="14" t="str">
        <f aca="false">IF(O1204="","",O1204-R1204)</f>
        <v/>
      </c>
      <c r="T1204" s="11"/>
      <c r="U1204" s="18" t="str">
        <f aca="false">IF(T1204="","",IFERROR(VLOOKUP(T1204,REPS!$A$2:$D$40,2,0),""))</f>
        <v/>
      </c>
      <c r="V1204" s="14" t="str">
        <f aca="false">IF(O1204="","",IF(U1204="",0,O1204*IF(U1204&gt;1,U1204/100,U1204)))</f>
        <v/>
      </c>
      <c r="W1204" s="11"/>
      <c r="X1204" s="18" t="str">
        <f aca="false">IF(W1204="","",IFERROR(VLOOKUP(W1204,REPS!$A$2:$D$40,3,0),""))</f>
        <v/>
      </c>
      <c r="Y1204" s="14" t="str">
        <f aca="false">IF(O1204="","",IF(X1204="",0,O1204*IF(X1204&gt;1,X1204/100,X1204)))</f>
        <v/>
      </c>
      <c r="Z1204" s="11"/>
      <c r="AA1204" s="18" t="str">
        <f aca="false">IF(Z1204="","",IFERROR(VLOOKUP(Z1204,REPS!$A$2:$D$40,4,0),""))</f>
        <v/>
      </c>
      <c r="AB1204" s="14" t="str">
        <f aca="false">IF(O1204="","",IF(AA1204="",0,O1204*IF(AA1204&gt;1,AA1204/100,AA1204)))</f>
        <v/>
      </c>
      <c r="AC1204" s="14" t="str">
        <f aca="false">IF(O1204="","",V1204+Y1204+AB1204)</f>
        <v/>
      </c>
      <c r="AD1204" s="19" t="str">
        <f aca="false">IF(O1204="","",O1204-R1204-AC1204)</f>
        <v/>
      </c>
      <c r="AE1204" s="20"/>
      <c r="AF1204" s="10"/>
      <c r="AG1204" s="21" t="n">
        <f aca="false">IF(OR(AE1204="",AE1204=0),0,AE1204*IF(U1204="",0,IF(U1204&gt;1,U1204/100,U1204)))</f>
        <v>0</v>
      </c>
      <c r="AH1204" s="21" t="n">
        <f aca="false">IF(OR(AE1204="",AE1204=0),0,AE1204*IF(X1204="",0,IF(X1204&gt;1,X1204/100,X1204)))</f>
        <v>0</v>
      </c>
      <c r="AI1204" s="21" t="n">
        <f aca="false">IF(OR(AE1204="",AE1204=0),0,AE1204*IF(AA1204="",0,IF(AA1204&gt;1,AA1204/100,AA1204)))</f>
        <v>0</v>
      </c>
      <c r="AJ1204" s="21" t="n">
        <f aca="false">AG1204+AH1204+AI1204</f>
        <v>0</v>
      </c>
      <c r="AK1204" s="21" t="n">
        <f aca="false">IF(OR(AE1204="",AE1204=0),0,AE1204-AJ1204)</f>
        <v>0</v>
      </c>
      <c r="AL1204" s="19" t="str">
        <f aca="false">IF(AD1204="","",AD1204-AK1204)</f>
        <v/>
      </c>
      <c r="AM1204" s="9" t="str">
        <f aca="false">IF(C1204="","","Waiting for payment")</f>
        <v/>
      </c>
      <c r="AN1204" s="10"/>
      <c r="AO1204" s="10"/>
      <c r="AP1204" s="22" t="str">
        <f aca="false">IF(OR(C1204="",I1204="",K1204=""),"",IF(K1204="Monthly",EDATE(C1204,ROUND(I1204*SETTINGS!$I$8,0)),WORKDAY(C1204,ROUND(I1204*SETTINGS!$I$8,0))))</f>
        <v/>
      </c>
      <c r="AQ1204" s="9" t="str">
        <f aca="true">IF(C1204="","",IF(AND(AP1204&lt;&gt;"",TODAY()&gt;=AP1204),"Refi Ready",IF(TODAY()-C1204&gt;=SETTINGS!$I$11,"Prospecting","Performing")))</f>
        <v/>
      </c>
      <c r="AR1204" s="22" t="str">
        <f aca="false">IF(OR(C1204="",I1204="",K1204=""),"",IF(K1204="Monthly",EDATE(C1204,I1204),WORKDAY(C1204,I1204)))</f>
        <v/>
      </c>
      <c r="AS1204" s="11"/>
      <c r="AT1204" s="23" t="str">
        <f aca="true">IF(C1204="","",IF(AM1204="Clawed Back","CLAWED",IF(TODAY()&lt;=C1204+SETTINGS!$I$2,"⚠ AT RISK","SAFE")))</f>
        <v/>
      </c>
      <c r="AU1204" s="11"/>
      <c r="AW1204" s="24" t="n">
        <f aca="false">AW1203+IF(AND(C1204&lt;&gt;"",AO1204&lt;&gt;"",OR('REP COMMISSION'!$B$3="",T1204='REP COMMISSION'!$B$3,W1204='REP COMMISSION'!$B$3,Z1204='REP COMMISSION'!$B$3)),1,0)</f>
        <v>0</v>
      </c>
      <c r="AX1204" s="24" t="n">
        <f aca="false">AX1203+IF(AND(C1204&lt;&gt;"",OR(F1204="LOC - INITIAL",F1204="CONSOLIDATION - UPFRONT COMM",F1204="REVERSE - TOTAL FUNDING")),1,0)</f>
        <v>0</v>
      </c>
    </row>
    <row r="1205" customFormat="false" ht="15" hidden="false" customHeight="false" outlineLevel="0" collapsed="false">
      <c r="A1205" s="25" t="str">
        <f aca="false">IF(C1205&lt;&gt;"","F27-"&amp;COUNT($C$4:C1205),"")</f>
        <v/>
      </c>
      <c r="B1205" s="26" t="str">
        <f aca="false">IF(OR(F1205="LOC - INITIAL",F1205="CONSOLIDATION - UPFRONT COMM",F1205="REVERSE - TOTAL FUNDING"),A1205,"")</f>
        <v/>
      </c>
      <c r="C1205" s="27"/>
      <c r="D1205" s="28"/>
      <c r="E1205" s="28"/>
      <c r="F1205" s="28"/>
      <c r="G1205" s="29"/>
      <c r="H1205" s="30"/>
      <c r="I1205" s="28"/>
      <c r="J1205" s="31" t="str">
        <f aca="false">IF(AND(G1205&lt;&gt;"",H1205&lt;&gt;""),G1205*H1205,"")</f>
        <v/>
      </c>
      <c r="K1205" s="28"/>
      <c r="L1205" s="32"/>
      <c r="M1205" s="32"/>
      <c r="N1205" s="31" t="n">
        <f aca="false">IF(OR(G1205="",M1205=""),0,IF(M1205&gt;100,M1205,G1205*IF(M1205&gt;1,M1205/100,M1205)))</f>
        <v>0</v>
      </c>
      <c r="O1205" s="31" t="str">
        <f aca="false">IF(G1205="","",G1205*IF(L1205="",0,IF(L1205&gt;1,L1205/100,L1205))+N1205)</f>
        <v/>
      </c>
      <c r="P1205" s="28"/>
      <c r="Q1205" s="33" t="str">
        <f aca="false">IF(P1205="","",IFERROR(VLOOKUP(P1205,PARTNERS!$A$2:$B$30,2,0),""))</f>
        <v/>
      </c>
      <c r="R1205" s="17" t="str">
        <f aca="false">IF(O1205="","",IF(OR(P1205="",Q1205=""),0,(O1205-N1205)*IF(Q1205&gt;1,Q1205/100,Q1205)))</f>
        <v/>
      </c>
      <c r="S1205" s="31" t="str">
        <f aca="false">IF(O1205="","",O1205-R1205)</f>
        <v/>
      </c>
      <c r="T1205" s="28"/>
      <c r="U1205" s="34" t="str">
        <f aca="false">IF(T1205="","",IFERROR(VLOOKUP(T1205,REPS!$A$2:$D$40,2,0),""))</f>
        <v/>
      </c>
      <c r="V1205" s="31" t="str">
        <f aca="false">IF(O1205="","",IF(U1205="",0,O1205*IF(U1205&gt;1,U1205/100,U1205)))</f>
        <v/>
      </c>
      <c r="W1205" s="28"/>
      <c r="X1205" s="34" t="str">
        <f aca="false">IF(W1205="","",IFERROR(VLOOKUP(W1205,REPS!$A$2:$D$40,3,0),""))</f>
        <v/>
      </c>
      <c r="Y1205" s="31" t="str">
        <f aca="false">IF(O1205="","",IF(X1205="",0,O1205*IF(X1205&gt;1,X1205/100,X1205)))</f>
        <v/>
      </c>
      <c r="Z1205" s="28"/>
      <c r="AA1205" s="34" t="str">
        <f aca="false">IF(Z1205="","",IFERROR(VLOOKUP(Z1205,REPS!$A$2:$D$40,4,0),""))</f>
        <v/>
      </c>
      <c r="AB1205" s="31" t="str">
        <f aca="false">IF(O1205="","",IF(AA1205="",0,O1205*IF(AA1205&gt;1,AA1205/100,AA1205)))</f>
        <v/>
      </c>
      <c r="AC1205" s="31" t="str">
        <f aca="false">IF(O1205="","",V1205+Y1205+AB1205)</f>
        <v/>
      </c>
      <c r="AD1205" s="19" t="str">
        <f aca="false">IF(O1205="","",O1205-R1205-AC1205)</f>
        <v/>
      </c>
      <c r="AE1205" s="20"/>
      <c r="AF1205" s="27"/>
      <c r="AG1205" s="21" t="n">
        <f aca="false">IF(OR(AE1205="",AE1205=0),0,AE1205*IF(U1205="",0,IF(U1205&gt;1,U1205/100,U1205)))</f>
        <v>0</v>
      </c>
      <c r="AH1205" s="21" t="n">
        <f aca="false">IF(OR(AE1205="",AE1205=0),0,AE1205*IF(X1205="",0,IF(X1205&gt;1,X1205/100,X1205)))</f>
        <v>0</v>
      </c>
      <c r="AI1205" s="21" t="n">
        <f aca="false">IF(OR(AE1205="",AE1205=0),0,AE1205*IF(AA1205="",0,IF(AA1205&gt;1,AA1205/100,AA1205)))</f>
        <v>0</v>
      </c>
      <c r="AJ1205" s="21" t="n">
        <f aca="false">AG1205+AH1205+AI1205</f>
        <v>0</v>
      </c>
      <c r="AK1205" s="21" t="n">
        <f aca="false">IF(OR(AE1205="",AE1205=0),0,AE1205-AJ1205)</f>
        <v>0</v>
      </c>
      <c r="AL1205" s="19" t="str">
        <f aca="false">IF(AD1205="","",AD1205-AK1205)</f>
        <v/>
      </c>
      <c r="AM1205" s="26" t="str">
        <f aca="false">IF(C1205="","","Waiting for payment")</f>
        <v/>
      </c>
      <c r="AN1205" s="27"/>
      <c r="AO1205" s="27"/>
      <c r="AP1205" s="35" t="str">
        <f aca="false">IF(OR(C1205="",I1205="",K1205=""),"",IF(K1205="Monthly",EDATE(C1205,ROUND(I1205*SETTINGS!$I$8,0)),WORKDAY(C1205,ROUND(I1205*SETTINGS!$I$8,0))))</f>
        <v/>
      </c>
      <c r="AQ1205" s="26" t="str">
        <f aca="true">IF(C1205="","",IF(AND(AP1205&lt;&gt;"",TODAY()&gt;=AP1205),"Refi Ready",IF(TODAY()-C1205&gt;=SETTINGS!$I$11,"Prospecting","Performing")))</f>
        <v/>
      </c>
      <c r="AR1205" s="35" t="str">
        <f aca="false">IF(OR(C1205="",I1205="",K1205=""),"",IF(K1205="Monthly",EDATE(C1205,I1205),WORKDAY(C1205,I1205)))</f>
        <v/>
      </c>
      <c r="AS1205" s="28"/>
      <c r="AT1205" s="36" t="str">
        <f aca="true">IF(C1205="","",IF(AM1205="Clawed Back","CLAWED",IF(TODAY()&lt;=C1205+SETTINGS!$I$2,"⚠ AT RISK","SAFE")))</f>
        <v/>
      </c>
      <c r="AU1205" s="28"/>
      <c r="AW1205" s="24" t="n">
        <f aca="false">AW1204+IF(AND(C1205&lt;&gt;"",AO1205&lt;&gt;"",OR('REP COMMISSION'!$B$3="",T1205='REP COMMISSION'!$B$3,W1205='REP COMMISSION'!$B$3,Z1205='REP COMMISSION'!$B$3)),1,0)</f>
        <v>0</v>
      </c>
      <c r="AX1205" s="24" t="n">
        <f aca="false">AX1204+IF(AND(C1205&lt;&gt;"",OR(F1205="LOC - INITIAL",F1205="CONSOLIDATION - UPFRONT COMM",F1205="REVERSE - TOTAL FUNDING")),1,0)</f>
        <v>0</v>
      </c>
    </row>
    <row r="1206" customFormat="false" ht="15" hidden="false" customHeight="false" outlineLevel="0" collapsed="false">
      <c r="A1206" s="8" t="str">
        <f aca="false">IF(C1206&lt;&gt;"","F27-"&amp;COUNT($C$4:C1206),"")</f>
        <v/>
      </c>
      <c r="B1206" s="9" t="str">
        <f aca="false">IF(OR(F1206="LOC - INITIAL",F1206="CONSOLIDATION - UPFRONT COMM",F1206="REVERSE - TOTAL FUNDING"),A1206,"")</f>
        <v/>
      </c>
      <c r="C1206" s="10"/>
      <c r="D1206" s="11"/>
      <c r="E1206" s="11"/>
      <c r="F1206" s="11"/>
      <c r="G1206" s="12"/>
      <c r="H1206" s="13"/>
      <c r="I1206" s="11"/>
      <c r="J1206" s="14" t="str">
        <f aca="false">IF(AND(G1206&lt;&gt;"",H1206&lt;&gt;""),G1206*H1206,"")</f>
        <v/>
      </c>
      <c r="K1206" s="11"/>
      <c r="L1206" s="15"/>
      <c r="M1206" s="15"/>
      <c r="N1206" s="14" t="n">
        <f aca="false">IF(OR(G1206="",M1206=""),0,IF(M1206&gt;100,M1206,G1206*IF(M1206&gt;1,M1206/100,M1206)))</f>
        <v>0</v>
      </c>
      <c r="O1206" s="14" t="str">
        <f aca="false">IF(G1206="","",G1206*IF(L1206="",0,IF(L1206&gt;1,L1206/100,L1206))+N1206)</f>
        <v/>
      </c>
      <c r="P1206" s="11"/>
      <c r="Q1206" s="16" t="str">
        <f aca="false">IF(P1206="","",IFERROR(VLOOKUP(P1206,PARTNERS!$A$2:$B$30,2,0),""))</f>
        <v/>
      </c>
      <c r="R1206" s="17" t="str">
        <f aca="false">IF(O1206="","",IF(OR(P1206="",Q1206=""),0,(O1206-N1206)*IF(Q1206&gt;1,Q1206/100,Q1206)))</f>
        <v/>
      </c>
      <c r="S1206" s="14" t="str">
        <f aca="false">IF(O1206="","",O1206-R1206)</f>
        <v/>
      </c>
      <c r="T1206" s="11"/>
      <c r="U1206" s="18" t="str">
        <f aca="false">IF(T1206="","",IFERROR(VLOOKUP(T1206,REPS!$A$2:$D$40,2,0),""))</f>
        <v/>
      </c>
      <c r="V1206" s="14" t="str">
        <f aca="false">IF(O1206="","",IF(U1206="",0,O1206*IF(U1206&gt;1,U1206/100,U1206)))</f>
        <v/>
      </c>
      <c r="W1206" s="11"/>
      <c r="X1206" s="18" t="str">
        <f aca="false">IF(W1206="","",IFERROR(VLOOKUP(W1206,REPS!$A$2:$D$40,3,0),""))</f>
        <v/>
      </c>
      <c r="Y1206" s="14" t="str">
        <f aca="false">IF(O1206="","",IF(X1206="",0,O1206*IF(X1206&gt;1,X1206/100,X1206)))</f>
        <v/>
      </c>
      <c r="Z1206" s="11"/>
      <c r="AA1206" s="18" t="str">
        <f aca="false">IF(Z1206="","",IFERROR(VLOOKUP(Z1206,REPS!$A$2:$D$40,4,0),""))</f>
        <v/>
      </c>
      <c r="AB1206" s="14" t="str">
        <f aca="false">IF(O1206="","",IF(AA1206="",0,O1206*IF(AA1206&gt;1,AA1206/100,AA1206)))</f>
        <v/>
      </c>
      <c r="AC1206" s="14" t="str">
        <f aca="false">IF(O1206="","",V1206+Y1206+AB1206)</f>
        <v/>
      </c>
      <c r="AD1206" s="19" t="str">
        <f aca="false">IF(O1206="","",O1206-R1206-AC1206)</f>
        <v/>
      </c>
      <c r="AE1206" s="20"/>
      <c r="AF1206" s="10"/>
      <c r="AG1206" s="21" t="n">
        <f aca="false">IF(OR(AE1206="",AE1206=0),0,AE1206*IF(U1206="",0,IF(U1206&gt;1,U1206/100,U1206)))</f>
        <v>0</v>
      </c>
      <c r="AH1206" s="21" t="n">
        <f aca="false">IF(OR(AE1206="",AE1206=0),0,AE1206*IF(X1206="",0,IF(X1206&gt;1,X1206/100,X1206)))</f>
        <v>0</v>
      </c>
      <c r="AI1206" s="21" t="n">
        <f aca="false">IF(OR(AE1206="",AE1206=0),0,AE1206*IF(AA1206="",0,IF(AA1206&gt;1,AA1206/100,AA1206)))</f>
        <v>0</v>
      </c>
      <c r="AJ1206" s="21" t="n">
        <f aca="false">AG1206+AH1206+AI1206</f>
        <v>0</v>
      </c>
      <c r="AK1206" s="21" t="n">
        <f aca="false">IF(OR(AE1206="",AE1206=0),0,AE1206-AJ1206)</f>
        <v>0</v>
      </c>
      <c r="AL1206" s="19" t="str">
        <f aca="false">IF(AD1206="","",AD1206-AK1206)</f>
        <v/>
      </c>
      <c r="AM1206" s="9" t="str">
        <f aca="false">IF(C1206="","","Waiting for payment")</f>
        <v/>
      </c>
      <c r="AN1206" s="10"/>
      <c r="AO1206" s="10"/>
      <c r="AP1206" s="22" t="str">
        <f aca="false">IF(OR(C1206="",I1206="",K1206=""),"",IF(K1206="Monthly",EDATE(C1206,ROUND(I1206*SETTINGS!$I$8,0)),WORKDAY(C1206,ROUND(I1206*SETTINGS!$I$8,0))))</f>
        <v/>
      </c>
      <c r="AQ1206" s="9" t="str">
        <f aca="true">IF(C1206="","",IF(AND(AP1206&lt;&gt;"",TODAY()&gt;=AP1206),"Refi Ready",IF(TODAY()-C1206&gt;=SETTINGS!$I$11,"Prospecting","Performing")))</f>
        <v/>
      </c>
      <c r="AR1206" s="22" t="str">
        <f aca="false">IF(OR(C1206="",I1206="",K1206=""),"",IF(K1206="Monthly",EDATE(C1206,I1206),WORKDAY(C1206,I1206)))</f>
        <v/>
      </c>
      <c r="AS1206" s="11"/>
      <c r="AT1206" s="23" t="str">
        <f aca="true">IF(C1206="","",IF(AM1206="Clawed Back","CLAWED",IF(TODAY()&lt;=C1206+SETTINGS!$I$2,"⚠ AT RISK","SAFE")))</f>
        <v/>
      </c>
      <c r="AU1206" s="11"/>
      <c r="AW1206" s="24" t="n">
        <f aca="false">AW1205+IF(AND(C1206&lt;&gt;"",AO1206&lt;&gt;"",OR('REP COMMISSION'!$B$3="",T1206='REP COMMISSION'!$B$3,W1206='REP COMMISSION'!$B$3,Z1206='REP COMMISSION'!$B$3)),1,0)</f>
        <v>0</v>
      </c>
      <c r="AX1206" s="24" t="n">
        <f aca="false">AX1205+IF(AND(C1206&lt;&gt;"",OR(F1206="LOC - INITIAL",F1206="CONSOLIDATION - UPFRONT COMM",F1206="REVERSE - TOTAL FUNDING")),1,0)</f>
        <v>0</v>
      </c>
    </row>
    <row r="1207" customFormat="false" ht="15" hidden="false" customHeight="false" outlineLevel="0" collapsed="false">
      <c r="A1207" s="25" t="str">
        <f aca="false">IF(C1207&lt;&gt;"","F27-"&amp;COUNT($C$4:C1207),"")</f>
        <v/>
      </c>
      <c r="B1207" s="26" t="str">
        <f aca="false">IF(OR(F1207="LOC - INITIAL",F1207="CONSOLIDATION - UPFRONT COMM",F1207="REVERSE - TOTAL FUNDING"),A1207,"")</f>
        <v/>
      </c>
      <c r="C1207" s="27"/>
      <c r="D1207" s="28"/>
      <c r="E1207" s="28"/>
      <c r="F1207" s="28"/>
      <c r="G1207" s="29"/>
      <c r="H1207" s="30"/>
      <c r="I1207" s="28"/>
      <c r="J1207" s="31" t="str">
        <f aca="false">IF(AND(G1207&lt;&gt;"",H1207&lt;&gt;""),G1207*H1207,"")</f>
        <v/>
      </c>
      <c r="K1207" s="28"/>
      <c r="L1207" s="32"/>
      <c r="M1207" s="32"/>
      <c r="N1207" s="31" t="n">
        <f aca="false">IF(OR(G1207="",M1207=""),0,IF(M1207&gt;100,M1207,G1207*IF(M1207&gt;1,M1207/100,M1207)))</f>
        <v>0</v>
      </c>
      <c r="O1207" s="31" t="str">
        <f aca="false">IF(G1207="","",G1207*IF(L1207="",0,IF(L1207&gt;1,L1207/100,L1207))+N1207)</f>
        <v/>
      </c>
      <c r="P1207" s="28"/>
      <c r="Q1207" s="33" t="str">
        <f aca="false">IF(P1207="","",IFERROR(VLOOKUP(P1207,PARTNERS!$A$2:$B$30,2,0),""))</f>
        <v/>
      </c>
      <c r="R1207" s="17" t="str">
        <f aca="false">IF(O1207="","",IF(OR(P1207="",Q1207=""),0,(O1207-N1207)*IF(Q1207&gt;1,Q1207/100,Q1207)))</f>
        <v/>
      </c>
      <c r="S1207" s="31" t="str">
        <f aca="false">IF(O1207="","",O1207-R1207)</f>
        <v/>
      </c>
      <c r="T1207" s="28"/>
      <c r="U1207" s="34" t="str">
        <f aca="false">IF(T1207="","",IFERROR(VLOOKUP(T1207,REPS!$A$2:$D$40,2,0),""))</f>
        <v/>
      </c>
      <c r="V1207" s="31" t="str">
        <f aca="false">IF(O1207="","",IF(U1207="",0,O1207*IF(U1207&gt;1,U1207/100,U1207)))</f>
        <v/>
      </c>
      <c r="W1207" s="28"/>
      <c r="X1207" s="34" t="str">
        <f aca="false">IF(W1207="","",IFERROR(VLOOKUP(W1207,REPS!$A$2:$D$40,3,0),""))</f>
        <v/>
      </c>
      <c r="Y1207" s="31" t="str">
        <f aca="false">IF(O1207="","",IF(X1207="",0,O1207*IF(X1207&gt;1,X1207/100,X1207)))</f>
        <v/>
      </c>
      <c r="Z1207" s="28"/>
      <c r="AA1207" s="34" t="str">
        <f aca="false">IF(Z1207="","",IFERROR(VLOOKUP(Z1207,REPS!$A$2:$D$40,4,0),""))</f>
        <v/>
      </c>
      <c r="AB1207" s="31" t="str">
        <f aca="false">IF(O1207="","",IF(AA1207="",0,O1207*IF(AA1207&gt;1,AA1207/100,AA1207)))</f>
        <v/>
      </c>
      <c r="AC1207" s="31" t="str">
        <f aca="false">IF(O1207="","",V1207+Y1207+AB1207)</f>
        <v/>
      </c>
      <c r="AD1207" s="19" t="str">
        <f aca="false">IF(O1207="","",O1207-R1207-AC1207)</f>
        <v/>
      </c>
      <c r="AE1207" s="20"/>
      <c r="AF1207" s="27"/>
      <c r="AG1207" s="21" t="n">
        <f aca="false">IF(OR(AE1207="",AE1207=0),0,AE1207*IF(U1207="",0,IF(U1207&gt;1,U1207/100,U1207)))</f>
        <v>0</v>
      </c>
      <c r="AH1207" s="21" t="n">
        <f aca="false">IF(OR(AE1207="",AE1207=0),0,AE1207*IF(X1207="",0,IF(X1207&gt;1,X1207/100,X1207)))</f>
        <v>0</v>
      </c>
      <c r="AI1207" s="21" t="n">
        <f aca="false">IF(OR(AE1207="",AE1207=0),0,AE1207*IF(AA1207="",0,IF(AA1207&gt;1,AA1207/100,AA1207)))</f>
        <v>0</v>
      </c>
      <c r="AJ1207" s="21" t="n">
        <f aca="false">AG1207+AH1207+AI1207</f>
        <v>0</v>
      </c>
      <c r="AK1207" s="21" t="n">
        <f aca="false">IF(OR(AE1207="",AE1207=0),0,AE1207-AJ1207)</f>
        <v>0</v>
      </c>
      <c r="AL1207" s="19" t="str">
        <f aca="false">IF(AD1207="","",AD1207-AK1207)</f>
        <v/>
      </c>
      <c r="AM1207" s="26" t="str">
        <f aca="false">IF(C1207="","","Waiting for payment")</f>
        <v/>
      </c>
      <c r="AN1207" s="27"/>
      <c r="AO1207" s="27"/>
      <c r="AP1207" s="35" t="str">
        <f aca="false">IF(OR(C1207="",I1207="",K1207=""),"",IF(K1207="Monthly",EDATE(C1207,ROUND(I1207*SETTINGS!$I$8,0)),WORKDAY(C1207,ROUND(I1207*SETTINGS!$I$8,0))))</f>
        <v/>
      </c>
      <c r="AQ1207" s="26" t="str">
        <f aca="true">IF(C1207="","",IF(AND(AP1207&lt;&gt;"",TODAY()&gt;=AP1207),"Refi Ready",IF(TODAY()-C1207&gt;=SETTINGS!$I$11,"Prospecting","Performing")))</f>
        <v/>
      </c>
      <c r="AR1207" s="35" t="str">
        <f aca="false">IF(OR(C1207="",I1207="",K1207=""),"",IF(K1207="Monthly",EDATE(C1207,I1207),WORKDAY(C1207,I1207)))</f>
        <v/>
      </c>
      <c r="AS1207" s="28"/>
      <c r="AT1207" s="36" t="str">
        <f aca="true">IF(C1207="","",IF(AM1207="Clawed Back","CLAWED",IF(TODAY()&lt;=C1207+SETTINGS!$I$2,"⚠ AT RISK","SAFE")))</f>
        <v/>
      </c>
      <c r="AU1207" s="28"/>
      <c r="AW1207" s="24" t="n">
        <f aca="false">AW1206+IF(AND(C1207&lt;&gt;"",AO1207&lt;&gt;"",OR('REP COMMISSION'!$B$3="",T1207='REP COMMISSION'!$B$3,W1207='REP COMMISSION'!$B$3,Z1207='REP COMMISSION'!$B$3)),1,0)</f>
        <v>0</v>
      </c>
      <c r="AX1207" s="24" t="n">
        <f aca="false">AX1206+IF(AND(C1207&lt;&gt;"",OR(F1207="LOC - INITIAL",F1207="CONSOLIDATION - UPFRONT COMM",F1207="REVERSE - TOTAL FUNDING")),1,0)</f>
        <v>0</v>
      </c>
    </row>
    <row r="1208" customFormat="false" ht="15" hidden="false" customHeight="false" outlineLevel="0" collapsed="false">
      <c r="A1208" s="8" t="str">
        <f aca="false">IF(C1208&lt;&gt;"","F27-"&amp;COUNT($C$4:C1208),"")</f>
        <v/>
      </c>
      <c r="B1208" s="9" t="str">
        <f aca="false">IF(OR(F1208="LOC - INITIAL",F1208="CONSOLIDATION - UPFRONT COMM",F1208="REVERSE - TOTAL FUNDING"),A1208,"")</f>
        <v/>
      </c>
      <c r="C1208" s="10"/>
      <c r="D1208" s="11"/>
      <c r="E1208" s="11"/>
      <c r="F1208" s="11"/>
      <c r="G1208" s="12"/>
      <c r="H1208" s="13"/>
      <c r="I1208" s="11"/>
      <c r="J1208" s="14" t="str">
        <f aca="false">IF(AND(G1208&lt;&gt;"",H1208&lt;&gt;""),G1208*H1208,"")</f>
        <v/>
      </c>
      <c r="K1208" s="11"/>
      <c r="L1208" s="15"/>
      <c r="M1208" s="15"/>
      <c r="N1208" s="14" t="n">
        <f aca="false">IF(OR(G1208="",M1208=""),0,IF(M1208&gt;100,M1208,G1208*IF(M1208&gt;1,M1208/100,M1208)))</f>
        <v>0</v>
      </c>
      <c r="O1208" s="14" t="str">
        <f aca="false">IF(G1208="","",G1208*IF(L1208="",0,IF(L1208&gt;1,L1208/100,L1208))+N1208)</f>
        <v/>
      </c>
      <c r="P1208" s="11"/>
      <c r="Q1208" s="16" t="str">
        <f aca="false">IF(P1208="","",IFERROR(VLOOKUP(P1208,PARTNERS!$A$2:$B$30,2,0),""))</f>
        <v/>
      </c>
      <c r="R1208" s="17" t="str">
        <f aca="false">IF(O1208="","",IF(OR(P1208="",Q1208=""),0,(O1208-N1208)*IF(Q1208&gt;1,Q1208/100,Q1208)))</f>
        <v/>
      </c>
      <c r="S1208" s="14" t="str">
        <f aca="false">IF(O1208="","",O1208-R1208)</f>
        <v/>
      </c>
      <c r="T1208" s="11"/>
      <c r="U1208" s="18" t="str">
        <f aca="false">IF(T1208="","",IFERROR(VLOOKUP(T1208,REPS!$A$2:$D$40,2,0),""))</f>
        <v/>
      </c>
      <c r="V1208" s="14" t="str">
        <f aca="false">IF(O1208="","",IF(U1208="",0,O1208*IF(U1208&gt;1,U1208/100,U1208)))</f>
        <v/>
      </c>
      <c r="W1208" s="11"/>
      <c r="X1208" s="18" t="str">
        <f aca="false">IF(W1208="","",IFERROR(VLOOKUP(W1208,REPS!$A$2:$D$40,3,0),""))</f>
        <v/>
      </c>
      <c r="Y1208" s="14" t="str">
        <f aca="false">IF(O1208="","",IF(X1208="",0,O1208*IF(X1208&gt;1,X1208/100,X1208)))</f>
        <v/>
      </c>
      <c r="Z1208" s="11"/>
      <c r="AA1208" s="18" t="str">
        <f aca="false">IF(Z1208="","",IFERROR(VLOOKUP(Z1208,REPS!$A$2:$D$40,4,0),""))</f>
        <v/>
      </c>
      <c r="AB1208" s="14" t="str">
        <f aca="false">IF(O1208="","",IF(AA1208="",0,O1208*IF(AA1208&gt;1,AA1208/100,AA1208)))</f>
        <v/>
      </c>
      <c r="AC1208" s="14" t="str">
        <f aca="false">IF(O1208="","",V1208+Y1208+AB1208)</f>
        <v/>
      </c>
      <c r="AD1208" s="19" t="str">
        <f aca="false">IF(O1208="","",O1208-R1208-AC1208)</f>
        <v/>
      </c>
      <c r="AE1208" s="20"/>
      <c r="AF1208" s="10"/>
      <c r="AG1208" s="21" t="n">
        <f aca="false">IF(OR(AE1208="",AE1208=0),0,AE1208*IF(U1208="",0,IF(U1208&gt;1,U1208/100,U1208)))</f>
        <v>0</v>
      </c>
      <c r="AH1208" s="21" t="n">
        <f aca="false">IF(OR(AE1208="",AE1208=0),0,AE1208*IF(X1208="",0,IF(X1208&gt;1,X1208/100,X1208)))</f>
        <v>0</v>
      </c>
      <c r="AI1208" s="21" t="n">
        <f aca="false">IF(OR(AE1208="",AE1208=0),0,AE1208*IF(AA1208="",0,IF(AA1208&gt;1,AA1208/100,AA1208)))</f>
        <v>0</v>
      </c>
      <c r="AJ1208" s="21" t="n">
        <f aca="false">AG1208+AH1208+AI1208</f>
        <v>0</v>
      </c>
      <c r="AK1208" s="21" t="n">
        <f aca="false">IF(OR(AE1208="",AE1208=0),0,AE1208-AJ1208)</f>
        <v>0</v>
      </c>
      <c r="AL1208" s="19" t="str">
        <f aca="false">IF(AD1208="","",AD1208-AK1208)</f>
        <v/>
      </c>
      <c r="AM1208" s="9" t="str">
        <f aca="false">IF(C1208="","","Waiting for payment")</f>
        <v/>
      </c>
      <c r="AN1208" s="10"/>
      <c r="AO1208" s="10"/>
      <c r="AP1208" s="22" t="str">
        <f aca="false">IF(OR(C1208="",I1208="",K1208=""),"",IF(K1208="Monthly",EDATE(C1208,ROUND(I1208*SETTINGS!$I$8,0)),WORKDAY(C1208,ROUND(I1208*SETTINGS!$I$8,0))))</f>
        <v/>
      </c>
      <c r="AQ1208" s="9" t="str">
        <f aca="true">IF(C1208="","",IF(AND(AP1208&lt;&gt;"",TODAY()&gt;=AP1208),"Refi Ready",IF(TODAY()-C1208&gt;=SETTINGS!$I$11,"Prospecting","Performing")))</f>
        <v/>
      </c>
      <c r="AR1208" s="22" t="str">
        <f aca="false">IF(OR(C1208="",I1208="",K1208=""),"",IF(K1208="Monthly",EDATE(C1208,I1208),WORKDAY(C1208,I1208)))</f>
        <v/>
      </c>
      <c r="AS1208" s="11"/>
      <c r="AT1208" s="23" t="str">
        <f aca="true">IF(C1208="","",IF(AM1208="Clawed Back","CLAWED",IF(TODAY()&lt;=C1208+SETTINGS!$I$2,"⚠ AT RISK","SAFE")))</f>
        <v/>
      </c>
      <c r="AU1208" s="11"/>
      <c r="AW1208" s="24" t="n">
        <f aca="false">AW1207+IF(AND(C1208&lt;&gt;"",AO1208&lt;&gt;"",OR('REP COMMISSION'!$B$3="",T1208='REP COMMISSION'!$B$3,W1208='REP COMMISSION'!$B$3,Z1208='REP COMMISSION'!$B$3)),1,0)</f>
        <v>0</v>
      </c>
      <c r="AX1208" s="24" t="n">
        <f aca="false">AX1207+IF(AND(C1208&lt;&gt;"",OR(F1208="LOC - INITIAL",F1208="CONSOLIDATION - UPFRONT COMM",F1208="REVERSE - TOTAL FUNDING")),1,0)</f>
        <v>0</v>
      </c>
    </row>
    <row r="1209" customFormat="false" ht="15" hidden="false" customHeight="false" outlineLevel="0" collapsed="false">
      <c r="A1209" s="25" t="str">
        <f aca="false">IF(C1209&lt;&gt;"","F27-"&amp;COUNT($C$4:C1209),"")</f>
        <v/>
      </c>
      <c r="B1209" s="26" t="str">
        <f aca="false">IF(OR(F1209="LOC - INITIAL",F1209="CONSOLIDATION - UPFRONT COMM",F1209="REVERSE - TOTAL FUNDING"),A1209,"")</f>
        <v/>
      </c>
      <c r="C1209" s="27"/>
      <c r="D1209" s="28"/>
      <c r="E1209" s="28"/>
      <c r="F1209" s="28"/>
      <c r="G1209" s="29"/>
      <c r="H1209" s="30"/>
      <c r="I1209" s="28"/>
      <c r="J1209" s="31" t="str">
        <f aca="false">IF(AND(G1209&lt;&gt;"",H1209&lt;&gt;""),G1209*H1209,"")</f>
        <v/>
      </c>
      <c r="K1209" s="28"/>
      <c r="L1209" s="32"/>
      <c r="M1209" s="32"/>
      <c r="N1209" s="31" t="n">
        <f aca="false">IF(OR(G1209="",M1209=""),0,IF(M1209&gt;100,M1209,G1209*IF(M1209&gt;1,M1209/100,M1209)))</f>
        <v>0</v>
      </c>
      <c r="O1209" s="31" t="str">
        <f aca="false">IF(G1209="","",G1209*IF(L1209="",0,IF(L1209&gt;1,L1209/100,L1209))+N1209)</f>
        <v/>
      </c>
      <c r="P1209" s="28"/>
      <c r="Q1209" s="33" t="str">
        <f aca="false">IF(P1209="","",IFERROR(VLOOKUP(P1209,PARTNERS!$A$2:$B$30,2,0),""))</f>
        <v/>
      </c>
      <c r="R1209" s="17" t="str">
        <f aca="false">IF(O1209="","",IF(OR(P1209="",Q1209=""),0,(O1209-N1209)*IF(Q1209&gt;1,Q1209/100,Q1209)))</f>
        <v/>
      </c>
      <c r="S1209" s="31" t="str">
        <f aca="false">IF(O1209="","",O1209-R1209)</f>
        <v/>
      </c>
      <c r="T1209" s="28"/>
      <c r="U1209" s="34" t="str">
        <f aca="false">IF(T1209="","",IFERROR(VLOOKUP(T1209,REPS!$A$2:$D$40,2,0),""))</f>
        <v/>
      </c>
      <c r="V1209" s="31" t="str">
        <f aca="false">IF(O1209="","",IF(U1209="",0,O1209*IF(U1209&gt;1,U1209/100,U1209)))</f>
        <v/>
      </c>
      <c r="W1209" s="28"/>
      <c r="X1209" s="34" t="str">
        <f aca="false">IF(W1209="","",IFERROR(VLOOKUP(W1209,REPS!$A$2:$D$40,3,0),""))</f>
        <v/>
      </c>
      <c r="Y1209" s="31" t="str">
        <f aca="false">IF(O1209="","",IF(X1209="",0,O1209*IF(X1209&gt;1,X1209/100,X1209)))</f>
        <v/>
      </c>
      <c r="Z1209" s="28"/>
      <c r="AA1209" s="34" t="str">
        <f aca="false">IF(Z1209="","",IFERROR(VLOOKUP(Z1209,REPS!$A$2:$D$40,4,0),""))</f>
        <v/>
      </c>
      <c r="AB1209" s="31" t="str">
        <f aca="false">IF(O1209="","",IF(AA1209="",0,O1209*IF(AA1209&gt;1,AA1209/100,AA1209)))</f>
        <v/>
      </c>
      <c r="AC1209" s="31" t="str">
        <f aca="false">IF(O1209="","",V1209+Y1209+AB1209)</f>
        <v/>
      </c>
      <c r="AD1209" s="19" t="str">
        <f aca="false">IF(O1209="","",O1209-R1209-AC1209)</f>
        <v/>
      </c>
      <c r="AE1209" s="20"/>
      <c r="AF1209" s="27"/>
      <c r="AG1209" s="21" t="n">
        <f aca="false">IF(OR(AE1209="",AE1209=0),0,AE1209*IF(U1209="",0,IF(U1209&gt;1,U1209/100,U1209)))</f>
        <v>0</v>
      </c>
      <c r="AH1209" s="21" t="n">
        <f aca="false">IF(OR(AE1209="",AE1209=0),0,AE1209*IF(X1209="",0,IF(X1209&gt;1,X1209/100,X1209)))</f>
        <v>0</v>
      </c>
      <c r="AI1209" s="21" t="n">
        <f aca="false">IF(OR(AE1209="",AE1209=0),0,AE1209*IF(AA1209="",0,IF(AA1209&gt;1,AA1209/100,AA1209)))</f>
        <v>0</v>
      </c>
      <c r="AJ1209" s="21" t="n">
        <f aca="false">AG1209+AH1209+AI1209</f>
        <v>0</v>
      </c>
      <c r="AK1209" s="21" t="n">
        <f aca="false">IF(OR(AE1209="",AE1209=0),0,AE1209-AJ1209)</f>
        <v>0</v>
      </c>
      <c r="AL1209" s="19" t="str">
        <f aca="false">IF(AD1209="","",AD1209-AK1209)</f>
        <v/>
      </c>
      <c r="AM1209" s="26" t="str">
        <f aca="false">IF(C1209="","","Waiting for payment")</f>
        <v/>
      </c>
      <c r="AN1209" s="27"/>
      <c r="AO1209" s="27"/>
      <c r="AP1209" s="35" t="str">
        <f aca="false">IF(OR(C1209="",I1209="",K1209=""),"",IF(K1209="Monthly",EDATE(C1209,ROUND(I1209*SETTINGS!$I$8,0)),WORKDAY(C1209,ROUND(I1209*SETTINGS!$I$8,0))))</f>
        <v/>
      </c>
      <c r="AQ1209" s="26" t="str">
        <f aca="true">IF(C1209="","",IF(AND(AP1209&lt;&gt;"",TODAY()&gt;=AP1209),"Refi Ready",IF(TODAY()-C1209&gt;=SETTINGS!$I$11,"Prospecting","Performing")))</f>
        <v/>
      </c>
      <c r="AR1209" s="35" t="str">
        <f aca="false">IF(OR(C1209="",I1209="",K1209=""),"",IF(K1209="Monthly",EDATE(C1209,I1209),WORKDAY(C1209,I1209)))</f>
        <v/>
      </c>
      <c r="AS1209" s="28"/>
      <c r="AT1209" s="36" t="str">
        <f aca="true">IF(C1209="","",IF(AM1209="Clawed Back","CLAWED",IF(TODAY()&lt;=C1209+SETTINGS!$I$2,"⚠ AT RISK","SAFE")))</f>
        <v/>
      </c>
      <c r="AU1209" s="28"/>
      <c r="AW1209" s="24" t="n">
        <f aca="false">AW1208+IF(AND(C1209&lt;&gt;"",AO1209&lt;&gt;"",OR('REP COMMISSION'!$B$3="",T1209='REP COMMISSION'!$B$3,W1209='REP COMMISSION'!$B$3,Z1209='REP COMMISSION'!$B$3)),1,0)</f>
        <v>0</v>
      </c>
      <c r="AX1209" s="24" t="n">
        <f aca="false">AX1208+IF(AND(C1209&lt;&gt;"",OR(F1209="LOC - INITIAL",F1209="CONSOLIDATION - UPFRONT COMM",F1209="REVERSE - TOTAL FUNDING")),1,0)</f>
        <v>0</v>
      </c>
    </row>
    <row r="1210" customFormat="false" ht="15" hidden="false" customHeight="false" outlineLevel="0" collapsed="false">
      <c r="A1210" s="8" t="str">
        <f aca="false">IF(C1210&lt;&gt;"","F27-"&amp;COUNT($C$4:C1210),"")</f>
        <v/>
      </c>
      <c r="B1210" s="9" t="str">
        <f aca="false">IF(OR(F1210="LOC - INITIAL",F1210="CONSOLIDATION - UPFRONT COMM",F1210="REVERSE - TOTAL FUNDING"),A1210,"")</f>
        <v/>
      </c>
      <c r="C1210" s="10"/>
      <c r="D1210" s="11"/>
      <c r="E1210" s="11"/>
      <c r="F1210" s="11"/>
      <c r="G1210" s="12"/>
      <c r="H1210" s="13"/>
      <c r="I1210" s="11"/>
      <c r="J1210" s="14" t="str">
        <f aca="false">IF(AND(G1210&lt;&gt;"",H1210&lt;&gt;""),G1210*H1210,"")</f>
        <v/>
      </c>
      <c r="K1210" s="11"/>
      <c r="L1210" s="15"/>
      <c r="M1210" s="15"/>
      <c r="N1210" s="14" t="n">
        <f aca="false">IF(OR(G1210="",M1210=""),0,IF(M1210&gt;100,M1210,G1210*IF(M1210&gt;1,M1210/100,M1210)))</f>
        <v>0</v>
      </c>
      <c r="O1210" s="14" t="str">
        <f aca="false">IF(G1210="","",G1210*IF(L1210="",0,IF(L1210&gt;1,L1210/100,L1210))+N1210)</f>
        <v/>
      </c>
      <c r="P1210" s="11"/>
      <c r="Q1210" s="16" t="str">
        <f aca="false">IF(P1210="","",IFERROR(VLOOKUP(P1210,PARTNERS!$A$2:$B$30,2,0),""))</f>
        <v/>
      </c>
      <c r="R1210" s="17" t="str">
        <f aca="false">IF(O1210="","",IF(OR(P1210="",Q1210=""),0,(O1210-N1210)*IF(Q1210&gt;1,Q1210/100,Q1210)))</f>
        <v/>
      </c>
      <c r="S1210" s="14" t="str">
        <f aca="false">IF(O1210="","",O1210-R1210)</f>
        <v/>
      </c>
      <c r="T1210" s="11"/>
      <c r="U1210" s="18" t="str">
        <f aca="false">IF(T1210="","",IFERROR(VLOOKUP(T1210,REPS!$A$2:$D$40,2,0),""))</f>
        <v/>
      </c>
      <c r="V1210" s="14" t="str">
        <f aca="false">IF(O1210="","",IF(U1210="",0,O1210*IF(U1210&gt;1,U1210/100,U1210)))</f>
        <v/>
      </c>
      <c r="W1210" s="11"/>
      <c r="X1210" s="18" t="str">
        <f aca="false">IF(W1210="","",IFERROR(VLOOKUP(W1210,REPS!$A$2:$D$40,3,0),""))</f>
        <v/>
      </c>
      <c r="Y1210" s="14" t="str">
        <f aca="false">IF(O1210="","",IF(X1210="",0,O1210*IF(X1210&gt;1,X1210/100,X1210)))</f>
        <v/>
      </c>
      <c r="Z1210" s="11"/>
      <c r="AA1210" s="18" t="str">
        <f aca="false">IF(Z1210="","",IFERROR(VLOOKUP(Z1210,REPS!$A$2:$D$40,4,0),""))</f>
        <v/>
      </c>
      <c r="AB1210" s="14" t="str">
        <f aca="false">IF(O1210="","",IF(AA1210="",0,O1210*IF(AA1210&gt;1,AA1210/100,AA1210)))</f>
        <v/>
      </c>
      <c r="AC1210" s="14" t="str">
        <f aca="false">IF(O1210="","",V1210+Y1210+AB1210)</f>
        <v/>
      </c>
      <c r="AD1210" s="19" t="str">
        <f aca="false">IF(O1210="","",O1210-R1210-AC1210)</f>
        <v/>
      </c>
      <c r="AE1210" s="20"/>
      <c r="AF1210" s="10"/>
      <c r="AG1210" s="21" t="n">
        <f aca="false">IF(OR(AE1210="",AE1210=0),0,AE1210*IF(U1210="",0,IF(U1210&gt;1,U1210/100,U1210)))</f>
        <v>0</v>
      </c>
      <c r="AH1210" s="21" t="n">
        <f aca="false">IF(OR(AE1210="",AE1210=0),0,AE1210*IF(X1210="",0,IF(X1210&gt;1,X1210/100,X1210)))</f>
        <v>0</v>
      </c>
      <c r="AI1210" s="21" t="n">
        <f aca="false">IF(OR(AE1210="",AE1210=0),0,AE1210*IF(AA1210="",0,IF(AA1210&gt;1,AA1210/100,AA1210)))</f>
        <v>0</v>
      </c>
      <c r="AJ1210" s="21" t="n">
        <f aca="false">AG1210+AH1210+AI1210</f>
        <v>0</v>
      </c>
      <c r="AK1210" s="21" t="n">
        <f aca="false">IF(OR(AE1210="",AE1210=0),0,AE1210-AJ1210)</f>
        <v>0</v>
      </c>
      <c r="AL1210" s="19" t="str">
        <f aca="false">IF(AD1210="","",AD1210-AK1210)</f>
        <v/>
      </c>
      <c r="AM1210" s="9" t="str">
        <f aca="false">IF(C1210="","","Waiting for payment")</f>
        <v/>
      </c>
      <c r="AN1210" s="10"/>
      <c r="AO1210" s="10"/>
      <c r="AP1210" s="22" t="str">
        <f aca="false">IF(OR(C1210="",I1210="",K1210=""),"",IF(K1210="Monthly",EDATE(C1210,ROUND(I1210*SETTINGS!$I$8,0)),WORKDAY(C1210,ROUND(I1210*SETTINGS!$I$8,0))))</f>
        <v/>
      </c>
      <c r="AQ1210" s="9" t="str">
        <f aca="true">IF(C1210="","",IF(AND(AP1210&lt;&gt;"",TODAY()&gt;=AP1210),"Refi Ready",IF(TODAY()-C1210&gt;=SETTINGS!$I$11,"Prospecting","Performing")))</f>
        <v/>
      </c>
      <c r="AR1210" s="22" t="str">
        <f aca="false">IF(OR(C1210="",I1210="",K1210=""),"",IF(K1210="Monthly",EDATE(C1210,I1210),WORKDAY(C1210,I1210)))</f>
        <v/>
      </c>
      <c r="AS1210" s="11"/>
      <c r="AT1210" s="23" t="str">
        <f aca="true">IF(C1210="","",IF(AM1210="Clawed Back","CLAWED",IF(TODAY()&lt;=C1210+SETTINGS!$I$2,"⚠ AT RISK","SAFE")))</f>
        <v/>
      </c>
      <c r="AU1210" s="11"/>
      <c r="AW1210" s="24" t="n">
        <f aca="false">AW1209+IF(AND(C1210&lt;&gt;"",AO1210&lt;&gt;"",OR('REP COMMISSION'!$B$3="",T1210='REP COMMISSION'!$B$3,W1210='REP COMMISSION'!$B$3,Z1210='REP COMMISSION'!$B$3)),1,0)</f>
        <v>0</v>
      </c>
      <c r="AX1210" s="24" t="n">
        <f aca="false">AX1209+IF(AND(C1210&lt;&gt;"",OR(F1210="LOC - INITIAL",F1210="CONSOLIDATION - UPFRONT COMM",F1210="REVERSE - TOTAL FUNDING")),1,0)</f>
        <v>0</v>
      </c>
    </row>
    <row r="1211" customFormat="false" ht="15" hidden="false" customHeight="false" outlineLevel="0" collapsed="false">
      <c r="A1211" s="25" t="str">
        <f aca="false">IF(C1211&lt;&gt;"","F27-"&amp;COUNT($C$4:C1211),"")</f>
        <v/>
      </c>
      <c r="B1211" s="26" t="str">
        <f aca="false">IF(OR(F1211="LOC - INITIAL",F1211="CONSOLIDATION - UPFRONT COMM",F1211="REVERSE - TOTAL FUNDING"),A1211,"")</f>
        <v/>
      </c>
      <c r="C1211" s="27"/>
      <c r="D1211" s="28"/>
      <c r="E1211" s="28"/>
      <c r="F1211" s="28"/>
      <c r="G1211" s="29"/>
      <c r="H1211" s="30"/>
      <c r="I1211" s="28"/>
      <c r="J1211" s="31" t="str">
        <f aca="false">IF(AND(G1211&lt;&gt;"",H1211&lt;&gt;""),G1211*H1211,"")</f>
        <v/>
      </c>
      <c r="K1211" s="28"/>
      <c r="L1211" s="32"/>
      <c r="M1211" s="32"/>
      <c r="N1211" s="31" t="n">
        <f aca="false">IF(OR(G1211="",M1211=""),0,IF(M1211&gt;100,M1211,G1211*IF(M1211&gt;1,M1211/100,M1211)))</f>
        <v>0</v>
      </c>
      <c r="O1211" s="31" t="str">
        <f aca="false">IF(G1211="","",G1211*IF(L1211="",0,IF(L1211&gt;1,L1211/100,L1211))+N1211)</f>
        <v/>
      </c>
      <c r="P1211" s="28"/>
      <c r="Q1211" s="33" t="str">
        <f aca="false">IF(P1211="","",IFERROR(VLOOKUP(P1211,PARTNERS!$A$2:$B$30,2,0),""))</f>
        <v/>
      </c>
      <c r="R1211" s="17" t="str">
        <f aca="false">IF(O1211="","",IF(OR(P1211="",Q1211=""),0,(O1211-N1211)*IF(Q1211&gt;1,Q1211/100,Q1211)))</f>
        <v/>
      </c>
      <c r="S1211" s="31" t="str">
        <f aca="false">IF(O1211="","",O1211-R1211)</f>
        <v/>
      </c>
      <c r="T1211" s="28"/>
      <c r="U1211" s="34" t="str">
        <f aca="false">IF(T1211="","",IFERROR(VLOOKUP(T1211,REPS!$A$2:$D$40,2,0),""))</f>
        <v/>
      </c>
      <c r="V1211" s="31" t="str">
        <f aca="false">IF(O1211="","",IF(U1211="",0,O1211*IF(U1211&gt;1,U1211/100,U1211)))</f>
        <v/>
      </c>
      <c r="W1211" s="28"/>
      <c r="X1211" s="34" t="str">
        <f aca="false">IF(W1211="","",IFERROR(VLOOKUP(W1211,REPS!$A$2:$D$40,3,0),""))</f>
        <v/>
      </c>
      <c r="Y1211" s="31" t="str">
        <f aca="false">IF(O1211="","",IF(X1211="",0,O1211*IF(X1211&gt;1,X1211/100,X1211)))</f>
        <v/>
      </c>
      <c r="Z1211" s="28"/>
      <c r="AA1211" s="34" t="str">
        <f aca="false">IF(Z1211="","",IFERROR(VLOOKUP(Z1211,REPS!$A$2:$D$40,4,0),""))</f>
        <v/>
      </c>
      <c r="AB1211" s="31" t="str">
        <f aca="false">IF(O1211="","",IF(AA1211="",0,O1211*IF(AA1211&gt;1,AA1211/100,AA1211)))</f>
        <v/>
      </c>
      <c r="AC1211" s="31" t="str">
        <f aca="false">IF(O1211="","",V1211+Y1211+AB1211)</f>
        <v/>
      </c>
      <c r="AD1211" s="19" t="str">
        <f aca="false">IF(O1211="","",O1211-R1211-AC1211)</f>
        <v/>
      </c>
      <c r="AE1211" s="20"/>
      <c r="AF1211" s="27"/>
      <c r="AG1211" s="21" t="n">
        <f aca="false">IF(OR(AE1211="",AE1211=0),0,AE1211*IF(U1211="",0,IF(U1211&gt;1,U1211/100,U1211)))</f>
        <v>0</v>
      </c>
      <c r="AH1211" s="21" t="n">
        <f aca="false">IF(OR(AE1211="",AE1211=0),0,AE1211*IF(X1211="",0,IF(X1211&gt;1,X1211/100,X1211)))</f>
        <v>0</v>
      </c>
      <c r="AI1211" s="21" t="n">
        <f aca="false">IF(OR(AE1211="",AE1211=0),0,AE1211*IF(AA1211="",0,IF(AA1211&gt;1,AA1211/100,AA1211)))</f>
        <v>0</v>
      </c>
      <c r="AJ1211" s="21" t="n">
        <f aca="false">AG1211+AH1211+AI1211</f>
        <v>0</v>
      </c>
      <c r="AK1211" s="21" t="n">
        <f aca="false">IF(OR(AE1211="",AE1211=0),0,AE1211-AJ1211)</f>
        <v>0</v>
      </c>
      <c r="AL1211" s="19" t="str">
        <f aca="false">IF(AD1211="","",AD1211-AK1211)</f>
        <v/>
      </c>
      <c r="AM1211" s="26" t="str">
        <f aca="false">IF(C1211="","","Waiting for payment")</f>
        <v/>
      </c>
      <c r="AN1211" s="27"/>
      <c r="AO1211" s="27"/>
      <c r="AP1211" s="35" t="str">
        <f aca="false">IF(OR(C1211="",I1211="",K1211=""),"",IF(K1211="Monthly",EDATE(C1211,ROUND(I1211*SETTINGS!$I$8,0)),WORKDAY(C1211,ROUND(I1211*SETTINGS!$I$8,0))))</f>
        <v/>
      </c>
      <c r="AQ1211" s="26" t="str">
        <f aca="true">IF(C1211="","",IF(AND(AP1211&lt;&gt;"",TODAY()&gt;=AP1211),"Refi Ready",IF(TODAY()-C1211&gt;=SETTINGS!$I$11,"Prospecting","Performing")))</f>
        <v/>
      </c>
      <c r="AR1211" s="35" t="str">
        <f aca="false">IF(OR(C1211="",I1211="",K1211=""),"",IF(K1211="Monthly",EDATE(C1211,I1211),WORKDAY(C1211,I1211)))</f>
        <v/>
      </c>
      <c r="AS1211" s="28"/>
      <c r="AT1211" s="36" t="str">
        <f aca="true">IF(C1211="","",IF(AM1211="Clawed Back","CLAWED",IF(TODAY()&lt;=C1211+SETTINGS!$I$2,"⚠ AT RISK","SAFE")))</f>
        <v/>
      </c>
      <c r="AU1211" s="28"/>
      <c r="AW1211" s="24" t="n">
        <f aca="false">AW1210+IF(AND(C1211&lt;&gt;"",AO1211&lt;&gt;"",OR('REP COMMISSION'!$B$3="",T1211='REP COMMISSION'!$B$3,W1211='REP COMMISSION'!$B$3,Z1211='REP COMMISSION'!$B$3)),1,0)</f>
        <v>0</v>
      </c>
      <c r="AX1211" s="24" t="n">
        <f aca="false">AX1210+IF(AND(C1211&lt;&gt;"",OR(F1211="LOC - INITIAL",F1211="CONSOLIDATION - UPFRONT COMM",F1211="REVERSE - TOTAL FUNDING")),1,0)</f>
        <v>0</v>
      </c>
    </row>
    <row r="1212" customFormat="false" ht="15" hidden="false" customHeight="false" outlineLevel="0" collapsed="false">
      <c r="A1212" s="8" t="str">
        <f aca="false">IF(C1212&lt;&gt;"","F27-"&amp;COUNT($C$4:C1212),"")</f>
        <v/>
      </c>
      <c r="B1212" s="9" t="str">
        <f aca="false">IF(OR(F1212="LOC - INITIAL",F1212="CONSOLIDATION - UPFRONT COMM",F1212="REVERSE - TOTAL FUNDING"),A1212,"")</f>
        <v/>
      </c>
      <c r="C1212" s="10"/>
      <c r="D1212" s="11"/>
      <c r="E1212" s="11"/>
      <c r="F1212" s="11"/>
      <c r="G1212" s="12"/>
      <c r="H1212" s="13"/>
      <c r="I1212" s="11"/>
      <c r="J1212" s="14" t="str">
        <f aca="false">IF(AND(G1212&lt;&gt;"",H1212&lt;&gt;""),G1212*H1212,"")</f>
        <v/>
      </c>
      <c r="K1212" s="11"/>
      <c r="L1212" s="15"/>
      <c r="M1212" s="15"/>
      <c r="N1212" s="14" t="n">
        <f aca="false">IF(OR(G1212="",M1212=""),0,IF(M1212&gt;100,M1212,G1212*IF(M1212&gt;1,M1212/100,M1212)))</f>
        <v>0</v>
      </c>
      <c r="O1212" s="14" t="str">
        <f aca="false">IF(G1212="","",G1212*IF(L1212="",0,IF(L1212&gt;1,L1212/100,L1212))+N1212)</f>
        <v/>
      </c>
      <c r="P1212" s="11"/>
      <c r="Q1212" s="16" t="str">
        <f aca="false">IF(P1212="","",IFERROR(VLOOKUP(P1212,PARTNERS!$A$2:$B$30,2,0),""))</f>
        <v/>
      </c>
      <c r="R1212" s="17" t="str">
        <f aca="false">IF(O1212="","",IF(OR(P1212="",Q1212=""),0,(O1212-N1212)*IF(Q1212&gt;1,Q1212/100,Q1212)))</f>
        <v/>
      </c>
      <c r="S1212" s="14" t="str">
        <f aca="false">IF(O1212="","",O1212-R1212)</f>
        <v/>
      </c>
      <c r="T1212" s="11"/>
      <c r="U1212" s="18" t="str">
        <f aca="false">IF(T1212="","",IFERROR(VLOOKUP(T1212,REPS!$A$2:$D$40,2,0),""))</f>
        <v/>
      </c>
      <c r="V1212" s="14" t="str">
        <f aca="false">IF(O1212="","",IF(U1212="",0,O1212*IF(U1212&gt;1,U1212/100,U1212)))</f>
        <v/>
      </c>
      <c r="W1212" s="11"/>
      <c r="X1212" s="18" t="str">
        <f aca="false">IF(W1212="","",IFERROR(VLOOKUP(W1212,REPS!$A$2:$D$40,3,0),""))</f>
        <v/>
      </c>
      <c r="Y1212" s="14" t="str">
        <f aca="false">IF(O1212="","",IF(X1212="",0,O1212*IF(X1212&gt;1,X1212/100,X1212)))</f>
        <v/>
      </c>
      <c r="Z1212" s="11"/>
      <c r="AA1212" s="18" t="str">
        <f aca="false">IF(Z1212="","",IFERROR(VLOOKUP(Z1212,REPS!$A$2:$D$40,4,0),""))</f>
        <v/>
      </c>
      <c r="AB1212" s="14" t="str">
        <f aca="false">IF(O1212="","",IF(AA1212="",0,O1212*IF(AA1212&gt;1,AA1212/100,AA1212)))</f>
        <v/>
      </c>
      <c r="AC1212" s="14" t="str">
        <f aca="false">IF(O1212="","",V1212+Y1212+AB1212)</f>
        <v/>
      </c>
      <c r="AD1212" s="19" t="str">
        <f aca="false">IF(O1212="","",O1212-R1212-AC1212)</f>
        <v/>
      </c>
      <c r="AE1212" s="20"/>
      <c r="AF1212" s="10"/>
      <c r="AG1212" s="21" t="n">
        <f aca="false">IF(OR(AE1212="",AE1212=0),0,AE1212*IF(U1212="",0,IF(U1212&gt;1,U1212/100,U1212)))</f>
        <v>0</v>
      </c>
      <c r="AH1212" s="21" t="n">
        <f aca="false">IF(OR(AE1212="",AE1212=0),0,AE1212*IF(X1212="",0,IF(X1212&gt;1,X1212/100,X1212)))</f>
        <v>0</v>
      </c>
      <c r="AI1212" s="21" t="n">
        <f aca="false">IF(OR(AE1212="",AE1212=0),0,AE1212*IF(AA1212="",0,IF(AA1212&gt;1,AA1212/100,AA1212)))</f>
        <v>0</v>
      </c>
      <c r="AJ1212" s="21" t="n">
        <f aca="false">AG1212+AH1212+AI1212</f>
        <v>0</v>
      </c>
      <c r="AK1212" s="21" t="n">
        <f aca="false">IF(OR(AE1212="",AE1212=0),0,AE1212-AJ1212)</f>
        <v>0</v>
      </c>
      <c r="AL1212" s="19" t="str">
        <f aca="false">IF(AD1212="","",AD1212-AK1212)</f>
        <v/>
      </c>
      <c r="AM1212" s="9" t="str">
        <f aca="false">IF(C1212="","","Waiting for payment")</f>
        <v/>
      </c>
      <c r="AN1212" s="10"/>
      <c r="AO1212" s="10"/>
      <c r="AP1212" s="22" t="str">
        <f aca="false">IF(OR(C1212="",I1212="",K1212=""),"",IF(K1212="Monthly",EDATE(C1212,ROUND(I1212*SETTINGS!$I$8,0)),WORKDAY(C1212,ROUND(I1212*SETTINGS!$I$8,0))))</f>
        <v/>
      </c>
      <c r="AQ1212" s="9" t="str">
        <f aca="true">IF(C1212="","",IF(AND(AP1212&lt;&gt;"",TODAY()&gt;=AP1212),"Refi Ready",IF(TODAY()-C1212&gt;=SETTINGS!$I$11,"Prospecting","Performing")))</f>
        <v/>
      </c>
      <c r="AR1212" s="22" t="str">
        <f aca="false">IF(OR(C1212="",I1212="",K1212=""),"",IF(K1212="Monthly",EDATE(C1212,I1212),WORKDAY(C1212,I1212)))</f>
        <v/>
      </c>
      <c r="AS1212" s="11"/>
      <c r="AT1212" s="23" t="str">
        <f aca="true">IF(C1212="","",IF(AM1212="Clawed Back","CLAWED",IF(TODAY()&lt;=C1212+SETTINGS!$I$2,"⚠ AT RISK","SAFE")))</f>
        <v/>
      </c>
      <c r="AU1212" s="11"/>
      <c r="AW1212" s="24" t="n">
        <f aca="false">AW1211+IF(AND(C1212&lt;&gt;"",AO1212&lt;&gt;"",OR('REP COMMISSION'!$B$3="",T1212='REP COMMISSION'!$B$3,W1212='REP COMMISSION'!$B$3,Z1212='REP COMMISSION'!$B$3)),1,0)</f>
        <v>0</v>
      </c>
      <c r="AX1212" s="24" t="n">
        <f aca="false">AX1211+IF(AND(C1212&lt;&gt;"",OR(F1212="LOC - INITIAL",F1212="CONSOLIDATION - UPFRONT COMM",F1212="REVERSE - TOTAL FUNDING")),1,0)</f>
        <v>0</v>
      </c>
    </row>
    <row r="1213" customFormat="false" ht="15" hidden="false" customHeight="false" outlineLevel="0" collapsed="false">
      <c r="A1213" s="25" t="str">
        <f aca="false">IF(C1213&lt;&gt;"","F27-"&amp;COUNT($C$4:C1213),"")</f>
        <v/>
      </c>
      <c r="B1213" s="26" t="str">
        <f aca="false">IF(OR(F1213="LOC - INITIAL",F1213="CONSOLIDATION - UPFRONT COMM",F1213="REVERSE - TOTAL FUNDING"),A1213,"")</f>
        <v/>
      </c>
      <c r="C1213" s="27"/>
      <c r="D1213" s="28"/>
      <c r="E1213" s="28"/>
      <c r="F1213" s="28"/>
      <c r="G1213" s="29"/>
      <c r="H1213" s="30"/>
      <c r="I1213" s="28"/>
      <c r="J1213" s="31" t="str">
        <f aca="false">IF(AND(G1213&lt;&gt;"",H1213&lt;&gt;""),G1213*H1213,"")</f>
        <v/>
      </c>
      <c r="K1213" s="28"/>
      <c r="L1213" s="32"/>
      <c r="M1213" s="32"/>
      <c r="N1213" s="31" t="n">
        <f aca="false">IF(OR(G1213="",M1213=""),0,IF(M1213&gt;100,M1213,G1213*IF(M1213&gt;1,M1213/100,M1213)))</f>
        <v>0</v>
      </c>
      <c r="O1213" s="31" t="str">
        <f aca="false">IF(G1213="","",G1213*IF(L1213="",0,IF(L1213&gt;1,L1213/100,L1213))+N1213)</f>
        <v/>
      </c>
      <c r="P1213" s="28"/>
      <c r="Q1213" s="33" t="str">
        <f aca="false">IF(P1213="","",IFERROR(VLOOKUP(P1213,PARTNERS!$A$2:$B$30,2,0),""))</f>
        <v/>
      </c>
      <c r="R1213" s="17" t="str">
        <f aca="false">IF(O1213="","",IF(OR(P1213="",Q1213=""),0,(O1213-N1213)*IF(Q1213&gt;1,Q1213/100,Q1213)))</f>
        <v/>
      </c>
      <c r="S1213" s="31" t="str">
        <f aca="false">IF(O1213="","",O1213-R1213)</f>
        <v/>
      </c>
      <c r="T1213" s="28"/>
      <c r="U1213" s="34" t="str">
        <f aca="false">IF(T1213="","",IFERROR(VLOOKUP(T1213,REPS!$A$2:$D$40,2,0),""))</f>
        <v/>
      </c>
      <c r="V1213" s="31" t="str">
        <f aca="false">IF(O1213="","",IF(U1213="",0,O1213*IF(U1213&gt;1,U1213/100,U1213)))</f>
        <v/>
      </c>
      <c r="W1213" s="28"/>
      <c r="X1213" s="34" t="str">
        <f aca="false">IF(W1213="","",IFERROR(VLOOKUP(W1213,REPS!$A$2:$D$40,3,0),""))</f>
        <v/>
      </c>
      <c r="Y1213" s="31" t="str">
        <f aca="false">IF(O1213="","",IF(X1213="",0,O1213*IF(X1213&gt;1,X1213/100,X1213)))</f>
        <v/>
      </c>
      <c r="Z1213" s="28"/>
      <c r="AA1213" s="34" t="str">
        <f aca="false">IF(Z1213="","",IFERROR(VLOOKUP(Z1213,REPS!$A$2:$D$40,4,0),""))</f>
        <v/>
      </c>
      <c r="AB1213" s="31" t="str">
        <f aca="false">IF(O1213="","",IF(AA1213="",0,O1213*IF(AA1213&gt;1,AA1213/100,AA1213)))</f>
        <v/>
      </c>
      <c r="AC1213" s="31" t="str">
        <f aca="false">IF(O1213="","",V1213+Y1213+AB1213)</f>
        <v/>
      </c>
      <c r="AD1213" s="19" t="str">
        <f aca="false">IF(O1213="","",O1213-R1213-AC1213)</f>
        <v/>
      </c>
      <c r="AE1213" s="20"/>
      <c r="AF1213" s="27"/>
      <c r="AG1213" s="21" t="n">
        <f aca="false">IF(OR(AE1213="",AE1213=0),0,AE1213*IF(U1213="",0,IF(U1213&gt;1,U1213/100,U1213)))</f>
        <v>0</v>
      </c>
      <c r="AH1213" s="21" t="n">
        <f aca="false">IF(OR(AE1213="",AE1213=0),0,AE1213*IF(X1213="",0,IF(X1213&gt;1,X1213/100,X1213)))</f>
        <v>0</v>
      </c>
      <c r="AI1213" s="21" t="n">
        <f aca="false">IF(OR(AE1213="",AE1213=0),0,AE1213*IF(AA1213="",0,IF(AA1213&gt;1,AA1213/100,AA1213)))</f>
        <v>0</v>
      </c>
      <c r="AJ1213" s="21" t="n">
        <f aca="false">AG1213+AH1213+AI1213</f>
        <v>0</v>
      </c>
      <c r="AK1213" s="21" t="n">
        <f aca="false">IF(OR(AE1213="",AE1213=0),0,AE1213-AJ1213)</f>
        <v>0</v>
      </c>
      <c r="AL1213" s="19" t="str">
        <f aca="false">IF(AD1213="","",AD1213-AK1213)</f>
        <v/>
      </c>
      <c r="AM1213" s="26" t="str">
        <f aca="false">IF(C1213="","","Waiting for payment")</f>
        <v/>
      </c>
      <c r="AN1213" s="27"/>
      <c r="AO1213" s="27"/>
      <c r="AP1213" s="35" t="str">
        <f aca="false">IF(OR(C1213="",I1213="",K1213=""),"",IF(K1213="Monthly",EDATE(C1213,ROUND(I1213*SETTINGS!$I$8,0)),WORKDAY(C1213,ROUND(I1213*SETTINGS!$I$8,0))))</f>
        <v/>
      </c>
      <c r="AQ1213" s="26" t="str">
        <f aca="true">IF(C1213="","",IF(AND(AP1213&lt;&gt;"",TODAY()&gt;=AP1213),"Refi Ready",IF(TODAY()-C1213&gt;=SETTINGS!$I$11,"Prospecting","Performing")))</f>
        <v/>
      </c>
      <c r="AR1213" s="35" t="str">
        <f aca="false">IF(OR(C1213="",I1213="",K1213=""),"",IF(K1213="Monthly",EDATE(C1213,I1213),WORKDAY(C1213,I1213)))</f>
        <v/>
      </c>
      <c r="AS1213" s="28"/>
      <c r="AT1213" s="36" t="str">
        <f aca="true">IF(C1213="","",IF(AM1213="Clawed Back","CLAWED",IF(TODAY()&lt;=C1213+SETTINGS!$I$2,"⚠ AT RISK","SAFE")))</f>
        <v/>
      </c>
      <c r="AU1213" s="28"/>
      <c r="AW1213" s="24" t="n">
        <f aca="false">AW1212+IF(AND(C1213&lt;&gt;"",AO1213&lt;&gt;"",OR('REP COMMISSION'!$B$3="",T1213='REP COMMISSION'!$B$3,W1213='REP COMMISSION'!$B$3,Z1213='REP COMMISSION'!$B$3)),1,0)</f>
        <v>0</v>
      </c>
      <c r="AX1213" s="24" t="n">
        <f aca="false">AX1212+IF(AND(C1213&lt;&gt;"",OR(F1213="LOC - INITIAL",F1213="CONSOLIDATION - UPFRONT COMM",F1213="REVERSE - TOTAL FUNDING")),1,0)</f>
        <v>0</v>
      </c>
    </row>
    <row r="1214" customFormat="false" ht="15" hidden="false" customHeight="false" outlineLevel="0" collapsed="false">
      <c r="A1214" s="8" t="str">
        <f aca="false">IF(C1214&lt;&gt;"","F27-"&amp;COUNT($C$4:C1214),"")</f>
        <v/>
      </c>
      <c r="B1214" s="9" t="str">
        <f aca="false">IF(OR(F1214="LOC - INITIAL",F1214="CONSOLIDATION - UPFRONT COMM",F1214="REVERSE - TOTAL FUNDING"),A1214,"")</f>
        <v/>
      </c>
      <c r="C1214" s="10"/>
      <c r="D1214" s="11"/>
      <c r="E1214" s="11"/>
      <c r="F1214" s="11"/>
      <c r="G1214" s="12"/>
      <c r="H1214" s="13"/>
      <c r="I1214" s="11"/>
      <c r="J1214" s="14" t="str">
        <f aca="false">IF(AND(G1214&lt;&gt;"",H1214&lt;&gt;""),G1214*H1214,"")</f>
        <v/>
      </c>
      <c r="K1214" s="11"/>
      <c r="L1214" s="15"/>
      <c r="M1214" s="15"/>
      <c r="N1214" s="14" t="n">
        <f aca="false">IF(OR(G1214="",M1214=""),0,IF(M1214&gt;100,M1214,G1214*IF(M1214&gt;1,M1214/100,M1214)))</f>
        <v>0</v>
      </c>
      <c r="O1214" s="14" t="str">
        <f aca="false">IF(G1214="","",G1214*IF(L1214="",0,IF(L1214&gt;1,L1214/100,L1214))+N1214)</f>
        <v/>
      </c>
      <c r="P1214" s="11"/>
      <c r="Q1214" s="16" t="str">
        <f aca="false">IF(P1214="","",IFERROR(VLOOKUP(P1214,PARTNERS!$A$2:$B$30,2,0),""))</f>
        <v/>
      </c>
      <c r="R1214" s="17" t="str">
        <f aca="false">IF(O1214="","",IF(OR(P1214="",Q1214=""),0,(O1214-N1214)*IF(Q1214&gt;1,Q1214/100,Q1214)))</f>
        <v/>
      </c>
      <c r="S1214" s="14" t="str">
        <f aca="false">IF(O1214="","",O1214-R1214)</f>
        <v/>
      </c>
      <c r="T1214" s="11"/>
      <c r="U1214" s="18" t="str">
        <f aca="false">IF(T1214="","",IFERROR(VLOOKUP(T1214,REPS!$A$2:$D$40,2,0),""))</f>
        <v/>
      </c>
      <c r="V1214" s="14" t="str">
        <f aca="false">IF(O1214="","",IF(U1214="",0,O1214*IF(U1214&gt;1,U1214/100,U1214)))</f>
        <v/>
      </c>
      <c r="W1214" s="11"/>
      <c r="X1214" s="18" t="str">
        <f aca="false">IF(W1214="","",IFERROR(VLOOKUP(W1214,REPS!$A$2:$D$40,3,0),""))</f>
        <v/>
      </c>
      <c r="Y1214" s="14" t="str">
        <f aca="false">IF(O1214="","",IF(X1214="",0,O1214*IF(X1214&gt;1,X1214/100,X1214)))</f>
        <v/>
      </c>
      <c r="Z1214" s="11"/>
      <c r="AA1214" s="18" t="str">
        <f aca="false">IF(Z1214="","",IFERROR(VLOOKUP(Z1214,REPS!$A$2:$D$40,4,0),""))</f>
        <v/>
      </c>
      <c r="AB1214" s="14" t="str">
        <f aca="false">IF(O1214="","",IF(AA1214="",0,O1214*IF(AA1214&gt;1,AA1214/100,AA1214)))</f>
        <v/>
      </c>
      <c r="AC1214" s="14" t="str">
        <f aca="false">IF(O1214="","",V1214+Y1214+AB1214)</f>
        <v/>
      </c>
      <c r="AD1214" s="19" t="str">
        <f aca="false">IF(O1214="","",O1214-R1214-AC1214)</f>
        <v/>
      </c>
      <c r="AE1214" s="20"/>
      <c r="AF1214" s="10"/>
      <c r="AG1214" s="21" t="n">
        <f aca="false">IF(OR(AE1214="",AE1214=0),0,AE1214*IF(U1214="",0,IF(U1214&gt;1,U1214/100,U1214)))</f>
        <v>0</v>
      </c>
      <c r="AH1214" s="21" t="n">
        <f aca="false">IF(OR(AE1214="",AE1214=0),0,AE1214*IF(X1214="",0,IF(X1214&gt;1,X1214/100,X1214)))</f>
        <v>0</v>
      </c>
      <c r="AI1214" s="21" t="n">
        <f aca="false">IF(OR(AE1214="",AE1214=0),0,AE1214*IF(AA1214="",0,IF(AA1214&gt;1,AA1214/100,AA1214)))</f>
        <v>0</v>
      </c>
      <c r="AJ1214" s="21" t="n">
        <f aca="false">AG1214+AH1214+AI1214</f>
        <v>0</v>
      </c>
      <c r="AK1214" s="21" t="n">
        <f aca="false">IF(OR(AE1214="",AE1214=0),0,AE1214-AJ1214)</f>
        <v>0</v>
      </c>
      <c r="AL1214" s="19" t="str">
        <f aca="false">IF(AD1214="","",AD1214-AK1214)</f>
        <v/>
      </c>
      <c r="AM1214" s="9" t="str">
        <f aca="false">IF(C1214="","","Waiting for payment")</f>
        <v/>
      </c>
      <c r="AN1214" s="10"/>
      <c r="AO1214" s="10"/>
      <c r="AP1214" s="22" t="str">
        <f aca="false">IF(OR(C1214="",I1214="",K1214=""),"",IF(K1214="Monthly",EDATE(C1214,ROUND(I1214*SETTINGS!$I$8,0)),WORKDAY(C1214,ROUND(I1214*SETTINGS!$I$8,0))))</f>
        <v/>
      </c>
      <c r="AQ1214" s="9" t="str">
        <f aca="true">IF(C1214="","",IF(AND(AP1214&lt;&gt;"",TODAY()&gt;=AP1214),"Refi Ready",IF(TODAY()-C1214&gt;=SETTINGS!$I$11,"Prospecting","Performing")))</f>
        <v/>
      </c>
      <c r="AR1214" s="22" t="str">
        <f aca="false">IF(OR(C1214="",I1214="",K1214=""),"",IF(K1214="Monthly",EDATE(C1214,I1214),WORKDAY(C1214,I1214)))</f>
        <v/>
      </c>
      <c r="AS1214" s="11"/>
      <c r="AT1214" s="23" t="str">
        <f aca="true">IF(C1214="","",IF(AM1214="Clawed Back","CLAWED",IF(TODAY()&lt;=C1214+SETTINGS!$I$2,"⚠ AT RISK","SAFE")))</f>
        <v/>
      </c>
      <c r="AU1214" s="11"/>
      <c r="AW1214" s="24" t="n">
        <f aca="false">AW1213+IF(AND(C1214&lt;&gt;"",AO1214&lt;&gt;"",OR('REP COMMISSION'!$B$3="",T1214='REP COMMISSION'!$B$3,W1214='REP COMMISSION'!$B$3,Z1214='REP COMMISSION'!$B$3)),1,0)</f>
        <v>0</v>
      </c>
      <c r="AX1214" s="24" t="n">
        <f aca="false">AX1213+IF(AND(C1214&lt;&gt;"",OR(F1214="LOC - INITIAL",F1214="CONSOLIDATION - UPFRONT COMM",F1214="REVERSE - TOTAL FUNDING")),1,0)</f>
        <v>0</v>
      </c>
    </row>
    <row r="1215" customFormat="false" ht="15" hidden="false" customHeight="false" outlineLevel="0" collapsed="false">
      <c r="A1215" s="25" t="str">
        <f aca="false">IF(C1215&lt;&gt;"","F27-"&amp;COUNT($C$4:C1215),"")</f>
        <v/>
      </c>
      <c r="B1215" s="26" t="str">
        <f aca="false">IF(OR(F1215="LOC - INITIAL",F1215="CONSOLIDATION - UPFRONT COMM",F1215="REVERSE - TOTAL FUNDING"),A1215,"")</f>
        <v/>
      </c>
      <c r="C1215" s="27"/>
      <c r="D1215" s="28"/>
      <c r="E1215" s="28"/>
      <c r="F1215" s="28"/>
      <c r="G1215" s="29"/>
      <c r="H1215" s="30"/>
      <c r="I1215" s="28"/>
      <c r="J1215" s="31" t="str">
        <f aca="false">IF(AND(G1215&lt;&gt;"",H1215&lt;&gt;""),G1215*H1215,"")</f>
        <v/>
      </c>
      <c r="K1215" s="28"/>
      <c r="L1215" s="32"/>
      <c r="M1215" s="32"/>
      <c r="N1215" s="31" t="n">
        <f aca="false">IF(OR(G1215="",M1215=""),0,IF(M1215&gt;100,M1215,G1215*IF(M1215&gt;1,M1215/100,M1215)))</f>
        <v>0</v>
      </c>
      <c r="O1215" s="31" t="str">
        <f aca="false">IF(G1215="","",G1215*IF(L1215="",0,IF(L1215&gt;1,L1215/100,L1215))+N1215)</f>
        <v/>
      </c>
      <c r="P1215" s="28"/>
      <c r="Q1215" s="33" t="str">
        <f aca="false">IF(P1215="","",IFERROR(VLOOKUP(P1215,PARTNERS!$A$2:$B$30,2,0),""))</f>
        <v/>
      </c>
      <c r="R1215" s="17" t="str">
        <f aca="false">IF(O1215="","",IF(OR(P1215="",Q1215=""),0,(O1215-N1215)*IF(Q1215&gt;1,Q1215/100,Q1215)))</f>
        <v/>
      </c>
      <c r="S1215" s="31" t="str">
        <f aca="false">IF(O1215="","",O1215-R1215)</f>
        <v/>
      </c>
      <c r="T1215" s="28"/>
      <c r="U1215" s="34" t="str">
        <f aca="false">IF(T1215="","",IFERROR(VLOOKUP(T1215,REPS!$A$2:$D$40,2,0),""))</f>
        <v/>
      </c>
      <c r="V1215" s="31" t="str">
        <f aca="false">IF(O1215="","",IF(U1215="",0,O1215*IF(U1215&gt;1,U1215/100,U1215)))</f>
        <v/>
      </c>
      <c r="W1215" s="28"/>
      <c r="X1215" s="34" t="str">
        <f aca="false">IF(W1215="","",IFERROR(VLOOKUP(W1215,REPS!$A$2:$D$40,3,0),""))</f>
        <v/>
      </c>
      <c r="Y1215" s="31" t="str">
        <f aca="false">IF(O1215="","",IF(X1215="",0,O1215*IF(X1215&gt;1,X1215/100,X1215)))</f>
        <v/>
      </c>
      <c r="Z1215" s="28"/>
      <c r="AA1215" s="34" t="str">
        <f aca="false">IF(Z1215="","",IFERROR(VLOOKUP(Z1215,REPS!$A$2:$D$40,4,0),""))</f>
        <v/>
      </c>
      <c r="AB1215" s="31" t="str">
        <f aca="false">IF(O1215="","",IF(AA1215="",0,O1215*IF(AA1215&gt;1,AA1215/100,AA1215)))</f>
        <v/>
      </c>
      <c r="AC1215" s="31" t="str">
        <f aca="false">IF(O1215="","",V1215+Y1215+AB1215)</f>
        <v/>
      </c>
      <c r="AD1215" s="19" t="str">
        <f aca="false">IF(O1215="","",O1215-R1215-AC1215)</f>
        <v/>
      </c>
      <c r="AE1215" s="20"/>
      <c r="AF1215" s="27"/>
      <c r="AG1215" s="21" t="n">
        <f aca="false">IF(OR(AE1215="",AE1215=0),0,AE1215*IF(U1215="",0,IF(U1215&gt;1,U1215/100,U1215)))</f>
        <v>0</v>
      </c>
      <c r="AH1215" s="21" t="n">
        <f aca="false">IF(OR(AE1215="",AE1215=0),0,AE1215*IF(X1215="",0,IF(X1215&gt;1,X1215/100,X1215)))</f>
        <v>0</v>
      </c>
      <c r="AI1215" s="21" t="n">
        <f aca="false">IF(OR(AE1215="",AE1215=0),0,AE1215*IF(AA1215="",0,IF(AA1215&gt;1,AA1215/100,AA1215)))</f>
        <v>0</v>
      </c>
      <c r="AJ1215" s="21" t="n">
        <f aca="false">AG1215+AH1215+AI1215</f>
        <v>0</v>
      </c>
      <c r="AK1215" s="21" t="n">
        <f aca="false">IF(OR(AE1215="",AE1215=0),0,AE1215-AJ1215)</f>
        <v>0</v>
      </c>
      <c r="AL1215" s="19" t="str">
        <f aca="false">IF(AD1215="","",AD1215-AK1215)</f>
        <v/>
      </c>
      <c r="AM1215" s="26" t="str">
        <f aca="false">IF(C1215="","","Waiting for payment")</f>
        <v/>
      </c>
      <c r="AN1215" s="27"/>
      <c r="AO1215" s="27"/>
      <c r="AP1215" s="35" t="str">
        <f aca="false">IF(OR(C1215="",I1215="",K1215=""),"",IF(K1215="Monthly",EDATE(C1215,ROUND(I1215*SETTINGS!$I$8,0)),WORKDAY(C1215,ROUND(I1215*SETTINGS!$I$8,0))))</f>
        <v/>
      </c>
      <c r="AQ1215" s="26" t="str">
        <f aca="true">IF(C1215="","",IF(AND(AP1215&lt;&gt;"",TODAY()&gt;=AP1215),"Refi Ready",IF(TODAY()-C1215&gt;=SETTINGS!$I$11,"Prospecting","Performing")))</f>
        <v/>
      </c>
      <c r="AR1215" s="35" t="str">
        <f aca="false">IF(OR(C1215="",I1215="",K1215=""),"",IF(K1215="Monthly",EDATE(C1215,I1215),WORKDAY(C1215,I1215)))</f>
        <v/>
      </c>
      <c r="AS1215" s="28"/>
      <c r="AT1215" s="36" t="str">
        <f aca="true">IF(C1215="","",IF(AM1215="Clawed Back","CLAWED",IF(TODAY()&lt;=C1215+SETTINGS!$I$2,"⚠ AT RISK","SAFE")))</f>
        <v/>
      </c>
      <c r="AU1215" s="28"/>
      <c r="AW1215" s="24" t="n">
        <f aca="false">AW1214+IF(AND(C1215&lt;&gt;"",AO1215&lt;&gt;"",OR('REP COMMISSION'!$B$3="",T1215='REP COMMISSION'!$B$3,W1215='REP COMMISSION'!$B$3,Z1215='REP COMMISSION'!$B$3)),1,0)</f>
        <v>0</v>
      </c>
      <c r="AX1215" s="24" t="n">
        <f aca="false">AX1214+IF(AND(C1215&lt;&gt;"",OR(F1215="LOC - INITIAL",F1215="CONSOLIDATION - UPFRONT COMM",F1215="REVERSE - TOTAL FUNDING")),1,0)</f>
        <v>0</v>
      </c>
    </row>
    <row r="1216" customFormat="false" ht="15" hidden="false" customHeight="false" outlineLevel="0" collapsed="false">
      <c r="A1216" s="8" t="str">
        <f aca="false">IF(C1216&lt;&gt;"","F27-"&amp;COUNT($C$4:C1216),"")</f>
        <v/>
      </c>
      <c r="B1216" s="9" t="str">
        <f aca="false">IF(OR(F1216="LOC - INITIAL",F1216="CONSOLIDATION - UPFRONT COMM",F1216="REVERSE - TOTAL FUNDING"),A1216,"")</f>
        <v/>
      </c>
      <c r="C1216" s="10"/>
      <c r="D1216" s="11"/>
      <c r="E1216" s="11"/>
      <c r="F1216" s="11"/>
      <c r="G1216" s="12"/>
      <c r="H1216" s="13"/>
      <c r="I1216" s="11"/>
      <c r="J1216" s="14" t="str">
        <f aca="false">IF(AND(G1216&lt;&gt;"",H1216&lt;&gt;""),G1216*H1216,"")</f>
        <v/>
      </c>
      <c r="K1216" s="11"/>
      <c r="L1216" s="15"/>
      <c r="M1216" s="15"/>
      <c r="N1216" s="14" t="n">
        <f aca="false">IF(OR(G1216="",M1216=""),0,IF(M1216&gt;100,M1216,G1216*IF(M1216&gt;1,M1216/100,M1216)))</f>
        <v>0</v>
      </c>
      <c r="O1216" s="14" t="str">
        <f aca="false">IF(G1216="","",G1216*IF(L1216="",0,IF(L1216&gt;1,L1216/100,L1216))+N1216)</f>
        <v/>
      </c>
      <c r="P1216" s="11"/>
      <c r="Q1216" s="16" t="str">
        <f aca="false">IF(P1216="","",IFERROR(VLOOKUP(P1216,PARTNERS!$A$2:$B$30,2,0),""))</f>
        <v/>
      </c>
      <c r="R1216" s="17" t="str">
        <f aca="false">IF(O1216="","",IF(OR(P1216="",Q1216=""),0,(O1216-N1216)*IF(Q1216&gt;1,Q1216/100,Q1216)))</f>
        <v/>
      </c>
      <c r="S1216" s="14" t="str">
        <f aca="false">IF(O1216="","",O1216-R1216)</f>
        <v/>
      </c>
      <c r="T1216" s="11"/>
      <c r="U1216" s="18" t="str">
        <f aca="false">IF(T1216="","",IFERROR(VLOOKUP(T1216,REPS!$A$2:$D$40,2,0),""))</f>
        <v/>
      </c>
      <c r="V1216" s="14" t="str">
        <f aca="false">IF(O1216="","",IF(U1216="",0,O1216*IF(U1216&gt;1,U1216/100,U1216)))</f>
        <v/>
      </c>
      <c r="W1216" s="11"/>
      <c r="X1216" s="18" t="str">
        <f aca="false">IF(W1216="","",IFERROR(VLOOKUP(W1216,REPS!$A$2:$D$40,3,0),""))</f>
        <v/>
      </c>
      <c r="Y1216" s="14" t="str">
        <f aca="false">IF(O1216="","",IF(X1216="",0,O1216*IF(X1216&gt;1,X1216/100,X1216)))</f>
        <v/>
      </c>
      <c r="Z1216" s="11"/>
      <c r="AA1216" s="18" t="str">
        <f aca="false">IF(Z1216="","",IFERROR(VLOOKUP(Z1216,REPS!$A$2:$D$40,4,0),""))</f>
        <v/>
      </c>
      <c r="AB1216" s="14" t="str">
        <f aca="false">IF(O1216="","",IF(AA1216="",0,O1216*IF(AA1216&gt;1,AA1216/100,AA1216)))</f>
        <v/>
      </c>
      <c r="AC1216" s="14" t="str">
        <f aca="false">IF(O1216="","",V1216+Y1216+AB1216)</f>
        <v/>
      </c>
      <c r="AD1216" s="19" t="str">
        <f aca="false">IF(O1216="","",O1216-R1216-AC1216)</f>
        <v/>
      </c>
      <c r="AE1216" s="20"/>
      <c r="AF1216" s="10"/>
      <c r="AG1216" s="21" t="n">
        <f aca="false">IF(OR(AE1216="",AE1216=0),0,AE1216*IF(U1216="",0,IF(U1216&gt;1,U1216/100,U1216)))</f>
        <v>0</v>
      </c>
      <c r="AH1216" s="21" t="n">
        <f aca="false">IF(OR(AE1216="",AE1216=0),0,AE1216*IF(X1216="",0,IF(X1216&gt;1,X1216/100,X1216)))</f>
        <v>0</v>
      </c>
      <c r="AI1216" s="21" t="n">
        <f aca="false">IF(OR(AE1216="",AE1216=0),0,AE1216*IF(AA1216="",0,IF(AA1216&gt;1,AA1216/100,AA1216)))</f>
        <v>0</v>
      </c>
      <c r="AJ1216" s="21" t="n">
        <f aca="false">AG1216+AH1216+AI1216</f>
        <v>0</v>
      </c>
      <c r="AK1216" s="21" t="n">
        <f aca="false">IF(OR(AE1216="",AE1216=0),0,AE1216-AJ1216)</f>
        <v>0</v>
      </c>
      <c r="AL1216" s="19" t="str">
        <f aca="false">IF(AD1216="","",AD1216-AK1216)</f>
        <v/>
      </c>
      <c r="AM1216" s="9" t="str">
        <f aca="false">IF(C1216="","","Waiting for payment")</f>
        <v/>
      </c>
      <c r="AN1216" s="10"/>
      <c r="AO1216" s="10"/>
      <c r="AP1216" s="22" t="str">
        <f aca="false">IF(OR(C1216="",I1216="",K1216=""),"",IF(K1216="Monthly",EDATE(C1216,ROUND(I1216*SETTINGS!$I$8,0)),WORKDAY(C1216,ROUND(I1216*SETTINGS!$I$8,0))))</f>
        <v/>
      </c>
      <c r="AQ1216" s="9" t="str">
        <f aca="true">IF(C1216="","",IF(AND(AP1216&lt;&gt;"",TODAY()&gt;=AP1216),"Refi Ready",IF(TODAY()-C1216&gt;=SETTINGS!$I$11,"Prospecting","Performing")))</f>
        <v/>
      </c>
      <c r="AR1216" s="22" t="str">
        <f aca="false">IF(OR(C1216="",I1216="",K1216=""),"",IF(K1216="Monthly",EDATE(C1216,I1216),WORKDAY(C1216,I1216)))</f>
        <v/>
      </c>
      <c r="AS1216" s="11"/>
      <c r="AT1216" s="23" t="str">
        <f aca="true">IF(C1216="","",IF(AM1216="Clawed Back","CLAWED",IF(TODAY()&lt;=C1216+SETTINGS!$I$2,"⚠ AT RISK","SAFE")))</f>
        <v/>
      </c>
      <c r="AU1216" s="11"/>
      <c r="AW1216" s="24" t="n">
        <f aca="false">AW1215+IF(AND(C1216&lt;&gt;"",AO1216&lt;&gt;"",OR('REP COMMISSION'!$B$3="",T1216='REP COMMISSION'!$B$3,W1216='REP COMMISSION'!$B$3,Z1216='REP COMMISSION'!$B$3)),1,0)</f>
        <v>0</v>
      </c>
      <c r="AX1216" s="24" t="n">
        <f aca="false">AX1215+IF(AND(C1216&lt;&gt;"",OR(F1216="LOC - INITIAL",F1216="CONSOLIDATION - UPFRONT COMM",F1216="REVERSE - TOTAL FUNDING")),1,0)</f>
        <v>0</v>
      </c>
    </row>
    <row r="1217" customFormat="false" ht="15" hidden="false" customHeight="false" outlineLevel="0" collapsed="false">
      <c r="A1217" s="25" t="str">
        <f aca="false">IF(C1217&lt;&gt;"","F27-"&amp;COUNT($C$4:C1217),"")</f>
        <v/>
      </c>
      <c r="B1217" s="26" t="str">
        <f aca="false">IF(OR(F1217="LOC - INITIAL",F1217="CONSOLIDATION - UPFRONT COMM",F1217="REVERSE - TOTAL FUNDING"),A1217,"")</f>
        <v/>
      </c>
      <c r="C1217" s="27"/>
      <c r="D1217" s="28"/>
      <c r="E1217" s="28"/>
      <c r="F1217" s="28"/>
      <c r="G1217" s="29"/>
      <c r="H1217" s="30"/>
      <c r="I1217" s="28"/>
      <c r="J1217" s="31" t="str">
        <f aca="false">IF(AND(G1217&lt;&gt;"",H1217&lt;&gt;""),G1217*H1217,"")</f>
        <v/>
      </c>
      <c r="K1217" s="28"/>
      <c r="L1217" s="32"/>
      <c r="M1217" s="32"/>
      <c r="N1217" s="31" t="n">
        <f aca="false">IF(OR(G1217="",M1217=""),0,IF(M1217&gt;100,M1217,G1217*IF(M1217&gt;1,M1217/100,M1217)))</f>
        <v>0</v>
      </c>
      <c r="O1217" s="31" t="str">
        <f aca="false">IF(G1217="","",G1217*IF(L1217="",0,IF(L1217&gt;1,L1217/100,L1217))+N1217)</f>
        <v/>
      </c>
      <c r="P1217" s="28"/>
      <c r="Q1217" s="33" t="str">
        <f aca="false">IF(P1217="","",IFERROR(VLOOKUP(P1217,PARTNERS!$A$2:$B$30,2,0),""))</f>
        <v/>
      </c>
      <c r="R1217" s="17" t="str">
        <f aca="false">IF(O1217="","",IF(OR(P1217="",Q1217=""),0,(O1217-N1217)*IF(Q1217&gt;1,Q1217/100,Q1217)))</f>
        <v/>
      </c>
      <c r="S1217" s="31" t="str">
        <f aca="false">IF(O1217="","",O1217-R1217)</f>
        <v/>
      </c>
      <c r="T1217" s="28"/>
      <c r="U1217" s="34" t="str">
        <f aca="false">IF(T1217="","",IFERROR(VLOOKUP(T1217,REPS!$A$2:$D$40,2,0),""))</f>
        <v/>
      </c>
      <c r="V1217" s="31" t="str">
        <f aca="false">IF(O1217="","",IF(U1217="",0,O1217*IF(U1217&gt;1,U1217/100,U1217)))</f>
        <v/>
      </c>
      <c r="W1217" s="28"/>
      <c r="X1217" s="34" t="str">
        <f aca="false">IF(W1217="","",IFERROR(VLOOKUP(W1217,REPS!$A$2:$D$40,3,0),""))</f>
        <v/>
      </c>
      <c r="Y1217" s="31" t="str">
        <f aca="false">IF(O1217="","",IF(X1217="",0,O1217*IF(X1217&gt;1,X1217/100,X1217)))</f>
        <v/>
      </c>
      <c r="Z1217" s="28"/>
      <c r="AA1217" s="34" t="str">
        <f aca="false">IF(Z1217="","",IFERROR(VLOOKUP(Z1217,REPS!$A$2:$D$40,4,0),""))</f>
        <v/>
      </c>
      <c r="AB1217" s="31" t="str">
        <f aca="false">IF(O1217="","",IF(AA1217="",0,O1217*IF(AA1217&gt;1,AA1217/100,AA1217)))</f>
        <v/>
      </c>
      <c r="AC1217" s="31" t="str">
        <f aca="false">IF(O1217="","",V1217+Y1217+AB1217)</f>
        <v/>
      </c>
      <c r="AD1217" s="19" t="str">
        <f aca="false">IF(O1217="","",O1217-R1217-AC1217)</f>
        <v/>
      </c>
      <c r="AE1217" s="20"/>
      <c r="AF1217" s="27"/>
      <c r="AG1217" s="21" t="n">
        <f aca="false">IF(OR(AE1217="",AE1217=0),0,AE1217*IF(U1217="",0,IF(U1217&gt;1,U1217/100,U1217)))</f>
        <v>0</v>
      </c>
      <c r="AH1217" s="21" t="n">
        <f aca="false">IF(OR(AE1217="",AE1217=0),0,AE1217*IF(X1217="",0,IF(X1217&gt;1,X1217/100,X1217)))</f>
        <v>0</v>
      </c>
      <c r="AI1217" s="21" t="n">
        <f aca="false">IF(OR(AE1217="",AE1217=0),0,AE1217*IF(AA1217="",0,IF(AA1217&gt;1,AA1217/100,AA1217)))</f>
        <v>0</v>
      </c>
      <c r="AJ1217" s="21" t="n">
        <f aca="false">AG1217+AH1217+AI1217</f>
        <v>0</v>
      </c>
      <c r="AK1217" s="21" t="n">
        <f aca="false">IF(OR(AE1217="",AE1217=0),0,AE1217-AJ1217)</f>
        <v>0</v>
      </c>
      <c r="AL1217" s="19" t="str">
        <f aca="false">IF(AD1217="","",AD1217-AK1217)</f>
        <v/>
      </c>
      <c r="AM1217" s="26" t="str">
        <f aca="false">IF(C1217="","","Waiting for payment")</f>
        <v/>
      </c>
      <c r="AN1217" s="27"/>
      <c r="AO1217" s="27"/>
      <c r="AP1217" s="35" t="str">
        <f aca="false">IF(OR(C1217="",I1217="",K1217=""),"",IF(K1217="Monthly",EDATE(C1217,ROUND(I1217*SETTINGS!$I$8,0)),WORKDAY(C1217,ROUND(I1217*SETTINGS!$I$8,0))))</f>
        <v/>
      </c>
      <c r="AQ1217" s="26" t="str">
        <f aca="true">IF(C1217="","",IF(AND(AP1217&lt;&gt;"",TODAY()&gt;=AP1217),"Refi Ready",IF(TODAY()-C1217&gt;=SETTINGS!$I$11,"Prospecting","Performing")))</f>
        <v/>
      </c>
      <c r="AR1217" s="35" t="str">
        <f aca="false">IF(OR(C1217="",I1217="",K1217=""),"",IF(K1217="Monthly",EDATE(C1217,I1217),WORKDAY(C1217,I1217)))</f>
        <v/>
      </c>
      <c r="AS1217" s="28"/>
      <c r="AT1217" s="36" t="str">
        <f aca="true">IF(C1217="","",IF(AM1217="Clawed Back","CLAWED",IF(TODAY()&lt;=C1217+SETTINGS!$I$2,"⚠ AT RISK","SAFE")))</f>
        <v/>
      </c>
      <c r="AU1217" s="28"/>
      <c r="AW1217" s="24" t="n">
        <f aca="false">AW1216+IF(AND(C1217&lt;&gt;"",AO1217&lt;&gt;"",OR('REP COMMISSION'!$B$3="",T1217='REP COMMISSION'!$B$3,W1217='REP COMMISSION'!$B$3,Z1217='REP COMMISSION'!$B$3)),1,0)</f>
        <v>0</v>
      </c>
      <c r="AX1217" s="24" t="n">
        <f aca="false">AX1216+IF(AND(C1217&lt;&gt;"",OR(F1217="LOC - INITIAL",F1217="CONSOLIDATION - UPFRONT COMM",F1217="REVERSE - TOTAL FUNDING")),1,0)</f>
        <v>0</v>
      </c>
    </row>
    <row r="1218" customFormat="false" ht="15" hidden="false" customHeight="false" outlineLevel="0" collapsed="false">
      <c r="A1218" s="8" t="str">
        <f aca="false">IF(C1218&lt;&gt;"","F27-"&amp;COUNT($C$4:C1218),"")</f>
        <v/>
      </c>
      <c r="B1218" s="9" t="str">
        <f aca="false">IF(OR(F1218="LOC - INITIAL",F1218="CONSOLIDATION - UPFRONT COMM",F1218="REVERSE - TOTAL FUNDING"),A1218,"")</f>
        <v/>
      </c>
      <c r="C1218" s="10"/>
      <c r="D1218" s="11"/>
      <c r="E1218" s="11"/>
      <c r="F1218" s="11"/>
      <c r="G1218" s="12"/>
      <c r="H1218" s="13"/>
      <c r="I1218" s="11"/>
      <c r="J1218" s="14" t="str">
        <f aca="false">IF(AND(G1218&lt;&gt;"",H1218&lt;&gt;""),G1218*H1218,"")</f>
        <v/>
      </c>
      <c r="K1218" s="11"/>
      <c r="L1218" s="15"/>
      <c r="M1218" s="15"/>
      <c r="N1218" s="14" t="n">
        <f aca="false">IF(OR(G1218="",M1218=""),0,IF(M1218&gt;100,M1218,G1218*IF(M1218&gt;1,M1218/100,M1218)))</f>
        <v>0</v>
      </c>
      <c r="O1218" s="14" t="str">
        <f aca="false">IF(G1218="","",G1218*IF(L1218="",0,IF(L1218&gt;1,L1218/100,L1218))+N1218)</f>
        <v/>
      </c>
      <c r="P1218" s="11"/>
      <c r="Q1218" s="16" t="str">
        <f aca="false">IF(P1218="","",IFERROR(VLOOKUP(P1218,PARTNERS!$A$2:$B$30,2,0),""))</f>
        <v/>
      </c>
      <c r="R1218" s="17" t="str">
        <f aca="false">IF(O1218="","",IF(OR(P1218="",Q1218=""),0,(O1218-N1218)*IF(Q1218&gt;1,Q1218/100,Q1218)))</f>
        <v/>
      </c>
      <c r="S1218" s="14" t="str">
        <f aca="false">IF(O1218="","",O1218-R1218)</f>
        <v/>
      </c>
      <c r="T1218" s="11"/>
      <c r="U1218" s="18" t="str">
        <f aca="false">IF(T1218="","",IFERROR(VLOOKUP(T1218,REPS!$A$2:$D$40,2,0),""))</f>
        <v/>
      </c>
      <c r="V1218" s="14" t="str">
        <f aca="false">IF(O1218="","",IF(U1218="",0,O1218*IF(U1218&gt;1,U1218/100,U1218)))</f>
        <v/>
      </c>
      <c r="W1218" s="11"/>
      <c r="X1218" s="18" t="str">
        <f aca="false">IF(W1218="","",IFERROR(VLOOKUP(W1218,REPS!$A$2:$D$40,3,0),""))</f>
        <v/>
      </c>
      <c r="Y1218" s="14" t="str">
        <f aca="false">IF(O1218="","",IF(X1218="",0,O1218*IF(X1218&gt;1,X1218/100,X1218)))</f>
        <v/>
      </c>
      <c r="Z1218" s="11"/>
      <c r="AA1218" s="18" t="str">
        <f aca="false">IF(Z1218="","",IFERROR(VLOOKUP(Z1218,REPS!$A$2:$D$40,4,0),""))</f>
        <v/>
      </c>
      <c r="AB1218" s="14" t="str">
        <f aca="false">IF(O1218="","",IF(AA1218="",0,O1218*IF(AA1218&gt;1,AA1218/100,AA1218)))</f>
        <v/>
      </c>
      <c r="AC1218" s="14" t="str">
        <f aca="false">IF(O1218="","",V1218+Y1218+AB1218)</f>
        <v/>
      </c>
      <c r="AD1218" s="19" t="str">
        <f aca="false">IF(O1218="","",O1218-R1218-AC1218)</f>
        <v/>
      </c>
      <c r="AE1218" s="20"/>
      <c r="AF1218" s="10"/>
      <c r="AG1218" s="21" t="n">
        <f aca="false">IF(OR(AE1218="",AE1218=0),0,AE1218*IF(U1218="",0,IF(U1218&gt;1,U1218/100,U1218)))</f>
        <v>0</v>
      </c>
      <c r="AH1218" s="21" t="n">
        <f aca="false">IF(OR(AE1218="",AE1218=0),0,AE1218*IF(X1218="",0,IF(X1218&gt;1,X1218/100,X1218)))</f>
        <v>0</v>
      </c>
      <c r="AI1218" s="21" t="n">
        <f aca="false">IF(OR(AE1218="",AE1218=0),0,AE1218*IF(AA1218="",0,IF(AA1218&gt;1,AA1218/100,AA1218)))</f>
        <v>0</v>
      </c>
      <c r="AJ1218" s="21" t="n">
        <f aca="false">AG1218+AH1218+AI1218</f>
        <v>0</v>
      </c>
      <c r="AK1218" s="21" t="n">
        <f aca="false">IF(OR(AE1218="",AE1218=0),0,AE1218-AJ1218)</f>
        <v>0</v>
      </c>
      <c r="AL1218" s="19" t="str">
        <f aca="false">IF(AD1218="","",AD1218-AK1218)</f>
        <v/>
      </c>
      <c r="AM1218" s="9" t="str">
        <f aca="false">IF(C1218="","","Waiting for payment")</f>
        <v/>
      </c>
      <c r="AN1218" s="10"/>
      <c r="AO1218" s="10"/>
      <c r="AP1218" s="22" t="str">
        <f aca="false">IF(OR(C1218="",I1218="",K1218=""),"",IF(K1218="Monthly",EDATE(C1218,ROUND(I1218*SETTINGS!$I$8,0)),WORKDAY(C1218,ROUND(I1218*SETTINGS!$I$8,0))))</f>
        <v/>
      </c>
      <c r="AQ1218" s="9" t="str">
        <f aca="true">IF(C1218="","",IF(AND(AP1218&lt;&gt;"",TODAY()&gt;=AP1218),"Refi Ready",IF(TODAY()-C1218&gt;=SETTINGS!$I$11,"Prospecting","Performing")))</f>
        <v/>
      </c>
      <c r="AR1218" s="22" t="str">
        <f aca="false">IF(OR(C1218="",I1218="",K1218=""),"",IF(K1218="Monthly",EDATE(C1218,I1218),WORKDAY(C1218,I1218)))</f>
        <v/>
      </c>
      <c r="AS1218" s="11"/>
      <c r="AT1218" s="23" t="str">
        <f aca="true">IF(C1218="","",IF(AM1218="Clawed Back","CLAWED",IF(TODAY()&lt;=C1218+SETTINGS!$I$2,"⚠ AT RISK","SAFE")))</f>
        <v/>
      </c>
      <c r="AU1218" s="11"/>
      <c r="AW1218" s="24" t="n">
        <f aca="false">AW1217+IF(AND(C1218&lt;&gt;"",AO1218&lt;&gt;"",OR('REP COMMISSION'!$B$3="",T1218='REP COMMISSION'!$B$3,W1218='REP COMMISSION'!$B$3,Z1218='REP COMMISSION'!$B$3)),1,0)</f>
        <v>0</v>
      </c>
      <c r="AX1218" s="24" t="n">
        <f aca="false">AX1217+IF(AND(C1218&lt;&gt;"",OR(F1218="LOC - INITIAL",F1218="CONSOLIDATION - UPFRONT COMM",F1218="REVERSE - TOTAL FUNDING")),1,0)</f>
        <v>0</v>
      </c>
    </row>
    <row r="1219" customFormat="false" ht="15" hidden="false" customHeight="false" outlineLevel="0" collapsed="false">
      <c r="A1219" s="25" t="str">
        <f aca="false">IF(C1219&lt;&gt;"","F27-"&amp;COUNT($C$4:C1219),"")</f>
        <v/>
      </c>
      <c r="B1219" s="26" t="str">
        <f aca="false">IF(OR(F1219="LOC - INITIAL",F1219="CONSOLIDATION - UPFRONT COMM",F1219="REVERSE - TOTAL FUNDING"),A1219,"")</f>
        <v/>
      </c>
      <c r="C1219" s="27"/>
      <c r="D1219" s="28"/>
      <c r="E1219" s="28"/>
      <c r="F1219" s="28"/>
      <c r="G1219" s="29"/>
      <c r="H1219" s="30"/>
      <c r="I1219" s="28"/>
      <c r="J1219" s="31" t="str">
        <f aca="false">IF(AND(G1219&lt;&gt;"",H1219&lt;&gt;""),G1219*H1219,"")</f>
        <v/>
      </c>
      <c r="K1219" s="28"/>
      <c r="L1219" s="32"/>
      <c r="M1219" s="32"/>
      <c r="N1219" s="31" t="n">
        <f aca="false">IF(OR(G1219="",M1219=""),0,IF(M1219&gt;100,M1219,G1219*IF(M1219&gt;1,M1219/100,M1219)))</f>
        <v>0</v>
      </c>
      <c r="O1219" s="31" t="str">
        <f aca="false">IF(G1219="","",G1219*IF(L1219="",0,IF(L1219&gt;1,L1219/100,L1219))+N1219)</f>
        <v/>
      </c>
      <c r="P1219" s="28"/>
      <c r="Q1219" s="33" t="str">
        <f aca="false">IF(P1219="","",IFERROR(VLOOKUP(P1219,PARTNERS!$A$2:$B$30,2,0),""))</f>
        <v/>
      </c>
      <c r="R1219" s="17" t="str">
        <f aca="false">IF(O1219="","",IF(OR(P1219="",Q1219=""),0,(O1219-N1219)*IF(Q1219&gt;1,Q1219/100,Q1219)))</f>
        <v/>
      </c>
      <c r="S1219" s="31" t="str">
        <f aca="false">IF(O1219="","",O1219-R1219)</f>
        <v/>
      </c>
      <c r="T1219" s="28"/>
      <c r="U1219" s="34" t="str">
        <f aca="false">IF(T1219="","",IFERROR(VLOOKUP(T1219,REPS!$A$2:$D$40,2,0),""))</f>
        <v/>
      </c>
      <c r="V1219" s="31" t="str">
        <f aca="false">IF(O1219="","",IF(U1219="",0,O1219*IF(U1219&gt;1,U1219/100,U1219)))</f>
        <v/>
      </c>
      <c r="W1219" s="28"/>
      <c r="X1219" s="34" t="str">
        <f aca="false">IF(W1219="","",IFERROR(VLOOKUP(W1219,REPS!$A$2:$D$40,3,0),""))</f>
        <v/>
      </c>
      <c r="Y1219" s="31" t="str">
        <f aca="false">IF(O1219="","",IF(X1219="",0,O1219*IF(X1219&gt;1,X1219/100,X1219)))</f>
        <v/>
      </c>
      <c r="Z1219" s="28"/>
      <c r="AA1219" s="34" t="str">
        <f aca="false">IF(Z1219="","",IFERROR(VLOOKUP(Z1219,REPS!$A$2:$D$40,4,0),""))</f>
        <v/>
      </c>
      <c r="AB1219" s="31" t="str">
        <f aca="false">IF(O1219="","",IF(AA1219="",0,O1219*IF(AA1219&gt;1,AA1219/100,AA1219)))</f>
        <v/>
      </c>
      <c r="AC1219" s="31" t="str">
        <f aca="false">IF(O1219="","",V1219+Y1219+AB1219)</f>
        <v/>
      </c>
      <c r="AD1219" s="19" t="str">
        <f aca="false">IF(O1219="","",O1219-R1219-AC1219)</f>
        <v/>
      </c>
      <c r="AE1219" s="20"/>
      <c r="AF1219" s="27"/>
      <c r="AG1219" s="21" t="n">
        <f aca="false">IF(OR(AE1219="",AE1219=0),0,AE1219*IF(U1219="",0,IF(U1219&gt;1,U1219/100,U1219)))</f>
        <v>0</v>
      </c>
      <c r="AH1219" s="21" t="n">
        <f aca="false">IF(OR(AE1219="",AE1219=0),0,AE1219*IF(X1219="",0,IF(X1219&gt;1,X1219/100,X1219)))</f>
        <v>0</v>
      </c>
      <c r="AI1219" s="21" t="n">
        <f aca="false">IF(OR(AE1219="",AE1219=0),0,AE1219*IF(AA1219="",0,IF(AA1219&gt;1,AA1219/100,AA1219)))</f>
        <v>0</v>
      </c>
      <c r="AJ1219" s="21" t="n">
        <f aca="false">AG1219+AH1219+AI1219</f>
        <v>0</v>
      </c>
      <c r="AK1219" s="21" t="n">
        <f aca="false">IF(OR(AE1219="",AE1219=0),0,AE1219-AJ1219)</f>
        <v>0</v>
      </c>
      <c r="AL1219" s="19" t="str">
        <f aca="false">IF(AD1219="","",AD1219-AK1219)</f>
        <v/>
      </c>
      <c r="AM1219" s="26" t="str">
        <f aca="false">IF(C1219="","","Waiting for payment")</f>
        <v/>
      </c>
      <c r="AN1219" s="27"/>
      <c r="AO1219" s="27"/>
      <c r="AP1219" s="35" t="str">
        <f aca="false">IF(OR(C1219="",I1219="",K1219=""),"",IF(K1219="Monthly",EDATE(C1219,ROUND(I1219*SETTINGS!$I$8,0)),WORKDAY(C1219,ROUND(I1219*SETTINGS!$I$8,0))))</f>
        <v/>
      </c>
      <c r="AQ1219" s="26" t="str">
        <f aca="true">IF(C1219="","",IF(AND(AP1219&lt;&gt;"",TODAY()&gt;=AP1219),"Refi Ready",IF(TODAY()-C1219&gt;=SETTINGS!$I$11,"Prospecting","Performing")))</f>
        <v/>
      </c>
      <c r="AR1219" s="35" t="str">
        <f aca="false">IF(OR(C1219="",I1219="",K1219=""),"",IF(K1219="Monthly",EDATE(C1219,I1219),WORKDAY(C1219,I1219)))</f>
        <v/>
      </c>
      <c r="AS1219" s="28"/>
      <c r="AT1219" s="36" t="str">
        <f aca="true">IF(C1219="","",IF(AM1219="Clawed Back","CLAWED",IF(TODAY()&lt;=C1219+SETTINGS!$I$2,"⚠ AT RISK","SAFE")))</f>
        <v/>
      </c>
      <c r="AU1219" s="28"/>
      <c r="AW1219" s="24" t="n">
        <f aca="false">AW1218+IF(AND(C1219&lt;&gt;"",AO1219&lt;&gt;"",OR('REP COMMISSION'!$B$3="",T1219='REP COMMISSION'!$B$3,W1219='REP COMMISSION'!$B$3,Z1219='REP COMMISSION'!$B$3)),1,0)</f>
        <v>0</v>
      </c>
      <c r="AX1219" s="24" t="n">
        <f aca="false">AX1218+IF(AND(C1219&lt;&gt;"",OR(F1219="LOC - INITIAL",F1219="CONSOLIDATION - UPFRONT COMM",F1219="REVERSE - TOTAL FUNDING")),1,0)</f>
        <v>0</v>
      </c>
    </row>
    <row r="1220" customFormat="false" ht="15" hidden="false" customHeight="false" outlineLevel="0" collapsed="false">
      <c r="A1220" s="8" t="str">
        <f aca="false">IF(C1220&lt;&gt;"","F27-"&amp;COUNT($C$4:C1220),"")</f>
        <v/>
      </c>
      <c r="B1220" s="9" t="str">
        <f aca="false">IF(OR(F1220="LOC - INITIAL",F1220="CONSOLIDATION - UPFRONT COMM",F1220="REVERSE - TOTAL FUNDING"),A1220,"")</f>
        <v/>
      </c>
      <c r="C1220" s="10"/>
      <c r="D1220" s="11"/>
      <c r="E1220" s="11"/>
      <c r="F1220" s="11"/>
      <c r="G1220" s="12"/>
      <c r="H1220" s="13"/>
      <c r="I1220" s="11"/>
      <c r="J1220" s="14" t="str">
        <f aca="false">IF(AND(G1220&lt;&gt;"",H1220&lt;&gt;""),G1220*H1220,"")</f>
        <v/>
      </c>
      <c r="K1220" s="11"/>
      <c r="L1220" s="15"/>
      <c r="M1220" s="15"/>
      <c r="N1220" s="14" t="n">
        <f aca="false">IF(OR(G1220="",M1220=""),0,IF(M1220&gt;100,M1220,G1220*IF(M1220&gt;1,M1220/100,M1220)))</f>
        <v>0</v>
      </c>
      <c r="O1220" s="14" t="str">
        <f aca="false">IF(G1220="","",G1220*IF(L1220="",0,IF(L1220&gt;1,L1220/100,L1220))+N1220)</f>
        <v/>
      </c>
      <c r="P1220" s="11"/>
      <c r="Q1220" s="16" t="str">
        <f aca="false">IF(P1220="","",IFERROR(VLOOKUP(P1220,PARTNERS!$A$2:$B$30,2,0),""))</f>
        <v/>
      </c>
      <c r="R1220" s="17" t="str">
        <f aca="false">IF(O1220="","",IF(OR(P1220="",Q1220=""),0,(O1220-N1220)*IF(Q1220&gt;1,Q1220/100,Q1220)))</f>
        <v/>
      </c>
      <c r="S1220" s="14" t="str">
        <f aca="false">IF(O1220="","",O1220-R1220)</f>
        <v/>
      </c>
      <c r="T1220" s="11"/>
      <c r="U1220" s="18" t="str">
        <f aca="false">IF(T1220="","",IFERROR(VLOOKUP(T1220,REPS!$A$2:$D$40,2,0),""))</f>
        <v/>
      </c>
      <c r="V1220" s="14" t="str">
        <f aca="false">IF(O1220="","",IF(U1220="",0,O1220*IF(U1220&gt;1,U1220/100,U1220)))</f>
        <v/>
      </c>
      <c r="W1220" s="11"/>
      <c r="X1220" s="18" t="str">
        <f aca="false">IF(W1220="","",IFERROR(VLOOKUP(W1220,REPS!$A$2:$D$40,3,0),""))</f>
        <v/>
      </c>
      <c r="Y1220" s="14" t="str">
        <f aca="false">IF(O1220="","",IF(X1220="",0,O1220*IF(X1220&gt;1,X1220/100,X1220)))</f>
        <v/>
      </c>
      <c r="Z1220" s="11"/>
      <c r="AA1220" s="18" t="str">
        <f aca="false">IF(Z1220="","",IFERROR(VLOOKUP(Z1220,REPS!$A$2:$D$40,4,0),""))</f>
        <v/>
      </c>
      <c r="AB1220" s="14" t="str">
        <f aca="false">IF(O1220="","",IF(AA1220="",0,O1220*IF(AA1220&gt;1,AA1220/100,AA1220)))</f>
        <v/>
      </c>
      <c r="AC1220" s="14" t="str">
        <f aca="false">IF(O1220="","",V1220+Y1220+AB1220)</f>
        <v/>
      </c>
      <c r="AD1220" s="19" t="str">
        <f aca="false">IF(O1220="","",O1220-R1220-AC1220)</f>
        <v/>
      </c>
      <c r="AE1220" s="20"/>
      <c r="AF1220" s="10"/>
      <c r="AG1220" s="21" t="n">
        <f aca="false">IF(OR(AE1220="",AE1220=0),0,AE1220*IF(U1220="",0,IF(U1220&gt;1,U1220/100,U1220)))</f>
        <v>0</v>
      </c>
      <c r="AH1220" s="21" t="n">
        <f aca="false">IF(OR(AE1220="",AE1220=0),0,AE1220*IF(X1220="",0,IF(X1220&gt;1,X1220/100,X1220)))</f>
        <v>0</v>
      </c>
      <c r="AI1220" s="21" t="n">
        <f aca="false">IF(OR(AE1220="",AE1220=0),0,AE1220*IF(AA1220="",0,IF(AA1220&gt;1,AA1220/100,AA1220)))</f>
        <v>0</v>
      </c>
      <c r="AJ1220" s="21" t="n">
        <f aca="false">AG1220+AH1220+AI1220</f>
        <v>0</v>
      </c>
      <c r="AK1220" s="21" t="n">
        <f aca="false">IF(OR(AE1220="",AE1220=0),0,AE1220-AJ1220)</f>
        <v>0</v>
      </c>
      <c r="AL1220" s="19" t="str">
        <f aca="false">IF(AD1220="","",AD1220-AK1220)</f>
        <v/>
      </c>
      <c r="AM1220" s="9" t="str">
        <f aca="false">IF(C1220="","","Waiting for payment")</f>
        <v/>
      </c>
      <c r="AN1220" s="10"/>
      <c r="AO1220" s="10"/>
      <c r="AP1220" s="22" t="str">
        <f aca="false">IF(OR(C1220="",I1220="",K1220=""),"",IF(K1220="Monthly",EDATE(C1220,ROUND(I1220*SETTINGS!$I$8,0)),WORKDAY(C1220,ROUND(I1220*SETTINGS!$I$8,0))))</f>
        <v/>
      </c>
      <c r="AQ1220" s="9" t="str">
        <f aca="true">IF(C1220="","",IF(AND(AP1220&lt;&gt;"",TODAY()&gt;=AP1220),"Refi Ready",IF(TODAY()-C1220&gt;=SETTINGS!$I$11,"Prospecting","Performing")))</f>
        <v/>
      </c>
      <c r="AR1220" s="22" t="str">
        <f aca="false">IF(OR(C1220="",I1220="",K1220=""),"",IF(K1220="Monthly",EDATE(C1220,I1220),WORKDAY(C1220,I1220)))</f>
        <v/>
      </c>
      <c r="AS1220" s="11"/>
      <c r="AT1220" s="23" t="str">
        <f aca="true">IF(C1220="","",IF(AM1220="Clawed Back","CLAWED",IF(TODAY()&lt;=C1220+SETTINGS!$I$2,"⚠ AT RISK","SAFE")))</f>
        <v/>
      </c>
      <c r="AU1220" s="11"/>
      <c r="AW1220" s="24" t="n">
        <f aca="false">AW1219+IF(AND(C1220&lt;&gt;"",AO1220&lt;&gt;"",OR('REP COMMISSION'!$B$3="",T1220='REP COMMISSION'!$B$3,W1220='REP COMMISSION'!$B$3,Z1220='REP COMMISSION'!$B$3)),1,0)</f>
        <v>0</v>
      </c>
      <c r="AX1220" s="24" t="n">
        <f aca="false">AX1219+IF(AND(C1220&lt;&gt;"",OR(F1220="LOC - INITIAL",F1220="CONSOLIDATION - UPFRONT COMM",F1220="REVERSE - TOTAL FUNDING")),1,0)</f>
        <v>0</v>
      </c>
    </row>
    <row r="1221" customFormat="false" ht="15" hidden="false" customHeight="false" outlineLevel="0" collapsed="false">
      <c r="A1221" s="25" t="str">
        <f aca="false">IF(C1221&lt;&gt;"","F27-"&amp;COUNT($C$4:C1221),"")</f>
        <v/>
      </c>
      <c r="B1221" s="26" t="str">
        <f aca="false">IF(OR(F1221="LOC - INITIAL",F1221="CONSOLIDATION - UPFRONT COMM",F1221="REVERSE - TOTAL FUNDING"),A1221,"")</f>
        <v/>
      </c>
      <c r="C1221" s="27"/>
      <c r="D1221" s="28"/>
      <c r="E1221" s="28"/>
      <c r="F1221" s="28"/>
      <c r="G1221" s="29"/>
      <c r="H1221" s="30"/>
      <c r="I1221" s="28"/>
      <c r="J1221" s="31" t="str">
        <f aca="false">IF(AND(G1221&lt;&gt;"",H1221&lt;&gt;""),G1221*H1221,"")</f>
        <v/>
      </c>
      <c r="K1221" s="28"/>
      <c r="L1221" s="32"/>
      <c r="M1221" s="32"/>
      <c r="N1221" s="31" t="n">
        <f aca="false">IF(OR(G1221="",M1221=""),0,IF(M1221&gt;100,M1221,G1221*IF(M1221&gt;1,M1221/100,M1221)))</f>
        <v>0</v>
      </c>
      <c r="O1221" s="31" t="str">
        <f aca="false">IF(G1221="","",G1221*IF(L1221="",0,IF(L1221&gt;1,L1221/100,L1221))+N1221)</f>
        <v/>
      </c>
      <c r="P1221" s="28"/>
      <c r="Q1221" s="33" t="str">
        <f aca="false">IF(P1221="","",IFERROR(VLOOKUP(P1221,PARTNERS!$A$2:$B$30,2,0),""))</f>
        <v/>
      </c>
      <c r="R1221" s="17" t="str">
        <f aca="false">IF(O1221="","",IF(OR(P1221="",Q1221=""),0,(O1221-N1221)*IF(Q1221&gt;1,Q1221/100,Q1221)))</f>
        <v/>
      </c>
      <c r="S1221" s="31" t="str">
        <f aca="false">IF(O1221="","",O1221-R1221)</f>
        <v/>
      </c>
      <c r="T1221" s="28"/>
      <c r="U1221" s="34" t="str">
        <f aca="false">IF(T1221="","",IFERROR(VLOOKUP(T1221,REPS!$A$2:$D$40,2,0),""))</f>
        <v/>
      </c>
      <c r="V1221" s="31" t="str">
        <f aca="false">IF(O1221="","",IF(U1221="",0,O1221*IF(U1221&gt;1,U1221/100,U1221)))</f>
        <v/>
      </c>
      <c r="W1221" s="28"/>
      <c r="X1221" s="34" t="str">
        <f aca="false">IF(W1221="","",IFERROR(VLOOKUP(W1221,REPS!$A$2:$D$40,3,0),""))</f>
        <v/>
      </c>
      <c r="Y1221" s="31" t="str">
        <f aca="false">IF(O1221="","",IF(X1221="",0,O1221*IF(X1221&gt;1,X1221/100,X1221)))</f>
        <v/>
      </c>
      <c r="Z1221" s="28"/>
      <c r="AA1221" s="34" t="str">
        <f aca="false">IF(Z1221="","",IFERROR(VLOOKUP(Z1221,REPS!$A$2:$D$40,4,0),""))</f>
        <v/>
      </c>
      <c r="AB1221" s="31" t="str">
        <f aca="false">IF(O1221="","",IF(AA1221="",0,O1221*IF(AA1221&gt;1,AA1221/100,AA1221)))</f>
        <v/>
      </c>
      <c r="AC1221" s="31" t="str">
        <f aca="false">IF(O1221="","",V1221+Y1221+AB1221)</f>
        <v/>
      </c>
      <c r="AD1221" s="19" t="str">
        <f aca="false">IF(O1221="","",O1221-R1221-AC1221)</f>
        <v/>
      </c>
      <c r="AE1221" s="20"/>
      <c r="AF1221" s="27"/>
      <c r="AG1221" s="21" t="n">
        <f aca="false">IF(OR(AE1221="",AE1221=0),0,AE1221*IF(U1221="",0,IF(U1221&gt;1,U1221/100,U1221)))</f>
        <v>0</v>
      </c>
      <c r="AH1221" s="21" t="n">
        <f aca="false">IF(OR(AE1221="",AE1221=0),0,AE1221*IF(X1221="",0,IF(X1221&gt;1,X1221/100,X1221)))</f>
        <v>0</v>
      </c>
      <c r="AI1221" s="21" t="n">
        <f aca="false">IF(OR(AE1221="",AE1221=0),0,AE1221*IF(AA1221="",0,IF(AA1221&gt;1,AA1221/100,AA1221)))</f>
        <v>0</v>
      </c>
      <c r="AJ1221" s="21" t="n">
        <f aca="false">AG1221+AH1221+AI1221</f>
        <v>0</v>
      </c>
      <c r="AK1221" s="21" t="n">
        <f aca="false">IF(OR(AE1221="",AE1221=0),0,AE1221-AJ1221)</f>
        <v>0</v>
      </c>
      <c r="AL1221" s="19" t="str">
        <f aca="false">IF(AD1221="","",AD1221-AK1221)</f>
        <v/>
      </c>
      <c r="AM1221" s="26" t="str">
        <f aca="false">IF(C1221="","","Waiting for payment")</f>
        <v/>
      </c>
      <c r="AN1221" s="27"/>
      <c r="AO1221" s="27"/>
      <c r="AP1221" s="35" t="str">
        <f aca="false">IF(OR(C1221="",I1221="",K1221=""),"",IF(K1221="Monthly",EDATE(C1221,ROUND(I1221*SETTINGS!$I$8,0)),WORKDAY(C1221,ROUND(I1221*SETTINGS!$I$8,0))))</f>
        <v/>
      </c>
      <c r="AQ1221" s="26" t="str">
        <f aca="true">IF(C1221="","",IF(AND(AP1221&lt;&gt;"",TODAY()&gt;=AP1221),"Refi Ready",IF(TODAY()-C1221&gt;=SETTINGS!$I$11,"Prospecting","Performing")))</f>
        <v/>
      </c>
      <c r="AR1221" s="35" t="str">
        <f aca="false">IF(OR(C1221="",I1221="",K1221=""),"",IF(K1221="Monthly",EDATE(C1221,I1221),WORKDAY(C1221,I1221)))</f>
        <v/>
      </c>
      <c r="AS1221" s="28"/>
      <c r="AT1221" s="36" t="str">
        <f aca="true">IF(C1221="","",IF(AM1221="Clawed Back","CLAWED",IF(TODAY()&lt;=C1221+SETTINGS!$I$2,"⚠ AT RISK","SAFE")))</f>
        <v/>
      </c>
      <c r="AU1221" s="28"/>
      <c r="AW1221" s="24" t="n">
        <f aca="false">AW1220+IF(AND(C1221&lt;&gt;"",AO1221&lt;&gt;"",OR('REP COMMISSION'!$B$3="",T1221='REP COMMISSION'!$B$3,W1221='REP COMMISSION'!$B$3,Z1221='REP COMMISSION'!$B$3)),1,0)</f>
        <v>0</v>
      </c>
      <c r="AX1221" s="24" t="n">
        <f aca="false">AX1220+IF(AND(C1221&lt;&gt;"",OR(F1221="LOC - INITIAL",F1221="CONSOLIDATION - UPFRONT COMM",F1221="REVERSE - TOTAL FUNDING")),1,0)</f>
        <v>0</v>
      </c>
    </row>
    <row r="1222" customFormat="false" ht="15" hidden="false" customHeight="false" outlineLevel="0" collapsed="false">
      <c r="A1222" s="8" t="str">
        <f aca="false">IF(C1222&lt;&gt;"","F27-"&amp;COUNT($C$4:C1222),"")</f>
        <v/>
      </c>
      <c r="B1222" s="9" t="str">
        <f aca="false">IF(OR(F1222="LOC - INITIAL",F1222="CONSOLIDATION - UPFRONT COMM",F1222="REVERSE - TOTAL FUNDING"),A1222,"")</f>
        <v/>
      </c>
      <c r="C1222" s="10"/>
      <c r="D1222" s="11"/>
      <c r="E1222" s="11"/>
      <c r="F1222" s="11"/>
      <c r="G1222" s="12"/>
      <c r="H1222" s="13"/>
      <c r="I1222" s="11"/>
      <c r="J1222" s="14" t="str">
        <f aca="false">IF(AND(G1222&lt;&gt;"",H1222&lt;&gt;""),G1222*H1222,"")</f>
        <v/>
      </c>
      <c r="K1222" s="11"/>
      <c r="L1222" s="15"/>
      <c r="M1222" s="15"/>
      <c r="N1222" s="14" t="n">
        <f aca="false">IF(OR(G1222="",M1222=""),0,IF(M1222&gt;100,M1222,G1222*IF(M1222&gt;1,M1222/100,M1222)))</f>
        <v>0</v>
      </c>
      <c r="O1222" s="14" t="str">
        <f aca="false">IF(G1222="","",G1222*IF(L1222="",0,IF(L1222&gt;1,L1222/100,L1222))+N1222)</f>
        <v/>
      </c>
      <c r="P1222" s="11"/>
      <c r="Q1222" s="16" t="str">
        <f aca="false">IF(P1222="","",IFERROR(VLOOKUP(P1222,PARTNERS!$A$2:$B$30,2,0),""))</f>
        <v/>
      </c>
      <c r="R1222" s="17" t="str">
        <f aca="false">IF(O1222="","",IF(OR(P1222="",Q1222=""),0,(O1222-N1222)*IF(Q1222&gt;1,Q1222/100,Q1222)))</f>
        <v/>
      </c>
      <c r="S1222" s="14" t="str">
        <f aca="false">IF(O1222="","",O1222-R1222)</f>
        <v/>
      </c>
      <c r="T1222" s="11"/>
      <c r="U1222" s="18" t="str">
        <f aca="false">IF(T1222="","",IFERROR(VLOOKUP(T1222,REPS!$A$2:$D$40,2,0),""))</f>
        <v/>
      </c>
      <c r="V1222" s="14" t="str">
        <f aca="false">IF(O1222="","",IF(U1222="",0,O1222*IF(U1222&gt;1,U1222/100,U1222)))</f>
        <v/>
      </c>
      <c r="W1222" s="11"/>
      <c r="X1222" s="18" t="str">
        <f aca="false">IF(W1222="","",IFERROR(VLOOKUP(W1222,REPS!$A$2:$D$40,3,0),""))</f>
        <v/>
      </c>
      <c r="Y1222" s="14" t="str">
        <f aca="false">IF(O1222="","",IF(X1222="",0,O1222*IF(X1222&gt;1,X1222/100,X1222)))</f>
        <v/>
      </c>
      <c r="Z1222" s="11"/>
      <c r="AA1222" s="18" t="str">
        <f aca="false">IF(Z1222="","",IFERROR(VLOOKUP(Z1222,REPS!$A$2:$D$40,4,0),""))</f>
        <v/>
      </c>
      <c r="AB1222" s="14" t="str">
        <f aca="false">IF(O1222="","",IF(AA1222="",0,O1222*IF(AA1222&gt;1,AA1222/100,AA1222)))</f>
        <v/>
      </c>
      <c r="AC1222" s="14" t="str">
        <f aca="false">IF(O1222="","",V1222+Y1222+AB1222)</f>
        <v/>
      </c>
      <c r="AD1222" s="19" t="str">
        <f aca="false">IF(O1222="","",O1222-R1222-AC1222)</f>
        <v/>
      </c>
      <c r="AE1222" s="20"/>
      <c r="AF1222" s="10"/>
      <c r="AG1222" s="21" t="n">
        <f aca="false">IF(OR(AE1222="",AE1222=0),0,AE1222*IF(U1222="",0,IF(U1222&gt;1,U1222/100,U1222)))</f>
        <v>0</v>
      </c>
      <c r="AH1222" s="21" t="n">
        <f aca="false">IF(OR(AE1222="",AE1222=0),0,AE1222*IF(X1222="",0,IF(X1222&gt;1,X1222/100,X1222)))</f>
        <v>0</v>
      </c>
      <c r="AI1222" s="21" t="n">
        <f aca="false">IF(OR(AE1222="",AE1222=0),0,AE1222*IF(AA1222="",0,IF(AA1222&gt;1,AA1222/100,AA1222)))</f>
        <v>0</v>
      </c>
      <c r="AJ1222" s="21" t="n">
        <f aca="false">AG1222+AH1222+AI1222</f>
        <v>0</v>
      </c>
      <c r="AK1222" s="21" t="n">
        <f aca="false">IF(OR(AE1222="",AE1222=0),0,AE1222-AJ1222)</f>
        <v>0</v>
      </c>
      <c r="AL1222" s="19" t="str">
        <f aca="false">IF(AD1222="","",AD1222-AK1222)</f>
        <v/>
      </c>
      <c r="AM1222" s="9" t="str">
        <f aca="false">IF(C1222="","","Waiting for payment")</f>
        <v/>
      </c>
      <c r="AN1222" s="10"/>
      <c r="AO1222" s="10"/>
      <c r="AP1222" s="22" t="str">
        <f aca="false">IF(OR(C1222="",I1222="",K1222=""),"",IF(K1222="Monthly",EDATE(C1222,ROUND(I1222*SETTINGS!$I$8,0)),WORKDAY(C1222,ROUND(I1222*SETTINGS!$I$8,0))))</f>
        <v/>
      </c>
      <c r="AQ1222" s="9" t="str">
        <f aca="true">IF(C1222="","",IF(AND(AP1222&lt;&gt;"",TODAY()&gt;=AP1222),"Refi Ready",IF(TODAY()-C1222&gt;=SETTINGS!$I$11,"Prospecting","Performing")))</f>
        <v/>
      </c>
      <c r="AR1222" s="22" t="str">
        <f aca="false">IF(OR(C1222="",I1222="",K1222=""),"",IF(K1222="Monthly",EDATE(C1222,I1222),WORKDAY(C1222,I1222)))</f>
        <v/>
      </c>
      <c r="AS1222" s="11"/>
      <c r="AT1222" s="23" t="str">
        <f aca="true">IF(C1222="","",IF(AM1222="Clawed Back","CLAWED",IF(TODAY()&lt;=C1222+SETTINGS!$I$2,"⚠ AT RISK","SAFE")))</f>
        <v/>
      </c>
      <c r="AU1222" s="11"/>
      <c r="AW1222" s="24" t="n">
        <f aca="false">AW1221+IF(AND(C1222&lt;&gt;"",AO1222&lt;&gt;"",OR('REP COMMISSION'!$B$3="",T1222='REP COMMISSION'!$B$3,W1222='REP COMMISSION'!$B$3,Z1222='REP COMMISSION'!$B$3)),1,0)</f>
        <v>0</v>
      </c>
      <c r="AX1222" s="24" t="n">
        <f aca="false">AX1221+IF(AND(C1222&lt;&gt;"",OR(F1222="LOC - INITIAL",F1222="CONSOLIDATION - UPFRONT COMM",F1222="REVERSE - TOTAL FUNDING")),1,0)</f>
        <v>0</v>
      </c>
    </row>
    <row r="1223" customFormat="false" ht="15" hidden="false" customHeight="false" outlineLevel="0" collapsed="false">
      <c r="A1223" s="25" t="str">
        <f aca="false">IF(C1223&lt;&gt;"","F27-"&amp;COUNT($C$4:C1223),"")</f>
        <v/>
      </c>
      <c r="B1223" s="26" t="str">
        <f aca="false">IF(OR(F1223="LOC - INITIAL",F1223="CONSOLIDATION - UPFRONT COMM",F1223="REVERSE - TOTAL FUNDING"),A1223,"")</f>
        <v/>
      </c>
      <c r="C1223" s="27"/>
      <c r="D1223" s="28"/>
      <c r="E1223" s="28"/>
      <c r="F1223" s="28"/>
      <c r="G1223" s="29"/>
      <c r="H1223" s="30"/>
      <c r="I1223" s="28"/>
      <c r="J1223" s="31" t="str">
        <f aca="false">IF(AND(G1223&lt;&gt;"",H1223&lt;&gt;""),G1223*H1223,"")</f>
        <v/>
      </c>
      <c r="K1223" s="28"/>
      <c r="L1223" s="32"/>
      <c r="M1223" s="32"/>
      <c r="N1223" s="31" t="n">
        <f aca="false">IF(OR(G1223="",M1223=""),0,IF(M1223&gt;100,M1223,G1223*IF(M1223&gt;1,M1223/100,M1223)))</f>
        <v>0</v>
      </c>
      <c r="O1223" s="31" t="str">
        <f aca="false">IF(G1223="","",G1223*IF(L1223="",0,IF(L1223&gt;1,L1223/100,L1223))+N1223)</f>
        <v/>
      </c>
      <c r="P1223" s="28"/>
      <c r="Q1223" s="33" t="str">
        <f aca="false">IF(P1223="","",IFERROR(VLOOKUP(P1223,PARTNERS!$A$2:$B$30,2,0),""))</f>
        <v/>
      </c>
      <c r="R1223" s="17" t="str">
        <f aca="false">IF(O1223="","",IF(OR(P1223="",Q1223=""),0,(O1223-N1223)*IF(Q1223&gt;1,Q1223/100,Q1223)))</f>
        <v/>
      </c>
      <c r="S1223" s="31" t="str">
        <f aca="false">IF(O1223="","",O1223-R1223)</f>
        <v/>
      </c>
      <c r="T1223" s="28"/>
      <c r="U1223" s="34" t="str">
        <f aca="false">IF(T1223="","",IFERROR(VLOOKUP(T1223,REPS!$A$2:$D$40,2,0),""))</f>
        <v/>
      </c>
      <c r="V1223" s="31" t="str">
        <f aca="false">IF(O1223="","",IF(U1223="",0,O1223*IF(U1223&gt;1,U1223/100,U1223)))</f>
        <v/>
      </c>
      <c r="W1223" s="28"/>
      <c r="X1223" s="34" t="str">
        <f aca="false">IF(W1223="","",IFERROR(VLOOKUP(W1223,REPS!$A$2:$D$40,3,0),""))</f>
        <v/>
      </c>
      <c r="Y1223" s="31" t="str">
        <f aca="false">IF(O1223="","",IF(X1223="",0,O1223*IF(X1223&gt;1,X1223/100,X1223)))</f>
        <v/>
      </c>
      <c r="Z1223" s="28"/>
      <c r="AA1223" s="34" t="str">
        <f aca="false">IF(Z1223="","",IFERROR(VLOOKUP(Z1223,REPS!$A$2:$D$40,4,0),""))</f>
        <v/>
      </c>
      <c r="AB1223" s="31" t="str">
        <f aca="false">IF(O1223="","",IF(AA1223="",0,O1223*IF(AA1223&gt;1,AA1223/100,AA1223)))</f>
        <v/>
      </c>
      <c r="AC1223" s="31" t="str">
        <f aca="false">IF(O1223="","",V1223+Y1223+AB1223)</f>
        <v/>
      </c>
      <c r="AD1223" s="19" t="str">
        <f aca="false">IF(O1223="","",O1223-R1223-AC1223)</f>
        <v/>
      </c>
      <c r="AE1223" s="20"/>
      <c r="AF1223" s="27"/>
      <c r="AG1223" s="21" t="n">
        <f aca="false">IF(OR(AE1223="",AE1223=0),0,AE1223*IF(U1223="",0,IF(U1223&gt;1,U1223/100,U1223)))</f>
        <v>0</v>
      </c>
      <c r="AH1223" s="21" t="n">
        <f aca="false">IF(OR(AE1223="",AE1223=0),0,AE1223*IF(X1223="",0,IF(X1223&gt;1,X1223/100,X1223)))</f>
        <v>0</v>
      </c>
      <c r="AI1223" s="21" t="n">
        <f aca="false">IF(OR(AE1223="",AE1223=0),0,AE1223*IF(AA1223="",0,IF(AA1223&gt;1,AA1223/100,AA1223)))</f>
        <v>0</v>
      </c>
      <c r="AJ1223" s="21" t="n">
        <f aca="false">AG1223+AH1223+AI1223</f>
        <v>0</v>
      </c>
      <c r="AK1223" s="21" t="n">
        <f aca="false">IF(OR(AE1223="",AE1223=0),0,AE1223-AJ1223)</f>
        <v>0</v>
      </c>
      <c r="AL1223" s="19" t="str">
        <f aca="false">IF(AD1223="","",AD1223-AK1223)</f>
        <v/>
      </c>
      <c r="AM1223" s="26" t="str">
        <f aca="false">IF(C1223="","","Waiting for payment")</f>
        <v/>
      </c>
      <c r="AN1223" s="27"/>
      <c r="AO1223" s="27"/>
      <c r="AP1223" s="35" t="str">
        <f aca="false">IF(OR(C1223="",I1223="",K1223=""),"",IF(K1223="Monthly",EDATE(C1223,ROUND(I1223*SETTINGS!$I$8,0)),WORKDAY(C1223,ROUND(I1223*SETTINGS!$I$8,0))))</f>
        <v/>
      </c>
      <c r="AQ1223" s="26" t="str">
        <f aca="true">IF(C1223="","",IF(AND(AP1223&lt;&gt;"",TODAY()&gt;=AP1223),"Refi Ready",IF(TODAY()-C1223&gt;=SETTINGS!$I$11,"Prospecting","Performing")))</f>
        <v/>
      </c>
      <c r="AR1223" s="35" t="str">
        <f aca="false">IF(OR(C1223="",I1223="",K1223=""),"",IF(K1223="Monthly",EDATE(C1223,I1223),WORKDAY(C1223,I1223)))</f>
        <v/>
      </c>
      <c r="AS1223" s="28"/>
      <c r="AT1223" s="36" t="str">
        <f aca="true">IF(C1223="","",IF(AM1223="Clawed Back","CLAWED",IF(TODAY()&lt;=C1223+SETTINGS!$I$2,"⚠ AT RISK","SAFE")))</f>
        <v/>
      </c>
      <c r="AU1223" s="28"/>
      <c r="AW1223" s="24" t="n">
        <f aca="false">AW1222+IF(AND(C1223&lt;&gt;"",AO1223&lt;&gt;"",OR('REP COMMISSION'!$B$3="",T1223='REP COMMISSION'!$B$3,W1223='REP COMMISSION'!$B$3,Z1223='REP COMMISSION'!$B$3)),1,0)</f>
        <v>0</v>
      </c>
      <c r="AX1223" s="24" t="n">
        <f aca="false">AX1222+IF(AND(C1223&lt;&gt;"",OR(F1223="LOC - INITIAL",F1223="CONSOLIDATION - UPFRONT COMM",F1223="REVERSE - TOTAL FUNDING")),1,0)</f>
        <v>0</v>
      </c>
    </row>
    <row r="1224" customFormat="false" ht="15" hidden="false" customHeight="false" outlineLevel="0" collapsed="false">
      <c r="A1224" s="8" t="str">
        <f aca="false">IF(C1224&lt;&gt;"","F27-"&amp;COUNT($C$4:C1224),"")</f>
        <v/>
      </c>
      <c r="B1224" s="9" t="str">
        <f aca="false">IF(OR(F1224="LOC - INITIAL",F1224="CONSOLIDATION - UPFRONT COMM",F1224="REVERSE - TOTAL FUNDING"),A1224,"")</f>
        <v/>
      </c>
      <c r="C1224" s="10"/>
      <c r="D1224" s="11"/>
      <c r="E1224" s="11"/>
      <c r="F1224" s="11"/>
      <c r="G1224" s="12"/>
      <c r="H1224" s="13"/>
      <c r="I1224" s="11"/>
      <c r="J1224" s="14" t="str">
        <f aca="false">IF(AND(G1224&lt;&gt;"",H1224&lt;&gt;""),G1224*H1224,"")</f>
        <v/>
      </c>
      <c r="K1224" s="11"/>
      <c r="L1224" s="15"/>
      <c r="M1224" s="15"/>
      <c r="N1224" s="14" t="n">
        <f aca="false">IF(OR(G1224="",M1224=""),0,IF(M1224&gt;100,M1224,G1224*IF(M1224&gt;1,M1224/100,M1224)))</f>
        <v>0</v>
      </c>
      <c r="O1224" s="14" t="str">
        <f aca="false">IF(G1224="","",G1224*IF(L1224="",0,IF(L1224&gt;1,L1224/100,L1224))+N1224)</f>
        <v/>
      </c>
      <c r="P1224" s="11"/>
      <c r="Q1224" s="16" t="str">
        <f aca="false">IF(P1224="","",IFERROR(VLOOKUP(P1224,PARTNERS!$A$2:$B$30,2,0),""))</f>
        <v/>
      </c>
      <c r="R1224" s="17" t="str">
        <f aca="false">IF(O1224="","",IF(OR(P1224="",Q1224=""),0,(O1224-N1224)*IF(Q1224&gt;1,Q1224/100,Q1224)))</f>
        <v/>
      </c>
      <c r="S1224" s="14" t="str">
        <f aca="false">IF(O1224="","",O1224-R1224)</f>
        <v/>
      </c>
      <c r="T1224" s="11"/>
      <c r="U1224" s="18" t="str">
        <f aca="false">IF(T1224="","",IFERROR(VLOOKUP(T1224,REPS!$A$2:$D$40,2,0),""))</f>
        <v/>
      </c>
      <c r="V1224" s="14" t="str">
        <f aca="false">IF(O1224="","",IF(U1224="",0,O1224*IF(U1224&gt;1,U1224/100,U1224)))</f>
        <v/>
      </c>
      <c r="W1224" s="11"/>
      <c r="X1224" s="18" t="str">
        <f aca="false">IF(W1224="","",IFERROR(VLOOKUP(W1224,REPS!$A$2:$D$40,3,0),""))</f>
        <v/>
      </c>
      <c r="Y1224" s="14" t="str">
        <f aca="false">IF(O1224="","",IF(X1224="",0,O1224*IF(X1224&gt;1,X1224/100,X1224)))</f>
        <v/>
      </c>
      <c r="Z1224" s="11"/>
      <c r="AA1224" s="18" t="str">
        <f aca="false">IF(Z1224="","",IFERROR(VLOOKUP(Z1224,REPS!$A$2:$D$40,4,0),""))</f>
        <v/>
      </c>
      <c r="AB1224" s="14" t="str">
        <f aca="false">IF(O1224="","",IF(AA1224="",0,O1224*IF(AA1224&gt;1,AA1224/100,AA1224)))</f>
        <v/>
      </c>
      <c r="AC1224" s="14" t="str">
        <f aca="false">IF(O1224="","",V1224+Y1224+AB1224)</f>
        <v/>
      </c>
      <c r="AD1224" s="19" t="str">
        <f aca="false">IF(O1224="","",O1224-R1224-AC1224)</f>
        <v/>
      </c>
      <c r="AE1224" s="20"/>
      <c r="AF1224" s="10"/>
      <c r="AG1224" s="21" t="n">
        <f aca="false">IF(OR(AE1224="",AE1224=0),0,AE1224*IF(U1224="",0,IF(U1224&gt;1,U1224/100,U1224)))</f>
        <v>0</v>
      </c>
      <c r="AH1224" s="21" t="n">
        <f aca="false">IF(OR(AE1224="",AE1224=0),0,AE1224*IF(X1224="",0,IF(X1224&gt;1,X1224/100,X1224)))</f>
        <v>0</v>
      </c>
      <c r="AI1224" s="21" t="n">
        <f aca="false">IF(OR(AE1224="",AE1224=0),0,AE1224*IF(AA1224="",0,IF(AA1224&gt;1,AA1224/100,AA1224)))</f>
        <v>0</v>
      </c>
      <c r="AJ1224" s="21" t="n">
        <f aca="false">AG1224+AH1224+AI1224</f>
        <v>0</v>
      </c>
      <c r="AK1224" s="21" t="n">
        <f aca="false">IF(OR(AE1224="",AE1224=0),0,AE1224-AJ1224)</f>
        <v>0</v>
      </c>
      <c r="AL1224" s="19" t="str">
        <f aca="false">IF(AD1224="","",AD1224-AK1224)</f>
        <v/>
      </c>
      <c r="AM1224" s="9" t="str">
        <f aca="false">IF(C1224="","","Waiting for payment")</f>
        <v/>
      </c>
      <c r="AN1224" s="10"/>
      <c r="AO1224" s="10"/>
      <c r="AP1224" s="22" t="str">
        <f aca="false">IF(OR(C1224="",I1224="",K1224=""),"",IF(K1224="Monthly",EDATE(C1224,ROUND(I1224*SETTINGS!$I$8,0)),WORKDAY(C1224,ROUND(I1224*SETTINGS!$I$8,0))))</f>
        <v/>
      </c>
      <c r="AQ1224" s="9" t="str">
        <f aca="true">IF(C1224="","",IF(AND(AP1224&lt;&gt;"",TODAY()&gt;=AP1224),"Refi Ready",IF(TODAY()-C1224&gt;=SETTINGS!$I$11,"Prospecting","Performing")))</f>
        <v/>
      </c>
      <c r="AR1224" s="22" t="str">
        <f aca="false">IF(OR(C1224="",I1224="",K1224=""),"",IF(K1224="Monthly",EDATE(C1224,I1224),WORKDAY(C1224,I1224)))</f>
        <v/>
      </c>
      <c r="AS1224" s="11"/>
      <c r="AT1224" s="23" t="str">
        <f aca="true">IF(C1224="","",IF(AM1224="Clawed Back","CLAWED",IF(TODAY()&lt;=C1224+SETTINGS!$I$2,"⚠ AT RISK","SAFE")))</f>
        <v/>
      </c>
      <c r="AU1224" s="11"/>
      <c r="AW1224" s="24" t="n">
        <f aca="false">AW1223+IF(AND(C1224&lt;&gt;"",AO1224&lt;&gt;"",OR('REP COMMISSION'!$B$3="",T1224='REP COMMISSION'!$B$3,W1224='REP COMMISSION'!$B$3,Z1224='REP COMMISSION'!$B$3)),1,0)</f>
        <v>0</v>
      </c>
      <c r="AX1224" s="24" t="n">
        <f aca="false">AX1223+IF(AND(C1224&lt;&gt;"",OR(F1224="LOC - INITIAL",F1224="CONSOLIDATION - UPFRONT COMM",F1224="REVERSE - TOTAL FUNDING")),1,0)</f>
        <v>0</v>
      </c>
    </row>
    <row r="1225" customFormat="false" ht="15" hidden="false" customHeight="false" outlineLevel="0" collapsed="false">
      <c r="A1225" s="25" t="str">
        <f aca="false">IF(C1225&lt;&gt;"","F27-"&amp;COUNT($C$4:C1225),"")</f>
        <v/>
      </c>
      <c r="B1225" s="26" t="str">
        <f aca="false">IF(OR(F1225="LOC - INITIAL",F1225="CONSOLIDATION - UPFRONT COMM",F1225="REVERSE - TOTAL FUNDING"),A1225,"")</f>
        <v/>
      </c>
      <c r="C1225" s="27"/>
      <c r="D1225" s="28"/>
      <c r="E1225" s="28"/>
      <c r="F1225" s="28"/>
      <c r="G1225" s="29"/>
      <c r="H1225" s="30"/>
      <c r="I1225" s="28"/>
      <c r="J1225" s="31" t="str">
        <f aca="false">IF(AND(G1225&lt;&gt;"",H1225&lt;&gt;""),G1225*H1225,"")</f>
        <v/>
      </c>
      <c r="K1225" s="28"/>
      <c r="L1225" s="32"/>
      <c r="M1225" s="32"/>
      <c r="N1225" s="31" t="n">
        <f aca="false">IF(OR(G1225="",M1225=""),0,IF(M1225&gt;100,M1225,G1225*IF(M1225&gt;1,M1225/100,M1225)))</f>
        <v>0</v>
      </c>
      <c r="O1225" s="31" t="str">
        <f aca="false">IF(G1225="","",G1225*IF(L1225="",0,IF(L1225&gt;1,L1225/100,L1225))+N1225)</f>
        <v/>
      </c>
      <c r="P1225" s="28"/>
      <c r="Q1225" s="33" t="str">
        <f aca="false">IF(P1225="","",IFERROR(VLOOKUP(P1225,PARTNERS!$A$2:$B$30,2,0),""))</f>
        <v/>
      </c>
      <c r="R1225" s="17" t="str">
        <f aca="false">IF(O1225="","",IF(OR(P1225="",Q1225=""),0,(O1225-N1225)*IF(Q1225&gt;1,Q1225/100,Q1225)))</f>
        <v/>
      </c>
      <c r="S1225" s="31" t="str">
        <f aca="false">IF(O1225="","",O1225-R1225)</f>
        <v/>
      </c>
      <c r="T1225" s="28"/>
      <c r="U1225" s="34" t="str">
        <f aca="false">IF(T1225="","",IFERROR(VLOOKUP(T1225,REPS!$A$2:$D$40,2,0),""))</f>
        <v/>
      </c>
      <c r="V1225" s="31" t="str">
        <f aca="false">IF(O1225="","",IF(U1225="",0,O1225*IF(U1225&gt;1,U1225/100,U1225)))</f>
        <v/>
      </c>
      <c r="W1225" s="28"/>
      <c r="X1225" s="34" t="str">
        <f aca="false">IF(W1225="","",IFERROR(VLOOKUP(W1225,REPS!$A$2:$D$40,3,0),""))</f>
        <v/>
      </c>
      <c r="Y1225" s="31" t="str">
        <f aca="false">IF(O1225="","",IF(X1225="",0,O1225*IF(X1225&gt;1,X1225/100,X1225)))</f>
        <v/>
      </c>
      <c r="Z1225" s="28"/>
      <c r="AA1225" s="34" t="str">
        <f aca="false">IF(Z1225="","",IFERROR(VLOOKUP(Z1225,REPS!$A$2:$D$40,4,0),""))</f>
        <v/>
      </c>
      <c r="AB1225" s="31" t="str">
        <f aca="false">IF(O1225="","",IF(AA1225="",0,O1225*IF(AA1225&gt;1,AA1225/100,AA1225)))</f>
        <v/>
      </c>
      <c r="AC1225" s="31" t="str">
        <f aca="false">IF(O1225="","",V1225+Y1225+AB1225)</f>
        <v/>
      </c>
      <c r="AD1225" s="19" t="str">
        <f aca="false">IF(O1225="","",O1225-R1225-AC1225)</f>
        <v/>
      </c>
      <c r="AE1225" s="20"/>
      <c r="AF1225" s="27"/>
      <c r="AG1225" s="21" t="n">
        <f aca="false">IF(OR(AE1225="",AE1225=0),0,AE1225*IF(U1225="",0,IF(U1225&gt;1,U1225/100,U1225)))</f>
        <v>0</v>
      </c>
      <c r="AH1225" s="21" t="n">
        <f aca="false">IF(OR(AE1225="",AE1225=0),0,AE1225*IF(X1225="",0,IF(X1225&gt;1,X1225/100,X1225)))</f>
        <v>0</v>
      </c>
      <c r="AI1225" s="21" t="n">
        <f aca="false">IF(OR(AE1225="",AE1225=0),0,AE1225*IF(AA1225="",0,IF(AA1225&gt;1,AA1225/100,AA1225)))</f>
        <v>0</v>
      </c>
      <c r="AJ1225" s="21" t="n">
        <f aca="false">AG1225+AH1225+AI1225</f>
        <v>0</v>
      </c>
      <c r="AK1225" s="21" t="n">
        <f aca="false">IF(OR(AE1225="",AE1225=0),0,AE1225-AJ1225)</f>
        <v>0</v>
      </c>
      <c r="AL1225" s="19" t="str">
        <f aca="false">IF(AD1225="","",AD1225-AK1225)</f>
        <v/>
      </c>
      <c r="AM1225" s="26" t="str">
        <f aca="false">IF(C1225="","","Waiting for payment")</f>
        <v/>
      </c>
      <c r="AN1225" s="27"/>
      <c r="AO1225" s="27"/>
      <c r="AP1225" s="35" t="str">
        <f aca="false">IF(OR(C1225="",I1225="",K1225=""),"",IF(K1225="Monthly",EDATE(C1225,ROUND(I1225*SETTINGS!$I$8,0)),WORKDAY(C1225,ROUND(I1225*SETTINGS!$I$8,0))))</f>
        <v/>
      </c>
      <c r="AQ1225" s="26" t="str">
        <f aca="true">IF(C1225="","",IF(AND(AP1225&lt;&gt;"",TODAY()&gt;=AP1225),"Refi Ready",IF(TODAY()-C1225&gt;=SETTINGS!$I$11,"Prospecting","Performing")))</f>
        <v/>
      </c>
      <c r="AR1225" s="35" t="str">
        <f aca="false">IF(OR(C1225="",I1225="",K1225=""),"",IF(K1225="Monthly",EDATE(C1225,I1225),WORKDAY(C1225,I1225)))</f>
        <v/>
      </c>
      <c r="AS1225" s="28"/>
      <c r="AT1225" s="36" t="str">
        <f aca="true">IF(C1225="","",IF(AM1225="Clawed Back","CLAWED",IF(TODAY()&lt;=C1225+SETTINGS!$I$2,"⚠ AT RISK","SAFE")))</f>
        <v/>
      </c>
      <c r="AU1225" s="28"/>
      <c r="AW1225" s="24" t="n">
        <f aca="false">AW1224+IF(AND(C1225&lt;&gt;"",AO1225&lt;&gt;"",OR('REP COMMISSION'!$B$3="",T1225='REP COMMISSION'!$B$3,W1225='REP COMMISSION'!$B$3,Z1225='REP COMMISSION'!$B$3)),1,0)</f>
        <v>0</v>
      </c>
      <c r="AX1225" s="24" t="n">
        <f aca="false">AX1224+IF(AND(C1225&lt;&gt;"",OR(F1225="LOC - INITIAL",F1225="CONSOLIDATION - UPFRONT COMM",F1225="REVERSE - TOTAL FUNDING")),1,0)</f>
        <v>0</v>
      </c>
    </row>
    <row r="1226" customFormat="false" ht="18" hidden="false" customHeight="true" outlineLevel="0" collapsed="false">
      <c r="A1226" s="37" t="s">
        <v>65</v>
      </c>
      <c r="B1226" s="38"/>
      <c r="C1226" s="38"/>
      <c r="D1226" s="37" t="str">
        <f aca="false">COUNT(C1126:C1225)&amp;" units"</f>
        <v>0 units</v>
      </c>
      <c r="E1226" s="38"/>
      <c r="F1226" s="38"/>
      <c r="G1226" s="39" t="n">
        <f aca="false">SUM(G1126:G1225)</f>
        <v>0</v>
      </c>
      <c r="H1226" s="38"/>
      <c r="I1226" s="38"/>
      <c r="J1226" s="38"/>
      <c r="K1226" s="38"/>
      <c r="L1226" s="38"/>
      <c r="M1226" s="38"/>
      <c r="N1226" s="39" t="n">
        <f aca="false">SUM(N1126:N1225)</f>
        <v>0</v>
      </c>
      <c r="O1226" s="39" t="n">
        <f aca="false">SUM(O1126:O1225)</f>
        <v>0</v>
      </c>
      <c r="P1226" s="38"/>
      <c r="Q1226" s="38"/>
      <c r="R1226" s="39" t="n">
        <f aca="false">SUM(R1126:R1225)</f>
        <v>0</v>
      </c>
      <c r="S1226" s="39" t="n">
        <f aca="false">SUM(S1126:S1225)</f>
        <v>0</v>
      </c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9" t="n">
        <f aca="false">SUM(AC1126:AC1225)</f>
        <v>0</v>
      </c>
      <c r="AD1226" s="39" t="n">
        <f aca="false">SUM(AD1126:AD1225)</f>
        <v>0</v>
      </c>
      <c r="AE1226" s="39" t="n">
        <f aca="false">SUM(AE1126:AE1225)</f>
        <v>0</v>
      </c>
      <c r="AF1226" s="38"/>
      <c r="AG1226" s="38"/>
      <c r="AH1226" s="38"/>
      <c r="AI1226" s="38"/>
      <c r="AJ1226" s="39" t="n">
        <f aca="false">SUM(AJ1126:AJ1225)</f>
        <v>0</v>
      </c>
      <c r="AK1226" s="39" t="n">
        <f aca="false">SUM(AK1126:AK1225)</f>
        <v>0</v>
      </c>
      <c r="AL1226" s="39" t="n">
        <f aca="false">SUM(AL1126:AL1225)</f>
        <v>0</v>
      </c>
      <c r="AM1226" s="38"/>
      <c r="AN1226" s="38"/>
      <c r="AO1226" s="38"/>
      <c r="AP1226" s="38"/>
      <c r="AQ1226" s="38"/>
      <c r="AR1226" s="38"/>
      <c r="AS1226" s="38"/>
      <c r="AT1226" s="38"/>
      <c r="AU1226" s="38"/>
      <c r="AW1226" s="24" t="n">
        <f aca="false">AW1225</f>
        <v>0</v>
      </c>
      <c r="AX1226" s="24" t="n">
        <f aca="false">AX1225</f>
        <v>0</v>
      </c>
    </row>
  </sheetData>
  <sheetProtection sheet="true" formatColumns="false" formatRows="false" insertRows="false"/>
  <conditionalFormatting sqref="C4:C103">
    <cfRule type="expression" priority="2" aboveAverage="0" equalAverage="0" bottom="0" percent="0" rank="0" text="" dxfId="0">
      <formula>AND($C4&lt;&gt;"",OR(MONTH($C4)&lt;&gt;1,YEAR($C4)&lt;&gt;2027))</formula>
    </cfRule>
  </conditionalFormatting>
  <conditionalFormatting sqref="C106:C205">
    <cfRule type="expression" priority="3" aboveAverage="0" equalAverage="0" bottom="0" percent="0" rank="0" text="" dxfId="0">
      <formula>AND($C106&lt;&gt;"",OR(MONTH($C106)&lt;&gt;2,YEAR($C106)&lt;&gt;2027))</formula>
    </cfRule>
  </conditionalFormatting>
  <conditionalFormatting sqref="C208:C307">
    <cfRule type="expression" priority="4" aboveAverage="0" equalAverage="0" bottom="0" percent="0" rank="0" text="" dxfId="0">
      <formula>AND($C208&lt;&gt;"",OR(MONTH($C208)&lt;&gt;3,YEAR($C208)&lt;&gt;2027))</formula>
    </cfRule>
  </conditionalFormatting>
  <conditionalFormatting sqref="C310:C409">
    <cfRule type="expression" priority="5" aboveAverage="0" equalAverage="0" bottom="0" percent="0" rank="0" text="" dxfId="0">
      <formula>AND($C310&lt;&gt;"",OR(MONTH($C310)&lt;&gt;4,YEAR($C310)&lt;&gt;2027))</formula>
    </cfRule>
  </conditionalFormatting>
  <conditionalFormatting sqref="C412:C511">
    <cfRule type="expression" priority="6" aboveAverage="0" equalAverage="0" bottom="0" percent="0" rank="0" text="" dxfId="0">
      <formula>AND($C412&lt;&gt;"",OR(MONTH($C412)&lt;&gt;5,YEAR($C412)&lt;&gt;2027))</formula>
    </cfRule>
  </conditionalFormatting>
  <conditionalFormatting sqref="C514:C613">
    <cfRule type="expression" priority="7" aboveAverage="0" equalAverage="0" bottom="0" percent="0" rank="0" text="" dxfId="0">
      <formula>AND($C514&lt;&gt;"",OR(MONTH($C514)&lt;&gt;6,YEAR($C514)&lt;&gt;2027))</formula>
    </cfRule>
  </conditionalFormatting>
  <conditionalFormatting sqref="C616:C715">
    <cfRule type="expression" priority="8" aboveAverage="0" equalAverage="0" bottom="0" percent="0" rank="0" text="" dxfId="0">
      <formula>AND($C616&lt;&gt;"",OR(MONTH($C616)&lt;&gt;7,YEAR($C616)&lt;&gt;2027))</formula>
    </cfRule>
  </conditionalFormatting>
  <conditionalFormatting sqref="C718:C817">
    <cfRule type="expression" priority="9" aboveAverage="0" equalAverage="0" bottom="0" percent="0" rank="0" text="" dxfId="0">
      <formula>AND($C718&lt;&gt;"",OR(MONTH($C718)&lt;&gt;8,YEAR($C718)&lt;&gt;2027))</formula>
    </cfRule>
  </conditionalFormatting>
  <conditionalFormatting sqref="C820:C919">
    <cfRule type="expression" priority="10" aboveAverage="0" equalAverage="0" bottom="0" percent="0" rank="0" text="" dxfId="0">
      <formula>AND($C820&lt;&gt;"",OR(MONTH($C820)&lt;&gt;9,YEAR($C820)&lt;&gt;2027))</formula>
    </cfRule>
  </conditionalFormatting>
  <conditionalFormatting sqref="C922:C1021">
    <cfRule type="expression" priority="11" aboveAverage="0" equalAverage="0" bottom="0" percent="0" rank="0" text="" dxfId="0">
      <formula>AND($C922&lt;&gt;"",OR(MONTH($C922)&lt;&gt;10,YEAR($C922)&lt;&gt;2027))</formula>
    </cfRule>
  </conditionalFormatting>
  <conditionalFormatting sqref="C1024:C1123">
    <cfRule type="expression" priority="12" aboveAverage="0" equalAverage="0" bottom="0" percent="0" rank="0" text="" dxfId="0">
      <formula>AND($C1024&lt;&gt;"",OR(MONTH($C1024)&lt;&gt;11,YEAR($C1024)&lt;&gt;2027))</formula>
    </cfRule>
  </conditionalFormatting>
  <conditionalFormatting sqref="C1126:C1225">
    <cfRule type="expression" priority="13" aboveAverage="0" equalAverage="0" bottom="0" percent="0" rank="0" text="" dxfId="0">
      <formula>AND($C1126&lt;&gt;"",OR(MONTH($C1126)&lt;&gt;12,YEAR($C1126)&lt;&gt;2027))</formula>
    </cfRule>
  </conditionalFormatting>
  <conditionalFormatting sqref="AD4:AD1226">
    <cfRule type="cellIs" priority="14" operator="lessThan" aboveAverage="0" equalAverage="0" bottom="0" percent="0" rank="0" text="" dxfId="0">
      <formula>0</formula>
    </cfRule>
  </conditionalFormatting>
  <conditionalFormatting sqref="AL4:AL1226">
    <cfRule type="cellIs" priority="15" operator="lessThan" aboveAverage="0" equalAverage="0" bottom="0" percent="0" rank="0" text="" dxfId="0">
      <formula>0</formula>
    </cfRule>
  </conditionalFormatting>
  <conditionalFormatting sqref="AM4:AM1226">
    <cfRule type="expression" priority="16" aboveAverage="0" equalAverage="0" bottom="0" percent="0" rank="0" text="" dxfId="1">
      <formula>$AM4="YES - Paid In Full"</formula>
    </cfRule>
    <cfRule type="expression" priority="17" aboveAverage="0" equalAverage="0" bottom="0" percent="0" rank="0" text="" dxfId="2">
      <formula>$AM4="Clawed Back"</formula>
    </cfRule>
    <cfRule type="expression" priority="18" aboveAverage="0" equalAverage="0" bottom="0" percent="0" rank="0" text="" dxfId="3">
      <formula>$AM4="NO - Never got paid"</formula>
    </cfRule>
    <cfRule type="expression" priority="19" aboveAverage="0" equalAverage="0" bottom="0" percent="0" rank="0" text="" dxfId="0">
      <formula>AND($C4&lt;&gt;"",TODAY()-$C4&gt;SETTINGS!$I$5)</formula>
    </cfRule>
    <cfRule type="expression" priority="20" aboveAverage="0" equalAverage="0" bottom="0" percent="0" rank="0" text="" dxfId="4">
      <formula>AND($C4&lt;&gt;"",OR($AM4="Waiting for payment",$AM4="Invoice Sent",$AM4="Partially Paid",$AM4=""))</formula>
    </cfRule>
  </conditionalFormatting>
  <conditionalFormatting sqref="AP4:AP1226">
    <cfRule type="expression" priority="21" aboveAverage="0" equalAverage="0" bottom="0" percent="0" rank="0" text="" dxfId="4">
      <formula>AND($AP4&lt;&gt;"",TODAY()&gt;=$AP4,$AM4&lt;&gt;"Clawed Back",$AQ4&lt;&gt;"Refinanced",$AQ4&lt;&gt;"Default",$AQ4&lt;&gt;"Paid In Full")</formula>
    </cfRule>
  </conditionalFormatting>
  <conditionalFormatting sqref="AQ4:AQ1226">
    <cfRule type="expression" priority="22" aboveAverage="0" equalAverage="0" bottom="0" percent="0" rank="0" text="" dxfId="1">
      <formula>$AQ4="Performing"</formula>
    </cfRule>
    <cfRule type="expression" priority="23" aboveAverage="0" equalAverage="0" bottom="0" percent="0" rank="0" text="" dxfId="5">
      <formula>$AQ4="Refi Ready"</formula>
    </cfRule>
    <cfRule type="expression" priority="24" aboveAverage="0" equalAverage="0" bottom="0" percent="0" rank="0" text="" dxfId="0">
      <formula>$AQ4="Default"</formula>
    </cfRule>
    <cfRule type="expression" priority="25" aboveAverage="0" equalAverage="0" bottom="0" percent="0" rank="0" text="" dxfId="6">
      <formula>$AQ4="Refinanced"</formula>
    </cfRule>
    <cfRule type="expression" priority="26" aboveAverage="0" equalAverage="0" bottom="0" percent="0" rank="0" text="" dxfId="3">
      <formula>$AQ4="Paid In Full"</formula>
    </cfRule>
    <cfRule type="expression" priority="27" aboveAverage="0" equalAverage="0" bottom="0" percent="0" rank="0" text="" dxfId="4">
      <formula>$AQ4="Prospecting"</formula>
    </cfRule>
  </conditionalFormatting>
  <conditionalFormatting sqref="AT4:AT1226">
    <cfRule type="expression" priority="28" aboveAverage="0" equalAverage="0" bottom="0" percent="0" rank="0" text="" dxfId="7">
      <formula>$AT4="⚠ AT RISK"</formula>
    </cfRule>
  </conditionalFormatting>
  <conditionalFormatting sqref="AO4:AO1226">
    <cfRule type="expression" priority="29" aboveAverage="0" equalAverage="0" bottom="0" percent="0" rank="0" text="" dxfId="1">
      <formula>AND($C4&lt;&gt;"",$AO4&lt;&gt;"")</formula>
    </cfRule>
    <cfRule type="expression" priority="30" aboveAverage="0" equalAverage="0" bottom="0" percent="0" rank="0" text="" dxfId="4">
      <formula>AND($C4&lt;&gt;"",$AO4="",$AM4="YES - Paid In Full")</formula>
    </cfRule>
  </conditionalFormatting>
  <dataValidations count="9">
    <dataValidation allowBlank="true" errorStyle="stop" operator="between" showDropDown="false" showErrorMessage="false" showInputMessage="false" sqref="F3:F1226" type="list">
      <formula1>SETTINGS!$B$2:$B$100</formula1>
      <formula2>0</formula2>
    </dataValidation>
    <dataValidation allowBlank="true" errorStyle="stop" operator="between" showDropDown="false" showErrorMessage="false" showInputMessage="false" sqref="K3:K1226" type="list">
      <formula1>SETTINGS!$C$2:$C$100</formula1>
      <formula2>0</formula2>
    </dataValidation>
    <dataValidation allowBlank="true" errorStyle="stop" operator="between" showDropDown="false" showErrorMessage="false" showInputMessage="false" sqref="AM3:AM1226" type="list">
      <formula1>SETTINGS!$D$2:$D$100</formula1>
      <formula2>0</formula2>
    </dataValidation>
    <dataValidation allowBlank="true" errorStyle="stop" operator="between" showDropDown="false" showErrorMessage="false" showInputMessage="false" sqref="E3:E1226" type="list">
      <formula1>SETTINGS!$E$2:$E$100</formula1>
      <formula2>0</formula2>
    </dataValidation>
    <dataValidation allowBlank="true" errorStyle="stop" operator="between" showDropDown="false" showErrorMessage="false" showInputMessage="false" sqref="AQ3:AQ1226" type="list">
      <formula1>SETTINGS!$F$2:$F$100</formula1>
      <formula2>0</formula2>
    </dataValidation>
    <dataValidation allowBlank="true" errorStyle="stop" operator="between" showDropDown="false" showErrorMessage="false" showInputMessage="false" sqref="P3:P1226" type="list">
      <formula1>PARTNERS!$A$2:$A$30</formula1>
      <formula2>0</formula2>
    </dataValidation>
    <dataValidation allowBlank="true" errorStyle="stop" operator="between" showDropDown="false" showErrorMessage="false" showInputMessage="false" sqref="T3:T1226" type="list">
      <formula1>REPS!$O$2:$O$40</formula1>
      <formula2>0</formula2>
    </dataValidation>
    <dataValidation allowBlank="true" errorStyle="stop" operator="between" showDropDown="false" showErrorMessage="false" showInputMessage="false" sqref="W3:W1226" type="list">
      <formula1>REPS!$O$2:$O$40</formula1>
      <formula2>0</formula2>
    </dataValidation>
    <dataValidation allowBlank="true" errorStyle="stop" operator="between" showDropDown="false" showErrorMessage="false" showInputMessage="false" sqref="Z3:Z1226" type="list">
      <formula1>REPS!$O$2:$O$40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4" min="12" style="0" width="13"/>
  </cols>
  <sheetData>
    <row r="1" customFormat="false" ht="33.75" hidden="false" customHeight="true" outlineLevel="0" collapsed="false">
      <c r="A1" s="40" t="s">
        <v>82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Format="false" ht="15" hidden="false" customHeight="false" outlineLevel="0" collapsed="false">
      <c r="A2" s="41" t="s">
        <v>83</v>
      </c>
    </row>
    <row r="4" customFormat="false" ht="27.75" hidden="false" customHeight="true" outlineLevel="0" collapsed="false">
      <c r="A4" s="42" t="s">
        <v>84</v>
      </c>
      <c r="C4" s="42" t="s">
        <v>85</v>
      </c>
      <c r="E4" s="42" t="s">
        <v>86</v>
      </c>
      <c r="G4" s="42" t="s">
        <v>87</v>
      </c>
    </row>
    <row r="5" customFormat="false" ht="25.5" hidden="false" customHeight="true" outlineLevel="0" collapsed="false">
      <c r="A5" s="43" t="n">
        <f aca="false">'FUNDED DEALS'!G1+'FUNDED DEALS 2027'!G1</f>
        <v>0</v>
      </c>
      <c r="C5" s="43" t="n">
        <f aca="false">'FUNDED DEALS'!O1+'FUNDED DEALS 2027'!O1</f>
        <v>0</v>
      </c>
      <c r="E5" s="44" t="n">
        <f aca="false">'FUNDED DEALS'!AD1+'FUNDED DEALS 2027'!AD1</f>
        <v>0</v>
      </c>
      <c r="G5" s="45" t="n">
        <f aca="false">SUMIFS('FUNDED DEALS'!$O$4:$O$1226,'FUNDED DEALS'!$AM$4:$AM$1226,"&lt;&gt;YES - Paid In Full",'FUNDED DEALS'!$AM$4:$AM$1226,"&lt;&gt;Clawed Back",'FUNDED DEALS'!$AM$4:$AM$1226,"&lt;&gt;NO - Never got paid",'FUNDED DEALS'!$C$4:$C$1226,"&lt;&gt;")+SUMIFS('FUNDED DEALS 2027'!$O$4:$O$1226,'FUNDED DEALS 2027'!$AM$4:$AM$1226,"&lt;&gt;YES - Paid In Full",'FUNDED DEALS 2027'!$AM$4:$AM$1226,"&lt;&gt;Clawed Back",'FUNDED DEALS 2027'!$AM$4:$AM$1226,"&lt;&gt;NO - Never got paid",'FUNDED DEALS 2027'!$C$4:$C$1226,"&lt;&gt;")</f>
        <v>0</v>
      </c>
    </row>
    <row r="8" customFormat="false" ht="19.5" hidden="false" customHeight="true" outlineLevel="0" collapsed="false">
      <c r="A8" s="46" t="s">
        <v>88</v>
      </c>
      <c r="B8" s="46"/>
      <c r="C8" s="46"/>
      <c r="D8" s="46"/>
      <c r="E8" s="46"/>
      <c r="J8" s="46" t="s">
        <v>89</v>
      </c>
      <c r="K8" s="46"/>
      <c r="L8" s="46"/>
      <c r="M8" s="46"/>
      <c r="N8" s="46"/>
    </row>
    <row r="9" customFormat="false" ht="27.75" hidden="false" customHeight="true" outlineLevel="0" collapsed="false">
      <c r="A9" s="5" t="s">
        <v>90</v>
      </c>
      <c r="B9" s="5" t="s">
        <v>22</v>
      </c>
      <c r="C9" s="5" t="s">
        <v>25</v>
      </c>
      <c r="D9" s="5" t="s">
        <v>28</v>
      </c>
      <c r="E9" s="5" t="s">
        <v>91</v>
      </c>
      <c r="J9" s="5" t="s">
        <v>6</v>
      </c>
      <c r="K9" s="5" t="s">
        <v>92</v>
      </c>
      <c r="L9" s="5" t="s">
        <v>93</v>
      </c>
      <c r="M9" s="5" t="s">
        <v>94</v>
      </c>
      <c r="N9" s="5" t="s">
        <v>95</v>
      </c>
    </row>
    <row r="10" customFormat="false" ht="15" hidden="false" customHeight="false" outlineLevel="0" collapsed="false">
      <c r="A10" s="47" t="str">
        <f aca="false">IF(REPS!A2="","",REPS!A2)</f>
        <v>Leor</v>
      </c>
      <c r="B10" s="48" t="n">
        <f aca="false">IF($A10="","",SUMIFS('FUNDED DEALS'!$V$4:$V$1226,'FUNDED DEALS'!$T$4:$T$1226,$A10)+SUMIFS('FUNDED DEALS 2027'!$V$4:$V$1226,'FUNDED DEALS 2027'!$T$4:$T$1226,$A10))</f>
        <v>0</v>
      </c>
      <c r="C10" s="48" t="n">
        <f aca="false">IF($A10="","",SUMIFS('FUNDED DEALS'!$Y$4:$Y$1226,'FUNDED DEALS'!$W$4:$W$1226,$A10)+SUMIFS('FUNDED DEALS 2027'!$Y$4:$Y$1226,'FUNDED DEALS 2027'!$W$4:$W$1226,$A10))</f>
        <v>0</v>
      </c>
      <c r="D10" s="48" t="n">
        <f aca="false">IF($A10="","",SUMIFS('FUNDED DEALS'!$AB$4:$AB$1226,'FUNDED DEALS'!$Z$4:$Z$1226,$A10)+SUMIFS('FUNDED DEALS 2027'!$AB$4:$AB$1226,'FUNDED DEALS 2027'!$Z$4:$Z$1226,$A10))</f>
        <v>0</v>
      </c>
      <c r="E10" s="48" t="n">
        <f aca="false">IF($A10="","",B10+C10+D10)</f>
        <v>0</v>
      </c>
      <c r="J10" s="47" t="str">
        <f aca="false">IF(SETTINGS!B2="","",SETTINGS!B2)</f>
        <v>MCA</v>
      </c>
      <c r="K10" s="49" t="n">
        <f aca="false">IF($J10="","",COUNTIFS('FUNDED DEALS'!$F$4:$F$1226,$J10)+COUNTIFS('FUNDED DEALS 2027'!$F$4:$F$1226,$J10))</f>
        <v>0</v>
      </c>
      <c r="L10" s="48" t="n">
        <f aca="false">IF($J10="","",SUMIFS('FUNDED DEALS'!$G$4:$G$1226,'FUNDED DEALS'!$F$4:$F$1226,$J10)+SUMIFS('FUNDED DEALS 2027'!$G$4:$G$1226,'FUNDED DEALS 2027'!$F$4:$F$1226,$J10))</f>
        <v>0</v>
      </c>
      <c r="M10" s="48" t="n">
        <f aca="false">IF($J10="","",SUMIFS('FUNDED DEALS'!$O$4:$O$1226,'FUNDED DEALS'!$F$4:$F$1226,$J10)+SUMIFS('FUNDED DEALS 2027'!$O$4:$O$1226,'FUNDED DEALS 2027'!$F$4:$F$1226,$J10))</f>
        <v>0</v>
      </c>
      <c r="N10" s="48" t="n">
        <f aca="false">IF($J10="","",SUMIFS('FUNDED DEALS'!$AD$4:$AD$1226,'FUNDED DEALS'!$F$4:$F$1226,$J10)+SUMIFS('FUNDED DEALS 2027'!$AD$4:$AD$1226,'FUNDED DEALS 2027'!$F$4:$F$1226,$J10))</f>
        <v>0</v>
      </c>
    </row>
    <row r="11" customFormat="false" ht="15" hidden="false" customHeight="false" outlineLevel="0" collapsed="false">
      <c r="A11" s="50" t="str">
        <f aca="false">IF(REPS!A3="","",REPS!A3)</f>
        <v>Raymond Amato</v>
      </c>
      <c r="B11" s="51" t="n">
        <f aca="false">IF($A11="","",SUMIFS('FUNDED DEALS'!$V$4:$V$1226,'FUNDED DEALS'!$T$4:$T$1226,$A11)+SUMIFS('FUNDED DEALS 2027'!$V$4:$V$1226,'FUNDED DEALS 2027'!$T$4:$T$1226,$A11))</f>
        <v>0</v>
      </c>
      <c r="C11" s="51" t="n">
        <f aca="false">IF($A11="","",SUMIFS('FUNDED DEALS'!$Y$4:$Y$1226,'FUNDED DEALS'!$W$4:$W$1226,$A11)+SUMIFS('FUNDED DEALS 2027'!$Y$4:$Y$1226,'FUNDED DEALS 2027'!$W$4:$W$1226,$A11))</f>
        <v>0</v>
      </c>
      <c r="D11" s="51" t="n">
        <f aca="false">IF($A11="","",SUMIFS('FUNDED DEALS'!$AB$4:$AB$1226,'FUNDED DEALS'!$Z$4:$Z$1226,$A11)+SUMIFS('FUNDED DEALS 2027'!$AB$4:$AB$1226,'FUNDED DEALS 2027'!$Z$4:$Z$1226,$A11))</f>
        <v>0</v>
      </c>
      <c r="E11" s="51" t="n">
        <f aca="false">IF($A11="","",B11+C11+D11)</f>
        <v>0</v>
      </c>
      <c r="J11" s="50" t="str">
        <f aca="false">IF(SETTINGS!B3="","",SETTINGS!B3)</f>
        <v>LOC - INITIAL</v>
      </c>
      <c r="K11" s="52" t="n">
        <f aca="false">IF($J11="","",COUNTIFS('FUNDED DEALS'!$F$4:$F$1226,$J11)+COUNTIFS('FUNDED DEALS 2027'!$F$4:$F$1226,$J11))</f>
        <v>0</v>
      </c>
      <c r="L11" s="51" t="n">
        <f aca="false">IF($J11="","",SUMIFS('FUNDED DEALS'!$G$4:$G$1226,'FUNDED DEALS'!$F$4:$F$1226,$J11)+SUMIFS('FUNDED DEALS 2027'!$G$4:$G$1226,'FUNDED DEALS 2027'!$F$4:$F$1226,$J11))</f>
        <v>0</v>
      </c>
      <c r="M11" s="51" t="n">
        <f aca="false">IF($J11="","",SUMIFS('FUNDED DEALS'!$O$4:$O$1226,'FUNDED DEALS'!$F$4:$F$1226,$J11)+SUMIFS('FUNDED DEALS 2027'!$O$4:$O$1226,'FUNDED DEALS 2027'!$F$4:$F$1226,$J11))</f>
        <v>0</v>
      </c>
      <c r="N11" s="51" t="n">
        <f aca="false">IF($J11="","",SUMIFS('FUNDED DEALS'!$AD$4:$AD$1226,'FUNDED DEALS'!$F$4:$F$1226,$J11)+SUMIFS('FUNDED DEALS 2027'!$AD$4:$AD$1226,'FUNDED DEALS 2027'!$F$4:$F$1226,$J11))</f>
        <v>0</v>
      </c>
    </row>
    <row r="12" customFormat="false" ht="15" hidden="false" customHeight="false" outlineLevel="0" collapsed="false">
      <c r="A12" s="47" t="str">
        <f aca="false">IF(REPS!A4="","",REPS!A4)</f>
        <v>Azi Sharbani</v>
      </c>
      <c r="B12" s="48" t="n">
        <f aca="false">IF($A12="","",SUMIFS('FUNDED DEALS'!$V$4:$V$1226,'FUNDED DEALS'!$T$4:$T$1226,$A12)+SUMIFS('FUNDED DEALS 2027'!$V$4:$V$1226,'FUNDED DEALS 2027'!$T$4:$T$1226,$A12))</f>
        <v>0</v>
      </c>
      <c r="C12" s="48" t="n">
        <f aca="false">IF($A12="","",SUMIFS('FUNDED DEALS'!$Y$4:$Y$1226,'FUNDED DEALS'!$W$4:$W$1226,$A12)+SUMIFS('FUNDED DEALS 2027'!$Y$4:$Y$1226,'FUNDED DEALS 2027'!$W$4:$W$1226,$A12))</f>
        <v>0</v>
      </c>
      <c r="D12" s="48" t="n">
        <f aca="false">IF($A12="","",SUMIFS('FUNDED DEALS'!$AB$4:$AB$1226,'FUNDED DEALS'!$Z$4:$Z$1226,$A12)+SUMIFS('FUNDED DEALS 2027'!$AB$4:$AB$1226,'FUNDED DEALS 2027'!$Z$4:$Z$1226,$A12))</f>
        <v>0</v>
      </c>
      <c r="E12" s="48" t="n">
        <f aca="false">IF($A12="","",B12+C12+D12)</f>
        <v>0</v>
      </c>
      <c r="J12" s="47" t="str">
        <f aca="false">IF(SETTINGS!B4="","",SETTINGS!B4)</f>
        <v>LOC DRAW</v>
      </c>
      <c r="K12" s="49" t="n">
        <f aca="false">IF($J12="","",COUNTIFS('FUNDED DEALS'!$F$4:$F$1226,$J12)+COUNTIFS('FUNDED DEALS 2027'!$F$4:$F$1226,$J12))</f>
        <v>0</v>
      </c>
      <c r="L12" s="48" t="n">
        <f aca="false">IF($J12="","",SUMIFS('FUNDED DEALS'!$G$4:$G$1226,'FUNDED DEALS'!$F$4:$F$1226,$J12)+SUMIFS('FUNDED DEALS 2027'!$G$4:$G$1226,'FUNDED DEALS 2027'!$F$4:$F$1226,$J12))</f>
        <v>0</v>
      </c>
      <c r="M12" s="48" t="n">
        <f aca="false">IF($J12="","",SUMIFS('FUNDED DEALS'!$O$4:$O$1226,'FUNDED DEALS'!$F$4:$F$1226,$J12)+SUMIFS('FUNDED DEALS 2027'!$O$4:$O$1226,'FUNDED DEALS 2027'!$F$4:$F$1226,$J12))</f>
        <v>0</v>
      </c>
      <c r="N12" s="48" t="n">
        <f aca="false">IF($J12="","",SUMIFS('FUNDED DEALS'!$AD$4:$AD$1226,'FUNDED DEALS'!$F$4:$F$1226,$J12)+SUMIFS('FUNDED DEALS 2027'!$AD$4:$AD$1226,'FUNDED DEALS 2027'!$F$4:$F$1226,$J12))</f>
        <v>0</v>
      </c>
    </row>
    <row r="13" customFormat="false" ht="15" hidden="false" customHeight="false" outlineLevel="0" collapsed="false">
      <c r="A13" s="50" t="str">
        <f aca="false">IF(REPS!A5="","",REPS!A5)</f>
        <v>Nick Faldo</v>
      </c>
      <c r="B13" s="51" t="n">
        <f aca="false">IF($A13="","",SUMIFS('FUNDED DEALS'!$V$4:$V$1226,'FUNDED DEALS'!$T$4:$T$1226,$A13)+SUMIFS('FUNDED DEALS 2027'!$V$4:$V$1226,'FUNDED DEALS 2027'!$T$4:$T$1226,$A13))</f>
        <v>0</v>
      </c>
      <c r="C13" s="51" t="n">
        <f aca="false">IF($A13="","",SUMIFS('FUNDED DEALS'!$Y$4:$Y$1226,'FUNDED DEALS'!$W$4:$W$1226,$A13)+SUMIFS('FUNDED DEALS 2027'!$Y$4:$Y$1226,'FUNDED DEALS 2027'!$W$4:$W$1226,$A13))</f>
        <v>0</v>
      </c>
      <c r="D13" s="51" t="n">
        <f aca="false">IF($A13="","",SUMIFS('FUNDED DEALS'!$AB$4:$AB$1226,'FUNDED DEALS'!$Z$4:$Z$1226,$A13)+SUMIFS('FUNDED DEALS 2027'!$AB$4:$AB$1226,'FUNDED DEALS 2027'!$Z$4:$Z$1226,$A13))</f>
        <v>0</v>
      </c>
      <c r="E13" s="51" t="n">
        <f aca="false">IF($A13="","",B13+C13+D13)</f>
        <v>0</v>
      </c>
      <c r="J13" s="50" t="str">
        <f aca="false">IF(SETTINGS!B5="","",SETTINGS!B5)</f>
        <v>CONSOLIDATION - UPFRONT COMM</v>
      </c>
      <c r="K13" s="52" t="n">
        <f aca="false">IF($J13="","",COUNTIFS('FUNDED DEALS'!$F$4:$F$1226,$J13)+COUNTIFS('FUNDED DEALS 2027'!$F$4:$F$1226,$J13))</f>
        <v>0</v>
      </c>
      <c r="L13" s="51" t="n">
        <f aca="false">IF($J13="","",SUMIFS('FUNDED DEALS'!$G$4:$G$1226,'FUNDED DEALS'!$F$4:$F$1226,$J13)+SUMIFS('FUNDED DEALS 2027'!$G$4:$G$1226,'FUNDED DEALS 2027'!$F$4:$F$1226,$J13))</f>
        <v>0</v>
      </c>
      <c r="M13" s="51" t="n">
        <f aca="false">IF($J13="","",SUMIFS('FUNDED DEALS'!$O$4:$O$1226,'FUNDED DEALS'!$F$4:$F$1226,$J13)+SUMIFS('FUNDED DEALS 2027'!$O$4:$O$1226,'FUNDED DEALS 2027'!$F$4:$F$1226,$J13))</f>
        <v>0</v>
      </c>
      <c r="N13" s="51" t="n">
        <f aca="false">IF($J13="","",SUMIFS('FUNDED DEALS'!$AD$4:$AD$1226,'FUNDED DEALS'!$F$4:$F$1226,$J13)+SUMIFS('FUNDED DEALS 2027'!$AD$4:$AD$1226,'FUNDED DEALS 2027'!$F$4:$F$1226,$J13))</f>
        <v>0</v>
      </c>
    </row>
    <row r="14" customFormat="false" ht="15" hidden="false" customHeight="false" outlineLevel="0" collapsed="false">
      <c r="A14" s="47" t="str">
        <f aca="false">IF(REPS!A6="","",REPS!A6)</f>
        <v>Zach Sanders</v>
      </c>
      <c r="B14" s="48" t="n">
        <f aca="false">IF($A14="","",SUMIFS('FUNDED DEALS'!$V$4:$V$1226,'FUNDED DEALS'!$T$4:$T$1226,$A14)+SUMIFS('FUNDED DEALS 2027'!$V$4:$V$1226,'FUNDED DEALS 2027'!$T$4:$T$1226,$A14))</f>
        <v>0</v>
      </c>
      <c r="C14" s="48" t="n">
        <f aca="false">IF($A14="","",SUMIFS('FUNDED DEALS'!$Y$4:$Y$1226,'FUNDED DEALS'!$W$4:$W$1226,$A14)+SUMIFS('FUNDED DEALS 2027'!$Y$4:$Y$1226,'FUNDED DEALS 2027'!$W$4:$W$1226,$A14))</f>
        <v>0</v>
      </c>
      <c r="D14" s="48" t="n">
        <f aca="false">IF($A14="","",SUMIFS('FUNDED DEALS'!$AB$4:$AB$1226,'FUNDED DEALS'!$Z$4:$Z$1226,$A14)+SUMIFS('FUNDED DEALS 2027'!$AB$4:$AB$1226,'FUNDED DEALS 2027'!$Z$4:$Z$1226,$A14))</f>
        <v>0</v>
      </c>
      <c r="E14" s="48" t="n">
        <f aca="false">IF($A14="","",B14+C14+D14)</f>
        <v>0</v>
      </c>
      <c r="J14" s="47" t="str">
        <f aca="false">IF(SETTINGS!B6="","",SETTINGS!B6)</f>
        <v>CONSOLIDATION DISBURSEMENT</v>
      </c>
      <c r="K14" s="49" t="n">
        <f aca="false">IF($J14="","",COUNTIFS('FUNDED DEALS'!$F$4:$F$1226,$J14)+COUNTIFS('FUNDED DEALS 2027'!$F$4:$F$1226,$J14))</f>
        <v>0</v>
      </c>
      <c r="L14" s="48" t="n">
        <f aca="false">IF($J14="","",SUMIFS('FUNDED DEALS'!$G$4:$G$1226,'FUNDED DEALS'!$F$4:$F$1226,$J14)+SUMIFS('FUNDED DEALS 2027'!$G$4:$G$1226,'FUNDED DEALS 2027'!$F$4:$F$1226,$J14))</f>
        <v>0</v>
      </c>
      <c r="M14" s="48" t="n">
        <f aca="false">IF($J14="","",SUMIFS('FUNDED DEALS'!$O$4:$O$1226,'FUNDED DEALS'!$F$4:$F$1226,$J14)+SUMIFS('FUNDED DEALS 2027'!$O$4:$O$1226,'FUNDED DEALS 2027'!$F$4:$F$1226,$J14))</f>
        <v>0</v>
      </c>
      <c r="N14" s="48" t="n">
        <f aca="false">IF($J14="","",SUMIFS('FUNDED DEALS'!$AD$4:$AD$1226,'FUNDED DEALS'!$F$4:$F$1226,$J14)+SUMIFS('FUNDED DEALS 2027'!$AD$4:$AD$1226,'FUNDED DEALS 2027'!$F$4:$F$1226,$J14))</f>
        <v>0</v>
      </c>
    </row>
    <row r="15" customFormat="false" ht="15" hidden="false" customHeight="false" outlineLevel="0" collapsed="false">
      <c r="A15" s="50" t="str">
        <f aca="false">IF(REPS!A7="","",REPS!A7)</f>
        <v>Gil Dichy</v>
      </c>
      <c r="B15" s="51" t="n">
        <f aca="false">IF($A15="","",SUMIFS('FUNDED DEALS'!$V$4:$V$1226,'FUNDED DEALS'!$T$4:$T$1226,$A15)+SUMIFS('FUNDED DEALS 2027'!$V$4:$V$1226,'FUNDED DEALS 2027'!$T$4:$T$1226,$A15))</f>
        <v>0</v>
      </c>
      <c r="C15" s="51" t="n">
        <f aca="false">IF($A15="","",SUMIFS('FUNDED DEALS'!$Y$4:$Y$1226,'FUNDED DEALS'!$W$4:$W$1226,$A15)+SUMIFS('FUNDED DEALS 2027'!$Y$4:$Y$1226,'FUNDED DEALS 2027'!$W$4:$W$1226,$A15))</f>
        <v>0</v>
      </c>
      <c r="D15" s="51" t="n">
        <f aca="false">IF($A15="","",SUMIFS('FUNDED DEALS'!$AB$4:$AB$1226,'FUNDED DEALS'!$Z$4:$Z$1226,$A15)+SUMIFS('FUNDED DEALS 2027'!$AB$4:$AB$1226,'FUNDED DEALS 2027'!$Z$4:$Z$1226,$A15))</f>
        <v>0</v>
      </c>
      <c r="E15" s="51" t="n">
        <f aca="false">IF($A15="","",B15+C15+D15)</f>
        <v>0</v>
      </c>
      <c r="J15" s="50" t="str">
        <f aca="false">IF(SETTINGS!B7="","",SETTINGS!B7)</f>
        <v>REVERSE - TOTAL FUNDING</v>
      </c>
      <c r="K15" s="52" t="n">
        <f aca="false">IF($J15="","",COUNTIFS('FUNDED DEALS'!$F$4:$F$1226,$J15)+COUNTIFS('FUNDED DEALS 2027'!$F$4:$F$1226,$J15))</f>
        <v>0</v>
      </c>
      <c r="L15" s="51" t="n">
        <f aca="false">IF($J15="","",SUMIFS('FUNDED DEALS'!$G$4:$G$1226,'FUNDED DEALS'!$F$4:$F$1226,$J15)+SUMIFS('FUNDED DEALS 2027'!$G$4:$G$1226,'FUNDED DEALS 2027'!$F$4:$F$1226,$J15))</f>
        <v>0</v>
      </c>
      <c r="M15" s="51" t="n">
        <f aca="false">IF($J15="","",SUMIFS('FUNDED DEALS'!$O$4:$O$1226,'FUNDED DEALS'!$F$4:$F$1226,$J15)+SUMIFS('FUNDED DEALS 2027'!$O$4:$O$1226,'FUNDED DEALS 2027'!$F$4:$F$1226,$J15))</f>
        <v>0</v>
      </c>
      <c r="N15" s="51" t="n">
        <f aca="false">IF($J15="","",SUMIFS('FUNDED DEALS'!$AD$4:$AD$1226,'FUNDED DEALS'!$F$4:$F$1226,$J15)+SUMIFS('FUNDED DEALS 2027'!$AD$4:$AD$1226,'FUNDED DEALS 2027'!$F$4:$F$1226,$J15))</f>
        <v>0</v>
      </c>
    </row>
    <row r="16" customFormat="false" ht="15" hidden="false" customHeight="false" outlineLevel="0" collapsed="false">
      <c r="A16" s="47" t="str">
        <f aca="false">IF(REPS!A8="","",REPS!A8)</f>
        <v>Julian Ribak</v>
      </c>
      <c r="B16" s="48" t="n">
        <f aca="false">IF($A16="","",SUMIFS('FUNDED DEALS'!$V$4:$V$1226,'FUNDED DEALS'!$T$4:$T$1226,$A16)+SUMIFS('FUNDED DEALS 2027'!$V$4:$V$1226,'FUNDED DEALS 2027'!$T$4:$T$1226,$A16))</f>
        <v>0</v>
      </c>
      <c r="C16" s="48" t="n">
        <f aca="false">IF($A16="","",SUMIFS('FUNDED DEALS'!$Y$4:$Y$1226,'FUNDED DEALS'!$W$4:$W$1226,$A16)+SUMIFS('FUNDED DEALS 2027'!$Y$4:$Y$1226,'FUNDED DEALS 2027'!$W$4:$W$1226,$A16))</f>
        <v>0</v>
      </c>
      <c r="D16" s="48" t="n">
        <f aca="false">IF($A16="","",SUMIFS('FUNDED DEALS'!$AB$4:$AB$1226,'FUNDED DEALS'!$Z$4:$Z$1226,$A16)+SUMIFS('FUNDED DEALS 2027'!$AB$4:$AB$1226,'FUNDED DEALS 2027'!$Z$4:$Z$1226,$A16))</f>
        <v>0</v>
      </c>
      <c r="E16" s="48" t="n">
        <f aca="false">IF($A16="","",B16+C16+D16)</f>
        <v>0</v>
      </c>
      <c r="J16" s="47" t="str">
        <f aca="false">IF(SETTINGS!B8="","",SETTINGS!B8)</f>
        <v>REVERSE - DISBURSEMENT</v>
      </c>
      <c r="K16" s="49" t="n">
        <f aca="false">IF($J16="","",COUNTIFS('FUNDED DEALS'!$F$4:$F$1226,$J16)+COUNTIFS('FUNDED DEALS 2027'!$F$4:$F$1226,$J16))</f>
        <v>0</v>
      </c>
      <c r="L16" s="48" t="n">
        <f aca="false">IF($J16="","",SUMIFS('FUNDED DEALS'!$G$4:$G$1226,'FUNDED DEALS'!$F$4:$F$1226,$J16)+SUMIFS('FUNDED DEALS 2027'!$G$4:$G$1226,'FUNDED DEALS 2027'!$F$4:$F$1226,$J16))</f>
        <v>0</v>
      </c>
      <c r="M16" s="48" t="n">
        <f aca="false">IF($J16="","",SUMIFS('FUNDED DEALS'!$O$4:$O$1226,'FUNDED DEALS'!$F$4:$F$1226,$J16)+SUMIFS('FUNDED DEALS 2027'!$O$4:$O$1226,'FUNDED DEALS 2027'!$F$4:$F$1226,$J16))</f>
        <v>0</v>
      </c>
      <c r="N16" s="48" t="n">
        <f aca="false">IF($J16="","",SUMIFS('FUNDED DEALS'!$AD$4:$AD$1226,'FUNDED DEALS'!$F$4:$F$1226,$J16)+SUMIFS('FUNDED DEALS 2027'!$AD$4:$AD$1226,'FUNDED DEALS 2027'!$F$4:$F$1226,$J16))</f>
        <v>0</v>
      </c>
    </row>
    <row r="17" customFormat="false" ht="15" hidden="false" customHeight="false" outlineLevel="0" collapsed="false">
      <c r="A17" s="50" t="str">
        <f aca="false">IF(REPS!A9="","",REPS!A9)</f>
        <v>Louie Palleta</v>
      </c>
      <c r="B17" s="51" t="n">
        <f aca="false">IF($A17="","",SUMIFS('FUNDED DEALS'!$V$4:$V$1226,'FUNDED DEALS'!$T$4:$T$1226,$A17)+SUMIFS('FUNDED DEALS 2027'!$V$4:$V$1226,'FUNDED DEALS 2027'!$T$4:$T$1226,$A17))</f>
        <v>0</v>
      </c>
      <c r="C17" s="51" t="n">
        <f aca="false">IF($A17="","",SUMIFS('FUNDED DEALS'!$Y$4:$Y$1226,'FUNDED DEALS'!$W$4:$W$1226,$A17)+SUMIFS('FUNDED DEALS 2027'!$Y$4:$Y$1226,'FUNDED DEALS 2027'!$W$4:$W$1226,$A17))</f>
        <v>0</v>
      </c>
      <c r="D17" s="51" t="n">
        <f aca="false">IF($A17="","",SUMIFS('FUNDED DEALS'!$AB$4:$AB$1226,'FUNDED DEALS'!$Z$4:$Z$1226,$A17)+SUMIFS('FUNDED DEALS 2027'!$AB$4:$AB$1226,'FUNDED DEALS 2027'!$Z$4:$Z$1226,$A17))</f>
        <v>0</v>
      </c>
      <c r="E17" s="51" t="n">
        <f aca="false">IF($A17="","",B17+C17+D17)</f>
        <v>0</v>
      </c>
      <c r="J17" s="50" t="str">
        <f aca="false">IF(SETTINGS!B9="","",SETTINGS!B9)</f>
        <v>TERM LOAN</v>
      </c>
      <c r="K17" s="52" t="n">
        <f aca="false">IF($J17="","",COUNTIFS('FUNDED DEALS'!$F$4:$F$1226,$J17)+COUNTIFS('FUNDED DEALS 2027'!$F$4:$F$1226,$J17))</f>
        <v>0</v>
      </c>
      <c r="L17" s="51" t="n">
        <f aca="false">IF($J17="","",SUMIFS('FUNDED DEALS'!$G$4:$G$1226,'FUNDED DEALS'!$F$4:$F$1226,$J17)+SUMIFS('FUNDED DEALS 2027'!$G$4:$G$1226,'FUNDED DEALS 2027'!$F$4:$F$1226,$J17))</f>
        <v>0</v>
      </c>
      <c r="M17" s="51" t="n">
        <f aca="false">IF($J17="","",SUMIFS('FUNDED DEALS'!$O$4:$O$1226,'FUNDED DEALS'!$F$4:$F$1226,$J17)+SUMIFS('FUNDED DEALS 2027'!$O$4:$O$1226,'FUNDED DEALS 2027'!$F$4:$F$1226,$J17))</f>
        <v>0</v>
      </c>
      <c r="N17" s="51" t="n">
        <f aca="false">IF($J17="","",SUMIFS('FUNDED DEALS'!$AD$4:$AD$1226,'FUNDED DEALS'!$F$4:$F$1226,$J17)+SUMIFS('FUNDED DEALS 2027'!$AD$4:$AD$1226,'FUNDED DEALS 2027'!$F$4:$F$1226,$J17))</f>
        <v>0</v>
      </c>
    </row>
    <row r="18" customFormat="false" ht="15" hidden="false" customHeight="false" outlineLevel="0" collapsed="false">
      <c r="A18" s="47" t="str">
        <f aca="false">IF(REPS!A10="","",REPS!A10)</f>
        <v>Jacobo Simkin</v>
      </c>
      <c r="B18" s="48" t="n">
        <f aca="false">IF($A18="","",SUMIFS('FUNDED DEALS'!$V$4:$V$1226,'FUNDED DEALS'!$T$4:$T$1226,$A18)+SUMIFS('FUNDED DEALS 2027'!$V$4:$V$1226,'FUNDED DEALS 2027'!$T$4:$T$1226,$A18))</f>
        <v>0</v>
      </c>
      <c r="C18" s="48" t="n">
        <f aca="false">IF($A18="","",SUMIFS('FUNDED DEALS'!$Y$4:$Y$1226,'FUNDED DEALS'!$W$4:$W$1226,$A18)+SUMIFS('FUNDED DEALS 2027'!$Y$4:$Y$1226,'FUNDED DEALS 2027'!$W$4:$W$1226,$A18))</f>
        <v>0</v>
      </c>
      <c r="D18" s="48" t="n">
        <f aca="false">IF($A18="","",SUMIFS('FUNDED DEALS'!$AB$4:$AB$1226,'FUNDED DEALS'!$Z$4:$Z$1226,$A18)+SUMIFS('FUNDED DEALS 2027'!$AB$4:$AB$1226,'FUNDED DEALS 2027'!$Z$4:$Z$1226,$A18))</f>
        <v>0</v>
      </c>
      <c r="E18" s="48" t="n">
        <f aca="false">IF($A18="","",B18+C18+D18)</f>
        <v>0</v>
      </c>
      <c r="J18" s="47" t="str">
        <f aca="false">IF(SETTINGS!B10="","",SETTINGS!B10)</f>
        <v>EQUIPMENT</v>
      </c>
      <c r="K18" s="49" t="n">
        <f aca="false">IF($J18="","",COUNTIFS('FUNDED DEALS'!$F$4:$F$1226,$J18)+COUNTIFS('FUNDED DEALS 2027'!$F$4:$F$1226,$J18))</f>
        <v>0</v>
      </c>
      <c r="L18" s="48" t="n">
        <f aca="false">IF($J18="","",SUMIFS('FUNDED DEALS'!$G$4:$G$1226,'FUNDED DEALS'!$F$4:$F$1226,$J18)+SUMIFS('FUNDED DEALS 2027'!$G$4:$G$1226,'FUNDED DEALS 2027'!$F$4:$F$1226,$J18))</f>
        <v>0</v>
      </c>
      <c r="M18" s="48" t="n">
        <f aca="false">IF($J18="","",SUMIFS('FUNDED DEALS'!$O$4:$O$1226,'FUNDED DEALS'!$F$4:$F$1226,$J18)+SUMIFS('FUNDED DEALS 2027'!$O$4:$O$1226,'FUNDED DEALS 2027'!$F$4:$F$1226,$J18))</f>
        <v>0</v>
      </c>
      <c r="N18" s="48" t="n">
        <f aca="false">IF($J18="","",SUMIFS('FUNDED DEALS'!$AD$4:$AD$1226,'FUNDED DEALS'!$F$4:$F$1226,$J18)+SUMIFS('FUNDED DEALS 2027'!$AD$4:$AD$1226,'FUNDED DEALS 2027'!$F$4:$F$1226,$J18))</f>
        <v>0</v>
      </c>
    </row>
    <row r="19" customFormat="false" ht="15" hidden="false" customHeight="false" outlineLevel="0" collapsed="false">
      <c r="A19" s="50" t="str">
        <f aca="false">IF(REPS!A11="","",REPS!A11)</f>
        <v>Gabriel Barnes</v>
      </c>
      <c r="B19" s="51" t="n">
        <f aca="false">IF($A19="","",SUMIFS('FUNDED DEALS'!$V$4:$V$1226,'FUNDED DEALS'!$T$4:$T$1226,$A19)+SUMIFS('FUNDED DEALS 2027'!$V$4:$V$1226,'FUNDED DEALS 2027'!$T$4:$T$1226,$A19))</f>
        <v>0</v>
      </c>
      <c r="C19" s="51" t="n">
        <f aca="false">IF($A19="","",SUMIFS('FUNDED DEALS'!$Y$4:$Y$1226,'FUNDED DEALS'!$W$4:$W$1226,$A19)+SUMIFS('FUNDED DEALS 2027'!$Y$4:$Y$1226,'FUNDED DEALS 2027'!$W$4:$W$1226,$A19))</f>
        <v>0</v>
      </c>
      <c r="D19" s="51" t="n">
        <f aca="false">IF($A19="","",SUMIFS('FUNDED DEALS'!$AB$4:$AB$1226,'FUNDED DEALS'!$Z$4:$Z$1226,$A19)+SUMIFS('FUNDED DEALS 2027'!$AB$4:$AB$1226,'FUNDED DEALS 2027'!$Z$4:$Z$1226,$A19))</f>
        <v>0</v>
      </c>
      <c r="E19" s="51" t="n">
        <f aca="false">IF($A19="","",B19+C19+D19)</f>
        <v>0</v>
      </c>
      <c r="J19" s="50" t="str">
        <f aca="false">IF(SETTINGS!B11="","",SETTINGS!B11)</f>
        <v>REAL ESTATE</v>
      </c>
      <c r="K19" s="52" t="n">
        <f aca="false">IF($J19="","",COUNTIFS('FUNDED DEALS'!$F$4:$F$1226,$J19)+COUNTIFS('FUNDED DEALS 2027'!$F$4:$F$1226,$J19))</f>
        <v>0</v>
      </c>
      <c r="L19" s="51" t="n">
        <f aca="false">IF($J19="","",SUMIFS('FUNDED DEALS'!$G$4:$G$1226,'FUNDED DEALS'!$F$4:$F$1226,$J19)+SUMIFS('FUNDED DEALS 2027'!$G$4:$G$1226,'FUNDED DEALS 2027'!$F$4:$F$1226,$J19))</f>
        <v>0</v>
      </c>
      <c r="M19" s="51" t="n">
        <f aca="false">IF($J19="","",SUMIFS('FUNDED DEALS'!$O$4:$O$1226,'FUNDED DEALS'!$F$4:$F$1226,$J19)+SUMIFS('FUNDED DEALS 2027'!$O$4:$O$1226,'FUNDED DEALS 2027'!$F$4:$F$1226,$J19))</f>
        <v>0</v>
      </c>
      <c r="N19" s="51" t="n">
        <f aca="false">IF($J19="","",SUMIFS('FUNDED DEALS'!$AD$4:$AD$1226,'FUNDED DEALS'!$F$4:$F$1226,$J19)+SUMIFS('FUNDED DEALS 2027'!$AD$4:$AD$1226,'FUNDED DEALS 2027'!$F$4:$F$1226,$J19))</f>
        <v>0</v>
      </c>
    </row>
    <row r="20" customFormat="false" ht="15" hidden="false" customHeight="false" outlineLevel="0" collapsed="false">
      <c r="A20" s="47" t="str">
        <f aca="false">IF(REPS!A12="","",REPS!A12)</f>
        <v>Edward Obi</v>
      </c>
      <c r="B20" s="48" t="n">
        <f aca="false">IF($A20="","",SUMIFS('FUNDED DEALS'!$V$4:$V$1226,'FUNDED DEALS'!$T$4:$T$1226,$A20)+SUMIFS('FUNDED DEALS 2027'!$V$4:$V$1226,'FUNDED DEALS 2027'!$T$4:$T$1226,$A20))</f>
        <v>0</v>
      </c>
      <c r="C20" s="48" t="n">
        <f aca="false">IF($A20="","",SUMIFS('FUNDED DEALS'!$Y$4:$Y$1226,'FUNDED DEALS'!$W$4:$W$1226,$A20)+SUMIFS('FUNDED DEALS 2027'!$Y$4:$Y$1226,'FUNDED DEALS 2027'!$W$4:$W$1226,$A20))</f>
        <v>0</v>
      </c>
      <c r="D20" s="48" t="n">
        <f aca="false">IF($A20="","",SUMIFS('FUNDED DEALS'!$AB$4:$AB$1226,'FUNDED DEALS'!$Z$4:$Z$1226,$A20)+SUMIFS('FUNDED DEALS 2027'!$AB$4:$AB$1226,'FUNDED DEALS 2027'!$Z$4:$Z$1226,$A20))</f>
        <v>0</v>
      </c>
      <c r="E20" s="48" t="n">
        <f aca="false">IF($A20="","",B20+C20+D20)</f>
        <v>0</v>
      </c>
      <c r="J20" s="47" t="str">
        <f aca="false">IF(SETTINGS!B12="","",SETTINGS!B12)</f>
        <v>SBA</v>
      </c>
      <c r="K20" s="49" t="n">
        <f aca="false">IF($J20="","",COUNTIFS('FUNDED DEALS'!$F$4:$F$1226,$J20)+COUNTIFS('FUNDED DEALS 2027'!$F$4:$F$1226,$J20))</f>
        <v>0</v>
      </c>
      <c r="L20" s="48" t="n">
        <f aca="false">IF($J20="","",SUMIFS('FUNDED DEALS'!$G$4:$G$1226,'FUNDED DEALS'!$F$4:$F$1226,$J20)+SUMIFS('FUNDED DEALS 2027'!$G$4:$G$1226,'FUNDED DEALS 2027'!$F$4:$F$1226,$J20))</f>
        <v>0</v>
      </c>
      <c r="M20" s="48" t="n">
        <f aca="false">IF($J20="","",SUMIFS('FUNDED DEALS'!$O$4:$O$1226,'FUNDED DEALS'!$F$4:$F$1226,$J20)+SUMIFS('FUNDED DEALS 2027'!$O$4:$O$1226,'FUNDED DEALS 2027'!$F$4:$F$1226,$J20))</f>
        <v>0</v>
      </c>
      <c r="N20" s="48" t="n">
        <f aca="false">IF($J20="","",SUMIFS('FUNDED DEALS'!$AD$4:$AD$1226,'FUNDED DEALS'!$F$4:$F$1226,$J20)+SUMIFS('FUNDED DEALS 2027'!$AD$4:$AD$1226,'FUNDED DEALS 2027'!$F$4:$F$1226,$J20))</f>
        <v>0</v>
      </c>
    </row>
    <row r="21" customFormat="false" ht="15" hidden="false" customHeight="false" outlineLevel="0" collapsed="false">
      <c r="A21" s="50" t="str">
        <f aca="false">IF(REPS!A13="","",REPS!A13)</f>
        <v>Shulamit Cohen</v>
      </c>
      <c r="B21" s="51" t="n">
        <f aca="false">IF($A21="","",SUMIFS('FUNDED DEALS'!$V$4:$V$1226,'FUNDED DEALS'!$T$4:$T$1226,$A21)+SUMIFS('FUNDED DEALS 2027'!$V$4:$V$1226,'FUNDED DEALS 2027'!$T$4:$T$1226,$A21))</f>
        <v>0</v>
      </c>
      <c r="C21" s="51" t="n">
        <f aca="false">IF($A21="","",SUMIFS('FUNDED DEALS'!$Y$4:$Y$1226,'FUNDED DEALS'!$W$4:$W$1226,$A21)+SUMIFS('FUNDED DEALS 2027'!$Y$4:$Y$1226,'FUNDED DEALS 2027'!$W$4:$W$1226,$A21))</f>
        <v>0</v>
      </c>
      <c r="D21" s="51" t="n">
        <f aca="false">IF($A21="","",SUMIFS('FUNDED DEALS'!$AB$4:$AB$1226,'FUNDED DEALS'!$Z$4:$Z$1226,$A21)+SUMIFS('FUNDED DEALS 2027'!$AB$4:$AB$1226,'FUNDED DEALS 2027'!$Z$4:$Z$1226,$A21))</f>
        <v>0</v>
      </c>
      <c r="E21" s="51" t="n">
        <f aca="false">IF($A21="","",B21+C21+D21)</f>
        <v>0</v>
      </c>
    </row>
    <row r="22" customFormat="false" ht="15" hidden="false" customHeight="false" outlineLevel="0" collapsed="false">
      <c r="A22" s="47" t="str">
        <f aca="false">IF(REPS!A14="","",REPS!A14)</f>
        <v>Albert Dichy</v>
      </c>
      <c r="B22" s="48" t="n">
        <f aca="false">IF($A22="","",SUMIFS('FUNDED DEALS'!$V$4:$V$1226,'FUNDED DEALS'!$T$4:$T$1226,$A22)+SUMIFS('FUNDED DEALS 2027'!$V$4:$V$1226,'FUNDED DEALS 2027'!$T$4:$T$1226,$A22))</f>
        <v>0</v>
      </c>
      <c r="C22" s="48" t="n">
        <f aca="false">IF($A22="","",SUMIFS('FUNDED DEALS'!$Y$4:$Y$1226,'FUNDED DEALS'!$W$4:$W$1226,$A22)+SUMIFS('FUNDED DEALS 2027'!$Y$4:$Y$1226,'FUNDED DEALS 2027'!$W$4:$W$1226,$A22))</f>
        <v>0</v>
      </c>
      <c r="D22" s="48" t="n">
        <f aca="false">IF($A22="","",SUMIFS('FUNDED DEALS'!$AB$4:$AB$1226,'FUNDED DEALS'!$Z$4:$Z$1226,$A22)+SUMIFS('FUNDED DEALS 2027'!$AB$4:$AB$1226,'FUNDED DEALS 2027'!$Z$4:$Z$1226,$A22))</f>
        <v>0</v>
      </c>
      <c r="E22" s="48" t="n">
        <f aca="false">IF($A22="","",B22+C22+D22)</f>
        <v>0</v>
      </c>
    </row>
    <row r="23" customFormat="false" ht="19.5" hidden="false" customHeight="true" outlineLevel="0" collapsed="false">
      <c r="A23" s="50" t="str">
        <f aca="false">IF(REPS!A15="","",REPS!A15)</f>
        <v>Louie Espinoza</v>
      </c>
      <c r="B23" s="51" t="n">
        <f aca="false">IF($A23="","",SUMIFS('FUNDED DEALS'!$V$4:$V$1226,'FUNDED DEALS'!$T$4:$T$1226,$A23)+SUMIFS('FUNDED DEALS 2027'!$V$4:$V$1226,'FUNDED DEALS 2027'!$T$4:$T$1226,$A23))</f>
        <v>0</v>
      </c>
      <c r="C23" s="51" t="n">
        <f aca="false">IF($A23="","",SUMIFS('FUNDED DEALS'!$Y$4:$Y$1226,'FUNDED DEALS'!$W$4:$W$1226,$A23)+SUMIFS('FUNDED DEALS 2027'!$Y$4:$Y$1226,'FUNDED DEALS 2027'!$W$4:$W$1226,$A23))</f>
        <v>0</v>
      </c>
      <c r="D23" s="51" t="n">
        <f aca="false">IF($A23="","",SUMIFS('FUNDED DEALS'!$AB$4:$AB$1226,'FUNDED DEALS'!$Z$4:$Z$1226,$A23)+SUMIFS('FUNDED DEALS 2027'!$AB$4:$AB$1226,'FUNDED DEALS 2027'!$Z$4:$Z$1226,$A23))</f>
        <v>0</v>
      </c>
      <c r="E23" s="51" t="n">
        <f aca="false">IF($A23="","",B23+C23+D23)</f>
        <v>0</v>
      </c>
      <c r="J23" s="46" t="s">
        <v>96</v>
      </c>
      <c r="K23" s="46"/>
      <c r="L23" s="46"/>
      <c r="M23" s="46"/>
      <c r="N23" s="46"/>
    </row>
    <row r="24" customFormat="false" ht="27.75" hidden="false" customHeight="true" outlineLevel="0" collapsed="false">
      <c r="A24" s="47" t="str">
        <f aca="false">IF(REPS!A16="","",REPS!A16)</f>
        <v>Noah Levine</v>
      </c>
      <c r="B24" s="48" t="n">
        <f aca="false">IF($A24="","",SUMIFS('FUNDED DEALS'!$V$4:$V$1226,'FUNDED DEALS'!$T$4:$T$1226,$A24)+SUMIFS('FUNDED DEALS 2027'!$V$4:$V$1226,'FUNDED DEALS 2027'!$T$4:$T$1226,$A24))</f>
        <v>0</v>
      </c>
      <c r="C24" s="48" t="n">
        <f aca="false">IF($A24="","",SUMIFS('FUNDED DEALS'!$Y$4:$Y$1226,'FUNDED DEALS'!$W$4:$W$1226,$A24)+SUMIFS('FUNDED DEALS 2027'!$Y$4:$Y$1226,'FUNDED DEALS 2027'!$W$4:$W$1226,$A24))</f>
        <v>0</v>
      </c>
      <c r="D24" s="48" t="n">
        <f aca="false">IF($A24="","",SUMIFS('FUNDED DEALS'!$AB$4:$AB$1226,'FUNDED DEALS'!$Z$4:$Z$1226,$A24)+SUMIFS('FUNDED DEALS 2027'!$AB$4:$AB$1226,'FUNDED DEALS 2027'!$Z$4:$Z$1226,$A24))</f>
        <v>0</v>
      </c>
      <c r="E24" s="48" t="n">
        <f aca="false">IF($A24="","",B24+C24+D24)</f>
        <v>0</v>
      </c>
      <c r="J24" s="5" t="s">
        <v>5</v>
      </c>
      <c r="K24" s="5" t="s">
        <v>92</v>
      </c>
      <c r="L24" s="5" t="s">
        <v>93</v>
      </c>
      <c r="M24" s="5" t="s">
        <v>94</v>
      </c>
      <c r="N24" s="5" t="s">
        <v>97</v>
      </c>
    </row>
    <row r="25" customFormat="false" ht="15" hidden="false" customHeight="false" outlineLevel="0" collapsed="false">
      <c r="A25" s="50" t="str">
        <f aca="false">IF(REPS!A17="","",REPS!A17)</f>
        <v>Samuel Knox</v>
      </c>
      <c r="B25" s="51" t="n">
        <f aca="false">IF($A25="","",SUMIFS('FUNDED DEALS'!$V$4:$V$1226,'FUNDED DEALS'!$T$4:$T$1226,$A25)+SUMIFS('FUNDED DEALS 2027'!$V$4:$V$1226,'FUNDED DEALS 2027'!$T$4:$T$1226,$A25))</f>
        <v>0</v>
      </c>
      <c r="C25" s="51" t="n">
        <f aca="false">IF($A25="","",SUMIFS('FUNDED DEALS'!$Y$4:$Y$1226,'FUNDED DEALS'!$W$4:$W$1226,$A25)+SUMIFS('FUNDED DEALS 2027'!$Y$4:$Y$1226,'FUNDED DEALS 2027'!$W$4:$W$1226,$A25))</f>
        <v>0</v>
      </c>
      <c r="D25" s="51" t="n">
        <f aca="false">IF($A25="","",SUMIFS('FUNDED DEALS'!$AB$4:$AB$1226,'FUNDED DEALS'!$Z$4:$Z$1226,$A25)+SUMIFS('FUNDED DEALS 2027'!$AB$4:$AB$1226,'FUNDED DEALS 2027'!$Z$4:$Z$1226,$A25))</f>
        <v>0</v>
      </c>
      <c r="E25" s="51" t="n">
        <f aca="false">IF($A25="","",B25+C25+D25)</f>
        <v>0</v>
      </c>
      <c r="J25" s="50" t="str">
        <f aca="false">IF(SETTINGS!E2="","",SETTINGS!E2)</f>
        <v>MBC</v>
      </c>
      <c r="K25" s="52" t="n">
        <f aca="false">IF($J25="","",COUNTIFS('FUNDED DEALS'!$E$4:$E$1226,$J25)+COUNTIFS('FUNDED DEALS 2027'!$E$4:$E$1226,$J25))</f>
        <v>0</v>
      </c>
      <c r="L25" s="51" t="n">
        <f aca="false">IF($J25="","",SUMIFS('FUNDED DEALS'!$G$4:$G$1226,'FUNDED DEALS'!$E$4:$E$1226,$J25)+SUMIFS('FUNDED DEALS 2027'!$G$4:$G$1226,'FUNDED DEALS 2027'!$E$4:$E$1226,$J25))</f>
        <v>0</v>
      </c>
      <c r="M25" s="51" t="n">
        <f aca="false">IF($J25="","",SUMIFS('FUNDED DEALS'!$O$4:$O$1226,'FUNDED DEALS'!$E$4:$E$1226,$J25)+SUMIFS('FUNDED DEALS 2027'!$O$4:$O$1226,'FUNDED DEALS 2027'!$E$4:$E$1226,$J25))</f>
        <v>0</v>
      </c>
      <c r="N25" s="51" t="n">
        <f aca="false">IF($J25="","",SUMIFS('FUNDED DEALS'!$O$4:$O$1226,'FUNDED DEALS'!$E$4:$E$1226,$J25,'FUNDED DEALS'!$AM$4:$AM$1226,"&lt;&gt;YES - Paid In Full",'FUNDED DEALS'!$AM$4:$AM$1226,"&lt;&gt;Clawed Back",'FUNDED DEALS'!$AM$4:$AM$1226,"&lt;&gt;NO - Never got paid")+SUMIFS('FUNDED DEALS 2027'!$O$4:$O$1226,'FUNDED DEALS 2027'!$E$4:$E$1226,$J25,'FUNDED DEALS 2027'!$AM$4:$AM$1226,"&lt;&gt;YES - Paid In Full",'FUNDED DEALS 2027'!$AM$4:$AM$1226,"&lt;&gt;Clawed Back",'FUNDED DEALS 2027'!$AM$4:$AM$1226,"&lt;&gt;NO - Never got paid"))</f>
        <v>0</v>
      </c>
    </row>
    <row r="26" customFormat="false" ht="15" hidden="false" customHeight="false" outlineLevel="0" collapsed="false">
      <c r="A26" s="47" t="str">
        <f aca="false">IF(REPS!A18="","",REPS!A18)</f>
        <v>Rav Sova</v>
      </c>
      <c r="B26" s="48" t="n">
        <f aca="false">IF($A26="","",SUMIFS('FUNDED DEALS'!$V$4:$V$1226,'FUNDED DEALS'!$T$4:$T$1226,$A26)+SUMIFS('FUNDED DEALS 2027'!$V$4:$V$1226,'FUNDED DEALS 2027'!$T$4:$T$1226,$A26))</f>
        <v>0</v>
      </c>
      <c r="C26" s="48" t="n">
        <f aca="false">IF($A26="","",SUMIFS('FUNDED DEALS'!$Y$4:$Y$1226,'FUNDED DEALS'!$W$4:$W$1226,$A26)+SUMIFS('FUNDED DEALS 2027'!$Y$4:$Y$1226,'FUNDED DEALS 2027'!$W$4:$W$1226,$A26))</f>
        <v>0</v>
      </c>
      <c r="D26" s="48" t="n">
        <f aca="false">IF($A26="","",SUMIFS('FUNDED DEALS'!$AB$4:$AB$1226,'FUNDED DEALS'!$Z$4:$Z$1226,$A26)+SUMIFS('FUNDED DEALS 2027'!$AB$4:$AB$1226,'FUNDED DEALS 2027'!$Z$4:$Z$1226,$A26))</f>
        <v>0</v>
      </c>
      <c r="E26" s="48" t="n">
        <f aca="false">IF($A26="","",B26+C26+D26)</f>
        <v>0</v>
      </c>
      <c r="J26" s="47" t="str">
        <f aca="false">IF(SETTINGS!E3="","",SETTINGS!E3)</f>
        <v>ACE FUNDING</v>
      </c>
      <c r="K26" s="49" t="n">
        <f aca="false">IF($J26="","",COUNTIFS('FUNDED DEALS'!$E$4:$E$1226,$J26)+COUNTIFS('FUNDED DEALS 2027'!$E$4:$E$1226,$J26))</f>
        <v>0</v>
      </c>
      <c r="L26" s="48" t="n">
        <f aca="false">IF($J26="","",SUMIFS('FUNDED DEALS'!$G$4:$G$1226,'FUNDED DEALS'!$E$4:$E$1226,$J26)+SUMIFS('FUNDED DEALS 2027'!$G$4:$G$1226,'FUNDED DEALS 2027'!$E$4:$E$1226,$J26))</f>
        <v>0</v>
      </c>
      <c r="M26" s="48" t="n">
        <f aca="false">IF($J26="","",SUMIFS('FUNDED DEALS'!$O$4:$O$1226,'FUNDED DEALS'!$E$4:$E$1226,$J26)+SUMIFS('FUNDED DEALS 2027'!$O$4:$O$1226,'FUNDED DEALS 2027'!$E$4:$E$1226,$J26))</f>
        <v>0</v>
      </c>
      <c r="N26" s="48" t="n">
        <f aca="false">IF($J26="","",SUMIFS('FUNDED DEALS'!$O$4:$O$1226,'FUNDED DEALS'!$E$4:$E$1226,$J26,'FUNDED DEALS'!$AM$4:$AM$1226,"&lt;&gt;YES - Paid In Full",'FUNDED DEALS'!$AM$4:$AM$1226,"&lt;&gt;Clawed Back",'FUNDED DEALS'!$AM$4:$AM$1226,"&lt;&gt;NO - Never got paid")+SUMIFS('FUNDED DEALS 2027'!$O$4:$O$1226,'FUNDED DEALS 2027'!$E$4:$E$1226,$J26,'FUNDED DEALS 2027'!$AM$4:$AM$1226,"&lt;&gt;YES - Paid In Full",'FUNDED DEALS 2027'!$AM$4:$AM$1226,"&lt;&gt;Clawed Back",'FUNDED DEALS 2027'!$AM$4:$AM$1226,"&lt;&gt;NO - Never got paid"))</f>
        <v>0</v>
      </c>
    </row>
    <row r="27" customFormat="false" ht="15" hidden="false" customHeight="false" outlineLevel="0" collapsed="false">
      <c r="A27" s="50" t="str">
        <f aca="false">IF(REPS!A19="","",REPS!A19)</f>
        <v>Netanel Benjamin</v>
      </c>
      <c r="B27" s="51" t="n">
        <f aca="false">IF($A27="","",SUMIFS('FUNDED DEALS'!$V$4:$V$1226,'FUNDED DEALS'!$T$4:$T$1226,$A27)+SUMIFS('FUNDED DEALS 2027'!$V$4:$V$1226,'FUNDED DEALS 2027'!$T$4:$T$1226,$A27))</f>
        <v>0</v>
      </c>
      <c r="C27" s="51" t="n">
        <f aca="false">IF($A27="","",SUMIFS('FUNDED DEALS'!$Y$4:$Y$1226,'FUNDED DEALS'!$W$4:$W$1226,$A27)+SUMIFS('FUNDED DEALS 2027'!$Y$4:$Y$1226,'FUNDED DEALS 2027'!$W$4:$W$1226,$A27))</f>
        <v>0</v>
      </c>
      <c r="D27" s="51" t="n">
        <f aca="false">IF($A27="","",SUMIFS('FUNDED DEALS'!$AB$4:$AB$1226,'FUNDED DEALS'!$Z$4:$Z$1226,$A27)+SUMIFS('FUNDED DEALS 2027'!$AB$4:$AB$1226,'FUNDED DEALS 2027'!$Z$4:$Z$1226,$A27))</f>
        <v>0</v>
      </c>
      <c r="E27" s="51" t="n">
        <f aca="false">IF($A27="","",B27+C27+D27)</f>
        <v>0</v>
      </c>
      <c r="J27" s="50" t="str">
        <f aca="false">IF(SETTINGS!E4="","",SETTINGS!E4)</f>
        <v>ROWAN</v>
      </c>
      <c r="K27" s="52" t="n">
        <f aca="false">IF($J27="","",COUNTIFS('FUNDED DEALS'!$E$4:$E$1226,$J27)+COUNTIFS('FUNDED DEALS 2027'!$E$4:$E$1226,$J27))</f>
        <v>0</v>
      </c>
      <c r="L27" s="51" t="n">
        <f aca="false">IF($J27="","",SUMIFS('FUNDED DEALS'!$G$4:$G$1226,'FUNDED DEALS'!$E$4:$E$1226,$J27)+SUMIFS('FUNDED DEALS 2027'!$G$4:$G$1226,'FUNDED DEALS 2027'!$E$4:$E$1226,$J27))</f>
        <v>0</v>
      </c>
      <c r="M27" s="51" t="n">
        <f aca="false">IF($J27="","",SUMIFS('FUNDED DEALS'!$O$4:$O$1226,'FUNDED DEALS'!$E$4:$E$1226,$J27)+SUMIFS('FUNDED DEALS 2027'!$O$4:$O$1226,'FUNDED DEALS 2027'!$E$4:$E$1226,$J27))</f>
        <v>0</v>
      </c>
      <c r="N27" s="51" t="n">
        <f aca="false">IF($J27="","",SUMIFS('FUNDED DEALS'!$O$4:$O$1226,'FUNDED DEALS'!$E$4:$E$1226,$J27,'FUNDED DEALS'!$AM$4:$AM$1226,"&lt;&gt;YES - Paid In Full",'FUNDED DEALS'!$AM$4:$AM$1226,"&lt;&gt;Clawed Back",'FUNDED DEALS'!$AM$4:$AM$1226,"&lt;&gt;NO - Never got paid")+SUMIFS('FUNDED DEALS 2027'!$O$4:$O$1226,'FUNDED DEALS 2027'!$E$4:$E$1226,$J27,'FUNDED DEALS 2027'!$AM$4:$AM$1226,"&lt;&gt;YES - Paid In Full",'FUNDED DEALS 2027'!$AM$4:$AM$1226,"&lt;&gt;Clawed Back",'FUNDED DEALS 2027'!$AM$4:$AM$1226,"&lt;&gt;NO - Never got paid"))</f>
        <v>0</v>
      </c>
    </row>
    <row r="28" customFormat="false" ht="15" hidden="false" customHeight="false" outlineLevel="0" collapsed="false">
      <c r="A28" s="47" t="str">
        <f aca="false">IF(REPS!A20="","",REPS!A20)</f>
        <v>Solomon Gold</v>
      </c>
      <c r="B28" s="48" t="n">
        <f aca="false">IF($A28="","",SUMIFS('FUNDED DEALS'!$V$4:$V$1226,'FUNDED DEALS'!$T$4:$T$1226,$A28)+SUMIFS('FUNDED DEALS 2027'!$V$4:$V$1226,'FUNDED DEALS 2027'!$T$4:$T$1226,$A28))</f>
        <v>0</v>
      </c>
      <c r="C28" s="48" t="n">
        <f aca="false">IF($A28="","",SUMIFS('FUNDED DEALS'!$Y$4:$Y$1226,'FUNDED DEALS'!$W$4:$W$1226,$A28)+SUMIFS('FUNDED DEALS 2027'!$Y$4:$Y$1226,'FUNDED DEALS 2027'!$W$4:$W$1226,$A28))</f>
        <v>0</v>
      </c>
      <c r="D28" s="48" t="n">
        <f aca="false">IF($A28="","",SUMIFS('FUNDED DEALS'!$AB$4:$AB$1226,'FUNDED DEALS'!$Z$4:$Z$1226,$A28)+SUMIFS('FUNDED DEALS 2027'!$AB$4:$AB$1226,'FUNDED DEALS 2027'!$Z$4:$Z$1226,$A28))</f>
        <v>0</v>
      </c>
      <c r="E28" s="48" t="n">
        <f aca="false">IF($A28="","",B28+C28+D28)</f>
        <v>0</v>
      </c>
      <c r="J28" s="47" t="str">
        <f aca="false">IF(SETTINGS!E5="","",SETTINGS!E5)</f>
        <v>ENOD CAPITAL</v>
      </c>
      <c r="K28" s="49" t="n">
        <f aca="false">IF($J28="","",COUNTIFS('FUNDED DEALS'!$E$4:$E$1226,$J28)+COUNTIFS('FUNDED DEALS 2027'!$E$4:$E$1226,$J28))</f>
        <v>0</v>
      </c>
      <c r="L28" s="48" t="n">
        <f aca="false">IF($J28="","",SUMIFS('FUNDED DEALS'!$G$4:$G$1226,'FUNDED DEALS'!$E$4:$E$1226,$J28)+SUMIFS('FUNDED DEALS 2027'!$G$4:$G$1226,'FUNDED DEALS 2027'!$E$4:$E$1226,$J28))</f>
        <v>0</v>
      </c>
      <c r="M28" s="48" t="n">
        <f aca="false">IF($J28="","",SUMIFS('FUNDED DEALS'!$O$4:$O$1226,'FUNDED DEALS'!$E$4:$E$1226,$J28)+SUMIFS('FUNDED DEALS 2027'!$O$4:$O$1226,'FUNDED DEALS 2027'!$E$4:$E$1226,$J28))</f>
        <v>0</v>
      </c>
      <c r="N28" s="48" t="n">
        <f aca="false">IF($J28="","",SUMIFS('FUNDED DEALS'!$O$4:$O$1226,'FUNDED DEALS'!$E$4:$E$1226,$J28,'FUNDED DEALS'!$AM$4:$AM$1226,"&lt;&gt;YES - Paid In Full",'FUNDED DEALS'!$AM$4:$AM$1226,"&lt;&gt;Clawed Back",'FUNDED DEALS'!$AM$4:$AM$1226,"&lt;&gt;NO - Never got paid")+SUMIFS('FUNDED DEALS 2027'!$O$4:$O$1226,'FUNDED DEALS 2027'!$E$4:$E$1226,$J28,'FUNDED DEALS 2027'!$AM$4:$AM$1226,"&lt;&gt;YES - Paid In Full",'FUNDED DEALS 2027'!$AM$4:$AM$1226,"&lt;&gt;Clawed Back",'FUNDED DEALS 2027'!$AM$4:$AM$1226,"&lt;&gt;NO - Never got paid"))</f>
        <v>0</v>
      </c>
    </row>
    <row r="29" customFormat="false" ht="15" hidden="false" customHeight="false" outlineLevel="0" collapsed="false">
      <c r="A29" s="50" t="str">
        <f aca="false">IF(REPS!A21="","",REPS!A21)</f>
        <v>Mark Gold</v>
      </c>
      <c r="B29" s="51" t="n">
        <f aca="false">IF($A29="","",SUMIFS('FUNDED DEALS'!$V$4:$V$1226,'FUNDED DEALS'!$T$4:$T$1226,$A29)+SUMIFS('FUNDED DEALS 2027'!$V$4:$V$1226,'FUNDED DEALS 2027'!$T$4:$T$1226,$A29))</f>
        <v>0</v>
      </c>
      <c r="C29" s="51" t="n">
        <f aca="false">IF($A29="","",SUMIFS('FUNDED DEALS'!$Y$4:$Y$1226,'FUNDED DEALS'!$W$4:$W$1226,$A29)+SUMIFS('FUNDED DEALS 2027'!$Y$4:$Y$1226,'FUNDED DEALS 2027'!$W$4:$W$1226,$A29))</f>
        <v>0</v>
      </c>
      <c r="D29" s="51" t="n">
        <f aca="false">IF($A29="","",SUMIFS('FUNDED DEALS'!$AB$4:$AB$1226,'FUNDED DEALS'!$Z$4:$Z$1226,$A29)+SUMIFS('FUNDED DEALS 2027'!$AB$4:$AB$1226,'FUNDED DEALS 2027'!$Z$4:$Z$1226,$A29))</f>
        <v>0</v>
      </c>
      <c r="E29" s="51" t="n">
        <f aca="false">IF($A29="","",B29+C29+D29)</f>
        <v>0</v>
      </c>
      <c r="J29" s="50" t="str">
        <f aca="false">IF(SETTINGS!E6="","",SETTINGS!E6)</f>
        <v>IDEA</v>
      </c>
      <c r="K29" s="52" t="n">
        <f aca="false">IF($J29="","",COUNTIFS('FUNDED DEALS'!$E$4:$E$1226,$J29)+COUNTIFS('FUNDED DEALS 2027'!$E$4:$E$1226,$J29))</f>
        <v>0</v>
      </c>
      <c r="L29" s="51" t="n">
        <f aca="false">IF($J29="","",SUMIFS('FUNDED DEALS'!$G$4:$G$1226,'FUNDED DEALS'!$E$4:$E$1226,$J29)+SUMIFS('FUNDED DEALS 2027'!$G$4:$G$1226,'FUNDED DEALS 2027'!$E$4:$E$1226,$J29))</f>
        <v>0</v>
      </c>
      <c r="M29" s="51" t="n">
        <f aca="false">IF($J29="","",SUMIFS('FUNDED DEALS'!$O$4:$O$1226,'FUNDED DEALS'!$E$4:$E$1226,$J29)+SUMIFS('FUNDED DEALS 2027'!$O$4:$O$1226,'FUNDED DEALS 2027'!$E$4:$E$1226,$J29))</f>
        <v>0</v>
      </c>
      <c r="N29" s="51" t="n">
        <f aca="false">IF($J29="","",SUMIFS('FUNDED DEALS'!$O$4:$O$1226,'FUNDED DEALS'!$E$4:$E$1226,$J29,'FUNDED DEALS'!$AM$4:$AM$1226,"&lt;&gt;YES - Paid In Full",'FUNDED DEALS'!$AM$4:$AM$1226,"&lt;&gt;Clawed Back",'FUNDED DEALS'!$AM$4:$AM$1226,"&lt;&gt;NO - Never got paid")+SUMIFS('FUNDED DEALS 2027'!$O$4:$O$1226,'FUNDED DEALS 2027'!$E$4:$E$1226,$J29,'FUNDED DEALS 2027'!$AM$4:$AM$1226,"&lt;&gt;YES - Paid In Full",'FUNDED DEALS 2027'!$AM$4:$AM$1226,"&lt;&gt;Clawed Back",'FUNDED DEALS 2027'!$AM$4:$AM$1226,"&lt;&gt;NO - Never got paid"))</f>
        <v>0</v>
      </c>
    </row>
    <row r="30" customFormat="false" ht="15" hidden="false" customHeight="false" outlineLevel="0" collapsed="false">
      <c r="A30" s="47" t="str">
        <f aca="false">IF(REPS!A22="","",REPS!A22)</f>
        <v>Aaron Dahan</v>
      </c>
      <c r="B30" s="48" t="n">
        <f aca="false">IF($A30="","",SUMIFS('FUNDED DEALS'!$V$4:$V$1226,'FUNDED DEALS'!$T$4:$T$1226,$A30)+SUMIFS('FUNDED DEALS 2027'!$V$4:$V$1226,'FUNDED DEALS 2027'!$T$4:$T$1226,$A30))</f>
        <v>0</v>
      </c>
      <c r="C30" s="48" t="n">
        <f aca="false">IF($A30="","",SUMIFS('FUNDED DEALS'!$Y$4:$Y$1226,'FUNDED DEALS'!$W$4:$W$1226,$A30)+SUMIFS('FUNDED DEALS 2027'!$Y$4:$Y$1226,'FUNDED DEALS 2027'!$W$4:$W$1226,$A30))</f>
        <v>0</v>
      </c>
      <c r="D30" s="48" t="n">
        <f aca="false">IF($A30="","",SUMIFS('FUNDED DEALS'!$AB$4:$AB$1226,'FUNDED DEALS'!$Z$4:$Z$1226,$A30)+SUMIFS('FUNDED DEALS 2027'!$AB$4:$AB$1226,'FUNDED DEALS 2027'!$Z$4:$Z$1226,$A30))</f>
        <v>0</v>
      </c>
      <c r="E30" s="48" t="n">
        <f aca="false">IF($A30="","",B30+C30+D30)</f>
        <v>0</v>
      </c>
      <c r="J30" s="47" t="str">
        <f aca="false">IF(SETTINGS!E7="","",SETTINGS!E7)</f>
        <v>BIZPOINT</v>
      </c>
      <c r="K30" s="49" t="n">
        <f aca="false">IF($J30="","",COUNTIFS('FUNDED DEALS'!$E$4:$E$1226,$J30)+COUNTIFS('FUNDED DEALS 2027'!$E$4:$E$1226,$J30))</f>
        <v>0</v>
      </c>
      <c r="L30" s="48" t="n">
        <f aca="false">IF($J30="","",SUMIFS('FUNDED DEALS'!$G$4:$G$1226,'FUNDED DEALS'!$E$4:$E$1226,$J30)+SUMIFS('FUNDED DEALS 2027'!$G$4:$G$1226,'FUNDED DEALS 2027'!$E$4:$E$1226,$J30))</f>
        <v>0</v>
      </c>
      <c r="M30" s="48" t="n">
        <f aca="false">IF($J30="","",SUMIFS('FUNDED DEALS'!$O$4:$O$1226,'FUNDED DEALS'!$E$4:$E$1226,$J30)+SUMIFS('FUNDED DEALS 2027'!$O$4:$O$1226,'FUNDED DEALS 2027'!$E$4:$E$1226,$J30))</f>
        <v>0</v>
      </c>
      <c r="N30" s="48" t="n">
        <f aca="false">IF($J30="","",SUMIFS('FUNDED DEALS'!$O$4:$O$1226,'FUNDED DEALS'!$E$4:$E$1226,$J30,'FUNDED DEALS'!$AM$4:$AM$1226,"&lt;&gt;YES - Paid In Full",'FUNDED DEALS'!$AM$4:$AM$1226,"&lt;&gt;Clawed Back",'FUNDED DEALS'!$AM$4:$AM$1226,"&lt;&gt;NO - Never got paid")+SUMIFS('FUNDED DEALS 2027'!$O$4:$O$1226,'FUNDED DEALS 2027'!$E$4:$E$1226,$J30,'FUNDED DEALS 2027'!$AM$4:$AM$1226,"&lt;&gt;YES - Paid In Full",'FUNDED DEALS 2027'!$AM$4:$AM$1226,"&lt;&gt;Clawed Back",'FUNDED DEALS 2027'!$AM$4:$AM$1226,"&lt;&gt;NO - Never got paid"))</f>
        <v>0</v>
      </c>
    </row>
    <row r="31" customFormat="false" ht="15" hidden="false" customHeight="false" outlineLevel="0" collapsed="false">
      <c r="A31" s="50" t="str">
        <f aca="false">IF(REPS!A23="","",REPS!A23)</f>
        <v>Darren Wolf</v>
      </c>
      <c r="B31" s="51" t="n">
        <f aca="false">IF($A31="","",SUMIFS('FUNDED DEALS'!$V$4:$V$1226,'FUNDED DEALS'!$T$4:$T$1226,$A31)+SUMIFS('FUNDED DEALS 2027'!$V$4:$V$1226,'FUNDED DEALS 2027'!$T$4:$T$1226,$A31))</f>
        <v>0</v>
      </c>
      <c r="C31" s="51" t="n">
        <f aca="false">IF($A31="","",SUMIFS('FUNDED DEALS'!$Y$4:$Y$1226,'FUNDED DEALS'!$W$4:$W$1226,$A31)+SUMIFS('FUNDED DEALS 2027'!$Y$4:$Y$1226,'FUNDED DEALS 2027'!$W$4:$W$1226,$A31))</f>
        <v>0</v>
      </c>
      <c r="D31" s="51" t="n">
        <f aca="false">IF($A31="","",SUMIFS('FUNDED DEALS'!$AB$4:$AB$1226,'FUNDED DEALS'!$Z$4:$Z$1226,$A31)+SUMIFS('FUNDED DEALS 2027'!$AB$4:$AB$1226,'FUNDED DEALS 2027'!$Z$4:$Z$1226,$A31))</f>
        <v>0</v>
      </c>
      <c r="E31" s="51" t="n">
        <f aca="false">IF($A31="","",B31+C31+D31)</f>
        <v>0</v>
      </c>
      <c r="J31" s="50" t="str">
        <f aca="false">IF(SETTINGS!E8="","",SETTINGS!E8)</f>
        <v>Lendini</v>
      </c>
      <c r="K31" s="52" t="n">
        <f aca="false">IF($J31="","",COUNTIFS('FUNDED DEALS'!$E$4:$E$1226,$J31)+COUNTIFS('FUNDED DEALS 2027'!$E$4:$E$1226,$J31))</f>
        <v>0</v>
      </c>
      <c r="L31" s="51" t="n">
        <f aca="false">IF($J31="","",SUMIFS('FUNDED DEALS'!$G$4:$G$1226,'FUNDED DEALS'!$E$4:$E$1226,$J31)+SUMIFS('FUNDED DEALS 2027'!$G$4:$G$1226,'FUNDED DEALS 2027'!$E$4:$E$1226,$J31))</f>
        <v>0</v>
      </c>
      <c r="M31" s="51" t="n">
        <f aca="false">IF($J31="","",SUMIFS('FUNDED DEALS'!$O$4:$O$1226,'FUNDED DEALS'!$E$4:$E$1226,$J31)+SUMIFS('FUNDED DEALS 2027'!$O$4:$O$1226,'FUNDED DEALS 2027'!$E$4:$E$1226,$J31))</f>
        <v>0</v>
      </c>
      <c r="N31" s="51" t="n">
        <f aca="false">IF($J31="","",SUMIFS('FUNDED DEALS'!$O$4:$O$1226,'FUNDED DEALS'!$E$4:$E$1226,$J31,'FUNDED DEALS'!$AM$4:$AM$1226,"&lt;&gt;YES - Paid In Full",'FUNDED DEALS'!$AM$4:$AM$1226,"&lt;&gt;Clawed Back",'FUNDED DEALS'!$AM$4:$AM$1226,"&lt;&gt;NO - Never got paid")+SUMIFS('FUNDED DEALS 2027'!$O$4:$O$1226,'FUNDED DEALS 2027'!$E$4:$E$1226,$J31,'FUNDED DEALS 2027'!$AM$4:$AM$1226,"&lt;&gt;YES - Paid In Full",'FUNDED DEALS 2027'!$AM$4:$AM$1226,"&lt;&gt;Clawed Back",'FUNDED DEALS 2027'!$AM$4:$AM$1226,"&lt;&gt;NO - Never got paid"))</f>
        <v>0</v>
      </c>
    </row>
    <row r="32" customFormat="false" ht="15" hidden="false" customHeight="false" outlineLevel="0" collapsed="false">
      <c r="A32" s="47" t="str">
        <f aca="false">IF(REPS!A24="","",REPS!A24)</f>
        <v>David Silvers</v>
      </c>
      <c r="B32" s="48" t="n">
        <f aca="false">IF($A32="","",SUMIFS('FUNDED DEALS'!$V$4:$V$1226,'FUNDED DEALS'!$T$4:$T$1226,$A32)+SUMIFS('FUNDED DEALS 2027'!$V$4:$V$1226,'FUNDED DEALS 2027'!$T$4:$T$1226,$A32))</f>
        <v>0</v>
      </c>
      <c r="C32" s="48" t="n">
        <f aca="false">IF($A32="","",SUMIFS('FUNDED DEALS'!$Y$4:$Y$1226,'FUNDED DEALS'!$W$4:$W$1226,$A32)+SUMIFS('FUNDED DEALS 2027'!$Y$4:$Y$1226,'FUNDED DEALS 2027'!$W$4:$W$1226,$A32))</f>
        <v>0</v>
      </c>
      <c r="D32" s="48" t="n">
        <f aca="false">IF($A32="","",SUMIFS('FUNDED DEALS'!$AB$4:$AB$1226,'FUNDED DEALS'!$Z$4:$Z$1226,$A32)+SUMIFS('FUNDED DEALS 2027'!$AB$4:$AB$1226,'FUNDED DEALS 2027'!$Z$4:$Z$1226,$A32))</f>
        <v>0</v>
      </c>
      <c r="E32" s="48" t="n">
        <f aca="false">IF($A32="","",B32+C32+D32)</f>
        <v>0</v>
      </c>
      <c r="J32" s="47" t="str">
        <f aca="false">IF(SETTINGS!E9="","",SETTINGS!E9)</f>
        <v>WALL</v>
      </c>
      <c r="K32" s="49" t="n">
        <f aca="false">IF($J32="","",COUNTIFS('FUNDED DEALS'!$E$4:$E$1226,$J32)+COUNTIFS('FUNDED DEALS 2027'!$E$4:$E$1226,$J32))</f>
        <v>0</v>
      </c>
      <c r="L32" s="48" t="n">
        <f aca="false">IF($J32="","",SUMIFS('FUNDED DEALS'!$G$4:$G$1226,'FUNDED DEALS'!$E$4:$E$1226,$J32)+SUMIFS('FUNDED DEALS 2027'!$G$4:$G$1226,'FUNDED DEALS 2027'!$E$4:$E$1226,$J32))</f>
        <v>0</v>
      </c>
      <c r="M32" s="48" t="n">
        <f aca="false">IF($J32="","",SUMIFS('FUNDED DEALS'!$O$4:$O$1226,'FUNDED DEALS'!$E$4:$E$1226,$J32)+SUMIFS('FUNDED DEALS 2027'!$O$4:$O$1226,'FUNDED DEALS 2027'!$E$4:$E$1226,$J32))</f>
        <v>0</v>
      </c>
      <c r="N32" s="48" t="n">
        <f aca="false">IF($J32="","",SUMIFS('FUNDED DEALS'!$O$4:$O$1226,'FUNDED DEALS'!$E$4:$E$1226,$J32,'FUNDED DEALS'!$AM$4:$AM$1226,"&lt;&gt;YES - Paid In Full",'FUNDED DEALS'!$AM$4:$AM$1226,"&lt;&gt;Clawed Back",'FUNDED DEALS'!$AM$4:$AM$1226,"&lt;&gt;NO - Never got paid")+SUMIFS('FUNDED DEALS 2027'!$O$4:$O$1226,'FUNDED DEALS 2027'!$E$4:$E$1226,$J32,'FUNDED DEALS 2027'!$AM$4:$AM$1226,"&lt;&gt;YES - Paid In Full",'FUNDED DEALS 2027'!$AM$4:$AM$1226,"&lt;&gt;Clawed Back",'FUNDED DEALS 2027'!$AM$4:$AM$1226,"&lt;&gt;NO - Never got paid"))</f>
        <v>0</v>
      </c>
    </row>
    <row r="33" customFormat="false" ht="15" hidden="false" customHeight="false" outlineLevel="0" collapsed="false">
      <c r="A33" s="50" t="str">
        <f aca="false">IF(REPS!A25="","",REPS!A25)</f>
        <v>Jason Reed</v>
      </c>
      <c r="B33" s="51" t="n">
        <f aca="false">IF($A33="","",SUMIFS('FUNDED DEALS'!$V$4:$V$1226,'FUNDED DEALS'!$T$4:$T$1226,$A33)+SUMIFS('FUNDED DEALS 2027'!$V$4:$V$1226,'FUNDED DEALS 2027'!$T$4:$T$1226,$A33))</f>
        <v>0</v>
      </c>
      <c r="C33" s="51" t="n">
        <f aca="false">IF($A33="","",SUMIFS('FUNDED DEALS'!$Y$4:$Y$1226,'FUNDED DEALS'!$W$4:$W$1226,$A33)+SUMIFS('FUNDED DEALS 2027'!$Y$4:$Y$1226,'FUNDED DEALS 2027'!$W$4:$W$1226,$A33))</f>
        <v>0</v>
      </c>
      <c r="D33" s="51" t="n">
        <f aca="false">IF($A33="","",SUMIFS('FUNDED DEALS'!$AB$4:$AB$1226,'FUNDED DEALS'!$Z$4:$Z$1226,$A33)+SUMIFS('FUNDED DEALS 2027'!$AB$4:$AB$1226,'FUNDED DEALS 2027'!$Z$4:$Z$1226,$A33))</f>
        <v>0</v>
      </c>
      <c r="E33" s="51" t="n">
        <f aca="false">IF($A33="","",B33+C33+D33)</f>
        <v>0</v>
      </c>
      <c r="J33" s="50" t="str">
        <f aca="false">IF(SETTINGS!E10="","",SETTINGS!E10)</f>
        <v>UFS FUNDING</v>
      </c>
      <c r="K33" s="52" t="n">
        <f aca="false">IF($J33="","",COUNTIFS('FUNDED DEALS'!$E$4:$E$1226,$J33)+COUNTIFS('FUNDED DEALS 2027'!$E$4:$E$1226,$J33))</f>
        <v>0</v>
      </c>
      <c r="L33" s="51" t="n">
        <f aca="false">IF($J33="","",SUMIFS('FUNDED DEALS'!$G$4:$G$1226,'FUNDED DEALS'!$E$4:$E$1226,$J33)+SUMIFS('FUNDED DEALS 2027'!$G$4:$G$1226,'FUNDED DEALS 2027'!$E$4:$E$1226,$J33))</f>
        <v>0</v>
      </c>
      <c r="M33" s="51" t="n">
        <f aca="false">IF($J33="","",SUMIFS('FUNDED DEALS'!$O$4:$O$1226,'FUNDED DEALS'!$E$4:$E$1226,$J33)+SUMIFS('FUNDED DEALS 2027'!$O$4:$O$1226,'FUNDED DEALS 2027'!$E$4:$E$1226,$J33))</f>
        <v>0</v>
      </c>
      <c r="N33" s="51" t="n">
        <f aca="false">IF($J33="","",SUMIFS('FUNDED DEALS'!$O$4:$O$1226,'FUNDED DEALS'!$E$4:$E$1226,$J33,'FUNDED DEALS'!$AM$4:$AM$1226,"&lt;&gt;YES - Paid In Full",'FUNDED DEALS'!$AM$4:$AM$1226,"&lt;&gt;Clawed Back",'FUNDED DEALS'!$AM$4:$AM$1226,"&lt;&gt;NO - Never got paid")+SUMIFS('FUNDED DEALS 2027'!$O$4:$O$1226,'FUNDED DEALS 2027'!$E$4:$E$1226,$J33,'FUNDED DEALS 2027'!$AM$4:$AM$1226,"&lt;&gt;YES - Paid In Full",'FUNDED DEALS 2027'!$AM$4:$AM$1226,"&lt;&gt;Clawed Back",'FUNDED DEALS 2027'!$AM$4:$AM$1226,"&lt;&gt;NO - Never got paid"))</f>
        <v>0</v>
      </c>
    </row>
    <row r="34" customFormat="false" ht="15" hidden="false" customHeight="false" outlineLevel="0" collapsed="false">
      <c r="A34" s="47" t="str">
        <f aca="false">IF(REPS!A26="","",REPS!A26)</f>
        <v>Levi Forgash</v>
      </c>
      <c r="B34" s="48" t="n">
        <f aca="false">IF($A34="","",SUMIFS('FUNDED DEALS'!$V$4:$V$1226,'FUNDED DEALS'!$T$4:$T$1226,$A34)+SUMIFS('FUNDED DEALS 2027'!$V$4:$V$1226,'FUNDED DEALS 2027'!$T$4:$T$1226,$A34))</f>
        <v>0</v>
      </c>
      <c r="C34" s="48" t="n">
        <f aca="false">IF($A34="","",SUMIFS('FUNDED DEALS'!$Y$4:$Y$1226,'FUNDED DEALS'!$W$4:$W$1226,$A34)+SUMIFS('FUNDED DEALS 2027'!$Y$4:$Y$1226,'FUNDED DEALS 2027'!$W$4:$W$1226,$A34))</f>
        <v>0</v>
      </c>
      <c r="D34" s="48" t="n">
        <f aca="false">IF($A34="","",SUMIFS('FUNDED DEALS'!$AB$4:$AB$1226,'FUNDED DEALS'!$Z$4:$Z$1226,$A34)+SUMIFS('FUNDED DEALS 2027'!$AB$4:$AB$1226,'FUNDED DEALS 2027'!$Z$4:$Z$1226,$A34))</f>
        <v>0</v>
      </c>
      <c r="E34" s="48" t="n">
        <f aca="false">IF($A34="","",B34+C34+D34)</f>
        <v>0</v>
      </c>
      <c r="J34" s="47" t="str">
        <f aca="false">IF(SETTINGS!E11="","",SETTINGS!E11)</f>
        <v>MILVADO CAPITAL</v>
      </c>
      <c r="K34" s="49" t="n">
        <f aca="false">IF($J34="","",COUNTIFS('FUNDED DEALS'!$E$4:$E$1226,$J34)+COUNTIFS('FUNDED DEALS 2027'!$E$4:$E$1226,$J34))</f>
        <v>0</v>
      </c>
      <c r="L34" s="48" t="n">
        <f aca="false">IF($J34="","",SUMIFS('FUNDED DEALS'!$G$4:$G$1226,'FUNDED DEALS'!$E$4:$E$1226,$J34)+SUMIFS('FUNDED DEALS 2027'!$G$4:$G$1226,'FUNDED DEALS 2027'!$E$4:$E$1226,$J34))</f>
        <v>0</v>
      </c>
      <c r="M34" s="48" t="n">
        <f aca="false">IF($J34="","",SUMIFS('FUNDED DEALS'!$O$4:$O$1226,'FUNDED DEALS'!$E$4:$E$1226,$J34)+SUMIFS('FUNDED DEALS 2027'!$O$4:$O$1226,'FUNDED DEALS 2027'!$E$4:$E$1226,$J34))</f>
        <v>0</v>
      </c>
      <c r="N34" s="48" t="n">
        <f aca="false">IF($J34="","",SUMIFS('FUNDED DEALS'!$O$4:$O$1226,'FUNDED DEALS'!$E$4:$E$1226,$J34,'FUNDED DEALS'!$AM$4:$AM$1226,"&lt;&gt;YES - Paid In Full",'FUNDED DEALS'!$AM$4:$AM$1226,"&lt;&gt;Clawed Back",'FUNDED DEALS'!$AM$4:$AM$1226,"&lt;&gt;NO - Never got paid")+SUMIFS('FUNDED DEALS 2027'!$O$4:$O$1226,'FUNDED DEALS 2027'!$E$4:$E$1226,$J34,'FUNDED DEALS 2027'!$AM$4:$AM$1226,"&lt;&gt;YES - Paid In Full",'FUNDED DEALS 2027'!$AM$4:$AM$1226,"&lt;&gt;Clawed Back",'FUNDED DEALS 2027'!$AM$4:$AM$1226,"&lt;&gt;NO - Never got paid"))</f>
        <v>0</v>
      </c>
    </row>
    <row r="35" customFormat="false" ht="15" hidden="false" customHeight="false" outlineLevel="0" collapsed="false">
      <c r="A35" s="53" t="s">
        <v>98</v>
      </c>
      <c r="B35" s="54" t="n">
        <f aca="false">SUM(B10:B34)</f>
        <v>0</v>
      </c>
      <c r="C35" s="54" t="n">
        <f aca="false">SUM(C10:C34)</f>
        <v>0</v>
      </c>
      <c r="D35" s="54" t="n">
        <f aca="false">SUM(D10:D34)</f>
        <v>0</v>
      </c>
      <c r="E35" s="54" t="n">
        <f aca="false">SUM(E10:E34)</f>
        <v>0</v>
      </c>
      <c r="J35" s="50" t="str">
        <f aca="false">IF(SETTINGS!E12="","",SETTINGS!E12)</f>
        <v>Cetan Funds</v>
      </c>
      <c r="K35" s="52" t="n">
        <f aca="false">IF($J35="","",COUNTIFS('FUNDED DEALS'!$E$4:$E$1226,$J35)+COUNTIFS('FUNDED DEALS 2027'!$E$4:$E$1226,$J35))</f>
        <v>0</v>
      </c>
      <c r="L35" s="51" t="n">
        <f aca="false">IF($J35="","",SUMIFS('FUNDED DEALS'!$G$4:$G$1226,'FUNDED DEALS'!$E$4:$E$1226,$J35)+SUMIFS('FUNDED DEALS 2027'!$G$4:$G$1226,'FUNDED DEALS 2027'!$E$4:$E$1226,$J35))</f>
        <v>0</v>
      </c>
      <c r="M35" s="51" t="n">
        <f aca="false">IF($J35="","",SUMIFS('FUNDED DEALS'!$O$4:$O$1226,'FUNDED DEALS'!$E$4:$E$1226,$J35)+SUMIFS('FUNDED DEALS 2027'!$O$4:$O$1226,'FUNDED DEALS 2027'!$E$4:$E$1226,$J35))</f>
        <v>0</v>
      </c>
      <c r="N35" s="51" t="n">
        <f aca="false">IF($J35="","",SUMIFS('FUNDED DEALS'!$O$4:$O$1226,'FUNDED DEALS'!$E$4:$E$1226,$J35,'FUNDED DEALS'!$AM$4:$AM$1226,"&lt;&gt;YES - Paid In Full",'FUNDED DEALS'!$AM$4:$AM$1226,"&lt;&gt;Clawed Back",'FUNDED DEALS'!$AM$4:$AM$1226,"&lt;&gt;NO - Never got paid")+SUMIFS('FUNDED DEALS 2027'!$O$4:$O$1226,'FUNDED DEALS 2027'!$E$4:$E$1226,$J35,'FUNDED DEALS 2027'!$AM$4:$AM$1226,"&lt;&gt;YES - Paid In Full",'FUNDED DEALS 2027'!$AM$4:$AM$1226,"&lt;&gt;Clawed Back",'FUNDED DEALS 2027'!$AM$4:$AM$1226,"&lt;&gt;NO - Never got paid"))</f>
        <v>0</v>
      </c>
    </row>
    <row r="36" customFormat="false" ht="15" hidden="false" customHeight="false" outlineLevel="0" collapsed="false">
      <c r="J36" s="47" t="str">
        <f aca="false">IF(SETTINGS!E13="","",SETTINGS!E13)</f>
        <v/>
      </c>
      <c r="K36" s="49" t="str">
        <f aca="false">IF($J36="","",COUNTIFS('FUNDED DEALS'!$E$4:$E$1226,$J36)+COUNTIFS('FUNDED DEALS 2027'!$E$4:$E$1226,$J36))</f>
        <v/>
      </c>
      <c r="L36" s="48" t="str">
        <f aca="false">IF($J36="","",SUMIFS('FUNDED DEALS'!$G$4:$G$1226,'FUNDED DEALS'!$E$4:$E$1226,$J36)+SUMIFS('FUNDED DEALS 2027'!$G$4:$G$1226,'FUNDED DEALS 2027'!$E$4:$E$1226,$J36))</f>
        <v/>
      </c>
      <c r="M36" s="48" t="str">
        <f aca="false">IF($J36="","",SUMIFS('FUNDED DEALS'!$O$4:$O$1226,'FUNDED DEALS'!$E$4:$E$1226,$J36)+SUMIFS('FUNDED DEALS 2027'!$O$4:$O$1226,'FUNDED DEALS 2027'!$E$4:$E$1226,$J36))</f>
        <v/>
      </c>
      <c r="N36" s="48" t="str">
        <f aca="false">IF($J36="","",SUMIFS('FUNDED DEALS'!$O$4:$O$1226,'FUNDED DEALS'!$E$4:$E$1226,$J36,'FUNDED DEALS'!$AM$4:$AM$1226,"&lt;&gt;YES - Paid In Full",'FUNDED DEALS'!$AM$4:$AM$1226,"&lt;&gt;Clawed Back",'FUNDED DEALS'!$AM$4:$AM$1226,"&lt;&gt;NO - Never got paid")+SUMIFS('FUNDED DEALS 2027'!$O$4:$O$1226,'FUNDED DEALS 2027'!$E$4:$E$1226,$J36,'FUNDED DEALS 2027'!$AM$4:$AM$1226,"&lt;&gt;YES - Paid In Full",'FUNDED DEALS 2027'!$AM$4:$AM$1226,"&lt;&gt;Clawed Back",'FUNDED DEALS 2027'!$AM$4:$AM$1226,"&lt;&gt;NO - Never got paid"))</f>
        <v/>
      </c>
    </row>
    <row r="39" customFormat="false" ht="19.5" hidden="false" customHeight="true" outlineLevel="0" collapsed="false">
      <c r="J39" s="46" t="s">
        <v>99</v>
      </c>
      <c r="K39" s="46"/>
      <c r="L39" s="46"/>
      <c r="M39" s="46"/>
      <c r="N39" s="46"/>
    </row>
    <row r="40" customFormat="false" ht="15" hidden="false" customHeight="false" outlineLevel="0" collapsed="false">
      <c r="J40" s="55" t="s">
        <v>100</v>
      </c>
      <c r="K40" s="56" t="n">
        <f aca="false">SUMIF('FUNDED DEALS'!$AE$4:$AE$1226,"&gt;0")+SUMIF('FUNDED DEALS 2027'!$AE$4:$AE$1226,"&gt;0")</f>
        <v>0</v>
      </c>
    </row>
    <row r="41" customFormat="false" ht="15" hidden="false" customHeight="false" outlineLevel="0" collapsed="false">
      <c r="J41" s="57" t="s">
        <v>101</v>
      </c>
      <c r="K41" s="58" t="n">
        <f aca="false">SUMIF('FUNDED DEALS'!$AJ$4:$AJ$1226,"&gt;0")+SUMIF('FUNDED DEALS 2027'!$AJ$4:$AJ$1226,"&gt;0")</f>
        <v>0</v>
      </c>
    </row>
    <row r="42" customFormat="false" ht="15" hidden="false" customHeight="false" outlineLevel="0" collapsed="false">
      <c r="J42" s="55" t="s">
        <v>102</v>
      </c>
      <c r="K42" s="56" t="n">
        <f aca="false">SUMIF('FUNDED DEALS'!$AK$4:$AK$1226,"&gt;0")+SUMIF('FUNDED DEALS 2027'!$AK$4:$AK$1226,"&gt;0")</f>
        <v>0</v>
      </c>
    </row>
    <row r="43" customFormat="false" ht="15" hidden="false" customHeight="false" outlineLevel="0" collapsed="false">
      <c r="J43" s="57" t="s">
        <v>103</v>
      </c>
      <c r="K43" s="58" t="n">
        <f aca="false">SUMIFS('FUNDED DEALS'!$AD$4:$AD$1226,'FUNDED DEALS'!$AM$4:$AM$1226,"&lt;&gt;YES - Paid In Full",'FUNDED DEALS'!$AM$4:$AM$1226,"&lt;&gt;Clawed Back",'FUNDED DEALS'!$AM$4:$AM$1226,"&lt;&gt;NO - Never got paid",'FUNDED DEALS'!$C$4:$C$1226,"&lt;&gt;")+SUMIFS('FUNDED DEALS 2027'!$AD$4:$AD$1226,'FUNDED DEALS 2027'!$AM$4:$AM$1226,"&lt;&gt;YES - Paid In Full",'FUNDED DEALS 2027'!$AM$4:$AM$1226,"&lt;&gt;Clawed Back",'FUNDED DEALS 2027'!$AM$4:$AM$1226,"&lt;&gt;NO - Never got paid",'FUNDED DEALS 2027'!$C$4:$C$1226,"&lt;&gt;")</f>
        <v>0</v>
      </c>
    </row>
    <row r="45" customFormat="false" ht="19.5" hidden="false" customHeight="true" outlineLevel="0" collapsed="false">
      <c r="J45" s="46" t="s">
        <v>104</v>
      </c>
      <c r="K45" s="46"/>
      <c r="L45" s="46"/>
      <c r="M45" s="46"/>
      <c r="N45" s="46"/>
    </row>
    <row r="46" customFormat="false" ht="15" hidden="false" customHeight="false" outlineLevel="0" collapsed="false">
      <c r="J46" s="57" t="s">
        <v>105</v>
      </c>
      <c r="K46" s="58" t="n">
        <f aca="false">PARTNERS!K25</f>
        <v>0</v>
      </c>
    </row>
    <row r="47" customFormat="false" ht="15" hidden="false" customHeight="false" outlineLevel="0" collapsed="false">
      <c r="J47" s="59" t="s">
        <v>106</v>
      </c>
      <c r="K47" s="60" t="n">
        <f aca="false">'FUNDED DEALS'!AD1+'FUNDED DEALS 2027'!AD1+PARTNERS!K25</f>
        <v>0</v>
      </c>
    </row>
  </sheetData>
  <sheetProtection sheet="true"/>
  <mergeCells count="6">
    <mergeCell ref="A1:N1"/>
    <mergeCell ref="A8:E8"/>
    <mergeCell ref="J8:N8"/>
    <mergeCell ref="J23:N23"/>
    <mergeCell ref="J39:N39"/>
    <mergeCell ref="J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3" topLeftCell="A3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6" min="4" style="0" width="13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true" outlineLevel="0" max="10" min="10" style="0" width="13"/>
  </cols>
  <sheetData>
    <row r="1" customFormat="false" ht="30" hidden="false" customHeight="true" outlineLevel="0" collapsed="false">
      <c r="A1" s="40" t="s">
        <v>107</v>
      </c>
      <c r="B1" s="40"/>
      <c r="C1" s="40"/>
      <c r="D1" s="40"/>
      <c r="E1" s="40"/>
      <c r="F1" s="40"/>
      <c r="G1" s="40"/>
      <c r="H1" s="40"/>
    </row>
    <row r="3" customFormat="false" ht="25.5" hidden="false" customHeight="true" outlineLevel="0" collapsed="false">
      <c r="A3" s="61" t="s">
        <v>108</v>
      </c>
      <c r="B3" s="62"/>
      <c r="C3" s="42" t="s">
        <v>109</v>
      </c>
      <c r="D3" s="42" t="s">
        <v>110</v>
      </c>
      <c r="E3" s="42" t="s">
        <v>111</v>
      </c>
      <c r="F3" s="42" t="s">
        <v>112</v>
      </c>
      <c r="G3" s="42" t="s">
        <v>113</v>
      </c>
      <c r="H3" s="41" t="s">
        <v>114</v>
      </c>
    </row>
    <row r="4" customFormat="false" ht="24" hidden="false" customHeight="true" outlineLevel="0" collapsed="false">
      <c r="B4" s="62"/>
      <c r="C4" s="43" t="n">
        <f aca="false">IF($B$3="",SUMIFS('FUNDED DEALS'!$V$4:$V$1226,'FUNDED DEALS'!$C$4:$C$1226,"&lt;&gt;")+SUMIFS('FUNDED DEALS 2027'!$V$4:$V$1226,'FUNDED DEALS 2027'!$C$4:$C$1226,"&lt;&gt;"),SUMIFS('FUNDED DEALS'!$V$4:$V$1226,'FUNDED DEALS'!$T$4:$T$1226,$B$3)+SUMIFS('FUNDED DEALS 2027'!$V$4:$V$1226,'FUNDED DEALS 2027'!$T$4:$T$1226,$B$3))</f>
        <v>0</v>
      </c>
      <c r="D4" s="43" t="n">
        <f aca="false">IF($B$3="",SUMIFS('FUNDED DEALS'!$Y$4:$Y$1226,'FUNDED DEALS'!$C$4:$C$1226,"&lt;&gt;")+SUMIFS('FUNDED DEALS 2027'!$Y$4:$Y$1226,'FUNDED DEALS 2027'!$C$4:$C$1226,"&lt;&gt;"),SUMIFS('FUNDED DEALS'!$Y$4:$Y$1226,'FUNDED DEALS'!$W$4:$W$1226,$B$3)+SUMIFS('FUNDED DEALS 2027'!$Y$4:$Y$1226,'FUNDED DEALS 2027'!$W$4:$W$1226,$B$3))</f>
        <v>0</v>
      </c>
      <c r="E4" s="43" t="n">
        <f aca="false">IF($B$3="",SUMIFS('FUNDED DEALS'!$AC$4:$AC$1226,'FUNDED DEALS'!$C$4:$C$1226,"&lt;&gt;")+SUMIFS('FUNDED DEALS 2027'!$AC$4:$AC$1226,'FUNDED DEALS 2027'!$C$4:$C$1226,"&lt;&gt;"),SUMIFS('FUNDED DEALS'!$V$4:$V$1226,'FUNDED DEALS'!$T$4:$T$1226,$B$3)+SUMIFS('FUNDED DEALS 2027'!$V$4:$V$1226,'FUNDED DEALS 2027'!$T$4:$T$1226,$B$3)+SUMIFS('FUNDED DEALS'!$Y$4:$Y$1226,'FUNDED DEALS'!$W$4:$W$1226,$B$3)+SUMIFS('FUNDED DEALS 2027'!$Y$4:$Y$1226,'FUNDED DEALS 2027'!$W$4:$W$1226,$B$3)+SUMIFS('FUNDED DEALS'!$AB$4:$AB$1226,'FUNDED DEALS'!$Z$4:$Z$1226,$B$3)+SUMIFS('FUNDED DEALS 2027'!$AB$4:$AB$1226,'FUNDED DEALS 2027'!$Z$4:$Z$1226,$B$3))</f>
        <v>0</v>
      </c>
      <c r="F4" s="44" t="n">
        <f aca="false">IF($B$3="",SUMIFS('FUNDED DEALS'!$AC$4:$AC$1226,'FUNDED DEALS'!$C$4:$C$1226,"&lt;&gt;",'FUNDED DEALS'!$AO$4:$AO$1226,"&lt;&gt;")+SUMIFS('FUNDED DEALS 2027'!$AC$4:$AC$1226,'FUNDED DEALS 2027'!$C$4:$C$1226,"&lt;&gt;",'FUNDED DEALS 2027'!$AO$4:$AO$1226,"&lt;&gt;"),SUMIFS('FUNDED DEALS'!$V$4:$V$1226,'FUNDED DEALS'!$T$4:$T$1226,$B$3,'FUNDED DEALS'!$AO$4:$AO$1226,"&lt;&gt;")+SUMIFS('FUNDED DEALS 2027'!$V$4:$V$1226,'FUNDED DEALS 2027'!$T$4:$T$1226,$B$3,'FUNDED DEALS 2027'!$AO$4:$AO$1226,"&lt;&gt;")+SUMIFS('FUNDED DEALS'!$Y$4:$Y$1226,'FUNDED DEALS'!$W$4:$W$1226,$B$3,'FUNDED DEALS'!$AO$4:$AO$1226,"&lt;&gt;")+SUMIFS('FUNDED DEALS 2027'!$Y$4:$Y$1226,'FUNDED DEALS 2027'!$W$4:$W$1226,$B$3,'FUNDED DEALS 2027'!$AO$4:$AO$1226,"&lt;&gt;")+SUMIFS('FUNDED DEALS'!$AB$4:$AB$1226,'FUNDED DEALS'!$Z$4:$Z$1226,$B$3,'FUNDED DEALS'!$AO$4:$AO$1226,"&lt;&gt;")+SUMIFS('FUNDED DEALS 2027'!$AB$4:$AB$1226,'FUNDED DEALS 2027'!$Z$4:$Z$1226,$B$3,'FUNDED DEALS 2027'!$AO$4:$AO$1226,"&lt;&gt;"))</f>
        <v>0</v>
      </c>
      <c r="G4" s="45" t="n">
        <f aca="false">E4-F4</f>
        <v>0</v>
      </c>
      <c r="H4" s="41" t="s">
        <v>115</v>
      </c>
    </row>
    <row r="6" customFormat="false" ht="19.5" hidden="false" customHeight="true" outlineLevel="0" collapsed="false">
      <c r="A6" s="46" t="s">
        <v>116</v>
      </c>
      <c r="B6" s="46"/>
      <c r="C6" s="46"/>
      <c r="D6" s="46"/>
      <c r="E6" s="46"/>
      <c r="F6" s="46"/>
      <c r="G6" s="46"/>
      <c r="H6" s="46"/>
    </row>
    <row r="7" customFormat="false" ht="27.75" hidden="false" customHeight="true" outlineLevel="0" collapsed="false">
      <c r="A7" s="5" t="s">
        <v>117</v>
      </c>
      <c r="B7" s="5" t="s">
        <v>22</v>
      </c>
      <c r="C7" s="5" t="s">
        <v>25</v>
      </c>
      <c r="D7" s="5" t="s">
        <v>28</v>
      </c>
      <c r="E7" s="5" t="s">
        <v>118</v>
      </c>
      <c r="F7" s="5" t="s">
        <v>119</v>
      </c>
      <c r="G7" s="5" t="s">
        <v>120</v>
      </c>
    </row>
    <row r="8" customFormat="false" ht="15" hidden="false" customHeight="false" outlineLevel="0" collapsed="false">
      <c r="A8" s="49" t="s">
        <v>121</v>
      </c>
      <c r="B8" s="48" t="n">
        <f aca="false">IF($B$3="",SUMIFS('FUNDED DEALS'!$V$4:$V$1226,'FUNDED DEALS'!$C$4:$C$1226,"&lt;&gt;",'FUNDED DEALS'!$C$4:$C$1226,"&gt;="&amp;DATE(2026,4,1),'FUNDED DEALS'!$C$4:$C$1226,"&lt;"&amp;DATE(2026,5,1))+SUMIFS('FUNDED DEALS 2027'!$V$4:$V$1226,'FUNDED DEALS 2027'!$C$4:$C$1226,"&lt;&gt;",'FUNDED DEALS 2027'!$C$4:$C$1226,"&gt;="&amp;DATE(2026,4,1),'FUNDED DEALS 2027'!$C$4:$C$1226,"&lt;"&amp;DATE(2026,5,1)),SUMIFS('FUNDED DEALS'!$V$4:$V$1226,'FUNDED DEALS'!$T$4:$T$1226,$B$3,'FUNDED DEALS'!$C$4:$C$1226,"&gt;="&amp;DATE(2026,4,1),'FUNDED DEALS'!$C$4:$C$1226,"&lt;"&amp;DATE(2026,5,1))+SUMIFS('FUNDED DEALS 2027'!$V$4:$V$1226,'FUNDED DEALS 2027'!$T$4:$T$1226,$B$3,'FUNDED DEALS 2027'!$C$4:$C$1226,"&gt;="&amp;DATE(2026,4,1),'FUNDED DEALS 2027'!$C$4:$C$1226,"&lt;"&amp;DATE(2026,5,1)))</f>
        <v>0</v>
      </c>
      <c r="C8" s="48" t="n">
        <f aca="false">IF($B$3="",SUMIFS('FUNDED DEALS'!$Y$4:$Y$1226,'FUNDED DEALS'!$C$4:$C$1226,"&lt;&gt;",'FUNDED DEALS'!$C$4:$C$1226,"&gt;="&amp;DATE(2026,4,1),'FUNDED DEALS'!$C$4:$C$1226,"&lt;"&amp;DATE(2026,5,1))+SUMIFS('FUNDED DEALS 2027'!$Y$4:$Y$1226,'FUNDED DEALS 2027'!$C$4:$C$1226,"&lt;&gt;",'FUNDED DEALS 2027'!$C$4:$C$1226,"&gt;="&amp;DATE(2026,4,1),'FUNDED DEALS 2027'!$C$4:$C$1226,"&lt;"&amp;DATE(2026,5,1)),SUMIFS('FUNDED DEALS'!$Y$4:$Y$1226,'FUNDED DEALS'!$W$4:$W$1226,$B$3,'FUNDED DEALS'!$C$4:$C$1226,"&gt;="&amp;DATE(2026,4,1),'FUNDED DEALS'!$C$4:$C$1226,"&lt;"&amp;DATE(2026,5,1))+SUMIFS('FUNDED DEALS 2027'!$Y$4:$Y$1226,'FUNDED DEALS 2027'!$W$4:$W$1226,$B$3,'FUNDED DEALS 2027'!$C$4:$C$1226,"&gt;="&amp;DATE(2026,4,1),'FUNDED DEALS 2027'!$C$4:$C$1226,"&lt;"&amp;DATE(2026,5,1)))</f>
        <v>0</v>
      </c>
      <c r="D8" s="48" t="n">
        <f aca="false">IF($B$3="",SUMIFS('FUNDED DEALS'!$AB$4:$AB$1226,'FUNDED DEALS'!$C$4:$C$1226,"&lt;&gt;",'FUNDED DEALS'!$C$4:$C$1226,"&gt;="&amp;DATE(2026,4,1),'FUNDED DEALS'!$C$4:$C$1226,"&lt;"&amp;DATE(2026,5,1))+SUMIFS('FUNDED DEALS 2027'!$AB$4:$AB$1226,'FUNDED DEALS 2027'!$C$4:$C$1226,"&lt;&gt;",'FUNDED DEALS 2027'!$C$4:$C$1226,"&gt;="&amp;DATE(2026,4,1),'FUNDED DEALS 2027'!$C$4:$C$1226,"&lt;"&amp;DATE(2026,5,1)),SUMIFS('FUNDED DEALS'!$AB$4:$AB$1226,'FUNDED DEALS'!$Z$4:$Z$1226,$B$3,'FUNDED DEALS'!$C$4:$C$1226,"&gt;="&amp;DATE(2026,4,1),'FUNDED DEALS'!$C$4:$C$1226,"&lt;"&amp;DATE(2026,5,1))+SUMIFS('FUNDED DEALS 2027'!$AB$4:$AB$1226,'FUNDED DEALS 2027'!$Z$4:$Z$1226,$B$3,'FUNDED DEALS 2027'!$C$4:$C$1226,"&gt;="&amp;DATE(2026,4,1),'FUNDED DEALS 2027'!$C$4:$C$1226,"&lt;"&amp;DATE(2026,5,1)))</f>
        <v>0</v>
      </c>
      <c r="E8" s="48" t="n">
        <f aca="false">B8+C8+D8</f>
        <v>0</v>
      </c>
      <c r="F8" s="48" t="n">
        <f aca="false">IF($B$3="",SUMIFS('FUNDED DEALS'!$AC$4:$AC$1226,'FUNDED DEALS'!$C$4:$C$1226,"&lt;&gt;",'FUNDED DEALS'!$AO$4:$AO$1226,"&lt;&gt;",'FUNDED DEALS'!$C$4:$C$1226,"&gt;="&amp;DATE(2026,4,1),'FUNDED DEALS'!$C$4:$C$1226,"&lt;"&amp;DATE(2026,5,1))+SUMIFS('FUNDED DEALS 2027'!$AC$4:$AC$1226,'FUNDED DEALS 2027'!$C$4:$C$1226,"&lt;&gt;",'FUNDED DEALS 2027'!$AO$4:$AO$1226,"&lt;&gt;",'FUNDED DEALS 2027'!$C$4:$C$1226,"&gt;="&amp;DATE(2026,4,1),'FUNDED DEALS 2027'!$C$4:$C$1226,"&lt;"&amp;DATE(2026,5,1)),SUMIFS('FUNDED DEALS'!$V$4:$V$1226,'FUNDED DEALS'!$T$4:$T$1226,$B$3,'FUNDED DEALS'!$AO$4:$AO$1226,"&lt;&gt;",'FUNDED DEALS'!$C$4:$C$1226,"&gt;="&amp;DATE(2026,4,1),'FUNDED DEALS'!$C$4:$C$1226,"&lt;"&amp;DATE(2026,5,1))+SUMIFS('FUNDED DEALS 2027'!$V$4:$V$1226,'FUNDED DEALS 2027'!$T$4:$T$1226,$B$3,'FUNDED DEALS 2027'!$AO$4:$AO$1226,"&lt;&gt;",'FUNDED DEALS 2027'!$C$4:$C$1226,"&gt;="&amp;DATE(2026,4,1),'FUNDED DEALS 2027'!$C$4:$C$1226,"&lt;"&amp;DATE(2026,5,1))+SUMIFS('FUNDED DEALS'!$Y$4:$Y$1226,'FUNDED DEALS'!$W$4:$W$1226,$B$3,'FUNDED DEALS'!$AO$4:$AO$1226,"&lt;&gt;",'FUNDED DEALS'!$C$4:$C$1226,"&gt;="&amp;DATE(2026,4,1),'FUNDED DEALS'!$C$4:$C$1226,"&lt;"&amp;DATE(2026,5,1))+SUMIFS('FUNDED DEALS 2027'!$Y$4:$Y$1226,'FUNDED DEALS 2027'!$W$4:$W$1226,$B$3,'FUNDED DEALS 2027'!$AO$4:$AO$1226,"&lt;&gt;",'FUNDED DEALS 2027'!$C$4:$C$1226,"&gt;="&amp;DATE(2026,4,1),'FUNDED DEALS 2027'!$C$4:$C$1226,"&lt;"&amp;DATE(2026,5,1))+SUMIFS('FUNDED DEALS'!$AB$4:$AB$1226,'FUNDED DEALS'!$Z$4:$Z$1226,$B$3,'FUNDED DEALS'!$AO$4:$AO$1226,"&lt;&gt;",'FUNDED DEALS'!$C$4:$C$1226,"&gt;="&amp;DATE(2026,4,1),'FUNDED DEALS'!$C$4:$C$1226,"&lt;"&amp;DATE(2026,5,1))+SUMIFS('FUNDED DEALS 2027'!$AB$4:$AB$1226,'FUNDED DEALS 2027'!$Z$4:$Z$1226,$B$3,'FUNDED DEALS 2027'!$AO$4:$AO$1226,"&lt;&gt;",'FUNDED DEALS 2027'!$C$4:$C$1226,"&gt;="&amp;DATE(2026,4,1),'FUNDED DEALS 2027'!$C$4:$C$1226,"&lt;"&amp;DATE(2026,5,1)))</f>
        <v>0</v>
      </c>
      <c r="G8" s="48" t="n">
        <f aca="false">E8-F8</f>
        <v>0</v>
      </c>
    </row>
    <row r="9" customFormat="false" ht="15" hidden="false" customHeight="false" outlineLevel="0" collapsed="false">
      <c r="A9" s="52" t="s">
        <v>122</v>
      </c>
      <c r="B9" s="51" t="n">
        <f aca="false">IF($B$3="",SUMIFS('FUNDED DEALS'!$V$4:$V$1226,'FUNDED DEALS'!$C$4:$C$1226,"&lt;&gt;",'FUNDED DEALS'!$C$4:$C$1226,"&gt;="&amp;DATE(2026,5,1),'FUNDED DEALS'!$C$4:$C$1226,"&lt;"&amp;DATE(2026,6,1))+SUMIFS('FUNDED DEALS 2027'!$V$4:$V$1226,'FUNDED DEALS 2027'!$C$4:$C$1226,"&lt;&gt;",'FUNDED DEALS 2027'!$C$4:$C$1226,"&gt;="&amp;DATE(2026,5,1),'FUNDED DEALS 2027'!$C$4:$C$1226,"&lt;"&amp;DATE(2026,6,1)),SUMIFS('FUNDED DEALS'!$V$4:$V$1226,'FUNDED DEALS'!$T$4:$T$1226,$B$3,'FUNDED DEALS'!$C$4:$C$1226,"&gt;="&amp;DATE(2026,5,1),'FUNDED DEALS'!$C$4:$C$1226,"&lt;"&amp;DATE(2026,6,1))+SUMIFS('FUNDED DEALS 2027'!$V$4:$V$1226,'FUNDED DEALS 2027'!$T$4:$T$1226,$B$3,'FUNDED DEALS 2027'!$C$4:$C$1226,"&gt;="&amp;DATE(2026,5,1),'FUNDED DEALS 2027'!$C$4:$C$1226,"&lt;"&amp;DATE(2026,6,1)))</f>
        <v>0</v>
      </c>
      <c r="C9" s="51" t="n">
        <f aca="false">IF($B$3="",SUMIFS('FUNDED DEALS'!$Y$4:$Y$1226,'FUNDED DEALS'!$C$4:$C$1226,"&lt;&gt;",'FUNDED DEALS'!$C$4:$C$1226,"&gt;="&amp;DATE(2026,5,1),'FUNDED DEALS'!$C$4:$C$1226,"&lt;"&amp;DATE(2026,6,1))+SUMIFS('FUNDED DEALS 2027'!$Y$4:$Y$1226,'FUNDED DEALS 2027'!$C$4:$C$1226,"&lt;&gt;",'FUNDED DEALS 2027'!$C$4:$C$1226,"&gt;="&amp;DATE(2026,5,1),'FUNDED DEALS 2027'!$C$4:$C$1226,"&lt;"&amp;DATE(2026,6,1)),SUMIFS('FUNDED DEALS'!$Y$4:$Y$1226,'FUNDED DEALS'!$W$4:$W$1226,$B$3,'FUNDED DEALS'!$C$4:$C$1226,"&gt;="&amp;DATE(2026,5,1),'FUNDED DEALS'!$C$4:$C$1226,"&lt;"&amp;DATE(2026,6,1))+SUMIFS('FUNDED DEALS 2027'!$Y$4:$Y$1226,'FUNDED DEALS 2027'!$W$4:$W$1226,$B$3,'FUNDED DEALS 2027'!$C$4:$C$1226,"&gt;="&amp;DATE(2026,5,1),'FUNDED DEALS 2027'!$C$4:$C$1226,"&lt;"&amp;DATE(2026,6,1)))</f>
        <v>0</v>
      </c>
      <c r="D9" s="51" t="n">
        <f aca="false">IF($B$3="",SUMIFS('FUNDED DEALS'!$AB$4:$AB$1226,'FUNDED DEALS'!$C$4:$C$1226,"&lt;&gt;",'FUNDED DEALS'!$C$4:$C$1226,"&gt;="&amp;DATE(2026,5,1),'FUNDED DEALS'!$C$4:$C$1226,"&lt;"&amp;DATE(2026,6,1))+SUMIFS('FUNDED DEALS 2027'!$AB$4:$AB$1226,'FUNDED DEALS 2027'!$C$4:$C$1226,"&lt;&gt;",'FUNDED DEALS 2027'!$C$4:$C$1226,"&gt;="&amp;DATE(2026,5,1),'FUNDED DEALS 2027'!$C$4:$C$1226,"&lt;"&amp;DATE(2026,6,1)),SUMIFS('FUNDED DEALS'!$AB$4:$AB$1226,'FUNDED DEALS'!$Z$4:$Z$1226,$B$3,'FUNDED DEALS'!$C$4:$C$1226,"&gt;="&amp;DATE(2026,5,1),'FUNDED DEALS'!$C$4:$C$1226,"&lt;"&amp;DATE(2026,6,1))+SUMIFS('FUNDED DEALS 2027'!$AB$4:$AB$1226,'FUNDED DEALS 2027'!$Z$4:$Z$1226,$B$3,'FUNDED DEALS 2027'!$C$4:$C$1226,"&gt;="&amp;DATE(2026,5,1),'FUNDED DEALS 2027'!$C$4:$C$1226,"&lt;"&amp;DATE(2026,6,1)))</f>
        <v>0</v>
      </c>
      <c r="E9" s="51" t="n">
        <f aca="false">B9+C9+D9</f>
        <v>0</v>
      </c>
      <c r="F9" s="51" t="n">
        <f aca="false">IF($B$3="",SUMIFS('FUNDED DEALS'!$AC$4:$AC$1226,'FUNDED DEALS'!$C$4:$C$1226,"&lt;&gt;",'FUNDED DEALS'!$AO$4:$AO$1226,"&lt;&gt;",'FUNDED DEALS'!$C$4:$C$1226,"&gt;="&amp;DATE(2026,5,1),'FUNDED DEALS'!$C$4:$C$1226,"&lt;"&amp;DATE(2026,6,1))+SUMIFS('FUNDED DEALS 2027'!$AC$4:$AC$1226,'FUNDED DEALS 2027'!$C$4:$C$1226,"&lt;&gt;",'FUNDED DEALS 2027'!$AO$4:$AO$1226,"&lt;&gt;",'FUNDED DEALS 2027'!$C$4:$C$1226,"&gt;="&amp;DATE(2026,5,1),'FUNDED DEALS 2027'!$C$4:$C$1226,"&lt;"&amp;DATE(2026,6,1)),SUMIFS('FUNDED DEALS'!$V$4:$V$1226,'FUNDED DEALS'!$T$4:$T$1226,$B$3,'FUNDED DEALS'!$AO$4:$AO$1226,"&lt;&gt;",'FUNDED DEALS'!$C$4:$C$1226,"&gt;="&amp;DATE(2026,5,1),'FUNDED DEALS'!$C$4:$C$1226,"&lt;"&amp;DATE(2026,6,1))+SUMIFS('FUNDED DEALS 2027'!$V$4:$V$1226,'FUNDED DEALS 2027'!$T$4:$T$1226,$B$3,'FUNDED DEALS 2027'!$AO$4:$AO$1226,"&lt;&gt;",'FUNDED DEALS 2027'!$C$4:$C$1226,"&gt;="&amp;DATE(2026,5,1),'FUNDED DEALS 2027'!$C$4:$C$1226,"&lt;"&amp;DATE(2026,6,1))+SUMIFS('FUNDED DEALS'!$Y$4:$Y$1226,'FUNDED DEALS'!$W$4:$W$1226,$B$3,'FUNDED DEALS'!$AO$4:$AO$1226,"&lt;&gt;",'FUNDED DEALS'!$C$4:$C$1226,"&gt;="&amp;DATE(2026,5,1),'FUNDED DEALS'!$C$4:$C$1226,"&lt;"&amp;DATE(2026,6,1))+SUMIFS('FUNDED DEALS 2027'!$Y$4:$Y$1226,'FUNDED DEALS 2027'!$W$4:$W$1226,$B$3,'FUNDED DEALS 2027'!$AO$4:$AO$1226,"&lt;&gt;",'FUNDED DEALS 2027'!$C$4:$C$1226,"&gt;="&amp;DATE(2026,5,1),'FUNDED DEALS 2027'!$C$4:$C$1226,"&lt;"&amp;DATE(2026,6,1))+SUMIFS('FUNDED DEALS'!$AB$4:$AB$1226,'FUNDED DEALS'!$Z$4:$Z$1226,$B$3,'FUNDED DEALS'!$AO$4:$AO$1226,"&lt;&gt;",'FUNDED DEALS'!$C$4:$C$1226,"&gt;="&amp;DATE(2026,5,1),'FUNDED DEALS'!$C$4:$C$1226,"&lt;"&amp;DATE(2026,6,1))+SUMIFS('FUNDED DEALS 2027'!$AB$4:$AB$1226,'FUNDED DEALS 2027'!$Z$4:$Z$1226,$B$3,'FUNDED DEALS 2027'!$AO$4:$AO$1226,"&lt;&gt;",'FUNDED DEALS 2027'!$C$4:$C$1226,"&gt;="&amp;DATE(2026,5,1),'FUNDED DEALS 2027'!$C$4:$C$1226,"&lt;"&amp;DATE(2026,6,1)))</f>
        <v>0</v>
      </c>
      <c r="G9" s="51" t="n">
        <f aca="false">E9-F9</f>
        <v>0</v>
      </c>
    </row>
    <row r="10" customFormat="false" ht="15" hidden="false" customHeight="false" outlineLevel="0" collapsed="false">
      <c r="A10" s="49" t="s">
        <v>123</v>
      </c>
      <c r="B10" s="48" t="n">
        <f aca="false">IF($B$3="",SUMIFS('FUNDED DEALS'!$V$4:$V$1226,'FUNDED DEALS'!$C$4:$C$1226,"&lt;&gt;",'FUNDED DEALS'!$C$4:$C$1226,"&gt;="&amp;DATE(2026,6,1),'FUNDED DEALS'!$C$4:$C$1226,"&lt;"&amp;DATE(2026,7,1))+SUMIFS('FUNDED DEALS 2027'!$V$4:$V$1226,'FUNDED DEALS 2027'!$C$4:$C$1226,"&lt;&gt;",'FUNDED DEALS 2027'!$C$4:$C$1226,"&gt;="&amp;DATE(2026,6,1),'FUNDED DEALS 2027'!$C$4:$C$1226,"&lt;"&amp;DATE(2026,7,1)),SUMIFS('FUNDED DEALS'!$V$4:$V$1226,'FUNDED DEALS'!$T$4:$T$1226,$B$3,'FUNDED DEALS'!$C$4:$C$1226,"&gt;="&amp;DATE(2026,6,1),'FUNDED DEALS'!$C$4:$C$1226,"&lt;"&amp;DATE(2026,7,1))+SUMIFS('FUNDED DEALS 2027'!$V$4:$V$1226,'FUNDED DEALS 2027'!$T$4:$T$1226,$B$3,'FUNDED DEALS 2027'!$C$4:$C$1226,"&gt;="&amp;DATE(2026,6,1),'FUNDED DEALS 2027'!$C$4:$C$1226,"&lt;"&amp;DATE(2026,7,1)))</f>
        <v>0</v>
      </c>
      <c r="C10" s="48" t="n">
        <f aca="false">IF($B$3="",SUMIFS('FUNDED DEALS'!$Y$4:$Y$1226,'FUNDED DEALS'!$C$4:$C$1226,"&lt;&gt;",'FUNDED DEALS'!$C$4:$C$1226,"&gt;="&amp;DATE(2026,6,1),'FUNDED DEALS'!$C$4:$C$1226,"&lt;"&amp;DATE(2026,7,1))+SUMIFS('FUNDED DEALS 2027'!$Y$4:$Y$1226,'FUNDED DEALS 2027'!$C$4:$C$1226,"&lt;&gt;",'FUNDED DEALS 2027'!$C$4:$C$1226,"&gt;="&amp;DATE(2026,6,1),'FUNDED DEALS 2027'!$C$4:$C$1226,"&lt;"&amp;DATE(2026,7,1)),SUMIFS('FUNDED DEALS'!$Y$4:$Y$1226,'FUNDED DEALS'!$W$4:$W$1226,$B$3,'FUNDED DEALS'!$C$4:$C$1226,"&gt;="&amp;DATE(2026,6,1),'FUNDED DEALS'!$C$4:$C$1226,"&lt;"&amp;DATE(2026,7,1))+SUMIFS('FUNDED DEALS 2027'!$Y$4:$Y$1226,'FUNDED DEALS 2027'!$W$4:$W$1226,$B$3,'FUNDED DEALS 2027'!$C$4:$C$1226,"&gt;="&amp;DATE(2026,6,1),'FUNDED DEALS 2027'!$C$4:$C$1226,"&lt;"&amp;DATE(2026,7,1)))</f>
        <v>0</v>
      </c>
      <c r="D10" s="48" t="n">
        <f aca="false">IF($B$3="",SUMIFS('FUNDED DEALS'!$AB$4:$AB$1226,'FUNDED DEALS'!$C$4:$C$1226,"&lt;&gt;",'FUNDED DEALS'!$C$4:$C$1226,"&gt;="&amp;DATE(2026,6,1),'FUNDED DEALS'!$C$4:$C$1226,"&lt;"&amp;DATE(2026,7,1))+SUMIFS('FUNDED DEALS 2027'!$AB$4:$AB$1226,'FUNDED DEALS 2027'!$C$4:$C$1226,"&lt;&gt;",'FUNDED DEALS 2027'!$C$4:$C$1226,"&gt;="&amp;DATE(2026,6,1),'FUNDED DEALS 2027'!$C$4:$C$1226,"&lt;"&amp;DATE(2026,7,1)),SUMIFS('FUNDED DEALS'!$AB$4:$AB$1226,'FUNDED DEALS'!$Z$4:$Z$1226,$B$3,'FUNDED DEALS'!$C$4:$C$1226,"&gt;="&amp;DATE(2026,6,1),'FUNDED DEALS'!$C$4:$C$1226,"&lt;"&amp;DATE(2026,7,1))+SUMIFS('FUNDED DEALS 2027'!$AB$4:$AB$1226,'FUNDED DEALS 2027'!$Z$4:$Z$1226,$B$3,'FUNDED DEALS 2027'!$C$4:$C$1226,"&gt;="&amp;DATE(2026,6,1),'FUNDED DEALS 2027'!$C$4:$C$1226,"&lt;"&amp;DATE(2026,7,1)))</f>
        <v>0</v>
      </c>
      <c r="E10" s="48" t="n">
        <f aca="false">B10+C10+D10</f>
        <v>0</v>
      </c>
      <c r="F10" s="48" t="n">
        <f aca="false">IF($B$3="",SUMIFS('FUNDED DEALS'!$AC$4:$AC$1226,'FUNDED DEALS'!$C$4:$C$1226,"&lt;&gt;",'FUNDED DEALS'!$AO$4:$AO$1226,"&lt;&gt;",'FUNDED DEALS'!$C$4:$C$1226,"&gt;="&amp;DATE(2026,6,1),'FUNDED DEALS'!$C$4:$C$1226,"&lt;"&amp;DATE(2026,7,1))+SUMIFS('FUNDED DEALS 2027'!$AC$4:$AC$1226,'FUNDED DEALS 2027'!$C$4:$C$1226,"&lt;&gt;",'FUNDED DEALS 2027'!$AO$4:$AO$1226,"&lt;&gt;",'FUNDED DEALS 2027'!$C$4:$C$1226,"&gt;="&amp;DATE(2026,6,1),'FUNDED DEALS 2027'!$C$4:$C$1226,"&lt;"&amp;DATE(2026,7,1)),SUMIFS('FUNDED DEALS'!$V$4:$V$1226,'FUNDED DEALS'!$T$4:$T$1226,$B$3,'FUNDED DEALS'!$AO$4:$AO$1226,"&lt;&gt;",'FUNDED DEALS'!$C$4:$C$1226,"&gt;="&amp;DATE(2026,6,1),'FUNDED DEALS'!$C$4:$C$1226,"&lt;"&amp;DATE(2026,7,1))+SUMIFS('FUNDED DEALS 2027'!$V$4:$V$1226,'FUNDED DEALS 2027'!$T$4:$T$1226,$B$3,'FUNDED DEALS 2027'!$AO$4:$AO$1226,"&lt;&gt;",'FUNDED DEALS 2027'!$C$4:$C$1226,"&gt;="&amp;DATE(2026,6,1),'FUNDED DEALS 2027'!$C$4:$C$1226,"&lt;"&amp;DATE(2026,7,1))+SUMIFS('FUNDED DEALS'!$Y$4:$Y$1226,'FUNDED DEALS'!$W$4:$W$1226,$B$3,'FUNDED DEALS'!$AO$4:$AO$1226,"&lt;&gt;",'FUNDED DEALS'!$C$4:$C$1226,"&gt;="&amp;DATE(2026,6,1),'FUNDED DEALS'!$C$4:$C$1226,"&lt;"&amp;DATE(2026,7,1))+SUMIFS('FUNDED DEALS 2027'!$Y$4:$Y$1226,'FUNDED DEALS 2027'!$W$4:$W$1226,$B$3,'FUNDED DEALS 2027'!$AO$4:$AO$1226,"&lt;&gt;",'FUNDED DEALS 2027'!$C$4:$C$1226,"&gt;="&amp;DATE(2026,6,1),'FUNDED DEALS 2027'!$C$4:$C$1226,"&lt;"&amp;DATE(2026,7,1))+SUMIFS('FUNDED DEALS'!$AB$4:$AB$1226,'FUNDED DEALS'!$Z$4:$Z$1226,$B$3,'FUNDED DEALS'!$AO$4:$AO$1226,"&lt;&gt;",'FUNDED DEALS'!$C$4:$C$1226,"&gt;="&amp;DATE(2026,6,1),'FUNDED DEALS'!$C$4:$C$1226,"&lt;"&amp;DATE(2026,7,1))+SUMIFS('FUNDED DEALS 2027'!$AB$4:$AB$1226,'FUNDED DEALS 2027'!$Z$4:$Z$1226,$B$3,'FUNDED DEALS 2027'!$AO$4:$AO$1226,"&lt;&gt;",'FUNDED DEALS 2027'!$C$4:$C$1226,"&gt;="&amp;DATE(2026,6,1),'FUNDED DEALS 2027'!$C$4:$C$1226,"&lt;"&amp;DATE(2026,7,1)))</f>
        <v>0</v>
      </c>
      <c r="G10" s="48" t="n">
        <f aca="false">E10-F10</f>
        <v>0</v>
      </c>
    </row>
    <row r="11" customFormat="false" ht="15" hidden="false" customHeight="false" outlineLevel="0" collapsed="false">
      <c r="A11" s="52" t="s">
        <v>124</v>
      </c>
      <c r="B11" s="51" t="n">
        <f aca="false">IF($B$3="",SUMIFS('FUNDED DEALS'!$V$4:$V$1226,'FUNDED DEALS'!$C$4:$C$1226,"&lt;&gt;",'FUNDED DEALS'!$C$4:$C$1226,"&gt;="&amp;DATE(2026,7,1),'FUNDED DEALS'!$C$4:$C$1226,"&lt;"&amp;DATE(2026,8,1))+SUMIFS('FUNDED DEALS 2027'!$V$4:$V$1226,'FUNDED DEALS 2027'!$C$4:$C$1226,"&lt;&gt;",'FUNDED DEALS 2027'!$C$4:$C$1226,"&gt;="&amp;DATE(2026,7,1),'FUNDED DEALS 2027'!$C$4:$C$1226,"&lt;"&amp;DATE(2026,8,1)),SUMIFS('FUNDED DEALS'!$V$4:$V$1226,'FUNDED DEALS'!$T$4:$T$1226,$B$3,'FUNDED DEALS'!$C$4:$C$1226,"&gt;="&amp;DATE(2026,7,1),'FUNDED DEALS'!$C$4:$C$1226,"&lt;"&amp;DATE(2026,8,1))+SUMIFS('FUNDED DEALS 2027'!$V$4:$V$1226,'FUNDED DEALS 2027'!$T$4:$T$1226,$B$3,'FUNDED DEALS 2027'!$C$4:$C$1226,"&gt;="&amp;DATE(2026,7,1),'FUNDED DEALS 2027'!$C$4:$C$1226,"&lt;"&amp;DATE(2026,8,1)))</f>
        <v>0</v>
      </c>
      <c r="C11" s="51" t="n">
        <f aca="false">IF($B$3="",SUMIFS('FUNDED DEALS'!$Y$4:$Y$1226,'FUNDED DEALS'!$C$4:$C$1226,"&lt;&gt;",'FUNDED DEALS'!$C$4:$C$1226,"&gt;="&amp;DATE(2026,7,1),'FUNDED DEALS'!$C$4:$C$1226,"&lt;"&amp;DATE(2026,8,1))+SUMIFS('FUNDED DEALS 2027'!$Y$4:$Y$1226,'FUNDED DEALS 2027'!$C$4:$C$1226,"&lt;&gt;",'FUNDED DEALS 2027'!$C$4:$C$1226,"&gt;="&amp;DATE(2026,7,1),'FUNDED DEALS 2027'!$C$4:$C$1226,"&lt;"&amp;DATE(2026,8,1)),SUMIFS('FUNDED DEALS'!$Y$4:$Y$1226,'FUNDED DEALS'!$W$4:$W$1226,$B$3,'FUNDED DEALS'!$C$4:$C$1226,"&gt;="&amp;DATE(2026,7,1),'FUNDED DEALS'!$C$4:$C$1226,"&lt;"&amp;DATE(2026,8,1))+SUMIFS('FUNDED DEALS 2027'!$Y$4:$Y$1226,'FUNDED DEALS 2027'!$W$4:$W$1226,$B$3,'FUNDED DEALS 2027'!$C$4:$C$1226,"&gt;="&amp;DATE(2026,7,1),'FUNDED DEALS 2027'!$C$4:$C$1226,"&lt;"&amp;DATE(2026,8,1)))</f>
        <v>0</v>
      </c>
      <c r="D11" s="51" t="n">
        <f aca="false">IF($B$3="",SUMIFS('FUNDED DEALS'!$AB$4:$AB$1226,'FUNDED DEALS'!$C$4:$C$1226,"&lt;&gt;",'FUNDED DEALS'!$C$4:$C$1226,"&gt;="&amp;DATE(2026,7,1),'FUNDED DEALS'!$C$4:$C$1226,"&lt;"&amp;DATE(2026,8,1))+SUMIFS('FUNDED DEALS 2027'!$AB$4:$AB$1226,'FUNDED DEALS 2027'!$C$4:$C$1226,"&lt;&gt;",'FUNDED DEALS 2027'!$C$4:$C$1226,"&gt;="&amp;DATE(2026,7,1),'FUNDED DEALS 2027'!$C$4:$C$1226,"&lt;"&amp;DATE(2026,8,1)),SUMIFS('FUNDED DEALS'!$AB$4:$AB$1226,'FUNDED DEALS'!$Z$4:$Z$1226,$B$3,'FUNDED DEALS'!$C$4:$C$1226,"&gt;="&amp;DATE(2026,7,1),'FUNDED DEALS'!$C$4:$C$1226,"&lt;"&amp;DATE(2026,8,1))+SUMIFS('FUNDED DEALS 2027'!$AB$4:$AB$1226,'FUNDED DEALS 2027'!$Z$4:$Z$1226,$B$3,'FUNDED DEALS 2027'!$C$4:$C$1226,"&gt;="&amp;DATE(2026,7,1),'FUNDED DEALS 2027'!$C$4:$C$1226,"&lt;"&amp;DATE(2026,8,1)))</f>
        <v>0</v>
      </c>
      <c r="E11" s="51" t="n">
        <f aca="false">B11+C11+D11</f>
        <v>0</v>
      </c>
      <c r="F11" s="51" t="n">
        <f aca="false">IF($B$3="",SUMIFS('FUNDED DEALS'!$AC$4:$AC$1226,'FUNDED DEALS'!$C$4:$C$1226,"&lt;&gt;",'FUNDED DEALS'!$AO$4:$AO$1226,"&lt;&gt;",'FUNDED DEALS'!$C$4:$C$1226,"&gt;="&amp;DATE(2026,7,1),'FUNDED DEALS'!$C$4:$C$1226,"&lt;"&amp;DATE(2026,8,1))+SUMIFS('FUNDED DEALS 2027'!$AC$4:$AC$1226,'FUNDED DEALS 2027'!$C$4:$C$1226,"&lt;&gt;",'FUNDED DEALS 2027'!$AO$4:$AO$1226,"&lt;&gt;",'FUNDED DEALS 2027'!$C$4:$C$1226,"&gt;="&amp;DATE(2026,7,1),'FUNDED DEALS 2027'!$C$4:$C$1226,"&lt;"&amp;DATE(2026,8,1)),SUMIFS('FUNDED DEALS'!$V$4:$V$1226,'FUNDED DEALS'!$T$4:$T$1226,$B$3,'FUNDED DEALS'!$AO$4:$AO$1226,"&lt;&gt;",'FUNDED DEALS'!$C$4:$C$1226,"&gt;="&amp;DATE(2026,7,1),'FUNDED DEALS'!$C$4:$C$1226,"&lt;"&amp;DATE(2026,8,1))+SUMIFS('FUNDED DEALS 2027'!$V$4:$V$1226,'FUNDED DEALS 2027'!$T$4:$T$1226,$B$3,'FUNDED DEALS 2027'!$AO$4:$AO$1226,"&lt;&gt;",'FUNDED DEALS 2027'!$C$4:$C$1226,"&gt;="&amp;DATE(2026,7,1),'FUNDED DEALS 2027'!$C$4:$C$1226,"&lt;"&amp;DATE(2026,8,1))+SUMIFS('FUNDED DEALS'!$Y$4:$Y$1226,'FUNDED DEALS'!$W$4:$W$1226,$B$3,'FUNDED DEALS'!$AO$4:$AO$1226,"&lt;&gt;",'FUNDED DEALS'!$C$4:$C$1226,"&gt;="&amp;DATE(2026,7,1),'FUNDED DEALS'!$C$4:$C$1226,"&lt;"&amp;DATE(2026,8,1))+SUMIFS('FUNDED DEALS 2027'!$Y$4:$Y$1226,'FUNDED DEALS 2027'!$W$4:$W$1226,$B$3,'FUNDED DEALS 2027'!$AO$4:$AO$1226,"&lt;&gt;",'FUNDED DEALS 2027'!$C$4:$C$1226,"&gt;="&amp;DATE(2026,7,1),'FUNDED DEALS 2027'!$C$4:$C$1226,"&lt;"&amp;DATE(2026,8,1))+SUMIFS('FUNDED DEALS'!$AB$4:$AB$1226,'FUNDED DEALS'!$Z$4:$Z$1226,$B$3,'FUNDED DEALS'!$AO$4:$AO$1226,"&lt;&gt;",'FUNDED DEALS'!$C$4:$C$1226,"&gt;="&amp;DATE(2026,7,1),'FUNDED DEALS'!$C$4:$C$1226,"&lt;"&amp;DATE(2026,8,1))+SUMIFS('FUNDED DEALS 2027'!$AB$4:$AB$1226,'FUNDED DEALS 2027'!$Z$4:$Z$1226,$B$3,'FUNDED DEALS 2027'!$AO$4:$AO$1226,"&lt;&gt;",'FUNDED DEALS 2027'!$C$4:$C$1226,"&gt;="&amp;DATE(2026,7,1),'FUNDED DEALS 2027'!$C$4:$C$1226,"&lt;"&amp;DATE(2026,8,1)))</f>
        <v>0</v>
      </c>
      <c r="G11" s="51" t="n">
        <f aca="false">E11-F11</f>
        <v>0</v>
      </c>
    </row>
    <row r="12" customFormat="false" ht="15" hidden="false" customHeight="false" outlineLevel="0" collapsed="false">
      <c r="A12" s="49" t="s">
        <v>125</v>
      </c>
      <c r="B12" s="48" t="n">
        <f aca="false">IF($B$3="",SUMIFS('FUNDED DEALS'!$V$4:$V$1226,'FUNDED DEALS'!$C$4:$C$1226,"&lt;&gt;",'FUNDED DEALS'!$C$4:$C$1226,"&gt;="&amp;DATE(2026,8,1),'FUNDED DEALS'!$C$4:$C$1226,"&lt;"&amp;DATE(2026,9,1))+SUMIFS('FUNDED DEALS 2027'!$V$4:$V$1226,'FUNDED DEALS 2027'!$C$4:$C$1226,"&lt;&gt;",'FUNDED DEALS 2027'!$C$4:$C$1226,"&gt;="&amp;DATE(2026,8,1),'FUNDED DEALS 2027'!$C$4:$C$1226,"&lt;"&amp;DATE(2026,9,1)),SUMIFS('FUNDED DEALS'!$V$4:$V$1226,'FUNDED DEALS'!$T$4:$T$1226,$B$3,'FUNDED DEALS'!$C$4:$C$1226,"&gt;="&amp;DATE(2026,8,1),'FUNDED DEALS'!$C$4:$C$1226,"&lt;"&amp;DATE(2026,9,1))+SUMIFS('FUNDED DEALS 2027'!$V$4:$V$1226,'FUNDED DEALS 2027'!$T$4:$T$1226,$B$3,'FUNDED DEALS 2027'!$C$4:$C$1226,"&gt;="&amp;DATE(2026,8,1),'FUNDED DEALS 2027'!$C$4:$C$1226,"&lt;"&amp;DATE(2026,9,1)))</f>
        <v>0</v>
      </c>
      <c r="C12" s="48" t="n">
        <f aca="false">IF($B$3="",SUMIFS('FUNDED DEALS'!$Y$4:$Y$1226,'FUNDED DEALS'!$C$4:$C$1226,"&lt;&gt;",'FUNDED DEALS'!$C$4:$C$1226,"&gt;="&amp;DATE(2026,8,1),'FUNDED DEALS'!$C$4:$C$1226,"&lt;"&amp;DATE(2026,9,1))+SUMIFS('FUNDED DEALS 2027'!$Y$4:$Y$1226,'FUNDED DEALS 2027'!$C$4:$C$1226,"&lt;&gt;",'FUNDED DEALS 2027'!$C$4:$C$1226,"&gt;="&amp;DATE(2026,8,1),'FUNDED DEALS 2027'!$C$4:$C$1226,"&lt;"&amp;DATE(2026,9,1)),SUMIFS('FUNDED DEALS'!$Y$4:$Y$1226,'FUNDED DEALS'!$W$4:$W$1226,$B$3,'FUNDED DEALS'!$C$4:$C$1226,"&gt;="&amp;DATE(2026,8,1),'FUNDED DEALS'!$C$4:$C$1226,"&lt;"&amp;DATE(2026,9,1))+SUMIFS('FUNDED DEALS 2027'!$Y$4:$Y$1226,'FUNDED DEALS 2027'!$W$4:$W$1226,$B$3,'FUNDED DEALS 2027'!$C$4:$C$1226,"&gt;="&amp;DATE(2026,8,1),'FUNDED DEALS 2027'!$C$4:$C$1226,"&lt;"&amp;DATE(2026,9,1)))</f>
        <v>0</v>
      </c>
      <c r="D12" s="48" t="n">
        <f aca="false">IF($B$3="",SUMIFS('FUNDED DEALS'!$AB$4:$AB$1226,'FUNDED DEALS'!$C$4:$C$1226,"&lt;&gt;",'FUNDED DEALS'!$C$4:$C$1226,"&gt;="&amp;DATE(2026,8,1),'FUNDED DEALS'!$C$4:$C$1226,"&lt;"&amp;DATE(2026,9,1))+SUMIFS('FUNDED DEALS 2027'!$AB$4:$AB$1226,'FUNDED DEALS 2027'!$C$4:$C$1226,"&lt;&gt;",'FUNDED DEALS 2027'!$C$4:$C$1226,"&gt;="&amp;DATE(2026,8,1),'FUNDED DEALS 2027'!$C$4:$C$1226,"&lt;"&amp;DATE(2026,9,1)),SUMIFS('FUNDED DEALS'!$AB$4:$AB$1226,'FUNDED DEALS'!$Z$4:$Z$1226,$B$3,'FUNDED DEALS'!$C$4:$C$1226,"&gt;="&amp;DATE(2026,8,1),'FUNDED DEALS'!$C$4:$C$1226,"&lt;"&amp;DATE(2026,9,1))+SUMIFS('FUNDED DEALS 2027'!$AB$4:$AB$1226,'FUNDED DEALS 2027'!$Z$4:$Z$1226,$B$3,'FUNDED DEALS 2027'!$C$4:$C$1226,"&gt;="&amp;DATE(2026,8,1),'FUNDED DEALS 2027'!$C$4:$C$1226,"&lt;"&amp;DATE(2026,9,1)))</f>
        <v>0</v>
      </c>
      <c r="E12" s="48" t="n">
        <f aca="false">B12+C12+D12</f>
        <v>0</v>
      </c>
      <c r="F12" s="48" t="n">
        <f aca="false">IF($B$3="",SUMIFS('FUNDED DEALS'!$AC$4:$AC$1226,'FUNDED DEALS'!$C$4:$C$1226,"&lt;&gt;",'FUNDED DEALS'!$AO$4:$AO$1226,"&lt;&gt;",'FUNDED DEALS'!$C$4:$C$1226,"&gt;="&amp;DATE(2026,8,1),'FUNDED DEALS'!$C$4:$C$1226,"&lt;"&amp;DATE(2026,9,1))+SUMIFS('FUNDED DEALS 2027'!$AC$4:$AC$1226,'FUNDED DEALS 2027'!$C$4:$C$1226,"&lt;&gt;",'FUNDED DEALS 2027'!$AO$4:$AO$1226,"&lt;&gt;",'FUNDED DEALS 2027'!$C$4:$C$1226,"&gt;="&amp;DATE(2026,8,1),'FUNDED DEALS 2027'!$C$4:$C$1226,"&lt;"&amp;DATE(2026,9,1)),SUMIFS('FUNDED DEALS'!$V$4:$V$1226,'FUNDED DEALS'!$T$4:$T$1226,$B$3,'FUNDED DEALS'!$AO$4:$AO$1226,"&lt;&gt;",'FUNDED DEALS'!$C$4:$C$1226,"&gt;="&amp;DATE(2026,8,1),'FUNDED DEALS'!$C$4:$C$1226,"&lt;"&amp;DATE(2026,9,1))+SUMIFS('FUNDED DEALS 2027'!$V$4:$V$1226,'FUNDED DEALS 2027'!$T$4:$T$1226,$B$3,'FUNDED DEALS 2027'!$AO$4:$AO$1226,"&lt;&gt;",'FUNDED DEALS 2027'!$C$4:$C$1226,"&gt;="&amp;DATE(2026,8,1),'FUNDED DEALS 2027'!$C$4:$C$1226,"&lt;"&amp;DATE(2026,9,1))+SUMIFS('FUNDED DEALS'!$Y$4:$Y$1226,'FUNDED DEALS'!$W$4:$W$1226,$B$3,'FUNDED DEALS'!$AO$4:$AO$1226,"&lt;&gt;",'FUNDED DEALS'!$C$4:$C$1226,"&gt;="&amp;DATE(2026,8,1),'FUNDED DEALS'!$C$4:$C$1226,"&lt;"&amp;DATE(2026,9,1))+SUMIFS('FUNDED DEALS 2027'!$Y$4:$Y$1226,'FUNDED DEALS 2027'!$W$4:$W$1226,$B$3,'FUNDED DEALS 2027'!$AO$4:$AO$1226,"&lt;&gt;",'FUNDED DEALS 2027'!$C$4:$C$1226,"&gt;="&amp;DATE(2026,8,1),'FUNDED DEALS 2027'!$C$4:$C$1226,"&lt;"&amp;DATE(2026,9,1))+SUMIFS('FUNDED DEALS'!$AB$4:$AB$1226,'FUNDED DEALS'!$Z$4:$Z$1226,$B$3,'FUNDED DEALS'!$AO$4:$AO$1226,"&lt;&gt;",'FUNDED DEALS'!$C$4:$C$1226,"&gt;="&amp;DATE(2026,8,1),'FUNDED DEALS'!$C$4:$C$1226,"&lt;"&amp;DATE(2026,9,1))+SUMIFS('FUNDED DEALS 2027'!$AB$4:$AB$1226,'FUNDED DEALS 2027'!$Z$4:$Z$1226,$B$3,'FUNDED DEALS 2027'!$AO$4:$AO$1226,"&lt;&gt;",'FUNDED DEALS 2027'!$C$4:$C$1226,"&gt;="&amp;DATE(2026,8,1),'FUNDED DEALS 2027'!$C$4:$C$1226,"&lt;"&amp;DATE(2026,9,1)))</f>
        <v>0</v>
      </c>
      <c r="G12" s="48" t="n">
        <f aca="false">E12-F12</f>
        <v>0</v>
      </c>
    </row>
    <row r="13" customFormat="false" ht="15" hidden="false" customHeight="false" outlineLevel="0" collapsed="false">
      <c r="A13" s="52" t="s">
        <v>126</v>
      </c>
      <c r="B13" s="51" t="n">
        <f aca="false">IF($B$3="",SUMIFS('FUNDED DEALS'!$V$4:$V$1226,'FUNDED DEALS'!$C$4:$C$1226,"&lt;&gt;",'FUNDED DEALS'!$C$4:$C$1226,"&gt;="&amp;DATE(2026,9,1),'FUNDED DEALS'!$C$4:$C$1226,"&lt;"&amp;DATE(2026,10,1))+SUMIFS('FUNDED DEALS 2027'!$V$4:$V$1226,'FUNDED DEALS 2027'!$C$4:$C$1226,"&lt;&gt;",'FUNDED DEALS 2027'!$C$4:$C$1226,"&gt;="&amp;DATE(2026,9,1),'FUNDED DEALS 2027'!$C$4:$C$1226,"&lt;"&amp;DATE(2026,10,1)),SUMIFS('FUNDED DEALS'!$V$4:$V$1226,'FUNDED DEALS'!$T$4:$T$1226,$B$3,'FUNDED DEALS'!$C$4:$C$1226,"&gt;="&amp;DATE(2026,9,1),'FUNDED DEALS'!$C$4:$C$1226,"&lt;"&amp;DATE(2026,10,1))+SUMIFS('FUNDED DEALS 2027'!$V$4:$V$1226,'FUNDED DEALS 2027'!$T$4:$T$1226,$B$3,'FUNDED DEALS 2027'!$C$4:$C$1226,"&gt;="&amp;DATE(2026,9,1),'FUNDED DEALS 2027'!$C$4:$C$1226,"&lt;"&amp;DATE(2026,10,1)))</f>
        <v>0</v>
      </c>
      <c r="C13" s="51" t="n">
        <f aca="false">IF($B$3="",SUMIFS('FUNDED DEALS'!$Y$4:$Y$1226,'FUNDED DEALS'!$C$4:$C$1226,"&lt;&gt;",'FUNDED DEALS'!$C$4:$C$1226,"&gt;="&amp;DATE(2026,9,1),'FUNDED DEALS'!$C$4:$C$1226,"&lt;"&amp;DATE(2026,10,1))+SUMIFS('FUNDED DEALS 2027'!$Y$4:$Y$1226,'FUNDED DEALS 2027'!$C$4:$C$1226,"&lt;&gt;",'FUNDED DEALS 2027'!$C$4:$C$1226,"&gt;="&amp;DATE(2026,9,1),'FUNDED DEALS 2027'!$C$4:$C$1226,"&lt;"&amp;DATE(2026,10,1)),SUMIFS('FUNDED DEALS'!$Y$4:$Y$1226,'FUNDED DEALS'!$W$4:$W$1226,$B$3,'FUNDED DEALS'!$C$4:$C$1226,"&gt;="&amp;DATE(2026,9,1),'FUNDED DEALS'!$C$4:$C$1226,"&lt;"&amp;DATE(2026,10,1))+SUMIFS('FUNDED DEALS 2027'!$Y$4:$Y$1226,'FUNDED DEALS 2027'!$W$4:$W$1226,$B$3,'FUNDED DEALS 2027'!$C$4:$C$1226,"&gt;="&amp;DATE(2026,9,1),'FUNDED DEALS 2027'!$C$4:$C$1226,"&lt;"&amp;DATE(2026,10,1)))</f>
        <v>0</v>
      </c>
      <c r="D13" s="51" t="n">
        <f aca="false">IF($B$3="",SUMIFS('FUNDED DEALS'!$AB$4:$AB$1226,'FUNDED DEALS'!$C$4:$C$1226,"&lt;&gt;",'FUNDED DEALS'!$C$4:$C$1226,"&gt;="&amp;DATE(2026,9,1),'FUNDED DEALS'!$C$4:$C$1226,"&lt;"&amp;DATE(2026,10,1))+SUMIFS('FUNDED DEALS 2027'!$AB$4:$AB$1226,'FUNDED DEALS 2027'!$C$4:$C$1226,"&lt;&gt;",'FUNDED DEALS 2027'!$C$4:$C$1226,"&gt;="&amp;DATE(2026,9,1),'FUNDED DEALS 2027'!$C$4:$C$1226,"&lt;"&amp;DATE(2026,10,1)),SUMIFS('FUNDED DEALS'!$AB$4:$AB$1226,'FUNDED DEALS'!$Z$4:$Z$1226,$B$3,'FUNDED DEALS'!$C$4:$C$1226,"&gt;="&amp;DATE(2026,9,1),'FUNDED DEALS'!$C$4:$C$1226,"&lt;"&amp;DATE(2026,10,1))+SUMIFS('FUNDED DEALS 2027'!$AB$4:$AB$1226,'FUNDED DEALS 2027'!$Z$4:$Z$1226,$B$3,'FUNDED DEALS 2027'!$C$4:$C$1226,"&gt;="&amp;DATE(2026,9,1),'FUNDED DEALS 2027'!$C$4:$C$1226,"&lt;"&amp;DATE(2026,10,1)))</f>
        <v>0</v>
      </c>
      <c r="E13" s="51" t="n">
        <f aca="false">B13+C13+D13</f>
        <v>0</v>
      </c>
      <c r="F13" s="51" t="n">
        <f aca="false">IF($B$3="",SUMIFS('FUNDED DEALS'!$AC$4:$AC$1226,'FUNDED DEALS'!$C$4:$C$1226,"&lt;&gt;",'FUNDED DEALS'!$AO$4:$AO$1226,"&lt;&gt;",'FUNDED DEALS'!$C$4:$C$1226,"&gt;="&amp;DATE(2026,9,1),'FUNDED DEALS'!$C$4:$C$1226,"&lt;"&amp;DATE(2026,10,1))+SUMIFS('FUNDED DEALS 2027'!$AC$4:$AC$1226,'FUNDED DEALS 2027'!$C$4:$C$1226,"&lt;&gt;",'FUNDED DEALS 2027'!$AO$4:$AO$1226,"&lt;&gt;",'FUNDED DEALS 2027'!$C$4:$C$1226,"&gt;="&amp;DATE(2026,9,1),'FUNDED DEALS 2027'!$C$4:$C$1226,"&lt;"&amp;DATE(2026,10,1)),SUMIFS('FUNDED DEALS'!$V$4:$V$1226,'FUNDED DEALS'!$T$4:$T$1226,$B$3,'FUNDED DEALS'!$AO$4:$AO$1226,"&lt;&gt;",'FUNDED DEALS'!$C$4:$C$1226,"&gt;="&amp;DATE(2026,9,1),'FUNDED DEALS'!$C$4:$C$1226,"&lt;"&amp;DATE(2026,10,1))+SUMIFS('FUNDED DEALS 2027'!$V$4:$V$1226,'FUNDED DEALS 2027'!$T$4:$T$1226,$B$3,'FUNDED DEALS 2027'!$AO$4:$AO$1226,"&lt;&gt;",'FUNDED DEALS 2027'!$C$4:$C$1226,"&gt;="&amp;DATE(2026,9,1),'FUNDED DEALS 2027'!$C$4:$C$1226,"&lt;"&amp;DATE(2026,10,1))+SUMIFS('FUNDED DEALS'!$Y$4:$Y$1226,'FUNDED DEALS'!$W$4:$W$1226,$B$3,'FUNDED DEALS'!$AO$4:$AO$1226,"&lt;&gt;",'FUNDED DEALS'!$C$4:$C$1226,"&gt;="&amp;DATE(2026,9,1),'FUNDED DEALS'!$C$4:$C$1226,"&lt;"&amp;DATE(2026,10,1))+SUMIFS('FUNDED DEALS 2027'!$Y$4:$Y$1226,'FUNDED DEALS 2027'!$W$4:$W$1226,$B$3,'FUNDED DEALS 2027'!$AO$4:$AO$1226,"&lt;&gt;",'FUNDED DEALS 2027'!$C$4:$C$1226,"&gt;="&amp;DATE(2026,9,1),'FUNDED DEALS 2027'!$C$4:$C$1226,"&lt;"&amp;DATE(2026,10,1))+SUMIFS('FUNDED DEALS'!$AB$4:$AB$1226,'FUNDED DEALS'!$Z$4:$Z$1226,$B$3,'FUNDED DEALS'!$AO$4:$AO$1226,"&lt;&gt;",'FUNDED DEALS'!$C$4:$C$1226,"&gt;="&amp;DATE(2026,9,1),'FUNDED DEALS'!$C$4:$C$1226,"&lt;"&amp;DATE(2026,10,1))+SUMIFS('FUNDED DEALS 2027'!$AB$4:$AB$1226,'FUNDED DEALS 2027'!$Z$4:$Z$1226,$B$3,'FUNDED DEALS 2027'!$AO$4:$AO$1226,"&lt;&gt;",'FUNDED DEALS 2027'!$C$4:$C$1226,"&gt;="&amp;DATE(2026,9,1),'FUNDED DEALS 2027'!$C$4:$C$1226,"&lt;"&amp;DATE(2026,10,1)))</f>
        <v>0</v>
      </c>
      <c r="G13" s="51" t="n">
        <f aca="false">E13-F13</f>
        <v>0</v>
      </c>
    </row>
    <row r="14" customFormat="false" ht="15" hidden="false" customHeight="false" outlineLevel="0" collapsed="false">
      <c r="A14" s="49" t="s">
        <v>127</v>
      </c>
      <c r="B14" s="48" t="n">
        <f aca="false">IF($B$3="",SUMIFS('FUNDED DEALS'!$V$4:$V$1226,'FUNDED DEALS'!$C$4:$C$1226,"&lt;&gt;",'FUNDED DEALS'!$C$4:$C$1226,"&gt;="&amp;DATE(2026,10,1),'FUNDED DEALS'!$C$4:$C$1226,"&lt;"&amp;DATE(2026,11,1))+SUMIFS('FUNDED DEALS 2027'!$V$4:$V$1226,'FUNDED DEALS 2027'!$C$4:$C$1226,"&lt;&gt;",'FUNDED DEALS 2027'!$C$4:$C$1226,"&gt;="&amp;DATE(2026,10,1),'FUNDED DEALS 2027'!$C$4:$C$1226,"&lt;"&amp;DATE(2026,11,1)),SUMIFS('FUNDED DEALS'!$V$4:$V$1226,'FUNDED DEALS'!$T$4:$T$1226,$B$3,'FUNDED DEALS'!$C$4:$C$1226,"&gt;="&amp;DATE(2026,10,1),'FUNDED DEALS'!$C$4:$C$1226,"&lt;"&amp;DATE(2026,11,1))+SUMIFS('FUNDED DEALS 2027'!$V$4:$V$1226,'FUNDED DEALS 2027'!$T$4:$T$1226,$B$3,'FUNDED DEALS 2027'!$C$4:$C$1226,"&gt;="&amp;DATE(2026,10,1),'FUNDED DEALS 2027'!$C$4:$C$1226,"&lt;"&amp;DATE(2026,11,1)))</f>
        <v>0</v>
      </c>
      <c r="C14" s="48" t="n">
        <f aca="false">IF($B$3="",SUMIFS('FUNDED DEALS'!$Y$4:$Y$1226,'FUNDED DEALS'!$C$4:$C$1226,"&lt;&gt;",'FUNDED DEALS'!$C$4:$C$1226,"&gt;="&amp;DATE(2026,10,1),'FUNDED DEALS'!$C$4:$C$1226,"&lt;"&amp;DATE(2026,11,1))+SUMIFS('FUNDED DEALS 2027'!$Y$4:$Y$1226,'FUNDED DEALS 2027'!$C$4:$C$1226,"&lt;&gt;",'FUNDED DEALS 2027'!$C$4:$C$1226,"&gt;="&amp;DATE(2026,10,1),'FUNDED DEALS 2027'!$C$4:$C$1226,"&lt;"&amp;DATE(2026,11,1)),SUMIFS('FUNDED DEALS'!$Y$4:$Y$1226,'FUNDED DEALS'!$W$4:$W$1226,$B$3,'FUNDED DEALS'!$C$4:$C$1226,"&gt;="&amp;DATE(2026,10,1),'FUNDED DEALS'!$C$4:$C$1226,"&lt;"&amp;DATE(2026,11,1))+SUMIFS('FUNDED DEALS 2027'!$Y$4:$Y$1226,'FUNDED DEALS 2027'!$W$4:$W$1226,$B$3,'FUNDED DEALS 2027'!$C$4:$C$1226,"&gt;="&amp;DATE(2026,10,1),'FUNDED DEALS 2027'!$C$4:$C$1226,"&lt;"&amp;DATE(2026,11,1)))</f>
        <v>0</v>
      </c>
      <c r="D14" s="48" t="n">
        <f aca="false">IF($B$3="",SUMIFS('FUNDED DEALS'!$AB$4:$AB$1226,'FUNDED DEALS'!$C$4:$C$1226,"&lt;&gt;",'FUNDED DEALS'!$C$4:$C$1226,"&gt;="&amp;DATE(2026,10,1),'FUNDED DEALS'!$C$4:$C$1226,"&lt;"&amp;DATE(2026,11,1))+SUMIFS('FUNDED DEALS 2027'!$AB$4:$AB$1226,'FUNDED DEALS 2027'!$C$4:$C$1226,"&lt;&gt;",'FUNDED DEALS 2027'!$C$4:$C$1226,"&gt;="&amp;DATE(2026,10,1),'FUNDED DEALS 2027'!$C$4:$C$1226,"&lt;"&amp;DATE(2026,11,1)),SUMIFS('FUNDED DEALS'!$AB$4:$AB$1226,'FUNDED DEALS'!$Z$4:$Z$1226,$B$3,'FUNDED DEALS'!$C$4:$C$1226,"&gt;="&amp;DATE(2026,10,1),'FUNDED DEALS'!$C$4:$C$1226,"&lt;"&amp;DATE(2026,11,1))+SUMIFS('FUNDED DEALS 2027'!$AB$4:$AB$1226,'FUNDED DEALS 2027'!$Z$4:$Z$1226,$B$3,'FUNDED DEALS 2027'!$C$4:$C$1226,"&gt;="&amp;DATE(2026,10,1),'FUNDED DEALS 2027'!$C$4:$C$1226,"&lt;"&amp;DATE(2026,11,1)))</f>
        <v>0</v>
      </c>
      <c r="E14" s="48" t="n">
        <f aca="false">B14+C14+D14</f>
        <v>0</v>
      </c>
      <c r="F14" s="48" t="n">
        <f aca="false">IF($B$3="",SUMIFS('FUNDED DEALS'!$AC$4:$AC$1226,'FUNDED DEALS'!$C$4:$C$1226,"&lt;&gt;",'FUNDED DEALS'!$AO$4:$AO$1226,"&lt;&gt;",'FUNDED DEALS'!$C$4:$C$1226,"&gt;="&amp;DATE(2026,10,1),'FUNDED DEALS'!$C$4:$C$1226,"&lt;"&amp;DATE(2026,11,1))+SUMIFS('FUNDED DEALS 2027'!$AC$4:$AC$1226,'FUNDED DEALS 2027'!$C$4:$C$1226,"&lt;&gt;",'FUNDED DEALS 2027'!$AO$4:$AO$1226,"&lt;&gt;",'FUNDED DEALS 2027'!$C$4:$C$1226,"&gt;="&amp;DATE(2026,10,1),'FUNDED DEALS 2027'!$C$4:$C$1226,"&lt;"&amp;DATE(2026,11,1)),SUMIFS('FUNDED DEALS'!$V$4:$V$1226,'FUNDED DEALS'!$T$4:$T$1226,$B$3,'FUNDED DEALS'!$AO$4:$AO$1226,"&lt;&gt;",'FUNDED DEALS'!$C$4:$C$1226,"&gt;="&amp;DATE(2026,10,1),'FUNDED DEALS'!$C$4:$C$1226,"&lt;"&amp;DATE(2026,11,1))+SUMIFS('FUNDED DEALS 2027'!$V$4:$V$1226,'FUNDED DEALS 2027'!$T$4:$T$1226,$B$3,'FUNDED DEALS 2027'!$AO$4:$AO$1226,"&lt;&gt;",'FUNDED DEALS 2027'!$C$4:$C$1226,"&gt;="&amp;DATE(2026,10,1),'FUNDED DEALS 2027'!$C$4:$C$1226,"&lt;"&amp;DATE(2026,11,1))+SUMIFS('FUNDED DEALS'!$Y$4:$Y$1226,'FUNDED DEALS'!$W$4:$W$1226,$B$3,'FUNDED DEALS'!$AO$4:$AO$1226,"&lt;&gt;",'FUNDED DEALS'!$C$4:$C$1226,"&gt;="&amp;DATE(2026,10,1),'FUNDED DEALS'!$C$4:$C$1226,"&lt;"&amp;DATE(2026,11,1))+SUMIFS('FUNDED DEALS 2027'!$Y$4:$Y$1226,'FUNDED DEALS 2027'!$W$4:$W$1226,$B$3,'FUNDED DEALS 2027'!$AO$4:$AO$1226,"&lt;&gt;",'FUNDED DEALS 2027'!$C$4:$C$1226,"&gt;="&amp;DATE(2026,10,1),'FUNDED DEALS 2027'!$C$4:$C$1226,"&lt;"&amp;DATE(2026,11,1))+SUMIFS('FUNDED DEALS'!$AB$4:$AB$1226,'FUNDED DEALS'!$Z$4:$Z$1226,$B$3,'FUNDED DEALS'!$AO$4:$AO$1226,"&lt;&gt;",'FUNDED DEALS'!$C$4:$C$1226,"&gt;="&amp;DATE(2026,10,1),'FUNDED DEALS'!$C$4:$C$1226,"&lt;"&amp;DATE(2026,11,1))+SUMIFS('FUNDED DEALS 2027'!$AB$4:$AB$1226,'FUNDED DEALS 2027'!$Z$4:$Z$1226,$B$3,'FUNDED DEALS 2027'!$AO$4:$AO$1226,"&lt;&gt;",'FUNDED DEALS 2027'!$C$4:$C$1226,"&gt;="&amp;DATE(2026,10,1),'FUNDED DEALS 2027'!$C$4:$C$1226,"&lt;"&amp;DATE(2026,11,1)))</f>
        <v>0</v>
      </c>
      <c r="G14" s="48" t="n">
        <f aca="false">E14-F14</f>
        <v>0</v>
      </c>
    </row>
    <row r="15" customFormat="false" ht="15" hidden="false" customHeight="false" outlineLevel="0" collapsed="false">
      <c r="A15" s="52" t="s">
        <v>128</v>
      </c>
      <c r="B15" s="51" t="n">
        <f aca="false">IF($B$3="",SUMIFS('FUNDED DEALS'!$V$4:$V$1226,'FUNDED DEALS'!$C$4:$C$1226,"&lt;&gt;",'FUNDED DEALS'!$C$4:$C$1226,"&gt;="&amp;DATE(2026,11,1),'FUNDED DEALS'!$C$4:$C$1226,"&lt;"&amp;DATE(2026,12,1))+SUMIFS('FUNDED DEALS 2027'!$V$4:$V$1226,'FUNDED DEALS 2027'!$C$4:$C$1226,"&lt;&gt;",'FUNDED DEALS 2027'!$C$4:$C$1226,"&gt;="&amp;DATE(2026,11,1),'FUNDED DEALS 2027'!$C$4:$C$1226,"&lt;"&amp;DATE(2026,12,1)),SUMIFS('FUNDED DEALS'!$V$4:$V$1226,'FUNDED DEALS'!$T$4:$T$1226,$B$3,'FUNDED DEALS'!$C$4:$C$1226,"&gt;="&amp;DATE(2026,11,1),'FUNDED DEALS'!$C$4:$C$1226,"&lt;"&amp;DATE(2026,12,1))+SUMIFS('FUNDED DEALS 2027'!$V$4:$V$1226,'FUNDED DEALS 2027'!$T$4:$T$1226,$B$3,'FUNDED DEALS 2027'!$C$4:$C$1226,"&gt;="&amp;DATE(2026,11,1),'FUNDED DEALS 2027'!$C$4:$C$1226,"&lt;"&amp;DATE(2026,12,1)))</f>
        <v>0</v>
      </c>
      <c r="C15" s="51" t="n">
        <f aca="false">IF($B$3="",SUMIFS('FUNDED DEALS'!$Y$4:$Y$1226,'FUNDED DEALS'!$C$4:$C$1226,"&lt;&gt;",'FUNDED DEALS'!$C$4:$C$1226,"&gt;="&amp;DATE(2026,11,1),'FUNDED DEALS'!$C$4:$C$1226,"&lt;"&amp;DATE(2026,12,1))+SUMIFS('FUNDED DEALS 2027'!$Y$4:$Y$1226,'FUNDED DEALS 2027'!$C$4:$C$1226,"&lt;&gt;",'FUNDED DEALS 2027'!$C$4:$C$1226,"&gt;="&amp;DATE(2026,11,1),'FUNDED DEALS 2027'!$C$4:$C$1226,"&lt;"&amp;DATE(2026,12,1)),SUMIFS('FUNDED DEALS'!$Y$4:$Y$1226,'FUNDED DEALS'!$W$4:$W$1226,$B$3,'FUNDED DEALS'!$C$4:$C$1226,"&gt;="&amp;DATE(2026,11,1),'FUNDED DEALS'!$C$4:$C$1226,"&lt;"&amp;DATE(2026,12,1))+SUMIFS('FUNDED DEALS 2027'!$Y$4:$Y$1226,'FUNDED DEALS 2027'!$W$4:$W$1226,$B$3,'FUNDED DEALS 2027'!$C$4:$C$1226,"&gt;="&amp;DATE(2026,11,1),'FUNDED DEALS 2027'!$C$4:$C$1226,"&lt;"&amp;DATE(2026,12,1)))</f>
        <v>0</v>
      </c>
      <c r="D15" s="51" t="n">
        <f aca="false">IF($B$3="",SUMIFS('FUNDED DEALS'!$AB$4:$AB$1226,'FUNDED DEALS'!$C$4:$C$1226,"&lt;&gt;",'FUNDED DEALS'!$C$4:$C$1226,"&gt;="&amp;DATE(2026,11,1),'FUNDED DEALS'!$C$4:$C$1226,"&lt;"&amp;DATE(2026,12,1))+SUMIFS('FUNDED DEALS 2027'!$AB$4:$AB$1226,'FUNDED DEALS 2027'!$C$4:$C$1226,"&lt;&gt;",'FUNDED DEALS 2027'!$C$4:$C$1226,"&gt;="&amp;DATE(2026,11,1),'FUNDED DEALS 2027'!$C$4:$C$1226,"&lt;"&amp;DATE(2026,12,1)),SUMIFS('FUNDED DEALS'!$AB$4:$AB$1226,'FUNDED DEALS'!$Z$4:$Z$1226,$B$3,'FUNDED DEALS'!$C$4:$C$1226,"&gt;="&amp;DATE(2026,11,1),'FUNDED DEALS'!$C$4:$C$1226,"&lt;"&amp;DATE(2026,12,1))+SUMIFS('FUNDED DEALS 2027'!$AB$4:$AB$1226,'FUNDED DEALS 2027'!$Z$4:$Z$1226,$B$3,'FUNDED DEALS 2027'!$C$4:$C$1226,"&gt;="&amp;DATE(2026,11,1),'FUNDED DEALS 2027'!$C$4:$C$1226,"&lt;"&amp;DATE(2026,12,1)))</f>
        <v>0</v>
      </c>
      <c r="E15" s="51" t="n">
        <f aca="false">B15+C15+D15</f>
        <v>0</v>
      </c>
      <c r="F15" s="51" t="n">
        <f aca="false">IF($B$3="",SUMIFS('FUNDED DEALS'!$AC$4:$AC$1226,'FUNDED DEALS'!$C$4:$C$1226,"&lt;&gt;",'FUNDED DEALS'!$AO$4:$AO$1226,"&lt;&gt;",'FUNDED DEALS'!$C$4:$C$1226,"&gt;="&amp;DATE(2026,11,1),'FUNDED DEALS'!$C$4:$C$1226,"&lt;"&amp;DATE(2026,12,1))+SUMIFS('FUNDED DEALS 2027'!$AC$4:$AC$1226,'FUNDED DEALS 2027'!$C$4:$C$1226,"&lt;&gt;",'FUNDED DEALS 2027'!$AO$4:$AO$1226,"&lt;&gt;",'FUNDED DEALS 2027'!$C$4:$C$1226,"&gt;="&amp;DATE(2026,11,1),'FUNDED DEALS 2027'!$C$4:$C$1226,"&lt;"&amp;DATE(2026,12,1)),SUMIFS('FUNDED DEALS'!$V$4:$V$1226,'FUNDED DEALS'!$T$4:$T$1226,$B$3,'FUNDED DEALS'!$AO$4:$AO$1226,"&lt;&gt;",'FUNDED DEALS'!$C$4:$C$1226,"&gt;="&amp;DATE(2026,11,1),'FUNDED DEALS'!$C$4:$C$1226,"&lt;"&amp;DATE(2026,12,1))+SUMIFS('FUNDED DEALS 2027'!$V$4:$V$1226,'FUNDED DEALS 2027'!$T$4:$T$1226,$B$3,'FUNDED DEALS 2027'!$AO$4:$AO$1226,"&lt;&gt;",'FUNDED DEALS 2027'!$C$4:$C$1226,"&gt;="&amp;DATE(2026,11,1),'FUNDED DEALS 2027'!$C$4:$C$1226,"&lt;"&amp;DATE(2026,12,1))+SUMIFS('FUNDED DEALS'!$Y$4:$Y$1226,'FUNDED DEALS'!$W$4:$W$1226,$B$3,'FUNDED DEALS'!$AO$4:$AO$1226,"&lt;&gt;",'FUNDED DEALS'!$C$4:$C$1226,"&gt;="&amp;DATE(2026,11,1),'FUNDED DEALS'!$C$4:$C$1226,"&lt;"&amp;DATE(2026,12,1))+SUMIFS('FUNDED DEALS 2027'!$Y$4:$Y$1226,'FUNDED DEALS 2027'!$W$4:$W$1226,$B$3,'FUNDED DEALS 2027'!$AO$4:$AO$1226,"&lt;&gt;",'FUNDED DEALS 2027'!$C$4:$C$1226,"&gt;="&amp;DATE(2026,11,1),'FUNDED DEALS 2027'!$C$4:$C$1226,"&lt;"&amp;DATE(2026,12,1))+SUMIFS('FUNDED DEALS'!$AB$4:$AB$1226,'FUNDED DEALS'!$Z$4:$Z$1226,$B$3,'FUNDED DEALS'!$AO$4:$AO$1226,"&lt;&gt;",'FUNDED DEALS'!$C$4:$C$1226,"&gt;="&amp;DATE(2026,11,1),'FUNDED DEALS'!$C$4:$C$1226,"&lt;"&amp;DATE(2026,12,1))+SUMIFS('FUNDED DEALS 2027'!$AB$4:$AB$1226,'FUNDED DEALS 2027'!$Z$4:$Z$1226,$B$3,'FUNDED DEALS 2027'!$AO$4:$AO$1226,"&lt;&gt;",'FUNDED DEALS 2027'!$C$4:$C$1226,"&gt;="&amp;DATE(2026,11,1),'FUNDED DEALS 2027'!$C$4:$C$1226,"&lt;"&amp;DATE(2026,12,1)))</f>
        <v>0</v>
      </c>
      <c r="G15" s="51" t="n">
        <f aca="false">E15-F15</f>
        <v>0</v>
      </c>
    </row>
    <row r="16" customFormat="false" ht="15" hidden="false" customHeight="false" outlineLevel="0" collapsed="false">
      <c r="A16" s="49" t="s">
        <v>129</v>
      </c>
      <c r="B16" s="48" t="n">
        <f aca="false">IF($B$3="",SUMIFS('FUNDED DEALS'!$V$4:$V$1226,'FUNDED DEALS'!$C$4:$C$1226,"&lt;&gt;",'FUNDED DEALS'!$C$4:$C$1226,"&gt;="&amp;DATE(2026,12,1),'FUNDED DEALS'!$C$4:$C$1226,"&lt;"&amp;DATE(2027,1,1))+SUMIFS('FUNDED DEALS 2027'!$V$4:$V$1226,'FUNDED DEALS 2027'!$C$4:$C$1226,"&lt;&gt;",'FUNDED DEALS 2027'!$C$4:$C$1226,"&gt;="&amp;DATE(2026,12,1),'FUNDED DEALS 2027'!$C$4:$C$1226,"&lt;"&amp;DATE(2027,1,1)),SUMIFS('FUNDED DEALS'!$V$4:$V$1226,'FUNDED DEALS'!$T$4:$T$1226,$B$3,'FUNDED DEALS'!$C$4:$C$1226,"&gt;="&amp;DATE(2026,12,1),'FUNDED DEALS'!$C$4:$C$1226,"&lt;"&amp;DATE(2027,1,1))+SUMIFS('FUNDED DEALS 2027'!$V$4:$V$1226,'FUNDED DEALS 2027'!$T$4:$T$1226,$B$3,'FUNDED DEALS 2027'!$C$4:$C$1226,"&gt;="&amp;DATE(2026,12,1),'FUNDED DEALS 2027'!$C$4:$C$1226,"&lt;"&amp;DATE(2027,1,1)))</f>
        <v>0</v>
      </c>
      <c r="C16" s="48" t="n">
        <f aca="false">IF($B$3="",SUMIFS('FUNDED DEALS'!$Y$4:$Y$1226,'FUNDED DEALS'!$C$4:$C$1226,"&lt;&gt;",'FUNDED DEALS'!$C$4:$C$1226,"&gt;="&amp;DATE(2026,12,1),'FUNDED DEALS'!$C$4:$C$1226,"&lt;"&amp;DATE(2027,1,1))+SUMIFS('FUNDED DEALS 2027'!$Y$4:$Y$1226,'FUNDED DEALS 2027'!$C$4:$C$1226,"&lt;&gt;",'FUNDED DEALS 2027'!$C$4:$C$1226,"&gt;="&amp;DATE(2026,12,1),'FUNDED DEALS 2027'!$C$4:$C$1226,"&lt;"&amp;DATE(2027,1,1)),SUMIFS('FUNDED DEALS'!$Y$4:$Y$1226,'FUNDED DEALS'!$W$4:$W$1226,$B$3,'FUNDED DEALS'!$C$4:$C$1226,"&gt;="&amp;DATE(2026,12,1),'FUNDED DEALS'!$C$4:$C$1226,"&lt;"&amp;DATE(2027,1,1))+SUMIFS('FUNDED DEALS 2027'!$Y$4:$Y$1226,'FUNDED DEALS 2027'!$W$4:$W$1226,$B$3,'FUNDED DEALS 2027'!$C$4:$C$1226,"&gt;="&amp;DATE(2026,12,1),'FUNDED DEALS 2027'!$C$4:$C$1226,"&lt;"&amp;DATE(2027,1,1)))</f>
        <v>0</v>
      </c>
      <c r="D16" s="48" t="n">
        <f aca="false">IF($B$3="",SUMIFS('FUNDED DEALS'!$AB$4:$AB$1226,'FUNDED DEALS'!$C$4:$C$1226,"&lt;&gt;",'FUNDED DEALS'!$C$4:$C$1226,"&gt;="&amp;DATE(2026,12,1),'FUNDED DEALS'!$C$4:$C$1226,"&lt;"&amp;DATE(2027,1,1))+SUMIFS('FUNDED DEALS 2027'!$AB$4:$AB$1226,'FUNDED DEALS 2027'!$C$4:$C$1226,"&lt;&gt;",'FUNDED DEALS 2027'!$C$4:$C$1226,"&gt;="&amp;DATE(2026,12,1),'FUNDED DEALS 2027'!$C$4:$C$1226,"&lt;"&amp;DATE(2027,1,1)),SUMIFS('FUNDED DEALS'!$AB$4:$AB$1226,'FUNDED DEALS'!$Z$4:$Z$1226,$B$3,'FUNDED DEALS'!$C$4:$C$1226,"&gt;="&amp;DATE(2026,12,1),'FUNDED DEALS'!$C$4:$C$1226,"&lt;"&amp;DATE(2027,1,1))+SUMIFS('FUNDED DEALS 2027'!$AB$4:$AB$1226,'FUNDED DEALS 2027'!$Z$4:$Z$1226,$B$3,'FUNDED DEALS 2027'!$C$4:$C$1226,"&gt;="&amp;DATE(2026,12,1),'FUNDED DEALS 2027'!$C$4:$C$1226,"&lt;"&amp;DATE(2027,1,1)))</f>
        <v>0</v>
      </c>
      <c r="E16" s="48" t="n">
        <f aca="false">B16+C16+D16</f>
        <v>0</v>
      </c>
      <c r="F16" s="48" t="n">
        <f aca="false">IF($B$3="",SUMIFS('FUNDED DEALS'!$AC$4:$AC$1226,'FUNDED DEALS'!$C$4:$C$1226,"&lt;&gt;",'FUNDED DEALS'!$AO$4:$AO$1226,"&lt;&gt;",'FUNDED DEALS'!$C$4:$C$1226,"&gt;="&amp;DATE(2026,12,1),'FUNDED DEALS'!$C$4:$C$1226,"&lt;"&amp;DATE(2027,1,1))+SUMIFS('FUNDED DEALS 2027'!$AC$4:$AC$1226,'FUNDED DEALS 2027'!$C$4:$C$1226,"&lt;&gt;",'FUNDED DEALS 2027'!$AO$4:$AO$1226,"&lt;&gt;",'FUNDED DEALS 2027'!$C$4:$C$1226,"&gt;="&amp;DATE(2026,12,1),'FUNDED DEALS 2027'!$C$4:$C$1226,"&lt;"&amp;DATE(2027,1,1)),SUMIFS('FUNDED DEALS'!$V$4:$V$1226,'FUNDED DEALS'!$T$4:$T$1226,$B$3,'FUNDED DEALS'!$AO$4:$AO$1226,"&lt;&gt;",'FUNDED DEALS'!$C$4:$C$1226,"&gt;="&amp;DATE(2026,12,1),'FUNDED DEALS'!$C$4:$C$1226,"&lt;"&amp;DATE(2027,1,1))+SUMIFS('FUNDED DEALS 2027'!$V$4:$V$1226,'FUNDED DEALS 2027'!$T$4:$T$1226,$B$3,'FUNDED DEALS 2027'!$AO$4:$AO$1226,"&lt;&gt;",'FUNDED DEALS 2027'!$C$4:$C$1226,"&gt;="&amp;DATE(2026,12,1),'FUNDED DEALS 2027'!$C$4:$C$1226,"&lt;"&amp;DATE(2027,1,1))+SUMIFS('FUNDED DEALS'!$Y$4:$Y$1226,'FUNDED DEALS'!$W$4:$W$1226,$B$3,'FUNDED DEALS'!$AO$4:$AO$1226,"&lt;&gt;",'FUNDED DEALS'!$C$4:$C$1226,"&gt;="&amp;DATE(2026,12,1),'FUNDED DEALS'!$C$4:$C$1226,"&lt;"&amp;DATE(2027,1,1))+SUMIFS('FUNDED DEALS 2027'!$Y$4:$Y$1226,'FUNDED DEALS 2027'!$W$4:$W$1226,$B$3,'FUNDED DEALS 2027'!$AO$4:$AO$1226,"&lt;&gt;",'FUNDED DEALS 2027'!$C$4:$C$1226,"&gt;="&amp;DATE(2026,12,1),'FUNDED DEALS 2027'!$C$4:$C$1226,"&lt;"&amp;DATE(2027,1,1))+SUMIFS('FUNDED DEALS'!$AB$4:$AB$1226,'FUNDED DEALS'!$Z$4:$Z$1226,$B$3,'FUNDED DEALS'!$AO$4:$AO$1226,"&lt;&gt;",'FUNDED DEALS'!$C$4:$C$1226,"&gt;="&amp;DATE(2026,12,1),'FUNDED DEALS'!$C$4:$C$1226,"&lt;"&amp;DATE(2027,1,1))+SUMIFS('FUNDED DEALS 2027'!$AB$4:$AB$1226,'FUNDED DEALS 2027'!$Z$4:$Z$1226,$B$3,'FUNDED DEALS 2027'!$AO$4:$AO$1226,"&lt;&gt;",'FUNDED DEALS 2027'!$C$4:$C$1226,"&gt;="&amp;DATE(2026,12,1),'FUNDED DEALS 2027'!$C$4:$C$1226,"&lt;"&amp;DATE(2027,1,1)))</f>
        <v>0</v>
      </c>
      <c r="G16" s="48" t="n">
        <f aca="false">E16-F16</f>
        <v>0</v>
      </c>
    </row>
    <row r="17" customFormat="false" ht="15" hidden="false" customHeight="false" outlineLevel="0" collapsed="false">
      <c r="A17" s="52" t="s">
        <v>130</v>
      </c>
      <c r="B17" s="51" t="n">
        <f aca="false">IF($B$3="",SUMIFS('FUNDED DEALS'!$V$4:$V$1226,'FUNDED DEALS'!$C$4:$C$1226,"&lt;&gt;",'FUNDED DEALS'!$C$4:$C$1226,"&gt;="&amp;DATE(2027,1,1),'FUNDED DEALS'!$C$4:$C$1226,"&lt;"&amp;DATE(2027,2,1))+SUMIFS('FUNDED DEALS 2027'!$V$4:$V$1226,'FUNDED DEALS 2027'!$C$4:$C$1226,"&lt;&gt;",'FUNDED DEALS 2027'!$C$4:$C$1226,"&gt;="&amp;DATE(2027,1,1),'FUNDED DEALS 2027'!$C$4:$C$1226,"&lt;"&amp;DATE(2027,2,1)),SUMIFS('FUNDED DEALS'!$V$4:$V$1226,'FUNDED DEALS'!$T$4:$T$1226,$B$3,'FUNDED DEALS'!$C$4:$C$1226,"&gt;="&amp;DATE(2027,1,1),'FUNDED DEALS'!$C$4:$C$1226,"&lt;"&amp;DATE(2027,2,1))+SUMIFS('FUNDED DEALS 2027'!$V$4:$V$1226,'FUNDED DEALS 2027'!$T$4:$T$1226,$B$3,'FUNDED DEALS 2027'!$C$4:$C$1226,"&gt;="&amp;DATE(2027,1,1),'FUNDED DEALS 2027'!$C$4:$C$1226,"&lt;"&amp;DATE(2027,2,1)))</f>
        <v>0</v>
      </c>
      <c r="C17" s="51" t="n">
        <f aca="false">IF($B$3="",SUMIFS('FUNDED DEALS'!$Y$4:$Y$1226,'FUNDED DEALS'!$C$4:$C$1226,"&lt;&gt;",'FUNDED DEALS'!$C$4:$C$1226,"&gt;="&amp;DATE(2027,1,1),'FUNDED DEALS'!$C$4:$C$1226,"&lt;"&amp;DATE(2027,2,1))+SUMIFS('FUNDED DEALS 2027'!$Y$4:$Y$1226,'FUNDED DEALS 2027'!$C$4:$C$1226,"&lt;&gt;",'FUNDED DEALS 2027'!$C$4:$C$1226,"&gt;="&amp;DATE(2027,1,1),'FUNDED DEALS 2027'!$C$4:$C$1226,"&lt;"&amp;DATE(2027,2,1)),SUMIFS('FUNDED DEALS'!$Y$4:$Y$1226,'FUNDED DEALS'!$W$4:$W$1226,$B$3,'FUNDED DEALS'!$C$4:$C$1226,"&gt;="&amp;DATE(2027,1,1),'FUNDED DEALS'!$C$4:$C$1226,"&lt;"&amp;DATE(2027,2,1))+SUMIFS('FUNDED DEALS 2027'!$Y$4:$Y$1226,'FUNDED DEALS 2027'!$W$4:$W$1226,$B$3,'FUNDED DEALS 2027'!$C$4:$C$1226,"&gt;="&amp;DATE(2027,1,1),'FUNDED DEALS 2027'!$C$4:$C$1226,"&lt;"&amp;DATE(2027,2,1)))</f>
        <v>0</v>
      </c>
      <c r="D17" s="51" t="n">
        <f aca="false">IF($B$3="",SUMIFS('FUNDED DEALS'!$AB$4:$AB$1226,'FUNDED DEALS'!$C$4:$C$1226,"&lt;&gt;",'FUNDED DEALS'!$C$4:$C$1226,"&gt;="&amp;DATE(2027,1,1),'FUNDED DEALS'!$C$4:$C$1226,"&lt;"&amp;DATE(2027,2,1))+SUMIFS('FUNDED DEALS 2027'!$AB$4:$AB$1226,'FUNDED DEALS 2027'!$C$4:$C$1226,"&lt;&gt;",'FUNDED DEALS 2027'!$C$4:$C$1226,"&gt;="&amp;DATE(2027,1,1),'FUNDED DEALS 2027'!$C$4:$C$1226,"&lt;"&amp;DATE(2027,2,1)),SUMIFS('FUNDED DEALS'!$AB$4:$AB$1226,'FUNDED DEALS'!$Z$4:$Z$1226,$B$3,'FUNDED DEALS'!$C$4:$C$1226,"&gt;="&amp;DATE(2027,1,1),'FUNDED DEALS'!$C$4:$C$1226,"&lt;"&amp;DATE(2027,2,1))+SUMIFS('FUNDED DEALS 2027'!$AB$4:$AB$1226,'FUNDED DEALS 2027'!$Z$4:$Z$1226,$B$3,'FUNDED DEALS 2027'!$C$4:$C$1226,"&gt;="&amp;DATE(2027,1,1),'FUNDED DEALS 2027'!$C$4:$C$1226,"&lt;"&amp;DATE(2027,2,1)))</f>
        <v>0</v>
      </c>
      <c r="E17" s="51" t="n">
        <f aca="false">B17+C17+D17</f>
        <v>0</v>
      </c>
      <c r="F17" s="51" t="n">
        <f aca="false">IF($B$3="",SUMIFS('FUNDED DEALS'!$AC$4:$AC$1226,'FUNDED DEALS'!$C$4:$C$1226,"&lt;&gt;",'FUNDED DEALS'!$AO$4:$AO$1226,"&lt;&gt;",'FUNDED DEALS'!$C$4:$C$1226,"&gt;="&amp;DATE(2027,1,1),'FUNDED DEALS'!$C$4:$C$1226,"&lt;"&amp;DATE(2027,2,1))+SUMIFS('FUNDED DEALS 2027'!$AC$4:$AC$1226,'FUNDED DEALS 2027'!$C$4:$C$1226,"&lt;&gt;",'FUNDED DEALS 2027'!$AO$4:$AO$1226,"&lt;&gt;",'FUNDED DEALS 2027'!$C$4:$C$1226,"&gt;="&amp;DATE(2027,1,1),'FUNDED DEALS 2027'!$C$4:$C$1226,"&lt;"&amp;DATE(2027,2,1)),SUMIFS('FUNDED DEALS'!$V$4:$V$1226,'FUNDED DEALS'!$T$4:$T$1226,$B$3,'FUNDED DEALS'!$AO$4:$AO$1226,"&lt;&gt;",'FUNDED DEALS'!$C$4:$C$1226,"&gt;="&amp;DATE(2027,1,1),'FUNDED DEALS'!$C$4:$C$1226,"&lt;"&amp;DATE(2027,2,1))+SUMIFS('FUNDED DEALS 2027'!$V$4:$V$1226,'FUNDED DEALS 2027'!$T$4:$T$1226,$B$3,'FUNDED DEALS 2027'!$AO$4:$AO$1226,"&lt;&gt;",'FUNDED DEALS 2027'!$C$4:$C$1226,"&gt;="&amp;DATE(2027,1,1),'FUNDED DEALS 2027'!$C$4:$C$1226,"&lt;"&amp;DATE(2027,2,1))+SUMIFS('FUNDED DEALS'!$Y$4:$Y$1226,'FUNDED DEALS'!$W$4:$W$1226,$B$3,'FUNDED DEALS'!$AO$4:$AO$1226,"&lt;&gt;",'FUNDED DEALS'!$C$4:$C$1226,"&gt;="&amp;DATE(2027,1,1),'FUNDED DEALS'!$C$4:$C$1226,"&lt;"&amp;DATE(2027,2,1))+SUMIFS('FUNDED DEALS 2027'!$Y$4:$Y$1226,'FUNDED DEALS 2027'!$W$4:$W$1226,$B$3,'FUNDED DEALS 2027'!$AO$4:$AO$1226,"&lt;&gt;",'FUNDED DEALS 2027'!$C$4:$C$1226,"&gt;="&amp;DATE(2027,1,1),'FUNDED DEALS 2027'!$C$4:$C$1226,"&lt;"&amp;DATE(2027,2,1))+SUMIFS('FUNDED DEALS'!$AB$4:$AB$1226,'FUNDED DEALS'!$Z$4:$Z$1226,$B$3,'FUNDED DEALS'!$AO$4:$AO$1226,"&lt;&gt;",'FUNDED DEALS'!$C$4:$C$1226,"&gt;="&amp;DATE(2027,1,1),'FUNDED DEALS'!$C$4:$C$1226,"&lt;"&amp;DATE(2027,2,1))+SUMIFS('FUNDED DEALS 2027'!$AB$4:$AB$1226,'FUNDED DEALS 2027'!$Z$4:$Z$1226,$B$3,'FUNDED DEALS 2027'!$AO$4:$AO$1226,"&lt;&gt;",'FUNDED DEALS 2027'!$C$4:$C$1226,"&gt;="&amp;DATE(2027,1,1),'FUNDED DEALS 2027'!$C$4:$C$1226,"&lt;"&amp;DATE(2027,2,1)))</f>
        <v>0</v>
      </c>
      <c r="G17" s="51" t="n">
        <f aca="false">E17-F17</f>
        <v>0</v>
      </c>
    </row>
    <row r="18" customFormat="false" ht="15" hidden="false" customHeight="false" outlineLevel="0" collapsed="false">
      <c r="A18" s="49" t="s">
        <v>131</v>
      </c>
      <c r="B18" s="48" t="n">
        <f aca="false">IF($B$3="",SUMIFS('FUNDED DEALS'!$V$4:$V$1226,'FUNDED DEALS'!$C$4:$C$1226,"&lt;&gt;",'FUNDED DEALS'!$C$4:$C$1226,"&gt;="&amp;DATE(2027,2,1),'FUNDED DEALS'!$C$4:$C$1226,"&lt;"&amp;DATE(2027,3,1))+SUMIFS('FUNDED DEALS 2027'!$V$4:$V$1226,'FUNDED DEALS 2027'!$C$4:$C$1226,"&lt;&gt;",'FUNDED DEALS 2027'!$C$4:$C$1226,"&gt;="&amp;DATE(2027,2,1),'FUNDED DEALS 2027'!$C$4:$C$1226,"&lt;"&amp;DATE(2027,3,1)),SUMIFS('FUNDED DEALS'!$V$4:$V$1226,'FUNDED DEALS'!$T$4:$T$1226,$B$3,'FUNDED DEALS'!$C$4:$C$1226,"&gt;="&amp;DATE(2027,2,1),'FUNDED DEALS'!$C$4:$C$1226,"&lt;"&amp;DATE(2027,3,1))+SUMIFS('FUNDED DEALS 2027'!$V$4:$V$1226,'FUNDED DEALS 2027'!$T$4:$T$1226,$B$3,'FUNDED DEALS 2027'!$C$4:$C$1226,"&gt;="&amp;DATE(2027,2,1),'FUNDED DEALS 2027'!$C$4:$C$1226,"&lt;"&amp;DATE(2027,3,1)))</f>
        <v>0</v>
      </c>
      <c r="C18" s="48" t="n">
        <f aca="false">IF($B$3="",SUMIFS('FUNDED DEALS'!$Y$4:$Y$1226,'FUNDED DEALS'!$C$4:$C$1226,"&lt;&gt;",'FUNDED DEALS'!$C$4:$C$1226,"&gt;="&amp;DATE(2027,2,1),'FUNDED DEALS'!$C$4:$C$1226,"&lt;"&amp;DATE(2027,3,1))+SUMIFS('FUNDED DEALS 2027'!$Y$4:$Y$1226,'FUNDED DEALS 2027'!$C$4:$C$1226,"&lt;&gt;",'FUNDED DEALS 2027'!$C$4:$C$1226,"&gt;="&amp;DATE(2027,2,1),'FUNDED DEALS 2027'!$C$4:$C$1226,"&lt;"&amp;DATE(2027,3,1)),SUMIFS('FUNDED DEALS'!$Y$4:$Y$1226,'FUNDED DEALS'!$W$4:$W$1226,$B$3,'FUNDED DEALS'!$C$4:$C$1226,"&gt;="&amp;DATE(2027,2,1),'FUNDED DEALS'!$C$4:$C$1226,"&lt;"&amp;DATE(2027,3,1))+SUMIFS('FUNDED DEALS 2027'!$Y$4:$Y$1226,'FUNDED DEALS 2027'!$W$4:$W$1226,$B$3,'FUNDED DEALS 2027'!$C$4:$C$1226,"&gt;="&amp;DATE(2027,2,1),'FUNDED DEALS 2027'!$C$4:$C$1226,"&lt;"&amp;DATE(2027,3,1)))</f>
        <v>0</v>
      </c>
      <c r="D18" s="48" t="n">
        <f aca="false">IF($B$3="",SUMIFS('FUNDED DEALS'!$AB$4:$AB$1226,'FUNDED DEALS'!$C$4:$C$1226,"&lt;&gt;",'FUNDED DEALS'!$C$4:$C$1226,"&gt;="&amp;DATE(2027,2,1),'FUNDED DEALS'!$C$4:$C$1226,"&lt;"&amp;DATE(2027,3,1))+SUMIFS('FUNDED DEALS 2027'!$AB$4:$AB$1226,'FUNDED DEALS 2027'!$C$4:$C$1226,"&lt;&gt;",'FUNDED DEALS 2027'!$C$4:$C$1226,"&gt;="&amp;DATE(2027,2,1),'FUNDED DEALS 2027'!$C$4:$C$1226,"&lt;"&amp;DATE(2027,3,1)),SUMIFS('FUNDED DEALS'!$AB$4:$AB$1226,'FUNDED DEALS'!$Z$4:$Z$1226,$B$3,'FUNDED DEALS'!$C$4:$C$1226,"&gt;="&amp;DATE(2027,2,1),'FUNDED DEALS'!$C$4:$C$1226,"&lt;"&amp;DATE(2027,3,1))+SUMIFS('FUNDED DEALS 2027'!$AB$4:$AB$1226,'FUNDED DEALS 2027'!$Z$4:$Z$1226,$B$3,'FUNDED DEALS 2027'!$C$4:$C$1226,"&gt;="&amp;DATE(2027,2,1),'FUNDED DEALS 2027'!$C$4:$C$1226,"&lt;"&amp;DATE(2027,3,1)))</f>
        <v>0</v>
      </c>
      <c r="E18" s="48" t="n">
        <f aca="false">B18+C18+D18</f>
        <v>0</v>
      </c>
      <c r="F18" s="48" t="n">
        <f aca="false">IF($B$3="",SUMIFS('FUNDED DEALS'!$AC$4:$AC$1226,'FUNDED DEALS'!$C$4:$C$1226,"&lt;&gt;",'FUNDED DEALS'!$AO$4:$AO$1226,"&lt;&gt;",'FUNDED DEALS'!$C$4:$C$1226,"&gt;="&amp;DATE(2027,2,1),'FUNDED DEALS'!$C$4:$C$1226,"&lt;"&amp;DATE(2027,3,1))+SUMIFS('FUNDED DEALS 2027'!$AC$4:$AC$1226,'FUNDED DEALS 2027'!$C$4:$C$1226,"&lt;&gt;",'FUNDED DEALS 2027'!$AO$4:$AO$1226,"&lt;&gt;",'FUNDED DEALS 2027'!$C$4:$C$1226,"&gt;="&amp;DATE(2027,2,1),'FUNDED DEALS 2027'!$C$4:$C$1226,"&lt;"&amp;DATE(2027,3,1)),SUMIFS('FUNDED DEALS'!$V$4:$V$1226,'FUNDED DEALS'!$T$4:$T$1226,$B$3,'FUNDED DEALS'!$AO$4:$AO$1226,"&lt;&gt;",'FUNDED DEALS'!$C$4:$C$1226,"&gt;="&amp;DATE(2027,2,1),'FUNDED DEALS'!$C$4:$C$1226,"&lt;"&amp;DATE(2027,3,1))+SUMIFS('FUNDED DEALS 2027'!$V$4:$V$1226,'FUNDED DEALS 2027'!$T$4:$T$1226,$B$3,'FUNDED DEALS 2027'!$AO$4:$AO$1226,"&lt;&gt;",'FUNDED DEALS 2027'!$C$4:$C$1226,"&gt;="&amp;DATE(2027,2,1),'FUNDED DEALS 2027'!$C$4:$C$1226,"&lt;"&amp;DATE(2027,3,1))+SUMIFS('FUNDED DEALS'!$Y$4:$Y$1226,'FUNDED DEALS'!$W$4:$W$1226,$B$3,'FUNDED DEALS'!$AO$4:$AO$1226,"&lt;&gt;",'FUNDED DEALS'!$C$4:$C$1226,"&gt;="&amp;DATE(2027,2,1),'FUNDED DEALS'!$C$4:$C$1226,"&lt;"&amp;DATE(2027,3,1))+SUMIFS('FUNDED DEALS 2027'!$Y$4:$Y$1226,'FUNDED DEALS 2027'!$W$4:$W$1226,$B$3,'FUNDED DEALS 2027'!$AO$4:$AO$1226,"&lt;&gt;",'FUNDED DEALS 2027'!$C$4:$C$1226,"&gt;="&amp;DATE(2027,2,1),'FUNDED DEALS 2027'!$C$4:$C$1226,"&lt;"&amp;DATE(2027,3,1))+SUMIFS('FUNDED DEALS'!$AB$4:$AB$1226,'FUNDED DEALS'!$Z$4:$Z$1226,$B$3,'FUNDED DEALS'!$AO$4:$AO$1226,"&lt;&gt;",'FUNDED DEALS'!$C$4:$C$1226,"&gt;="&amp;DATE(2027,2,1),'FUNDED DEALS'!$C$4:$C$1226,"&lt;"&amp;DATE(2027,3,1))+SUMIFS('FUNDED DEALS 2027'!$AB$4:$AB$1226,'FUNDED DEALS 2027'!$Z$4:$Z$1226,$B$3,'FUNDED DEALS 2027'!$AO$4:$AO$1226,"&lt;&gt;",'FUNDED DEALS 2027'!$C$4:$C$1226,"&gt;="&amp;DATE(2027,2,1),'FUNDED DEALS 2027'!$C$4:$C$1226,"&lt;"&amp;DATE(2027,3,1)))</f>
        <v>0</v>
      </c>
      <c r="G18" s="48" t="n">
        <f aca="false">E18-F18</f>
        <v>0</v>
      </c>
    </row>
    <row r="19" customFormat="false" ht="15" hidden="false" customHeight="false" outlineLevel="0" collapsed="false">
      <c r="A19" s="52" t="s">
        <v>132</v>
      </c>
      <c r="B19" s="51" t="n">
        <f aca="false">IF($B$3="",SUMIFS('FUNDED DEALS'!$V$4:$V$1226,'FUNDED DEALS'!$C$4:$C$1226,"&lt;&gt;",'FUNDED DEALS'!$C$4:$C$1226,"&gt;="&amp;DATE(2027,3,1),'FUNDED DEALS'!$C$4:$C$1226,"&lt;"&amp;DATE(2027,4,1))+SUMIFS('FUNDED DEALS 2027'!$V$4:$V$1226,'FUNDED DEALS 2027'!$C$4:$C$1226,"&lt;&gt;",'FUNDED DEALS 2027'!$C$4:$C$1226,"&gt;="&amp;DATE(2027,3,1),'FUNDED DEALS 2027'!$C$4:$C$1226,"&lt;"&amp;DATE(2027,4,1)),SUMIFS('FUNDED DEALS'!$V$4:$V$1226,'FUNDED DEALS'!$T$4:$T$1226,$B$3,'FUNDED DEALS'!$C$4:$C$1226,"&gt;="&amp;DATE(2027,3,1),'FUNDED DEALS'!$C$4:$C$1226,"&lt;"&amp;DATE(2027,4,1))+SUMIFS('FUNDED DEALS 2027'!$V$4:$V$1226,'FUNDED DEALS 2027'!$T$4:$T$1226,$B$3,'FUNDED DEALS 2027'!$C$4:$C$1226,"&gt;="&amp;DATE(2027,3,1),'FUNDED DEALS 2027'!$C$4:$C$1226,"&lt;"&amp;DATE(2027,4,1)))</f>
        <v>0</v>
      </c>
      <c r="C19" s="51" t="n">
        <f aca="false">IF($B$3="",SUMIFS('FUNDED DEALS'!$Y$4:$Y$1226,'FUNDED DEALS'!$C$4:$C$1226,"&lt;&gt;",'FUNDED DEALS'!$C$4:$C$1226,"&gt;="&amp;DATE(2027,3,1),'FUNDED DEALS'!$C$4:$C$1226,"&lt;"&amp;DATE(2027,4,1))+SUMIFS('FUNDED DEALS 2027'!$Y$4:$Y$1226,'FUNDED DEALS 2027'!$C$4:$C$1226,"&lt;&gt;",'FUNDED DEALS 2027'!$C$4:$C$1226,"&gt;="&amp;DATE(2027,3,1),'FUNDED DEALS 2027'!$C$4:$C$1226,"&lt;"&amp;DATE(2027,4,1)),SUMIFS('FUNDED DEALS'!$Y$4:$Y$1226,'FUNDED DEALS'!$W$4:$W$1226,$B$3,'FUNDED DEALS'!$C$4:$C$1226,"&gt;="&amp;DATE(2027,3,1),'FUNDED DEALS'!$C$4:$C$1226,"&lt;"&amp;DATE(2027,4,1))+SUMIFS('FUNDED DEALS 2027'!$Y$4:$Y$1226,'FUNDED DEALS 2027'!$W$4:$W$1226,$B$3,'FUNDED DEALS 2027'!$C$4:$C$1226,"&gt;="&amp;DATE(2027,3,1),'FUNDED DEALS 2027'!$C$4:$C$1226,"&lt;"&amp;DATE(2027,4,1)))</f>
        <v>0</v>
      </c>
      <c r="D19" s="51" t="n">
        <f aca="false">IF($B$3="",SUMIFS('FUNDED DEALS'!$AB$4:$AB$1226,'FUNDED DEALS'!$C$4:$C$1226,"&lt;&gt;",'FUNDED DEALS'!$C$4:$C$1226,"&gt;="&amp;DATE(2027,3,1),'FUNDED DEALS'!$C$4:$C$1226,"&lt;"&amp;DATE(2027,4,1))+SUMIFS('FUNDED DEALS 2027'!$AB$4:$AB$1226,'FUNDED DEALS 2027'!$C$4:$C$1226,"&lt;&gt;",'FUNDED DEALS 2027'!$C$4:$C$1226,"&gt;="&amp;DATE(2027,3,1),'FUNDED DEALS 2027'!$C$4:$C$1226,"&lt;"&amp;DATE(2027,4,1)),SUMIFS('FUNDED DEALS'!$AB$4:$AB$1226,'FUNDED DEALS'!$Z$4:$Z$1226,$B$3,'FUNDED DEALS'!$C$4:$C$1226,"&gt;="&amp;DATE(2027,3,1),'FUNDED DEALS'!$C$4:$C$1226,"&lt;"&amp;DATE(2027,4,1))+SUMIFS('FUNDED DEALS 2027'!$AB$4:$AB$1226,'FUNDED DEALS 2027'!$Z$4:$Z$1226,$B$3,'FUNDED DEALS 2027'!$C$4:$C$1226,"&gt;="&amp;DATE(2027,3,1),'FUNDED DEALS 2027'!$C$4:$C$1226,"&lt;"&amp;DATE(2027,4,1)))</f>
        <v>0</v>
      </c>
      <c r="E19" s="51" t="n">
        <f aca="false">B19+C19+D19</f>
        <v>0</v>
      </c>
      <c r="F19" s="51" t="n">
        <f aca="false">IF($B$3="",SUMIFS('FUNDED DEALS'!$AC$4:$AC$1226,'FUNDED DEALS'!$C$4:$C$1226,"&lt;&gt;",'FUNDED DEALS'!$AO$4:$AO$1226,"&lt;&gt;",'FUNDED DEALS'!$C$4:$C$1226,"&gt;="&amp;DATE(2027,3,1),'FUNDED DEALS'!$C$4:$C$1226,"&lt;"&amp;DATE(2027,4,1))+SUMIFS('FUNDED DEALS 2027'!$AC$4:$AC$1226,'FUNDED DEALS 2027'!$C$4:$C$1226,"&lt;&gt;",'FUNDED DEALS 2027'!$AO$4:$AO$1226,"&lt;&gt;",'FUNDED DEALS 2027'!$C$4:$C$1226,"&gt;="&amp;DATE(2027,3,1),'FUNDED DEALS 2027'!$C$4:$C$1226,"&lt;"&amp;DATE(2027,4,1)),SUMIFS('FUNDED DEALS'!$V$4:$V$1226,'FUNDED DEALS'!$T$4:$T$1226,$B$3,'FUNDED DEALS'!$AO$4:$AO$1226,"&lt;&gt;",'FUNDED DEALS'!$C$4:$C$1226,"&gt;="&amp;DATE(2027,3,1),'FUNDED DEALS'!$C$4:$C$1226,"&lt;"&amp;DATE(2027,4,1))+SUMIFS('FUNDED DEALS 2027'!$V$4:$V$1226,'FUNDED DEALS 2027'!$T$4:$T$1226,$B$3,'FUNDED DEALS 2027'!$AO$4:$AO$1226,"&lt;&gt;",'FUNDED DEALS 2027'!$C$4:$C$1226,"&gt;="&amp;DATE(2027,3,1),'FUNDED DEALS 2027'!$C$4:$C$1226,"&lt;"&amp;DATE(2027,4,1))+SUMIFS('FUNDED DEALS'!$Y$4:$Y$1226,'FUNDED DEALS'!$W$4:$W$1226,$B$3,'FUNDED DEALS'!$AO$4:$AO$1226,"&lt;&gt;",'FUNDED DEALS'!$C$4:$C$1226,"&gt;="&amp;DATE(2027,3,1),'FUNDED DEALS'!$C$4:$C$1226,"&lt;"&amp;DATE(2027,4,1))+SUMIFS('FUNDED DEALS 2027'!$Y$4:$Y$1226,'FUNDED DEALS 2027'!$W$4:$W$1226,$B$3,'FUNDED DEALS 2027'!$AO$4:$AO$1226,"&lt;&gt;",'FUNDED DEALS 2027'!$C$4:$C$1226,"&gt;="&amp;DATE(2027,3,1),'FUNDED DEALS 2027'!$C$4:$C$1226,"&lt;"&amp;DATE(2027,4,1))+SUMIFS('FUNDED DEALS'!$AB$4:$AB$1226,'FUNDED DEALS'!$Z$4:$Z$1226,$B$3,'FUNDED DEALS'!$AO$4:$AO$1226,"&lt;&gt;",'FUNDED DEALS'!$C$4:$C$1226,"&gt;="&amp;DATE(2027,3,1),'FUNDED DEALS'!$C$4:$C$1226,"&lt;"&amp;DATE(2027,4,1))+SUMIFS('FUNDED DEALS 2027'!$AB$4:$AB$1226,'FUNDED DEALS 2027'!$Z$4:$Z$1226,$B$3,'FUNDED DEALS 2027'!$AO$4:$AO$1226,"&lt;&gt;",'FUNDED DEALS 2027'!$C$4:$C$1226,"&gt;="&amp;DATE(2027,3,1),'FUNDED DEALS 2027'!$C$4:$C$1226,"&lt;"&amp;DATE(2027,4,1)))</f>
        <v>0</v>
      </c>
      <c r="G19" s="51" t="n">
        <f aca="false">E19-F19</f>
        <v>0</v>
      </c>
    </row>
    <row r="20" customFormat="false" ht="15" hidden="false" customHeight="false" outlineLevel="0" collapsed="false">
      <c r="A20" s="49" t="s">
        <v>133</v>
      </c>
      <c r="B20" s="48" t="n">
        <f aca="false">IF($B$3="",SUMIFS('FUNDED DEALS'!$V$4:$V$1226,'FUNDED DEALS'!$C$4:$C$1226,"&lt;&gt;",'FUNDED DEALS'!$C$4:$C$1226,"&gt;="&amp;DATE(2027,4,1),'FUNDED DEALS'!$C$4:$C$1226,"&lt;"&amp;DATE(2027,5,1))+SUMIFS('FUNDED DEALS 2027'!$V$4:$V$1226,'FUNDED DEALS 2027'!$C$4:$C$1226,"&lt;&gt;",'FUNDED DEALS 2027'!$C$4:$C$1226,"&gt;="&amp;DATE(2027,4,1),'FUNDED DEALS 2027'!$C$4:$C$1226,"&lt;"&amp;DATE(2027,5,1)),SUMIFS('FUNDED DEALS'!$V$4:$V$1226,'FUNDED DEALS'!$T$4:$T$1226,$B$3,'FUNDED DEALS'!$C$4:$C$1226,"&gt;="&amp;DATE(2027,4,1),'FUNDED DEALS'!$C$4:$C$1226,"&lt;"&amp;DATE(2027,5,1))+SUMIFS('FUNDED DEALS 2027'!$V$4:$V$1226,'FUNDED DEALS 2027'!$T$4:$T$1226,$B$3,'FUNDED DEALS 2027'!$C$4:$C$1226,"&gt;="&amp;DATE(2027,4,1),'FUNDED DEALS 2027'!$C$4:$C$1226,"&lt;"&amp;DATE(2027,5,1)))</f>
        <v>0</v>
      </c>
      <c r="C20" s="48" t="n">
        <f aca="false">IF($B$3="",SUMIFS('FUNDED DEALS'!$Y$4:$Y$1226,'FUNDED DEALS'!$C$4:$C$1226,"&lt;&gt;",'FUNDED DEALS'!$C$4:$C$1226,"&gt;="&amp;DATE(2027,4,1),'FUNDED DEALS'!$C$4:$C$1226,"&lt;"&amp;DATE(2027,5,1))+SUMIFS('FUNDED DEALS 2027'!$Y$4:$Y$1226,'FUNDED DEALS 2027'!$C$4:$C$1226,"&lt;&gt;",'FUNDED DEALS 2027'!$C$4:$C$1226,"&gt;="&amp;DATE(2027,4,1),'FUNDED DEALS 2027'!$C$4:$C$1226,"&lt;"&amp;DATE(2027,5,1)),SUMIFS('FUNDED DEALS'!$Y$4:$Y$1226,'FUNDED DEALS'!$W$4:$W$1226,$B$3,'FUNDED DEALS'!$C$4:$C$1226,"&gt;="&amp;DATE(2027,4,1),'FUNDED DEALS'!$C$4:$C$1226,"&lt;"&amp;DATE(2027,5,1))+SUMIFS('FUNDED DEALS 2027'!$Y$4:$Y$1226,'FUNDED DEALS 2027'!$W$4:$W$1226,$B$3,'FUNDED DEALS 2027'!$C$4:$C$1226,"&gt;="&amp;DATE(2027,4,1),'FUNDED DEALS 2027'!$C$4:$C$1226,"&lt;"&amp;DATE(2027,5,1)))</f>
        <v>0</v>
      </c>
      <c r="D20" s="48" t="n">
        <f aca="false">IF($B$3="",SUMIFS('FUNDED DEALS'!$AB$4:$AB$1226,'FUNDED DEALS'!$C$4:$C$1226,"&lt;&gt;",'FUNDED DEALS'!$C$4:$C$1226,"&gt;="&amp;DATE(2027,4,1),'FUNDED DEALS'!$C$4:$C$1226,"&lt;"&amp;DATE(2027,5,1))+SUMIFS('FUNDED DEALS 2027'!$AB$4:$AB$1226,'FUNDED DEALS 2027'!$C$4:$C$1226,"&lt;&gt;",'FUNDED DEALS 2027'!$C$4:$C$1226,"&gt;="&amp;DATE(2027,4,1),'FUNDED DEALS 2027'!$C$4:$C$1226,"&lt;"&amp;DATE(2027,5,1)),SUMIFS('FUNDED DEALS'!$AB$4:$AB$1226,'FUNDED DEALS'!$Z$4:$Z$1226,$B$3,'FUNDED DEALS'!$C$4:$C$1226,"&gt;="&amp;DATE(2027,4,1),'FUNDED DEALS'!$C$4:$C$1226,"&lt;"&amp;DATE(2027,5,1))+SUMIFS('FUNDED DEALS 2027'!$AB$4:$AB$1226,'FUNDED DEALS 2027'!$Z$4:$Z$1226,$B$3,'FUNDED DEALS 2027'!$C$4:$C$1226,"&gt;="&amp;DATE(2027,4,1),'FUNDED DEALS 2027'!$C$4:$C$1226,"&lt;"&amp;DATE(2027,5,1)))</f>
        <v>0</v>
      </c>
      <c r="E20" s="48" t="n">
        <f aca="false">B20+C20+D20</f>
        <v>0</v>
      </c>
      <c r="F20" s="48" t="n">
        <f aca="false">IF($B$3="",SUMIFS('FUNDED DEALS'!$AC$4:$AC$1226,'FUNDED DEALS'!$C$4:$C$1226,"&lt;&gt;",'FUNDED DEALS'!$AO$4:$AO$1226,"&lt;&gt;",'FUNDED DEALS'!$C$4:$C$1226,"&gt;="&amp;DATE(2027,4,1),'FUNDED DEALS'!$C$4:$C$1226,"&lt;"&amp;DATE(2027,5,1))+SUMIFS('FUNDED DEALS 2027'!$AC$4:$AC$1226,'FUNDED DEALS 2027'!$C$4:$C$1226,"&lt;&gt;",'FUNDED DEALS 2027'!$AO$4:$AO$1226,"&lt;&gt;",'FUNDED DEALS 2027'!$C$4:$C$1226,"&gt;="&amp;DATE(2027,4,1),'FUNDED DEALS 2027'!$C$4:$C$1226,"&lt;"&amp;DATE(2027,5,1)),SUMIFS('FUNDED DEALS'!$V$4:$V$1226,'FUNDED DEALS'!$T$4:$T$1226,$B$3,'FUNDED DEALS'!$AO$4:$AO$1226,"&lt;&gt;",'FUNDED DEALS'!$C$4:$C$1226,"&gt;="&amp;DATE(2027,4,1),'FUNDED DEALS'!$C$4:$C$1226,"&lt;"&amp;DATE(2027,5,1))+SUMIFS('FUNDED DEALS 2027'!$V$4:$V$1226,'FUNDED DEALS 2027'!$T$4:$T$1226,$B$3,'FUNDED DEALS 2027'!$AO$4:$AO$1226,"&lt;&gt;",'FUNDED DEALS 2027'!$C$4:$C$1226,"&gt;="&amp;DATE(2027,4,1),'FUNDED DEALS 2027'!$C$4:$C$1226,"&lt;"&amp;DATE(2027,5,1))+SUMIFS('FUNDED DEALS'!$Y$4:$Y$1226,'FUNDED DEALS'!$W$4:$W$1226,$B$3,'FUNDED DEALS'!$AO$4:$AO$1226,"&lt;&gt;",'FUNDED DEALS'!$C$4:$C$1226,"&gt;="&amp;DATE(2027,4,1),'FUNDED DEALS'!$C$4:$C$1226,"&lt;"&amp;DATE(2027,5,1))+SUMIFS('FUNDED DEALS 2027'!$Y$4:$Y$1226,'FUNDED DEALS 2027'!$W$4:$W$1226,$B$3,'FUNDED DEALS 2027'!$AO$4:$AO$1226,"&lt;&gt;",'FUNDED DEALS 2027'!$C$4:$C$1226,"&gt;="&amp;DATE(2027,4,1),'FUNDED DEALS 2027'!$C$4:$C$1226,"&lt;"&amp;DATE(2027,5,1))+SUMIFS('FUNDED DEALS'!$AB$4:$AB$1226,'FUNDED DEALS'!$Z$4:$Z$1226,$B$3,'FUNDED DEALS'!$AO$4:$AO$1226,"&lt;&gt;",'FUNDED DEALS'!$C$4:$C$1226,"&gt;="&amp;DATE(2027,4,1),'FUNDED DEALS'!$C$4:$C$1226,"&lt;"&amp;DATE(2027,5,1))+SUMIFS('FUNDED DEALS 2027'!$AB$4:$AB$1226,'FUNDED DEALS 2027'!$Z$4:$Z$1226,$B$3,'FUNDED DEALS 2027'!$AO$4:$AO$1226,"&lt;&gt;",'FUNDED DEALS 2027'!$C$4:$C$1226,"&gt;="&amp;DATE(2027,4,1),'FUNDED DEALS 2027'!$C$4:$C$1226,"&lt;"&amp;DATE(2027,5,1)))</f>
        <v>0</v>
      </c>
      <c r="G20" s="48" t="n">
        <f aca="false">E20-F20</f>
        <v>0</v>
      </c>
    </row>
    <row r="21" customFormat="false" ht="15" hidden="false" customHeight="false" outlineLevel="0" collapsed="false">
      <c r="A21" s="52" t="s">
        <v>134</v>
      </c>
      <c r="B21" s="51" t="n">
        <f aca="false">IF($B$3="",SUMIFS('FUNDED DEALS'!$V$4:$V$1226,'FUNDED DEALS'!$C$4:$C$1226,"&lt;&gt;",'FUNDED DEALS'!$C$4:$C$1226,"&gt;="&amp;DATE(2027,5,1),'FUNDED DEALS'!$C$4:$C$1226,"&lt;"&amp;DATE(2027,6,1))+SUMIFS('FUNDED DEALS 2027'!$V$4:$V$1226,'FUNDED DEALS 2027'!$C$4:$C$1226,"&lt;&gt;",'FUNDED DEALS 2027'!$C$4:$C$1226,"&gt;="&amp;DATE(2027,5,1),'FUNDED DEALS 2027'!$C$4:$C$1226,"&lt;"&amp;DATE(2027,6,1)),SUMIFS('FUNDED DEALS'!$V$4:$V$1226,'FUNDED DEALS'!$T$4:$T$1226,$B$3,'FUNDED DEALS'!$C$4:$C$1226,"&gt;="&amp;DATE(2027,5,1),'FUNDED DEALS'!$C$4:$C$1226,"&lt;"&amp;DATE(2027,6,1))+SUMIFS('FUNDED DEALS 2027'!$V$4:$V$1226,'FUNDED DEALS 2027'!$T$4:$T$1226,$B$3,'FUNDED DEALS 2027'!$C$4:$C$1226,"&gt;="&amp;DATE(2027,5,1),'FUNDED DEALS 2027'!$C$4:$C$1226,"&lt;"&amp;DATE(2027,6,1)))</f>
        <v>0</v>
      </c>
      <c r="C21" s="51" t="n">
        <f aca="false">IF($B$3="",SUMIFS('FUNDED DEALS'!$Y$4:$Y$1226,'FUNDED DEALS'!$C$4:$C$1226,"&lt;&gt;",'FUNDED DEALS'!$C$4:$C$1226,"&gt;="&amp;DATE(2027,5,1),'FUNDED DEALS'!$C$4:$C$1226,"&lt;"&amp;DATE(2027,6,1))+SUMIFS('FUNDED DEALS 2027'!$Y$4:$Y$1226,'FUNDED DEALS 2027'!$C$4:$C$1226,"&lt;&gt;",'FUNDED DEALS 2027'!$C$4:$C$1226,"&gt;="&amp;DATE(2027,5,1),'FUNDED DEALS 2027'!$C$4:$C$1226,"&lt;"&amp;DATE(2027,6,1)),SUMIFS('FUNDED DEALS'!$Y$4:$Y$1226,'FUNDED DEALS'!$W$4:$W$1226,$B$3,'FUNDED DEALS'!$C$4:$C$1226,"&gt;="&amp;DATE(2027,5,1),'FUNDED DEALS'!$C$4:$C$1226,"&lt;"&amp;DATE(2027,6,1))+SUMIFS('FUNDED DEALS 2027'!$Y$4:$Y$1226,'FUNDED DEALS 2027'!$W$4:$W$1226,$B$3,'FUNDED DEALS 2027'!$C$4:$C$1226,"&gt;="&amp;DATE(2027,5,1),'FUNDED DEALS 2027'!$C$4:$C$1226,"&lt;"&amp;DATE(2027,6,1)))</f>
        <v>0</v>
      </c>
      <c r="D21" s="51" t="n">
        <f aca="false">IF($B$3="",SUMIFS('FUNDED DEALS'!$AB$4:$AB$1226,'FUNDED DEALS'!$C$4:$C$1226,"&lt;&gt;",'FUNDED DEALS'!$C$4:$C$1226,"&gt;="&amp;DATE(2027,5,1),'FUNDED DEALS'!$C$4:$C$1226,"&lt;"&amp;DATE(2027,6,1))+SUMIFS('FUNDED DEALS 2027'!$AB$4:$AB$1226,'FUNDED DEALS 2027'!$C$4:$C$1226,"&lt;&gt;",'FUNDED DEALS 2027'!$C$4:$C$1226,"&gt;="&amp;DATE(2027,5,1),'FUNDED DEALS 2027'!$C$4:$C$1226,"&lt;"&amp;DATE(2027,6,1)),SUMIFS('FUNDED DEALS'!$AB$4:$AB$1226,'FUNDED DEALS'!$Z$4:$Z$1226,$B$3,'FUNDED DEALS'!$C$4:$C$1226,"&gt;="&amp;DATE(2027,5,1),'FUNDED DEALS'!$C$4:$C$1226,"&lt;"&amp;DATE(2027,6,1))+SUMIFS('FUNDED DEALS 2027'!$AB$4:$AB$1226,'FUNDED DEALS 2027'!$Z$4:$Z$1226,$B$3,'FUNDED DEALS 2027'!$C$4:$C$1226,"&gt;="&amp;DATE(2027,5,1),'FUNDED DEALS 2027'!$C$4:$C$1226,"&lt;"&amp;DATE(2027,6,1)))</f>
        <v>0</v>
      </c>
      <c r="E21" s="51" t="n">
        <f aca="false">B21+C21+D21</f>
        <v>0</v>
      </c>
      <c r="F21" s="51" t="n">
        <f aca="false">IF($B$3="",SUMIFS('FUNDED DEALS'!$AC$4:$AC$1226,'FUNDED DEALS'!$C$4:$C$1226,"&lt;&gt;",'FUNDED DEALS'!$AO$4:$AO$1226,"&lt;&gt;",'FUNDED DEALS'!$C$4:$C$1226,"&gt;="&amp;DATE(2027,5,1),'FUNDED DEALS'!$C$4:$C$1226,"&lt;"&amp;DATE(2027,6,1))+SUMIFS('FUNDED DEALS 2027'!$AC$4:$AC$1226,'FUNDED DEALS 2027'!$C$4:$C$1226,"&lt;&gt;",'FUNDED DEALS 2027'!$AO$4:$AO$1226,"&lt;&gt;",'FUNDED DEALS 2027'!$C$4:$C$1226,"&gt;="&amp;DATE(2027,5,1),'FUNDED DEALS 2027'!$C$4:$C$1226,"&lt;"&amp;DATE(2027,6,1)),SUMIFS('FUNDED DEALS'!$V$4:$V$1226,'FUNDED DEALS'!$T$4:$T$1226,$B$3,'FUNDED DEALS'!$AO$4:$AO$1226,"&lt;&gt;",'FUNDED DEALS'!$C$4:$C$1226,"&gt;="&amp;DATE(2027,5,1),'FUNDED DEALS'!$C$4:$C$1226,"&lt;"&amp;DATE(2027,6,1))+SUMIFS('FUNDED DEALS 2027'!$V$4:$V$1226,'FUNDED DEALS 2027'!$T$4:$T$1226,$B$3,'FUNDED DEALS 2027'!$AO$4:$AO$1226,"&lt;&gt;",'FUNDED DEALS 2027'!$C$4:$C$1226,"&gt;="&amp;DATE(2027,5,1),'FUNDED DEALS 2027'!$C$4:$C$1226,"&lt;"&amp;DATE(2027,6,1))+SUMIFS('FUNDED DEALS'!$Y$4:$Y$1226,'FUNDED DEALS'!$W$4:$W$1226,$B$3,'FUNDED DEALS'!$AO$4:$AO$1226,"&lt;&gt;",'FUNDED DEALS'!$C$4:$C$1226,"&gt;="&amp;DATE(2027,5,1),'FUNDED DEALS'!$C$4:$C$1226,"&lt;"&amp;DATE(2027,6,1))+SUMIFS('FUNDED DEALS 2027'!$Y$4:$Y$1226,'FUNDED DEALS 2027'!$W$4:$W$1226,$B$3,'FUNDED DEALS 2027'!$AO$4:$AO$1226,"&lt;&gt;",'FUNDED DEALS 2027'!$C$4:$C$1226,"&gt;="&amp;DATE(2027,5,1),'FUNDED DEALS 2027'!$C$4:$C$1226,"&lt;"&amp;DATE(2027,6,1))+SUMIFS('FUNDED DEALS'!$AB$4:$AB$1226,'FUNDED DEALS'!$Z$4:$Z$1226,$B$3,'FUNDED DEALS'!$AO$4:$AO$1226,"&lt;&gt;",'FUNDED DEALS'!$C$4:$C$1226,"&gt;="&amp;DATE(2027,5,1),'FUNDED DEALS'!$C$4:$C$1226,"&lt;"&amp;DATE(2027,6,1))+SUMIFS('FUNDED DEALS 2027'!$AB$4:$AB$1226,'FUNDED DEALS 2027'!$Z$4:$Z$1226,$B$3,'FUNDED DEALS 2027'!$AO$4:$AO$1226,"&lt;&gt;",'FUNDED DEALS 2027'!$C$4:$C$1226,"&gt;="&amp;DATE(2027,5,1),'FUNDED DEALS 2027'!$C$4:$C$1226,"&lt;"&amp;DATE(2027,6,1)))</f>
        <v>0</v>
      </c>
      <c r="G21" s="51" t="n">
        <f aca="false">E21-F21</f>
        <v>0</v>
      </c>
    </row>
    <row r="22" customFormat="false" ht="15" hidden="false" customHeight="false" outlineLevel="0" collapsed="false">
      <c r="A22" s="49" t="s">
        <v>135</v>
      </c>
      <c r="B22" s="48" t="n">
        <f aca="false">IF($B$3="",SUMIFS('FUNDED DEALS'!$V$4:$V$1226,'FUNDED DEALS'!$C$4:$C$1226,"&lt;&gt;",'FUNDED DEALS'!$C$4:$C$1226,"&gt;="&amp;DATE(2027,6,1),'FUNDED DEALS'!$C$4:$C$1226,"&lt;"&amp;DATE(2027,7,1))+SUMIFS('FUNDED DEALS 2027'!$V$4:$V$1226,'FUNDED DEALS 2027'!$C$4:$C$1226,"&lt;&gt;",'FUNDED DEALS 2027'!$C$4:$C$1226,"&gt;="&amp;DATE(2027,6,1),'FUNDED DEALS 2027'!$C$4:$C$1226,"&lt;"&amp;DATE(2027,7,1)),SUMIFS('FUNDED DEALS'!$V$4:$V$1226,'FUNDED DEALS'!$T$4:$T$1226,$B$3,'FUNDED DEALS'!$C$4:$C$1226,"&gt;="&amp;DATE(2027,6,1),'FUNDED DEALS'!$C$4:$C$1226,"&lt;"&amp;DATE(2027,7,1))+SUMIFS('FUNDED DEALS 2027'!$V$4:$V$1226,'FUNDED DEALS 2027'!$T$4:$T$1226,$B$3,'FUNDED DEALS 2027'!$C$4:$C$1226,"&gt;="&amp;DATE(2027,6,1),'FUNDED DEALS 2027'!$C$4:$C$1226,"&lt;"&amp;DATE(2027,7,1)))</f>
        <v>0</v>
      </c>
      <c r="C22" s="48" t="n">
        <f aca="false">IF($B$3="",SUMIFS('FUNDED DEALS'!$Y$4:$Y$1226,'FUNDED DEALS'!$C$4:$C$1226,"&lt;&gt;",'FUNDED DEALS'!$C$4:$C$1226,"&gt;="&amp;DATE(2027,6,1),'FUNDED DEALS'!$C$4:$C$1226,"&lt;"&amp;DATE(2027,7,1))+SUMIFS('FUNDED DEALS 2027'!$Y$4:$Y$1226,'FUNDED DEALS 2027'!$C$4:$C$1226,"&lt;&gt;",'FUNDED DEALS 2027'!$C$4:$C$1226,"&gt;="&amp;DATE(2027,6,1),'FUNDED DEALS 2027'!$C$4:$C$1226,"&lt;"&amp;DATE(2027,7,1)),SUMIFS('FUNDED DEALS'!$Y$4:$Y$1226,'FUNDED DEALS'!$W$4:$W$1226,$B$3,'FUNDED DEALS'!$C$4:$C$1226,"&gt;="&amp;DATE(2027,6,1),'FUNDED DEALS'!$C$4:$C$1226,"&lt;"&amp;DATE(2027,7,1))+SUMIFS('FUNDED DEALS 2027'!$Y$4:$Y$1226,'FUNDED DEALS 2027'!$W$4:$W$1226,$B$3,'FUNDED DEALS 2027'!$C$4:$C$1226,"&gt;="&amp;DATE(2027,6,1),'FUNDED DEALS 2027'!$C$4:$C$1226,"&lt;"&amp;DATE(2027,7,1)))</f>
        <v>0</v>
      </c>
      <c r="D22" s="48" t="n">
        <f aca="false">IF($B$3="",SUMIFS('FUNDED DEALS'!$AB$4:$AB$1226,'FUNDED DEALS'!$C$4:$C$1226,"&lt;&gt;",'FUNDED DEALS'!$C$4:$C$1226,"&gt;="&amp;DATE(2027,6,1),'FUNDED DEALS'!$C$4:$C$1226,"&lt;"&amp;DATE(2027,7,1))+SUMIFS('FUNDED DEALS 2027'!$AB$4:$AB$1226,'FUNDED DEALS 2027'!$C$4:$C$1226,"&lt;&gt;",'FUNDED DEALS 2027'!$C$4:$C$1226,"&gt;="&amp;DATE(2027,6,1),'FUNDED DEALS 2027'!$C$4:$C$1226,"&lt;"&amp;DATE(2027,7,1)),SUMIFS('FUNDED DEALS'!$AB$4:$AB$1226,'FUNDED DEALS'!$Z$4:$Z$1226,$B$3,'FUNDED DEALS'!$C$4:$C$1226,"&gt;="&amp;DATE(2027,6,1),'FUNDED DEALS'!$C$4:$C$1226,"&lt;"&amp;DATE(2027,7,1))+SUMIFS('FUNDED DEALS 2027'!$AB$4:$AB$1226,'FUNDED DEALS 2027'!$Z$4:$Z$1226,$B$3,'FUNDED DEALS 2027'!$C$4:$C$1226,"&gt;="&amp;DATE(2027,6,1),'FUNDED DEALS 2027'!$C$4:$C$1226,"&lt;"&amp;DATE(2027,7,1)))</f>
        <v>0</v>
      </c>
      <c r="E22" s="48" t="n">
        <f aca="false">B22+C22+D22</f>
        <v>0</v>
      </c>
      <c r="F22" s="48" t="n">
        <f aca="false">IF($B$3="",SUMIFS('FUNDED DEALS'!$AC$4:$AC$1226,'FUNDED DEALS'!$C$4:$C$1226,"&lt;&gt;",'FUNDED DEALS'!$AO$4:$AO$1226,"&lt;&gt;",'FUNDED DEALS'!$C$4:$C$1226,"&gt;="&amp;DATE(2027,6,1),'FUNDED DEALS'!$C$4:$C$1226,"&lt;"&amp;DATE(2027,7,1))+SUMIFS('FUNDED DEALS 2027'!$AC$4:$AC$1226,'FUNDED DEALS 2027'!$C$4:$C$1226,"&lt;&gt;",'FUNDED DEALS 2027'!$AO$4:$AO$1226,"&lt;&gt;",'FUNDED DEALS 2027'!$C$4:$C$1226,"&gt;="&amp;DATE(2027,6,1),'FUNDED DEALS 2027'!$C$4:$C$1226,"&lt;"&amp;DATE(2027,7,1)),SUMIFS('FUNDED DEALS'!$V$4:$V$1226,'FUNDED DEALS'!$T$4:$T$1226,$B$3,'FUNDED DEALS'!$AO$4:$AO$1226,"&lt;&gt;",'FUNDED DEALS'!$C$4:$C$1226,"&gt;="&amp;DATE(2027,6,1),'FUNDED DEALS'!$C$4:$C$1226,"&lt;"&amp;DATE(2027,7,1))+SUMIFS('FUNDED DEALS 2027'!$V$4:$V$1226,'FUNDED DEALS 2027'!$T$4:$T$1226,$B$3,'FUNDED DEALS 2027'!$AO$4:$AO$1226,"&lt;&gt;",'FUNDED DEALS 2027'!$C$4:$C$1226,"&gt;="&amp;DATE(2027,6,1),'FUNDED DEALS 2027'!$C$4:$C$1226,"&lt;"&amp;DATE(2027,7,1))+SUMIFS('FUNDED DEALS'!$Y$4:$Y$1226,'FUNDED DEALS'!$W$4:$W$1226,$B$3,'FUNDED DEALS'!$AO$4:$AO$1226,"&lt;&gt;",'FUNDED DEALS'!$C$4:$C$1226,"&gt;="&amp;DATE(2027,6,1),'FUNDED DEALS'!$C$4:$C$1226,"&lt;"&amp;DATE(2027,7,1))+SUMIFS('FUNDED DEALS 2027'!$Y$4:$Y$1226,'FUNDED DEALS 2027'!$W$4:$W$1226,$B$3,'FUNDED DEALS 2027'!$AO$4:$AO$1226,"&lt;&gt;",'FUNDED DEALS 2027'!$C$4:$C$1226,"&gt;="&amp;DATE(2027,6,1),'FUNDED DEALS 2027'!$C$4:$C$1226,"&lt;"&amp;DATE(2027,7,1))+SUMIFS('FUNDED DEALS'!$AB$4:$AB$1226,'FUNDED DEALS'!$Z$4:$Z$1226,$B$3,'FUNDED DEALS'!$AO$4:$AO$1226,"&lt;&gt;",'FUNDED DEALS'!$C$4:$C$1226,"&gt;="&amp;DATE(2027,6,1),'FUNDED DEALS'!$C$4:$C$1226,"&lt;"&amp;DATE(2027,7,1))+SUMIFS('FUNDED DEALS 2027'!$AB$4:$AB$1226,'FUNDED DEALS 2027'!$Z$4:$Z$1226,$B$3,'FUNDED DEALS 2027'!$AO$4:$AO$1226,"&lt;&gt;",'FUNDED DEALS 2027'!$C$4:$C$1226,"&gt;="&amp;DATE(2027,6,1),'FUNDED DEALS 2027'!$C$4:$C$1226,"&lt;"&amp;DATE(2027,7,1)))</f>
        <v>0</v>
      </c>
      <c r="G22" s="48" t="n">
        <f aca="false">E22-F22</f>
        <v>0</v>
      </c>
    </row>
    <row r="23" customFormat="false" ht="15" hidden="false" customHeight="false" outlineLevel="0" collapsed="false">
      <c r="A23" s="52" t="s">
        <v>136</v>
      </c>
      <c r="B23" s="51" t="n">
        <f aca="false">IF($B$3="",SUMIFS('FUNDED DEALS'!$V$4:$V$1226,'FUNDED DEALS'!$C$4:$C$1226,"&lt;&gt;",'FUNDED DEALS'!$C$4:$C$1226,"&gt;="&amp;DATE(2027,7,1),'FUNDED DEALS'!$C$4:$C$1226,"&lt;"&amp;DATE(2027,8,1))+SUMIFS('FUNDED DEALS 2027'!$V$4:$V$1226,'FUNDED DEALS 2027'!$C$4:$C$1226,"&lt;&gt;",'FUNDED DEALS 2027'!$C$4:$C$1226,"&gt;="&amp;DATE(2027,7,1),'FUNDED DEALS 2027'!$C$4:$C$1226,"&lt;"&amp;DATE(2027,8,1)),SUMIFS('FUNDED DEALS'!$V$4:$V$1226,'FUNDED DEALS'!$T$4:$T$1226,$B$3,'FUNDED DEALS'!$C$4:$C$1226,"&gt;="&amp;DATE(2027,7,1),'FUNDED DEALS'!$C$4:$C$1226,"&lt;"&amp;DATE(2027,8,1))+SUMIFS('FUNDED DEALS 2027'!$V$4:$V$1226,'FUNDED DEALS 2027'!$T$4:$T$1226,$B$3,'FUNDED DEALS 2027'!$C$4:$C$1226,"&gt;="&amp;DATE(2027,7,1),'FUNDED DEALS 2027'!$C$4:$C$1226,"&lt;"&amp;DATE(2027,8,1)))</f>
        <v>0</v>
      </c>
      <c r="C23" s="51" t="n">
        <f aca="false">IF($B$3="",SUMIFS('FUNDED DEALS'!$Y$4:$Y$1226,'FUNDED DEALS'!$C$4:$C$1226,"&lt;&gt;",'FUNDED DEALS'!$C$4:$C$1226,"&gt;="&amp;DATE(2027,7,1),'FUNDED DEALS'!$C$4:$C$1226,"&lt;"&amp;DATE(2027,8,1))+SUMIFS('FUNDED DEALS 2027'!$Y$4:$Y$1226,'FUNDED DEALS 2027'!$C$4:$C$1226,"&lt;&gt;",'FUNDED DEALS 2027'!$C$4:$C$1226,"&gt;="&amp;DATE(2027,7,1),'FUNDED DEALS 2027'!$C$4:$C$1226,"&lt;"&amp;DATE(2027,8,1)),SUMIFS('FUNDED DEALS'!$Y$4:$Y$1226,'FUNDED DEALS'!$W$4:$W$1226,$B$3,'FUNDED DEALS'!$C$4:$C$1226,"&gt;="&amp;DATE(2027,7,1),'FUNDED DEALS'!$C$4:$C$1226,"&lt;"&amp;DATE(2027,8,1))+SUMIFS('FUNDED DEALS 2027'!$Y$4:$Y$1226,'FUNDED DEALS 2027'!$W$4:$W$1226,$B$3,'FUNDED DEALS 2027'!$C$4:$C$1226,"&gt;="&amp;DATE(2027,7,1),'FUNDED DEALS 2027'!$C$4:$C$1226,"&lt;"&amp;DATE(2027,8,1)))</f>
        <v>0</v>
      </c>
      <c r="D23" s="51" t="n">
        <f aca="false">IF($B$3="",SUMIFS('FUNDED DEALS'!$AB$4:$AB$1226,'FUNDED DEALS'!$C$4:$C$1226,"&lt;&gt;",'FUNDED DEALS'!$C$4:$C$1226,"&gt;="&amp;DATE(2027,7,1),'FUNDED DEALS'!$C$4:$C$1226,"&lt;"&amp;DATE(2027,8,1))+SUMIFS('FUNDED DEALS 2027'!$AB$4:$AB$1226,'FUNDED DEALS 2027'!$C$4:$C$1226,"&lt;&gt;",'FUNDED DEALS 2027'!$C$4:$C$1226,"&gt;="&amp;DATE(2027,7,1),'FUNDED DEALS 2027'!$C$4:$C$1226,"&lt;"&amp;DATE(2027,8,1)),SUMIFS('FUNDED DEALS'!$AB$4:$AB$1226,'FUNDED DEALS'!$Z$4:$Z$1226,$B$3,'FUNDED DEALS'!$C$4:$C$1226,"&gt;="&amp;DATE(2027,7,1),'FUNDED DEALS'!$C$4:$C$1226,"&lt;"&amp;DATE(2027,8,1))+SUMIFS('FUNDED DEALS 2027'!$AB$4:$AB$1226,'FUNDED DEALS 2027'!$Z$4:$Z$1226,$B$3,'FUNDED DEALS 2027'!$C$4:$C$1226,"&gt;="&amp;DATE(2027,7,1),'FUNDED DEALS 2027'!$C$4:$C$1226,"&lt;"&amp;DATE(2027,8,1)))</f>
        <v>0</v>
      </c>
      <c r="E23" s="51" t="n">
        <f aca="false">B23+C23+D23</f>
        <v>0</v>
      </c>
      <c r="F23" s="51" t="n">
        <f aca="false">IF($B$3="",SUMIFS('FUNDED DEALS'!$AC$4:$AC$1226,'FUNDED DEALS'!$C$4:$C$1226,"&lt;&gt;",'FUNDED DEALS'!$AO$4:$AO$1226,"&lt;&gt;",'FUNDED DEALS'!$C$4:$C$1226,"&gt;="&amp;DATE(2027,7,1),'FUNDED DEALS'!$C$4:$C$1226,"&lt;"&amp;DATE(2027,8,1))+SUMIFS('FUNDED DEALS 2027'!$AC$4:$AC$1226,'FUNDED DEALS 2027'!$C$4:$C$1226,"&lt;&gt;",'FUNDED DEALS 2027'!$AO$4:$AO$1226,"&lt;&gt;",'FUNDED DEALS 2027'!$C$4:$C$1226,"&gt;="&amp;DATE(2027,7,1),'FUNDED DEALS 2027'!$C$4:$C$1226,"&lt;"&amp;DATE(2027,8,1)),SUMIFS('FUNDED DEALS'!$V$4:$V$1226,'FUNDED DEALS'!$T$4:$T$1226,$B$3,'FUNDED DEALS'!$AO$4:$AO$1226,"&lt;&gt;",'FUNDED DEALS'!$C$4:$C$1226,"&gt;="&amp;DATE(2027,7,1),'FUNDED DEALS'!$C$4:$C$1226,"&lt;"&amp;DATE(2027,8,1))+SUMIFS('FUNDED DEALS 2027'!$V$4:$V$1226,'FUNDED DEALS 2027'!$T$4:$T$1226,$B$3,'FUNDED DEALS 2027'!$AO$4:$AO$1226,"&lt;&gt;",'FUNDED DEALS 2027'!$C$4:$C$1226,"&gt;="&amp;DATE(2027,7,1),'FUNDED DEALS 2027'!$C$4:$C$1226,"&lt;"&amp;DATE(2027,8,1))+SUMIFS('FUNDED DEALS'!$Y$4:$Y$1226,'FUNDED DEALS'!$W$4:$W$1226,$B$3,'FUNDED DEALS'!$AO$4:$AO$1226,"&lt;&gt;",'FUNDED DEALS'!$C$4:$C$1226,"&gt;="&amp;DATE(2027,7,1),'FUNDED DEALS'!$C$4:$C$1226,"&lt;"&amp;DATE(2027,8,1))+SUMIFS('FUNDED DEALS 2027'!$Y$4:$Y$1226,'FUNDED DEALS 2027'!$W$4:$W$1226,$B$3,'FUNDED DEALS 2027'!$AO$4:$AO$1226,"&lt;&gt;",'FUNDED DEALS 2027'!$C$4:$C$1226,"&gt;="&amp;DATE(2027,7,1),'FUNDED DEALS 2027'!$C$4:$C$1226,"&lt;"&amp;DATE(2027,8,1))+SUMIFS('FUNDED DEALS'!$AB$4:$AB$1226,'FUNDED DEALS'!$Z$4:$Z$1226,$B$3,'FUNDED DEALS'!$AO$4:$AO$1226,"&lt;&gt;",'FUNDED DEALS'!$C$4:$C$1226,"&gt;="&amp;DATE(2027,7,1),'FUNDED DEALS'!$C$4:$C$1226,"&lt;"&amp;DATE(2027,8,1))+SUMIFS('FUNDED DEALS 2027'!$AB$4:$AB$1226,'FUNDED DEALS 2027'!$Z$4:$Z$1226,$B$3,'FUNDED DEALS 2027'!$AO$4:$AO$1226,"&lt;&gt;",'FUNDED DEALS 2027'!$C$4:$C$1226,"&gt;="&amp;DATE(2027,7,1),'FUNDED DEALS 2027'!$C$4:$C$1226,"&lt;"&amp;DATE(2027,8,1)))</f>
        <v>0</v>
      </c>
      <c r="G23" s="51" t="n">
        <f aca="false">E23-F23</f>
        <v>0</v>
      </c>
    </row>
    <row r="24" customFormat="false" ht="15" hidden="false" customHeight="false" outlineLevel="0" collapsed="false">
      <c r="A24" s="49" t="s">
        <v>137</v>
      </c>
      <c r="B24" s="48" t="n">
        <f aca="false">IF($B$3="",SUMIFS('FUNDED DEALS'!$V$4:$V$1226,'FUNDED DEALS'!$C$4:$C$1226,"&lt;&gt;",'FUNDED DEALS'!$C$4:$C$1226,"&gt;="&amp;DATE(2027,8,1),'FUNDED DEALS'!$C$4:$C$1226,"&lt;"&amp;DATE(2027,9,1))+SUMIFS('FUNDED DEALS 2027'!$V$4:$V$1226,'FUNDED DEALS 2027'!$C$4:$C$1226,"&lt;&gt;",'FUNDED DEALS 2027'!$C$4:$C$1226,"&gt;="&amp;DATE(2027,8,1),'FUNDED DEALS 2027'!$C$4:$C$1226,"&lt;"&amp;DATE(2027,9,1)),SUMIFS('FUNDED DEALS'!$V$4:$V$1226,'FUNDED DEALS'!$T$4:$T$1226,$B$3,'FUNDED DEALS'!$C$4:$C$1226,"&gt;="&amp;DATE(2027,8,1),'FUNDED DEALS'!$C$4:$C$1226,"&lt;"&amp;DATE(2027,9,1))+SUMIFS('FUNDED DEALS 2027'!$V$4:$V$1226,'FUNDED DEALS 2027'!$T$4:$T$1226,$B$3,'FUNDED DEALS 2027'!$C$4:$C$1226,"&gt;="&amp;DATE(2027,8,1),'FUNDED DEALS 2027'!$C$4:$C$1226,"&lt;"&amp;DATE(2027,9,1)))</f>
        <v>0</v>
      </c>
      <c r="C24" s="48" t="n">
        <f aca="false">IF($B$3="",SUMIFS('FUNDED DEALS'!$Y$4:$Y$1226,'FUNDED DEALS'!$C$4:$C$1226,"&lt;&gt;",'FUNDED DEALS'!$C$4:$C$1226,"&gt;="&amp;DATE(2027,8,1),'FUNDED DEALS'!$C$4:$C$1226,"&lt;"&amp;DATE(2027,9,1))+SUMIFS('FUNDED DEALS 2027'!$Y$4:$Y$1226,'FUNDED DEALS 2027'!$C$4:$C$1226,"&lt;&gt;",'FUNDED DEALS 2027'!$C$4:$C$1226,"&gt;="&amp;DATE(2027,8,1),'FUNDED DEALS 2027'!$C$4:$C$1226,"&lt;"&amp;DATE(2027,9,1)),SUMIFS('FUNDED DEALS'!$Y$4:$Y$1226,'FUNDED DEALS'!$W$4:$W$1226,$B$3,'FUNDED DEALS'!$C$4:$C$1226,"&gt;="&amp;DATE(2027,8,1),'FUNDED DEALS'!$C$4:$C$1226,"&lt;"&amp;DATE(2027,9,1))+SUMIFS('FUNDED DEALS 2027'!$Y$4:$Y$1226,'FUNDED DEALS 2027'!$W$4:$W$1226,$B$3,'FUNDED DEALS 2027'!$C$4:$C$1226,"&gt;="&amp;DATE(2027,8,1),'FUNDED DEALS 2027'!$C$4:$C$1226,"&lt;"&amp;DATE(2027,9,1)))</f>
        <v>0</v>
      </c>
      <c r="D24" s="48" t="n">
        <f aca="false">IF($B$3="",SUMIFS('FUNDED DEALS'!$AB$4:$AB$1226,'FUNDED DEALS'!$C$4:$C$1226,"&lt;&gt;",'FUNDED DEALS'!$C$4:$C$1226,"&gt;="&amp;DATE(2027,8,1),'FUNDED DEALS'!$C$4:$C$1226,"&lt;"&amp;DATE(2027,9,1))+SUMIFS('FUNDED DEALS 2027'!$AB$4:$AB$1226,'FUNDED DEALS 2027'!$C$4:$C$1226,"&lt;&gt;",'FUNDED DEALS 2027'!$C$4:$C$1226,"&gt;="&amp;DATE(2027,8,1),'FUNDED DEALS 2027'!$C$4:$C$1226,"&lt;"&amp;DATE(2027,9,1)),SUMIFS('FUNDED DEALS'!$AB$4:$AB$1226,'FUNDED DEALS'!$Z$4:$Z$1226,$B$3,'FUNDED DEALS'!$C$4:$C$1226,"&gt;="&amp;DATE(2027,8,1),'FUNDED DEALS'!$C$4:$C$1226,"&lt;"&amp;DATE(2027,9,1))+SUMIFS('FUNDED DEALS 2027'!$AB$4:$AB$1226,'FUNDED DEALS 2027'!$Z$4:$Z$1226,$B$3,'FUNDED DEALS 2027'!$C$4:$C$1226,"&gt;="&amp;DATE(2027,8,1),'FUNDED DEALS 2027'!$C$4:$C$1226,"&lt;"&amp;DATE(2027,9,1)))</f>
        <v>0</v>
      </c>
      <c r="E24" s="48" t="n">
        <f aca="false">B24+C24+D24</f>
        <v>0</v>
      </c>
      <c r="F24" s="48" t="n">
        <f aca="false">IF($B$3="",SUMIFS('FUNDED DEALS'!$AC$4:$AC$1226,'FUNDED DEALS'!$C$4:$C$1226,"&lt;&gt;",'FUNDED DEALS'!$AO$4:$AO$1226,"&lt;&gt;",'FUNDED DEALS'!$C$4:$C$1226,"&gt;="&amp;DATE(2027,8,1),'FUNDED DEALS'!$C$4:$C$1226,"&lt;"&amp;DATE(2027,9,1))+SUMIFS('FUNDED DEALS 2027'!$AC$4:$AC$1226,'FUNDED DEALS 2027'!$C$4:$C$1226,"&lt;&gt;",'FUNDED DEALS 2027'!$AO$4:$AO$1226,"&lt;&gt;",'FUNDED DEALS 2027'!$C$4:$C$1226,"&gt;="&amp;DATE(2027,8,1),'FUNDED DEALS 2027'!$C$4:$C$1226,"&lt;"&amp;DATE(2027,9,1)),SUMIFS('FUNDED DEALS'!$V$4:$V$1226,'FUNDED DEALS'!$T$4:$T$1226,$B$3,'FUNDED DEALS'!$AO$4:$AO$1226,"&lt;&gt;",'FUNDED DEALS'!$C$4:$C$1226,"&gt;="&amp;DATE(2027,8,1),'FUNDED DEALS'!$C$4:$C$1226,"&lt;"&amp;DATE(2027,9,1))+SUMIFS('FUNDED DEALS 2027'!$V$4:$V$1226,'FUNDED DEALS 2027'!$T$4:$T$1226,$B$3,'FUNDED DEALS 2027'!$AO$4:$AO$1226,"&lt;&gt;",'FUNDED DEALS 2027'!$C$4:$C$1226,"&gt;="&amp;DATE(2027,8,1),'FUNDED DEALS 2027'!$C$4:$C$1226,"&lt;"&amp;DATE(2027,9,1))+SUMIFS('FUNDED DEALS'!$Y$4:$Y$1226,'FUNDED DEALS'!$W$4:$W$1226,$B$3,'FUNDED DEALS'!$AO$4:$AO$1226,"&lt;&gt;",'FUNDED DEALS'!$C$4:$C$1226,"&gt;="&amp;DATE(2027,8,1),'FUNDED DEALS'!$C$4:$C$1226,"&lt;"&amp;DATE(2027,9,1))+SUMIFS('FUNDED DEALS 2027'!$Y$4:$Y$1226,'FUNDED DEALS 2027'!$W$4:$W$1226,$B$3,'FUNDED DEALS 2027'!$AO$4:$AO$1226,"&lt;&gt;",'FUNDED DEALS 2027'!$C$4:$C$1226,"&gt;="&amp;DATE(2027,8,1),'FUNDED DEALS 2027'!$C$4:$C$1226,"&lt;"&amp;DATE(2027,9,1))+SUMIFS('FUNDED DEALS'!$AB$4:$AB$1226,'FUNDED DEALS'!$Z$4:$Z$1226,$B$3,'FUNDED DEALS'!$AO$4:$AO$1226,"&lt;&gt;",'FUNDED DEALS'!$C$4:$C$1226,"&gt;="&amp;DATE(2027,8,1),'FUNDED DEALS'!$C$4:$C$1226,"&lt;"&amp;DATE(2027,9,1))+SUMIFS('FUNDED DEALS 2027'!$AB$4:$AB$1226,'FUNDED DEALS 2027'!$Z$4:$Z$1226,$B$3,'FUNDED DEALS 2027'!$AO$4:$AO$1226,"&lt;&gt;",'FUNDED DEALS 2027'!$C$4:$C$1226,"&gt;="&amp;DATE(2027,8,1),'FUNDED DEALS 2027'!$C$4:$C$1226,"&lt;"&amp;DATE(2027,9,1)))</f>
        <v>0</v>
      </c>
      <c r="G24" s="48" t="n">
        <f aca="false">E24-F24</f>
        <v>0</v>
      </c>
    </row>
    <row r="25" customFormat="false" ht="15" hidden="false" customHeight="false" outlineLevel="0" collapsed="false">
      <c r="A25" s="52" t="s">
        <v>138</v>
      </c>
      <c r="B25" s="51" t="n">
        <f aca="false">IF($B$3="",SUMIFS('FUNDED DEALS'!$V$4:$V$1226,'FUNDED DEALS'!$C$4:$C$1226,"&lt;&gt;",'FUNDED DEALS'!$C$4:$C$1226,"&gt;="&amp;DATE(2027,9,1),'FUNDED DEALS'!$C$4:$C$1226,"&lt;"&amp;DATE(2027,10,1))+SUMIFS('FUNDED DEALS 2027'!$V$4:$V$1226,'FUNDED DEALS 2027'!$C$4:$C$1226,"&lt;&gt;",'FUNDED DEALS 2027'!$C$4:$C$1226,"&gt;="&amp;DATE(2027,9,1),'FUNDED DEALS 2027'!$C$4:$C$1226,"&lt;"&amp;DATE(2027,10,1)),SUMIFS('FUNDED DEALS'!$V$4:$V$1226,'FUNDED DEALS'!$T$4:$T$1226,$B$3,'FUNDED DEALS'!$C$4:$C$1226,"&gt;="&amp;DATE(2027,9,1),'FUNDED DEALS'!$C$4:$C$1226,"&lt;"&amp;DATE(2027,10,1))+SUMIFS('FUNDED DEALS 2027'!$V$4:$V$1226,'FUNDED DEALS 2027'!$T$4:$T$1226,$B$3,'FUNDED DEALS 2027'!$C$4:$C$1226,"&gt;="&amp;DATE(2027,9,1),'FUNDED DEALS 2027'!$C$4:$C$1226,"&lt;"&amp;DATE(2027,10,1)))</f>
        <v>0</v>
      </c>
      <c r="C25" s="51" t="n">
        <f aca="false">IF($B$3="",SUMIFS('FUNDED DEALS'!$Y$4:$Y$1226,'FUNDED DEALS'!$C$4:$C$1226,"&lt;&gt;",'FUNDED DEALS'!$C$4:$C$1226,"&gt;="&amp;DATE(2027,9,1),'FUNDED DEALS'!$C$4:$C$1226,"&lt;"&amp;DATE(2027,10,1))+SUMIFS('FUNDED DEALS 2027'!$Y$4:$Y$1226,'FUNDED DEALS 2027'!$C$4:$C$1226,"&lt;&gt;",'FUNDED DEALS 2027'!$C$4:$C$1226,"&gt;="&amp;DATE(2027,9,1),'FUNDED DEALS 2027'!$C$4:$C$1226,"&lt;"&amp;DATE(2027,10,1)),SUMIFS('FUNDED DEALS'!$Y$4:$Y$1226,'FUNDED DEALS'!$W$4:$W$1226,$B$3,'FUNDED DEALS'!$C$4:$C$1226,"&gt;="&amp;DATE(2027,9,1),'FUNDED DEALS'!$C$4:$C$1226,"&lt;"&amp;DATE(2027,10,1))+SUMIFS('FUNDED DEALS 2027'!$Y$4:$Y$1226,'FUNDED DEALS 2027'!$W$4:$W$1226,$B$3,'FUNDED DEALS 2027'!$C$4:$C$1226,"&gt;="&amp;DATE(2027,9,1),'FUNDED DEALS 2027'!$C$4:$C$1226,"&lt;"&amp;DATE(2027,10,1)))</f>
        <v>0</v>
      </c>
      <c r="D25" s="51" t="n">
        <f aca="false">IF($B$3="",SUMIFS('FUNDED DEALS'!$AB$4:$AB$1226,'FUNDED DEALS'!$C$4:$C$1226,"&lt;&gt;",'FUNDED DEALS'!$C$4:$C$1226,"&gt;="&amp;DATE(2027,9,1),'FUNDED DEALS'!$C$4:$C$1226,"&lt;"&amp;DATE(2027,10,1))+SUMIFS('FUNDED DEALS 2027'!$AB$4:$AB$1226,'FUNDED DEALS 2027'!$C$4:$C$1226,"&lt;&gt;",'FUNDED DEALS 2027'!$C$4:$C$1226,"&gt;="&amp;DATE(2027,9,1),'FUNDED DEALS 2027'!$C$4:$C$1226,"&lt;"&amp;DATE(2027,10,1)),SUMIFS('FUNDED DEALS'!$AB$4:$AB$1226,'FUNDED DEALS'!$Z$4:$Z$1226,$B$3,'FUNDED DEALS'!$C$4:$C$1226,"&gt;="&amp;DATE(2027,9,1),'FUNDED DEALS'!$C$4:$C$1226,"&lt;"&amp;DATE(2027,10,1))+SUMIFS('FUNDED DEALS 2027'!$AB$4:$AB$1226,'FUNDED DEALS 2027'!$Z$4:$Z$1226,$B$3,'FUNDED DEALS 2027'!$C$4:$C$1226,"&gt;="&amp;DATE(2027,9,1),'FUNDED DEALS 2027'!$C$4:$C$1226,"&lt;"&amp;DATE(2027,10,1)))</f>
        <v>0</v>
      </c>
      <c r="E25" s="51" t="n">
        <f aca="false">B25+C25+D25</f>
        <v>0</v>
      </c>
      <c r="F25" s="51" t="n">
        <f aca="false">IF($B$3="",SUMIFS('FUNDED DEALS'!$AC$4:$AC$1226,'FUNDED DEALS'!$C$4:$C$1226,"&lt;&gt;",'FUNDED DEALS'!$AO$4:$AO$1226,"&lt;&gt;",'FUNDED DEALS'!$C$4:$C$1226,"&gt;="&amp;DATE(2027,9,1),'FUNDED DEALS'!$C$4:$C$1226,"&lt;"&amp;DATE(2027,10,1))+SUMIFS('FUNDED DEALS 2027'!$AC$4:$AC$1226,'FUNDED DEALS 2027'!$C$4:$C$1226,"&lt;&gt;",'FUNDED DEALS 2027'!$AO$4:$AO$1226,"&lt;&gt;",'FUNDED DEALS 2027'!$C$4:$C$1226,"&gt;="&amp;DATE(2027,9,1),'FUNDED DEALS 2027'!$C$4:$C$1226,"&lt;"&amp;DATE(2027,10,1)),SUMIFS('FUNDED DEALS'!$V$4:$V$1226,'FUNDED DEALS'!$T$4:$T$1226,$B$3,'FUNDED DEALS'!$AO$4:$AO$1226,"&lt;&gt;",'FUNDED DEALS'!$C$4:$C$1226,"&gt;="&amp;DATE(2027,9,1),'FUNDED DEALS'!$C$4:$C$1226,"&lt;"&amp;DATE(2027,10,1))+SUMIFS('FUNDED DEALS 2027'!$V$4:$V$1226,'FUNDED DEALS 2027'!$T$4:$T$1226,$B$3,'FUNDED DEALS 2027'!$AO$4:$AO$1226,"&lt;&gt;",'FUNDED DEALS 2027'!$C$4:$C$1226,"&gt;="&amp;DATE(2027,9,1),'FUNDED DEALS 2027'!$C$4:$C$1226,"&lt;"&amp;DATE(2027,10,1))+SUMIFS('FUNDED DEALS'!$Y$4:$Y$1226,'FUNDED DEALS'!$W$4:$W$1226,$B$3,'FUNDED DEALS'!$AO$4:$AO$1226,"&lt;&gt;",'FUNDED DEALS'!$C$4:$C$1226,"&gt;="&amp;DATE(2027,9,1),'FUNDED DEALS'!$C$4:$C$1226,"&lt;"&amp;DATE(2027,10,1))+SUMIFS('FUNDED DEALS 2027'!$Y$4:$Y$1226,'FUNDED DEALS 2027'!$W$4:$W$1226,$B$3,'FUNDED DEALS 2027'!$AO$4:$AO$1226,"&lt;&gt;",'FUNDED DEALS 2027'!$C$4:$C$1226,"&gt;="&amp;DATE(2027,9,1),'FUNDED DEALS 2027'!$C$4:$C$1226,"&lt;"&amp;DATE(2027,10,1))+SUMIFS('FUNDED DEALS'!$AB$4:$AB$1226,'FUNDED DEALS'!$Z$4:$Z$1226,$B$3,'FUNDED DEALS'!$AO$4:$AO$1226,"&lt;&gt;",'FUNDED DEALS'!$C$4:$C$1226,"&gt;="&amp;DATE(2027,9,1),'FUNDED DEALS'!$C$4:$C$1226,"&lt;"&amp;DATE(2027,10,1))+SUMIFS('FUNDED DEALS 2027'!$AB$4:$AB$1226,'FUNDED DEALS 2027'!$Z$4:$Z$1226,$B$3,'FUNDED DEALS 2027'!$AO$4:$AO$1226,"&lt;&gt;",'FUNDED DEALS 2027'!$C$4:$C$1226,"&gt;="&amp;DATE(2027,9,1),'FUNDED DEALS 2027'!$C$4:$C$1226,"&lt;"&amp;DATE(2027,10,1)))</f>
        <v>0</v>
      </c>
      <c r="G25" s="51" t="n">
        <f aca="false">E25-F25</f>
        <v>0</v>
      </c>
    </row>
    <row r="26" customFormat="false" ht="15" hidden="false" customHeight="false" outlineLevel="0" collapsed="false">
      <c r="A26" s="49" t="s">
        <v>139</v>
      </c>
      <c r="B26" s="48" t="n">
        <f aca="false">IF($B$3="",SUMIFS('FUNDED DEALS'!$V$4:$V$1226,'FUNDED DEALS'!$C$4:$C$1226,"&lt;&gt;",'FUNDED DEALS'!$C$4:$C$1226,"&gt;="&amp;DATE(2027,10,1),'FUNDED DEALS'!$C$4:$C$1226,"&lt;"&amp;DATE(2027,11,1))+SUMIFS('FUNDED DEALS 2027'!$V$4:$V$1226,'FUNDED DEALS 2027'!$C$4:$C$1226,"&lt;&gt;",'FUNDED DEALS 2027'!$C$4:$C$1226,"&gt;="&amp;DATE(2027,10,1),'FUNDED DEALS 2027'!$C$4:$C$1226,"&lt;"&amp;DATE(2027,11,1)),SUMIFS('FUNDED DEALS'!$V$4:$V$1226,'FUNDED DEALS'!$T$4:$T$1226,$B$3,'FUNDED DEALS'!$C$4:$C$1226,"&gt;="&amp;DATE(2027,10,1),'FUNDED DEALS'!$C$4:$C$1226,"&lt;"&amp;DATE(2027,11,1))+SUMIFS('FUNDED DEALS 2027'!$V$4:$V$1226,'FUNDED DEALS 2027'!$T$4:$T$1226,$B$3,'FUNDED DEALS 2027'!$C$4:$C$1226,"&gt;="&amp;DATE(2027,10,1),'FUNDED DEALS 2027'!$C$4:$C$1226,"&lt;"&amp;DATE(2027,11,1)))</f>
        <v>0</v>
      </c>
      <c r="C26" s="48" t="n">
        <f aca="false">IF($B$3="",SUMIFS('FUNDED DEALS'!$Y$4:$Y$1226,'FUNDED DEALS'!$C$4:$C$1226,"&lt;&gt;",'FUNDED DEALS'!$C$4:$C$1226,"&gt;="&amp;DATE(2027,10,1),'FUNDED DEALS'!$C$4:$C$1226,"&lt;"&amp;DATE(2027,11,1))+SUMIFS('FUNDED DEALS 2027'!$Y$4:$Y$1226,'FUNDED DEALS 2027'!$C$4:$C$1226,"&lt;&gt;",'FUNDED DEALS 2027'!$C$4:$C$1226,"&gt;="&amp;DATE(2027,10,1),'FUNDED DEALS 2027'!$C$4:$C$1226,"&lt;"&amp;DATE(2027,11,1)),SUMIFS('FUNDED DEALS'!$Y$4:$Y$1226,'FUNDED DEALS'!$W$4:$W$1226,$B$3,'FUNDED DEALS'!$C$4:$C$1226,"&gt;="&amp;DATE(2027,10,1),'FUNDED DEALS'!$C$4:$C$1226,"&lt;"&amp;DATE(2027,11,1))+SUMIFS('FUNDED DEALS 2027'!$Y$4:$Y$1226,'FUNDED DEALS 2027'!$W$4:$W$1226,$B$3,'FUNDED DEALS 2027'!$C$4:$C$1226,"&gt;="&amp;DATE(2027,10,1),'FUNDED DEALS 2027'!$C$4:$C$1226,"&lt;"&amp;DATE(2027,11,1)))</f>
        <v>0</v>
      </c>
      <c r="D26" s="48" t="n">
        <f aca="false">IF($B$3="",SUMIFS('FUNDED DEALS'!$AB$4:$AB$1226,'FUNDED DEALS'!$C$4:$C$1226,"&lt;&gt;",'FUNDED DEALS'!$C$4:$C$1226,"&gt;="&amp;DATE(2027,10,1),'FUNDED DEALS'!$C$4:$C$1226,"&lt;"&amp;DATE(2027,11,1))+SUMIFS('FUNDED DEALS 2027'!$AB$4:$AB$1226,'FUNDED DEALS 2027'!$C$4:$C$1226,"&lt;&gt;",'FUNDED DEALS 2027'!$C$4:$C$1226,"&gt;="&amp;DATE(2027,10,1),'FUNDED DEALS 2027'!$C$4:$C$1226,"&lt;"&amp;DATE(2027,11,1)),SUMIFS('FUNDED DEALS'!$AB$4:$AB$1226,'FUNDED DEALS'!$Z$4:$Z$1226,$B$3,'FUNDED DEALS'!$C$4:$C$1226,"&gt;="&amp;DATE(2027,10,1),'FUNDED DEALS'!$C$4:$C$1226,"&lt;"&amp;DATE(2027,11,1))+SUMIFS('FUNDED DEALS 2027'!$AB$4:$AB$1226,'FUNDED DEALS 2027'!$Z$4:$Z$1226,$B$3,'FUNDED DEALS 2027'!$C$4:$C$1226,"&gt;="&amp;DATE(2027,10,1),'FUNDED DEALS 2027'!$C$4:$C$1226,"&lt;"&amp;DATE(2027,11,1)))</f>
        <v>0</v>
      </c>
      <c r="E26" s="48" t="n">
        <f aca="false">B26+C26+D26</f>
        <v>0</v>
      </c>
      <c r="F26" s="48" t="n">
        <f aca="false">IF($B$3="",SUMIFS('FUNDED DEALS'!$AC$4:$AC$1226,'FUNDED DEALS'!$C$4:$C$1226,"&lt;&gt;",'FUNDED DEALS'!$AO$4:$AO$1226,"&lt;&gt;",'FUNDED DEALS'!$C$4:$C$1226,"&gt;="&amp;DATE(2027,10,1),'FUNDED DEALS'!$C$4:$C$1226,"&lt;"&amp;DATE(2027,11,1))+SUMIFS('FUNDED DEALS 2027'!$AC$4:$AC$1226,'FUNDED DEALS 2027'!$C$4:$C$1226,"&lt;&gt;",'FUNDED DEALS 2027'!$AO$4:$AO$1226,"&lt;&gt;",'FUNDED DEALS 2027'!$C$4:$C$1226,"&gt;="&amp;DATE(2027,10,1),'FUNDED DEALS 2027'!$C$4:$C$1226,"&lt;"&amp;DATE(2027,11,1)),SUMIFS('FUNDED DEALS'!$V$4:$V$1226,'FUNDED DEALS'!$T$4:$T$1226,$B$3,'FUNDED DEALS'!$AO$4:$AO$1226,"&lt;&gt;",'FUNDED DEALS'!$C$4:$C$1226,"&gt;="&amp;DATE(2027,10,1),'FUNDED DEALS'!$C$4:$C$1226,"&lt;"&amp;DATE(2027,11,1))+SUMIFS('FUNDED DEALS 2027'!$V$4:$V$1226,'FUNDED DEALS 2027'!$T$4:$T$1226,$B$3,'FUNDED DEALS 2027'!$AO$4:$AO$1226,"&lt;&gt;",'FUNDED DEALS 2027'!$C$4:$C$1226,"&gt;="&amp;DATE(2027,10,1),'FUNDED DEALS 2027'!$C$4:$C$1226,"&lt;"&amp;DATE(2027,11,1))+SUMIFS('FUNDED DEALS'!$Y$4:$Y$1226,'FUNDED DEALS'!$W$4:$W$1226,$B$3,'FUNDED DEALS'!$AO$4:$AO$1226,"&lt;&gt;",'FUNDED DEALS'!$C$4:$C$1226,"&gt;="&amp;DATE(2027,10,1),'FUNDED DEALS'!$C$4:$C$1226,"&lt;"&amp;DATE(2027,11,1))+SUMIFS('FUNDED DEALS 2027'!$Y$4:$Y$1226,'FUNDED DEALS 2027'!$W$4:$W$1226,$B$3,'FUNDED DEALS 2027'!$AO$4:$AO$1226,"&lt;&gt;",'FUNDED DEALS 2027'!$C$4:$C$1226,"&gt;="&amp;DATE(2027,10,1),'FUNDED DEALS 2027'!$C$4:$C$1226,"&lt;"&amp;DATE(2027,11,1))+SUMIFS('FUNDED DEALS'!$AB$4:$AB$1226,'FUNDED DEALS'!$Z$4:$Z$1226,$B$3,'FUNDED DEALS'!$AO$4:$AO$1226,"&lt;&gt;",'FUNDED DEALS'!$C$4:$C$1226,"&gt;="&amp;DATE(2027,10,1),'FUNDED DEALS'!$C$4:$C$1226,"&lt;"&amp;DATE(2027,11,1))+SUMIFS('FUNDED DEALS 2027'!$AB$4:$AB$1226,'FUNDED DEALS 2027'!$Z$4:$Z$1226,$B$3,'FUNDED DEALS 2027'!$AO$4:$AO$1226,"&lt;&gt;",'FUNDED DEALS 2027'!$C$4:$C$1226,"&gt;="&amp;DATE(2027,10,1),'FUNDED DEALS 2027'!$C$4:$C$1226,"&lt;"&amp;DATE(2027,11,1)))</f>
        <v>0</v>
      </c>
      <c r="G26" s="48" t="n">
        <f aca="false">E26-F26</f>
        <v>0</v>
      </c>
    </row>
    <row r="27" customFormat="false" ht="15" hidden="false" customHeight="false" outlineLevel="0" collapsed="false">
      <c r="A27" s="52" t="s">
        <v>140</v>
      </c>
      <c r="B27" s="51" t="n">
        <f aca="false">IF($B$3="",SUMIFS('FUNDED DEALS'!$V$4:$V$1226,'FUNDED DEALS'!$C$4:$C$1226,"&lt;&gt;",'FUNDED DEALS'!$C$4:$C$1226,"&gt;="&amp;DATE(2027,11,1),'FUNDED DEALS'!$C$4:$C$1226,"&lt;"&amp;DATE(2027,12,1))+SUMIFS('FUNDED DEALS 2027'!$V$4:$V$1226,'FUNDED DEALS 2027'!$C$4:$C$1226,"&lt;&gt;",'FUNDED DEALS 2027'!$C$4:$C$1226,"&gt;="&amp;DATE(2027,11,1),'FUNDED DEALS 2027'!$C$4:$C$1226,"&lt;"&amp;DATE(2027,12,1)),SUMIFS('FUNDED DEALS'!$V$4:$V$1226,'FUNDED DEALS'!$T$4:$T$1226,$B$3,'FUNDED DEALS'!$C$4:$C$1226,"&gt;="&amp;DATE(2027,11,1),'FUNDED DEALS'!$C$4:$C$1226,"&lt;"&amp;DATE(2027,12,1))+SUMIFS('FUNDED DEALS 2027'!$V$4:$V$1226,'FUNDED DEALS 2027'!$T$4:$T$1226,$B$3,'FUNDED DEALS 2027'!$C$4:$C$1226,"&gt;="&amp;DATE(2027,11,1),'FUNDED DEALS 2027'!$C$4:$C$1226,"&lt;"&amp;DATE(2027,12,1)))</f>
        <v>0</v>
      </c>
      <c r="C27" s="51" t="n">
        <f aca="false">IF($B$3="",SUMIFS('FUNDED DEALS'!$Y$4:$Y$1226,'FUNDED DEALS'!$C$4:$C$1226,"&lt;&gt;",'FUNDED DEALS'!$C$4:$C$1226,"&gt;="&amp;DATE(2027,11,1),'FUNDED DEALS'!$C$4:$C$1226,"&lt;"&amp;DATE(2027,12,1))+SUMIFS('FUNDED DEALS 2027'!$Y$4:$Y$1226,'FUNDED DEALS 2027'!$C$4:$C$1226,"&lt;&gt;",'FUNDED DEALS 2027'!$C$4:$C$1226,"&gt;="&amp;DATE(2027,11,1),'FUNDED DEALS 2027'!$C$4:$C$1226,"&lt;"&amp;DATE(2027,12,1)),SUMIFS('FUNDED DEALS'!$Y$4:$Y$1226,'FUNDED DEALS'!$W$4:$W$1226,$B$3,'FUNDED DEALS'!$C$4:$C$1226,"&gt;="&amp;DATE(2027,11,1),'FUNDED DEALS'!$C$4:$C$1226,"&lt;"&amp;DATE(2027,12,1))+SUMIFS('FUNDED DEALS 2027'!$Y$4:$Y$1226,'FUNDED DEALS 2027'!$W$4:$W$1226,$B$3,'FUNDED DEALS 2027'!$C$4:$C$1226,"&gt;="&amp;DATE(2027,11,1),'FUNDED DEALS 2027'!$C$4:$C$1226,"&lt;"&amp;DATE(2027,12,1)))</f>
        <v>0</v>
      </c>
      <c r="D27" s="51" t="n">
        <f aca="false">IF($B$3="",SUMIFS('FUNDED DEALS'!$AB$4:$AB$1226,'FUNDED DEALS'!$C$4:$C$1226,"&lt;&gt;",'FUNDED DEALS'!$C$4:$C$1226,"&gt;="&amp;DATE(2027,11,1),'FUNDED DEALS'!$C$4:$C$1226,"&lt;"&amp;DATE(2027,12,1))+SUMIFS('FUNDED DEALS 2027'!$AB$4:$AB$1226,'FUNDED DEALS 2027'!$C$4:$C$1226,"&lt;&gt;",'FUNDED DEALS 2027'!$C$4:$C$1226,"&gt;="&amp;DATE(2027,11,1),'FUNDED DEALS 2027'!$C$4:$C$1226,"&lt;"&amp;DATE(2027,12,1)),SUMIFS('FUNDED DEALS'!$AB$4:$AB$1226,'FUNDED DEALS'!$Z$4:$Z$1226,$B$3,'FUNDED DEALS'!$C$4:$C$1226,"&gt;="&amp;DATE(2027,11,1),'FUNDED DEALS'!$C$4:$C$1226,"&lt;"&amp;DATE(2027,12,1))+SUMIFS('FUNDED DEALS 2027'!$AB$4:$AB$1226,'FUNDED DEALS 2027'!$Z$4:$Z$1226,$B$3,'FUNDED DEALS 2027'!$C$4:$C$1226,"&gt;="&amp;DATE(2027,11,1),'FUNDED DEALS 2027'!$C$4:$C$1226,"&lt;"&amp;DATE(2027,12,1)))</f>
        <v>0</v>
      </c>
      <c r="E27" s="51" t="n">
        <f aca="false">B27+C27+D27</f>
        <v>0</v>
      </c>
      <c r="F27" s="51" t="n">
        <f aca="false">IF($B$3="",SUMIFS('FUNDED DEALS'!$AC$4:$AC$1226,'FUNDED DEALS'!$C$4:$C$1226,"&lt;&gt;",'FUNDED DEALS'!$AO$4:$AO$1226,"&lt;&gt;",'FUNDED DEALS'!$C$4:$C$1226,"&gt;="&amp;DATE(2027,11,1),'FUNDED DEALS'!$C$4:$C$1226,"&lt;"&amp;DATE(2027,12,1))+SUMIFS('FUNDED DEALS 2027'!$AC$4:$AC$1226,'FUNDED DEALS 2027'!$C$4:$C$1226,"&lt;&gt;",'FUNDED DEALS 2027'!$AO$4:$AO$1226,"&lt;&gt;",'FUNDED DEALS 2027'!$C$4:$C$1226,"&gt;="&amp;DATE(2027,11,1),'FUNDED DEALS 2027'!$C$4:$C$1226,"&lt;"&amp;DATE(2027,12,1)),SUMIFS('FUNDED DEALS'!$V$4:$V$1226,'FUNDED DEALS'!$T$4:$T$1226,$B$3,'FUNDED DEALS'!$AO$4:$AO$1226,"&lt;&gt;",'FUNDED DEALS'!$C$4:$C$1226,"&gt;="&amp;DATE(2027,11,1),'FUNDED DEALS'!$C$4:$C$1226,"&lt;"&amp;DATE(2027,12,1))+SUMIFS('FUNDED DEALS 2027'!$V$4:$V$1226,'FUNDED DEALS 2027'!$T$4:$T$1226,$B$3,'FUNDED DEALS 2027'!$AO$4:$AO$1226,"&lt;&gt;",'FUNDED DEALS 2027'!$C$4:$C$1226,"&gt;="&amp;DATE(2027,11,1),'FUNDED DEALS 2027'!$C$4:$C$1226,"&lt;"&amp;DATE(2027,12,1))+SUMIFS('FUNDED DEALS'!$Y$4:$Y$1226,'FUNDED DEALS'!$W$4:$W$1226,$B$3,'FUNDED DEALS'!$AO$4:$AO$1226,"&lt;&gt;",'FUNDED DEALS'!$C$4:$C$1226,"&gt;="&amp;DATE(2027,11,1),'FUNDED DEALS'!$C$4:$C$1226,"&lt;"&amp;DATE(2027,12,1))+SUMIFS('FUNDED DEALS 2027'!$Y$4:$Y$1226,'FUNDED DEALS 2027'!$W$4:$W$1226,$B$3,'FUNDED DEALS 2027'!$AO$4:$AO$1226,"&lt;&gt;",'FUNDED DEALS 2027'!$C$4:$C$1226,"&gt;="&amp;DATE(2027,11,1),'FUNDED DEALS 2027'!$C$4:$C$1226,"&lt;"&amp;DATE(2027,12,1))+SUMIFS('FUNDED DEALS'!$AB$4:$AB$1226,'FUNDED DEALS'!$Z$4:$Z$1226,$B$3,'FUNDED DEALS'!$AO$4:$AO$1226,"&lt;&gt;",'FUNDED DEALS'!$C$4:$C$1226,"&gt;="&amp;DATE(2027,11,1),'FUNDED DEALS'!$C$4:$C$1226,"&lt;"&amp;DATE(2027,12,1))+SUMIFS('FUNDED DEALS 2027'!$AB$4:$AB$1226,'FUNDED DEALS 2027'!$Z$4:$Z$1226,$B$3,'FUNDED DEALS 2027'!$AO$4:$AO$1226,"&lt;&gt;",'FUNDED DEALS 2027'!$C$4:$C$1226,"&gt;="&amp;DATE(2027,11,1),'FUNDED DEALS 2027'!$C$4:$C$1226,"&lt;"&amp;DATE(2027,12,1)))</f>
        <v>0</v>
      </c>
      <c r="G27" s="51" t="n">
        <f aca="false">E27-F27</f>
        <v>0</v>
      </c>
    </row>
    <row r="28" customFormat="false" ht="15" hidden="false" customHeight="false" outlineLevel="0" collapsed="false">
      <c r="A28" s="49" t="s">
        <v>141</v>
      </c>
      <c r="B28" s="48" t="n">
        <f aca="false">IF($B$3="",SUMIFS('FUNDED DEALS'!$V$4:$V$1226,'FUNDED DEALS'!$C$4:$C$1226,"&lt;&gt;",'FUNDED DEALS'!$C$4:$C$1226,"&gt;="&amp;DATE(2027,12,1),'FUNDED DEALS'!$C$4:$C$1226,"&lt;"&amp;DATE(2028,1,1))+SUMIFS('FUNDED DEALS 2027'!$V$4:$V$1226,'FUNDED DEALS 2027'!$C$4:$C$1226,"&lt;&gt;",'FUNDED DEALS 2027'!$C$4:$C$1226,"&gt;="&amp;DATE(2027,12,1),'FUNDED DEALS 2027'!$C$4:$C$1226,"&lt;"&amp;DATE(2028,1,1)),SUMIFS('FUNDED DEALS'!$V$4:$V$1226,'FUNDED DEALS'!$T$4:$T$1226,$B$3,'FUNDED DEALS'!$C$4:$C$1226,"&gt;="&amp;DATE(2027,12,1),'FUNDED DEALS'!$C$4:$C$1226,"&lt;"&amp;DATE(2028,1,1))+SUMIFS('FUNDED DEALS 2027'!$V$4:$V$1226,'FUNDED DEALS 2027'!$T$4:$T$1226,$B$3,'FUNDED DEALS 2027'!$C$4:$C$1226,"&gt;="&amp;DATE(2027,12,1),'FUNDED DEALS 2027'!$C$4:$C$1226,"&lt;"&amp;DATE(2028,1,1)))</f>
        <v>0</v>
      </c>
      <c r="C28" s="48" t="n">
        <f aca="false">IF($B$3="",SUMIFS('FUNDED DEALS'!$Y$4:$Y$1226,'FUNDED DEALS'!$C$4:$C$1226,"&lt;&gt;",'FUNDED DEALS'!$C$4:$C$1226,"&gt;="&amp;DATE(2027,12,1),'FUNDED DEALS'!$C$4:$C$1226,"&lt;"&amp;DATE(2028,1,1))+SUMIFS('FUNDED DEALS 2027'!$Y$4:$Y$1226,'FUNDED DEALS 2027'!$C$4:$C$1226,"&lt;&gt;",'FUNDED DEALS 2027'!$C$4:$C$1226,"&gt;="&amp;DATE(2027,12,1),'FUNDED DEALS 2027'!$C$4:$C$1226,"&lt;"&amp;DATE(2028,1,1)),SUMIFS('FUNDED DEALS'!$Y$4:$Y$1226,'FUNDED DEALS'!$W$4:$W$1226,$B$3,'FUNDED DEALS'!$C$4:$C$1226,"&gt;="&amp;DATE(2027,12,1),'FUNDED DEALS'!$C$4:$C$1226,"&lt;"&amp;DATE(2028,1,1))+SUMIFS('FUNDED DEALS 2027'!$Y$4:$Y$1226,'FUNDED DEALS 2027'!$W$4:$W$1226,$B$3,'FUNDED DEALS 2027'!$C$4:$C$1226,"&gt;="&amp;DATE(2027,12,1),'FUNDED DEALS 2027'!$C$4:$C$1226,"&lt;"&amp;DATE(2028,1,1)))</f>
        <v>0</v>
      </c>
      <c r="D28" s="48" t="n">
        <f aca="false">IF($B$3="",SUMIFS('FUNDED DEALS'!$AB$4:$AB$1226,'FUNDED DEALS'!$C$4:$C$1226,"&lt;&gt;",'FUNDED DEALS'!$C$4:$C$1226,"&gt;="&amp;DATE(2027,12,1),'FUNDED DEALS'!$C$4:$C$1226,"&lt;"&amp;DATE(2028,1,1))+SUMIFS('FUNDED DEALS 2027'!$AB$4:$AB$1226,'FUNDED DEALS 2027'!$C$4:$C$1226,"&lt;&gt;",'FUNDED DEALS 2027'!$C$4:$C$1226,"&gt;="&amp;DATE(2027,12,1),'FUNDED DEALS 2027'!$C$4:$C$1226,"&lt;"&amp;DATE(2028,1,1)),SUMIFS('FUNDED DEALS'!$AB$4:$AB$1226,'FUNDED DEALS'!$Z$4:$Z$1226,$B$3,'FUNDED DEALS'!$C$4:$C$1226,"&gt;="&amp;DATE(2027,12,1),'FUNDED DEALS'!$C$4:$C$1226,"&lt;"&amp;DATE(2028,1,1))+SUMIFS('FUNDED DEALS 2027'!$AB$4:$AB$1226,'FUNDED DEALS 2027'!$Z$4:$Z$1226,$B$3,'FUNDED DEALS 2027'!$C$4:$C$1226,"&gt;="&amp;DATE(2027,12,1),'FUNDED DEALS 2027'!$C$4:$C$1226,"&lt;"&amp;DATE(2028,1,1)))</f>
        <v>0</v>
      </c>
      <c r="E28" s="48" t="n">
        <f aca="false">B28+C28+D28</f>
        <v>0</v>
      </c>
      <c r="F28" s="48" t="n">
        <f aca="false">IF($B$3="",SUMIFS('FUNDED DEALS'!$AC$4:$AC$1226,'FUNDED DEALS'!$C$4:$C$1226,"&lt;&gt;",'FUNDED DEALS'!$AO$4:$AO$1226,"&lt;&gt;",'FUNDED DEALS'!$C$4:$C$1226,"&gt;="&amp;DATE(2027,12,1),'FUNDED DEALS'!$C$4:$C$1226,"&lt;"&amp;DATE(2028,1,1))+SUMIFS('FUNDED DEALS 2027'!$AC$4:$AC$1226,'FUNDED DEALS 2027'!$C$4:$C$1226,"&lt;&gt;",'FUNDED DEALS 2027'!$AO$4:$AO$1226,"&lt;&gt;",'FUNDED DEALS 2027'!$C$4:$C$1226,"&gt;="&amp;DATE(2027,12,1),'FUNDED DEALS 2027'!$C$4:$C$1226,"&lt;"&amp;DATE(2028,1,1)),SUMIFS('FUNDED DEALS'!$V$4:$V$1226,'FUNDED DEALS'!$T$4:$T$1226,$B$3,'FUNDED DEALS'!$AO$4:$AO$1226,"&lt;&gt;",'FUNDED DEALS'!$C$4:$C$1226,"&gt;="&amp;DATE(2027,12,1),'FUNDED DEALS'!$C$4:$C$1226,"&lt;"&amp;DATE(2028,1,1))+SUMIFS('FUNDED DEALS 2027'!$V$4:$V$1226,'FUNDED DEALS 2027'!$T$4:$T$1226,$B$3,'FUNDED DEALS 2027'!$AO$4:$AO$1226,"&lt;&gt;",'FUNDED DEALS 2027'!$C$4:$C$1226,"&gt;="&amp;DATE(2027,12,1),'FUNDED DEALS 2027'!$C$4:$C$1226,"&lt;"&amp;DATE(2028,1,1))+SUMIFS('FUNDED DEALS'!$Y$4:$Y$1226,'FUNDED DEALS'!$W$4:$W$1226,$B$3,'FUNDED DEALS'!$AO$4:$AO$1226,"&lt;&gt;",'FUNDED DEALS'!$C$4:$C$1226,"&gt;="&amp;DATE(2027,12,1),'FUNDED DEALS'!$C$4:$C$1226,"&lt;"&amp;DATE(2028,1,1))+SUMIFS('FUNDED DEALS 2027'!$Y$4:$Y$1226,'FUNDED DEALS 2027'!$W$4:$W$1226,$B$3,'FUNDED DEALS 2027'!$AO$4:$AO$1226,"&lt;&gt;",'FUNDED DEALS 2027'!$C$4:$C$1226,"&gt;="&amp;DATE(2027,12,1),'FUNDED DEALS 2027'!$C$4:$C$1226,"&lt;"&amp;DATE(2028,1,1))+SUMIFS('FUNDED DEALS'!$AB$4:$AB$1226,'FUNDED DEALS'!$Z$4:$Z$1226,$B$3,'FUNDED DEALS'!$AO$4:$AO$1226,"&lt;&gt;",'FUNDED DEALS'!$C$4:$C$1226,"&gt;="&amp;DATE(2027,12,1),'FUNDED DEALS'!$C$4:$C$1226,"&lt;"&amp;DATE(2028,1,1))+SUMIFS('FUNDED DEALS 2027'!$AB$4:$AB$1226,'FUNDED DEALS 2027'!$Z$4:$Z$1226,$B$3,'FUNDED DEALS 2027'!$AO$4:$AO$1226,"&lt;&gt;",'FUNDED DEALS 2027'!$C$4:$C$1226,"&gt;="&amp;DATE(2027,12,1),'FUNDED DEALS 2027'!$C$4:$C$1226,"&lt;"&amp;DATE(2028,1,1)))</f>
        <v>0</v>
      </c>
      <c r="G28" s="48" t="n">
        <f aca="false">E28-F28</f>
        <v>0</v>
      </c>
    </row>
    <row r="29" customFormat="false" ht="15" hidden="false" customHeight="false" outlineLevel="0" collapsed="false">
      <c r="A29" s="63" t="s">
        <v>98</v>
      </c>
      <c r="B29" s="64" t="n">
        <f aca="false">SUM(B8:B28)</f>
        <v>0</v>
      </c>
      <c r="C29" s="64" t="n">
        <f aca="false">SUM(C8:C28)</f>
        <v>0</v>
      </c>
      <c r="D29" s="64" t="n">
        <f aca="false">SUM(D8:D28)</f>
        <v>0</v>
      </c>
      <c r="E29" s="64" t="n">
        <f aca="false">SUM(E8:E28)</f>
        <v>0</v>
      </c>
      <c r="F29" s="64" t="n">
        <f aca="false">SUM(F8:F28)</f>
        <v>0</v>
      </c>
      <c r="G29" s="64" t="n">
        <f aca="false">SUM(G8:G28)</f>
        <v>0</v>
      </c>
    </row>
    <row r="32" customFormat="false" ht="19.5" hidden="false" customHeight="true" outlineLevel="0" collapsed="false">
      <c r="A32" s="46" t="s">
        <v>142</v>
      </c>
      <c r="B32" s="46"/>
      <c r="C32" s="46"/>
      <c r="D32" s="46"/>
      <c r="E32" s="46"/>
      <c r="F32" s="46"/>
      <c r="G32" s="46"/>
      <c r="H32" s="46"/>
    </row>
    <row r="33" customFormat="false" ht="25.5" hidden="false" customHeight="true" outlineLevel="0" collapsed="false">
      <c r="A33" s="5" t="s">
        <v>1</v>
      </c>
      <c r="B33" s="5" t="s">
        <v>143</v>
      </c>
      <c r="C33" s="5" t="s">
        <v>144</v>
      </c>
      <c r="D33" s="5" t="s">
        <v>22</v>
      </c>
      <c r="E33" s="5" t="s">
        <v>25</v>
      </c>
      <c r="F33" s="5" t="s">
        <v>145</v>
      </c>
      <c r="G33" s="5" t="s">
        <v>39</v>
      </c>
      <c r="H33" s="5" t="s">
        <v>146</v>
      </c>
    </row>
    <row r="34" customFormat="false" ht="15" hidden="false" customHeight="false" outlineLevel="0" collapsed="false">
      <c r="A34" s="49" t="str">
        <f aca="false">IF(J34=0,"",INDEX('FUNDED DEALS'!$A:$A,J34))</f>
        <v/>
      </c>
      <c r="B34" s="65" t="str">
        <f aca="false">IF(J34=0,"",INDEX('FUNDED DEALS'!$C:$C,J34))</f>
        <v/>
      </c>
      <c r="C34" s="49" t="str">
        <f aca="false">IF(J34=0,"",INDEX('FUNDED DEALS'!$D:$D,J34))</f>
        <v/>
      </c>
      <c r="D34" s="48" t="str">
        <f aca="false">IF(J34=0,"",IF($B$3="",INDEX('FUNDED DEALS'!$V:$V,J34),IF(INDEX('FUNDED DEALS'!$T:$T,J34)=$B$3,INDEX('FUNDED DEALS'!$V:$V,J34),0)))</f>
        <v/>
      </c>
      <c r="E34" s="48" t="str">
        <f aca="false">IF(J34=0,"",IF($B$3="",INDEX('FUNDED DEALS'!$Y:$Y,J34),IF(INDEX('FUNDED DEALS'!$W:$W,J34)=$B$3,INDEX('FUNDED DEALS'!$Y:$Y,J34),0)))</f>
        <v/>
      </c>
      <c r="F34" s="48" t="str">
        <f aca="false">IF(J34=0,"",IF($B$3="",INDEX('FUNDED DEALS'!$AC:$AC,J34),D34+E34+IF(INDEX('FUNDED DEALS'!$Z:$Z,J34)=$B$3,INDEX('FUNDED DEALS'!$AB:$AB,J34),0)))</f>
        <v/>
      </c>
      <c r="G34" s="66" t="str">
        <f aca="false">IF(J34=0,"",INDEX('FUNDED DEALS'!$AM:$AM,J34))</f>
        <v/>
      </c>
      <c r="H34" s="65" t="str">
        <f aca="false">IF(J34=0,"",INDEX('FUNDED DEALS'!$AO:$AO,J34))</f>
        <v/>
      </c>
      <c r="J34" s="24" t="n">
        <f aca="false">IFERROR(MATCH(1,'FUNDED DEALS'!$AW$3:$AW$920,0)+2,0)</f>
        <v>0</v>
      </c>
    </row>
    <row r="35" customFormat="false" ht="15" hidden="false" customHeight="false" outlineLevel="0" collapsed="false">
      <c r="A35" s="52" t="str">
        <f aca="false">IF(J35=0,"",INDEX('FUNDED DEALS'!$A:$A,J35))</f>
        <v/>
      </c>
      <c r="B35" s="67" t="str">
        <f aca="false">IF(J35=0,"",INDEX('FUNDED DEALS'!$C:$C,J35))</f>
        <v/>
      </c>
      <c r="C35" s="52" t="str">
        <f aca="false">IF(J35=0,"",INDEX('FUNDED DEALS'!$D:$D,J35))</f>
        <v/>
      </c>
      <c r="D35" s="51" t="str">
        <f aca="false">IF(J35=0,"",IF($B$3="",INDEX('FUNDED DEALS'!$V:$V,J35),IF(INDEX('FUNDED DEALS'!$T:$T,J35)=$B$3,INDEX('FUNDED DEALS'!$V:$V,J35),0)))</f>
        <v/>
      </c>
      <c r="E35" s="51" t="str">
        <f aca="false">IF(J35=0,"",IF($B$3="",INDEX('FUNDED DEALS'!$Y:$Y,J35),IF(INDEX('FUNDED DEALS'!$W:$W,J35)=$B$3,INDEX('FUNDED DEALS'!$Y:$Y,J35),0)))</f>
        <v/>
      </c>
      <c r="F35" s="51" t="str">
        <f aca="false">IF(J35=0,"",IF($B$3="",INDEX('FUNDED DEALS'!$AC:$AC,J35),D35+E35+IF(INDEX('FUNDED DEALS'!$Z:$Z,J35)=$B$3,INDEX('FUNDED DEALS'!$AB:$AB,J35),0)))</f>
        <v/>
      </c>
      <c r="G35" s="68" t="str">
        <f aca="false">IF(J35=0,"",INDEX('FUNDED DEALS'!$AM:$AM,J35))</f>
        <v/>
      </c>
      <c r="H35" s="67" t="str">
        <f aca="false">IF(J35=0,"",INDEX('FUNDED DEALS'!$AO:$AO,J35))</f>
        <v/>
      </c>
      <c r="J35" s="24" t="n">
        <f aca="false">IFERROR(MATCH(2,'FUNDED DEALS'!$AW$3:$AW$920,0)+2,0)</f>
        <v>0</v>
      </c>
    </row>
    <row r="36" customFormat="false" ht="15" hidden="false" customHeight="false" outlineLevel="0" collapsed="false">
      <c r="A36" s="49" t="str">
        <f aca="false">IF(J36=0,"",INDEX('FUNDED DEALS'!$A:$A,J36))</f>
        <v/>
      </c>
      <c r="B36" s="65" t="str">
        <f aca="false">IF(J36=0,"",INDEX('FUNDED DEALS'!$C:$C,J36))</f>
        <v/>
      </c>
      <c r="C36" s="49" t="str">
        <f aca="false">IF(J36=0,"",INDEX('FUNDED DEALS'!$D:$D,J36))</f>
        <v/>
      </c>
      <c r="D36" s="48" t="str">
        <f aca="false">IF(J36=0,"",IF($B$3="",INDEX('FUNDED DEALS'!$V:$V,J36),IF(INDEX('FUNDED DEALS'!$T:$T,J36)=$B$3,INDEX('FUNDED DEALS'!$V:$V,J36),0)))</f>
        <v/>
      </c>
      <c r="E36" s="48" t="str">
        <f aca="false">IF(J36=0,"",IF($B$3="",INDEX('FUNDED DEALS'!$Y:$Y,J36),IF(INDEX('FUNDED DEALS'!$W:$W,J36)=$B$3,INDEX('FUNDED DEALS'!$Y:$Y,J36),0)))</f>
        <v/>
      </c>
      <c r="F36" s="48" t="str">
        <f aca="false">IF(J36=0,"",IF($B$3="",INDEX('FUNDED DEALS'!$AC:$AC,J36),D36+E36+IF(INDEX('FUNDED DEALS'!$Z:$Z,J36)=$B$3,INDEX('FUNDED DEALS'!$AB:$AB,J36),0)))</f>
        <v/>
      </c>
      <c r="G36" s="66" t="str">
        <f aca="false">IF(J36=0,"",INDEX('FUNDED DEALS'!$AM:$AM,J36))</f>
        <v/>
      </c>
      <c r="H36" s="65" t="str">
        <f aca="false">IF(J36=0,"",INDEX('FUNDED DEALS'!$AO:$AO,J36))</f>
        <v/>
      </c>
      <c r="J36" s="24" t="n">
        <f aca="false">IFERROR(MATCH(3,'FUNDED DEALS'!$AW$3:$AW$920,0)+2,0)</f>
        <v>0</v>
      </c>
    </row>
    <row r="37" customFormat="false" ht="15" hidden="false" customHeight="false" outlineLevel="0" collapsed="false">
      <c r="A37" s="52" t="str">
        <f aca="false">IF(J37=0,"",INDEX('FUNDED DEALS'!$A:$A,J37))</f>
        <v/>
      </c>
      <c r="B37" s="67" t="str">
        <f aca="false">IF(J37=0,"",INDEX('FUNDED DEALS'!$C:$C,J37))</f>
        <v/>
      </c>
      <c r="C37" s="52" t="str">
        <f aca="false">IF(J37=0,"",INDEX('FUNDED DEALS'!$D:$D,J37))</f>
        <v/>
      </c>
      <c r="D37" s="51" t="str">
        <f aca="false">IF(J37=0,"",IF($B$3="",INDEX('FUNDED DEALS'!$V:$V,J37),IF(INDEX('FUNDED DEALS'!$T:$T,J37)=$B$3,INDEX('FUNDED DEALS'!$V:$V,J37),0)))</f>
        <v/>
      </c>
      <c r="E37" s="51" t="str">
        <f aca="false">IF(J37=0,"",IF($B$3="",INDEX('FUNDED DEALS'!$Y:$Y,J37),IF(INDEX('FUNDED DEALS'!$W:$W,J37)=$B$3,INDEX('FUNDED DEALS'!$Y:$Y,J37),0)))</f>
        <v/>
      </c>
      <c r="F37" s="51" t="str">
        <f aca="false">IF(J37=0,"",IF($B$3="",INDEX('FUNDED DEALS'!$AC:$AC,J37),D37+E37+IF(INDEX('FUNDED DEALS'!$Z:$Z,J37)=$B$3,INDEX('FUNDED DEALS'!$AB:$AB,J37),0)))</f>
        <v/>
      </c>
      <c r="G37" s="68" t="str">
        <f aca="false">IF(J37=0,"",INDEX('FUNDED DEALS'!$AM:$AM,J37))</f>
        <v/>
      </c>
      <c r="H37" s="67" t="str">
        <f aca="false">IF(J37=0,"",INDEX('FUNDED DEALS'!$AO:$AO,J37))</f>
        <v/>
      </c>
      <c r="J37" s="24" t="n">
        <f aca="false">IFERROR(MATCH(4,'FUNDED DEALS'!$AW$3:$AW$920,0)+2,0)</f>
        <v>0</v>
      </c>
    </row>
    <row r="38" customFormat="false" ht="15" hidden="false" customHeight="false" outlineLevel="0" collapsed="false">
      <c r="A38" s="49" t="str">
        <f aca="false">IF(J38=0,"",INDEX('FUNDED DEALS'!$A:$A,J38))</f>
        <v/>
      </c>
      <c r="B38" s="65" t="str">
        <f aca="false">IF(J38=0,"",INDEX('FUNDED DEALS'!$C:$C,J38))</f>
        <v/>
      </c>
      <c r="C38" s="49" t="str">
        <f aca="false">IF(J38=0,"",INDEX('FUNDED DEALS'!$D:$D,J38))</f>
        <v/>
      </c>
      <c r="D38" s="48" t="str">
        <f aca="false">IF(J38=0,"",IF($B$3="",INDEX('FUNDED DEALS'!$V:$V,J38),IF(INDEX('FUNDED DEALS'!$T:$T,J38)=$B$3,INDEX('FUNDED DEALS'!$V:$V,J38),0)))</f>
        <v/>
      </c>
      <c r="E38" s="48" t="str">
        <f aca="false">IF(J38=0,"",IF($B$3="",INDEX('FUNDED DEALS'!$Y:$Y,J38),IF(INDEX('FUNDED DEALS'!$W:$W,J38)=$B$3,INDEX('FUNDED DEALS'!$Y:$Y,J38),0)))</f>
        <v/>
      </c>
      <c r="F38" s="48" t="str">
        <f aca="false">IF(J38=0,"",IF($B$3="",INDEX('FUNDED DEALS'!$AC:$AC,J38),D38+E38+IF(INDEX('FUNDED DEALS'!$Z:$Z,J38)=$B$3,INDEX('FUNDED DEALS'!$AB:$AB,J38),0)))</f>
        <v/>
      </c>
      <c r="G38" s="66" t="str">
        <f aca="false">IF(J38=0,"",INDEX('FUNDED DEALS'!$AM:$AM,J38))</f>
        <v/>
      </c>
      <c r="H38" s="65" t="str">
        <f aca="false">IF(J38=0,"",INDEX('FUNDED DEALS'!$AO:$AO,J38))</f>
        <v/>
      </c>
      <c r="J38" s="24" t="n">
        <f aca="false">IFERROR(MATCH(5,'FUNDED DEALS'!$AW$3:$AW$920,0)+2,0)</f>
        <v>0</v>
      </c>
    </row>
    <row r="39" customFormat="false" ht="15" hidden="false" customHeight="false" outlineLevel="0" collapsed="false">
      <c r="A39" s="52" t="str">
        <f aca="false">IF(J39=0,"",INDEX('FUNDED DEALS'!$A:$A,J39))</f>
        <v/>
      </c>
      <c r="B39" s="67" t="str">
        <f aca="false">IF(J39=0,"",INDEX('FUNDED DEALS'!$C:$C,J39))</f>
        <v/>
      </c>
      <c r="C39" s="52" t="str">
        <f aca="false">IF(J39=0,"",INDEX('FUNDED DEALS'!$D:$D,J39))</f>
        <v/>
      </c>
      <c r="D39" s="51" t="str">
        <f aca="false">IF(J39=0,"",IF($B$3="",INDEX('FUNDED DEALS'!$V:$V,J39),IF(INDEX('FUNDED DEALS'!$T:$T,J39)=$B$3,INDEX('FUNDED DEALS'!$V:$V,J39),0)))</f>
        <v/>
      </c>
      <c r="E39" s="51" t="str">
        <f aca="false">IF(J39=0,"",IF($B$3="",INDEX('FUNDED DEALS'!$Y:$Y,J39),IF(INDEX('FUNDED DEALS'!$W:$W,J39)=$B$3,INDEX('FUNDED DEALS'!$Y:$Y,J39),0)))</f>
        <v/>
      </c>
      <c r="F39" s="51" t="str">
        <f aca="false">IF(J39=0,"",IF($B$3="",INDEX('FUNDED DEALS'!$AC:$AC,J39),D39+E39+IF(INDEX('FUNDED DEALS'!$Z:$Z,J39)=$B$3,INDEX('FUNDED DEALS'!$AB:$AB,J39),0)))</f>
        <v/>
      </c>
      <c r="G39" s="68" t="str">
        <f aca="false">IF(J39=0,"",INDEX('FUNDED DEALS'!$AM:$AM,J39))</f>
        <v/>
      </c>
      <c r="H39" s="67" t="str">
        <f aca="false">IF(J39=0,"",INDEX('FUNDED DEALS'!$AO:$AO,J39))</f>
        <v/>
      </c>
      <c r="J39" s="24" t="n">
        <f aca="false">IFERROR(MATCH(6,'FUNDED DEALS'!$AW$3:$AW$920,0)+2,0)</f>
        <v>0</v>
      </c>
    </row>
    <row r="40" customFormat="false" ht="15" hidden="false" customHeight="false" outlineLevel="0" collapsed="false">
      <c r="A40" s="49" t="str">
        <f aca="false">IF(J40=0,"",INDEX('FUNDED DEALS'!$A:$A,J40))</f>
        <v/>
      </c>
      <c r="B40" s="65" t="str">
        <f aca="false">IF(J40=0,"",INDEX('FUNDED DEALS'!$C:$C,J40))</f>
        <v/>
      </c>
      <c r="C40" s="49" t="str">
        <f aca="false">IF(J40=0,"",INDEX('FUNDED DEALS'!$D:$D,J40))</f>
        <v/>
      </c>
      <c r="D40" s="48" t="str">
        <f aca="false">IF(J40=0,"",IF($B$3="",INDEX('FUNDED DEALS'!$V:$V,J40),IF(INDEX('FUNDED DEALS'!$T:$T,J40)=$B$3,INDEX('FUNDED DEALS'!$V:$V,J40),0)))</f>
        <v/>
      </c>
      <c r="E40" s="48" t="str">
        <f aca="false">IF(J40=0,"",IF($B$3="",INDEX('FUNDED DEALS'!$Y:$Y,J40),IF(INDEX('FUNDED DEALS'!$W:$W,J40)=$B$3,INDEX('FUNDED DEALS'!$Y:$Y,J40),0)))</f>
        <v/>
      </c>
      <c r="F40" s="48" t="str">
        <f aca="false">IF(J40=0,"",IF($B$3="",INDEX('FUNDED DEALS'!$AC:$AC,J40),D40+E40+IF(INDEX('FUNDED DEALS'!$Z:$Z,J40)=$B$3,INDEX('FUNDED DEALS'!$AB:$AB,J40),0)))</f>
        <v/>
      </c>
      <c r="G40" s="66" t="str">
        <f aca="false">IF(J40=0,"",INDEX('FUNDED DEALS'!$AM:$AM,J40))</f>
        <v/>
      </c>
      <c r="H40" s="65" t="str">
        <f aca="false">IF(J40=0,"",INDEX('FUNDED DEALS'!$AO:$AO,J40))</f>
        <v/>
      </c>
      <c r="J40" s="24" t="n">
        <f aca="false">IFERROR(MATCH(7,'FUNDED DEALS'!$AW$3:$AW$920,0)+2,0)</f>
        <v>0</v>
      </c>
    </row>
    <row r="41" customFormat="false" ht="15" hidden="false" customHeight="false" outlineLevel="0" collapsed="false">
      <c r="A41" s="52" t="str">
        <f aca="false">IF(J41=0,"",INDEX('FUNDED DEALS'!$A:$A,J41))</f>
        <v/>
      </c>
      <c r="B41" s="67" t="str">
        <f aca="false">IF(J41=0,"",INDEX('FUNDED DEALS'!$C:$C,J41))</f>
        <v/>
      </c>
      <c r="C41" s="52" t="str">
        <f aca="false">IF(J41=0,"",INDEX('FUNDED DEALS'!$D:$D,J41))</f>
        <v/>
      </c>
      <c r="D41" s="51" t="str">
        <f aca="false">IF(J41=0,"",IF($B$3="",INDEX('FUNDED DEALS'!$V:$V,J41),IF(INDEX('FUNDED DEALS'!$T:$T,J41)=$B$3,INDEX('FUNDED DEALS'!$V:$V,J41),0)))</f>
        <v/>
      </c>
      <c r="E41" s="51" t="str">
        <f aca="false">IF(J41=0,"",IF($B$3="",INDEX('FUNDED DEALS'!$Y:$Y,J41),IF(INDEX('FUNDED DEALS'!$W:$W,J41)=$B$3,INDEX('FUNDED DEALS'!$Y:$Y,J41),0)))</f>
        <v/>
      </c>
      <c r="F41" s="51" t="str">
        <f aca="false">IF(J41=0,"",IF($B$3="",INDEX('FUNDED DEALS'!$AC:$AC,J41),D41+E41+IF(INDEX('FUNDED DEALS'!$Z:$Z,J41)=$B$3,INDEX('FUNDED DEALS'!$AB:$AB,J41),0)))</f>
        <v/>
      </c>
      <c r="G41" s="68" t="str">
        <f aca="false">IF(J41=0,"",INDEX('FUNDED DEALS'!$AM:$AM,J41))</f>
        <v/>
      </c>
      <c r="H41" s="67" t="str">
        <f aca="false">IF(J41=0,"",INDEX('FUNDED DEALS'!$AO:$AO,J41))</f>
        <v/>
      </c>
      <c r="J41" s="24" t="n">
        <f aca="false">IFERROR(MATCH(8,'FUNDED DEALS'!$AW$3:$AW$920,0)+2,0)</f>
        <v>0</v>
      </c>
    </row>
    <row r="42" customFormat="false" ht="15" hidden="false" customHeight="false" outlineLevel="0" collapsed="false">
      <c r="A42" s="49" t="str">
        <f aca="false">IF(J42=0,"",INDEX('FUNDED DEALS'!$A:$A,J42))</f>
        <v/>
      </c>
      <c r="B42" s="65" t="str">
        <f aca="false">IF(J42=0,"",INDEX('FUNDED DEALS'!$C:$C,J42))</f>
        <v/>
      </c>
      <c r="C42" s="49" t="str">
        <f aca="false">IF(J42=0,"",INDEX('FUNDED DEALS'!$D:$D,J42))</f>
        <v/>
      </c>
      <c r="D42" s="48" t="str">
        <f aca="false">IF(J42=0,"",IF($B$3="",INDEX('FUNDED DEALS'!$V:$V,J42),IF(INDEX('FUNDED DEALS'!$T:$T,J42)=$B$3,INDEX('FUNDED DEALS'!$V:$V,J42),0)))</f>
        <v/>
      </c>
      <c r="E42" s="48" t="str">
        <f aca="false">IF(J42=0,"",IF($B$3="",INDEX('FUNDED DEALS'!$Y:$Y,J42),IF(INDEX('FUNDED DEALS'!$W:$W,J42)=$B$3,INDEX('FUNDED DEALS'!$Y:$Y,J42),0)))</f>
        <v/>
      </c>
      <c r="F42" s="48" t="str">
        <f aca="false">IF(J42=0,"",IF($B$3="",INDEX('FUNDED DEALS'!$AC:$AC,J42),D42+E42+IF(INDEX('FUNDED DEALS'!$Z:$Z,J42)=$B$3,INDEX('FUNDED DEALS'!$AB:$AB,J42),0)))</f>
        <v/>
      </c>
      <c r="G42" s="66" t="str">
        <f aca="false">IF(J42=0,"",INDEX('FUNDED DEALS'!$AM:$AM,J42))</f>
        <v/>
      </c>
      <c r="H42" s="65" t="str">
        <f aca="false">IF(J42=0,"",INDEX('FUNDED DEALS'!$AO:$AO,J42))</f>
        <v/>
      </c>
      <c r="J42" s="24" t="n">
        <f aca="false">IFERROR(MATCH(9,'FUNDED DEALS'!$AW$3:$AW$920,0)+2,0)</f>
        <v>0</v>
      </c>
    </row>
    <row r="43" customFormat="false" ht="15" hidden="false" customHeight="false" outlineLevel="0" collapsed="false">
      <c r="A43" s="52" t="str">
        <f aca="false">IF(J43=0,"",INDEX('FUNDED DEALS'!$A:$A,J43))</f>
        <v/>
      </c>
      <c r="B43" s="67" t="str">
        <f aca="false">IF(J43=0,"",INDEX('FUNDED DEALS'!$C:$C,J43))</f>
        <v/>
      </c>
      <c r="C43" s="52" t="str">
        <f aca="false">IF(J43=0,"",INDEX('FUNDED DEALS'!$D:$D,J43))</f>
        <v/>
      </c>
      <c r="D43" s="51" t="str">
        <f aca="false">IF(J43=0,"",IF($B$3="",INDEX('FUNDED DEALS'!$V:$V,J43),IF(INDEX('FUNDED DEALS'!$T:$T,J43)=$B$3,INDEX('FUNDED DEALS'!$V:$V,J43),0)))</f>
        <v/>
      </c>
      <c r="E43" s="51" t="str">
        <f aca="false">IF(J43=0,"",IF($B$3="",INDEX('FUNDED DEALS'!$Y:$Y,J43),IF(INDEX('FUNDED DEALS'!$W:$W,J43)=$B$3,INDEX('FUNDED DEALS'!$Y:$Y,J43),0)))</f>
        <v/>
      </c>
      <c r="F43" s="51" t="str">
        <f aca="false">IF(J43=0,"",IF($B$3="",INDEX('FUNDED DEALS'!$AC:$AC,J43),D43+E43+IF(INDEX('FUNDED DEALS'!$Z:$Z,J43)=$B$3,INDEX('FUNDED DEALS'!$AB:$AB,J43),0)))</f>
        <v/>
      </c>
      <c r="G43" s="68" t="str">
        <f aca="false">IF(J43=0,"",INDEX('FUNDED DEALS'!$AM:$AM,J43))</f>
        <v/>
      </c>
      <c r="H43" s="67" t="str">
        <f aca="false">IF(J43=0,"",INDEX('FUNDED DEALS'!$AO:$AO,J43))</f>
        <v/>
      </c>
      <c r="J43" s="24" t="n">
        <f aca="false">IFERROR(MATCH(10,'FUNDED DEALS'!$AW$3:$AW$920,0)+2,0)</f>
        <v>0</v>
      </c>
    </row>
    <row r="44" customFormat="false" ht="15" hidden="false" customHeight="false" outlineLevel="0" collapsed="false">
      <c r="A44" s="49" t="str">
        <f aca="false">IF(J44=0,"",INDEX('FUNDED DEALS'!$A:$A,J44))</f>
        <v/>
      </c>
      <c r="B44" s="65" t="str">
        <f aca="false">IF(J44=0,"",INDEX('FUNDED DEALS'!$C:$C,J44))</f>
        <v/>
      </c>
      <c r="C44" s="49" t="str">
        <f aca="false">IF(J44=0,"",INDEX('FUNDED DEALS'!$D:$D,J44))</f>
        <v/>
      </c>
      <c r="D44" s="48" t="str">
        <f aca="false">IF(J44=0,"",IF($B$3="",INDEX('FUNDED DEALS'!$V:$V,J44),IF(INDEX('FUNDED DEALS'!$T:$T,J44)=$B$3,INDEX('FUNDED DEALS'!$V:$V,J44),0)))</f>
        <v/>
      </c>
      <c r="E44" s="48" t="str">
        <f aca="false">IF(J44=0,"",IF($B$3="",INDEX('FUNDED DEALS'!$Y:$Y,J44),IF(INDEX('FUNDED DEALS'!$W:$W,J44)=$B$3,INDEX('FUNDED DEALS'!$Y:$Y,J44),0)))</f>
        <v/>
      </c>
      <c r="F44" s="48" t="str">
        <f aca="false">IF(J44=0,"",IF($B$3="",INDEX('FUNDED DEALS'!$AC:$AC,J44),D44+E44+IF(INDEX('FUNDED DEALS'!$Z:$Z,J44)=$B$3,INDEX('FUNDED DEALS'!$AB:$AB,J44),0)))</f>
        <v/>
      </c>
      <c r="G44" s="66" t="str">
        <f aca="false">IF(J44=0,"",INDEX('FUNDED DEALS'!$AM:$AM,J44))</f>
        <v/>
      </c>
      <c r="H44" s="65" t="str">
        <f aca="false">IF(J44=0,"",INDEX('FUNDED DEALS'!$AO:$AO,J44))</f>
        <v/>
      </c>
      <c r="J44" s="24" t="n">
        <f aca="false">IFERROR(MATCH(11,'FUNDED DEALS'!$AW$3:$AW$920,0)+2,0)</f>
        <v>0</v>
      </c>
    </row>
    <row r="45" customFormat="false" ht="15" hidden="false" customHeight="false" outlineLevel="0" collapsed="false">
      <c r="A45" s="52" t="str">
        <f aca="false">IF(J45=0,"",INDEX('FUNDED DEALS'!$A:$A,J45))</f>
        <v/>
      </c>
      <c r="B45" s="67" t="str">
        <f aca="false">IF(J45=0,"",INDEX('FUNDED DEALS'!$C:$C,J45))</f>
        <v/>
      </c>
      <c r="C45" s="52" t="str">
        <f aca="false">IF(J45=0,"",INDEX('FUNDED DEALS'!$D:$D,J45))</f>
        <v/>
      </c>
      <c r="D45" s="51" t="str">
        <f aca="false">IF(J45=0,"",IF($B$3="",INDEX('FUNDED DEALS'!$V:$V,J45),IF(INDEX('FUNDED DEALS'!$T:$T,J45)=$B$3,INDEX('FUNDED DEALS'!$V:$V,J45),0)))</f>
        <v/>
      </c>
      <c r="E45" s="51" t="str">
        <f aca="false">IF(J45=0,"",IF($B$3="",INDEX('FUNDED DEALS'!$Y:$Y,J45),IF(INDEX('FUNDED DEALS'!$W:$W,J45)=$B$3,INDEX('FUNDED DEALS'!$Y:$Y,J45),0)))</f>
        <v/>
      </c>
      <c r="F45" s="51" t="str">
        <f aca="false">IF(J45=0,"",IF($B$3="",INDEX('FUNDED DEALS'!$AC:$AC,J45),D45+E45+IF(INDEX('FUNDED DEALS'!$Z:$Z,J45)=$B$3,INDEX('FUNDED DEALS'!$AB:$AB,J45),0)))</f>
        <v/>
      </c>
      <c r="G45" s="68" t="str">
        <f aca="false">IF(J45=0,"",INDEX('FUNDED DEALS'!$AM:$AM,J45))</f>
        <v/>
      </c>
      <c r="H45" s="67" t="str">
        <f aca="false">IF(J45=0,"",INDEX('FUNDED DEALS'!$AO:$AO,J45))</f>
        <v/>
      </c>
      <c r="J45" s="24" t="n">
        <f aca="false">IFERROR(MATCH(12,'FUNDED DEALS'!$AW$3:$AW$920,0)+2,0)</f>
        <v>0</v>
      </c>
    </row>
    <row r="46" customFormat="false" ht="15" hidden="false" customHeight="false" outlineLevel="0" collapsed="false">
      <c r="A46" s="49" t="str">
        <f aca="false">IF(J46=0,"",INDEX('FUNDED DEALS'!$A:$A,J46))</f>
        <v/>
      </c>
      <c r="B46" s="65" t="str">
        <f aca="false">IF(J46=0,"",INDEX('FUNDED DEALS'!$C:$C,J46))</f>
        <v/>
      </c>
      <c r="C46" s="49" t="str">
        <f aca="false">IF(J46=0,"",INDEX('FUNDED DEALS'!$D:$D,J46))</f>
        <v/>
      </c>
      <c r="D46" s="48" t="str">
        <f aca="false">IF(J46=0,"",IF($B$3="",INDEX('FUNDED DEALS'!$V:$V,J46),IF(INDEX('FUNDED DEALS'!$T:$T,J46)=$B$3,INDEX('FUNDED DEALS'!$V:$V,J46),0)))</f>
        <v/>
      </c>
      <c r="E46" s="48" t="str">
        <f aca="false">IF(J46=0,"",IF($B$3="",INDEX('FUNDED DEALS'!$Y:$Y,J46),IF(INDEX('FUNDED DEALS'!$W:$W,J46)=$B$3,INDEX('FUNDED DEALS'!$Y:$Y,J46),0)))</f>
        <v/>
      </c>
      <c r="F46" s="48" t="str">
        <f aca="false">IF(J46=0,"",IF($B$3="",INDEX('FUNDED DEALS'!$AC:$AC,J46),D46+E46+IF(INDEX('FUNDED DEALS'!$Z:$Z,J46)=$B$3,INDEX('FUNDED DEALS'!$AB:$AB,J46),0)))</f>
        <v/>
      </c>
      <c r="G46" s="66" t="str">
        <f aca="false">IF(J46=0,"",INDEX('FUNDED DEALS'!$AM:$AM,J46))</f>
        <v/>
      </c>
      <c r="H46" s="65" t="str">
        <f aca="false">IF(J46=0,"",INDEX('FUNDED DEALS'!$AO:$AO,J46))</f>
        <v/>
      </c>
      <c r="J46" s="24" t="n">
        <f aca="false">IFERROR(MATCH(13,'FUNDED DEALS'!$AW$3:$AW$920,0)+2,0)</f>
        <v>0</v>
      </c>
    </row>
    <row r="47" customFormat="false" ht="15" hidden="false" customHeight="false" outlineLevel="0" collapsed="false">
      <c r="A47" s="52" t="str">
        <f aca="false">IF(J47=0,"",INDEX('FUNDED DEALS'!$A:$A,J47))</f>
        <v/>
      </c>
      <c r="B47" s="67" t="str">
        <f aca="false">IF(J47=0,"",INDEX('FUNDED DEALS'!$C:$C,J47))</f>
        <v/>
      </c>
      <c r="C47" s="52" t="str">
        <f aca="false">IF(J47=0,"",INDEX('FUNDED DEALS'!$D:$D,J47))</f>
        <v/>
      </c>
      <c r="D47" s="51" t="str">
        <f aca="false">IF(J47=0,"",IF($B$3="",INDEX('FUNDED DEALS'!$V:$V,J47),IF(INDEX('FUNDED DEALS'!$T:$T,J47)=$B$3,INDEX('FUNDED DEALS'!$V:$V,J47),0)))</f>
        <v/>
      </c>
      <c r="E47" s="51" t="str">
        <f aca="false">IF(J47=0,"",IF($B$3="",INDEX('FUNDED DEALS'!$Y:$Y,J47),IF(INDEX('FUNDED DEALS'!$W:$W,J47)=$B$3,INDEX('FUNDED DEALS'!$Y:$Y,J47),0)))</f>
        <v/>
      </c>
      <c r="F47" s="51" t="str">
        <f aca="false">IF(J47=0,"",IF($B$3="",INDEX('FUNDED DEALS'!$AC:$AC,J47),D47+E47+IF(INDEX('FUNDED DEALS'!$Z:$Z,J47)=$B$3,INDEX('FUNDED DEALS'!$AB:$AB,J47),0)))</f>
        <v/>
      </c>
      <c r="G47" s="68" t="str">
        <f aca="false">IF(J47=0,"",INDEX('FUNDED DEALS'!$AM:$AM,J47))</f>
        <v/>
      </c>
      <c r="H47" s="67" t="str">
        <f aca="false">IF(J47=0,"",INDEX('FUNDED DEALS'!$AO:$AO,J47))</f>
        <v/>
      </c>
      <c r="J47" s="24" t="n">
        <f aca="false">IFERROR(MATCH(14,'FUNDED DEALS'!$AW$3:$AW$920,0)+2,0)</f>
        <v>0</v>
      </c>
    </row>
    <row r="48" customFormat="false" ht="15" hidden="false" customHeight="false" outlineLevel="0" collapsed="false">
      <c r="A48" s="49" t="str">
        <f aca="false">IF(J48=0,"",INDEX('FUNDED DEALS'!$A:$A,J48))</f>
        <v/>
      </c>
      <c r="B48" s="65" t="str">
        <f aca="false">IF(J48=0,"",INDEX('FUNDED DEALS'!$C:$C,J48))</f>
        <v/>
      </c>
      <c r="C48" s="49" t="str">
        <f aca="false">IF(J48=0,"",INDEX('FUNDED DEALS'!$D:$D,J48))</f>
        <v/>
      </c>
      <c r="D48" s="48" t="str">
        <f aca="false">IF(J48=0,"",IF($B$3="",INDEX('FUNDED DEALS'!$V:$V,J48),IF(INDEX('FUNDED DEALS'!$T:$T,J48)=$B$3,INDEX('FUNDED DEALS'!$V:$V,J48),0)))</f>
        <v/>
      </c>
      <c r="E48" s="48" t="str">
        <f aca="false">IF(J48=0,"",IF($B$3="",INDEX('FUNDED DEALS'!$Y:$Y,J48),IF(INDEX('FUNDED DEALS'!$W:$W,J48)=$B$3,INDEX('FUNDED DEALS'!$Y:$Y,J48),0)))</f>
        <v/>
      </c>
      <c r="F48" s="48" t="str">
        <f aca="false">IF(J48=0,"",IF($B$3="",INDEX('FUNDED DEALS'!$AC:$AC,J48),D48+E48+IF(INDEX('FUNDED DEALS'!$Z:$Z,J48)=$B$3,INDEX('FUNDED DEALS'!$AB:$AB,J48),0)))</f>
        <v/>
      </c>
      <c r="G48" s="66" t="str">
        <f aca="false">IF(J48=0,"",INDEX('FUNDED DEALS'!$AM:$AM,J48))</f>
        <v/>
      </c>
      <c r="H48" s="65" t="str">
        <f aca="false">IF(J48=0,"",INDEX('FUNDED DEALS'!$AO:$AO,J48))</f>
        <v/>
      </c>
      <c r="J48" s="24" t="n">
        <f aca="false">IFERROR(MATCH(15,'FUNDED DEALS'!$AW$3:$AW$920,0)+2,0)</f>
        <v>0</v>
      </c>
    </row>
    <row r="49" customFormat="false" ht="15" hidden="false" customHeight="false" outlineLevel="0" collapsed="false">
      <c r="A49" s="52" t="str">
        <f aca="false">IF(J49=0,"",INDEX('FUNDED DEALS'!$A:$A,J49))</f>
        <v/>
      </c>
      <c r="B49" s="67" t="str">
        <f aca="false">IF(J49=0,"",INDEX('FUNDED DEALS'!$C:$C,J49))</f>
        <v/>
      </c>
      <c r="C49" s="52" t="str">
        <f aca="false">IF(J49=0,"",INDEX('FUNDED DEALS'!$D:$D,J49))</f>
        <v/>
      </c>
      <c r="D49" s="51" t="str">
        <f aca="false">IF(J49=0,"",IF($B$3="",INDEX('FUNDED DEALS'!$V:$V,J49),IF(INDEX('FUNDED DEALS'!$T:$T,J49)=$B$3,INDEX('FUNDED DEALS'!$V:$V,J49),0)))</f>
        <v/>
      </c>
      <c r="E49" s="51" t="str">
        <f aca="false">IF(J49=0,"",IF($B$3="",INDEX('FUNDED DEALS'!$Y:$Y,J49),IF(INDEX('FUNDED DEALS'!$W:$W,J49)=$B$3,INDEX('FUNDED DEALS'!$Y:$Y,J49),0)))</f>
        <v/>
      </c>
      <c r="F49" s="51" t="str">
        <f aca="false">IF(J49=0,"",IF($B$3="",INDEX('FUNDED DEALS'!$AC:$AC,J49),D49+E49+IF(INDEX('FUNDED DEALS'!$Z:$Z,J49)=$B$3,INDEX('FUNDED DEALS'!$AB:$AB,J49),0)))</f>
        <v/>
      </c>
      <c r="G49" s="68" t="str">
        <f aca="false">IF(J49=0,"",INDEX('FUNDED DEALS'!$AM:$AM,J49))</f>
        <v/>
      </c>
      <c r="H49" s="67" t="str">
        <f aca="false">IF(J49=0,"",INDEX('FUNDED DEALS'!$AO:$AO,J49))</f>
        <v/>
      </c>
      <c r="J49" s="24" t="n">
        <f aca="false">IFERROR(MATCH(16,'FUNDED DEALS'!$AW$3:$AW$920,0)+2,0)</f>
        <v>0</v>
      </c>
    </row>
    <row r="50" customFormat="false" ht="15" hidden="false" customHeight="false" outlineLevel="0" collapsed="false">
      <c r="A50" s="49" t="str">
        <f aca="false">IF(J50=0,"",INDEX('FUNDED DEALS'!$A:$A,J50))</f>
        <v/>
      </c>
      <c r="B50" s="65" t="str">
        <f aca="false">IF(J50=0,"",INDEX('FUNDED DEALS'!$C:$C,J50))</f>
        <v/>
      </c>
      <c r="C50" s="49" t="str">
        <f aca="false">IF(J50=0,"",INDEX('FUNDED DEALS'!$D:$D,J50))</f>
        <v/>
      </c>
      <c r="D50" s="48" t="str">
        <f aca="false">IF(J50=0,"",IF($B$3="",INDEX('FUNDED DEALS'!$V:$V,J50),IF(INDEX('FUNDED DEALS'!$T:$T,J50)=$B$3,INDEX('FUNDED DEALS'!$V:$V,J50),0)))</f>
        <v/>
      </c>
      <c r="E50" s="48" t="str">
        <f aca="false">IF(J50=0,"",IF($B$3="",INDEX('FUNDED DEALS'!$Y:$Y,J50),IF(INDEX('FUNDED DEALS'!$W:$W,J50)=$B$3,INDEX('FUNDED DEALS'!$Y:$Y,J50),0)))</f>
        <v/>
      </c>
      <c r="F50" s="48" t="str">
        <f aca="false">IF(J50=0,"",IF($B$3="",INDEX('FUNDED DEALS'!$AC:$AC,J50),D50+E50+IF(INDEX('FUNDED DEALS'!$Z:$Z,J50)=$B$3,INDEX('FUNDED DEALS'!$AB:$AB,J50),0)))</f>
        <v/>
      </c>
      <c r="G50" s="66" t="str">
        <f aca="false">IF(J50=0,"",INDEX('FUNDED DEALS'!$AM:$AM,J50))</f>
        <v/>
      </c>
      <c r="H50" s="65" t="str">
        <f aca="false">IF(J50=0,"",INDEX('FUNDED DEALS'!$AO:$AO,J50))</f>
        <v/>
      </c>
      <c r="J50" s="24" t="n">
        <f aca="false">IFERROR(MATCH(17,'FUNDED DEALS'!$AW$3:$AW$920,0)+2,0)</f>
        <v>0</v>
      </c>
    </row>
    <row r="51" customFormat="false" ht="15" hidden="false" customHeight="false" outlineLevel="0" collapsed="false">
      <c r="A51" s="52" t="str">
        <f aca="false">IF(J51=0,"",INDEX('FUNDED DEALS'!$A:$A,J51))</f>
        <v/>
      </c>
      <c r="B51" s="67" t="str">
        <f aca="false">IF(J51=0,"",INDEX('FUNDED DEALS'!$C:$C,J51))</f>
        <v/>
      </c>
      <c r="C51" s="52" t="str">
        <f aca="false">IF(J51=0,"",INDEX('FUNDED DEALS'!$D:$D,J51))</f>
        <v/>
      </c>
      <c r="D51" s="51" t="str">
        <f aca="false">IF(J51=0,"",IF($B$3="",INDEX('FUNDED DEALS'!$V:$V,J51),IF(INDEX('FUNDED DEALS'!$T:$T,J51)=$B$3,INDEX('FUNDED DEALS'!$V:$V,J51),0)))</f>
        <v/>
      </c>
      <c r="E51" s="51" t="str">
        <f aca="false">IF(J51=0,"",IF($B$3="",INDEX('FUNDED DEALS'!$Y:$Y,J51),IF(INDEX('FUNDED DEALS'!$W:$W,J51)=$B$3,INDEX('FUNDED DEALS'!$Y:$Y,J51),0)))</f>
        <v/>
      </c>
      <c r="F51" s="51" t="str">
        <f aca="false">IF(J51=0,"",IF($B$3="",INDEX('FUNDED DEALS'!$AC:$AC,J51),D51+E51+IF(INDEX('FUNDED DEALS'!$Z:$Z,J51)=$B$3,INDEX('FUNDED DEALS'!$AB:$AB,J51),0)))</f>
        <v/>
      </c>
      <c r="G51" s="68" t="str">
        <f aca="false">IF(J51=0,"",INDEX('FUNDED DEALS'!$AM:$AM,J51))</f>
        <v/>
      </c>
      <c r="H51" s="67" t="str">
        <f aca="false">IF(J51=0,"",INDEX('FUNDED DEALS'!$AO:$AO,J51))</f>
        <v/>
      </c>
      <c r="J51" s="24" t="n">
        <f aca="false">IFERROR(MATCH(18,'FUNDED DEALS'!$AW$3:$AW$920,0)+2,0)</f>
        <v>0</v>
      </c>
    </row>
    <row r="52" customFormat="false" ht="15" hidden="false" customHeight="false" outlineLevel="0" collapsed="false">
      <c r="A52" s="49" t="str">
        <f aca="false">IF(J52=0,"",INDEX('FUNDED DEALS'!$A:$A,J52))</f>
        <v/>
      </c>
      <c r="B52" s="65" t="str">
        <f aca="false">IF(J52=0,"",INDEX('FUNDED DEALS'!$C:$C,J52))</f>
        <v/>
      </c>
      <c r="C52" s="49" t="str">
        <f aca="false">IF(J52=0,"",INDEX('FUNDED DEALS'!$D:$D,J52))</f>
        <v/>
      </c>
      <c r="D52" s="48" t="str">
        <f aca="false">IF(J52=0,"",IF($B$3="",INDEX('FUNDED DEALS'!$V:$V,J52),IF(INDEX('FUNDED DEALS'!$T:$T,J52)=$B$3,INDEX('FUNDED DEALS'!$V:$V,J52),0)))</f>
        <v/>
      </c>
      <c r="E52" s="48" t="str">
        <f aca="false">IF(J52=0,"",IF($B$3="",INDEX('FUNDED DEALS'!$Y:$Y,J52),IF(INDEX('FUNDED DEALS'!$W:$W,J52)=$B$3,INDEX('FUNDED DEALS'!$Y:$Y,J52),0)))</f>
        <v/>
      </c>
      <c r="F52" s="48" t="str">
        <f aca="false">IF(J52=0,"",IF($B$3="",INDEX('FUNDED DEALS'!$AC:$AC,J52),D52+E52+IF(INDEX('FUNDED DEALS'!$Z:$Z,J52)=$B$3,INDEX('FUNDED DEALS'!$AB:$AB,J52),0)))</f>
        <v/>
      </c>
      <c r="G52" s="66" t="str">
        <f aca="false">IF(J52=0,"",INDEX('FUNDED DEALS'!$AM:$AM,J52))</f>
        <v/>
      </c>
      <c r="H52" s="65" t="str">
        <f aca="false">IF(J52=0,"",INDEX('FUNDED DEALS'!$AO:$AO,J52))</f>
        <v/>
      </c>
      <c r="J52" s="24" t="n">
        <f aca="false">IFERROR(MATCH(19,'FUNDED DEALS'!$AW$3:$AW$920,0)+2,0)</f>
        <v>0</v>
      </c>
    </row>
    <row r="53" customFormat="false" ht="15" hidden="false" customHeight="false" outlineLevel="0" collapsed="false">
      <c r="A53" s="52" t="str">
        <f aca="false">IF(J53=0,"",INDEX('FUNDED DEALS'!$A:$A,J53))</f>
        <v/>
      </c>
      <c r="B53" s="67" t="str">
        <f aca="false">IF(J53=0,"",INDEX('FUNDED DEALS'!$C:$C,J53))</f>
        <v/>
      </c>
      <c r="C53" s="52" t="str">
        <f aca="false">IF(J53=0,"",INDEX('FUNDED DEALS'!$D:$D,J53))</f>
        <v/>
      </c>
      <c r="D53" s="51" t="str">
        <f aca="false">IF(J53=0,"",IF($B$3="",INDEX('FUNDED DEALS'!$V:$V,J53),IF(INDEX('FUNDED DEALS'!$T:$T,J53)=$B$3,INDEX('FUNDED DEALS'!$V:$V,J53),0)))</f>
        <v/>
      </c>
      <c r="E53" s="51" t="str">
        <f aca="false">IF(J53=0,"",IF($B$3="",INDEX('FUNDED DEALS'!$Y:$Y,J53),IF(INDEX('FUNDED DEALS'!$W:$W,J53)=$B$3,INDEX('FUNDED DEALS'!$Y:$Y,J53),0)))</f>
        <v/>
      </c>
      <c r="F53" s="51" t="str">
        <f aca="false">IF(J53=0,"",IF($B$3="",INDEX('FUNDED DEALS'!$AC:$AC,J53),D53+E53+IF(INDEX('FUNDED DEALS'!$Z:$Z,J53)=$B$3,INDEX('FUNDED DEALS'!$AB:$AB,J53),0)))</f>
        <v/>
      </c>
      <c r="G53" s="68" t="str">
        <f aca="false">IF(J53=0,"",INDEX('FUNDED DEALS'!$AM:$AM,J53))</f>
        <v/>
      </c>
      <c r="H53" s="67" t="str">
        <f aca="false">IF(J53=0,"",INDEX('FUNDED DEALS'!$AO:$AO,J53))</f>
        <v/>
      </c>
      <c r="J53" s="24" t="n">
        <f aca="false">IFERROR(MATCH(20,'FUNDED DEALS'!$AW$3:$AW$920,0)+2,0)</f>
        <v>0</v>
      </c>
    </row>
    <row r="54" customFormat="false" ht="15" hidden="false" customHeight="false" outlineLevel="0" collapsed="false">
      <c r="A54" s="49" t="str">
        <f aca="false">IF(J54=0,"",INDEX('FUNDED DEALS'!$A:$A,J54))</f>
        <v/>
      </c>
      <c r="B54" s="65" t="str">
        <f aca="false">IF(J54=0,"",INDEX('FUNDED DEALS'!$C:$C,J54))</f>
        <v/>
      </c>
      <c r="C54" s="49" t="str">
        <f aca="false">IF(J54=0,"",INDEX('FUNDED DEALS'!$D:$D,J54))</f>
        <v/>
      </c>
      <c r="D54" s="48" t="str">
        <f aca="false">IF(J54=0,"",IF($B$3="",INDEX('FUNDED DEALS'!$V:$V,J54),IF(INDEX('FUNDED DEALS'!$T:$T,J54)=$B$3,INDEX('FUNDED DEALS'!$V:$V,J54),0)))</f>
        <v/>
      </c>
      <c r="E54" s="48" t="str">
        <f aca="false">IF(J54=0,"",IF($B$3="",INDEX('FUNDED DEALS'!$Y:$Y,J54),IF(INDEX('FUNDED DEALS'!$W:$W,J54)=$B$3,INDEX('FUNDED DEALS'!$Y:$Y,J54),0)))</f>
        <v/>
      </c>
      <c r="F54" s="48" t="str">
        <f aca="false">IF(J54=0,"",IF($B$3="",INDEX('FUNDED DEALS'!$AC:$AC,J54),D54+E54+IF(INDEX('FUNDED DEALS'!$Z:$Z,J54)=$B$3,INDEX('FUNDED DEALS'!$AB:$AB,J54),0)))</f>
        <v/>
      </c>
      <c r="G54" s="66" t="str">
        <f aca="false">IF(J54=0,"",INDEX('FUNDED DEALS'!$AM:$AM,J54))</f>
        <v/>
      </c>
      <c r="H54" s="65" t="str">
        <f aca="false">IF(J54=0,"",INDEX('FUNDED DEALS'!$AO:$AO,J54))</f>
        <v/>
      </c>
      <c r="J54" s="24" t="n">
        <f aca="false">IFERROR(MATCH(21,'FUNDED DEALS'!$AW$3:$AW$920,0)+2,0)</f>
        <v>0</v>
      </c>
    </row>
    <row r="55" customFormat="false" ht="15" hidden="false" customHeight="false" outlineLevel="0" collapsed="false">
      <c r="A55" s="52" t="str">
        <f aca="false">IF(J55=0,"",INDEX('FUNDED DEALS'!$A:$A,J55))</f>
        <v/>
      </c>
      <c r="B55" s="67" t="str">
        <f aca="false">IF(J55=0,"",INDEX('FUNDED DEALS'!$C:$C,J55))</f>
        <v/>
      </c>
      <c r="C55" s="52" t="str">
        <f aca="false">IF(J55=0,"",INDEX('FUNDED DEALS'!$D:$D,J55))</f>
        <v/>
      </c>
      <c r="D55" s="51" t="str">
        <f aca="false">IF(J55=0,"",IF($B$3="",INDEX('FUNDED DEALS'!$V:$V,J55),IF(INDEX('FUNDED DEALS'!$T:$T,J55)=$B$3,INDEX('FUNDED DEALS'!$V:$V,J55),0)))</f>
        <v/>
      </c>
      <c r="E55" s="51" t="str">
        <f aca="false">IF(J55=0,"",IF($B$3="",INDEX('FUNDED DEALS'!$Y:$Y,J55),IF(INDEX('FUNDED DEALS'!$W:$W,J55)=$B$3,INDEX('FUNDED DEALS'!$Y:$Y,J55),0)))</f>
        <v/>
      </c>
      <c r="F55" s="51" t="str">
        <f aca="false">IF(J55=0,"",IF($B$3="",INDEX('FUNDED DEALS'!$AC:$AC,J55),D55+E55+IF(INDEX('FUNDED DEALS'!$Z:$Z,J55)=$B$3,INDEX('FUNDED DEALS'!$AB:$AB,J55),0)))</f>
        <v/>
      </c>
      <c r="G55" s="68" t="str">
        <f aca="false">IF(J55=0,"",INDEX('FUNDED DEALS'!$AM:$AM,J55))</f>
        <v/>
      </c>
      <c r="H55" s="67" t="str">
        <f aca="false">IF(J55=0,"",INDEX('FUNDED DEALS'!$AO:$AO,J55))</f>
        <v/>
      </c>
      <c r="J55" s="24" t="n">
        <f aca="false">IFERROR(MATCH(22,'FUNDED DEALS'!$AW$3:$AW$920,0)+2,0)</f>
        <v>0</v>
      </c>
    </row>
    <row r="56" customFormat="false" ht="15" hidden="false" customHeight="false" outlineLevel="0" collapsed="false">
      <c r="A56" s="49" t="str">
        <f aca="false">IF(J56=0,"",INDEX('FUNDED DEALS'!$A:$A,J56))</f>
        <v/>
      </c>
      <c r="B56" s="65" t="str">
        <f aca="false">IF(J56=0,"",INDEX('FUNDED DEALS'!$C:$C,J56))</f>
        <v/>
      </c>
      <c r="C56" s="49" t="str">
        <f aca="false">IF(J56=0,"",INDEX('FUNDED DEALS'!$D:$D,J56))</f>
        <v/>
      </c>
      <c r="D56" s="48" t="str">
        <f aca="false">IF(J56=0,"",IF($B$3="",INDEX('FUNDED DEALS'!$V:$V,J56),IF(INDEX('FUNDED DEALS'!$T:$T,J56)=$B$3,INDEX('FUNDED DEALS'!$V:$V,J56),0)))</f>
        <v/>
      </c>
      <c r="E56" s="48" t="str">
        <f aca="false">IF(J56=0,"",IF($B$3="",INDEX('FUNDED DEALS'!$Y:$Y,J56),IF(INDEX('FUNDED DEALS'!$W:$W,J56)=$B$3,INDEX('FUNDED DEALS'!$Y:$Y,J56),0)))</f>
        <v/>
      </c>
      <c r="F56" s="48" t="str">
        <f aca="false">IF(J56=0,"",IF($B$3="",INDEX('FUNDED DEALS'!$AC:$AC,J56),D56+E56+IF(INDEX('FUNDED DEALS'!$Z:$Z,J56)=$B$3,INDEX('FUNDED DEALS'!$AB:$AB,J56),0)))</f>
        <v/>
      </c>
      <c r="G56" s="66" t="str">
        <f aca="false">IF(J56=0,"",INDEX('FUNDED DEALS'!$AM:$AM,J56))</f>
        <v/>
      </c>
      <c r="H56" s="65" t="str">
        <f aca="false">IF(J56=0,"",INDEX('FUNDED DEALS'!$AO:$AO,J56))</f>
        <v/>
      </c>
      <c r="J56" s="24" t="n">
        <f aca="false">IFERROR(MATCH(23,'FUNDED DEALS'!$AW$3:$AW$920,0)+2,0)</f>
        <v>0</v>
      </c>
    </row>
    <row r="57" customFormat="false" ht="15" hidden="false" customHeight="false" outlineLevel="0" collapsed="false">
      <c r="A57" s="52" t="str">
        <f aca="false">IF(J57=0,"",INDEX('FUNDED DEALS'!$A:$A,J57))</f>
        <v/>
      </c>
      <c r="B57" s="67" t="str">
        <f aca="false">IF(J57=0,"",INDEX('FUNDED DEALS'!$C:$C,J57))</f>
        <v/>
      </c>
      <c r="C57" s="52" t="str">
        <f aca="false">IF(J57=0,"",INDEX('FUNDED DEALS'!$D:$D,J57))</f>
        <v/>
      </c>
      <c r="D57" s="51" t="str">
        <f aca="false">IF(J57=0,"",IF($B$3="",INDEX('FUNDED DEALS'!$V:$V,J57),IF(INDEX('FUNDED DEALS'!$T:$T,J57)=$B$3,INDEX('FUNDED DEALS'!$V:$V,J57),0)))</f>
        <v/>
      </c>
      <c r="E57" s="51" t="str">
        <f aca="false">IF(J57=0,"",IF($B$3="",INDEX('FUNDED DEALS'!$Y:$Y,J57),IF(INDEX('FUNDED DEALS'!$W:$W,J57)=$B$3,INDEX('FUNDED DEALS'!$Y:$Y,J57),0)))</f>
        <v/>
      </c>
      <c r="F57" s="51" t="str">
        <f aca="false">IF(J57=0,"",IF($B$3="",INDEX('FUNDED DEALS'!$AC:$AC,J57),D57+E57+IF(INDEX('FUNDED DEALS'!$Z:$Z,J57)=$B$3,INDEX('FUNDED DEALS'!$AB:$AB,J57),0)))</f>
        <v/>
      </c>
      <c r="G57" s="68" t="str">
        <f aca="false">IF(J57=0,"",INDEX('FUNDED DEALS'!$AM:$AM,J57))</f>
        <v/>
      </c>
      <c r="H57" s="67" t="str">
        <f aca="false">IF(J57=0,"",INDEX('FUNDED DEALS'!$AO:$AO,J57))</f>
        <v/>
      </c>
      <c r="J57" s="24" t="n">
        <f aca="false">IFERROR(MATCH(24,'FUNDED DEALS'!$AW$3:$AW$920,0)+2,0)</f>
        <v>0</v>
      </c>
    </row>
    <row r="58" customFormat="false" ht="15" hidden="false" customHeight="false" outlineLevel="0" collapsed="false">
      <c r="A58" s="49" t="str">
        <f aca="false">IF(J58=0,"",INDEX('FUNDED DEALS'!$A:$A,J58))</f>
        <v/>
      </c>
      <c r="B58" s="65" t="str">
        <f aca="false">IF(J58=0,"",INDEX('FUNDED DEALS'!$C:$C,J58))</f>
        <v/>
      </c>
      <c r="C58" s="49" t="str">
        <f aca="false">IF(J58=0,"",INDEX('FUNDED DEALS'!$D:$D,J58))</f>
        <v/>
      </c>
      <c r="D58" s="48" t="str">
        <f aca="false">IF(J58=0,"",IF($B$3="",INDEX('FUNDED DEALS'!$V:$V,J58),IF(INDEX('FUNDED DEALS'!$T:$T,J58)=$B$3,INDEX('FUNDED DEALS'!$V:$V,J58),0)))</f>
        <v/>
      </c>
      <c r="E58" s="48" t="str">
        <f aca="false">IF(J58=0,"",IF($B$3="",INDEX('FUNDED DEALS'!$Y:$Y,J58),IF(INDEX('FUNDED DEALS'!$W:$W,J58)=$B$3,INDEX('FUNDED DEALS'!$Y:$Y,J58),0)))</f>
        <v/>
      </c>
      <c r="F58" s="48" t="str">
        <f aca="false">IF(J58=0,"",IF($B$3="",INDEX('FUNDED DEALS'!$AC:$AC,J58),D58+E58+IF(INDEX('FUNDED DEALS'!$Z:$Z,J58)=$B$3,INDEX('FUNDED DEALS'!$AB:$AB,J58),0)))</f>
        <v/>
      </c>
      <c r="G58" s="66" t="str">
        <f aca="false">IF(J58=0,"",INDEX('FUNDED DEALS'!$AM:$AM,J58))</f>
        <v/>
      </c>
      <c r="H58" s="65" t="str">
        <f aca="false">IF(J58=0,"",INDEX('FUNDED DEALS'!$AO:$AO,J58))</f>
        <v/>
      </c>
      <c r="J58" s="24" t="n">
        <f aca="false">IFERROR(MATCH(25,'FUNDED DEALS'!$AW$3:$AW$920,0)+2,0)</f>
        <v>0</v>
      </c>
    </row>
    <row r="59" customFormat="false" ht="15" hidden="false" customHeight="false" outlineLevel="0" collapsed="false">
      <c r="A59" s="52" t="str">
        <f aca="false">IF(J59=0,"",INDEX('FUNDED DEALS'!$A:$A,J59))</f>
        <v/>
      </c>
      <c r="B59" s="67" t="str">
        <f aca="false">IF(J59=0,"",INDEX('FUNDED DEALS'!$C:$C,J59))</f>
        <v/>
      </c>
      <c r="C59" s="52" t="str">
        <f aca="false">IF(J59=0,"",INDEX('FUNDED DEALS'!$D:$D,J59))</f>
        <v/>
      </c>
      <c r="D59" s="51" t="str">
        <f aca="false">IF(J59=0,"",IF($B$3="",INDEX('FUNDED DEALS'!$V:$V,J59),IF(INDEX('FUNDED DEALS'!$T:$T,J59)=$B$3,INDEX('FUNDED DEALS'!$V:$V,J59),0)))</f>
        <v/>
      </c>
      <c r="E59" s="51" t="str">
        <f aca="false">IF(J59=0,"",IF($B$3="",INDEX('FUNDED DEALS'!$Y:$Y,J59),IF(INDEX('FUNDED DEALS'!$W:$W,J59)=$B$3,INDEX('FUNDED DEALS'!$Y:$Y,J59),0)))</f>
        <v/>
      </c>
      <c r="F59" s="51" t="str">
        <f aca="false">IF(J59=0,"",IF($B$3="",INDEX('FUNDED DEALS'!$AC:$AC,J59),D59+E59+IF(INDEX('FUNDED DEALS'!$Z:$Z,J59)=$B$3,INDEX('FUNDED DEALS'!$AB:$AB,J59),0)))</f>
        <v/>
      </c>
      <c r="G59" s="68" t="str">
        <f aca="false">IF(J59=0,"",INDEX('FUNDED DEALS'!$AM:$AM,J59))</f>
        <v/>
      </c>
      <c r="H59" s="67" t="str">
        <f aca="false">IF(J59=0,"",INDEX('FUNDED DEALS'!$AO:$AO,J59))</f>
        <v/>
      </c>
      <c r="J59" s="24" t="n">
        <f aca="false">IFERROR(MATCH(26,'FUNDED DEALS'!$AW$3:$AW$920,0)+2,0)</f>
        <v>0</v>
      </c>
    </row>
    <row r="60" customFormat="false" ht="15" hidden="false" customHeight="false" outlineLevel="0" collapsed="false">
      <c r="A60" s="49" t="str">
        <f aca="false">IF(J60=0,"",INDEX('FUNDED DEALS'!$A:$A,J60))</f>
        <v/>
      </c>
      <c r="B60" s="65" t="str">
        <f aca="false">IF(J60=0,"",INDEX('FUNDED DEALS'!$C:$C,J60))</f>
        <v/>
      </c>
      <c r="C60" s="49" t="str">
        <f aca="false">IF(J60=0,"",INDEX('FUNDED DEALS'!$D:$D,J60))</f>
        <v/>
      </c>
      <c r="D60" s="48" t="str">
        <f aca="false">IF(J60=0,"",IF($B$3="",INDEX('FUNDED DEALS'!$V:$V,J60),IF(INDEX('FUNDED DEALS'!$T:$T,J60)=$B$3,INDEX('FUNDED DEALS'!$V:$V,J60),0)))</f>
        <v/>
      </c>
      <c r="E60" s="48" t="str">
        <f aca="false">IF(J60=0,"",IF($B$3="",INDEX('FUNDED DEALS'!$Y:$Y,J60),IF(INDEX('FUNDED DEALS'!$W:$W,J60)=$B$3,INDEX('FUNDED DEALS'!$Y:$Y,J60),0)))</f>
        <v/>
      </c>
      <c r="F60" s="48" t="str">
        <f aca="false">IF(J60=0,"",IF($B$3="",INDEX('FUNDED DEALS'!$AC:$AC,J60),D60+E60+IF(INDEX('FUNDED DEALS'!$Z:$Z,J60)=$B$3,INDEX('FUNDED DEALS'!$AB:$AB,J60),0)))</f>
        <v/>
      </c>
      <c r="G60" s="66" t="str">
        <f aca="false">IF(J60=0,"",INDEX('FUNDED DEALS'!$AM:$AM,J60))</f>
        <v/>
      </c>
      <c r="H60" s="65" t="str">
        <f aca="false">IF(J60=0,"",INDEX('FUNDED DEALS'!$AO:$AO,J60))</f>
        <v/>
      </c>
      <c r="J60" s="24" t="n">
        <f aca="false">IFERROR(MATCH(27,'FUNDED DEALS'!$AW$3:$AW$920,0)+2,0)</f>
        <v>0</v>
      </c>
    </row>
    <row r="61" customFormat="false" ht="15" hidden="false" customHeight="false" outlineLevel="0" collapsed="false">
      <c r="A61" s="52" t="str">
        <f aca="false">IF(J61=0,"",INDEX('FUNDED DEALS'!$A:$A,J61))</f>
        <v/>
      </c>
      <c r="B61" s="67" t="str">
        <f aca="false">IF(J61=0,"",INDEX('FUNDED DEALS'!$C:$C,J61))</f>
        <v/>
      </c>
      <c r="C61" s="52" t="str">
        <f aca="false">IF(J61=0,"",INDEX('FUNDED DEALS'!$D:$D,J61))</f>
        <v/>
      </c>
      <c r="D61" s="51" t="str">
        <f aca="false">IF(J61=0,"",IF($B$3="",INDEX('FUNDED DEALS'!$V:$V,J61),IF(INDEX('FUNDED DEALS'!$T:$T,J61)=$B$3,INDEX('FUNDED DEALS'!$V:$V,J61),0)))</f>
        <v/>
      </c>
      <c r="E61" s="51" t="str">
        <f aca="false">IF(J61=0,"",IF($B$3="",INDEX('FUNDED DEALS'!$Y:$Y,J61),IF(INDEX('FUNDED DEALS'!$W:$W,J61)=$B$3,INDEX('FUNDED DEALS'!$Y:$Y,J61),0)))</f>
        <v/>
      </c>
      <c r="F61" s="51" t="str">
        <f aca="false">IF(J61=0,"",IF($B$3="",INDEX('FUNDED DEALS'!$AC:$AC,J61),D61+E61+IF(INDEX('FUNDED DEALS'!$Z:$Z,J61)=$B$3,INDEX('FUNDED DEALS'!$AB:$AB,J61),0)))</f>
        <v/>
      </c>
      <c r="G61" s="68" t="str">
        <f aca="false">IF(J61=0,"",INDEX('FUNDED DEALS'!$AM:$AM,J61))</f>
        <v/>
      </c>
      <c r="H61" s="67" t="str">
        <f aca="false">IF(J61=0,"",INDEX('FUNDED DEALS'!$AO:$AO,J61))</f>
        <v/>
      </c>
      <c r="J61" s="24" t="n">
        <f aca="false">IFERROR(MATCH(28,'FUNDED DEALS'!$AW$3:$AW$920,0)+2,0)</f>
        <v>0</v>
      </c>
    </row>
    <row r="62" customFormat="false" ht="15" hidden="false" customHeight="false" outlineLevel="0" collapsed="false">
      <c r="A62" s="49" t="str">
        <f aca="false">IF(J62=0,"",INDEX('FUNDED DEALS'!$A:$A,J62))</f>
        <v/>
      </c>
      <c r="B62" s="65" t="str">
        <f aca="false">IF(J62=0,"",INDEX('FUNDED DEALS'!$C:$C,J62))</f>
        <v/>
      </c>
      <c r="C62" s="49" t="str">
        <f aca="false">IF(J62=0,"",INDEX('FUNDED DEALS'!$D:$D,J62))</f>
        <v/>
      </c>
      <c r="D62" s="48" t="str">
        <f aca="false">IF(J62=0,"",IF($B$3="",INDEX('FUNDED DEALS'!$V:$V,J62),IF(INDEX('FUNDED DEALS'!$T:$T,J62)=$B$3,INDEX('FUNDED DEALS'!$V:$V,J62),0)))</f>
        <v/>
      </c>
      <c r="E62" s="48" t="str">
        <f aca="false">IF(J62=0,"",IF($B$3="",INDEX('FUNDED DEALS'!$Y:$Y,J62),IF(INDEX('FUNDED DEALS'!$W:$W,J62)=$B$3,INDEX('FUNDED DEALS'!$Y:$Y,J62),0)))</f>
        <v/>
      </c>
      <c r="F62" s="48" t="str">
        <f aca="false">IF(J62=0,"",IF($B$3="",INDEX('FUNDED DEALS'!$AC:$AC,J62),D62+E62+IF(INDEX('FUNDED DEALS'!$Z:$Z,J62)=$B$3,INDEX('FUNDED DEALS'!$AB:$AB,J62),0)))</f>
        <v/>
      </c>
      <c r="G62" s="66" t="str">
        <f aca="false">IF(J62=0,"",INDEX('FUNDED DEALS'!$AM:$AM,J62))</f>
        <v/>
      </c>
      <c r="H62" s="65" t="str">
        <f aca="false">IF(J62=0,"",INDEX('FUNDED DEALS'!$AO:$AO,J62))</f>
        <v/>
      </c>
      <c r="J62" s="24" t="n">
        <f aca="false">IFERROR(MATCH(29,'FUNDED DEALS'!$AW$3:$AW$920,0)+2,0)</f>
        <v>0</v>
      </c>
    </row>
    <row r="63" customFormat="false" ht="15" hidden="false" customHeight="false" outlineLevel="0" collapsed="false">
      <c r="A63" s="52" t="str">
        <f aca="false">IF(J63=0,"",INDEX('FUNDED DEALS'!$A:$A,J63))</f>
        <v/>
      </c>
      <c r="B63" s="67" t="str">
        <f aca="false">IF(J63=0,"",INDEX('FUNDED DEALS'!$C:$C,J63))</f>
        <v/>
      </c>
      <c r="C63" s="52" t="str">
        <f aca="false">IF(J63=0,"",INDEX('FUNDED DEALS'!$D:$D,J63))</f>
        <v/>
      </c>
      <c r="D63" s="51" t="str">
        <f aca="false">IF(J63=0,"",IF($B$3="",INDEX('FUNDED DEALS'!$V:$V,J63),IF(INDEX('FUNDED DEALS'!$T:$T,J63)=$B$3,INDEX('FUNDED DEALS'!$V:$V,J63),0)))</f>
        <v/>
      </c>
      <c r="E63" s="51" t="str">
        <f aca="false">IF(J63=0,"",IF($B$3="",INDEX('FUNDED DEALS'!$Y:$Y,J63),IF(INDEX('FUNDED DEALS'!$W:$W,J63)=$B$3,INDEX('FUNDED DEALS'!$Y:$Y,J63),0)))</f>
        <v/>
      </c>
      <c r="F63" s="51" t="str">
        <f aca="false">IF(J63=0,"",IF($B$3="",INDEX('FUNDED DEALS'!$AC:$AC,J63),D63+E63+IF(INDEX('FUNDED DEALS'!$Z:$Z,J63)=$B$3,INDEX('FUNDED DEALS'!$AB:$AB,J63),0)))</f>
        <v/>
      </c>
      <c r="G63" s="68" t="str">
        <f aca="false">IF(J63=0,"",INDEX('FUNDED DEALS'!$AM:$AM,J63))</f>
        <v/>
      </c>
      <c r="H63" s="67" t="str">
        <f aca="false">IF(J63=0,"",INDEX('FUNDED DEALS'!$AO:$AO,J63))</f>
        <v/>
      </c>
      <c r="J63" s="24" t="n">
        <f aca="false">IFERROR(MATCH(30,'FUNDED DEALS'!$AW$3:$AW$920,0)+2,0)</f>
        <v>0</v>
      </c>
    </row>
    <row r="64" customFormat="false" ht="15" hidden="false" customHeight="false" outlineLevel="0" collapsed="false">
      <c r="A64" s="49" t="str">
        <f aca="false">IF(J64=0,"",INDEX('FUNDED DEALS'!$A:$A,J64))</f>
        <v/>
      </c>
      <c r="B64" s="65" t="str">
        <f aca="false">IF(J64=0,"",INDEX('FUNDED DEALS'!$C:$C,J64))</f>
        <v/>
      </c>
      <c r="C64" s="49" t="str">
        <f aca="false">IF(J64=0,"",INDEX('FUNDED DEALS'!$D:$D,J64))</f>
        <v/>
      </c>
      <c r="D64" s="48" t="str">
        <f aca="false">IF(J64=0,"",IF($B$3="",INDEX('FUNDED DEALS'!$V:$V,J64),IF(INDEX('FUNDED DEALS'!$T:$T,J64)=$B$3,INDEX('FUNDED DEALS'!$V:$V,J64),0)))</f>
        <v/>
      </c>
      <c r="E64" s="48" t="str">
        <f aca="false">IF(J64=0,"",IF($B$3="",INDEX('FUNDED DEALS'!$Y:$Y,J64),IF(INDEX('FUNDED DEALS'!$W:$W,J64)=$B$3,INDEX('FUNDED DEALS'!$Y:$Y,J64),0)))</f>
        <v/>
      </c>
      <c r="F64" s="48" t="str">
        <f aca="false">IF(J64=0,"",IF($B$3="",INDEX('FUNDED DEALS'!$AC:$AC,J64),D64+E64+IF(INDEX('FUNDED DEALS'!$Z:$Z,J64)=$B$3,INDEX('FUNDED DEALS'!$AB:$AB,J64),0)))</f>
        <v/>
      </c>
      <c r="G64" s="66" t="str">
        <f aca="false">IF(J64=0,"",INDEX('FUNDED DEALS'!$AM:$AM,J64))</f>
        <v/>
      </c>
      <c r="H64" s="65" t="str">
        <f aca="false">IF(J64=0,"",INDEX('FUNDED DEALS'!$AO:$AO,J64))</f>
        <v/>
      </c>
      <c r="J64" s="24" t="n">
        <f aca="false">IFERROR(MATCH(31,'FUNDED DEALS'!$AW$3:$AW$920,0)+2,0)</f>
        <v>0</v>
      </c>
    </row>
    <row r="65" customFormat="false" ht="15" hidden="false" customHeight="false" outlineLevel="0" collapsed="false">
      <c r="A65" s="52" t="str">
        <f aca="false">IF(J65=0,"",INDEX('FUNDED DEALS'!$A:$A,J65))</f>
        <v/>
      </c>
      <c r="B65" s="67" t="str">
        <f aca="false">IF(J65=0,"",INDEX('FUNDED DEALS'!$C:$C,J65))</f>
        <v/>
      </c>
      <c r="C65" s="52" t="str">
        <f aca="false">IF(J65=0,"",INDEX('FUNDED DEALS'!$D:$D,J65))</f>
        <v/>
      </c>
      <c r="D65" s="51" t="str">
        <f aca="false">IF(J65=0,"",IF($B$3="",INDEX('FUNDED DEALS'!$V:$V,J65),IF(INDEX('FUNDED DEALS'!$T:$T,J65)=$B$3,INDEX('FUNDED DEALS'!$V:$V,J65),0)))</f>
        <v/>
      </c>
      <c r="E65" s="51" t="str">
        <f aca="false">IF(J65=0,"",IF($B$3="",INDEX('FUNDED DEALS'!$Y:$Y,J65),IF(INDEX('FUNDED DEALS'!$W:$W,J65)=$B$3,INDEX('FUNDED DEALS'!$Y:$Y,J65),0)))</f>
        <v/>
      </c>
      <c r="F65" s="51" t="str">
        <f aca="false">IF(J65=0,"",IF($B$3="",INDEX('FUNDED DEALS'!$AC:$AC,J65),D65+E65+IF(INDEX('FUNDED DEALS'!$Z:$Z,J65)=$B$3,INDEX('FUNDED DEALS'!$AB:$AB,J65),0)))</f>
        <v/>
      </c>
      <c r="G65" s="68" t="str">
        <f aca="false">IF(J65=0,"",INDEX('FUNDED DEALS'!$AM:$AM,J65))</f>
        <v/>
      </c>
      <c r="H65" s="67" t="str">
        <f aca="false">IF(J65=0,"",INDEX('FUNDED DEALS'!$AO:$AO,J65))</f>
        <v/>
      </c>
      <c r="J65" s="24" t="n">
        <f aca="false">IFERROR(MATCH(32,'FUNDED DEALS'!$AW$3:$AW$920,0)+2,0)</f>
        <v>0</v>
      </c>
    </row>
    <row r="66" customFormat="false" ht="15" hidden="false" customHeight="false" outlineLevel="0" collapsed="false">
      <c r="A66" s="49" t="str">
        <f aca="false">IF(J66=0,"",INDEX('FUNDED DEALS'!$A:$A,J66))</f>
        <v/>
      </c>
      <c r="B66" s="65" t="str">
        <f aca="false">IF(J66=0,"",INDEX('FUNDED DEALS'!$C:$C,J66))</f>
        <v/>
      </c>
      <c r="C66" s="49" t="str">
        <f aca="false">IF(J66=0,"",INDEX('FUNDED DEALS'!$D:$D,J66))</f>
        <v/>
      </c>
      <c r="D66" s="48" t="str">
        <f aca="false">IF(J66=0,"",IF($B$3="",INDEX('FUNDED DEALS'!$V:$V,J66),IF(INDEX('FUNDED DEALS'!$T:$T,J66)=$B$3,INDEX('FUNDED DEALS'!$V:$V,J66),0)))</f>
        <v/>
      </c>
      <c r="E66" s="48" t="str">
        <f aca="false">IF(J66=0,"",IF($B$3="",INDEX('FUNDED DEALS'!$Y:$Y,J66),IF(INDEX('FUNDED DEALS'!$W:$W,J66)=$B$3,INDEX('FUNDED DEALS'!$Y:$Y,J66),0)))</f>
        <v/>
      </c>
      <c r="F66" s="48" t="str">
        <f aca="false">IF(J66=0,"",IF($B$3="",INDEX('FUNDED DEALS'!$AC:$AC,J66),D66+E66+IF(INDEX('FUNDED DEALS'!$Z:$Z,J66)=$B$3,INDEX('FUNDED DEALS'!$AB:$AB,J66),0)))</f>
        <v/>
      </c>
      <c r="G66" s="66" t="str">
        <f aca="false">IF(J66=0,"",INDEX('FUNDED DEALS'!$AM:$AM,J66))</f>
        <v/>
      </c>
      <c r="H66" s="65" t="str">
        <f aca="false">IF(J66=0,"",INDEX('FUNDED DEALS'!$AO:$AO,J66))</f>
        <v/>
      </c>
      <c r="J66" s="24" t="n">
        <f aca="false">IFERROR(MATCH(33,'FUNDED DEALS'!$AW$3:$AW$920,0)+2,0)</f>
        <v>0</v>
      </c>
    </row>
    <row r="67" customFormat="false" ht="15" hidden="false" customHeight="false" outlineLevel="0" collapsed="false">
      <c r="A67" s="52" t="str">
        <f aca="false">IF(J67=0,"",INDEX('FUNDED DEALS'!$A:$A,J67))</f>
        <v/>
      </c>
      <c r="B67" s="67" t="str">
        <f aca="false">IF(J67=0,"",INDEX('FUNDED DEALS'!$C:$C,J67))</f>
        <v/>
      </c>
      <c r="C67" s="52" t="str">
        <f aca="false">IF(J67=0,"",INDEX('FUNDED DEALS'!$D:$D,J67))</f>
        <v/>
      </c>
      <c r="D67" s="51" t="str">
        <f aca="false">IF(J67=0,"",IF($B$3="",INDEX('FUNDED DEALS'!$V:$V,J67),IF(INDEX('FUNDED DEALS'!$T:$T,J67)=$B$3,INDEX('FUNDED DEALS'!$V:$V,J67),0)))</f>
        <v/>
      </c>
      <c r="E67" s="51" t="str">
        <f aca="false">IF(J67=0,"",IF($B$3="",INDEX('FUNDED DEALS'!$Y:$Y,J67),IF(INDEX('FUNDED DEALS'!$W:$W,J67)=$B$3,INDEX('FUNDED DEALS'!$Y:$Y,J67),0)))</f>
        <v/>
      </c>
      <c r="F67" s="51" t="str">
        <f aca="false">IF(J67=0,"",IF($B$3="",INDEX('FUNDED DEALS'!$AC:$AC,J67),D67+E67+IF(INDEX('FUNDED DEALS'!$Z:$Z,J67)=$B$3,INDEX('FUNDED DEALS'!$AB:$AB,J67),0)))</f>
        <v/>
      </c>
      <c r="G67" s="68" t="str">
        <f aca="false">IF(J67=0,"",INDEX('FUNDED DEALS'!$AM:$AM,J67))</f>
        <v/>
      </c>
      <c r="H67" s="67" t="str">
        <f aca="false">IF(J67=0,"",INDEX('FUNDED DEALS'!$AO:$AO,J67))</f>
        <v/>
      </c>
      <c r="J67" s="24" t="n">
        <f aca="false">IFERROR(MATCH(34,'FUNDED DEALS'!$AW$3:$AW$920,0)+2,0)</f>
        <v>0</v>
      </c>
    </row>
    <row r="68" customFormat="false" ht="15" hidden="false" customHeight="false" outlineLevel="0" collapsed="false">
      <c r="A68" s="49" t="str">
        <f aca="false">IF(J68=0,"",INDEX('FUNDED DEALS'!$A:$A,J68))</f>
        <v/>
      </c>
      <c r="B68" s="65" t="str">
        <f aca="false">IF(J68=0,"",INDEX('FUNDED DEALS'!$C:$C,J68))</f>
        <v/>
      </c>
      <c r="C68" s="49" t="str">
        <f aca="false">IF(J68=0,"",INDEX('FUNDED DEALS'!$D:$D,J68))</f>
        <v/>
      </c>
      <c r="D68" s="48" t="str">
        <f aca="false">IF(J68=0,"",IF($B$3="",INDEX('FUNDED DEALS'!$V:$V,J68),IF(INDEX('FUNDED DEALS'!$T:$T,J68)=$B$3,INDEX('FUNDED DEALS'!$V:$V,J68),0)))</f>
        <v/>
      </c>
      <c r="E68" s="48" t="str">
        <f aca="false">IF(J68=0,"",IF($B$3="",INDEX('FUNDED DEALS'!$Y:$Y,J68),IF(INDEX('FUNDED DEALS'!$W:$W,J68)=$B$3,INDEX('FUNDED DEALS'!$Y:$Y,J68),0)))</f>
        <v/>
      </c>
      <c r="F68" s="48" t="str">
        <f aca="false">IF(J68=0,"",IF($B$3="",INDEX('FUNDED DEALS'!$AC:$AC,J68),D68+E68+IF(INDEX('FUNDED DEALS'!$Z:$Z,J68)=$B$3,INDEX('FUNDED DEALS'!$AB:$AB,J68),0)))</f>
        <v/>
      </c>
      <c r="G68" s="66" t="str">
        <f aca="false">IF(J68=0,"",INDEX('FUNDED DEALS'!$AM:$AM,J68))</f>
        <v/>
      </c>
      <c r="H68" s="65" t="str">
        <f aca="false">IF(J68=0,"",INDEX('FUNDED DEALS'!$AO:$AO,J68))</f>
        <v/>
      </c>
      <c r="J68" s="24" t="n">
        <f aca="false">IFERROR(MATCH(35,'FUNDED DEALS'!$AW$3:$AW$920,0)+2,0)</f>
        <v>0</v>
      </c>
    </row>
    <row r="69" customFormat="false" ht="15" hidden="false" customHeight="false" outlineLevel="0" collapsed="false">
      <c r="A69" s="52" t="str">
        <f aca="false">IF(J69=0,"",INDEX('FUNDED DEALS'!$A:$A,J69))</f>
        <v/>
      </c>
      <c r="B69" s="67" t="str">
        <f aca="false">IF(J69=0,"",INDEX('FUNDED DEALS'!$C:$C,J69))</f>
        <v/>
      </c>
      <c r="C69" s="52" t="str">
        <f aca="false">IF(J69=0,"",INDEX('FUNDED DEALS'!$D:$D,J69))</f>
        <v/>
      </c>
      <c r="D69" s="51" t="str">
        <f aca="false">IF(J69=0,"",IF($B$3="",INDEX('FUNDED DEALS'!$V:$V,J69),IF(INDEX('FUNDED DEALS'!$T:$T,J69)=$B$3,INDEX('FUNDED DEALS'!$V:$V,J69),0)))</f>
        <v/>
      </c>
      <c r="E69" s="51" t="str">
        <f aca="false">IF(J69=0,"",IF($B$3="",INDEX('FUNDED DEALS'!$Y:$Y,J69),IF(INDEX('FUNDED DEALS'!$W:$W,J69)=$B$3,INDEX('FUNDED DEALS'!$Y:$Y,J69),0)))</f>
        <v/>
      </c>
      <c r="F69" s="51" t="str">
        <f aca="false">IF(J69=0,"",IF($B$3="",INDEX('FUNDED DEALS'!$AC:$AC,J69),D69+E69+IF(INDEX('FUNDED DEALS'!$Z:$Z,J69)=$B$3,INDEX('FUNDED DEALS'!$AB:$AB,J69),0)))</f>
        <v/>
      </c>
      <c r="G69" s="68" t="str">
        <f aca="false">IF(J69=0,"",INDEX('FUNDED DEALS'!$AM:$AM,J69))</f>
        <v/>
      </c>
      <c r="H69" s="67" t="str">
        <f aca="false">IF(J69=0,"",INDEX('FUNDED DEALS'!$AO:$AO,J69))</f>
        <v/>
      </c>
      <c r="J69" s="24" t="n">
        <f aca="false">IFERROR(MATCH(36,'FUNDED DEALS'!$AW$3:$AW$920,0)+2,0)</f>
        <v>0</v>
      </c>
    </row>
    <row r="70" customFormat="false" ht="15" hidden="false" customHeight="false" outlineLevel="0" collapsed="false">
      <c r="A70" s="49" t="str">
        <f aca="false">IF(J70=0,"",INDEX('FUNDED DEALS'!$A:$A,J70))</f>
        <v/>
      </c>
      <c r="B70" s="65" t="str">
        <f aca="false">IF(J70=0,"",INDEX('FUNDED DEALS'!$C:$C,J70))</f>
        <v/>
      </c>
      <c r="C70" s="49" t="str">
        <f aca="false">IF(J70=0,"",INDEX('FUNDED DEALS'!$D:$D,J70))</f>
        <v/>
      </c>
      <c r="D70" s="48" t="str">
        <f aca="false">IF(J70=0,"",IF($B$3="",INDEX('FUNDED DEALS'!$V:$V,J70),IF(INDEX('FUNDED DEALS'!$T:$T,J70)=$B$3,INDEX('FUNDED DEALS'!$V:$V,J70),0)))</f>
        <v/>
      </c>
      <c r="E70" s="48" t="str">
        <f aca="false">IF(J70=0,"",IF($B$3="",INDEX('FUNDED DEALS'!$Y:$Y,J70),IF(INDEX('FUNDED DEALS'!$W:$W,J70)=$B$3,INDEX('FUNDED DEALS'!$Y:$Y,J70),0)))</f>
        <v/>
      </c>
      <c r="F70" s="48" t="str">
        <f aca="false">IF(J70=0,"",IF($B$3="",INDEX('FUNDED DEALS'!$AC:$AC,J70),D70+E70+IF(INDEX('FUNDED DEALS'!$Z:$Z,J70)=$B$3,INDEX('FUNDED DEALS'!$AB:$AB,J70),0)))</f>
        <v/>
      </c>
      <c r="G70" s="66" t="str">
        <f aca="false">IF(J70=0,"",INDEX('FUNDED DEALS'!$AM:$AM,J70))</f>
        <v/>
      </c>
      <c r="H70" s="65" t="str">
        <f aca="false">IF(J70=0,"",INDEX('FUNDED DEALS'!$AO:$AO,J70))</f>
        <v/>
      </c>
      <c r="J70" s="24" t="n">
        <f aca="false">IFERROR(MATCH(37,'FUNDED DEALS'!$AW$3:$AW$920,0)+2,0)</f>
        <v>0</v>
      </c>
    </row>
    <row r="71" customFormat="false" ht="15" hidden="false" customHeight="false" outlineLevel="0" collapsed="false">
      <c r="A71" s="52" t="str">
        <f aca="false">IF(J71=0,"",INDEX('FUNDED DEALS'!$A:$A,J71))</f>
        <v/>
      </c>
      <c r="B71" s="67" t="str">
        <f aca="false">IF(J71=0,"",INDEX('FUNDED DEALS'!$C:$C,J71))</f>
        <v/>
      </c>
      <c r="C71" s="52" t="str">
        <f aca="false">IF(J71=0,"",INDEX('FUNDED DEALS'!$D:$D,J71))</f>
        <v/>
      </c>
      <c r="D71" s="51" t="str">
        <f aca="false">IF(J71=0,"",IF($B$3="",INDEX('FUNDED DEALS'!$V:$V,J71),IF(INDEX('FUNDED DEALS'!$T:$T,J71)=$B$3,INDEX('FUNDED DEALS'!$V:$V,J71),0)))</f>
        <v/>
      </c>
      <c r="E71" s="51" t="str">
        <f aca="false">IF(J71=0,"",IF($B$3="",INDEX('FUNDED DEALS'!$Y:$Y,J71),IF(INDEX('FUNDED DEALS'!$W:$W,J71)=$B$3,INDEX('FUNDED DEALS'!$Y:$Y,J71),0)))</f>
        <v/>
      </c>
      <c r="F71" s="51" t="str">
        <f aca="false">IF(J71=0,"",IF($B$3="",INDEX('FUNDED DEALS'!$AC:$AC,J71),D71+E71+IF(INDEX('FUNDED DEALS'!$Z:$Z,J71)=$B$3,INDEX('FUNDED DEALS'!$AB:$AB,J71),0)))</f>
        <v/>
      </c>
      <c r="G71" s="68" t="str">
        <f aca="false">IF(J71=0,"",INDEX('FUNDED DEALS'!$AM:$AM,J71))</f>
        <v/>
      </c>
      <c r="H71" s="67" t="str">
        <f aca="false">IF(J71=0,"",INDEX('FUNDED DEALS'!$AO:$AO,J71))</f>
        <v/>
      </c>
      <c r="J71" s="24" t="n">
        <f aca="false">IFERROR(MATCH(38,'FUNDED DEALS'!$AW$3:$AW$920,0)+2,0)</f>
        <v>0</v>
      </c>
    </row>
    <row r="72" customFormat="false" ht="15" hidden="false" customHeight="false" outlineLevel="0" collapsed="false">
      <c r="A72" s="49" t="str">
        <f aca="false">IF(J72=0,"",INDEX('FUNDED DEALS'!$A:$A,J72))</f>
        <v/>
      </c>
      <c r="B72" s="65" t="str">
        <f aca="false">IF(J72=0,"",INDEX('FUNDED DEALS'!$C:$C,J72))</f>
        <v/>
      </c>
      <c r="C72" s="49" t="str">
        <f aca="false">IF(J72=0,"",INDEX('FUNDED DEALS'!$D:$D,J72))</f>
        <v/>
      </c>
      <c r="D72" s="48" t="str">
        <f aca="false">IF(J72=0,"",IF($B$3="",INDEX('FUNDED DEALS'!$V:$V,J72),IF(INDEX('FUNDED DEALS'!$T:$T,J72)=$B$3,INDEX('FUNDED DEALS'!$V:$V,J72),0)))</f>
        <v/>
      </c>
      <c r="E72" s="48" t="str">
        <f aca="false">IF(J72=0,"",IF($B$3="",INDEX('FUNDED DEALS'!$Y:$Y,J72),IF(INDEX('FUNDED DEALS'!$W:$W,J72)=$B$3,INDEX('FUNDED DEALS'!$Y:$Y,J72),0)))</f>
        <v/>
      </c>
      <c r="F72" s="48" t="str">
        <f aca="false">IF(J72=0,"",IF($B$3="",INDEX('FUNDED DEALS'!$AC:$AC,J72),D72+E72+IF(INDEX('FUNDED DEALS'!$Z:$Z,J72)=$B$3,INDEX('FUNDED DEALS'!$AB:$AB,J72),0)))</f>
        <v/>
      </c>
      <c r="G72" s="66" t="str">
        <f aca="false">IF(J72=0,"",INDEX('FUNDED DEALS'!$AM:$AM,J72))</f>
        <v/>
      </c>
      <c r="H72" s="65" t="str">
        <f aca="false">IF(J72=0,"",INDEX('FUNDED DEALS'!$AO:$AO,J72))</f>
        <v/>
      </c>
      <c r="J72" s="24" t="n">
        <f aca="false">IFERROR(MATCH(39,'FUNDED DEALS'!$AW$3:$AW$920,0)+2,0)</f>
        <v>0</v>
      </c>
    </row>
    <row r="73" customFormat="false" ht="15" hidden="false" customHeight="false" outlineLevel="0" collapsed="false">
      <c r="A73" s="52" t="str">
        <f aca="false">IF(J73=0,"",INDEX('FUNDED DEALS'!$A:$A,J73))</f>
        <v/>
      </c>
      <c r="B73" s="67" t="str">
        <f aca="false">IF(J73=0,"",INDEX('FUNDED DEALS'!$C:$C,J73))</f>
        <v/>
      </c>
      <c r="C73" s="52" t="str">
        <f aca="false">IF(J73=0,"",INDEX('FUNDED DEALS'!$D:$D,J73))</f>
        <v/>
      </c>
      <c r="D73" s="51" t="str">
        <f aca="false">IF(J73=0,"",IF($B$3="",INDEX('FUNDED DEALS'!$V:$V,J73),IF(INDEX('FUNDED DEALS'!$T:$T,J73)=$B$3,INDEX('FUNDED DEALS'!$V:$V,J73),0)))</f>
        <v/>
      </c>
      <c r="E73" s="51" t="str">
        <f aca="false">IF(J73=0,"",IF($B$3="",INDEX('FUNDED DEALS'!$Y:$Y,J73),IF(INDEX('FUNDED DEALS'!$W:$W,J73)=$B$3,INDEX('FUNDED DEALS'!$Y:$Y,J73),0)))</f>
        <v/>
      </c>
      <c r="F73" s="51" t="str">
        <f aca="false">IF(J73=0,"",IF($B$3="",INDEX('FUNDED DEALS'!$AC:$AC,J73),D73+E73+IF(INDEX('FUNDED DEALS'!$Z:$Z,J73)=$B$3,INDEX('FUNDED DEALS'!$AB:$AB,J73),0)))</f>
        <v/>
      </c>
      <c r="G73" s="68" t="str">
        <f aca="false">IF(J73=0,"",INDEX('FUNDED DEALS'!$AM:$AM,J73))</f>
        <v/>
      </c>
      <c r="H73" s="67" t="str">
        <f aca="false">IF(J73=0,"",INDEX('FUNDED DEALS'!$AO:$AO,J73))</f>
        <v/>
      </c>
      <c r="J73" s="24" t="n">
        <f aca="false">IFERROR(MATCH(40,'FUNDED DEALS'!$AW$3:$AW$920,0)+2,0)</f>
        <v>0</v>
      </c>
    </row>
    <row r="74" customFormat="false" ht="15" hidden="false" customHeight="false" outlineLevel="0" collapsed="false">
      <c r="A74" s="49" t="str">
        <f aca="false">IF(J74=0,"",INDEX('FUNDED DEALS'!$A:$A,J74))</f>
        <v/>
      </c>
      <c r="B74" s="65" t="str">
        <f aca="false">IF(J74=0,"",INDEX('FUNDED DEALS'!$C:$C,J74))</f>
        <v/>
      </c>
      <c r="C74" s="49" t="str">
        <f aca="false">IF(J74=0,"",INDEX('FUNDED DEALS'!$D:$D,J74))</f>
        <v/>
      </c>
      <c r="D74" s="48" t="str">
        <f aca="false">IF(J74=0,"",IF($B$3="",INDEX('FUNDED DEALS'!$V:$V,J74),IF(INDEX('FUNDED DEALS'!$T:$T,J74)=$B$3,INDEX('FUNDED DEALS'!$V:$V,J74),0)))</f>
        <v/>
      </c>
      <c r="E74" s="48" t="str">
        <f aca="false">IF(J74=0,"",IF($B$3="",INDEX('FUNDED DEALS'!$Y:$Y,J74),IF(INDEX('FUNDED DEALS'!$W:$W,J74)=$B$3,INDEX('FUNDED DEALS'!$Y:$Y,J74),0)))</f>
        <v/>
      </c>
      <c r="F74" s="48" t="str">
        <f aca="false">IF(J74=0,"",IF($B$3="",INDEX('FUNDED DEALS'!$AC:$AC,J74),D74+E74+IF(INDEX('FUNDED DEALS'!$Z:$Z,J74)=$B$3,INDEX('FUNDED DEALS'!$AB:$AB,J74),0)))</f>
        <v/>
      </c>
      <c r="G74" s="66" t="str">
        <f aca="false">IF(J74=0,"",INDEX('FUNDED DEALS'!$AM:$AM,J74))</f>
        <v/>
      </c>
      <c r="H74" s="65" t="str">
        <f aca="false">IF(J74=0,"",INDEX('FUNDED DEALS'!$AO:$AO,J74))</f>
        <v/>
      </c>
      <c r="J74" s="24" t="n">
        <f aca="false">IFERROR(MATCH(41,'FUNDED DEALS'!$AW$3:$AW$920,0)+2,0)</f>
        <v>0</v>
      </c>
    </row>
    <row r="75" customFormat="false" ht="15" hidden="false" customHeight="false" outlineLevel="0" collapsed="false">
      <c r="A75" s="52" t="str">
        <f aca="false">IF(J75=0,"",INDEX('FUNDED DEALS'!$A:$A,J75))</f>
        <v/>
      </c>
      <c r="B75" s="67" t="str">
        <f aca="false">IF(J75=0,"",INDEX('FUNDED DEALS'!$C:$C,J75))</f>
        <v/>
      </c>
      <c r="C75" s="52" t="str">
        <f aca="false">IF(J75=0,"",INDEX('FUNDED DEALS'!$D:$D,J75))</f>
        <v/>
      </c>
      <c r="D75" s="51" t="str">
        <f aca="false">IF(J75=0,"",IF($B$3="",INDEX('FUNDED DEALS'!$V:$V,J75),IF(INDEX('FUNDED DEALS'!$T:$T,J75)=$B$3,INDEX('FUNDED DEALS'!$V:$V,J75),0)))</f>
        <v/>
      </c>
      <c r="E75" s="51" t="str">
        <f aca="false">IF(J75=0,"",IF($B$3="",INDEX('FUNDED DEALS'!$Y:$Y,J75),IF(INDEX('FUNDED DEALS'!$W:$W,J75)=$B$3,INDEX('FUNDED DEALS'!$Y:$Y,J75),0)))</f>
        <v/>
      </c>
      <c r="F75" s="51" t="str">
        <f aca="false">IF(J75=0,"",IF($B$3="",INDEX('FUNDED DEALS'!$AC:$AC,J75),D75+E75+IF(INDEX('FUNDED DEALS'!$Z:$Z,J75)=$B$3,INDEX('FUNDED DEALS'!$AB:$AB,J75),0)))</f>
        <v/>
      </c>
      <c r="G75" s="68" t="str">
        <f aca="false">IF(J75=0,"",INDEX('FUNDED DEALS'!$AM:$AM,J75))</f>
        <v/>
      </c>
      <c r="H75" s="67" t="str">
        <f aca="false">IF(J75=0,"",INDEX('FUNDED DEALS'!$AO:$AO,J75))</f>
        <v/>
      </c>
      <c r="J75" s="24" t="n">
        <f aca="false">IFERROR(MATCH(42,'FUNDED DEALS'!$AW$3:$AW$920,0)+2,0)</f>
        <v>0</v>
      </c>
    </row>
    <row r="76" customFormat="false" ht="15" hidden="false" customHeight="false" outlineLevel="0" collapsed="false">
      <c r="A76" s="49" t="str">
        <f aca="false">IF(J76=0,"",INDEX('FUNDED DEALS'!$A:$A,J76))</f>
        <v/>
      </c>
      <c r="B76" s="65" t="str">
        <f aca="false">IF(J76=0,"",INDEX('FUNDED DEALS'!$C:$C,J76))</f>
        <v/>
      </c>
      <c r="C76" s="49" t="str">
        <f aca="false">IF(J76=0,"",INDEX('FUNDED DEALS'!$D:$D,J76))</f>
        <v/>
      </c>
      <c r="D76" s="48" t="str">
        <f aca="false">IF(J76=0,"",IF($B$3="",INDEX('FUNDED DEALS'!$V:$V,J76),IF(INDEX('FUNDED DEALS'!$T:$T,J76)=$B$3,INDEX('FUNDED DEALS'!$V:$V,J76),0)))</f>
        <v/>
      </c>
      <c r="E76" s="48" t="str">
        <f aca="false">IF(J76=0,"",IF($B$3="",INDEX('FUNDED DEALS'!$Y:$Y,J76),IF(INDEX('FUNDED DEALS'!$W:$W,J76)=$B$3,INDEX('FUNDED DEALS'!$Y:$Y,J76),0)))</f>
        <v/>
      </c>
      <c r="F76" s="48" t="str">
        <f aca="false">IF(J76=0,"",IF($B$3="",INDEX('FUNDED DEALS'!$AC:$AC,J76),D76+E76+IF(INDEX('FUNDED DEALS'!$Z:$Z,J76)=$B$3,INDEX('FUNDED DEALS'!$AB:$AB,J76),0)))</f>
        <v/>
      </c>
      <c r="G76" s="66" t="str">
        <f aca="false">IF(J76=0,"",INDEX('FUNDED DEALS'!$AM:$AM,J76))</f>
        <v/>
      </c>
      <c r="H76" s="65" t="str">
        <f aca="false">IF(J76=0,"",INDEX('FUNDED DEALS'!$AO:$AO,J76))</f>
        <v/>
      </c>
      <c r="J76" s="24" t="n">
        <f aca="false">IFERROR(MATCH(43,'FUNDED DEALS'!$AW$3:$AW$920,0)+2,0)</f>
        <v>0</v>
      </c>
    </row>
    <row r="77" customFormat="false" ht="15" hidden="false" customHeight="false" outlineLevel="0" collapsed="false">
      <c r="A77" s="52" t="str">
        <f aca="false">IF(J77=0,"",INDEX('FUNDED DEALS'!$A:$A,J77))</f>
        <v/>
      </c>
      <c r="B77" s="67" t="str">
        <f aca="false">IF(J77=0,"",INDEX('FUNDED DEALS'!$C:$C,J77))</f>
        <v/>
      </c>
      <c r="C77" s="52" t="str">
        <f aca="false">IF(J77=0,"",INDEX('FUNDED DEALS'!$D:$D,J77))</f>
        <v/>
      </c>
      <c r="D77" s="51" t="str">
        <f aca="false">IF(J77=0,"",IF($B$3="",INDEX('FUNDED DEALS'!$V:$V,J77),IF(INDEX('FUNDED DEALS'!$T:$T,J77)=$B$3,INDEX('FUNDED DEALS'!$V:$V,J77),0)))</f>
        <v/>
      </c>
      <c r="E77" s="51" t="str">
        <f aca="false">IF(J77=0,"",IF($B$3="",INDEX('FUNDED DEALS'!$Y:$Y,J77),IF(INDEX('FUNDED DEALS'!$W:$W,J77)=$B$3,INDEX('FUNDED DEALS'!$Y:$Y,J77),0)))</f>
        <v/>
      </c>
      <c r="F77" s="51" t="str">
        <f aca="false">IF(J77=0,"",IF($B$3="",INDEX('FUNDED DEALS'!$AC:$AC,J77),D77+E77+IF(INDEX('FUNDED DEALS'!$Z:$Z,J77)=$B$3,INDEX('FUNDED DEALS'!$AB:$AB,J77),0)))</f>
        <v/>
      </c>
      <c r="G77" s="68" t="str">
        <f aca="false">IF(J77=0,"",INDEX('FUNDED DEALS'!$AM:$AM,J77))</f>
        <v/>
      </c>
      <c r="H77" s="67" t="str">
        <f aca="false">IF(J77=0,"",INDEX('FUNDED DEALS'!$AO:$AO,J77))</f>
        <v/>
      </c>
      <c r="J77" s="24" t="n">
        <f aca="false">IFERROR(MATCH(44,'FUNDED DEALS'!$AW$3:$AW$920,0)+2,0)</f>
        <v>0</v>
      </c>
    </row>
    <row r="78" customFormat="false" ht="15" hidden="false" customHeight="false" outlineLevel="0" collapsed="false">
      <c r="A78" s="49" t="str">
        <f aca="false">IF(J78=0,"",INDEX('FUNDED DEALS'!$A:$A,J78))</f>
        <v/>
      </c>
      <c r="B78" s="65" t="str">
        <f aca="false">IF(J78=0,"",INDEX('FUNDED DEALS'!$C:$C,J78))</f>
        <v/>
      </c>
      <c r="C78" s="49" t="str">
        <f aca="false">IF(J78=0,"",INDEX('FUNDED DEALS'!$D:$D,J78))</f>
        <v/>
      </c>
      <c r="D78" s="48" t="str">
        <f aca="false">IF(J78=0,"",IF($B$3="",INDEX('FUNDED DEALS'!$V:$V,J78),IF(INDEX('FUNDED DEALS'!$T:$T,J78)=$B$3,INDEX('FUNDED DEALS'!$V:$V,J78),0)))</f>
        <v/>
      </c>
      <c r="E78" s="48" t="str">
        <f aca="false">IF(J78=0,"",IF($B$3="",INDEX('FUNDED DEALS'!$Y:$Y,J78),IF(INDEX('FUNDED DEALS'!$W:$W,J78)=$B$3,INDEX('FUNDED DEALS'!$Y:$Y,J78),0)))</f>
        <v/>
      </c>
      <c r="F78" s="48" t="str">
        <f aca="false">IF(J78=0,"",IF($B$3="",INDEX('FUNDED DEALS'!$AC:$AC,J78),D78+E78+IF(INDEX('FUNDED DEALS'!$Z:$Z,J78)=$B$3,INDEX('FUNDED DEALS'!$AB:$AB,J78),0)))</f>
        <v/>
      </c>
      <c r="G78" s="66" t="str">
        <f aca="false">IF(J78=0,"",INDEX('FUNDED DEALS'!$AM:$AM,J78))</f>
        <v/>
      </c>
      <c r="H78" s="65" t="str">
        <f aca="false">IF(J78=0,"",INDEX('FUNDED DEALS'!$AO:$AO,J78))</f>
        <v/>
      </c>
      <c r="J78" s="24" t="n">
        <f aca="false">IFERROR(MATCH(45,'FUNDED DEALS'!$AW$3:$AW$920,0)+2,0)</f>
        <v>0</v>
      </c>
    </row>
    <row r="79" customFormat="false" ht="15" hidden="false" customHeight="false" outlineLevel="0" collapsed="false">
      <c r="A79" s="52" t="str">
        <f aca="false">IF(J79=0,"",INDEX('FUNDED DEALS'!$A:$A,J79))</f>
        <v/>
      </c>
      <c r="B79" s="67" t="str">
        <f aca="false">IF(J79=0,"",INDEX('FUNDED DEALS'!$C:$C,J79))</f>
        <v/>
      </c>
      <c r="C79" s="52" t="str">
        <f aca="false">IF(J79=0,"",INDEX('FUNDED DEALS'!$D:$D,J79))</f>
        <v/>
      </c>
      <c r="D79" s="51" t="str">
        <f aca="false">IF(J79=0,"",IF($B$3="",INDEX('FUNDED DEALS'!$V:$V,J79),IF(INDEX('FUNDED DEALS'!$T:$T,J79)=$B$3,INDEX('FUNDED DEALS'!$V:$V,J79),0)))</f>
        <v/>
      </c>
      <c r="E79" s="51" t="str">
        <f aca="false">IF(J79=0,"",IF($B$3="",INDEX('FUNDED DEALS'!$Y:$Y,J79),IF(INDEX('FUNDED DEALS'!$W:$W,J79)=$B$3,INDEX('FUNDED DEALS'!$Y:$Y,J79),0)))</f>
        <v/>
      </c>
      <c r="F79" s="51" t="str">
        <f aca="false">IF(J79=0,"",IF($B$3="",INDEX('FUNDED DEALS'!$AC:$AC,J79),D79+E79+IF(INDEX('FUNDED DEALS'!$Z:$Z,J79)=$B$3,INDEX('FUNDED DEALS'!$AB:$AB,J79),0)))</f>
        <v/>
      </c>
      <c r="G79" s="68" t="str">
        <f aca="false">IF(J79=0,"",INDEX('FUNDED DEALS'!$AM:$AM,J79))</f>
        <v/>
      </c>
      <c r="H79" s="67" t="str">
        <f aca="false">IF(J79=0,"",INDEX('FUNDED DEALS'!$AO:$AO,J79))</f>
        <v/>
      </c>
      <c r="J79" s="24" t="n">
        <f aca="false">IFERROR(MATCH(46,'FUNDED DEALS'!$AW$3:$AW$920,0)+2,0)</f>
        <v>0</v>
      </c>
    </row>
    <row r="80" customFormat="false" ht="15" hidden="false" customHeight="false" outlineLevel="0" collapsed="false">
      <c r="A80" s="49" t="str">
        <f aca="false">IF(J80=0,"",INDEX('FUNDED DEALS'!$A:$A,J80))</f>
        <v/>
      </c>
      <c r="B80" s="65" t="str">
        <f aca="false">IF(J80=0,"",INDEX('FUNDED DEALS'!$C:$C,J80))</f>
        <v/>
      </c>
      <c r="C80" s="49" t="str">
        <f aca="false">IF(J80=0,"",INDEX('FUNDED DEALS'!$D:$D,J80))</f>
        <v/>
      </c>
      <c r="D80" s="48" t="str">
        <f aca="false">IF(J80=0,"",IF($B$3="",INDEX('FUNDED DEALS'!$V:$V,J80),IF(INDEX('FUNDED DEALS'!$T:$T,J80)=$B$3,INDEX('FUNDED DEALS'!$V:$V,J80),0)))</f>
        <v/>
      </c>
      <c r="E80" s="48" t="str">
        <f aca="false">IF(J80=0,"",IF($B$3="",INDEX('FUNDED DEALS'!$Y:$Y,J80),IF(INDEX('FUNDED DEALS'!$W:$W,J80)=$B$3,INDEX('FUNDED DEALS'!$Y:$Y,J80),0)))</f>
        <v/>
      </c>
      <c r="F80" s="48" t="str">
        <f aca="false">IF(J80=0,"",IF($B$3="",INDEX('FUNDED DEALS'!$AC:$AC,J80),D80+E80+IF(INDEX('FUNDED DEALS'!$Z:$Z,J80)=$B$3,INDEX('FUNDED DEALS'!$AB:$AB,J80),0)))</f>
        <v/>
      </c>
      <c r="G80" s="66" t="str">
        <f aca="false">IF(J80=0,"",INDEX('FUNDED DEALS'!$AM:$AM,J80))</f>
        <v/>
      </c>
      <c r="H80" s="65" t="str">
        <f aca="false">IF(J80=0,"",INDEX('FUNDED DEALS'!$AO:$AO,J80))</f>
        <v/>
      </c>
      <c r="J80" s="24" t="n">
        <f aca="false">IFERROR(MATCH(47,'FUNDED DEALS'!$AW$3:$AW$920,0)+2,0)</f>
        <v>0</v>
      </c>
    </row>
    <row r="81" customFormat="false" ht="15" hidden="false" customHeight="false" outlineLevel="0" collapsed="false">
      <c r="A81" s="52" t="str">
        <f aca="false">IF(J81=0,"",INDEX('FUNDED DEALS'!$A:$A,J81))</f>
        <v/>
      </c>
      <c r="B81" s="67" t="str">
        <f aca="false">IF(J81=0,"",INDEX('FUNDED DEALS'!$C:$C,J81))</f>
        <v/>
      </c>
      <c r="C81" s="52" t="str">
        <f aca="false">IF(J81=0,"",INDEX('FUNDED DEALS'!$D:$D,J81))</f>
        <v/>
      </c>
      <c r="D81" s="51" t="str">
        <f aca="false">IF(J81=0,"",IF($B$3="",INDEX('FUNDED DEALS'!$V:$V,J81),IF(INDEX('FUNDED DEALS'!$T:$T,J81)=$B$3,INDEX('FUNDED DEALS'!$V:$V,J81),0)))</f>
        <v/>
      </c>
      <c r="E81" s="51" t="str">
        <f aca="false">IF(J81=0,"",IF($B$3="",INDEX('FUNDED DEALS'!$Y:$Y,J81),IF(INDEX('FUNDED DEALS'!$W:$W,J81)=$B$3,INDEX('FUNDED DEALS'!$Y:$Y,J81),0)))</f>
        <v/>
      </c>
      <c r="F81" s="51" t="str">
        <f aca="false">IF(J81=0,"",IF($B$3="",INDEX('FUNDED DEALS'!$AC:$AC,J81),D81+E81+IF(INDEX('FUNDED DEALS'!$Z:$Z,J81)=$B$3,INDEX('FUNDED DEALS'!$AB:$AB,J81),0)))</f>
        <v/>
      </c>
      <c r="G81" s="68" t="str">
        <f aca="false">IF(J81=0,"",INDEX('FUNDED DEALS'!$AM:$AM,J81))</f>
        <v/>
      </c>
      <c r="H81" s="67" t="str">
        <f aca="false">IF(J81=0,"",INDEX('FUNDED DEALS'!$AO:$AO,J81))</f>
        <v/>
      </c>
      <c r="J81" s="24" t="n">
        <f aca="false">IFERROR(MATCH(48,'FUNDED DEALS'!$AW$3:$AW$920,0)+2,0)</f>
        <v>0</v>
      </c>
    </row>
    <row r="82" customFormat="false" ht="15" hidden="false" customHeight="false" outlineLevel="0" collapsed="false">
      <c r="A82" s="49" t="str">
        <f aca="false">IF(J82=0,"",INDEX('FUNDED DEALS'!$A:$A,J82))</f>
        <v/>
      </c>
      <c r="B82" s="65" t="str">
        <f aca="false">IF(J82=0,"",INDEX('FUNDED DEALS'!$C:$C,J82))</f>
        <v/>
      </c>
      <c r="C82" s="49" t="str">
        <f aca="false">IF(J82=0,"",INDEX('FUNDED DEALS'!$D:$D,J82))</f>
        <v/>
      </c>
      <c r="D82" s="48" t="str">
        <f aca="false">IF(J82=0,"",IF($B$3="",INDEX('FUNDED DEALS'!$V:$V,J82),IF(INDEX('FUNDED DEALS'!$T:$T,J82)=$B$3,INDEX('FUNDED DEALS'!$V:$V,J82),0)))</f>
        <v/>
      </c>
      <c r="E82" s="48" t="str">
        <f aca="false">IF(J82=0,"",IF($B$3="",INDEX('FUNDED DEALS'!$Y:$Y,J82),IF(INDEX('FUNDED DEALS'!$W:$W,J82)=$B$3,INDEX('FUNDED DEALS'!$Y:$Y,J82),0)))</f>
        <v/>
      </c>
      <c r="F82" s="48" t="str">
        <f aca="false">IF(J82=0,"",IF($B$3="",INDEX('FUNDED DEALS'!$AC:$AC,J82),D82+E82+IF(INDEX('FUNDED DEALS'!$Z:$Z,J82)=$B$3,INDEX('FUNDED DEALS'!$AB:$AB,J82),0)))</f>
        <v/>
      </c>
      <c r="G82" s="66" t="str">
        <f aca="false">IF(J82=0,"",INDEX('FUNDED DEALS'!$AM:$AM,J82))</f>
        <v/>
      </c>
      <c r="H82" s="65" t="str">
        <f aca="false">IF(J82=0,"",INDEX('FUNDED DEALS'!$AO:$AO,J82))</f>
        <v/>
      </c>
      <c r="J82" s="24" t="n">
        <f aca="false">IFERROR(MATCH(49,'FUNDED DEALS'!$AW$3:$AW$920,0)+2,0)</f>
        <v>0</v>
      </c>
    </row>
    <row r="83" customFormat="false" ht="15" hidden="false" customHeight="false" outlineLevel="0" collapsed="false">
      <c r="A83" s="52" t="str">
        <f aca="false">IF(J83=0,"",INDEX('FUNDED DEALS'!$A:$A,J83))</f>
        <v/>
      </c>
      <c r="B83" s="67" t="str">
        <f aca="false">IF(J83=0,"",INDEX('FUNDED DEALS'!$C:$C,J83))</f>
        <v/>
      </c>
      <c r="C83" s="52" t="str">
        <f aca="false">IF(J83=0,"",INDEX('FUNDED DEALS'!$D:$D,J83))</f>
        <v/>
      </c>
      <c r="D83" s="51" t="str">
        <f aca="false">IF(J83=0,"",IF($B$3="",INDEX('FUNDED DEALS'!$V:$V,J83),IF(INDEX('FUNDED DEALS'!$T:$T,J83)=$B$3,INDEX('FUNDED DEALS'!$V:$V,J83),0)))</f>
        <v/>
      </c>
      <c r="E83" s="51" t="str">
        <f aca="false">IF(J83=0,"",IF($B$3="",INDEX('FUNDED DEALS'!$Y:$Y,J83),IF(INDEX('FUNDED DEALS'!$W:$W,J83)=$B$3,INDEX('FUNDED DEALS'!$Y:$Y,J83),0)))</f>
        <v/>
      </c>
      <c r="F83" s="51" t="str">
        <f aca="false">IF(J83=0,"",IF($B$3="",INDEX('FUNDED DEALS'!$AC:$AC,J83),D83+E83+IF(INDEX('FUNDED DEALS'!$Z:$Z,J83)=$B$3,INDEX('FUNDED DEALS'!$AB:$AB,J83),0)))</f>
        <v/>
      </c>
      <c r="G83" s="68" t="str">
        <f aca="false">IF(J83=0,"",INDEX('FUNDED DEALS'!$AM:$AM,J83))</f>
        <v/>
      </c>
      <c r="H83" s="67" t="str">
        <f aca="false">IF(J83=0,"",INDEX('FUNDED DEALS'!$AO:$AO,J83))</f>
        <v/>
      </c>
      <c r="J83" s="24" t="n">
        <f aca="false">IFERROR(MATCH(50,'FUNDED DEALS'!$AW$3:$AW$920,0)+2,0)</f>
        <v>0</v>
      </c>
    </row>
    <row r="84" customFormat="false" ht="15" hidden="false" customHeight="false" outlineLevel="0" collapsed="false">
      <c r="A84" s="49" t="str">
        <f aca="false">IF(J84=0,"",INDEX('FUNDED DEALS'!$A:$A,J84))</f>
        <v/>
      </c>
      <c r="B84" s="65" t="str">
        <f aca="false">IF(J84=0,"",INDEX('FUNDED DEALS'!$C:$C,J84))</f>
        <v/>
      </c>
      <c r="C84" s="49" t="str">
        <f aca="false">IF(J84=0,"",INDEX('FUNDED DEALS'!$D:$D,J84))</f>
        <v/>
      </c>
      <c r="D84" s="48" t="str">
        <f aca="false">IF(J84=0,"",IF($B$3="",INDEX('FUNDED DEALS'!$V:$V,J84),IF(INDEX('FUNDED DEALS'!$T:$T,J84)=$B$3,INDEX('FUNDED DEALS'!$V:$V,J84),0)))</f>
        <v/>
      </c>
      <c r="E84" s="48" t="str">
        <f aca="false">IF(J84=0,"",IF($B$3="",INDEX('FUNDED DEALS'!$Y:$Y,J84),IF(INDEX('FUNDED DEALS'!$W:$W,J84)=$B$3,INDEX('FUNDED DEALS'!$Y:$Y,J84),0)))</f>
        <v/>
      </c>
      <c r="F84" s="48" t="str">
        <f aca="false">IF(J84=0,"",IF($B$3="",INDEX('FUNDED DEALS'!$AC:$AC,J84),D84+E84+IF(INDEX('FUNDED DEALS'!$Z:$Z,J84)=$B$3,INDEX('FUNDED DEALS'!$AB:$AB,J84),0)))</f>
        <v/>
      </c>
      <c r="G84" s="66" t="str">
        <f aca="false">IF(J84=0,"",INDEX('FUNDED DEALS'!$AM:$AM,J84))</f>
        <v/>
      </c>
      <c r="H84" s="65" t="str">
        <f aca="false">IF(J84=0,"",INDEX('FUNDED DEALS'!$AO:$AO,J84))</f>
        <v/>
      </c>
      <c r="J84" s="24" t="n">
        <f aca="false">IFERROR(MATCH(51,'FUNDED DEALS'!$AW$3:$AW$920,0)+2,0)</f>
        <v>0</v>
      </c>
    </row>
    <row r="85" customFormat="false" ht="15" hidden="false" customHeight="false" outlineLevel="0" collapsed="false">
      <c r="A85" s="52" t="str">
        <f aca="false">IF(J85=0,"",INDEX('FUNDED DEALS'!$A:$A,J85))</f>
        <v/>
      </c>
      <c r="B85" s="67" t="str">
        <f aca="false">IF(J85=0,"",INDEX('FUNDED DEALS'!$C:$C,J85))</f>
        <v/>
      </c>
      <c r="C85" s="52" t="str">
        <f aca="false">IF(J85=0,"",INDEX('FUNDED DEALS'!$D:$D,J85))</f>
        <v/>
      </c>
      <c r="D85" s="51" t="str">
        <f aca="false">IF(J85=0,"",IF($B$3="",INDEX('FUNDED DEALS'!$V:$V,J85),IF(INDEX('FUNDED DEALS'!$T:$T,J85)=$B$3,INDEX('FUNDED DEALS'!$V:$V,J85),0)))</f>
        <v/>
      </c>
      <c r="E85" s="51" t="str">
        <f aca="false">IF(J85=0,"",IF($B$3="",INDEX('FUNDED DEALS'!$Y:$Y,J85),IF(INDEX('FUNDED DEALS'!$W:$W,J85)=$B$3,INDEX('FUNDED DEALS'!$Y:$Y,J85),0)))</f>
        <v/>
      </c>
      <c r="F85" s="51" t="str">
        <f aca="false">IF(J85=0,"",IF($B$3="",INDEX('FUNDED DEALS'!$AC:$AC,J85),D85+E85+IF(INDEX('FUNDED DEALS'!$Z:$Z,J85)=$B$3,INDEX('FUNDED DEALS'!$AB:$AB,J85),0)))</f>
        <v/>
      </c>
      <c r="G85" s="68" t="str">
        <f aca="false">IF(J85=0,"",INDEX('FUNDED DEALS'!$AM:$AM,J85))</f>
        <v/>
      </c>
      <c r="H85" s="67" t="str">
        <f aca="false">IF(J85=0,"",INDEX('FUNDED DEALS'!$AO:$AO,J85))</f>
        <v/>
      </c>
      <c r="J85" s="24" t="n">
        <f aca="false">IFERROR(MATCH(52,'FUNDED DEALS'!$AW$3:$AW$920,0)+2,0)</f>
        <v>0</v>
      </c>
    </row>
    <row r="86" customFormat="false" ht="15" hidden="false" customHeight="false" outlineLevel="0" collapsed="false">
      <c r="A86" s="49" t="str">
        <f aca="false">IF(J86=0,"",INDEX('FUNDED DEALS'!$A:$A,J86))</f>
        <v/>
      </c>
      <c r="B86" s="65" t="str">
        <f aca="false">IF(J86=0,"",INDEX('FUNDED DEALS'!$C:$C,J86))</f>
        <v/>
      </c>
      <c r="C86" s="49" t="str">
        <f aca="false">IF(J86=0,"",INDEX('FUNDED DEALS'!$D:$D,J86))</f>
        <v/>
      </c>
      <c r="D86" s="48" t="str">
        <f aca="false">IF(J86=0,"",IF($B$3="",INDEX('FUNDED DEALS'!$V:$V,J86),IF(INDEX('FUNDED DEALS'!$T:$T,J86)=$B$3,INDEX('FUNDED DEALS'!$V:$V,J86),0)))</f>
        <v/>
      </c>
      <c r="E86" s="48" t="str">
        <f aca="false">IF(J86=0,"",IF($B$3="",INDEX('FUNDED DEALS'!$Y:$Y,J86),IF(INDEX('FUNDED DEALS'!$W:$W,J86)=$B$3,INDEX('FUNDED DEALS'!$Y:$Y,J86),0)))</f>
        <v/>
      </c>
      <c r="F86" s="48" t="str">
        <f aca="false">IF(J86=0,"",IF($B$3="",INDEX('FUNDED DEALS'!$AC:$AC,J86),D86+E86+IF(INDEX('FUNDED DEALS'!$Z:$Z,J86)=$B$3,INDEX('FUNDED DEALS'!$AB:$AB,J86),0)))</f>
        <v/>
      </c>
      <c r="G86" s="66" t="str">
        <f aca="false">IF(J86=0,"",INDEX('FUNDED DEALS'!$AM:$AM,J86))</f>
        <v/>
      </c>
      <c r="H86" s="65" t="str">
        <f aca="false">IF(J86=0,"",INDEX('FUNDED DEALS'!$AO:$AO,J86))</f>
        <v/>
      </c>
      <c r="J86" s="24" t="n">
        <f aca="false">IFERROR(MATCH(53,'FUNDED DEALS'!$AW$3:$AW$920,0)+2,0)</f>
        <v>0</v>
      </c>
    </row>
    <row r="87" customFormat="false" ht="15" hidden="false" customHeight="false" outlineLevel="0" collapsed="false">
      <c r="A87" s="52" t="str">
        <f aca="false">IF(J87=0,"",INDEX('FUNDED DEALS'!$A:$A,J87))</f>
        <v/>
      </c>
      <c r="B87" s="67" t="str">
        <f aca="false">IF(J87=0,"",INDEX('FUNDED DEALS'!$C:$C,J87))</f>
        <v/>
      </c>
      <c r="C87" s="52" t="str">
        <f aca="false">IF(J87=0,"",INDEX('FUNDED DEALS'!$D:$D,J87))</f>
        <v/>
      </c>
      <c r="D87" s="51" t="str">
        <f aca="false">IF(J87=0,"",IF($B$3="",INDEX('FUNDED DEALS'!$V:$V,J87),IF(INDEX('FUNDED DEALS'!$T:$T,J87)=$B$3,INDEX('FUNDED DEALS'!$V:$V,J87),0)))</f>
        <v/>
      </c>
      <c r="E87" s="51" t="str">
        <f aca="false">IF(J87=0,"",IF($B$3="",INDEX('FUNDED DEALS'!$Y:$Y,J87),IF(INDEX('FUNDED DEALS'!$W:$W,J87)=$B$3,INDEX('FUNDED DEALS'!$Y:$Y,J87),0)))</f>
        <v/>
      </c>
      <c r="F87" s="51" t="str">
        <f aca="false">IF(J87=0,"",IF($B$3="",INDEX('FUNDED DEALS'!$AC:$AC,J87),D87+E87+IF(INDEX('FUNDED DEALS'!$Z:$Z,J87)=$B$3,INDEX('FUNDED DEALS'!$AB:$AB,J87),0)))</f>
        <v/>
      </c>
      <c r="G87" s="68" t="str">
        <f aca="false">IF(J87=0,"",INDEX('FUNDED DEALS'!$AM:$AM,J87))</f>
        <v/>
      </c>
      <c r="H87" s="67" t="str">
        <f aca="false">IF(J87=0,"",INDEX('FUNDED DEALS'!$AO:$AO,J87))</f>
        <v/>
      </c>
      <c r="J87" s="24" t="n">
        <f aca="false">IFERROR(MATCH(54,'FUNDED DEALS'!$AW$3:$AW$920,0)+2,0)</f>
        <v>0</v>
      </c>
    </row>
    <row r="88" customFormat="false" ht="15" hidden="false" customHeight="false" outlineLevel="0" collapsed="false">
      <c r="A88" s="49" t="str">
        <f aca="false">IF(J88=0,"",INDEX('FUNDED DEALS'!$A:$A,J88))</f>
        <v/>
      </c>
      <c r="B88" s="65" t="str">
        <f aca="false">IF(J88=0,"",INDEX('FUNDED DEALS'!$C:$C,J88))</f>
        <v/>
      </c>
      <c r="C88" s="49" t="str">
        <f aca="false">IF(J88=0,"",INDEX('FUNDED DEALS'!$D:$D,J88))</f>
        <v/>
      </c>
      <c r="D88" s="48" t="str">
        <f aca="false">IF(J88=0,"",IF($B$3="",INDEX('FUNDED DEALS'!$V:$V,J88),IF(INDEX('FUNDED DEALS'!$T:$T,J88)=$B$3,INDEX('FUNDED DEALS'!$V:$V,J88),0)))</f>
        <v/>
      </c>
      <c r="E88" s="48" t="str">
        <f aca="false">IF(J88=0,"",IF($B$3="",INDEX('FUNDED DEALS'!$Y:$Y,J88),IF(INDEX('FUNDED DEALS'!$W:$W,J88)=$B$3,INDEX('FUNDED DEALS'!$Y:$Y,J88),0)))</f>
        <v/>
      </c>
      <c r="F88" s="48" t="str">
        <f aca="false">IF(J88=0,"",IF($B$3="",INDEX('FUNDED DEALS'!$AC:$AC,J88),D88+E88+IF(INDEX('FUNDED DEALS'!$Z:$Z,J88)=$B$3,INDEX('FUNDED DEALS'!$AB:$AB,J88),0)))</f>
        <v/>
      </c>
      <c r="G88" s="66" t="str">
        <f aca="false">IF(J88=0,"",INDEX('FUNDED DEALS'!$AM:$AM,J88))</f>
        <v/>
      </c>
      <c r="H88" s="65" t="str">
        <f aca="false">IF(J88=0,"",INDEX('FUNDED DEALS'!$AO:$AO,J88))</f>
        <v/>
      </c>
      <c r="J88" s="24" t="n">
        <f aca="false">IFERROR(MATCH(55,'FUNDED DEALS'!$AW$3:$AW$920,0)+2,0)</f>
        <v>0</v>
      </c>
    </row>
    <row r="89" customFormat="false" ht="15" hidden="false" customHeight="false" outlineLevel="0" collapsed="false">
      <c r="A89" s="52" t="str">
        <f aca="false">IF(J89=0,"",INDEX('FUNDED DEALS'!$A:$A,J89))</f>
        <v/>
      </c>
      <c r="B89" s="67" t="str">
        <f aca="false">IF(J89=0,"",INDEX('FUNDED DEALS'!$C:$C,J89))</f>
        <v/>
      </c>
      <c r="C89" s="52" t="str">
        <f aca="false">IF(J89=0,"",INDEX('FUNDED DEALS'!$D:$D,J89))</f>
        <v/>
      </c>
      <c r="D89" s="51" t="str">
        <f aca="false">IF(J89=0,"",IF($B$3="",INDEX('FUNDED DEALS'!$V:$V,J89),IF(INDEX('FUNDED DEALS'!$T:$T,J89)=$B$3,INDEX('FUNDED DEALS'!$V:$V,J89),0)))</f>
        <v/>
      </c>
      <c r="E89" s="51" t="str">
        <f aca="false">IF(J89=0,"",IF($B$3="",INDEX('FUNDED DEALS'!$Y:$Y,J89),IF(INDEX('FUNDED DEALS'!$W:$W,J89)=$B$3,INDEX('FUNDED DEALS'!$Y:$Y,J89),0)))</f>
        <v/>
      </c>
      <c r="F89" s="51" t="str">
        <f aca="false">IF(J89=0,"",IF($B$3="",INDEX('FUNDED DEALS'!$AC:$AC,J89),D89+E89+IF(INDEX('FUNDED DEALS'!$Z:$Z,J89)=$B$3,INDEX('FUNDED DEALS'!$AB:$AB,J89),0)))</f>
        <v/>
      </c>
      <c r="G89" s="68" t="str">
        <f aca="false">IF(J89=0,"",INDEX('FUNDED DEALS'!$AM:$AM,J89))</f>
        <v/>
      </c>
      <c r="H89" s="67" t="str">
        <f aca="false">IF(J89=0,"",INDEX('FUNDED DEALS'!$AO:$AO,J89))</f>
        <v/>
      </c>
      <c r="J89" s="24" t="n">
        <f aca="false">IFERROR(MATCH(56,'FUNDED DEALS'!$AW$3:$AW$920,0)+2,0)</f>
        <v>0</v>
      </c>
    </row>
    <row r="90" customFormat="false" ht="15" hidden="false" customHeight="false" outlineLevel="0" collapsed="false">
      <c r="A90" s="49" t="str">
        <f aca="false">IF(J90=0,"",INDEX('FUNDED DEALS'!$A:$A,J90))</f>
        <v/>
      </c>
      <c r="B90" s="65" t="str">
        <f aca="false">IF(J90=0,"",INDEX('FUNDED DEALS'!$C:$C,J90))</f>
        <v/>
      </c>
      <c r="C90" s="49" t="str">
        <f aca="false">IF(J90=0,"",INDEX('FUNDED DEALS'!$D:$D,J90))</f>
        <v/>
      </c>
      <c r="D90" s="48" t="str">
        <f aca="false">IF(J90=0,"",IF($B$3="",INDEX('FUNDED DEALS'!$V:$V,J90),IF(INDEX('FUNDED DEALS'!$T:$T,J90)=$B$3,INDEX('FUNDED DEALS'!$V:$V,J90),0)))</f>
        <v/>
      </c>
      <c r="E90" s="48" t="str">
        <f aca="false">IF(J90=0,"",IF($B$3="",INDEX('FUNDED DEALS'!$Y:$Y,J90),IF(INDEX('FUNDED DEALS'!$W:$W,J90)=$B$3,INDEX('FUNDED DEALS'!$Y:$Y,J90),0)))</f>
        <v/>
      </c>
      <c r="F90" s="48" t="str">
        <f aca="false">IF(J90=0,"",IF($B$3="",INDEX('FUNDED DEALS'!$AC:$AC,J90),D90+E90+IF(INDEX('FUNDED DEALS'!$Z:$Z,J90)=$B$3,INDEX('FUNDED DEALS'!$AB:$AB,J90),0)))</f>
        <v/>
      </c>
      <c r="G90" s="66" t="str">
        <f aca="false">IF(J90=0,"",INDEX('FUNDED DEALS'!$AM:$AM,J90))</f>
        <v/>
      </c>
      <c r="H90" s="65" t="str">
        <f aca="false">IF(J90=0,"",INDEX('FUNDED DEALS'!$AO:$AO,J90))</f>
        <v/>
      </c>
      <c r="J90" s="24" t="n">
        <f aca="false">IFERROR(MATCH(57,'FUNDED DEALS'!$AW$3:$AW$920,0)+2,0)</f>
        <v>0</v>
      </c>
    </row>
    <row r="91" customFormat="false" ht="15" hidden="false" customHeight="false" outlineLevel="0" collapsed="false">
      <c r="A91" s="52" t="str">
        <f aca="false">IF(J91=0,"",INDEX('FUNDED DEALS'!$A:$A,J91))</f>
        <v/>
      </c>
      <c r="B91" s="67" t="str">
        <f aca="false">IF(J91=0,"",INDEX('FUNDED DEALS'!$C:$C,J91))</f>
        <v/>
      </c>
      <c r="C91" s="52" t="str">
        <f aca="false">IF(J91=0,"",INDEX('FUNDED DEALS'!$D:$D,J91))</f>
        <v/>
      </c>
      <c r="D91" s="51" t="str">
        <f aca="false">IF(J91=0,"",IF($B$3="",INDEX('FUNDED DEALS'!$V:$V,J91),IF(INDEX('FUNDED DEALS'!$T:$T,J91)=$B$3,INDEX('FUNDED DEALS'!$V:$V,J91),0)))</f>
        <v/>
      </c>
      <c r="E91" s="51" t="str">
        <f aca="false">IF(J91=0,"",IF($B$3="",INDEX('FUNDED DEALS'!$Y:$Y,J91),IF(INDEX('FUNDED DEALS'!$W:$W,J91)=$B$3,INDEX('FUNDED DEALS'!$Y:$Y,J91),0)))</f>
        <v/>
      </c>
      <c r="F91" s="51" t="str">
        <f aca="false">IF(J91=0,"",IF($B$3="",INDEX('FUNDED DEALS'!$AC:$AC,J91),D91+E91+IF(INDEX('FUNDED DEALS'!$Z:$Z,J91)=$B$3,INDEX('FUNDED DEALS'!$AB:$AB,J91),0)))</f>
        <v/>
      </c>
      <c r="G91" s="68" t="str">
        <f aca="false">IF(J91=0,"",INDEX('FUNDED DEALS'!$AM:$AM,J91))</f>
        <v/>
      </c>
      <c r="H91" s="67" t="str">
        <f aca="false">IF(J91=0,"",INDEX('FUNDED DEALS'!$AO:$AO,J91))</f>
        <v/>
      </c>
      <c r="J91" s="24" t="n">
        <f aca="false">IFERROR(MATCH(58,'FUNDED DEALS'!$AW$3:$AW$920,0)+2,0)</f>
        <v>0</v>
      </c>
    </row>
    <row r="92" customFormat="false" ht="15" hidden="false" customHeight="false" outlineLevel="0" collapsed="false">
      <c r="A92" s="49" t="str">
        <f aca="false">IF(J92=0,"",INDEX('FUNDED DEALS'!$A:$A,J92))</f>
        <v/>
      </c>
      <c r="B92" s="65" t="str">
        <f aca="false">IF(J92=0,"",INDEX('FUNDED DEALS'!$C:$C,J92))</f>
        <v/>
      </c>
      <c r="C92" s="49" t="str">
        <f aca="false">IF(J92=0,"",INDEX('FUNDED DEALS'!$D:$D,J92))</f>
        <v/>
      </c>
      <c r="D92" s="48" t="str">
        <f aca="false">IF(J92=0,"",IF($B$3="",INDEX('FUNDED DEALS'!$V:$V,J92),IF(INDEX('FUNDED DEALS'!$T:$T,J92)=$B$3,INDEX('FUNDED DEALS'!$V:$V,J92),0)))</f>
        <v/>
      </c>
      <c r="E92" s="48" t="str">
        <f aca="false">IF(J92=0,"",IF($B$3="",INDEX('FUNDED DEALS'!$Y:$Y,J92),IF(INDEX('FUNDED DEALS'!$W:$W,J92)=$B$3,INDEX('FUNDED DEALS'!$Y:$Y,J92),0)))</f>
        <v/>
      </c>
      <c r="F92" s="48" t="str">
        <f aca="false">IF(J92=0,"",IF($B$3="",INDEX('FUNDED DEALS'!$AC:$AC,J92),D92+E92+IF(INDEX('FUNDED DEALS'!$Z:$Z,J92)=$B$3,INDEX('FUNDED DEALS'!$AB:$AB,J92),0)))</f>
        <v/>
      </c>
      <c r="G92" s="66" t="str">
        <f aca="false">IF(J92=0,"",INDEX('FUNDED DEALS'!$AM:$AM,J92))</f>
        <v/>
      </c>
      <c r="H92" s="65" t="str">
        <f aca="false">IF(J92=0,"",INDEX('FUNDED DEALS'!$AO:$AO,J92))</f>
        <v/>
      </c>
      <c r="J92" s="24" t="n">
        <f aca="false">IFERROR(MATCH(59,'FUNDED DEALS'!$AW$3:$AW$920,0)+2,0)</f>
        <v>0</v>
      </c>
    </row>
    <row r="93" customFormat="false" ht="15" hidden="false" customHeight="false" outlineLevel="0" collapsed="false">
      <c r="A93" s="52" t="str">
        <f aca="false">IF(J93=0,"",INDEX('FUNDED DEALS'!$A:$A,J93))</f>
        <v/>
      </c>
      <c r="B93" s="67" t="str">
        <f aca="false">IF(J93=0,"",INDEX('FUNDED DEALS'!$C:$C,J93))</f>
        <v/>
      </c>
      <c r="C93" s="52" t="str">
        <f aca="false">IF(J93=0,"",INDEX('FUNDED DEALS'!$D:$D,J93))</f>
        <v/>
      </c>
      <c r="D93" s="51" t="str">
        <f aca="false">IF(J93=0,"",IF($B$3="",INDEX('FUNDED DEALS'!$V:$V,J93),IF(INDEX('FUNDED DEALS'!$T:$T,J93)=$B$3,INDEX('FUNDED DEALS'!$V:$V,J93),0)))</f>
        <v/>
      </c>
      <c r="E93" s="51" t="str">
        <f aca="false">IF(J93=0,"",IF($B$3="",INDEX('FUNDED DEALS'!$Y:$Y,J93),IF(INDEX('FUNDED DEALS'!$W:$W,J93)=$B$3,INDEX('FUNDED DEALS'!$Y:$Y,J93),0)))</f>
        <v/>
      </c>
      <c r="F93" s="51" t="str">
        <f aca="false">IF(J93=0,"",IF($B$3="",INDEX('FUNDED DEALS'!$AC:$AC,J93),D93+E93+IF(INDEX('FUNDED DEALS'!$Z:$Z,J93)=$B$3,INDEX('FUNDED DEALS'!$AB:$AB,J93),0)))</f>
        <v/>
      </c>
      <c r="G93" s="68" t="str">
        <f aca="false">IF(J93=0,"",INDEX('FUNDED DEALS'!$AM:$AM,J93))</f>
        <v/>
      </c>
      <c r="H93" s="67" t="str">
        <f aca="false">IF(J93=0,"",INDEX('FUNDED DEALS'!$AO:$AO,J93))</f>
        <v/>
      </c>
      <c r="J93" s="24" t="n">
        <f aca="false">IFERROR(MATCH(60,'FUNDED DEALS'!$AW$3:$AW$920,0)+2,0)</f>
        <v>0</v>
      </c>
    </row>
    <row r="94" customFormat="false" ht="15" hidden="false" customHeight="false" outlineLevel="0" collapsed="false">
      <c r="A94" s="49" t="str">
        <f aca="false">IF(J94=0,"",INDEX('FUNDED DEALS'!$A:$A,J94))</f>
        <v/>
      </c>
      <c r="B94" s="65" t="str">
        <f aca="false">IF(J94=0,"",INDEX('FUNDED DEALS'!$C:$C,J94))</f>
        <v/>
      </c>
      <c r="C94" s="49" t="str">
        <f aca="false">IF(J94=0,"",INDEX('FUNDED DEALS'!$D:$D,J94))</f>
        <v/>
      </c>
      <c r="D94" s="48" t="str">
        <f aca="false">IF(J94=0,"",IF($B$3="",INDEX('FUNDED DEALS'!$V:$V,J94),IF(INDEX('FUNDED DEALS'!$T:$T,J94)=$B$3,INDEX('FUNDED DEALS'!$V:$V,J94),0)))</f>
        <v/>
      </c>
      <c r="E94" s="48" t="str">
        <f aca="false">IF(J94=0,"",IF($B$3="",INDEX('FUNDED DEALS'!$Y:$Y,J94),IF(INDEX('FUNDED DEALS'!$W:$W,J94)=$B$3,INDEX('FUNDED DEALS'!$Y:$Y,J94),0)))</f>
        <v/>
      </c>
      <c r="F94" s="48" t="str">
        <f aca="false">IF(J94=0,"",IF($B$3="",INDEX('FUNDED DEALS'!$AC:$AC,J94),D94+E94+IF(INDEX('FUNDED DEALS'!$Z:$Z,J94)=$B$3,INDEX('FUNDED DEALS'!$AB:$AB,J94),0)))</f>
        <v/>
      </c>
      <c r="G94" s="66" t="str">
        <f aca="false">IF(J94=0,"",INDEX('FUNDED DEALS'!$AM:$AM,J94))</f>
        <v/>
      </c>
      <c r="H94" s="65" t="str">
        <f aca="false">IF(J94=0,"",INDEX('FUNDED DEALS'!$AO:$AO,J94))</f>
        <v/>
      </c>
      <c r="J94" s="24" t="n">
        <f aca="false">IFERROR(MATCH(61,'FUNDED DEALS'!$AW$3:$AW$920,0)+2,0)</f>
        <v>0</v>
      </c>
    </row>
    <row r="95" customFormat="false" ht="15" hidden="false" customHeight="false" outlineLevel="0" collapsed="false">
      <c r="A95" s="52" t="str">
        <f aca="false">IF(J95=0,"",INDEX('FUNDED DEALS'!$A:$A,J95))</f>
        <v/>
      </c>
      <c r="B95" s="67" t="str">
        <f aca="false">IF(J95=0,"",INDEX('FUNDED DEALS'!$C:$C,J95))</f>
        <v/>
      </c>
      <c r="C95" s="52" t="str">
        <f aca="false">IF(J95=0,"",INDEX('FUNDED DEALS'!$D:$D,J95))</f>
        <v/>
      </c>
      <c r="D95" s="51" t="str">
        <f aca="false">IF(J95=0,"",IF($B$3="",INDEX('FUNDED DEALS'!$V:$V,J95),IF(INDEX('FUNDED DEALS'!$T:$T,J95)=$B$3,INDEX('FUNDED DEALS'!$V:$V,J95),0)))</f>
        <v/>
      </c>
      <c r="E95" s="51" t="str">
        <f aca="false">IF(J95=0,"",IF($B$3="",INDEX('FUNDED DEALS'!$Y:$Y,J95),IF(INDEX('FUNDED DEALS'!$W:$W,J95)=$B$3,INDEX('FUNDED DEALS'!$Y:$Y,J95),0)))</f>
        <v/>
      </c>
      <c r="F95" s="51" t="str">
        <f aca="false">IF(J95=0,"",IF($B$3="",INDEX('FUNDED DEALS'!$AC:$AC,J95),D95+E95+IF(INDEX('FUNDED DEALS'!$Z:$Z,J95)=$B$3,INDEX('FUNDED DEALS'!$AB:$AB,J95),0)))</f>
        <v/>
      </c>
      <c r="G95" s="68" t="str">
        <f aca="false">IF(J95=0,"",INDEX('FUNDED DEALS'!$AM:$AM,J95))</f>
        <v/>
      </c>
      <c r="H95" s="67" t="str">
        <f aca="false">IF(J95=0,"",INDEX('FUNDED DEALS'!$AO:$AO,J95))</f>
        <v/>
      </c>
      <c r="J95" s="24" t="n">
        <f aca="false">IFERROR(MATCH(62,'FUNDED DEALS'!$AW$3:$AW$920,0)+2,0)</f>
        <v>0</v>
      </c>
    </row>
    <row r="96" customFormat="false" ht="15" hidden="false" customHeight="false" outlineLevel="0" collapsed="false">
      <c r="A96" s="49" t="str">
        <f aca="false">IF(J96=0,"",INDEX('FUNDED DEALS'!$A:$A,J96))</f>
        <v/>
      </c>
      <c r="B96" s="65" t="str">
        <f aca="false">IF(J96=0,"",INDEX('FUNDED DEALS'!$C:$C,J96))</f>
        <v/>
      </c>
      <c r="C96" s="49" t="str">
        <f aca="false">IF(J96=0,"",INDEX('FUNDED DEALS'!$D:$D,J96))</f>
        <v/>
      </c>
      <c r="D96" s="48" t="str">
        <f aca="false">IF(J96=0,"",IF($B$3="",INDEX('FUNDED DEALS'!$V:$V,J96),IF(INDEX('FUNDED DEALS'!$T:$T,J96)=$B$3,INDEX('FUNDED DEALS'!$V:$V,J96),0)))</f>
        <v/>
      </c>
      <c r="E96" s="48" t="str">
        <f aca="false">IF(J96=0,"",IF($B$3="",INDEX('FUNDED DEALS'!$Y:$Y,J96),IF(INDEX('FUNDED DEALS'!$W:$W,J96)=$B$3,INDEX('FUNDED DEALS'!$Y:$Y,J96),0)))</f>
        <v/>
      </c>
      <c r="F96" s="48" t="str">
        <f aca="false">IF(J96=0,"",IF($B$3="",INDEX('FUNDED DEALS'!$AC:$AC,J96),D96+E96+IF(INDEX('FUNDED DEALS'!$Z:$Z,J96)=$B$3,INDEX('FUNDED DEALS'!$AB:$AB,J96),0)))</f>
        <v/>
      </c>
      <c r="G96" s="66" t="str">
        <f aca="false">IF(J96=0,"",INDEX('FUNDED DEALS'!$AM:$AM,J96))</f>
        <v/>
      </c>
      <c r="H96" s="65" t="str">
        <f aca="false">IF(J96=0,"",INDEX('FUNDED DEALS'!$AO:$AO,J96))</f>
        <v/>
      </c>
      <c r="J96" s="24" t="n">
        <f aca="false">IFERROR(MATCH(63,'FUNDED DEALS'!$AW$3:$AW$920,0)+2,0)</f>
        <v>0</v>
      </c>
    </row>
    <row r="97" customFormat="false" ht="15" hidden="false" customHeight="false" outlineLevel="0" collapsed="false">
      <c r="A97" s="52" t="str">
        <f aca="false">IF(J97=0,"",INDEX('FUNDED DEALS'!$A:$A,J97))</f>
        <v/>
      </c>
      <c r="B97" s="67" t="str">
        <f aca="false">IF(J97=0,"",INDEX('FUNDED DEALS'!$C:$C,J97))</f>
        <v/>
      </c>
      <c r="C97" s="52" t="str">
        <f aca="false">IF(J97=0,"",INDEX('FUNDED DEALS'!$D:$D,J97))</f>
        <v/>
      </c>
      <c r="D97" s="51" t="str">
        <f aca="false">IF(J97=0,"",IF($B$3="",INDEX('FUNDED DEALS'!$V:$V,J97),IF(INDEX('FUNDED DEALS'!$T:$T,J97)=$B$3,INDEX('FUNDED DEALS'!$V:$V,J97),0)))</f>
        <v/>
      </c>
      <c r="E97" s="51" t="str">
        <f aca="false">IF(J97=0,"",IF($B$3="",INDEX('FUNDED DEALS'!$Y:$Y,J97),IF(INDEX('FUNDED DEALS'!$W:$W,J97)=$B$3,INDEX('FUNDED DEALS'!$Y:$Y,J97),0)))</f>
        <v/>
      </c>
      <c r="F97" s="51" t="str">
        <f aca="false">IF(J97=0,"",IF($B$3="",INDEX('FUNDED DEALS'!$AC:$AC,J97),D97+E97+IF(INDEX('FUNDED DEALS'!$Z:$Z,J97)=$B$3,INDEX('FUNDED DEALS'!$AB:$AB,J97),0)))</f>
        <v/>
      </c>
      <c r="G97" s="68" t="str">
        <f aca="false">IF(J97=0,"",INDEX('FUNDED DEALS'!$AM:$AM,J97))</f>
        <v/>
      </c>
      <c r="H97" s="67" t="str">
        <f aca="false">IF(J97=0,"",INDEX('FUNDED DEALS'!$AO:$AO,J97))</f>
        <v/>
      </c>
      <c r="J97" s="24" t="n">
        <f aca="false">IFERROR(MATCH(64,'FUNDED DEALS'!$AW$3:$AW$920,0)+2,0)</f>
        <v>0</v>
      </c>
    </row>
    <row r="98" customFormat="false" ht="15" hidden="false" customHeight="false" outlineLevel="0" collapsed="false">
      <c r="A98" s="49" t="str">
        <f aca="false">IF(J98=0,"",INDEX('FUNDED DEALS'!$A:$A,J98))</f>
        <v/>
      </c>
      <c r="B98" s="65" t="str">
        <f aca="false">IF(J98=0,"",INDEX('FUNDED DEALS'!$C:$C,J98))</f>
        <v/>
      </c>
      <c r="C98" s="49" t="str">
        <f aca="false">IF(J98=0,"",INDEX('FUNDED DEALS'!$D:$D,J98))</f>
        <v/>
      </c>
      <c r="D98" s="48" t="str">
        <f aca="false">IF(J98=0,"",IF($B$3="",INDEX('FUNDED DEALS'!$V:$V,J98),IF(INDEX('FUNDED DEALS'!$T:$T,J98)=$B$3,INDEX('FUNDED DEALS'!$V:$V,J98),0)))</f>
        <v/>
      </c>
      <c r="E98" s="48" t="str">
        <f aca="false">IF(J98=0,"",IF($B$3="",INDEX('FUNDED DEALS'!$Y:$Y,J98),IF(INDEX('FUNDED DEALS'!$W:$W,J98)=$B$3,INDEX('FUNDED DEALS'!$Y:$Y,J98),0)))</f>
        <v/>
      </c>
      <c r="F98" s="48" t="str">
        <f aca="false">IF(J98=0,"",IF($B$3="",INDEX('FUNDED DEALS'!$AC:$AC,J98),D98+E98+IF(INDEX('FUNDED DEALS'!$Z:$Z,J98)=$B$3,INDEX('FUNDED DEALS'!$AB:$AB,J98),0)))</f>
        <v/>
      </c>
      <c r="G98" s="66" t="str">
        <f aca="false">IF(J98=0,"",INDEX('FUNDED DEALS'!$AM:$AM,J98))</f>
        <v/>
      </c>
      <c r="H98" s="65" t="str">
        <f aca="false">IF(J98=0,"",INDEX('FUNDED DEALS'!$AO:$AO,J98))</f>
        <v/>
      </c>
      <c r="J98" s="24" t="n">
        <f aca="false">IFERROR(MATCH(65,'FUNDED DEALS'!$AW$3:$AW$920,0)+2,0)</f>
        <v>0</v>
      </c>
    </row>
    <row r="99" customFormat="false" ht="15" hidden="false" customHeight="false" outlineLevel="0" collapsed="false">
      <c r="A99" s="52" t="str">
        <f aca="false">IF(J99=0,"",INDEX('FUNDED DEALS'!$A:$A,J99))</f>
        <v/>
      </c>
      <c r="B99" s="67" t="str">
        <f aca="false">IF(J99=0,"",INDEX('FUNDED DEALS'!$C:$C,J99))</f>
        <v/>
      </c>
      <c r="C99" s="52" t="str">
        <f aca="false">IF(J99=0,"",INDEX('FUNDED DEALS'!$D:$D,J99))</f>
        <v/>
      </c>
      <c r="D99" s="51" t="str">
        <f aca="false">IF(J99=0,"",IF($B$3="",INDEX('FUNDED DEALS'!$V:$V,J99),IF(INDEX('FUNDED DEALS'!$T:$T,J99)=$B$3,INDEX('FUNDED DEALS'!$V:$V,J99),0)))</f>
        <v/>
      </c>
      <c r="E99" s="51" t="str">
        <f aca="false">IF(J99=0,"",IF($B$3="",INDEX('FUNDED DEALS'!$Y:$Y,J99),IF(INDEX('FUNDED DEALS'!$W:$W,J99)=$B$3,INDEX('FUNDED DEALS'!$Y:$Y,J99),0)))</f>
        <v/>
      </c>
      <c r="F99" s="51" t="str">
        <f aca="false">IF(J99=0,"",IF($B$3="",INDEX('FUNDED DEALS'!$AC:$AC,J99),D99+E99+IF(INDEX('FUNDED DEALS'!$Z:$Z,J99)=$B$3,INDEX('FUNDED DEALS'!$AB:$AB,J99),0)))</f>
        <v/>
      </c>
      <c r="G99" s="68" t="str">
        <f aca="false">IF(J99=0,"",INDEX('FUNDED DEALS'!$AM:$AM,J99))</f>
        <v/>
      </c>
      <c r="H99" s="67" t="str">
        <f aca="false">IF(J99=0,"",INDEX('FUNDED DEALS'!$AO:$AO,J99))</f>
        <v/>
      </c>
      <c r="J99" s="24" t="n">
        <f aca="false">IFERROR(MATCH(66,'FUNDED DEALS'!$AW$3:$AW$920,0)+2,0)</f>
        <v>0</v>
      </c>
    </row>
    <row r="100" customFormat="false" ht="15" hidden="false" customHeight="false" outlineLevel="0" collapsed="false">
      <c r="A100" s="49" t="str">
        <f aca="false">IF(J100=0,"",INDEX('FUNDED DEALS'!$A:$A,J100))</f>
        <v/>
      </c>
      <c r="B100" s="65" t="str">
        <f aca="false">IF(J100=0,"",INDEX('FUNDED DEALS'!$C:$C,J100))</f>
        <v/>
      </c>
      <c r="C100" s="49" t="str">
        <f aca="false">IF(J100=0,"",INDEX('FUNDED DEALS'!$D:$D,J100))</f>
        <v/>
      </c>
      <c r="D100" s="48" t="str">
        <f aca="false">IF(J100=0,"",IF($B$3="",INDEX('FUNDED DEALS'!$V:$V,J100),IF(INDEX('FUNDED DEALS'!$T:$T,J100)=$B$3,INDEX('FUNDED DEALS'!$V:$V,J100),0)))</f>
        <v/>
      </c>
      <c r="E100" s="48" t="str">
        <f aca="false">IF(J100=0,"",IF($B$3="",INDEX('FUNDED DEALS'!$Y:$Y,J100),IF(INDEX('FUNDED DEALS'!$W:$W,J100)=$B$3,INDEX('FUNDED DEALS'!$Y:$Y,J100),0)))</f>
        <v/>
      </c>
      <c r="F100" s="48" t="str">
        <f aca="false">IF(J100=0,"",IF($B$3="",INDEX('FUNDED DEALS'!$AC:$AC,J100),D100+E100+IF(INDEX('FUNDED DEALS'!$Z:$Z,J100)=$B$3,INDEX('FUNDED DEALS'!$AB:$AB,J100),0)))</f>
        <v/>
      </c>
      <c r="G100" s="66" t="str">
        <f aca="false">IF(J100=0,"",INDEX('FUNDED DEALS'!$AM:$AM,J100))</f>
        <v/>
      </c>
      <c r="H100" s="65" t="str">
        <f aca="false">IF(J100=0,"",INDEX('FUNDED DEALS'!$AO:$AO,J100))</f>
        <v/>
      </c>
      <c r="J100" s="24" t="n">
        <f aca="false">IFERROR(MATCH(67,'FUNDED DEALS'!$AW$3:$AW$920,0)+2,0)</f>
        <v>0</v>
      </c>
    </row>
    <row r="101" customFormat="false" ht="15" hidden="false" customHeight="false" outlineLevel="0" collapsed="false">
      <c r="A101" s="52" t="str">
        <f aca="false">IF(J101=0,"",INDEX('FUNDED DEALS'!$A:$A,J101))</f>
        <v/>
      </c>
      <c r="B101" s="67" t="str">
        <f aca="false">IF(J101=0,"",INDEX('FUNDED DEALS'!$C:$C,J101))</f>
        <v/>
      </c>
      <c r="C101" s="52" t="str">
        <f aca="false">IF(J101=0,"",INDEX('FUNDED DEALS'!$D:$D,J101))</f>
        <v/>
      </c>
      <c r="D101" s="51" t="str">
        <f aca="false">IF(J101=0,"",IF($B$3="",INDEX('FUNDED DEALS'!$V:$V,J101),IF(INDEX('FUNDED DEALS'!$T:$T,J101)=$B$3,INDEX('FUNDED DEALS'!$V:$V,J101),0)))</f>
        <v/>
      </c>
      <c r="E101" s="51" t="str">
        <f aca="false">IF(J101=0,"",IF($B$3="",INDEX('FUNDED DEALS'!$Y:$Y,J101),IF(INDEX('FUNDED DEALS'!$W:$W,J101)=$B$3,INDEX('FUNDED DEALS'!$Y:$Y,J101),0)))</f>
        <v/>
      </c>
      <c r="F101" s="51" t="str">
        <f aca="false">IF(J101=0,"",IF($B$3="",INDEX('FUNDED DEALS'!$AC:$AC,J101),D101+E101+IF(INDEX('FUNDED DEALS'!$Z:$Z,J101)=$B$3,INDEX('FUNDED DEALS'!$AB:$AB,J101),0)))</f>
        <v/>
      </c>
      <c r="G101" s="68" t="str">
        <f aca="false">IF(J101=0,"",INDEX('FUNDED DEALS'!$AM:$AM,J101))</f>
        <v/>
      </c>
      <c r="H101" s="67" t="str">
        <f aca="false">IF(J101=0,"",INDEX('FUNDED DEALS'!$AO:$AO,J101))</f>
        <v/>
      </c>
      <c r="J101" s="24" t="n">
        <f aca="false">IFERROR(MATCH(68,'FUNDED DEALS'!$AW$3:$AW$920,0)+2,0)</f>
        <v>0</v>
      </c>
    </row>
    <row r="102" customFormat="false" ht="15" hidden="false" customHeight="false" outlineLevel="0" collapsed="false">
      <c r="A102" s="49" t="str">
        <f aca="false">IF(J102=0,"",INDEX('FUNDED DEALS'!$A:$A,J102))</f>
        <v/>
      </c>
      <c r="B102" s="65" t="str">
        <f aca="false">IF(J102=0,"",INDEX('FUNDED DEALS'!$C:$C,J102))</f>
        <v/>
      </c>
      <c r="C102" s="49" t="str">
        <f aca="false">IF(J102=0,"",INDEX('FUNDED DEALS'!$D:$D,J102))</f>
        <v/>
      </c>
      <c r="D102" s="48" t="str">
        <f aca="false">IF(J102=0,"",IF($B$3="",INDEX('FUNDED DEALS'!$V:$V,J102),IF(INDEX('FUNDED DEALS'!$T:$T,J102)=$B$3,INDEX('FUNDED DEALS'!$V:$V,J102),0)))</f>
        <v/>
      </c>
      <c r="E102" s="48" t="str">
        <f aca="false">IF(J102=0,"",IF($B$3="",INDEX('FUNDED DEALS'!$Y:$Y,J102),IF(INDEX('FUNDED DEALS'!$W:$W,J102)=$B$3,INDEX('FUNDED DEALS'!$Y:$Y,J102),0)))</f>
        <v/>
      </c>
      <c r="F102" s="48" t="str">
        <f aca="false">IF(J102=0,"",IF($B$3="",INDEX('FUNDED DEALS'!$AC:$AC,J102),D102+E102+IF(INDEX('FUNDED DEALS'!$Z:$Z,J102)=$B$3,INDEX('FUNDED DEALS'!$AB:$AB,J102),0)))</f>
        <v/>
      </c>
      <c r="G102" s="66" t="str">
        <f aca="false">IF(J102=0,"",INDEX('FUNDED DEALS'!$AM:$AM,J102))</f>
        <v/>
      </c>
      <c r="H102" s="65" t="str">
        <f aca="false">IF(J102=0,"",INDEX('FUNDED DEALS'!$AO:$AO,J102))</f>
        <v/>
      </c>
      <c r="J102" s="24" t="n">
        <f aca="false">IFERROR(MATCH(69,'FUNDED DEALS'!$AW$3:$AW$920,0)+2,0)</f>
        <v>0</v>
      </c>
    </row>
    <row r="103" customFormat="false" ht="15" hidden="false" customHeight="false" outlineLevel="0" collapsed="false">
      <c r="A103" s="52" t="str">
        <f aca="false">IF(J103=0,"",INDEX('FUNDED DEALS'!$A:$A,J103))</f>
        <v/>
      </c>
      <c r="B103" s="67" t="str">
        <f aca="false">IF(J103=0,"",INDEX('FUNDED DEALS'!$C:$C,J103))</f>
        <v/>
      </c>
      <c r="C103" s="52" t="str">
        <f aca="false">IF(J103=0,"",INDEX('FUNDED DEALS'!$D:$D,J103))</f>
        <v/>
      </c>
      <c r="D103" s="51" t="str">
        <f aca="false">IF(J103=0,"",IF($B$3="",INDEX('FUNDED DEALS'!$V:$V,J103),IF(INDEX('FUNDED DEALS'!$T:$T,J103)=$B$3,INDEX('FUNDED DEALS'!$V:$V,J103),0)))</f>
        <v/>
      </c>
      <c r="E103" s="51" t="str">
        <f aca="false">IF(J103=0,"",IF($B$3="",INDEX('FUNDED DEALS'!$Y:$Y,J103),IF(INDEX('FUNDED DEALS'!$W:$W,J103)=$B$3,INDEX('FUNDED DEALS'!$Y:$Y,J103),0)))</f>
        <v/>
      </c>
      <c r="F103" s="51" t="str">
        <f aca="false">IF(J103=0,"",IF($B$3="",INDEX('FUNDED DEALS'!$AC:$AC,J103),D103+E103+IF(INDEX('FUNDED DEALS'!$Z:$Z,J103)=$B$3,INDEX('FUNDED DEALS'!$AB:$AB,J103),0)))</f>
        <v/>
      </c>
      <c r="G103" s="68" t="str">
        <f aca="false">IF(J103=0,"",INDEX('FUNDED DEALS'!$AM:$AM,J103))</f>
        <v/>
      </c>
      <c r="H103" s="67" t="str">
        <f aca="false">IF(J103=0,"",INDEX('FUNDED DEALS'!$AO:$AO,J103))</f>
        <v/>
      </c>
      <c r="J103" s="24" t="n">
        <f aca="false">IFERROR(MATCH(70,'FUNDED DEALS'!$AW$3:$AW$920,0)+2,0)</f>
        <v>0</v>
      </c>
    </row>
    <row r="104" customFormat="false" ht="15" hidden="false" customHeight="false" outlineLevel="0" collapsed="false">
      <c r="A104" s="49" t="str">
        <f aca="false">IF(J104=0,"",INDEX('FUNDED DEALS'!$A:$A,J104))</f>
        <v/>
      </c>
      <c r="B104" s="65" t="str">
        <f aca="false">IF(J104=0,"",INDEX('FUNDED DEALS'!$C:$C,J104))</f>
        <v/>
      </c>
      <c r="C104" s="49" t="str">
        <f aca="false">IF(J104=0,"",INDEX('FUNDED DEALS'!$D:$D,J104))</f>
        <v/>
      </c>
      <c r="D104" s="48" t="str">
        <f aca="false">IF(J104=0,"",IF($B$3="",INDEX('FUNDED DEALS'!$V:$V,J104),IF(INDEX('FUNDED DEALS'!$T:$T,J104)=$B$3,INDEX('FUNDED DEALS'!$V:$V,J104),0)))</f>
        <v/>
      </c>
      <c r="E104" s="48" t="str">
        <f aca="false">IF(J104=0,"",IF($B$3="",INDEX('FUNDED DEALS'!$Y:$Y,J104),IF(INDEX('FUNDED DEALS'!$W:$W,J104)=$B$3,INDEX('FUNDED DEALS'!$Y:$Y,J104),0)))</f>
        <v/>
      </c>
      <c r="F104" s="48" t="str">
        <f aca="false">IF(J104=0,"",IF($B$3="",INDEX('FUNDED DEALS'!$AC:$AC,J104),D104+E104+IF(INDEX('FUNDED DEALS'!$Z:$Z,J104)=$B$3,INDEX('FUNDED DEALS'!$AB:$AB,J104),0)))</f>
        <v/>
      </c>
      <c r="G104" s="66" t="str">
        <f aca="false">IF(J104=0,"",INDEX('FUNDED DEALS'!$AM:$AM,J104))</f>
        <v/>
      </c>
      <c r="H104" s="65" t="str">
        <f aca="false">IF(J104=0,"",INDEX('FUNDED DEALS'!$AO:$AO,J104))</f>
        <v/>
      </c>
      <c r="J104" s="24" t="n">
        <f aca="false">IFERROR(MATCH(71,'FUNDED DEALS'!$AW$3:$AW$920,0)+2,0)</f>
        <v>0</v>
      </c>
    </row>
    <row r="105" customFormat="false" ht="15" hidden="false" customHeight="false" outlineLevel="0" collapsed="false">
      <c r="A105" s="52" t="str">
        <f aca="false">IF(J105=0,"",INDEX('FUNDED DEALS'!$A:$A,J105))</f>
        <v/>
      </c>
      <c r="B105" s="67" t="str">
        <f aca="false">IF(J105=0,"",INDEX('FUNDED DEALS'!$C:$C,J105))</f>
        <v/>
      </c>
      <c r="C105" s="52" t="str">
        <f aca="false">IF(J105=0,"",INDEX('FUNDED DEALS'!$D:$D,J105))</f>
        <v/>
      </c>
      <c r="D105" s="51" t="str">
        <f aca="false">IF(J105=0,"",IF($B$3="",INDEX('FUNDED DEALS'!$V:$V,J105),IF(INDEX('FUNDED DEALS'!$T:$T,J105)=$B$3,INDEX('FUNDED DEALS'!$V:$V,J105),0)))</f>
        <v/>
      </c>
      <c r="E105" s="51" t="str">
        <f aca="false">IF(J105=0,"",IF($B$3="",INDEX('FUNDED DEALS'!$Y:$Y,J105),IF(INDEX('FUNDED DEALS'!$W:$W,J105)=$B$3,INDEX('FUNDED DEALS'!$Y:$Y,J105),0)))</f>
        <v/>
      </c>
      <c r="F105" s="51" t="str">
        <f aca="false">IF(J105=0,"",IF($B$3="",INDEX('FUNDED DEALS'!$AC:$AC,J105),D105+E105+IF(INDEX('FUNDED DEALS'!$Z:$Z,J105)=$B$3,INDEX('FUNDED DEALS'!$AB:$AB,J105),0)))</f>
        <v/>
      </c>
      <c r="G105" s="68" t="str">
        <f aca="false">IF(J105=0,"",INDEX('FUNDED DEALS'!$AM:$AM,J105))</f>
        <v/>
      </c>
      <c r="H105" s="67" t="str">
        <f aca="false">IF(J105=0,"",INDEX('FUNDED DEALS'!$AO:$AO,J105))</f>
        <v/>
      </c>
      <c r="J105" s="24" t="n">
        <f aca="false">IFERROR(MATCH(72,'FUNDED DEALS'!$AW$3:$AW$920,0)+2,0)</f>
        <v>0</v>
      </c>
    </row>
    <row r="106" customFormat="false" ht="15" hidden="false" customHeight="false" outlineLevel="0" collapsed="false">
      <c r="A106" s="49" t="str">
        <f aca="false">IF(J106=0,"",INDEX('FUNDED DEALS'!$A:$A,J106))</f>
        <v/>
      </c>
      <c r="B106" s="65" t="str">
        <f aca="false">IF(J106=0,"",INDEX('FUNDED DEALS'!$C:$C,J106))</f>
        <v/>
      </c>
      <c r="C106" s="49" t="str">
        <f aca="false">IF(J106=0,"",INDEX('FUNDED DEALS'!$D:$D,J106))</f>
        <v/>
      </c>
      <c r="D106" s="48" t="str">
        <f aca="false">IF(J106=0,"",IF($B$3="",INDEX('FUNDED DEALS'!$V:$V,J106),IF(INDEX('FUNDED DEALS'!$T:$T,J106)=$B$3,INDEX('FUNDED DEALS'!$V:$V,J106),0)))</f>
        <v/>
      </c>
      <c r="E106" s="48" t="str">
        <f aca="false">IF(J106=0,"",IF($B$3="",INDEX('FUNDED DEALS'!$Y:$Y,J106),IF(INDEX('FUNDED DEALS'!$W:$W,J106)=$B$3,INDEX('FUNDED DEALS'!$Y:$Y,J106),0)))</f>
        <v/>
      </c>
      <c r="F106" s="48" t="str">
        <f aca="false">IF(J106=0,"",IF($B$3="",INDEX('FUNDED DEALS'!$AC:$AC,J106),D106+E106+IF(INDEX('FUNDED DEALS'!$Z:$Z,J106)=$B$3,INDEX('FUNDED DEALS'!$AB:$AB,J106),0)))</f>
        <v/>
      </c>
      <c r="G106" s="66" t="str">
        <f aca="false">IF(J106=0,"",INDEX('FUNDED DEALS'!$AM:$AM,J106))</f>
        <v/>
      </c>
      <c r="H106" s="65" t="str">
        <f aca="false">IF(J106=0,"",INDEX('FUNDED DEALS'!$AO:$AO,J106))</f>
        <v/>
      </c>
      <c r="J106" s="24" t="n">
        <f aca="false">IFERROR(MATCH(73,'FUNDED DEALS'!$AW$3:$AW$920,0)+2,0)</f>
        <v>0</v>
      </c>
    </row>
    <row r="107" customFormat="false" ht="15" hidden="false" customHeight="false" outlineLevel="0" collapsed="false">
      <c r="A107" s="52" t="str">
        <f aca="false">IF(J107=0,"",INDEX('FUNDED DEALS'!$A:$A,J107))</f>
        <v/>
      </c>
      <c r="B107" s="67" t="str">
        <f aca="false">IF(J107=0,"",INDEX('FUNDED DEALS'!$C:$C,J107))</f>
        <v/>
      </c>
      <c r="C107" s="52" t="str">
        <f aca="false">IF(J107=0,"",INDEX('FUNDED DEALS'!$D:$D,J107))</f>
        <v/>
      </c>
      <c r="D107" s="51" t="str">
        <f aca="false">IF(J107=0,"",IF($B$3="",INDEX('FUNDED DEALS'!$V:$V,J107),IF(INDEX('FUNDED DEALS'!$T:$T,J107)=$B$3,INDEX('FUNDED DEALS'!$V:$V,J107),0)))</f>
        <v/>
      </c>
      <c r="E107" s="51" t="str">
        <f aca="false">IF(J107=0,"",IF($B$3="",INDEX('FUNDED DEALS'!$Y:$Y,J107),IF(INDEX('FUNDED DEALS'!$W:$W,J107)=$B$3,INDEX('FUNDED DEALS'!$Y:$Y,J107),0)))</f>
        <v/>
      </c>
      <c r="F107" s="51" t="str">
        <f aca="false">IF(J107=0,"",IF($B$3="",INDEX('FUNDED DEALS'!$AC:$AC,J107),D107+E107+IF(INDEX('FUNDED DEALS'!$Z:$Z,J107)=$B$3,INDEX('FUNDED DEALS'!$AB:$AB,J107),0)))</f>
        <v/>
      </c>
      <c r="G107" s="68" t="str">
        <f aca="false">IF(J107=0,"",INDEX('FUNDED DEALS'!$AM:$AM,J107))</f>
        <v/>
      </c>
      <c r="H107" s="67" t="str">
        <f aca="false">IF(J107=0,"",INDEX('FUNDED DEALS'!$AO:$AO,J107))</f>
        <v/>
      </c>
      <c r="J107" s="24" t="n">
        <f aca="false">IFERROR(MATCH(74,'FUNDED DEALS'!$AW$3:$AW$920,0)+2,0)</f>
        <v>0</v>
      </c>
    </row>
    <row r="108" customFormat="false" ht="15" hidden="false" customHeight="false" outlineLevel="0" collapsed="false">
      <c r="A108" s="49" t="str">
        <f aca="false">IF(J108=0,"",INDEX('FUNDED DEALS'!$A:$A,J108))</f>
        <v/>
      </c>
      <c r="B108" s="65" t="str">
        <f aca="false">IF(J108=0,"",INDEX('FUNDED DEALS'!$C:$C,J108))</f>
        <v/>
      </c>
      <c r="C108" s="49" t="str">
        <f aca="false">IF(J108=0,"",INDEX('FUNDED DEALS'!$D:$D,J108))</f>
        <v/>
      </c>
      <c r="D108" s="48" t="str">
        <f aca="false">IF(J108=0,"",IF($B$3="",INDEX('FUNDED DEALS'!$V:$V,J108),IF(INDEX('FUNDED DEALS'!$T:$T,J108)=$B$3,INDEX('FUNDED DEALS'!$V:$V,J108),0)))</f>
        <v/>
      </c>
      <c r="E108" s="48" t="str">
        <f aca="false">IF(J108=0,"",IF($B$3="",INDEX('FUNDED DEALS'!$Y:$Y,J108),IF(INDEX('FUNDED DEALS'!$W:$W,J108)=$B$3,INDEX('FUNDED DEALS'!$Y:$Y,J108),0)))</f>
        <v/>
      </c>
      <c r="F108" s="48" t="str">
        <f aca="false">IF(J108=0,"",IF($B$3="",INDEX('FUNDED DEALS'!$AC:$AC,J108),D108+E108+IF(INDEX('FUNDED DEALS'!$Z:$Z,J108)=$B$3,INDEX('FUNDED DEALS'!$AB:$AB,J108),0)))</f>
        <v/>
      </c>
      <c r="G108" s="66" t="str">
        <f aca="false">IF(J108=0,"",INDEX('FUNDED DEALS'!$AM:$AM,J108))</f>
        <v/>
      </c>
      <c r="H108" s="65" t="str">
        <f aca="false">IF(J108=0,"",INDEX('FUNDED DEALS'!$AO:$AO,J108))</f>
        <v/>
      </c>
      <c r="J108" s="24" t="n">
        <f aca="false">IFERROR(MATCH(75,'FUNDED DEALS'!$AW$3:$AW$920,0)+2,0)</f>
        <v>0</v>
      </c>
    </row>
    <row r="109" customFormat="false" ht="15" hidden="false" customHeight="false" outlineLevel="0" collapsed="false">
      <c r="A109" s="52" t="str">
        <f aca="false">IF(J109=0,"",INDEX('FUNDED DEALS'!$A:$A,J109))</f>
        <v/>
      </c>
      <c r="B109" s="67" t="str">
        <f aca="false">IF(J109=0,"",INDEX('FUNDED DEALS'!$C:$C,J109))</f>
        <v/>
      </c>
      <c r="C109" s="52" t="str">
        <f aca="false">IF(J109=0,"",INDEX('FUNDED DEALS'!$D:$D,J109))</f>
        <v/>
      </c>
      <c r="D109" s="51" t="str">
        <f aca="false">IF(J109=0,"",IF($B$3="",INDEX('FUNDED DEALS'!$V:$V,J109),IF(INDEX('FUNDED DEALS'!$T:$T,J109)=$B$3,INDEX('FUNDED DEALS'!$V:$V,J109),0)))</f>
        <v/>
      </c>
      <c r="E109" s="51" t="str">
        <f aca="false">IF(J109=0,"",IF($B$3="",INDEX('FUNDED DEALS'!$Y:$Y,J109),IF(INDEX('FUNDED DEALS'!$W:$W,J109)=$B$3,INDEX('FUNDED DEALS'!$Y:$Y,J109),0)))</f>
        <v/>
      </c>
      <c r="F109" s="51" t="str">
        <f aca="false">IF(J109=0,"",IF($B$3="",INDEX('FUNDED DEALS'!$AC:$AC,J109),D109+E109+IF(INDEX('FUNDED DEALS'!$Z:$Z,J109)=$B$3,INDEX('FUNDED DEALS'!$AB:$AB,J109),0)))</f>
        <v/>
      </c>
      <c r="G109" s="68" t="str">
        <f aca="false">IF(J109=0,"",INDEX('FUNDED DEALS'!$AM:$AM,J109))</f>
        <v/>
      </c>
      <c r="H109" s="67" t="str">
        <f aca="false">IF(J109=0,"",INDEX('FUNDED DEALS'!$AO:$AO,J109))</f>
        <v/>
      </c>
      <c r="J109" s="24" t="n">
        <f aca="false">IFERROR(MATCH(76,'FUNDED DEALS'!$AW$3:$AW$920,0)+2,0)</f>
        <v>0</v>
      </c>
    </row>
    <row r="110" customFormat="false" ht="15" hidden="false" customHeight="false" outlineLevel="0" collapsed="false">
      <c r="A110" s="49" t="str">
        <f aca="false">IF(J110=0,"",INDEX('FUNDED DEALS'!$A:$A,J110))</f>
        <v/>
      </c>
      <c r="B110" s="65" t="str">
        <f aca="false">IF(J110=0,"",INDEX('FUNDED DEALS'!$C:$C,J110))</f>
        <v/>
      </c>
      <c r="C110" s="49" t="str">
        <f aca="false">IF(J110=0,"",INDEX('FUNDED DEALS'!$D:$D,J110))</f>
        <v/>
      </c>
      <c r="D110" s="48" t="str">
        <f aca="false">IF(J110=0,"",IF($B$3="",INDEX('FUNDED DEALS'!$V:$V,J110),IF(INDEX('FUNDED DEALS'!$T:$T,J110)=$B$3,INDEX('FUNDED DEALS'!$V:$V,J110),0)))</f>
        <v/>
      </c>
      <c r="E110" s="48" t="str">
        <f aca="false">IF(J110=0,"",IF($B$3="",INDEX('FUNDED DEALS'!$Y:$Y,J110),IF(INDEX('FUNDED DEALS'!$W:$W,J110)=$B$3,INDEX('FUNDED DEALS'!$Y:$Y,J110),0)))</f>
        <v/>
      </c>
      <c r="F110" s="48" t="str">
        <f aca="false">IF(J110=0,"",IF($B$3="",INDEX('FUNDED DEALS'!$AC:$AC,J110),D110+E110+IF(INDEX('FUNDED DEALS'!$Z:$Z,J110)=$B$3,INDEX('FUNDED DEALS'!$AB:$AB,J110),0)))</f>
        <v/>
      </c>
      <c r="G110" s="66" t="str">
        <f aca="false">IF(J110=0,"",INDEX('FUNDED DEALS'!$AM:$AM,J110))</f>
        <v/>
      </c>
      <c r="H110" s="65" t="str">
        <f aca="false">IF(J110=0,"",INDEX('FUNDED DEALS'!$AO:$AO,J110))</f>
        <v/>
      </c>
      <c r="J110" s="24" t="n">
        <f aca="false">IFERROR(MATCH(77,'FUNDED DEALS'!$AW$3:$AW$920,0)+2,0)</f>
        <v>0</v>
      </c>
    </row>
    <row r="111" customFormat="false" ht="15" hidden="false" customHeight="false" outlineLevel="0" collapsed="false">
      <c r="A111" s="52" t="str">
        <f aca="false">IF(J111=0,"",INDEX('FUNDED DEALS'!$A:$A,J111))</f>
        <v/>
      </c>
      <c r="B111" s="67" t="str">
        <f aca="false">IF(J111=0,"",INDEX('FUNDED DEALS'!$C:$C,J111))</f>
        <v/>
      </c>
      <c r="C111" s="52" t="str">
        <f aca="false">IF(J111=0,"",INDEX('FUNDED DEALS'!$D:$D,J111))</f>
        <v/>
      </c>
      <c r="D111" s="51" t="str">
        <f aca="false">IF(J111=0,"",IF($B$3="",INDEX('FUNDED DEALS'!$V:$V,J111),IF(INDEX('FUNDED DEALS'!$T:$T,J111)=$B$3,INDEX('FUNDED DEALS'!$V:$V,J111),0)))</f>
        <v/>
      </c>
      <c r="E111" s="51" t="str">
        <f aca="false">IF(J111=0,"",IF($B$3="",INDEX('FUNDED DEALS'!$Y:$Y,J111),IF(INDEX('FUNDED DEALS'!$W:$W,J111)=$B$3,INDEX('FUNDED DEALS'!$Y:$Y,J111),0)))</f>
        <v/>
      </c>
      <c r="F111" s="51" t="str">
        <f aca="false">IF(J111=0,"",IF($B$3="",INDEX('FUNDED DEALS'!$AC:$AC,J111),D111+E111+IF(INDEX('FUNDED DEALS'!$Z:$Z,J111)=$B$3,INDEX('FUNDED DEALS'!$AB:$AB,J111),0)))</f>
        <v/>
      </c>
      <c r="G111" s="68" t="str">
        <f aca="false">IF(J111=0,"",INDEX('FUNDED DEALS'!$AM:$AM,J111))</f>
        <v/>
      </c>
      <c r="H111" s="67" t="str">
        <f aca="false">IF(J111=0,"",INDEX('FUNDED DEALS'!$AO:$AO,J111))</f>
        <v/>
      </c>
      <c r="J111" s="24" t="n">
        <f aca="false">IFERROR(MATCH(78,'FUNDED DEALS'!$AW$3:$AW$920,0)+2,0)</f>
        <v>0</v>
      </c>
    </row>
    <row r="112" customFormat="false" ht="15" hidden="false" customHeight="false" outlineLevel="0" collapsed="false">
      <c r="A112" s="49" t="str">
        <f aca="false">IF(J112=0,"",INDEX('FUNDED DEALS'!$A:$A,J112))</f>
        <v/>
      </c>
      <c r="B112" s="65" t="str">
        <f aca="false">IF(J112=0,"",INDEX('FUNDED DEALS'!$C:$C,J112))</f>
        <v/>
      </c>
      <c r="C112" s="49" t="str">
        <f aca="false">IF(J112=0,"",INDEX('FUNDED DEALS'!$D:$D,J112))</f>
        <v/>
      </c>
      <c r="D112" s="48" t="str">
        <f aca="false">IF(J112=0,"",IF($B$3="",INDEX('FUNDED DEALS'!$V:$V,J112),IF(INDEX('FUNDED DEALS'!$T:$T,J112)=$B$3,INDEX('FUNDED DEALS'!$V:$V,J112),0)))</f>
        <v/>
      </c>
      <c r="E112" s="48" t="str">
        <f aca="false">IF(J112=0,"",IF($B$3="",INDEX('FUNDED DEALS'!$Y:$Y,J112),IF(INDEX('FUNDED DEALS'!$W:$W,J112)=$B$3,INDEX('FUNDED DEALS'!$Y:$Y,J112),0)))</f>
        <v/>
      </c>
      <c r="F112" s="48" t="str">
        <f aca="false">IF(J112=0,"",IF($B$3="",INDEX('FUNDED DEALS'!$AC:$AC,J112),D112+E112+IF(INDEX('FUNDED DEALS'!$Z:$Z,J112)=$B$3,INDEX('FUNDED DEALS'!$AB:$AB,J112),0)))</f>
        <v/>
      </c>
      <c r="G112" s="66" t="str">
        <f aca="false">IF(J112=0,"",INDEX('FUNDED DEALS'!$AM:$AM,J112))</f>
        <v/>
      </c>
      <c r="H112" s="65" t="str">
        <f aca="false">IF(J112=0,"",INDEX('FUNDED DEALS'!$AO:$AO,J112))</f>
        <v/>
      </c>
      <c r="J112" s="24" t="n">
        <f aca="false">IFERROR(MATCH(79,'FUNDED DEALS'!$AW$3:$AW$920,0)+2,0)</f>
        <v>0</v>
      </c>
    </row>
    <row r="113" customFormat="false" ht="15" hidden="false" customHeight="false" outlineLevel="0" collapsed="false">
      <c r="A113" s="52" t="str">
        <f aca="false">IF(J113=0,"",INDEX('FUNDED DEALS'!$A:$A,J113))</f>
        <v/>
      </c>
      <c r="B113" s="67" t="str">
        <f aca="false">IF(J113=0,"",INDEX('FUNDED DEALS'!$C:$C,J113))</f>
        <v/>
      </c>
      <c r="C113" s="52" t="str">
        <f aca="false">IF(J113=0,"",INDEX('FUNDED DEALS'!$D:$D,J113))</f>
        <v/>
      </c>
      <c r="D113" s="51" t="str">
        <f aca="false">IF(J113=0,"",IF($B$3="",INDEX('FUNDED DEALS'!$V:$V,J113),IF(INDEX('FUNDED DEALS'!$T:$T,J113)=$B$3,INDEX('FUNDED DEALS'!$V:$V,J113),0)))</f>
        <v/>
      </c>
      <c r="E113" s="51" t="str">
        <f aca="false">IF(J113=0,"",IF($B$3="",INDEX('FUNDED DEALS'!$Y:$Y,J113),IF(INDEX('FUNDED DEALS'!$W:$W,J113)=$B$3,INDEX('FUNDED DEALS'!$Y:$Y,J113),0)))</f>
        <v/>
      </c>
      <c r="F113" s="51" t="str">
        <f aca="false">IF(J113=0,"",IF($B$3="",INDEX('FUNDED DEALS'!$AC:$AC,J113),D113+E113+IF(INDEX('FUNDED DEALS'!$Z:$Z,J113)=$B$3,INDEX('FUNDED DEALS'!$AB:$AB,J113),0)))</f>
        <v/>
      </c>
      <c r="G113" s="68" t="str">
        <f aca="false">IF(J113=0,"",INDEX('FUNDED DEALS'!$AM:$AM,J113))</f>
        <v/>
      </c>
      <c r="H113" s="67" t="str">
        <f aca="false">IF(J113=0,"",INDEX('FUNDED DEALS'!$AO:$AO,J113))</f>
        <v/>
      </c>
      <c r="J113" s="24" t="n">
        <f aca="false">IFERROR(MATCH(80,'FUNDED DEALS'!$AW$3:$AW$920,0)+2,0)</f>
        <v>0</v>
      </c>
    </row>
    <row r="114" customFormat="false" ht="15" hidden="false" customHeight="false" outlineLevel="0" collapsed="false">
      <c r="A114" s="49" t="str">
        <f aca="false">IF(J114=0,"",INDEX('FUNDED DEALS'!$A:$A,J114))</f>
        <v/>
      </c>
      <c r="B114" s="65" t="str">
        <f aca="false">IF(J114=0,"",INDEX('FUNDED DEALS'!$C:$C,J114))</f>
        <v/>
      </c>
      <c r="C114" s="49" t="str">
        <f aca="false">IF(J114=0,"",INDEX('FUNDED DEALS'!$D:$D,J114))</f>
        <v/>
      </c>
      <c r="D114" s="48" t="str">
        <f aca="false">IF(J114=0,"",IF($B$3="",INDEX('FUNDED DEALS'!$V:$V,J114),IF(INDEX('FUNDED DEALS'!$T:$T,J114)=$B$3,INDEX('FUNDED DEALS'!$V:$V,J114),0)))</f>
        <v/>
      </c>
      <c r="E114" s="48" t="str">
        <f aca="false">IF(J114=0,"",IF($B$3="",INDEX('FUNDED DEALS'!$Y:$Y,J114),IF(INDEX('FUNDED DEALS'!$W:$W,J114)=$B$3,INDEX('FUNDED DEALS'!$Y:$Y,J114),0)))</f>
        <v/>
      </c>
      <c r="F114" s="48" t="str">
        <f aca="false">IF(J114=0,"",IF($B$3="",INDEX('FUNDED DEALS'!$AC:$AC,J114),D114+E114+IF(INDEX('FUNDED DEALS'!$Z:$Z,J114)=$B$3,INDEX('FUNDED DEALS'!$AB:$AB,J114),0)))</f>
        <v/>
      </c>
      <c r="G114" s="66" t="str">
        <f aca="false">IF(J114=0,"",INDEX('FUNDED DEALS'!$AM:$AM,J114))</f>
        <v/>
      </c>
      <c r="H114" s="65" t="str">
        <f aca="false">IF(J114=0,"",INDEX('FUNDED DEALS'!$AO:$AO,J114))</f>
        <v/>
      </c>
      <c r="J114" s="24" t="n">
        <f aca="false">IFERROR(MATCH(81,'FUNDED DEALS'!$AW$3:$AW$920,0)+2,0)</f>
        <v>0</v>
      </c>
    </row>
    <row r="115" customFormat="false" ht="15" hidden="false" customHeight="false" outlineLevel="0" collapsed="false">
      <c r="A115" s="52" t="str">
        <f aca="false">IF(J115=0,"",INDEX('FUNDED DEALS'!$A:$A,J115))</f>
        <v/>
      </c>
      <c r="B115" s="67" t="str">
        <f aca="false">IF(J115=0,"",INDEX('FUNDED DEALS'!$C:$C,J115))</f>
        <v/>
      </c>
      <c r="C115" s="52" t="str">
        <f aca="false">IF(J115=0,"",INDEX('FUNDED DEALS'!$D:$D,J115))</f>
        <v/>
      </c>
      <c r="D115" s="51" t="str">
        <f aca="false">IF(J115=0,"",IF($B$3="",INDEX('FUNDED DEALS'!$V:$V,J115),IF(INDEX('FUNDED DEALS'!$T:$T,J115)=$B$3,INDEX('FUNDED DEALS'!$V:$V,J115),0)))</f>
        <v/>
      </c>
      <c r="E115" s="51" t="str">
        <f aca="false">IF(J115=0,"",IF($B$3="",INDEX('FUNDED DEALS'!$Y:$Y,J115),IF(INDEX('FUNDED DEALS'!$W:$W,J115)=$B$3,INDEX('FUNDED DEALS'!$Y:$Y,J115),0)))</f>
        <v/>
      </c>
      <c r="F115" s="51" t="str">
        <f aca="false">IF(J115=0,"",IF($B$3="",INDEX('FUNDED DEALS'!$AC:$AC,J115),D115+E115+IF(INDEX('FUNDED DEALS'!$Z:$Z,J115)=$B$3,INDEX('FUNDED DEALS'!$AB:$AB,J115),0)))</f>
        <v/>
      </c>
      <c r="G115" s="68" t="str">
        <f aca="false">IF(J115=0,"",INDEX('FUNDED DEALS'!$AM:$AM,J115))</f>
        <v/>
      </c>
      <c r="H115" s="67" t="str">
        <f aca="false">IF(J115=0,"",INDEX('FUNDED DEALS'!$AO:$AO,J115))</f>
        <v/>
      </c>
      <c r="J115" s="24" t="n">
        <f aca="false">IFERROR(MATCH(82,'FUNDED DEALS'!$AW$3:$AW$920,0)+2,0)</f>
        <v>0</v>
      </c>
    </row>
    <row r="116" customFormat="false" ht="15" hidden="false" customHeight="false" outlineLevel="0" collapsed="false">
      <c r="A116" s="49" t="str">
        <f aca="false">IF(J116=0,"",INDEX('FUNDED DEALS'!$A:$A,J116))</f>
        <v/>
      </c>
      <c r="B116" s="65" t="str">
        <f aca="false">IF(J116=0,"",INDEX('FUNDED DEALS'!$C:$C,J116))</f>
        <v/>
      </c>
      <c r="C116" s="49" t="str">
        <f aca="false">IF(J116=0,"",INDEX('FUNDED DEALS'!$D:$D,J116))</f>
        <v/>
      </c>
      <c r="D116" s="48" t="str">
        <f aca="false">IF(J116=0,"",IF($B$3="",INDEX('FUNDED DEALS'!$V:$V,J116),IF(INDEX('FUNDED DEALS'!$T:$T,J116)=$B$3,INDEX('FUNDED DEALS'!$V:$V,J116),0)))</f>
        <v/>
      </c>
      <c r="E116" s="48" t="str">
        <f aca="false">IF(J116=0,"",IF($B$3="",INDEX('FUNDED DEALS'!$Y:$Y,J116),IF(INDEX('FUNDED DEALS'!$W:$W,J116)=$B$3,INDEX('FUNDED DEALS'!$Y:$Y,J116),0)))</f>
        <v/>
      </c>
      <c r="F116" s="48" t="str">
        <f aca="false">IF(J116=0,"",IF($B$3="",INDEX('FUNDED DEALS'!$AC:$AC,J116),D116+E116+IF(INDEX('FUNDED DEALS'!$Z:$Z,J116)=$B$3,INDEX('FUNDED DEALS'!$AB:$AB,J116),0)))</f>
        <v/>
      </c>
      <c r="G116" s="66" t="str">
        <f aca="false">IF(J116=0,"",INDEX('FUNDED DEALS'!$AM:$AM,J116))</f>
        <v/>
      </c>
      <c r="H116" s="65" t="str">
        <f aca="false">IF(J116=0,"",INDEX('FUNDED DEALS'!$AO:$AO,J116))</f>
        <v/>
      </c>
      <c r="J116" s="24" t="n">
        <f aca="false">IFERROR(MATCH(83,'FUNDED DEALS'!$AW$3:$AW$920,0)+2,0)</f>
        <v>0</v>
      </c>
    </row>
    <row r="117" customFormat="false" ht="15" hidden="false" customHeight="false" outlineLevel="0" collapsed="false">
      <c r="A117" s="52" t="str">
        <f aca="false">IF(J117=0,"",INDEX('FUNDED DEALS'!$A:$A,J117))</f>
        <v/>
      </c>
      <c r="B117" s="67" t="str">
        <f aca="false">IF(J117=0,"",INDEX('FUNDED DEALS'!$C:$C,J117))</f>
        <v/>
      </c>
      <c r="C117" s="52" t="str">
        <f aca="false">IF(J117=0,"",INDEX('FUNDED DEALS'!$D:$D,J117))</f>
        <v/>
      </c>
      <c r="D117" s="51" t="str">
        <f aca="false">IF(J117=0,"",IF($B$3="",INDEX('FUNDED DEALS'!$V:$V,J117),IF(INDEX('FUNDED DEALS'!$T:$T,J117)=$B$3,INDEX('FUNDED DEALS'!$V:$V,J117),0)))</f>
        <v/>
      </c>
      <c r="E117" s="51" t="str">
        <f aca="false">IF(J117=0,"",IF($B$3="",INDEX('FUNDED DEALS'!$Y:$Y,J117),IF(INDEX('FUNDED DEALS'!$W:$W,J117)=$B$3,INDEX('FUNDED DEALS'!$Y:$Y,J117),0)))</f>
        <v/>
      </c>
      <c r="F117" s="51" t="str">
        <f aca="false">IF(J117=0,"",IF($B$3="",INDEX('FUNDED DEALS'!$AC:$AC,J117),D117+E117+IF(INDEX('FUNDED DEALS'!$Z:$Z,J117)=$B$3,INDEX('FUNDED DEALS'!$AB:$AB,J117),0)))</f>
        <v/>
      </c>
      <c r="G117" s="68" t="str">
        <f aca="false">IF(J117=0,"",INDEX('FUNDED DEALS'!$AM:$AM,J117))</f>
        <v/>
      </c>
      <c r="H117" s="67" t="str">
        <f aca="false">IF(J117=0,"",INDEX('FUNDED DEALS'!$AO:$AO,J117))</f>
        <v/>
      </c>
      <c r="J117" s="24" t="n">
        <f aca="false">IFERROR(MATCH(84,'FUNDED DEALS'!$AW$3:$AW$920,0)+2,0)</f>
        <v>0</v>
      </c>
    </row>
    <row r="118" customFormat="false" ht="15" hidden="false" customHeight="false" outlineLevel="0" collapsed="false">
      <c r="A118" s="49" t="str">
        <f aca="false">IF(J118=0,"",INDEX('FUNDED DEALS'!$A:$A,J118))</f>
        <v/>
      </c>
      <c r="B118" s="65" t="str">
        <f aca="false">IF(J118=0,"",INDEX('FUNDED DEALS'!$C:$C,J118))</f>
        <v/>
      </c>
      <c r="C118" s="49" t="str">
        <f aca="false">IF(J118=0,"",INDEX('FUNDED DEALS'!$D:$D,J118))</f>
        <v/>
      </c>
      <c r="D118" s="48" t="str">
        <f aca="false">IF(J118=0,"",IF($B$3="",INDEX('FUNDED DEALS'!$V:$V,J118),IF(INDEX('FUNDED DEALS'!$T:$T,J118)=$B$3,INDEX('FUNDED DEALS'!$V:$V,J118),0)))</f>
        <v/>
      </c>
      <c r="E118" s="48" t="str">
        <f aca="false">IF(J118=0,"",IF($B$3="",INDEX('FUNDED DEALS'!$Y:$Y,J118),IF(INDEX('FUNDED DEALS'!$W:$W,J118)=$B$3,INDEX('FUNDED DEALS'!$Y:$Y,J118),0)))</f>
        <v/>
      </c>
      <c r="F118" s="48" t="str">
        <f aca="false">IF(J118=0,"",IF($B$3="",INDEX('FUNDED DEALS'!$AC:$AC,J118),D118+E118+IF(INDEX('FUNDED DEALS'!$Z:$Z,J118)=$B$3,INDEX('FUNDED DEALS'!$AB:$AB,J118),0)))</f>
        <v/>
      </c>
      <c r="G118" s="66" t="str">
        <f aca="false">IF(J118=0,"",INDEX('FUNDED DEALS'!$AM:$AM,J118))</f>
        <v/>
      </c>
      <c r="H118" s="65" t="str">
        <f aca="false">IF(J118=0,"",INDEX('FUNDED DEALS'!$AO:$AO,J118))</f>
        <v/>
      </c>
      <c r="J118" s="24" t="n">
        <f aca="false">IFERROR(MATCH(85,'FUNDED DEALS'!$AW$3:$AW$920,0)+2,0)</f>
        <v>0</v>
      </c>
    </row>
    <row r="119" customFormat="false" ht="15" hidden="false" customHeight="false" outlineLevel="0" collapsed="false">
      <c r="A119" s="52" t="str">
        <f aca="false">IF(J119=0,"",INDEX('FUNDED DEALS'!$A:$A,J119))</f>
        <v/>
      </c>
      <c r="B119" s="67" t="str">
        <f aca="false">IF(J119=0,"",INDEX('FUNDED DEALS'!$C:$C,J119))</f>
        <v/>
      </c>
      <c r="C119" s="52" t="str">
        <f aca="false">IF(J119=0,"",INDEX('FUNDED DEALS'!$D:$D,J119))</f>
        <v/>
      </c>
      <c r="D119" s="51" t="str">
        <f aca="false">IF(J119=0,"",IF($B$3="",INDEX('FUNDED DEALS'!$V:$V,J119),IF(INDEX('FUNDED DEALS'!$T:$T,J119)=$B$3,INDEX('FUNDED DEALS'!$V:$V,J119),0)))</f>
        <v/>
      </c>
      <c r="E119" s="51" t="str">
        <f aca="false">IF(J119=0,"",IF($B$3="",INDEX('FUNDED DEALS'!$Y:$Y,J119),IF(INDEX('FUNDED DEALS'!$W:$W,J119)=$B$3,INDEX('FUNDED DEALS'!$Y:$Y,J119),0)))</f>
        <v/>
      </c>
      <c r="F119" s="51" t="str">
        <f aca="false">IF(J119=0,"",IF($B$3="",INDEX('FUNDED DEALS'!$AC:$AC,J119),D119+E119+IF(INDEX('FUNDED DEALS'!$Z:$Z,J119)=$B$3,INDEX('FUNDED DEALS'!$AB:$AB,J119),0)))</f>
        <v/>
      </c>
      <c r="G119" s="68" t="str">
        <f aca="false">IF(J119=0,"",INDEX('FUNDED DEALS'!$AM:$AM,J119))</f>
        <v/>
      </c>
      <c r="H119" s="67" t="str">
        <f aca="false">IF(J119=0,"",INDEX('FUNDED DEALS'!$AO:$AO,J119))</f>
        <v/>
      </c>
      <c r="J119" s="24" t="n">
        <f aca="false">IFERROR(MATCH(86,'FUNDED DEALS'!$AW$3:$AW$920,0)+2,0)</f>
        <v>0</v>
      </c>
    </row>
    <row r="120" customFormat="false" ht="15" hidden="false" customHeight="false" outlineLevel="0" collapsed="false">
      <c r="A120" s="49" t="str">
        <f aca="false">IF(J120=0,"",INDEX('FUNDED DEALS'!$A:$A,J120))</f>
        <v/>
      </c>
      <c r="B120" s="65" t="str">
        <f aca="false">IF(J120=0,"",INDEX('FUNDED DEALS'!$C:$C,J120))</f>
        <v/>
      </c>
      <c r="C120" s="49" t="str">
        <f aca="false">IF(J120=0,"",INDEX('FUNDED DEALS'!$D:$D,J120))</f>
        <v/>
      </c>
      <c r="D120" s="48" t="str">
        <f aca="false">IF(J120=0,"",IF($B$3="",INDEX('FUNDED DEALS'!$V:$V,J120),IF(INDEX('FUNDED DEALS'!$T:$T,J120)=$B$3,INDEX('FUNDED DEALS'!$V:$V,J120),0)))</f>
        <v/>
      </c>
      <c r="E120" s="48" t="str">
        <f aca="false">IF(J120=0,"",IF($B$3="",INDEX('FUNDED DEALS'!$Y:$Y,J120),IF(INDEX('FUNDED DEALS'!$W:$W,J120)=$B$3,INDEX('FUNDED DEALS'!$Y:$Y,J120),0)))</f>
        <v/>
      </c>
      <c r="F120" s="48" t="str">
        <f aca="false">IF(J120=0,"",IF($B$3="",INDEX('FUNDED DEALS'!$AC:$AC,J120),D120+E120+IF(INDEX('FUNDED DEALS'!$Z:$Z,J120)=$B$3,INDEX('FUNDED DEALS'!$AB:$AB,J120),0)))</f>
        <v/>
      </c>
      <c r="G120" s="66" t="str">
        <f aca="false">IF(J120=0,"",INDEX('FUNDED DEALS'!$AM:$AM,J120))</f>
        <v/>
      </c>
      <c r="H120" s="65" t="str">
        <f aca="false">IF(J120=0,"",INDEX('FUNDED DEALS'!$AO:$AO,J120))</f>
        <v/>
      </c>
      <c r="J120" s="24" t="n">
        <f aca="false">IFERROR(MATCH(87,'FUNDED DEALS'!$AW$3:$AW$920,0)+2,0)</f>
        <v>0</v>
      </c>
    </row>
    <row r="121" customFormat="false" ht="15" hidden="false" customHeight="false" outlineLevel="0" collapsed="false">
      <c r="A121" s="52" t="str">
        <f aca="false">IF(J121=0,"",INDEX('FUNDED DEALS'!$A:$A,J121))</f>
        <v/>
      </c>
      <c r="B121" s="67" t="str">
        <f aca="false">IF(J121=0,"",INDEX('FUNDED DEALS'!$C:$C,J121))</f>
        <v/>
      </c>
      <c r="C121" s="52" t="str">
        <f aca="false">IF(J121=0,"",INDEX('FUNDED DEALS'!$D:$D,J121))</f>
        <v/>
      </c>
      <c r="D121" s="51" t="str">
        <f aca="false">IF(J121=0,"",IF($B$3="",INDEX('FUNDED DEALS'!$V:$V,J121),IF(INDEX('FUNDED DEALS'!$T:$T,J121)=$B$3,INDEX('FUNDED DEALS'!$V:$V,J121),0)))</f>
        <v/>
      </c>
      <c r="E121" s="51" t="str">
        <f aca="false">IF(J121=0,"",IF($B$3="",INDEX('FUNDED DEALS'!$Y:$Y,J121),IF(INDEX('FUNDED DEALS'!$W:$W,J121)=$B$3,INDEX('FUNDED DEALS'!$Y:$Y,J121),0)))</f>
        <v/>
      </c>
      <c r="F121" s="51" t="str">
        <f aca="false">IF(J121=0,"",IF($B$3="",INDEX('FUNDED DEALS'!$AC:$AC,J121),D121+E121+IF(INDEX('FUNDED DEALS'!$Z:$Z,J121)=$B$3,INDEX('FUNDED DEALS'!$AB:$AB,J121),0)))</f>
        <v/>
      </c>
      <c r="G121" s="68" t="str">
        <f aca="false">IF(J121=0,"",INDEX('FUNDED DEALS'!$AM:$AM,J121))</f>
        <v/>
      </c>
      <c r="H121" s="67" t="str">
        <f aca="false">IF(J121=0,"",INDEX('FUNDED DEALS'!$AO:$AO,J121))</f>
        <v/>
      </c>
      <c r="J121" s="24" t="n">
        <f aca="false">IFERROR(MATCH(88,'FUNDED DEALS'!$AW$3:$AW$920,0)+2,0)</f>
        <v>0</v>
      </c>
    </row>
    <row r="122" customFormat="false" ht="15" hidden="false" customHeight="false" outlineLevel="0" collapsed="false">
      <c r="A122" s="49" t="str">
        <f aca="false">IF(J122=0,"",INDEX('FUNDED DEALS'!$A:$A,J122))</f>
        <v/>
      </c>
      <c r="B122" s="65" t="str">
        <f aca="false">IF(J122=0,"",INDEX('FUNDED DEALS'!$C:$C,J122))</f>
        <v/>
      </c>
      <c r="C122" s="49" t="str">
        <f aca="false">IF(J122=0,"",INDEX('FUNDED DEALS'!$D:$D,J122))</f>
        <v/>
      </c>
      <c r="D122" s="48" t="str">
        <f aca="false">IF(J122=0,"",IF($B$3="",INDEX('FUNDED DEALS'!$V:$V,J122),IF(INDEX('FUNDED DEALS'!$T:$T,J122)=$B$3,INDEX('FUNDED DEALS'!$V:$V,J122),0)))</f>
        <v/>
      </c>
      <c r="E122" s="48" t="str">
        <f aca="false">IF(J122=0,"",IF($B$3="",INDEX('FUNDED DEALS'!$Y:$Y,J122),IF(INDEX('FUNDED DEALS'!$W:$W,J122)=$B$3,INDEX('FUNDED DEALS'!$Y:$Y,J122),0)))</f>
        <v/>
      </c>
      <c r="F122" s="48" t="str">
        <f aca="false">IF(J122=0,"",IF($B$3="",INDEX('FUNDED DEALS'!$AC:$AC,J122),D122+E122+IF(INDEX('FUNDED DEALS'!$Z:$Z,J122)=$B$3,INDEX('FUNDED DEALS'!$AB:$AB,J122),0)))</f>
        <v/>
      </c>
      <c r="G122" s="66" t="str">
        <f aca="false">IF(J122=0,"",INDEX('FUNDED DEALS'!$AM:$AM,J122))</f>
        <v/>
      </c>
      <c r="H122" s="65" t="str">
        <f aca="false">IF(J122=0,"",INDEX('FUNDED DEALS'!$AO:$AO,J122))</f>
        <v/>
      </c>
      <c r="J122" s="24" t="n">
        <f aca="false">IFERROR(MATCH(89,'FUNDED DEALS'!$AW$3:$AW$920,0)+2,0)</f>
        <v>0</v>
      </c>
    </row>
    <row r="123" customFormat="false" ht="15" hidden="false" customHeight="false" outlineLevel="0" collapsed="false">
      <c r="A123" s="52" t="str">
        <f aca="false">IF(J123=0,"",INDEX('FUNDED DEALS'!$A:$A,J123))</f>
        <v/>
      </c>
      <c r="B123" s="67" t="str">
        <f aca="false">IF(J123=0,"",INDEX('FUNDED DEALS'!$C:$C,J123))</f>
        <v/>
      </c>
      <c r="C123" s="52" t="str">
        <f aca="false">IF(J123=0,"",INDEX('FUNDED DEALS'!$D:$D,J123))</f>
        <v/>
      </c>
      <c r="D123" s="51" t="str">
        <f aca="false">IF(J123=0,"",IF($B$3="",INDEX('FUNDED DEALS'!$V:$V,J123),IF(INDEX('FUNDED DEALS'!$T:$T,J123)=$B$3,INDEX('FUNDED DEALS'!$V:$V,J123),0)))</f>
        <v/>
      </c>
      <c r="E123" s="51" t="str">
        <f aca="false">IF(J123=0,"",IF($B$3="",INDEX('FUNDED DEALS'!$Y:$Y,J123),IF(INDEX('FUNDED DEALS'!$W:$W,J123)=$B$3,INDEX('FUNDED DEALS'!$Y:$Y,J123),0)))</f>
        <v/>
      </c>
      <c r="F123" s="51" t="str">
        <f aca="false">IF(J123=0,"",IF($B$3="",INDEX('FUNDED DEALS'!$AC:$AC,J123),D123+E123+IF(INDEX('FUNDED DEALS'!$Z:$Z,J123)=$B$3,INDEX('FUNDED DEALS'!$AB:$AB,J123),0)))</f>
        <v/>
      </c>
      <c r="G123" s="68" t="str">
        <f aca="false">IF(J123=0,"",INDEX('FUNDED DEALS'!$AM:$AM,J123))</f>
        <v/>
      </c>
      <c r="H123" s="67" t="str">
        <f aca="false">IF(J123=0,"",INDEX('FUNDED DEALS'!$AO:$AO,J123))</f>
        <v/>
      </c>
      <c r="J123" s="24" t="n">
        <f aca="false">IFERROR(MATCH(90,'FUNDED DEALS'!$AW$3:$AW$920,0)+2,0)</f>
        <v>0</v>
      </c>
    </row>
    <row r="124" customFormat="false" ht="15" hidden="false" customHeight="false" outlineLevel="0" collapsed="false">
      <c r="A124" s="49" t="str">
        <f aca="false">IF(J124=0,"",INDEX('FUNDED DEALS'!$A:$A,J124))</f>
        <v/>
      </c>
      <c r="B124" s="65" t="str">
        <f aca="false">IF(J124=0,"",INDEX('FUNDED DEALS'!$C:$C,J124))</f>
        <v/>
      </c>
      <c r="C124" s="49" t="str">
        <f aca="false">IF(J124=0,"",INDEX('FUNDED DEALS'!$D:$D,J124))</f>
        <v/>
      </c>
      <c r="D124" s="48" t="str">
        <f aca="false">IF(J124=0,"",IF($B$3="",INDEX('FUNDED DEALS'!$V:$V,J124),IF(INDEX('FUNDED DEALS'!$T:$T,J124)=$B$3,INDEX('FUNDED DEALS'!$V:$V,J124),0)))</f>
        <v/>
      </c>
      <c r="E124" s="48" t="str">
        <f aca="false">IF(J124=0,"",IF($B$3="",INDEX('FUNDED DEALS'!$Y:$Y,J124),IF(INDEX('FUNDED DEALS'!$W:$W,J124)=$B$3,INDEX('FUNDED DEALS'!$Y:$Y,J124),0)))</f>
        <v/>
      </c>
      <c r="F124" s="48" t="str">
        <f aca="false">IF(J124=0,"",IF($B$3="",INDEX('FUNDED DEALS'!$AC:$AC,J124),D124+E124+IF(INDEX('FUNDED DEALS'!$Z:$Z,J124)=$B$3,INDEX('FUNDED DEALS'!$AB:$AB,J124),0)))</f>
        <v/>
      </c>
      <c r="G124" s="66" t="str">
        <f aca="false">IF(J124=0,"",INDEX('FUNDED DEALS'!$AM:$AM,J124))</f>
        <v/>
      </c>
      <c r="H124" s="65" t="str">
        <f aca="false">IF(J124=0,"",INDEX('FUNDED DEALS'!$AO:$AO,J124))</f>
        <v/>
      </c>
      <c r="J124" s="24" t="n">
        <f aca="false">IFERROR(MATCH(91,'FUNDED DEALS'!$AW$3:$AW$920,0)+2,0)</f>
        <v>0</v>
      </c>
    </row>
    <row r="125" customFormat="false" ht="15" hidden="false" customHeight="false" outlineLevel="0" collapsed="false">
      <c r="A125" s="52" t="str">
        <f aca="false">IF(J125=0,"",INDEX('FUNDED DEALS'!$A:$A,J125))</f>
        <v/>
      </c>
      <c r="B125" s="67" t="str">
        <f aca="false">IF(J125=0,"",INDEX('FUNDED DEALS'!$C:$C,J125))</f>
        <v/>
      </c>
      <c r="C125" s="52" t="str">
        <f aca="false">IF(J125=0,"",INDEX('FUNDED DEALS'!$D:$D,J125))</f>
        <v/>
      </c>
      <c r="D125" s="51" t="str">
        <f aca="false">IF(J125=0,"",IF($B$3="",INDEX('FUNDED DEALS'!$V:$V,J125),IF(INDEX('FUNDED DEALS'!$T:$T,J125)=$B$3,INDEX('FUNDED DEALS'!$V:$V,J125),0)))</f>
        <v/>
      </c>
      <c r="E125" s="51" t="str">
        <f aca="false">IF(J125=0,"",IF($B$3="",INDEX('FUNDED DEALS'!$Y:$Y,J125),IF(INDEX('FUNDED DEALS'!$W:$W,J125)=$B$3,INDEX('FUNDED DEALS'!$Y:$Y,J125),0)))</f>
        <v/>
      </c>
      <c r="F125" s="51" t="str">
        <f aca="false">IF(J125=0,"",IF($B$3="",INDEX('FUNDED DEALS'!$AC:$AC,J125),D125+E125+IF(INDEX('FUNDED DEALS'!$Z:$Z,J125)=$B$3,INDEX('FUNDED DEALS'!$AB:$AB,J125),0)))</f>
        <v/>
      </c>
      <c r="G125" s="68" t="str">
        <f aca="false">IF(J125=0,"",INDEX('FUNDED DEALS'!$AM:$AM,J125))</f>
        <v/>
      </c>
      <c r="H125" s="67" t="str">
        <f aca="false">IF(J125=0,"",INDEX('FUNDED DEALS'!$AO:$AO,J125))</f>
        <v/>
      </c>
      <c r="J125" s="24" t="n">
        <f aca="false">IFERROR(MATCH(92,'FUNDED DEALS'!$AW$3:$AW$920,0)+2,0)</f>
        <v>0</v>
      </c>
    </row>
    <row r="126" customFormat="false" ht="15" hidden="false" customHeight="false" outlineLevel="0" collapsed="false">
      <c r="A126" s="49" t="str">
        <f aca="false">IF(J126=0,"",INDEX('FUNDED DEALS'!$A:$A,J126))</f>
        <v/>
      </c>
      <c r="B126" s="65" t="str">
        <f aca="false">IF(J126=0,"",INDEX('FUNDED DEALS'!$C:$C,J126))</f>
        <v/>
      </c>
      <c r="C126" s="49" t="str">
        <f aca="false">IF(J126=0,"",INDEX('FUNDED DEALS'!$D:$D,J126))</f>
        <v/>
      </c>
      <c r="D126" s="48" t="str">
        <f aca="false">IF(J126=0,"",IF($B$3="",INDEX('FUNDED DEALS'!$V:$V,J126),IF(INDEX('FUNDED DEALS'!$T:$T,J126)=$B$3,INDEX('FUNDED DEALS'!$V:$V,J126),0)))</f>
        <v/>
      </c>
      <c r="E126" s="48" t="str">
        <f aca="false">IF(J126=0,"",IF($B$3="",INDEX('FUNDED DEALS'!$Y:$Y,J126),IF(INDEX('FUNDED DEALS'!$W:$W,J126)=$B$3,INDEX('FUNDED DEALS'!$Y:$Y,J126),0)))</f>
        <v/>
      </c>
      <c r="F126" s="48" t="str">
        <f aca="false">IF(J126=0,"",IF($B$3="",INDEX('FUNDED DEALS'!$AC:$AC,J126),D126+E126+IF(INDEX('FUNDED DEALS'!$Z:$Z,J126)=$B$3,INDEX('FUNDED DEALS'!$AB:$AB,J126),0)))</f>
        <v/>
      </c>
      <c r="G126" s="66" t="str">
        <f aca="false">IF(J126=0,"",INDEX('FUNDED DEALS'!$AM:$AM,J126))</f>
        <v/>
      </c>
      <c r="H126" s="65" t="str">
        <f aca="false">IF(J126=0,"",INDEX('FUNDED DEALS'!$AO:$AO,J126))</f>
        <v/>
      </c>
      <c r="J126" s="24" t="n">
        <f aca="false">IFERROR(MATCH(93,'FUNDED DEALS'!$AW$3:$AW$920,0)+2,0)</f>
        <v>0</v>
      </c>
    </row>
    <row r="127" customFormat="false" ht="15" hidden="false" customHeight="false" outlineLevel="0" collapsed="false">
      <c r="A127" s="52" t="str">
        <f aca="false">IF(J127=0,"",INDEX('FUNDED DEALS'!$A:$A,J127))</f>
        <v/>
      </c>
      <c r="B127" s="67" t="str">
        <f aca="false">IF(J127=0,"",INDEX('FUNDED DEALS'!$C:$C,J127))</f>
        <v/>
      </c>
      <c r="C127" s="52" t="str">
        <f aca="false">IF(J127=0,"",INDEX('FUNDED DEALS'!$D:$D,J127))</f>
        <v/>
      </c>
      <c r="D127" s="51" t="str">
        <f aca="false">IF(J127=0,"",IF($B$3="",INDEX('FUNDED DEALS'!$V:$V,J127),IF(INDEX('FUNDED DEALS'!$T:$T,J127)=$B$3,INDEX('FUNDED DEALS'!$V:$V,J127),0)))</f>
        <v/>
      </c>
      <c r="E127" s="51" t="str">
        <f aca="false">IF(J127=0,"",IF($B$3="",INDEX('FUNDED DEALS'!$Y:$Y,J127),IF(INDEX('FUNDED DEALS'!$W:$W,J127)=$B$3,INDEX('FUNDED DEALS'!$Y:$Y,J127),0)))</f>
        <v/>
      </c>
      <c r="F127" s="51" t="str">
        <f aca="false">IF(J127=0,"",IF($B$3="",INDEX('FUNDED DEALS'!$AC:$AC,J127),D127+E127+IF(INDEX('FUNDED DEALS'!$Z:$Z,J127)=$B$3,INDEX('FUNDED DEALS'!$AB:$AB,J127),0)))</f>
        <v/>
      </c>
      <c r="G127" s="68" t="str">
        <f aca="false">IF(J127=0,"",INDEX('FUNDED DEALS'!$AM:$AM,J127))</f>
        <v/>
      </c>
      <c r="H127" s="67" t="str">
        <f aca="false">IF(J127=0,"",INDEX('FUNDED DEALS'!$AO:$AO,J127))</f>
        <v/>
      </c>
      <c r="J127" s="24" t="n">
        <f aca="false">IFERROR(MATCH(94,'FUNDED DEALS'!$AW$3:$AW$920,0)+2,0)</f>
        <v>0</v>
      </c>
    </row>
    <row r="128" customFormat="false" ht="15" hidden="false" customHeight="false" outlineLevel="0" collapsed="false">
      <c r="A128" s="49" t="str">
        <f aca="false">IF(J128=0,"",INDEX('FUNDED DEALS'!$A:$A,J128))</f>
        <v/>
      </c>
      <c r="B128" s="65" t="str">
        <f aca="false">IF(J128=0,"",INDEX('FUNDED DEALS'!$C:$C,J128))</f>
        <v/>
      </c>
      <c r="C128" s="49" t="str">
        <f aca="false">IF(J128=0,"",INDEX('FUNDED DEALS'!$D:$D,J128))</f>
        <v/>
      </c>
      <c r="D128" s="48" t="str">
        <f aca="false">IF(J128=0,"",IF($B$3="",INDEX('FUNDED DEALS'!$V:$V,J128),IF(INDEX('FUNDED DEALS'!$T:$T,J128)=$B$3,INDEX('FUNDED DEALS'!$V:$V,J128),0)))</f>
        <v/>
      </c>
      <c r="E128" s="48" t="str">
        <f aca="false">IF(J128=0,"",IF($B$3="",INDEX('FUNDED DEALS'!$Y:$Y,J128),IF(INDEX('FUNDED DEALS'!$W:$W,J128)=$B$3,INDEX('FUNDED DEALS'!$Y:$Y,J128),0)))</f>
        <v/>
      </c>
      <c r="F128" s="48" t="str">
        <f aca="false">IF(J128=0,"",IF($B$3="",INDEX('FUNDED DEALS'!$AC:$AC,J128),D128+E128+IF(INDEX('FUNDED DEALS'!$Z:$Z,J128)=$B$3,INDEX('FUNDED DEALS'!$AB:$AB,J128),0)))</f>
        <v/>
      </c>
      <c r="G128" s="66" t="str">
        <f aca="false">IF(J128=0,"",INDEX('FUNDED DEALS'!$AM:$AM,J128))</f>
        <v/>
      </c>
      <c r="H128" s="65" t="str">
        <f aca="false">IF(J128=0,"",INDEX('FUNDED DEALS'!$AO:$AO,J128))</f>
        <v/>
      </c>
      <c r="J128" s="24" t="n">
        <f aca="false">IFERROR(MATCH(95,'FUNDED DEALS'!$AW$3:$AW$920,0)+2,0)</f>
        <v>0</v>
      </c>
    </row>
    <row r="129" customFormat="false" ht="15" hidden="false" customHeight="false" outlineLevel="0" collapsed="false">
      <c r="A129" s="52" t="str">
        <f aca="false">IF(J129=0,"",INDEX('FUNDED DEALS'!$A:$A,J129))</f>
        <v/>
      </c>
      <c r="B129" s="67" t="str">
        <f aca="false">IF(J129=0,"",INDEX('FUNDED DEALS'!$C:$C,J129))</f>
        <v/>
      </c>
      <c r="C129" s="52" t="str">
        <f aca="false">IF(J129=0,"",INDEX('FUNDED DEALS'!$D:$D,J129))</f>
        <v/>
      </c>
      <c r="D129" s="51" t="str">
        <f aca="false">IF(J129=0,"",IF($B$3="",INDEX('FUNDED DEALS'!$V:$V,J129),IF(INDEX('FUNDED DEALS'!$T:$T,J129)=$B$3,INDEX('FUNDED DEALS'!$V:$V,J129),0)))</f>
        <v/>
      </c>
      <c r="E129" s="51" t="str">
        <f aca="false">IF(J129=0,"",IF($B$3="",INDEX('FUNDED DEALS'!$Y:$Y,J129),IF(INDEX('FUNDED DEALS'!$W:$W,J129)=$B$3,INDEX('FUNDED DEALS'!$Y:$Y,J129),0)))</f>
        <v/>
      </c>
      <c r="F129" s="51" t="str">
        <f aca="false">IF(J129=0,"",IF($B$3="",INDEX('FUNDED DEALS'!$AC:$AC,J129),D129+E129+IF(INDEX('FUNDED DEALS'!$Z:$Z,J129)=$B$3,INDEX('FUNDED DEALS'!$AB:$AB,J129),0)))</f>
        <v/>
      </c>
      <c r="G129" s="68" t="str">
        <f aca="false">IF(J129=0,"",INDEX('FUNDED DEALS'!$AM:$AM,J129))</f>
        <v/>
      </c>
      <c r="H129" s="67" t="str">
        <f aca="false">IF(J129=0,"",INDEX('FUNDED DEALS'!$AO:$AO,J129))</f>
        <v/>
      </c>
      <c r="J129" s="24" t="n">
        <f aca="false">IFERROR(MATCH(96,'FUNDED DEALS'!$AW$3:$AW$920,0)+2,0)</f>
        <v>0</v>
      </c>
    </row>
    <row r="130" customFormat="false" ht="15" hidden="false" customHeight="false" outlineLevel="0" collapsed="false">
      <c r="A130" s="49" t="str">
        <f aca="false">IF(J130=0,"",INDEX('FUNDED DEALS'!$A:$A,J130))</f>
        <v/>
      </c>
      <c r="B130" s="65" t="str">
        <f aca="false">IF(J130=0,"",INDEX('FUNDED DEALS'!$C:$C,J130))</f>
        <v/>
      </c>
      <c r="C130" s="49" t="str">
        <f aca="false">IF(J130=0,"",INDEX('FUNDED DEALS'!$D:$D,J130))</f>
        <v/>
      </c>
      <c r="D130" s="48" t="str">
        <f aca="false">IF(J130=0,"",IF($B$3="",INDEX('FUNDED DEALS'!$V:$V,J130),IF(INDEX('FUNDED DEALS'!$T:$T,J130)=$B$3,INDEX('FUNDED DEALS'!$V:$V,J130),0)))</f>
        <v/>
      </c>
      <c r="E130" s="48" t="str">
        <f aca="false">IF(J130=0,"",IF($B$3="",INDEX('FUNDED DEALS'!$Y:$Y,J130),IF(INDEX('FUNDED DEALS'!$W:$W,J130)=$B$3,INDEX('FUNDED DEALS'!$Y:$Y,J130),0)))</f>
        <v/>
      </c>
      <c r="F130" s="48" t="str">
        <f aca="false">IF(J130=0,"",IF($B$3="",INDEX('FUNDED DEALS'!$AC:$AC,J130),D130+E130+IF(INDEX('FUNDED DEALS'!$Z:$Z,J130)=$B$3,INDEX('FUNDED DEALS'!$AB:$AB,J130),0)))</f>
        <v/>
      </c>
      <c r="G130" s="66" t="str">
        <f aca="false">IF(J130=0,"",INDEX('FUNDED DEALS'!$AM:$AM,J130))</f>
        <v/>
      </c>
      <c r="H130" s="65" t="str">
        <f aca="false">IF(J130=0,"",INDEX('FUNDED DEALS'!$AO:$AO,J130))</f>
        <v/>
      </c>
      <c r="J130" s="24" t="n">
        <f aca="false">IFERROR(MATCH(97,'FUNDED DEALS'!$AW$3:$AW$920,0)+2,0)</f>
        <v>0</v>
      </c>
    </row>
    <row r="131" customFormat="false" ht="15" hidden="false" customHeight="false" outlineLevel="0" collapsed="false">
      <c r="A131" s="52" t="str">
        <f aca="false">IF(J131=0,"",INDEX('FUNDED DEALS'!$A:$A,J131))</f>
        <v/>
      </c>
      <c r="B131" s="67" t="str">
        <f aca="false">IF(J131=0,"",INDEX('FUNDED DEALS'!$C:$C,J131))</f>
        <v/>
      </c>
      <c r="C131" s="52" t="str">
        <f aca="false">IF(J131=0,"",INDEX('FUNDED DEALS'!$D:$D,J131))</f>
        <v/>
      </c>
      <c r="D131" s="51" t="str">
        <f aca="false">IF(J131=0,"",IF($B$3="",INDEX('FUNDED DEALS'!$V:$V,J131),IF(INDEX('FUNDED DEALS'!$T:$T,J131)=$B$3,INDEX('FUNDED DEALS'!$V:$V,J131),0)))</f>
        <v/>
      </c>
      <c r="E131" s="51" t="str">
        <f aca="false">IF(J131=0,"",IF($B$3="",INDEX('FUNDED DEALS'!$Y:$Y,J131),IF(INDEX('FUNDED DEALS'!$W:$W,J131)=$B$3,INDEX('FUNDED DEALS'!$Y:$Y,J131),0)))</f>
        <v/>
      </c>
      <c r="F131" s="51" t="str">
        <f aca="false">IF(J131=0,"",IF($B$3="",INDEX('FUNDED DEALS'!$AC:$AC,J131),D131+E131+IF(INDEX('FUNDED DEALS'!$Z:$Z,J131)=$B$3,INDEX('FUNDED DEALS'!$AB:$AB,J131),0)))</f>
        <v/>
      </c>
      <c r="G131" s="68" t="str">
        <f aca="false">IF(J131=0,"",INDEX('FUNDED DEALS'!$AM:$AM,J131))</f>
        <v/>
      </c>
      <c r="H131" s="67" t="str">
        <f aca="false">IF(J131=0,"",INDEX('FUNDED DEALS'!$AO:$AO,J131))</f>
        <v/>
      </c>
      <c r="J131" s="24" t="n">
        <f aca="false">IFERROR(MATCH(98,'FUNDED DEALS'!$AW$3:$AW$920,0)+2,0)</f>
        <v>0</v>
      </c>
    </row>
    <row r="132" customFormat="false" ht="15" hidden="false" customHeight="false" outlineLevel="0" collapsed="false">
      <c r="A132" s="49" t="str">
        <f aca="false">IF(J132=0,"",INDEX('FUNDED DEALS'!$A:$A,J132))</f>
        <v/>
      </c>
      <c r="B132" s="65" t="str">
        <f aca="false">IF(J132=0,"",INDEX('FUNDED DEALS'!$C:$C,J132))</f>
        <v/>
      </c>
      <c r="C132" s="49" t="str">
        <f aca="false">IF(J132=0,"",INDEX('FUNDED DEALS'!$D:$D,J132))</f>
        <v/>
      </c>
      <c r="D132" s="48" t="str">
        <f aca="false">IF(J132=0,"",IF($B$3="",INDEX('FUNDED DEALS'!$V:$V,J132),IF(INDEX('FUNDED DEALS'!$T:$T,J132)=$B$3,INDEX('FUNDED DEALS'!$V:$V,J132),0)))</f>
        <v/>
      </c>
      <c r="E132" s="48" t="str">
        <f aca="false">IF(J132=0,"",IF($B$3="",INDEX('FUNDED DEALS'!$Y:$Y,J132),IF(INDEX('FUNDED DEALS'!$W:$W,J132)=$B$3,INDEX('FUNDED DEALS'!$Y:$Y,J132),0)))</f>
        <v/>
      </c>
      <c r="F132" s="48" t="str">
        <f aca="false">IF(J132=0,"",IF($B$3="",INDEX('FUNDED DEALS'!$AC:$AC,J132),D132+E132+IF(INDEX('FUNDED DEALS'!$Z:$Z,J132)=$B$3,INDEX('FUNDED DEALS'!$AB:$AB,J132),0)))</f>
        <v/>
      </c>
      <c r="G132" s="66" t="str">
        <f aca="false">IF(J132=0,"",INDEX('FUNDED DEALS'!$AM:$AM,J132))</f>
        <v/>
      </c>
      <c r="H132" s="65" t="str">
        <f aca="false">IF(J132=0,"",INDEX('FUNDED DEALS'!$AO:$AO,J132))</f>
        <v/>
      </c>
      <c r="J132" s="24" t="n">
        <f aca="false">IFERROR(MATCH(99,'FUNDED DEALS'!$AW$3:$AW$920,0)+2,0)</f>
        <v>0</v>
      </c>
    </row>
    <row r="133" customFormat="false" ht="15" hidden="false" customHeight="false" outlineLevel="0" collapsed="false">
      <c r="A133" s="52" t="str">
        <f aca="false">IF(J133=0,"",INDEX('FUNDED DEALS'!$A:$A,J133))</f>
        <v/>
      </c>
      <c r="B133" s="67" t="str">
        <f aca="false">IF(J133=0,"",INDEX('FUNDED DEALS'!$C:$C,J133))</f>
        <v/>
      </c>
      <c r="C133" s="52" t="str">
        <f aca="false">IF(J133=0,"",INDEX('FUNDED DEALS'!$D:$D,J133))</f>
        <v/>
      </c>
      <c r="D133" s="51" t="str">
        <f aca="false">IF(J133=0,"",IF($B$3="",INDEX('FUNDED DEALS'!$V:$V,J133),IF(INDEX('FUNDED DEALS'!$T:$T,J133)=$B$3,INDEX('FUNDED DEALS'!$V:$V,J133),0)))</f>
        <v/>
      </c>
      <c r="E133" s="51" t="str">
        <f aca="false">IF(J133=0,"",IF($B$3="",INDEX('FUNDED DEALS'!$Y:$Y,J133),IF(INDEX('FUNDED DEALS'!$W:$W,J133)=$B$3,INDEX('FUNDED DEALS'!$Y:$Y,J133),0)))</f>
        <v/>
      </c>
      <c r="F133" s="51" t="str">
        <f aca="false">IF(J133=0,"",IF($B$3="",INDEX('FUNDED DEALS'!$AC:$AC,J133),D133+E133+IF(INDEX('FUNDED DEALS'!$Z:$Z,J133)=$B$3,INDEX('FUNDED DEALS'!$AB:$AB,J133),0)))</f>
        <v/>
      </c>
      <c r="G133" s="68" t="str">
        <f aca="false">IF(J133=0,"",INDEX('FUNDED DEALS'!$AM:$AM,J133))</f>
        <v/>
      </c>
      <c r="H133" s="67" t="str">
        <f aca="false">IF(J133=0,"",INDEX('FUNDED DEALS'!$AO:$AO,J133))</f>
        <v/>
      </c>
      <c r="J133" s="24" t="n">
        <f aca="false">IFERROR(MATCH(100,'FUNDED DEALS'!$AW$3:$AW$920,0)+2,0)</f>
        <v>0</v>
      </c>
    </row>
    <row r="134" customFormat="false" ht="15" hidden="false" customHeight="false" outlineLevel="0" collapsed="false">
      <c r="A134" s="49" t="str">
        <f aca="false">IF(J134=0,"",INDEX('FUNDED DEALS 2027'!$A:$A,J134))</f>
        <v/>
      </c>
      <c r="B134" s="65" t="str">
        <f aca="false">IF(J134=0,"",INDEX('FUNDED DEALS 2027'!$C:$C,J134))</f>
        <v/>
      </c>
      <c r="C134" s="49" t="str">
        <f aca="false">IF(J134=0,"",INDEX('FUNDED DEALS 2027'!$D:$D,J134))</f>
        <v/>
      </c>
      <c r="D134" s="48" t="str">
        <f aca="false">IF(J134=0,"",IF($B$3="",INDEX('FUNDED DEALS 2027'!$V:$V,J134),IF(INDEX('FUNDED DEALS 2027'!$T:$T,J134)=$B$3,INDEX('FUNDED DEALS 2027'!$V:$V,J134),0)))</f>
        <v/>
      </c>
      <c r="E134" s="48" t="str">
        <f aca="false">IF(J134=0,"",IF($B$3="",INDEX('FUNDED DEALS 2027'!$Y:$Y,J134),IF(INDEX('FUNDED DEALS 2027'!$W:$W,J134)=$B$3,INDEX('FUNDED DEALS 2027'!$Y:$Y,J134),0)))</f>
        <v/>
      </c>
      <c r="F134" s="48" t="str">
        <f aca="false">IF(J134=0,"",IF($B$3="",INDEX('FUNDED DEALS 2027'!$AC:$AC,J134),D134+E134+IF(INDEX('FUNDED DEALS 2027'!$Z:$Z,J134)=$B$3,INDEX('FUNDED DEALS 2027'!$AB:$AB,J134),0)))</f>
        <v/>
      </c>
      <c r="G134" s="66" t="str">
        <f aca="false">IF(J134=0,"",INDEX('FUNDED DEALS 2027'!$AM:$AM,J134))</f>
        <v/>
      </c>
      <c r="H134" s="65" t="str">
        <f aca="false">IF(J134=0,"",INDEX('FUNDED DEALS 2027'!$AO:$AO,J134))</f>
        <v/>
      </c>
      <c r="J134" s="24" t="n">
        <f aca="false">IFERROR(MATCH(1,'FUNDED DEALS 2027'!$AW$3:$AW$1226,0)+2,0)</f>
        <v>0</v>
      </c>
    </row>
    <row r="135" customFormat="false" ht="15" hidden="false" customHeight="false" outlineLevel="0" collapsed="false">
      <c r="A135" s="52" t="str">
        <f aca="false">IF(J135=0,"",INDEX('FUNDED DEALS 2027'!$A:$A,J135))</f>
        <v/>
      </c>
      <c r="B135" s="67" t="str">
        <f aca="false">IF(J135=0,"",INDEX('FUNDED DEALS 2027'!$C:$C,J135))</f>
        <v/>
      </c>
      <c r="C135" s="52" t="str">
        <f aca="false">IF(J135=0,"",INDEX('FUNDED DEALS 2027'!$D:$D,J135))</f>
        <v/>
      </c>
      <c r="D135" s="51" t="str">
        <f aca="false">IF(J135=0,"",IF($B$3="",INDEX('FUNDED DEALS 2027'!$V:$V,J135),IF(INDEX('FUNDED DEALS 2027'!$T:$T,J135)=$B$3,INDEX('FUNDED DEALS 2027'!$V:$V,J135),0)))</f>
        <v/>
      </c>
      <c r="E135" s="51" t="str">
        <f aca="false">IF(J135=0,"",IF($B$3="",INDEX('FUNDED DEALS 2027'!$Y:$Y,J135),IF(INDEX('FUNDED DEALS 2027'!$W:$W,J135)=$B$3,INDEX('FUNDED DEALS 2027'!$Y:$Y,J135),0)))</f>
        <v/>
      </c>
      <c r="F135" s="51" t="str">
        <f aca="false">IF(J135=0,"",IF($B$3="",INDEX('FUNDED DEALS 2027'!$AC:$AC,J135),D135+E135+IF(INDEX('FUNDED DEALS 2027'!$Z:$Z,J135)=$B$3,INDEX('FUNDED DEALS 2027'!$AB:$AB,J135),0)))</f>
        <v/>
      </c>
      <c r="G135" s="68" t="str">
        <f aca="false">IF(J135=0,"",INDEX('FUNDED DEALS 2027'!$AM:$AM,J135))</f>
        <v/>
      </c>
      <c r="H135" s="67" t="str">
        <f aca="false">IF(J135=0,"",INDEX('FUNDED DEALS 2027'!$AO:$AO,J135))</f>
        <v/>
      </c>
      <c r="J135" s="24" t="n">
        <f aca="false">IFERROR(MATCH(2,'FUNDED DEALS 2027'!$AW$3:$AW$1226,0)+2,0)</f>
        <v>0</v>
      </c>
    </row>
    <row r="136" customFormat="false" ht="15" hidden="false" customHeight="false" outlineLevel="0" collapsed="false">
      <c r="A136" s="49" t="str">
        <f aca="false">IF(J136=0,"",INDEX('FUNDED DEALS 2027'!$A:$A,J136))</f>
        <v/>
      </c>
      <c r="B136" s="65" t="str">
        <f aca="false">IF(J136=0,"",INDEX('FUNDED DEALS 2027'!$C:$C,J136))</f>
        <v/>
      </c>
      <c r="C136" s="49" t="str">
        <f aca="false">IF(J136=0,"",INDEX('FUNDED DEALS 2027'!$D:$D,J136))</f>
        <v/>
      </c>
      <c r="D136" s="48" t="str">
        <f aca="false">IF(J136=0,"",IF($B$3="",INDEX('FUNDED DEALS 2027'!$V:$V,J136),IF(INDEX('FUNDED DEALS 2027'!$T:$T,J136)=$B$3,INDEX('FUNDED DEALS 2027'!$V:$V,J136),0)))</f>
        <v/>
      </c>
      <c r="E136" s="48" t="str">
        <f aca="false">IF(J136=0,"",IF($B$3="",INDEX('FUNDED DEALS 2027'!$Y:$Y,J136),IF(INDEX('FUNDED DEALS 2027'!$W:$W,J136)=$B$3,INDEX('FUNDED DEALS 2027'!$Y:$Y,J136),0)))</f>
        <v/>
      </c>
      <c r="F136" s="48" t="str">
        <f aca="false">IF(J136=0,"",IF($B$3="",INDEX('FUNDED DEALS 2027'!$AC:$AC,J136),D136+E136+IF(INDEX('FUNDED DEALS 2027'!$Z:$Z,J136)=$B$3,INDEX('FUNDED DEALS 2027'!$AB:$AB,J136),0)))</f>
        <v/>
      </c>
      <c r="G136" s="66" t="str">
        <f aca="false">IF(J136=0,"",INDEX('FUNDED DEALS 2027'!$AM:$AM,J136))</f>
        <v/>
      </c>
      <c r="H136" s="65" t="str">
        <f aca="false">IF(J136=0,"",INDEX('FUNDED DEALS 2027'!$AO:$AO,J136))</f>
        <v/>
      </c>
      <c r="J136" s="24" t="n">
        <f aca="false">IFERROR(MATCH(3,'FUNDED DEALS 2027'!$AW$3:$AW$1226,0)+2,0)</f>
        <v>0</v>
      </c>
    </row>
    <row r="137" customFormat="false" ht="15" hidden="false" customHeight="false" outlineLevel="0" collapsed="false">
      <c r="A137" s="52" t="str">
        <f aca="false">IF(J137=0,"",INDEX('FUNDED DEALS 2027'!$A:$A,J137))</f>
        <v/>
      </c>
      <c r="B137" s="67" t="str">
        <f aca="false">IF(J137=0,"",INDEX('FUNDED DEALS 2027'!$C:$C,J137))</f>
        <v/>
      </c>
      <c r="C137" s="52" t="str">
        <f aca="false">IF(J137=0,"",INDEX('FUNDED DEALS 2027'!$D:$D,J137))</f>
        <v/>
      </c>
      <c r="D137" s="51" t="str">
        <f aca="false">IF(J137=0,"",IF($B$3="",INDEX('FUNDED DEALS 2027'!$V:$V,J137),IF(INDEX('FUNDED DEALS 2027'!$T:$T,J137)=$B$3,INDEX('FUNDED DEALS 2027'!$V:$V,J137),0)))</f>
        <v/>
      </c>
      <c r="E137" s="51" t="str">
        <f aca="false">IF(J137=0,"",IF($B$3="",INDEX('FUNDED DEALS 2027'!$Y:$Y,J137),IF(INDEX('FUNDED DEALS 2027'!$W:$W,J137)=$B$3,INDEX('FUNDED DEALS 2027'!$Y:$Y,J137),0)))</f>
        <v/>
      </c>
      <c r="F137" s="51" t="str">
        <f aca="false">IF(J137=0,"",IF($B$3="",INDEX('FUNDED DEALS 2027'!$AC:$AC,J137),D137+E137+IF(INDEX('FUNDED DEALS 2027'!$Z:$Z,J137)=$B$3,INDEX('FUNDED DEALS 2027'!$AB:$AB,J137),0)))</f>
        <v/>
      </c>
      <c r="G137" s="68" t="str">
        <f aca="false">IF(J137=0,"",INDEX('FUNDED DEALS 2027'!$AM:$AM,J137))</f>
        <v/>
      </c>
      <c r="H137" s="67" t="str">
        <f aca="false">IF(J137=0,"",INDEX('FUNDED DEALS 2027'!$AO:$AO,J137))</f>
        <v/>
      </c>
      <c r="J137" s="24" t="n">
        <f aca="false">IFERROR(MATCH(4,'FUNDED DEALS 2027'!$AW$3:$AW$1226,0)+2,0)</f>
        <v>0</v>
      </c>
    </row>
    <row r="138" customFormat="false" ht="15" hidden="false" customHeight="false" outlineLevel="0" collapsed="false">
      <c r="A138" s="49" t="str">
        <f aca="false">IF(J138=0,"",INDEX('FUNDED DEALS 2027'!$A:$A,J138))</f>
        <v/>
      </c>
      <c r="B138" s="65" t="str">
        <f aca="false">IF(J138=0,"",INDEX('FUNDED DEALS 2027'!$C:$C,J138))</f>
        <v/>
      </c>
      <c r="C138" s="49" t="str">
        <f aca="false">IF(J138=0,"",INDEX('FUNDED DEALS 2027'!$D:$D,J138))</f>
        <v/>
      </c>
      <c r="D138" s="48" t="str">
        <f aca="false">IF(J138=0,"",IF($B$3="",INDEX('FUNDED DEALS 2027'!$V:$V,J138),IF(INDEX('FUNDED DEALS 2027'!$T:$T,J138)=$B$3,INDEX('FUNDED DEALS 2027'!$V:$V,J138),0)))</f>
        <v/>
      </c>
      <c r="E138" s="48" t="str">
        <f aca="false">IF(J138=0,"",IF($B$3="",INDEX('FUNDED DEALS 2027'!$Y:$Y,J138),IF(INDEX('FUNDED DEALS 2027'!$W:$W,J138)=$B$3,INDEX('FUNDED DEALS 2027'!$Y:$Y,J138),0)))</f>
        <v/>
      </c>
      <c r="F138" s="48" t="str">
        <f aca="false">IF(J138=0,"",IF($B$3="",INDEX('FUNDED DEALS 2027'!$AC:$AC,J138),D138+E138+IF(INDEX('FUNDED DEALS 2027'!$Z:$Z,J138)=$B$3,INDEX('FUNDED DEALS 2027'!$AB:$AB,J138),0)))</f>
        <v/>
      </c>
      <c r="G138" s="66" t="str">
        <f aca="false">IF(J138=0,"",INDEX('FUNDED DEALS 2027'!$AM:$AM,J138))</f>
        <v/>
      </c>
      <c r="H138" s="65" t="str">
        <f aca="false">IF(J138=0,"",INDEX('FUNDED DEALS 2027'!$AO:$AO,J138))</f>
        <v/>
      </c>
      <c r="J138" s="24" t="n">
        <f aca="false">IFERROR(MATCH(5,'FUNDED DEALS 2027'!$AW$3:$AW$1226,0)+2,0)</f>
        <v>0</v>
      </c>
    </row>
    <row r="139" customFormat="false" ht="15" hidden="false" customHeight="false" outlineLevel="0" collapsed="false">
      <c r="A139" s="52" t="str">
        <f aca="false">IF(J139=0,"",INDEX('FUNDED DEALS 2027'!$A:$A,J139))</f>
        <v/>
      </c>
      <c r="B139" s="67" t="str">
        <f aca="false">IF(J139=0,"",INDEX('FUNDED DEALS 2027'!$C:$C,J139))</f>
        <v/>
      </c>
      <c r="C139" s="52" t="str">
        <f aca="false">IF(J139=0,"",INDEX('FUNDED DEALS 2027'!$D:$D,J139))</f>
        <v/>
      </c>
      <c r="D139" s="51" t="str">
        <f aca="false">IF(J139=0,"",IF($B$3="",INDEX('FUNDED DEALS 2027'!$V:$V,J139),IF(INDEX('FUNDED DEALS 2027'!$T:$T,J139)=$B$3,INDEX('FUNDED DEALS 2027'!$V:$V,J139),0)))</f>
        <v/>
      </c>
      <c r="E139" s="51" t="str">
        <f aca="false">IF(J139=0,"",IF($B$3="",INDEX('FUNDED DEALS 2027'!$Y:$Y,J139),IF(INDEX('FUNDED DEALS 2027'!$W:$W,J139)=$B$3,INDEX('FUNDED DEALS 2027'!$Y:$Y,J139),0)))</f>
        <v/>
      </c>
      <c r="F139" s="51" t="str">
        <f aca="false">IF(J139=0,"",IF($B$3="",INDEX('FUNDED DEALS 2027'!$AC:$AC,J139),D139+E139+IF(INDEX('FUNDED DEALS 2027'!$Z:$Z,J139)=$B$3,INDEX('FUNDED DEALS 2027'!$AB:$AB,J139),0)))</f>
        <v/>
      </c>
      <c r="G139" s="68" t="str">
        <f aca="false">IF(J139=0,"",INDEX('FUNDED DEALS 2027'!$AM:$AM,J139))</f>
        <v/>
      </c>
      <c r="H139" s="67" t="str">
        <f aca="false">IF(J139=0,"",INDEX('FUNDED DEALS 2027'!$AO:$AO,J139))</f>
        <v/>
      </c>
      <c r="J139" s="24" t="n">
        <f aca="false">IFERROR(MATCH(6,'FUNDED DEALS 2027'!$AW$3:$AW$1226,0)+2,0)</f>
        <v>0</v>
      </c>
    </row>
    <row r="140" customFormat="false" ht="15" hidden="false" customHeight="false" outlineLevel="0" collapsed="false">
      <c r="A140" s="49" t="str">
        <f aca="false">IF(J140=0,"",INDEX('FUNDED DEALS 2027'!$A:$A,J140))</f>
        <v/>
      </c>
      <c r="B140" s="65" t="str">
        <f aca="false">IF(J140=0,"",INDEX('FUNDED DEALS 2027'!$C:$C,J140))</f>
        <v/>
      </c>
      <c r="C140" s="49" t="str">
        <f aca="false">IF(J140=0,"",INDEX('FUNDED DEALS 2027'!$D:$D,J140))</f>
        <v/>
      </c>
      <c r="D140" s="48" t="str">
        <f aca="false">IF(J140=0,"",IF($B$3="",INDEX('FUNDED DEALS 2027'!$V:$V,J140),IF(INDEX('FUNDED DEALS 2027'!$T:$T,J140)=$B$3,INDEX('FUNDED DEALS 2027'!$V:$V,J140),0)))</f>
        <v/>
      </c>
      <c r="E140" s="48" t="str">
        <f aca="false">IF(J140=0,"",IF($B$3="",INDEX('FUNDED DEALS 2027'!$Y:$Y,J140),IF(INDEX('FUNDED DEALS 2027'!$W:$W,J140)=$B$3,INDEX('FUNDED DEALS 2027'!$Y:$Y,J140),0)))</f>
        <v/>
      </c>
      <c r="F140" s="48" t="str">
        <f aca="false">IF(J140=0,"",IF($B$3="",INDEX('FUNDED DEALS 2027'!$AC:$AC,J140),D140+E140+IF(INDEX('FUNDED DEALS 2027'!$Z:$Z,J140)=$B$3,INDEX('FUNDED DEALS 2027'!$AB:$AB,J140),0)))</f>
        <v/>
      </c>
      <c r="G140" s="66" t="str">
        <f aca="false">IF(J140=0,"",INDEX('FUNDED DEALS 2027'!$AM:$AM,J140))</f>
        <v/>
      </c>
      <c r="H140" s="65" t="str">
        <f aca="false">IF(J140=0,"",INDEX('FUNDED DEALS 2027'!$AO:$AO,J140))</f>
        <v/>
      </c>
      <c r="J140" s="24" t="n">
        <f aca="false">IFERROR(MATCH(7,'FUNDED DEALS 2027'!$AW$3:$AW$1226,0)+2,0)</f>
        <v>0</v>
      </c>
    </row>
    <row r="141" customFormat="false" ht="15" hidden="false" customHeight="false" outlineLevel="0" collapsed="false">
      <c r="A141" s="52" t="str">
        <f aca="false">IF(J141=0,"",INDEX('FUNDED DEALS 2027'!$A:$A,J141))</f>
        <v/>
      </c>
      <c r="B141" s="67" t="str">
        <f aca="false">IF(J141=0,"",INDEX('FUNDED DEALS 2027'!$C:$C,J141))</f>
        <v/>
      </c>
      <c r="C141" s="52" t="str">
        <f aca="false">IF(J141=0,"",INDEX('FUNDED DEALS 2027'!$D:$D,J141))</f>
        <v/>
      </c>
      <c r="D141" s="51" t="str">
        <f aca="false">IF(J141=0,"",IF($B$3="",INDEX('FUNDED DEALS 2027'!$V:$V,J141),IF(INDEX('FUNDED DEALS 2027'!$T:$T,J141)=$B$3,INDEX('FUNDED DEALS 2027'!$V:$V,J141),0)))</f>
        <v/>
      </c>
      <c r="E141" s="51" t="str">
        <f aca="false">IF(J141=0,"",IF($B$3="",INDEX('FUNDED DEALS 2027'!$Y:$Y,J141),IF(INDEX('FUNDED DEALS 2027'!$W:$W,J141)=$B$3,INDEX('FUNDED DEALS 2027'!$Y:$Y,J141),0)))</f>
        <v/>
      </c>
      <c r="F141" s="51" t="str">
        <f aca="false">IF(J141=0,"",IF($B$3="",INDEX('FUNDED DEALS 2027'!$AC:$AC,J141),D141+E141+IF(INDEX('FUNDED DEALS 2027'!$Z:$Z,J141)=$B$3,INDEX('FUNDED DEALS 2027'!$AB:$AB,J141),0)))</f>
        <v/>
      </c>
      <c r="G141" s="68" t="str">
        <f aca="false">IF(J141=0,"",INDEX('FUNDED DEALS 2027'!$AM:$AM,J141))</f>
        <v/>
      </c>
      <c r="H141" s="67" t="str">
        <f aca="false">IF(J141=0,"",INDEX('FUNDED DEALS 2027'!$AO:$AO,J141))</f>
        <v/>
      </c>
      <c r="J141" s="24" t="n">
        <f aca="false">IFERROR(MATCH(8,'FUNDED DEALS 2027'!$AW$3:$AW$1226,0)+2,0)</f>
        <v>0</v>
      </c>
    </row>
    <row r="142" customFormat="false" ht="15" hidden="false" customHeight="false" outlineLevel="0" collapsed="false">
      <c r="A142" s="49" t="str">
        <f aca="false">IF(J142=0,"",INDEX('FUNDED DEALS 2027'!$A:$A,J142))</f>
        <v/>
      </c>
      <c r="B142" s="65" t="str">
        <f aca="false">IF(J142=0,"",INDEX('FUNDED DEALS 2027'!$C:$C,J142))</f>
        <v/>
      </c>
      <c r="C142" s="49" t="str">
        <f aca="false">IF(J142=0,"",INDEX('FUNDED DEALS 2027'!$D:$D,J142))</f>
        <v/>
      </c>
      <c r="D142" s="48" t="str">
        <f aca="false">IF(J142=0,"",IF($B$3="",INDEX('FUNDED DEALS 2027'!$V:$V,J142),IF(INDEX('FUNDED DEALS 2027'!$T:$T,J142)=$B$3,INDEX('FUNDED DEALS 2027'!$V:$V,J142),0)))</f>
        <v/>
      </c>
      <c r="E142" s="48" t="str">
        <f aca="false">IF(J142=0,"",IF($B$3="",INDEX('FUNDED DEALS 2027'!$Y:$Y,J142),IF(INDEX('FUNDED DEALS 2027'!$W:$W,J142)=$B$3,INDEX('FUNDED DEALS 2027'!$Y:$Y,J142),0)))</f>
        <v/>
      </c>
      <c r="F142" s="48" t="str">
        <f aca="false">IF(J142=0,"",IF($B$3="",INDEX('FUNDED DEALS 2027'!$AC:$AC,J142),D142+E142+IF(INDEX('FUNDED DEALS 2027'!$Z:$Z,J142)=$B$3,INDEX('FUNDED DEALS 2027'!$AB:$AB,J142),0)))</f>
        <v/>
      </c>
      <c r="G142" s="66" t="str">
        <f aca="false">IF(J142=0,"",INDEX('FUNDED DEALS 2027'!$AM:$AM,J142))</f>
        <v/>
      </c>
      <c r="H142" s="65" t="str">
        <f aca="false">IF(J142=0,"",INDEX('FUNDED DEALS 2027'!$AO:$AO,J142))</f>
        <v/>
      </c>
      <c r="J142" s="24" t="n">
        <f aca="false">IFERROR(MATCH(9,'FUNDED DEALS 2027'!$AW$3:$AW$1226,0)+2,0)</f>
        <v>0</v>
      </c>
    </row>
    <row r="143" customFormat="false" ht="15" hidden="false" customHeight="false" outlineLevel="0" collapsed="false">
      <c r="A143" s="52" t="str">
        <f aca="false">IF(J143=0,"",INDEX('FUNDED DEALS 2027'!$A:$A,J143))</f>
        <v/>
      </c>
      <c r="B143" s="67" t="str">
        <f aca="false">IF(J143=0,"",INDEX('FUNDED DEALS 2027'!$C:$C,J143))</f>
        <v/>
      </c>
      <c r="C143" s="52" t="str">
        <f aca="false">IF(J143=0,"",INDEX('FUNDED DEALS 2027'!$D:$D,J143))</f>
        <v/>
      </c>
      <c r="D143" s="51" t="str">
        <f aca="false">IF(J143=0,"",IF($B$3="",INDEX('FUNDED DEALS 2027'!$V:$V,J143),IF(INDEX('FUNDED DEALS 2027'!$T:$T,J143)=$B$3,INDEX('FUNDED DEALS 2027'!$V:$V,J143),0)))</f>
        <v/>
      </c>
      <c r="E143" s="51" t="str">
        <f aca="false">IF(J143=0,"",IF($B$3="",INDEX('FUNDED DEALS 2027'!$Y:$Y,J143),IF(INDEX('FUNDED DEALS 2027'!$W:$W,J143)=$B$3,INDEX('FUNDED DEALS 2027'!$Y:$Y,J143),0)))</f>
        <v/>
      </c>
      <c r="F143" s="51" t="str">
        <f aca="false">IF(J143=0,"",IF($B$3="",INDEX('FUNDED DEALS 2027'!$AC:$AC,J143),D143+E143+IF(INDEX('FUNDED DEALS 2027'!$Z:$Z,J143)=$B$3,INDEX('FUNDED DEALS 2027'!$AB:$AB,J143),0)))</f>
        <v/>
      </c>
      <c r="G143" s="68" t="str">
        <f aca="false">IF(J143=0,"",INDEX('FUNDED DEALS 2027'!$AM:$AM,J143))</f>
        <v/>
      </c>
      <c r="H143" s="67" t="str">
        <f aca="false">IF(J143=0,"",INDEX('FUNDED DEALS 2027'!$AO:$AO,J143))</f>
        <v/>
      </c>
      <c r="J143" s="24" t="n">
        <f aca="false">IFERROR(MATCH(10,'FUNDED DEALS 2027'!$AW$3:$AW$1226,0)+2,0)</f>
        <v>0</v>
      </c>
    </row>
    <row r="144" customFormat="false" ht="15" hidden="false" customHeight="false" outlineLevel="0" collapsed="false">
      <c r="A144" s="49" t="str">
        <f aca="false">IF(J144=0,"",INDEX('FUNDED DEALS 2027'!$A:$A,J144))</f>
        <v/>
      </c>
      <c r="B144" s="65" t="str">
        <f aca="false">IF(J144=0,"",INDEX('FUNDED DEALS 2027'!$C:$C,J144))</f>
        <v/>
      </c>
      <c r="C144" s="49" t="str">
        <f aca="false">IF(J144=0,"",INDEX('FUNDED DEALS 2027'!$D:$D,J144))</f>
        <v/>
      </c>
      <c r="D144" s="48" t="str">
        <f aca="false">IF(J144=0,"",IF($B$3="",INDEX('FUNDED DEALS 2027'!$V:$V,J144),IF(INDEX('FUNDED DEALS 2027'!$T:$T,J144)=$B$3,INDEX('FUNDED DEALS 2027'!$V:$V,J144),0)))</f>
        <v/>
      </c>
      <c r="E144" s="48" t="str">
        <f aca="false">IF(J144=0,"",IF($B$3="",INDEX('FUNDED DEALS 2027'!$Y:$Y,J144),IF(INDEX('FUNDED DEALS 2027'!$W:$W,J144)=$B$3,INDEX('FUNDED DEALS 2027'!$Y:$Y,J144),0)))</f>
        <v/>
      </c>
      <c r="F144" s="48" t="str">
        <f aca="false">IF(J144=0,"",IF($B$3="",INDEX('FUNDED DEALS 2027'!$AC:$AC,J144),D144+E144+IF(INDEX('FUNDED DEALS 2027'!$Z:$Z,J144)=$B$3,INDEX('FUNDED DEALS 2027'!$AB:$AB,J144),0)))</f>
        <v/>
      </c>
      <c r="G144" s="66" t="str">
        <f aca="false">IF(J144=0,"",INDEX('FUNDED DEALS 2027'!$AM:$AM,J144))</f>
        <v/>
      </c>
      <c r="H144" s="65" t="str">
        <f aca="false">IF(J144=0,"",INDEX('FUNDED DEALS 2027'!$AO:$AO,J144))</f>
        <v/>
      </c>
      <c r="J144" s="24" t="n">
        <f aca="false">IFERROR(MATCH(11,'FUNDED DEALS 2027'!$AW$3:$AW$1226,0)+2,0)</f>
        <v>0</v>
      </c>
    </row>
    <row r="145" customFormat="false" ht="15" hidden="false" customHeight="false" outlineLevel="0" collapsed="false">
      <c r="A145" s="52" t="str">
        <f aca="false">IF(J145=0,"",INDEX('FUNDED DEALS 2027'!$A:$A,J145))</f>
        <v/>
      </c>
      <c r="B145" s="67" t="str">
        <f aca="false">IF(J145=0,"",INDEX('FUNDED DEALS 2027'!$C:$C,J145))</f>
        <v/>
      </c>
      <c r="C145" s="52" t="str">
        <f aca="false">IF(J145=0,"",INDEX('FUNDED DEALS 2027'!$D:$D,J145))</f>
        <v/>
      </c>
      <c r="D145" s="51" t="str">
        <f aca="false">IF(J145=0,"",IF($B$3="",INDEX('FUNDED DEALS 2027'!$V:$V,J145),IF(INDEX('FUNDED DEALS 2027'!$T:$T,J145)=$B$3,INDEX('FUNDED DEALS 2027'!$V:$V,J145),0)))</f>
        <v/>
      </c>
      <c r="E145" s="51" t="str">
        <f aca="false">IF(J145=0,"",IF($B$3="",INDEX('FUNDED DEALS 2027'!$Y:$Y,J145),IF(INDEX('FUNDED DEALS 2027'!$W:$W,J145)=$B$3,INDEX('FUNDED DEALS 2027'!$Y:$Y,J145),0)))</f>
        <v/>
      </c>
      <c r="F145" s="51" t="str">
        <f aca="false">IF(J145=0,"",IF($B$3="",INDEX('FUNDED DEALS 2027'!$AC:$AC,J145),D145+E145+IF(INDEX('FUNDED DEALS 2027'!$Z:$Z,J145)=$B$3,INDEX('FUNDED DEALS 2027'!$AB:$AB,J145),0)))</f>
        <v/>
      </c>
      <c r="G145" s="68" t="str">
        <f aca="false">IF(J145=0,"",INDEX('FUNDED DEALS 2027'!$AM:$AM,J145))</f>
        <v/>
      </c>
      <c r="H145" s="67" t="str">
        <f aca="false">IF(J145=0,"",INDEX('FUNDED DEALS 2027'!$AO:$AO,J145))</f>
        <v/>
      </c>
      <c r="J145" s="24" t="n">
        <f aca="false">IFERROR(MATCH(12,'FUNDED DEALS 2027'!$AW$3:$AW$1226,0)+2,0)</f>
        <v>0</v>
      </c>
    </row>
    <row r="146" customFormat="false" ht="15" hidden="false" customHeight="false" outlineLevel="0" collapsed="false">
      <c r="A146" s="49" t="str">
        <f aca="false">IF(J146=0,"",INDEX('FUNDED DEALS 2027'!$A:$A,J146))</f>
        <v/>
      </c>
      <c r="B146" s="65" t="str">
        <f aca="false">IF(J146=0,"",INDEX('FUNDED DEALS 2027'!$C:$C,J146))</f>
        <v/>
      </c>
      <c r="C146" s="49" t="str">
        <f aca="false">IF(J146=0,"",INDEX('FUNDED DEALS 2027'!$D:$D,J146))</f>
        <v/>
      </c>
      <c r="D146" s="48" t="str">
        <f aca="false">IF(J146=0,"",IF($B$3="",INDEX('FUNDED DEALS 2027'!$V:$V,J146),IF(INDEX('FUNDED DEALS 2027'!$T:$T,J146)=$B$3,INDEX('FUNDED DEALS 2027'!$V:$V,J146),0)))</f>
        <v/>
      </c>
      <c r="E146" s="48" t="str">
        <f aca="false">IF(J146=0,"",IF($B$3="",INDEX('FUNDED DEALS 2027'!$Y:$Y,J146),IF(INDEX('FUNDED DEALS 2027'!$W:$W,J146)=$B$3,INDEX('FUNDED DEALS 2027'!$Y:$Y,J146),0)))</f>
        <v/>
      </c>
      <c r="F146" s="48" t="str">
        <f aca="false">IF(J146=0,"",IF($B$3="",INDEX('FUNDED DEALS 2027'!$AC:$AC,J146),D146+E146+IF(INDEX('FUNDED DEALS 2027'!$Z:$Z,J146)=$B$3,INDEX('FUNDED DEALS 2027'!$AB:$AB,J146),0)))</f>
        <v/>
      </c>
      <c r="G146" s="66" t="str">
        <f aca="false">IF(J146=0,"",INDEX('FUNDED DEALS 2027'!$AM:$AM,J146))</f>
        <v/>
      </c>
      <c r="H146" s="65" t="str">
        <f aca="false">IF(J146=0,"",INDEX('FUNDED DEALS 2027'!$AO:$AO,J146))</f>
        <v/>
      </c>
      <c r="J146" s="24" t="n">
        <f aca="false">IFERROR(MATCH(13,'FUNDED DEALS 2027'!$AW$3:$AW$1226,0)+2,0)</f>
        <v>0</v>
      </c>
    </row>
    <row r="147" customFormat="false" ht="15" hidden="false" customHeight="false" outlineLevel="0" collapsed="false">
      <c r="A147" s="52" t="str">
        <f aca="false">IF(J147=0,"",INDEX('FUNDED DEALS 2027'!$A:$A,J147))</f>
        <v/>
      </c>
      <c r="B147" s="67" t="str">
        <f aca="false">IF(J147=0,"",INDEX('FUNDED DEALS 2027'!$C:$C,J147))</f>
        <v/>
      </c>
      <c r="C147" s="52" t="str">
        <f aca="false">IF(J147=0,"",INDEX('FUNDED DEALS 2027'!$D:$D,J147))</f>
        <v/>
      </c>
      <c r="D147" s="51" t="str">
        <f aca="false">IF(J147=0,"",IF($B$3="",INDEX('FUNDED DEALS 2027'!$V:$V,J147),IF(INDEX('FUNDED DEALS 2027'!$T:$T,J147)=$B$3,INDEX('FUNDED DEALS 2027'!$V:$V,J147),0)))</f>
        <v/>
      </c>
      <c r="E147" s="51" t="str">
        <f aca="false">IF(J147=0,"",IF($B$3="",INDEX('FUNDED DEALS 2027'!$Y:$Y,J147),IF(INDEX('FUNDED DEALS 2027'!$W:$W,J147)=$B$3,INDEX('FUNDED DEALS 2027'!$Y:$Y,J147),0)))</f>
        <v/>
      </c>
      <c r="F147" s="51" t="str">
        <f aca="false">IF(J147=0,"",IF($B$3="",INDEX('FUNDED DEALS 2027'!$AC:$AC,J147),D147+E147+IF(INDEX('FUNDED DEALS 2027'!$Z:$Z,J147)=$B$3,INDEX('FUNDED DEALS 2027'!$AB:$AB,J147),0)))</f>
        <v/>
      </c>
      <c r="G147" s="68" t="str">
        <f aca="false">IF(J147=0,"",INDEX('FUNDED DEALS 2027'!$AM:$AM,J147))</f>
        <v/>
      </c>
      <c r="H147" s="67" t="str">
        <f aca="false">IF(J147=0,"",INDEX('FUNDED DEALS 2027'!$AO:$AO,J147))</f>
        <v/>
      </c>
      <c r="J147" s="24" t="n">
        <f aca="false">IFERROR(MATCH(14,'FUNDED DEALS 2027'!$AW$3:$AW$1226,0)+2,0)</f>
        <v>0</v>
      </c>
    </row>
    <row r="148" customFormat="false" ht="15" hidden="false" customHeight="false" outlineLevel="0" collapsed="false">
      <c r="A148" s="49" t="str">
        <f aca="false">IF(J148=0,"",INDEX('FUNDED DEALS 2027'!$A:$A,J148))</f>
        <v/>
      </c>
      <c r="B148" s="65" t="str">
        <f aca="false">IF(J148=0,"",INDEX('FUNDED DEALS 2027'!$C:$C,J148))</f>
        <v/>
      </c>
      <c r="C148" s="49" t="str">
        <f aca="false">IF(J148=0,"",INDEX('FUNDED DEALS 2027'!$D:$D,J148))</f>
        <v/>
      </c>
      <c r="D148" s="48" t="str">
        <f aca="false">IF(J148=0,"",IF($B$3="",INDEX('FUNDED DEALS 2027'!$V:$V,J148),IF(INDEX('FUNDED DEALS 2027'!$T:$T,J148)=$B$3,INDEX('FUNDED DEALS 2027'!$V:$V,J148),0)))</f>
        <v/>
      </c>
      <c r="E148" s="48" t="str">
        <f aca="false">IF(J148=0,"",IF($B$3="",INDEX('FUNDED DEALS 2027'!$Y:$Y,J148),IF(INDEX('FUNDED DEALS 2027'!$W:$W,J148)=$B$3,INDEX('FUNDED DEALS 2027'!$Y:$Y,J148),0)))</f>
        <v/>
      </c>
      <c r="F148" s="48" t="str">
        <f aca="false">IF(J148=0,"",IF($B$3="",INDEX('FUNDED DEALS 2027'!$AC:$AC,J148),D148+E148+IF(INDEX('FUNDED DEALS 2027'!$Z:$Z,J148)=$B$3,INDEX('FUNDED DEALS 2027'!$AB:$AB,J148),0)))</f>
        <v/>
      </c>
      <c r="G148" s="66" t="str">
        <f aca="false">IF(J148=0,"",INDEX('FUNDED DEALS 2027'!$AM:$AM,J148))</f>
        <v/>
      </c>
      <c r="H148" s="65" t="str">
        <f aca="false">IF(J148=0,"",INDEX('FUNDED DEALS 2027'!$AO:$AO,J148))</f>
        <v/>
      </c>
      <c r="J148" s="24" t="n">
        <f aca="false">IFERROR(MATCH(15,'FUNDED DEALS 2027'!$AW$3:$AW$1226,0)+2,0)</f>
        <v>0</v>
      </c>
    </row>
    <row r="149" customFormat="false" ht="15" hidden="false" customHeight="false" outlineLevel="0" collapsed="false">
      <c r="A149" s="52" t="str">
        <f aca="false">IF(J149=0,"",INDEX('FUNDED DEALS 2027'!$A:$A,J149))</f>
        <v/>
      </c>
      <c r="B149" s="67" t="str">
        <f aca="false">IF(J149=0,"",INDEX('FUNDED DEALS 2027'!$C:$C,J149))</f>
        <v/>
      </c>
      <c r="C149" s="52" t="str">
        <f aca="false">IF(J149=0,"",INDEX('FUNDED DEALS 2027'!$D:$D,J149))</f>
        <v/>
      </c>
      <c r="D149" s="51" t="str">
        <f aca="false">IF(J149=0,"",IF($B$3="",INDEX('FUNDED DEALS 2027'!$V:$V,J149),IF(INDEX('FUNDED DEALS 2027'!$T:$T,J149)=$B$3,INDEX('FUNDED DEALS 2027'!$V:$V,J149),0)))</f>
        <v/>
      </c>
      <c r="E149" s="51" t="str">
        <f aca="false">IF(J149=0,"",IF($B$3="",INDEX('FUNDED DEALS 2027'!$Y:$Y,J149),IF(INDEX('FUNDED DEALS 2027'!$W:$W,J149)=$B$3,INDEX('FUNDED DEALS 2027'!$Y:$Y,J149),0)))</f>
        <v/>
      </c>
      <c r="F149" s="51" t="str">
        <f aca="false">IF(J149=0,"",IF($B$3="",INDEX('FUNDED DEALS 2027'!$AC:$AC,J149),D149+E149+IF(INDEX('FUNDED DEALS 2027'!$Z:$Z,J149)=$B$3,INDEX('FUNDED DEALS 2027'!$AB:$AB,J149),0)))</f>
        <v/>
      </c>
      <c r="G149" s="68" t="str">
        <f aca="false">IF(J149=0,"",INDEX('FUNDED DEALS 2027'!$AM:$AM,J149))</f>
        <v/>
      </c>
      <c r="H149" s="67" t="str">
        <f aca="false">IF(J149=0,"",INDEX('FUNDED DEALS 2027'!$AO:$AO,J149))</f>
        <v/>
      </c>
      <c r="J149" s="24" t="n">
        <f aca="false">IFERROR(MATCH(16,'FUNDED DEALS 2027'!$AW$3:$AW$1226,0)+2,0)</f>
        <v>0</v>
      </c>
    </row>
    <row r="150" customFormat="false" ht="15" hidden="false" customHeight="false" outlineLevel="0" collapsed="false">
      <c r="A150" s="49" t="str">
        <f aca="false">IF(J150=0,"",INDEX('FUNDED DEALS 2027'!$A:$A,J150))</f>
        <v/>
      </c>
      <c r="B150" s="65" t="str">
        <f aca="false">IF(J150=0,"",INDEX('FUNDED DEALS 2027'!$C:$C,J150))</f>
        <v/>
      </c>
      <c r="C150" s="49" t="str">
        <f aca="false">IF(J150=0,"",INDEX('FUNDED DEALS 2027'!$D:$D,J150))</f>
        <v/>
      </c>
      <c r="D150" s="48" t="str">
        <f aca="false">IF(J150=0,"",IF($B$3="",INDEX('FUNDED DEALS 2027'!$V:$V,J150),IF(INDEX('FUNDED DEALS 2027'!$T:$T,J150)=$B$3,INDEX('FUNDED DEALS 2027'!$V:$V,J150),0)))</f>
        <v/>
      </c>
      <c r="E150" s="48" t="str">
        <f aca="false">IF(J150=0,"",IF($B$3="",INDEX('FUNDED DEALS 2027'!$Y:$Y,J150),IF(INDEX('FUNDED DEALS 2027'!$W:$W,J150)=$B$3,INDEX('FUNDED DEALS 2027'!$Y:$Y,J150),0)))</f>
        <v/>
      </c>
      <c r="F150" s="48" t="str">
        <f aca="false">IF(J150=0,"",IF($B$3="",INDEX('FUNDED DEALS 2027'!$AC:$AC,J150),D150+E150+IF(INDEX('FUNDED DEALS 2027'!$Z:$Z,J150)=$B$3,INDEX('FUNDED DEALS 2027'!$AB:$AB,J150),0)))</f>
        <v/>
      </c>
      <c r="G150" s="66" t="str">
        <f aca="false">IF(J150=0,"",INDEX('FUNDED DEALS 2027'!$AM:$AM,J150))</f>
        <v/>
      </c>
      <c r="H150" s="65" t="str">
        <f aca="false">IF(J150=0,"",INDEX('FUNDED DEALS 2027'!$AO:$AO,J150))</f>
        <v/>
      </c>
      <c r="J150" s="24" t="n">
        <f aca="false">IFERROR(MATCH(17,'FUNDED DEALS 2027'!$AW$3:$AW$1226,0)+2,0)</f>
        <v>0</v>
      </c>
    </row>
    <row r="151" customFormat="false" ht="15" hidden="false" customHeight="false" outlineLevel="0" collapsed="false">
      <c r="A151" s="52" t="str">
        <f aca="false">IF(J151=0,"",INDEX('FUNDED DEALS 2027'!$A:$A,J151))</f>
        <v/>
      </c>
      <c r="B151" s="67" t="str">
        <f aca="false">IF(J151=0,"",INDEX('FUNDED DEALS 2027'!$C:$C,J151))</f>
        <v/>
      </c>
      <c r="C151" s="52" t="str">
        <f aca="false">IF(J151=0,"",INDEX('FUNDED DEALS 2027'!$D:$D,J151))</f>
        <v/>
      </c>
      <c r="D151" s="51" t="str">
        <f aca="false">IF(J151=0,"",IF($B$3="",INDEX('FUNDED DEALS 2027'!$V:$V,J151),IF(INDEX('FUNDED DEALS 2027'!$T:$T,J151)=$B$3,INDEX('FUNDED DEALS 2027'!$V:$V,J151),0)))</f>
        <v/>
      </c>
      <c r="E151" s="51" t="str">
        <f aca="false">IF(J151=0,"",IF($B$3="",INDEX('FUNDED DEALS 2027'!$Y:$Y,J151),IF(INDEX('FUNDED DEALS 2027'!$W:$W,J151)=$B$3,INDEX('FUNDED DEALS 2027'!$Y:$Y,J151),0)))</f>
        <v/>
      </c>
      <c r="F151" s="51" t="str">
        <f aca="false">IF(J151=0,"",IF($B$3="",INDEX('FUNDED DEALS 2027'!$AC:$AC,J151),D151+E151+IF(INDEX('FUNDED DEALS 2027'!$Z:$Z,J151)=$B$3,INDEX('FUNDED DEALS 2027'!$AB:$AB,J151),0)))</f>
        <v/>
      </c>
      <c r="G151" s="68" t="str">
        <f aca="false">IF(J151=0,"",INDEX('FUNDED DEALS 2027'!$AM:$AM,J151))</f>
        <v/>
      </c>
      <c r="H151" s="67" t="str">
        <f aca="false">IF(J151=0,"",INDEX('FUNDED DEALS 2027'!$AO:$AO,J151))</f>
        <v/>
      </c>
      <c r="J151" s="24" t="n">
        <f aca="false">IFERROR(MATCH(18,'FUNDED DEALS 2027'!$AW$3:$AW$1226,0)+2,0)</f>
        <v>0</v>
      </c>
    </row>
    <row r="152" customFormat="false" ht="15" hidden="false" customHeight="false" outlineLevel="0" collapsed="false">
      <c r="A152" s="49" t="str">
        <f aca="false">IF(J152=0,"",INDEX('FUNDED DEALS 2027'!$A:$A,J152))</f>
        <v/>
      </c>
      <c r="B152" s="65" t="str">
        <f aca="false">IF(J152=0,"",INDEX('FUNDED DEALS 2027'!$C:$C,J152))</f>
        <v/>
      </c>
      <c r="C152" s="49" t="str">
        <f aca="false">IF(J152=0,"",INDEX('FUNDED DEALS 2027'!$D:$D,J152))</f>
        <v/>
      </c>
      <c r="D152" s="48" t="str">
        <f aca="false">IF(J152=0,"",IF($B$3="",INDEX('FUNDED DEALS 2027'!$V:$V,J152),IF(INDEX('FUNDED DEALS 2027'!$T:$T,J152)=$B$3,INDEX('FUNDED DEALS 2027'!$V:$V,J152),0)))</f>
        <v/>
      </c>
      <c r="E152" s="48" t="str">
        <f aca="false">IF(J152=0,"",IF($B$3="",INDEX('FUNDED DEALS 2027'!$Y:$Y,J152),IF(INDEX('FUNDED DEALS 2027'!$W:$W,J152)=$B$3,INDEX('FUNDED DEALS 2027'!$Y:$Y,J152),0)))</f>
        <v/>
      </c>
      <c r="F152" s="48" t="str">
        <f aca="false">IF(J152=0,"",IF($B$3="",INDEX('FUNDED DEALS 2027'!$AC:$AC,J152),D152+E152+IF(INDEX('FUNDED DEALS 2027'!$Z:$Z,J152)=$B$3,INDEX('FUNDED DEALS 2027'!$AB:$AB,J152),0)))</f>
        <v/>
      </c>
      <c r="G152" s="66" t="str">
        <f aca="false">IF(J152=0,"",INDEX('FUNDED DEALS 2027'!$AM:$AM,J152))</f>
        <v/>
      </c>
      <c r="H152" s="65" t="str">
        <f aca="false">IF(J152=0,"",INDEX('FUNDED DEALS 2027'!$AO:$AO,J152))</f>
        <v/>
      </c>
      <c r="J152" s="24" t="n">
        <f aca="false">IFERROR(MATCH(19,'FUNDED DEALS 2027'!$AW$3:$AW$1226,0)+2,0)</f>
        <v>0</v>
      </c>
    </row>
    <row r="153" customFormat="false" ht="15" hidden="false" customHeight="false" outlineLevel="0" collapsed="false">
      <c r="A153" s="52" t="str">
        <f aca="false">IF(J153=0,"",INDEX('FUNDED DEALS 2027'!$A:$A,J153))</f>
        <v/>
      </c>
      <c r="B153" s="67" t="str">
        <f aca="false">IF(J153=0,"",INDEX('FUNDED DEALS 2027'!$C:$C,J153))</f>
        <v/>
      </c>
      <c r="C153" s="52" t="str">
        <f aca="false">IF(J153=0,"",INDEX('FUNDED DEALS 2027'!$D:$D,J153))</f>
        <v/>
      </c>
      <c r="D153" s="51" t="str">
        <f aca="false">IF(J153=0,"",IF($B$3="",INDEX('FUNDED DEALS 2027'!$V:$V,J153),IF(INDEX('FUNDED DEALS 2027'!$T:$T,J153)=$B$3,INDEX('FUNDED DEALS 2027'!$V:$V,J153),0)))</f>
        <v/>
      </c>
      <c r="E153" s="51" t="str">
        <f aca="false">IF(J153=0,"",IF($B$3="",INDEX('FUNDED DEALS 2027'!$Y:$Y,J153),IF(INDEX('FUNDED DEALS 2027'!$W:$W,J153)=$B$3,INDEX('FUNDED DEALS 2027'!$Y:$Y,J153),0)))</f>
        <v/>
      </c>
      <c r="F153" s="51" t="str">
        <f aca="false">IF(J153=0,"",IF($B$3="",INDEX('FUNDED DEALS 2027'!$AC:$AC,J153),D153+E153+IF(INDEX('FUNDED DEALS 2027'!$Z:$Z,J153)=$B$3,INDEX('FUNDED DEALS 2027'!$AB:$AB,J153),0)))</f>
        <v/>
      </c>
      <c r="G153" s="68" t="str">
        <f aca="false">IF(J153=0,"",INDEX('FUNDED DEALS 2027'!$AM:$AM,J153))</f>
        <v/>
      </c>
      <c r="H153" s="67" t="str">
        <f aca="false">IF(J153=0,"",INDEX('FUNDED DEALS 2027'!$AO:$AO,J153))</f>
        <v/>
      </c>
      <c r="J153" s="24" t="n">
        <f aca="false">IFERROR(MATCH(20,'FUNDED DEALS 2027'!$AW$3:$AW$1226,0)+2,0)</f>
        <v>0</v>
      </c>
    </row>
    <row r="154" customFormat="false" ht="15" hidden="false" customHeight="false" outlineLevel="0" collapsed="false">
      <c r="A154" s="49" t="str">
        <f aca="false">IF(J154=0,"",INDEX('FUNDED DEALS 2027'!$A:$A,J154))</f>
        <v/>
      </c>
      <c r="B154" s="65" t="str">
        <f aca="false">IF(J154=0,"",INDEX('FUNDED DEALS 2027'!$C:$C,J154))</f>
        <v/>
      </c>
      <c r="C154" s="49" t="str">
        <f aca="false">IF(J154=0,"",INDEX('FUNDED DEALS 2027'!$D:$D,J154))</f>
        <v/>
      </c>
      <c r="D154" s="48" t="str">
        <f aca="false">IF(J154=0,"",IF($B$3="",INDEX('FUNDED DEALS 2027'!$V:$V,J154),IF(INDEX('FUNDED DEALS 2027'!$T:$T,J154)=$B$3,INDEX('FUNDED DEALS 2027'!$V:$V,J154),0)))</f>
        <v/>
      </c>
      <c r="E154" s="48" t="str">
        <f aca="false">IF(J154=0,"",IF($B$3="",INDEX('FUNDED DEALS 2027'!$Y:$Y,J154),IF(INDEX('FUNDED DEALS 2027'!$W:$W,J154)=$B$3,INDEX('FUNDED DEALS 2027'!$Y:$Y,J154),0)))</f>
        <v/>
      </c>
      <c r="F154" s="48" t="str">
        <f aca="false">IF(J154=0,"",IF($B$3="",INDEX('FUNDED DEALS 2027'!$AC:$AC,J154),D154+E154+IF(INDEX('FUNDED DEALS 2027'!$Z:$Z,J154)=$B$3,INDEX('FUNDED DEALS 2027'!$AB:$AB,J154),0)))</f>
        <v/>
      </c>
      <c r="G154" s="66" t="str">
        <f aca="false">IF(J154=0,"",INDEX('FUNDED DEALS 2027'!$AM:$AM,J154))</f>
        <v/>
      </c>
      <c r="H154" s="65" t="str">
        <f aca="false">IF(J154=0,"",INDEX('FUNDED DEALS 2027'!$AO:$AO,J154))</f>
        <v/>
      </c>
      <c r="J154" s="24" t="n">
        <f aca="false">IFERROR(MATCH(21,'FUNDED DEALS 2027'!$AW$3:$AW$1226,0)+2,0)</f>
        <v>0</v>
      </c>
    </row>
    <row r="155" customFormat="false" ht="15" hidden="false" customHeight="false" outlineLevel="0" collapsed="false">
      <c r="A155" s="52" t="str">
        <f aca="false">IF(J155=0,"",INDEX('FUNDED DEALS 2027'!$A:$A,J155))</f>
        <v/>
      </c>
      <c r="B155" s="67" t="str">
        <f aca="false">IF(J155=0,"",INDEX('FUNDED DEALS 2027'!$C:$C,J155))</f>
        <v/>
      </c>
      <c r="C155" s="52" t="str">
        <f aca="false">IF(J155=0,"",INDEX('FUNDED DEALS 2027'!$D:$D,J155))</f>
        <v/>
      </c>
      <c r="D155" s="51" t="str">
        <f aca="false">IF(J155=0,"",IF($B$3="",INDEX('FUNDED DEALS 2027'!$V:$V,J155),IF(INDEX('FUNDED DEALS 2027'!$T:$T,J155)=$B$3,INDEX('FUNDED DEALS 2027'!$V:$V,J155),0)))</f>
        <v/>
      </c>
      <c r="E155" s="51" t="str">
        <f aca="false">IF(J155=0,"",IF($B$3="",INDEX('FUNDED DEALS 2027'!$Y:$Y,J155),IF(INDEX('FUNDED DEALS 2027'!$W:$W,J155)=$B$3,INDEX('FUNDED DEALS 2027'!$Y:$Y,J155),0)))</f>
        <v/>
      </c>
      <c r="F155" s="51" t="str">
        <f aca="false">IF(J155=0,"",IF($B$3="",INDEX('FUNDED DEALS 2027'!$AC:$AC,J155),D155+E155+IF(INDEX('FUNDED DEALS 2027'!$Z:$Z,J155)=$B$3,INDEX('FUNDED DEALS 2027'!$AB:$AB,J155),0)))</f>
        <v/>
      </c>
      <c r="G155" s="68" t="str">
        <f aca="false">IF(J155=0,"",INDEX('FUNDED DEALS 2027'!$AM:$AM,J155))</f>
        <v/>
      </c>
      <c r="H155" s="67" t="str">
        <f aca="false">IF(J155=0,"",INDEX('FUNDED DEALS 2027'!$AO:$AO,J155))</f>
        <v/>
      </c>
      <c r="J155" s="24" t="n">
        <f aca="false">IFERROR(MATCH(22,'FUNDED DEALS 2027'!$AW$3:$AW$1226,0)+2,0)</f>
        <v>0</v>
      </c>
    </row>
    <row r="156" customFormat="false" ht="15" hidden="false" customHeight="false" outlineLevel="0" collapsed="false">
      <c r="A156" s="49" t="str">
        <f aca="false">IF(J156=0,"",INDEX('FUNDED DEALS 2027'!$A:$A,J156))</f>
        <v/>
      </c>
      <c r="B156" s="65" t="str">
        <f aca="false">IF(J156=0,"",INDEX('FUNDED DEALS 2027'!$C:$C,J156))</f>
        <v/>
      </c>
      <c r="C156" s="49" t="str">
        <f aca="false">IF(J156=0,"",INDEX('FUNDED DEALS 2027'!$D:$D,J156))</f>
        <v/>
      </c>
      <c r="D156" s="48" t="str">
        <f aca="false">IF(J156=0,"",IF($B$3="",INDEX('FUNDED DEALS 2027'!$V:$V,J156),IF(INDEX('FUNDED DEALS 2027'!$T:$T,J156)=$B$3,INDEX('FUNDED DEALS 2027'!$V:$V,J156),0)))</f>
        <v/>
      </c>
      <c r="E156" s="48" t="str">
        <f aca="false">IF(J156=0,"",IF($B$3="",INDEX('FUNDED DEALS 2027'!$Y:$Y,J156),IF(INDEX('FUNDED DEALS 2027'!$W:$W,J156)=$B$3,INDEX('FUNDED DEALS 2027'!$Y:$Y,J156),0)))</f>
        <v/>
      </c>
      <c r="F156" s="48" t="str">
        <f aca="false">IF(J156=0,"",IF($B$3="",INDEX('FUNDED DEALS 2027'!$AC:$AC,J156),D156+E156+IF(INDEX('FUNDED DEALS 2027'!$Z:$Z,J156)=$B$3,INDEX('FUNDED DEALS 2027'!$AB:$AB,J156),0)))</f>
        <v/>
      </c>
      <c r="G156" s="66" t="str">
        <f aca="false">IF(J156=0,"",INDEX('FUNDED DEALS 2027'!$AM:$AM,J156))</f>
        <v/>
      </c>
      <c r="H156" s="65" t="str">
        <f aca="false">IF(J156=0,"",INDEX('FUNDED DEALS 2027'!$AO:$AO,J156))</f>
        <v/>
      </c>
      <c r="J156" s="24" t="n">
        <f aca="false">IFERROR(MATCH(23,'FUNDED DEALS 2027'!$AW$3:$AW$1226,0)+2,0)</f>
        <v>0</v>
      </c>
    </row>
    <row r="157" customFormat="false" ht="15" hidden="false" customHeight="false" outlineLevel="0" collapsed="false">
      <c r="A157" s="52" t="str">
        <f aca="false">IF(J157=0,"",INDEX('FUNDED DEALS 2027'!$A:$A,J157))</f>
        <v/>
      </c>
      <c r="B157" s="67" t="str">
        <f aca="false">IF(J157=0,"",INDEX('FUNDED DEALS 2027'!$C:$C,J157))</f>
        <v/>
      </c>
      <c r="C157" s="52" t="str">
        <f aca="false">IF(J157=0,"",INDEX('FUNDED DEALS 2027'!$D:$D,J157))</f>
        <v/>
      </c>
      <c r="D157" s="51" t="str">
        <f aca="false">IF(J157=0,"",IF($B$3="",INDEX('FUNDED DEALS 2027'!$V:$V,J157),IF(INDEX('FUNDED DEALS 2027'!$T:$T,J157)=$B$3,INDEX('FUNDED DEALS 2027'!$V:$V,J157),0)))</f>
        <v/>
      </c>
      <c r="E157" s="51" t="str">
        <f aca="false">IF(J157=0,"",IF($B$3="",INDEX('FUNDED DEALS 2027'!$Y:$Y,J157),IF(INDEX('FUNDED DEALS 2027'!$W:$W,J157)=$B$3,INDEX('FUNDED DEALS 2027'!$Y:$Y,J157),0)))</f>
        <v/>
      </c>
      <c r="F157" s="51" t="str">
        <f aca="false">IF(J157=0,"",IF($B$3="",INDEX('FUNDED DEALS 2027'!$AC:$AC,J157),D157+E157+IF(INDEX('FUNDED DEALS 2027'!$Z:$Z,J157)=$B$3,INDEX('FUNDED DEALS 2027'!$AB:$AB,J157),0)))</f>
        <v/>
      </c>
      <c r="G157" s="68" t="str">
        <f aca="false">IF(J157=0,"",INDEX('FUNDED DEALS 2027'!$AM:$AM,J157))</f>
        <v/>
      </c>
      <c r="H157" s="67" t="str">
        <f aca="false">IF(J157=0,"",INDEX('FUNDED DEALS 2027'!$AO:$AO,J157))</f>
        <v/>
      </c>
      <c r="J157" s="24" t="n">
        <f aca="false">IFERROR(MATCH(24,'FUNDED DEALS 2027'!$AW$3:$AW$1226,0)+2,0)</f>
        <v>0</v>
      </c>
    </row>
    <row r="158" customFormat="false" ht="15" hidden="false" customHeight="false" outlineLevel="0" collapsed="false">
      <c r="A158" s="49" t="str">
        <f aca="false">IF(J158=0,"",INDEX('FUNDED DEALS 2027'!$A:$A,J158))</f>
        <v/>
      </c>
      <c r="B158" s="65" t="str">
        <f aca="false">IF(J158=0,"",INDEX('FUNDED DEALS 2027'!$C:$C,J158))</f>
        <v/>
      </c>
      <c r="C158" s="49" t="str">
        <f aca="false">IF(J158=0,"",INDEX('FUNDED DEALS 2027'!$D:$D,J158))</f>
        <v/>
      </c>
      <c r="D158" s="48" t="str">
        <f aca="false">IF(J158=0,"",IF($B$3="",INDEX('FUNDED DEALS 2027'!$V:$V,J158),IF(INDEX('FUNDED DEALS 2027'!$T:$T,J158)=$B$3,INDEX('FUNDED DEALS 2027'!$V:$V,J158),0)))</f>
        <v/>
      </c>
      <c r="E158" s="48" t="str">
        <f aca="false">IF(J158=0,"",IF($B$3="",INDEX('FUNDED DEALS 2027'!$Y:$Y,J158),IF(INDEX('FUNDED DEALS 2027'!$W:$W,J158)=$B$3,INDEX('FUNDED DEALS 2027'!$Y:$Y,J158),0)))</f>
        <v/>
      </c>
      <c r="F158" s="48" t="str">
        <f aca="false">IF(J158=0,"",IF($B$3="",INDEX('FUNDED DEALS 2027'!$AC:$AC,J158),D158+E158+IF(INDEX('FUNDED DEALS 2027'!$Z:$Z,J158)=$B$3,INDEX('FUNDED DEALS 2027'!$AB:$AB,J158),0)))</f>
        <v/>
      </c>
      <c r="G158" s="66" t="str">
        <f aca="false">IF(J158=0,"",INDEX('FUNDED DEALS 2027'!$AM:$AM,J158))</f>
        <v/>
      </c>
      <c r="H158" s="65" t="str">
        <f aca="false">IF(J158=0,"",INDEX('FUNDED DEALS 2027'!$AO:$AO,J158))</f>
        <v/>
      </c>
      <c r="J158" s="24" t="n">
        <f aca="false">IFERROR(MATCH(25,'FUNDED DEALS 2027'!$AW$3:$AW$1226,0)+2,0)</f>
        <v>0</v>
      </c>
    </row>
    <row r="159" customFormat="false" ht="15" hidden="false" customHeight="false" outlineLevel="0" collapsed="false">
      <c r="A159" s="52" t="str">
        <f aca="false">IF(J159=0,"",INDEX('FUNDED DEALS 2027'!$A:$A,J159))</f>
        <v/>
      </c>
      <c r="B159" s="67" t="str">
        <f aca="false">IF(J159=0,"",INDEX('FUNDED DEALS 2027'!$C:$C,J159))</f>
        <v/>
      </c>
      <c r="C159" s="52" t="str">
        <f aca="false">IF(J159=0,"",INDEX('FUNDED DEALS 2027'!$D:$D,J159))</f>
        <v/>
      </c>
      <c r="D159" s="51" t="str">
        <f aca="false">IF(J159=0,"",IF($B$3="",INDEX('FUNDED DEALS 2027'!$V:$V,J159),IF(INDEX('FUNDED DEALS 2027'!$T:$T,J159)=$B$3,INDEX('FUNDED DEALS 2027'!$V:$V,J159),0)))</f>
        <v/>
      </c>
      <c r="E159" s="51" t="str">
        <f aca="false">IF(J159=0,"",IF($B$3="",INDEX('FUNDED DEALS 2027'!$Y:$Y,J159),IF(INDEX('FUNDED DEALS 2027'!$W:$W,J159)=$B$3,INDEX('FUNDED DEALS 2027'!$Y:$Y,J159),0)))</f>
        <v/>
      </c>
      <c r="F159" s="51" t="str">
        <f aca="false">IF(J159=0,"",IF($B$3="",INDEX('FUNDED DEALS 2027'!$AC:$AC,J159),D159+E159+IF(INDEX('FUNDED DEALS 2027'!$Z:$Z,J159)=$B$3,INDEX('FUNDED DEALS 2027'!$AB:$AB,J159),0)))</f>
        <v/>
      </c>
      <c r="G159" s="68" t="str">
        <f aca="false">IF(J159=0,"",INDEX('FUNDED DEALS 2027'!$AM:$AM,J159))</f>
        <v/>
      </c>
      <c r="H159" s="67" t="str">
        <f aca="false">IF(J159=0,"",INDEX('FUNDED DEALS 2027'!$AO:$AO,J159))</f>
        <v/>
      </c>
      <c r="J159" s="24" t="n">
        <f aca="false">IFERROR(MATCH(26,'FUNDED DEALS 2027'!$AW$3:$AW$1226,0)+2,0)</f>
        <v>0</v>
      </c>
    </row>
    <row r="160" customFormat="false" ht="15" hidden="false" customHeight="false" outlineLevel="0" collapsed="false">
      <c r="A160" s="49" t="str">
        <f aca="false">IF(J160=0,"",INDEX('FUNDED DEALS 2027'!$A:$A,J160))</f>
        <v/>
      </c>
      <c r="B160" s="65" t="str">
        <f aca="false">IF(J160=0,"",INDEX('FUNDED DEALS 2027'!$C:$C,J160))</f>
        <v/>
      </c>
      <c r="C160" s="49" t="str">
        <f aca="false">IF(J160=0,"",INDEX('FUNDED DEALS 2027'!$D:$D,J160))</f>
        <v/>
      </c>
      <c r="D160" s="48" t="str">
        <f aca="false">IF(J160=0,"",IF($B$3="",INDEX('FUNDED DEALS 2027'!$V:$V,J160),IF(INDEX('FUNDED DEALS 2027'!$T:$T,J160)=$B$3,INDEX('FUNDED DEALS 2027'!$V:$V,J160),0)))</f>
        <v/>
      </c>
      <c r="E160" s="48" t="str">
        <f aca="false">IF(J160=0,"",IF($B$3="",INDEX('FUNDED DEALS 2027'!$Y:$Y,J160),IF(INDEX('FUNDED DEALS 2027'!$W:$W,J160)=$B$3,INDEX('FUNDED DEALS 2027'!$Y:$Y,J160),0)))</f>
        <v/>
      </c>
      <c r="F160" s="48" t="str">
        <f aca="false">IF(J160=0,"",IF($B$3="",INDEX('FUNDED DEALS 2027'!$AC:$AC,J160),D160+E160+IF(INDEX('FUNDED DEALS 2027'!$Z:$Z,J160)=$B$3,INDEX('FUNDED DEALS 2027'!$AB:$AB,J160),0)))</f>
        <v/>
      </c>
      <c r="G160" s="66" t="str">
        <f aca="false">IF(J160=0,"",INDEX('FUNDED DEALS 2027'!$AM:$AM,J160))</f>
        <v/>
      </c>
      <c r="H160" s="65" t="str">
        <f aca="false">IF(J160=0,"",INDEX('FUNDED DEALS 2027'!$AO:$AO,J160))</f>
        <v/>
      </c>
      <c r="J160" s="24" t="n">
        <f aca="false">IFERROR(MATCH(27,'FUNDED DEALS 2027'!$AW$3:$AW$1226,0)+2,0)</f>
        <v>0</v>
      </c>
    </row>
    <row r="161" customFormat="false" ht="15" hidden="false" customHeight="false" outlineLevel="0" collapsed="false">
      <c r="A161" s="52" t="str">
        <f aca="false">IF(J161=0,"",INDEX('FUNDED DEALS 2027'!$A:$A,J161))</f>
        <v/>
      </c>
      <c r="B161" s="67" t="str">
        <f aca="false">IF(J161=0,"",INDEX('FUNDED DEALS 2027'!$C:$C,J161))</f>
        <v/>
      </c>
      <c r="C161" s="52" t="str">
        <f aca="false">IF(J161=0,"",INDEX('FUNDED DEALS 2027'!$D:$D,J161))</f>
        <v/>
      </c>
      <c r="D161" s="51" t="str">
        <f aca="false">IF(J161=0,"",IF($B$3="",INDEX('FUNDED DEALS 2027'!$V:$V,J161),IF(INDEX('FUNDED DEALS 2027'!$T:$T,J161)=$B$3,INDEX('FUNDED DEALS 2027'!$V:$V,J161),0)))</f>
        <v/>
      </c>
      <c r="E161" s="51" t="str">
        <f aca="false">IF(J161=0,"",IF($B$3="",INDEX('FUNDED DEALS 2027'!$Y:$Y,J161),IF(INDEX('FUNDED DEALS 2027'!$W:$W,J161)=$B$3,INDEX('FUNDED DEALS 2027'!$Y:$Y,J161),0)))</f>
        <v/>
      </c>
      <c r="F161" s="51" t="str">
        <f aca="false">IF(J161=0,"",IF($B$3="",INDEX('FUNDED DEALS 2027'!$AC:$AC,J161),D161+E161+IF(INDEX('FUNDED DEALS 2027'!$Z:$Z,J161)=$B$3,INDEX('FUNDED DEALS 2027'!$AB:$AB,J161),0)))</f>
        <v/>
      </c>
      <c r="G161" s="68" t="str">
        <f aca="false">IF(J161=0,"",INDEX('FUNDED DEALS 2027'!$AM:$AM,J161))</f>
        <v/>
      </c>
      <c r="H161" s="67" t="str">
        <f aca="false">IF(J161=0,"",INDEX('FUNDED DEALS 2027'!$AO:$AO,J161))</f>
        <v/>
      </c>
      <c r="J161" s="24" t="n">
        <f aca="false">IFERROR(MATCH(28,'FUNDED DEALS 2027'!$AW$3:$AW$1226,0)+2,0)</f>
        <v>0</v>
      </c>
    </row>
    <row r="162" customFormat="false" ht="15" hidden="false" customHeight="false" outlineLevel="0" collapsed="false">
      <c r="A162" s="49" t="str">
        <f aca="false">IF(J162=0,"",INDEX('FUNDED DEALS 2027'!$A:$A,J162))</f>
        <v/>
      </c>
      <c r="B162" s="65" t="str">
        <f aca="false">IF(J162=0,"",INDEX('FUNDED DEALS 2027'!$C:$C,J162))</f>
        <v/>
      </c>
      <c r="C162" s="49" t="str">
        <f aca="false">IF(J162=0,"",INDEX('FUNDED DEALS 2027'!$D:$D,J162))</f>
        <v/>
      </c>
      <c r="D162" s="48" t="str">
        <f aca="false">IF(J162=0,"",IF($B$3="",INDEX('FUNDED DEALS 2027'!$V:$V,J162),IF(INDEX('FUNDED DEALS 2027'!$T:$T,J162)=$B$3,INDEX('FUNDED DEALS 2027'!$V:$V,J162),0)))</f>
        <v/>
      </c>
      <c r="E162" s="48" t="str">
        <f aca="false">IF(J162=0,"",IF($B$3="",INDEX('FUNDED DEALS 2027'!$Y:$Y,J162),IF(INDEX('FUNDED DEALS 2027'!$W:$W,J162)=$B$3,INDEX('FUNDED DEALS 2027'!$Y:$Y,J162),0)))</f>
        <v/>
      </c>
      <c r="F162" s="48" t="str">
        <f aca="false">IF(J162=0,"",IF($B$3="",INDEX('FUNDED DEALS 2027'!$AC:$AC,J162),D162+E162+IF(INDEX('FUNDED DEALS 2027'!$Z:$Z,J162)=$B$3,INDEX('FUNDED DEALS 2027'!$AB:$AB,J162),0)))</f>
        <v/>
      </c>
      <c r="G162" s="66" t="str">
        <f aca="false">IF(J162=0,"",INDEX('FUNDED DEALS 2027'!$AM:$AM,J162))</f>
        <v/>
      </c>
      <c r="H162" s="65" t="str">
        <f aca="false">IF(J162=0,"",INDEX('FUNDED DEALS 2027'!$AO:$AO,J162))</f>
        <v/>
      </c>
      <c r="J162" s="24" t="n">
        <f aca="false">IFERROR(MATCH(29,'FUNDED DEALS 2027'!$AW$3:$AW$1226,0)+2,0)</f>
        <v>0</v>
      </c>
    </row>
    <row r="163" customFormat="false" ht="15" hidden="false" customHeight="false" outlineLevel="0" collapsed="false">
      <c r="A163" s="52" t="str">
        <f aca="false">IF(J163=0,"",INDEX('FUNDED DEALS 2027'!$A:$A,J163))</f>
        <v/>
      </c>
      <c r="B163" s="67" t="str">
        <f aca="false">IF(J163=0,"",INDEX('FUNDED DEALS 2027'!$C:$C,J163))</f>
        <v/>
      </c>
      <c r="C163" s="52" t="str">
        <f aca="false">IF(J163=0,"",INDEX('FUNDED DEALS 2027'!$D:$D,J163))</f>
        <v/>
      </c>
      <c r="D163" s="51" t="str">
        <f aca="false">IF(J163=0,"",IF($B$3="",INDEX('FUNDED DEALS 2027'!$V:$V,J163),IF(INDEX('FUNDED DEALS 2027'!$T:$T,J163)=$B$3,INDEX('FUNDED DEALS 2027'!$V:$V,J163),0)))</f>
        <v/>
      </c>
      <c r="E163" s="51" t="str">
        <f aca="false">IF(J163=0,"",IF($B$3="",INDEX('FUNDED DEALS 2027'!$Y:$Y,J163),IF(INDEX('FUNDED DEALS 2027'!$W:$W,J163)=$B$3,INDEX('FUNDED DEALS 2027'!$Y:$Y,J163),0)))</f>
        <v/>
      </c>
      <c r="F163" s="51" t="str">
        <f aca="false">IF(J163=0,"",IF($B$3="",INDEX('FUNDED DEALS 2027'!$AC:$AC,J163),D163+E163+IF(INDEX('FUNDED DEALS 2027'!$Z:$Z,J163)=$B$3,INDEX('FUNDED DEALS 2027'!$AB:$AB,J163),0)))</f>
        <v/>
      </c>
      <c r="G163" s="68" t="str">
        <f aca="false">IF(J163=0,"",INDEX('FUNDED DEALS 2027'!$AM:$AM,J163))</f>
        <v/>
      </c>
      <c r="H163" s="67" t="str">
        <f aca="false">IF(J163=0,"",INDEX('FUNDED DEALS 2027'!$AO:$AO,J163))</f>
        <v/>
      </c>
      <c r="J163" s="24" t="n">
        <f aca="false">IFERROR(MATCH(30,'FUNDED DEALS 2027'!$AW$3:$AW$1226,0)+2,0)</f>
        <v>0</v>
      </c>
    </row>
    <row r="164" customFormat="false" ht="15" hidden="false" customHeight="false" outlineLevel="0" collapsed="false">
      <c r="A164" s="49" t="str">
        <f aca="false">IF(J164=0,"",INDEX('FUNDED DEALS 2027'!$A:$A,J164))</f>
        <v/>
      </c>
      <c r="B164" s="65" t="str">
        <f aca="false">IF(J164=0,"",INDEX('FUNDED DEALS 2027'!$C:$C,J164))</f>
        <v/>
      </c>
      <c r="C164" s="49" t="str">
        <f aca="false">IF(J164=0,"",INDEX('FUNDED DEALS 2027'!$D:$D,J164))</f>
        <v/>
      </c>
      <c r="D164" s="48" t="str">
        <f aca="false">IF(J164=0,"",IF($B$3="",INDEX('FUNDED DEALS 2027'!$V:$V,J164),IF(INDEX('FUNDED DEALS 2027'!$T:$T,J164)=$B$3,INDEX('FUNDED DEALS 2027'!$V:$V,J164),0)))</f>
        <v/>
      </c>
      <c r="E164" s="48" t="str">
        <f aca="false">IF(J164=0,"",IF($B$3="",INDEX('FUNDED DEALS 2027'!$Y:$Y,J164),IF(INDEX('FUNDED DEALS 2027'!$W:$W,J164)=$B$3,INDEX('FUNDED DEALS 2027'!$Y:$Y,J164),0)))</f>
        <v/>
      </c>
      <c r="F164" s="48" t="str">
        <f aca="false">IF(J164=0,"",IF($B$3="",INDEX('FUNDED DEALS 2027'!$AC:$AC,J164),D164+E164+IF(INDEX('FUNDED DEALS 2027'!$Z:$Z,J164)=$B$3,INDEX('FUNDED DEALS 2027'!$AB:$AB,J164),0)))</f>
        <v/>
      </c>
      <c r="G164" s="66" t="str">
        <f aca="false">IF(J164=0,"",INDEX('FUNDED DEALS 2027'!$AM:$AM,J164))</f>
        <v/>
      </c>
      <c r="H164" s="65" t="str">
        <f aca="false">IF(J164=0,"",INDEX('FUNDED DEALS 2027'!$AO:$AO,J164))</f>
        <v/>
      </c>
      <c r="J164" s="24" t="n">
        <f aca="false">IFERROR(MATCH(31,'FUNDED DEALS 2027'!$AW$3:$AW$1226,0)+2,0)</f>
        <v>0</v>
      </c>
    </row>
    <row r="165" customFormat="false" ht="15" hidden="false" customHeight="false" outlineLevel="0" collapsed="false">
      <c r="A165" s="52" t="str">
        <f aca="false">IF(J165=0,"",INDEX('FUNDED DEALS 2027'!$A:$A,J165))</f>
        <v/>
      </c>
      <c r="B165" s="67" t="str">
        <f aca="false">IF(J165=0,"",INDEX('FUNDED DEALS 2027'!$C:$C,J165))</f>
        <v/>
      </c>
      <c r="C165" s="52" t="str">
        <f aca="false">IF(J165=0,"",INDEX('FUNDED DEALS 2027'!$D:$D,J165))</f>
        <v/>
      </c>
      <c r="D165" s="51" t="str">
        <f aca="false">IF(J165=0,"",IF($B$3="",INDEX('FUNDED DEALS 2027'!$V:$V,J165),IF(INDEX('FUNDED DEALS 2027'!$T:$T,J165)=$B$3,INDEX('FUNDED DEALS 2027'!$V:$V,J165),0)))</f>
        <v/>
      </c>
      <c r="E165" s="51" t="str">
        <f aca="false">IF(J165=0,"",IF($B$3="",INDEX('FUNDED DEALS 2027'!$Y:$Y,J165),IF(INDEX('FUNDED DEALS 2027'!$W:$W,J165)=$B$3,INDEX('FUNDED DEALS 2027'!$Y:$Y,J165),0)))</f>
        <v/>
      </c>
      <c r="F165" s="51" t="str">
        <f aca="false">IF(J165=0,"",IF($B$3="",INDEX('FUNDED DEALS 2027'!$AC:$AC,J165),D165+E165+IF(INDEX('FUNDED DEALS 2027'!$Z:$Z,J165)=$B$3,INDEX('FUNDED DEALS 2027'!$AB:$AB,J165),0)))</f>
        <v/>
      </c>
      <c r="G165" s="68" t="str">
        <f aca="false">IF(J165=0,"",INDEX('FUNDED DEALS 2027'!$AM:$AM,J165))</f>
        <v/>
      </c>
      <c r="H165" s="67" t="str">
        <f aca="false">IF(J165=0,"",INDEX('FUNDED DEALS 2027'!$AO:$AO,J165))</f>
        <v/>
      </c>
      <c r="J165" s="24" t="n">
        <f aca="false">IFERROR(MATCH(32,'FUNDED DEALS 2027'!$AW$3:$AW$1226,0)+2,0)</f>
        <v>0</v>
      </c>
    </row>
    <row r="166" customFormat="false" ht="15" hidden="false" customHeight="false" outlineLevel="0" collapsed="false">
      <c r="A166" s="49" t="str">
        <f aca="false">IF(J166=0,"",INDEX('FUNDED DEALS 2027'!$A:$A,J166))</f>
        <v/>
      </c>
      <c r="B166" s="65" t="str">
        <f aca="false">IF(J166=0,"",INDEX('FUNDED DEALS 2027'!$C:$C,J166))</f>
        <v/>
      </c>
      <c r="C166" s="49" t="str">
        <f aca="false">IF(J166=0,"",INDEX('FUNDED DEALS 2027'!$D:$D,J166))</f>
        <v/>
      </c>
      <c r="D166" s="48" t="str">
        <f aca="false">IF(J166=0,"",IF($B$3="",INDEX('FUNDED DEALS 2027'!$V:$V,J166),IF(INDEX('FUNDED DEALS 2027'!$T:$T,J166)=$B$3,INDEX('FUNDED DEALS 2027'!$V:$V,J166),0)))</f>
        <v/>
      </c>
      <c r="E166" s="48" t="str">
        <f aca="false">IF(J166=0,"",IF($B$3="",INDEX('FUNDED DEALS 2027'!$Y:$Y,J166),IF(INDEX('FUNDED DEALS 2027'!$W:$W,J166)=$B$3,INDEX('FUNDED DEALS 2027'!$Y:$Y,J166),0)))</f>
        <v/>
      </c>
      <c r="F166" s="48" t="str">
        <f aca="false">IF(J166=0,"",IF($B$3="",INDEX('FUNDED DEALS 2027'!$AC:$AC,J166),D166+E166+IF(INDEX('FUNDED DEALS 2027'!$Z:$Z,J166)=$B$3,INDEX('FUNDED DEALS 2027'!$AB:$AB,J166),0)))</f>
        <v/>
      </c>
      <c r="G166" s="66" t="str">
        <f aca="false">IF(J166=0,"",INDEX('FUNDED DEALS 2027'!$AM:$AM,J166))</f>
        <v/>
      </c>
      <c r="H166" s="65" t="str">
        <f aca="false">IF(J166=0,"",INDEX('FUNDED DEALS 2027'!$AO:$AO,J166))</f>
        <v/>
      </c>
      <c r="J166" s="24" t="n">
        <f aca="false">IFERROR(MATCH(33,'FUNDED DEALS 2027'!$AW$3:$AW$1226,0)+2,0)</f>
        <v>0</v>
      </c>
    </row>
    <row r="167" customFormat="false" ht="15" hidden="false" customHeight="false" outlineLevel="0" collapsed="false">
      <c r="A167" s="52" t="str">
        <f aca="false">IF(J167=0,"",INDEX('FUNDED DEALS 2027'!$A:$A,J167))</f>
        <v/>
      </c>
      <c r="B167" s="67" t="str">
        <f aca="false">IF(J167=0,"",INDEX('FUNDED DEALS 2027'!$C:$C,J167))</f>
        <v/>
      </c>
      <c r="C167" s="52" t="str">
        <f aca="false">IF(J167=0,"",INDEX('FUNDED DEALS 2027'!$D:$D,J167))</f>
        <v/>
      </c>
      <c r="D167" s="51" t="str">
        <f aca="false">IF(J167=0,"",IF($B$3="",INDEX('FUNDED DEALS 2027'!$V:$V,J167),IF(INDEX('FUNDED DEALS 2027'!$T:$T,J167)=$B$3,INDEX('FUNDED DEALS 2027'!$V:$V,J167),0)))</f>
        <v/>
      </c>
      <c r="E167" s="51" t="str">
        <f aca="false">IF(J167=0,"",IF($B$3="",INDEX('FUNDED DEALS 2027'!$Y:$Y,J167),IF(INDEX('FUNDED DEALS 2027'!$W:$W,J167)=$B$3,INDEX('FUNDED DEALS 2027'!$Y:$Y,J167),0)))</f>
        <v/>
      </c>
      <c r="F167" s="51" t="str">
        <f aca="false">IF(J167=0,"",IF($B$3="",INDEX('FUNDED DEALS 2027'!$AC:$AC,J167),D167+E167+IF(INDEX('FUNDED DEALS 2027'!$Z:$Z,J167)=$B$3,INDEX('FUNDED DEALS 2027'!$AB:$AB,J167),0)))</f>
        <v/>
      </c>
      <c r="G167" s="68" t="str">
        <f aca="false">IF(J167=0,"",INDEX('FUNDED DEALS 2027'!$AM:$AM,J167))</f>
        <v/>
      </c>
      <c r="H167" s="67" t="str">
        <f aca="false">IF(J167=0,"",INDEX('FUNDED DEALS 2027'!$AO:$AO,J167))</f>
        <v/>
      </c>
      <c r="J167" s="24" t="n">
        <f aca="false">IFERROR(MATCH(34,'FUNDED DEALS 2027'!$AW$3:$AW$1226,0)+2,0)</f>
        <v>0</v>
      </c>
    </row>
    <row r="168" customFormat="false" ht="15" hidden="false" customHeight="false" outlineLevel="0" collapsed="false">
      <c r="A168" s="49" t="str">
        <f aca="false">IF(J168=0,"",INDEX('FUNDED DEALS 2027'!$A:$A,J168))</f>
        <v/>
      </c>
      <c r="B168" s="65" t="str">
        <f aca="false">IF(J168=0,"",INDEX('FUNDED DEALS 2027'!$C:$C,J168))</f>
        <v/>
      </c>
      <c r="C168" s="49" t="str">
        <f aca="false">IF(J168=0,"",INDEX('FUNDED DEALS 2027'!$D:$D,J168))</f>
        <v/>
      </c>
      <c r="D168" s="48" t="str">
        <f aca="false">IF(J168=0,"",IF($B$3="",INDEX('FUNDED DEALS 2027'!$V:$V,J168),IF(INDEX('FUNDED DEALS 2027'!$T:$T,J168)=$B$3,INDEX('FUNDED DEALS 2027'!$V:$V,J168),0)))</f>
        <v/>
      </c>
      <c r="E168" s="48" t="str">
        <f aca="false">IF(J168=0,"",IF($B$3="",INDEX('FUNDED DEALS 2027'!$Y:$Y,J168),IF(INDEX('FUNDED DEALS 2027'!$W:$W,J168)=$B$3,INDEX('FUNDED DEALS 2027'!$Y:$Y,J168),0)))</f>
        <v/>
      </c>
      <c r="F168" s="48" t="str">
        <f aca="false">IF(J168=0,"",IF($B$3="",INDEX('FUNDED DEALS 2027'!$AC:$AC,J168),D168+E168+IF(INDEX('FUNDED DEALS 2027'!$Z:$Z,J168)=$B$3,INDEX('FUNDED DEALS 2027'!$AB:$AB,J168),0)))</f>
        <v/>
      </c>
      <c r="G168" s="66" t="str">
        <f aca="false">IF(J168=0,"",INDEX('FUNDED DEALS 2027'!$AM:$AM,J168))</f>
        <v/>
      </c>
      <c r="H168" s="65" t="str">
        <f aca="false">IF(J168=0,"",INDEX('FUNDED DEALS 2027'!$AO:$AO,J168))</f>
        <v/>
      </c>
      <c r="J168" s="24" t="n">
        <f aca="false">IFERROR(MATCH(35,'FUNDED DEALS 2027'!$AW$3:$AW$1226,0)+2,0)</f>
        <v>0</v>
      </c>
    </row>
    <row r="169" customFormat="false" ht="15" hidden="false" customHeight="false" outlineLevel="0" collapsed="false">
      <c r="A169" s="52" t="str">
        <f aca="false">IF(J169=0,"",INDEX('FUNDED DEALS 2027'!$A:$A,J169))</f>
        <v/>
      </c>
      <c r="B169" s="67" t="str">
        <f aca="false">IF(J169=0,"",INDEX('FUNDED DEALS 2027'!$C:$C,J169))</f>
        <v/>
      </c>
      <c r="C169" s="52" t="str">
        <f aca="false">IF(J169=0,"",INDEX('FUNDED DEALS 2027'!$D:$D,J169))</f>
        <v/>
      </c>
      <c r="D169" s="51" t="str">
        <f aca="false">IF(J169=0,"",IF($B$3="",INDEX('FUNDED DEALS 2027'!$V:$V,J169),IF(INDEX('FUNDED DEALS 2027'!$T:$T,J169)=$B$3,INDEX('FUNDED DEALS 2027'!$V:$V,J169),0)))</f>
        <v/>
      </c>
      <c r="E169" s="51" t="str">
        <f aca="false">IF(J169=0,"",IF($B$3="",INDEX('FUNDED DEALS 2027'!$Y:$Y,J169),IF(INDEX('FUNDED DEALS 2027'!$W:$W,J169)=$B$3,INDEX('FUNDED DEALS 2027'!$Y:$Y,J169),0)))</f>
        <v/>
      </c>
      <c r="F169" s="51" t="str">
        <f aca="false">IF(J169=0,"",IF($B$3="",INDEX('FUNDED DEALS 2027'!$AC:$AC,J169),D169+E169+IF(INDEX('FUNDED DEALS 2027'!$Z:$Z,J169)=$B$3,INDEX('FUNDED DEALS 2027'!$AB:$AB,J169),0)))</f>
        <v/>
      </c>
      <c r="G169" s="68" t="str">
        <f aca="false">IF(J169=0,"",INDEX('FUNDED DEALS 2027'!$AM:$AM,J169))</f>
        <v/>
      </c>
      <c r="H169" s="67" t="str">
        <f aca="false">IF(J169=0,"",INDEX('FUNDED DEALS 2027'!$AO:$AO,J169))</f>
        <v/>
      </c>
      <c r="J169" s="24" t="n">
        <f aca="false">IFERROR(MATCH(36,'FUNDED DEALS 2027'!$AW$3:$AW$1226,0)+2,0)</f>
        <v>0</v>
      </c>
    </row>
    <row r="170" customFormat="false" ht="15" hidden="false" customHeight="false" outlineLevel="0" collapsed="false">
      <c r="A170" s="49" t="str">
        <f aca="false">IF(J170=0,"",INDEX('FUNDED DEALS 2027'!$A:$A,J170))</f>
        <v/>
      </c>
      <c r="B170" s="65" t="str">
        <f aca="false">IF(J170=0,"",INDEX('FUNDED DEALS 2027'!$C:$C,J170))</f>
        <v/>
      </c>
      <c r="C170" s="49" t="str">
        <f aca="false">IF(J170=0,"",INDEX('FUNDED DEALS 2027'!$D:$D,J170))</f>
        <v/>
      </c>
      <c r="D170" s="48" t="str">
        <f aca="false">IF(J170=0,"",IF($B$3="",INDEX('FUNDED DEALS 2027'!$V:$V,J170),IF(INDEX('FUNDED DEALS 2027'!$T:$T,J170)=$B$3,INDEX('FUNDED DEALS 2027'!$V:$V,J170),0)))</f>
        <v/>
      </c>
      <c r="E170" s="48" t="str">
        <f aca="false">IF(J170=0,"",IF($B$3="",INDEX('FUNDED DEALS 2027'!$Y:$Y,J170),IF(INDEX('FUNDED DEALS 2027'!$W:$W,J170)=$B$3,INDEX('FUNDED DEALS 2027'!$Y:$Y,J170),0)))</f>
        <v/>
      </c>
      <c r="F170" s="48" t="str">
        <f aca="false">IF(J170=0,"",IF($B$3="",INDEX('FUNDED DEALS 2027'!$AC:$AC,J170),D170+E170+IF(INDEX('FUNDED DEALS 2027'!$Z:$Z,J170)=$B$3,INDEX('FUNDED DEALS 2027'!$AB:$AB,J170),0)))</f>
        <v/>
      </c>
      <c r="G170" s="66" t="str">
        <f aca="false">IF(J170=0,"",INDEX('FUNDED DEALS 2027'!$AM:$AM,J170))</f>
        <v/>
      </c>
      <c r="H170" s="65" t="str">
        <f aca="false">IF(J170=0,"",INDEX('FUNDED DEALS 2027'!$AO:$AO,J170))</f>
        <v/>
      </c>
      <c r="J170" s="24" t="n">
        <f aca="false">IFERROR(MATCH(37,'FUNDED DEALS 2027'!$AW$3:$AW$1226,0)+2,0)</f>
        <v>0</v>
      </c>
    </row>
    <row r="171" customFormat="false" ht="15" hidden="false" customHeight="false" outlineLevel="0" collapsed="false">
      <c r="A171" s="52" t="str">
        <f aca="false">IF(J171=0,"",INDEX('FUNDED DEALS 2027'!$A:$A,J171))</f>
        <v/>
      </c>
      <c r="B171" s="67" t="str">
        <f aca="false">IF(J171=0,"",INDEX('FUNDED DEALS 2027'!$C:$C,J171))</f>
        <v/>
      </c>
      <c r="C171" s="52" t="str">
        <f aca="false">IF(J171=0,"",INDEX('FUNDED DEALS 2027'!$D:$D,J171))</f>
        <v/>
      </c>
      <c r="D171" s="51" t="str">
        <f aca="false">IF(J171=0,"",IF($B$3="",INDEX('FUNDED DEALS 2027'!$V:$V,J171),IF(INDEX('FUNDED DEALS 2027'!$T:$T,J171)=$B$3,INDEX('FUNDED DEALS 2027'!$V:$V,J171),0)))</f>
        <v/>
      </c>
      <c r="E171" s="51" t="str">
        <f aca="false">IF(J171=0,"",IF($B$3="",INDEX('FUNDED DEALS 2027'!$Y:$Y,J171),IF(INDEX('FUNDED DEALS 2027'!$W:$W,J171)=$B$3,INDEX('FUNDED DEALS 2027'!$Y:$Y,J171),0)))</f>
        <v/>
      </c>
      <c r="F171" s="51" t="str">
        <f aca="false">IF(J171=0,"",IF($B$3="",INDEX('FUNDED DEALS 2027'!$AC:$AC,J171),D171+E171+IF(INDEX('FUNDED DEALS 2027'!$Z:$Z,J171)=$B$3,INDEX('FUNDED DEALS 2027'!$AB:$AB,J171),0)))</f>
        <v/>
      </c>
      <c r="G171" s="68" t="str">
        <f aca="false">IF(J171=0,"",INDEX('FUNDED DEALS 2027'!$AM:$AM,J171))</f>
        <v/>
      </c>
      <c r="H171" s="67" t="str">
        <f aca="false">IF(J171=0,"",INDEX('FUNDED DEALS 2027'!$AO:$AO,J171))</f>
        <v/>
      </c>
      <c r="J171" s="24" t="n">
        <f aca="false">IFERROR(MATCH(38,'FUNDED DEALS 2027'!$AW$3:$AW$1226,0)+2,0)</f>
        <v>0</v>
      </c>
    </row>
    <row r="172" customFormat="false" ht="15" hidden="false" customHeight="false" outlineLevel="0" collapsed="false">
      <c r="A172" s="49" t="str">
        <f aca="false">IF(J172=0,"",INDEX('FUNDED DEALS 2027'!$A:$A,J172))</f>
        <v/>
      </c>
      <c r="B172" s="65" t="str">
        <f aca="false">IF(J172=0,"",INDEX('FUNDED DEALS 2027'!$C:$C,J172))</f>
        <v/>
      </c>
      <c r="C172" s="49" t="str">
        <f aca="false">IF(J172=0,"",INDEX('FUNDED DEALS 2027'!$D:$D,J172))</f>
        <v/>
      </c>
      <c r="D172" s="48" t="str">
        <f aca="false">IF(J172=0,"",IF($B$3="",INDEX('FUNDED DEALS 2027'!$V:$V,J172),IF(INDEX('FUNDED DEALS 2027'!$T:$T,J172)=$B$3,INDEX('FUNDED DEALS 2027'!$V:$V,J172),0)))</f>
        <v/>
      </c>
      <c r="E172" s="48" t="str">
        <f aca="false">IF(J172=0,"",IF($B$3="",INDEX('FUNDED DEALS 2027'!$Y:$Y,J172),IF(INDEX('FUNDED DEALS 2027'!$W:$W,J172)=$B$3,INDEX('FUNDED DEALS 2027'!$Y:$Y,J172),0)))</f>
        <v/>
      </c>
      <c r="F172" s="48" t="str">
        <f aca="false">IF(J172=0,"",IF($B$3="",INDEX('FUNDED DEALS 2027'!$AC:$AC,J172),D172+E172+IF(INDEX('FUNDED DEALS 2027'!$Z:$Z,J172)=$B$3,INDEX('FUNDED DEALS 2027'!$AB:$AB,J172),0)))</f>
        <v/>
      </c>
      <c r="G172" s="66" t="str">
        <f aca="false">IF(J172=0,"",INDEX('FUNDED DEALS 2027'!$AM:$AM,J172))</f>
        <v/>
      </c>
      <c r="H172" s="65" t="str">
        <f aca="false">IF(J172=0,"",INDEX('FUNDED DEALS 2027'!$AO:$AO,J172))</f>
        <v/>
      </c>
      <c r="J172" s="24" t="n">
        <f aca="false">IFERROR(MATCH(39,'FUNDED DEALS 2027'!$AW$3:$AW$1226,0)+2,0)</f>
        <v>0</v>
      </c>
    </row>
    <row r="173" customFormat="false" ht="15" hidden="false" customHeight="false" outlineLevel="0" collapsed="false">
      <c r="A173" s="52" t="str">
        <f aca="false">IF(J173=0,"",INDEX('FUNDED DEALS 2027'!$A:$A,J173))</f>
        <v/>
      </c>
      <c r="B173" s="67" t="str">
        <f aca="false">IF(J173=0,"",INDEX('FUNDED DEALS 2027'!$C:$C,J173))</f>
        <v/>
      </c>
      <c r="C173" s="52" t="str">
        <f aca="false">IF(J173=0,"",INDEX('FUNDED DEALS 2027'!$D:$D,J173))</f>
        <v/>
      </c>
      <c r="D173" s="51" t="str">
        <f aca="false">IF(J173=0,"",IF($B$3="",INDEX('FUNDED DEALS 2027'!$V:$V,J173),IF(INDEX('FUNDED DEALS 2027'!$T:$T,J173)=$B$3,INDEX('FUNDED DEALS 2027'!$V:$V,J173),0)))</f>
        <v/>
      </c>
      <c r="E173" s="51" t="str">
        <f aca="false">IF(J173=0,"",IF($B$3="",INDEX('FUNDED DEALS 2027'!$Y:$Y,J173),IF(INDEX('FUNDED DEALS 2027'!$W:$W,J173)=$B$3,INDEX('FUNDED DEALS 2027'!$Y:$Y,J173),0)))</f>
        <v/>
      </c>
      <c r="F173" s="51" t="str">
        <f aca="false">IF(J173=0,"",IF($B$3="",INDEX('FUNDED DEALS 2027'!$AC:$AC,J173),D173+E173+IF(INDEX('FUNDED DEALS 2027'!$Z:$Z,J173)=$B$3,INDEX('FUNDED DEALS 2027'!$AB:$AB,J173),0)))</f>
        <v/>
      </c>
      <c r="G173" s="68" t="str">
        <f aca="false">IF(J173=0,"",INDEX('FUNDED DEALS 2027'!$AM:$AM,J173))</f>
        <v/>
      </c>
      <c r="H173" s="67" t="str">
        <f aca="false">IF(J173=0,"",INDEX('FUNDED DEALS 2027'!$AO:$AO,J173))</f>
        <v/>
      </c>
      <c r="J173" s="24" t="n">
        <f aca="false">IFERROR(MATCH(40,'FUNDED DEALS 2027'!$AW$3:$AW$1226,0)+2,0)</f>
        <v>0</v>
      </c>
    </row>
    <row r="174" customFormat="false" ht="15" hidden="false" customHeight="false" outlineLevel="0" collapsed="false">
      <c r="A174" s="69"/>
      <c r="B174" s="69"/>
      <c r="C174" s="70" t="s">
        <v>147</v>
      </c>
      <c r="D174" s="71" t="n">
        <f aca="false">SUM(D34:D173)</f>
        <v>0</v>
      </c>
      <c r="E174" s="71" t="n">
        <f aca="false">SUM(E34:E173)</f>
        <v>0</v>
      </c>
      <c r="F174" s="71" t="n">
        <f aca="false">SUM(F34:F173)</f>
        <v>0</v>
      </c>
      <c r="G174" s="69"/>
      <c r="H174" s="69"/>
    </row>
  </sheetData>
  <sheetProtection sheet="true"/>
  <mergeCells count="4">
    <mergeCell ref="A1:H1"/>
    <mergeCell ref="B3:B4"/>
    <mergeCell ref="A6:H6"/>
    <mergeCell ref="A32:H32"/>
  </mergeCells>
  <conditionalFormatting sqref="G8:G28">
    <cfRule type="expression" priority="2" aboveAverage="0" equalAverage="0" bottom="0" percent="0" rank="0" text="" dxfId="4">
      <formula>$G8&gt;0</formula>
    </cfRule>
  </conditionalFormatting>
  <conditionalFormatting sqref="G34:G173">
    <cfRule type="expression" priority="3" aboveAverage="0" equalAverage="0" bottom="0" percent="0" rank="0" text="" dxfId="1">
      <formula>$G34="YES - Paid In Full"</formula>
    </cfRule>
    <cfRule type="expression" priority="4" aboveAverage="0" equalAverage="0" bottom="0" percent="0" rank="0" text="" dxfId="2">
      <formula>$G34="Clawed Back"</formula>
    </cfRule>
    <cfRule type="expression" priority="5" aboveAverage="0" equalAverage="0" bottom="0" percent="0" rank="0" text="" dxfId="4">
      <formula>OR($G34="Waiting for payment",$G34="Invoice Sent",$G34="Partially Paid")</formula>
    </cfRule>
  </conditionalFormatting>
  <conditionalFormatting sqref="H34:H173">
    <cfRule type="expression" priority="6" aboveAverage="0" equalAverage="0" bottom="0" percent="0" rank="0" text="" dxfId="1">
      <formula>$H34&lt;&gt;""</formula>
    </cfRule>
  </conditionalFormatting>
  <dataValidations count="1">
    <dataValidation allowBlank="true" errorStyle="stop" operator="between" showDropDown="false" showErrorMessage="false" showInputMessage="false" sqref="B3" type="list">
      <formula1>REPS!$A$2:$A$40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2" min="2" style="0" width="10"/>
    <col collapsed="false" customWidth="true" hidden="false" outlineLevel="0" max="23" min="23" style="0" width="12"/>
  </cols>
  <sheetData>
    <row r="1" customFormat="false" ht="30" hidden="false" customHeight="true" outlineLevel="0" collapsed="false">
      <c r="A1" s="40" t="s">
        <v>148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3" customFormat="false" ht="15" hidden="false" customHeight="false" outlineLevel="0" collapsed="false">
      <c r="A3" s="72" t="s">
        <v>90</v>
      </c>
      <c r="B3" s="72" t="s">
        <v>121</v>
      </c>
      <c r="C3" s="72" t="s">
        <v>122</v>
      </c>
      <c r="D3" s="72" t="s">
        <v>123</v>
      </c>
      <c r="E3" s="72" t="s">
        <v>124</v>
      </c>
      <c r="F3" s="72" t="s">
        <v>125</v>
      </c>
      <c r="G3" s="72" t="s">
        <v>126</v>
      </c>
      <c r="H3" s="72" t="s">
        <v>127</v>
      </c>
      <c r="I3" s="72" t="s">
        <v>128</v>
      </c>
      <c r="J3" s="72" t="s">
        <v>129</v>
      </c>
      <c r="K3" s="72" t="s">
        <v>130</v>
      </c>
      <c r="L3" s="72" t="s">
        <v>131</v>
      </c>
      <c r="M3" s="72" t="s">
        <v>132</v>
      </c>
      <c r="N3" s="72" t="s">
        <v>133</v>
      </c>
      <c r="O3" s="72" t="s">
        <v>134</v>
      </c>
      <c r="P3" s="72" t="s">
        <v>135</v>
      </c>
      <c r="Q3" s="72" t="s">
        <v>136</v>
      </c>
      <c r="R3" s="72" t="s">
        <v>137</v>
      </c>
      <c r="S3" s="72" t="s">
        <v>138</v>
      </c>
      <c r="T3" s="72" t="s">
        <v>139</v>
      </c>
      <c r="U3" s="72" t="s">
        <v>140</v>
      </c>
      <c r="V3" s="72" t="s">
        <v>141</v>
      </c>
      <c r="W3" s="72" t="s">
        <v>98</v>
      </c>
    </row>
    <row r="4" customFormat="false" ht="15" hidden="false" customHeight="false" outlineLevel="0" collapsed="false">
      <c r="A4" s="47" t="str">
        <f aca="false">IF(REPS!A2="","",REPS!A2)</f>
        <v>Leor</v>
      </c>
      <c r="B4" s="48" t="n">
        <f aca="false">IF($A4="","",SUMIFS('FUNDED DEALS'!$V$4:$V$1226,'FUNDED DEALS'!$T$4:$T$1226,$A4,'FUNDED DEALS'!$C$4:$C$1226,"&gt;="&amp;DATE(2026,4,1),'FUNDED DEALS'!$C$4:$C$1226,"&lt;"&amp;DATE(2026,5,1))+SUMIFS('FUNDED DEALS'!$Y$4:$Y$1226,'FUNDED DEALS'!$W$4:$W$1226,$A4,'FUNDED DEALS'!$C$4:$C$1226,"&gt;="&amp;DATE(2026,4,1),'FUNDED DEALS'!$C$4:$C$1226,"&lt;"&amp;DATE(2026,5,1))+SUMIFS('FUNDED DEALS'!$AB$4:$AB$1226,'FUNDED DEALS'!$Z$4:$Z$1226,$A4,'FUNDED DEALS'!$C$4:$C$1226,"&gt;="&amp;DATE(2026,4,1),'FUNDED DEALS'!$C$4:$C$1226,"&lt;"&amp;DATE(2026,5,1))+SUMIFS('FUNDED DEALS 2027'!$V$4:$V$1226,'FUNDED DEALS 2027'!$T$4:$T$1226,$A4,'FUNDED DEALS 2027'!$C$4:$C$1226,"&gt;="&amp;DATE(2026,4,1),'FUNDED DEALS 2027'!$C$4:$C$1226,"&lt;"&amp;DATE(2026,5,1))+SUMIFS('FUNDED DEALS 2027'!$Y$4:$Y$1226,'FUNDED DEALS 2027'!$W$4:$W$1226,$A4,'FUNDED DEALS 2027'!$C$4:$C$1226,"&gt;="&amp;DATE(2026,4,1),'FUNDED DEALS 2027'!$C$4:$C$1226,"&lt;"&amp;DATE(2026,5,1))+SUMIFS('FUNDED DEALS 2027'!$AB$4:$AB$1226,'FUNDED DEALS 2027'!$Z$4:$Z$1226,$A4,'FUNDED DEALS 2027'!$C$4:$C$1226,"&gt;="&amp;DATE(2026,4,1),'FUNDED DEALS 2027'!$C$4:$C$1226,"&lt;"&amp;DATE(2026,5,1)))</f>
        <v>0</v>
      </c>
      <c r="C4" s="48" t="n">
        <f aca="false">IF($A4="","",SUMIFS('FUNDED DEALS'!$V$4:$V$1226,'FUNDED DEALS'!$T$4:$T$1226,$A4,'FUNDED DEALS'!$C$4:$C$1226,"&gt;="&amp;DATE(2026,5,1),'FUNDED DEALS'!$C$4:$C$1226,"&lt;"&amp;DATE(2026,6,1))+SUMIFS('FUNDED DEALS'!$Y$4:$Y$1226,'FUNDED DEALS'!$W$4:$W$1226,$A4,'FUNDED DEALS'!$C$4:$C$1226,"&gt;="&amp;DATE(2026,5,1),'FUNDED DEALS'!$C$4:$C$1226,"&lt;"&amp;DATE(2026,6,1))+SUMIFS('FUNDED DEALS'!$AB$4:$AB$1226,'FUNDED DEALS'!$Z$4:$Z$1226,$A4,'FUNDED DEALS'!$C$4:$C$1226,"&gt;="&amp;DATE(2026,5,1),'FUNDED DEALS'!$C$4:$C$1226,"&lt;"&amp;DATE(2026,6,1))+SUMIFS('FUNDED DEALS 2027'!$V$4:$V$1226,'FUNDED DEALS 2027'!$T$4:$T$1226,$A4,'FUNDED DEALS 2027'!$C$4:$C$1226,"&gt;="&amp;DATE(2026,5,1),'FUNDED DEALS 2027'!$C$4:$C$1226,"&lt;"&amp;DATE(2026,6,1))+SUMIFS('FUNDED DEALS 2027'!$Y$4:$Y$1226,'FUNDED DEALS 2027'!$W$4:$W$1226,$A4,'FUNDED DEALS 2027'!$C$4:$C$1226,"&gt;="&amp;DATE(2026,5,1),'FUNDED DEALS 2027'!$C$4:$C$1226,"&lt;"&amp;DATE(2026,6,1))+SUMIFS('FUNDED DEALS 2027'!$AB$4:$AB$1226,'FUNDED DEALS 2027'!$Z$4:$Z$1226,$A4,'FUNDED DEALS 2027'!$C$4:$C$1226,"&gt;="&amp;DATE(2026,5,1),'FUNDED DEALS 2027'!$C$4:$C$1226,"&lt;"&amp;DATE(2026,6,1)))</f>
        <v>0</v>
      </c>
      <c r="D4" s="48" t="n">
        <f aca="false">IF($A4="","",SUMIFS('FUNDED DEALS'!$V$4:$V$1226,'FUNDED DEALS'!$T$4:$T$1226,$A4,'FUNDED DEALS'!$C$4:$C$1226,"&gt;="&amp;DATE(2026,6,1),'FUNDED DEALS'!$C$4:$C$1226,"&lt;"&amp;DATE(2026,7,1))+SUMIFS('FUNDED DEALS'!$Y$4:$Y$1226,'FUNDED DEALS'!$W$4:$W$1226,$A4,'FUNDED DEALS'!$C$4:$C$1226,"&gt;="&amp;DATE(2026,6,1),'FUNDED DEALS'!$C$4:$C$1226,"&lt;"&amp;DATE(2026,7,1))+SUMIFS('FUNDED DEALS'!$AB$4:$AB$1226,'FUNDED DEALS'!$Z$4:$Z$1226,$A4,'FUNDED DEALS'!$C$4:$C$1226,"&gt;="&amp;DATE(2026,6,1),'FUNDED DEALS'!$C$4:$C$1226,"&lt;"&amp;DATE(2026,7,1))+SUMIFS('FUNDED DEALS 2027'!$V$4:$V$1226,'FUNDED DEALS 2027'!$T$4:$T$1226,$A4,'FUNDED DEALS 2027'!$C$4:$C$1226,"&gt;="&amp;DATE(2026,6,1),'FUNDED DEALS 2027'!$C$4:$C$1226,"&lt;"&amp;DATE(2026,7,1))+SUMIFS('FUNDED DEALS 2027'!$Y$4:$Y$1226,'FUNDED DEALS 2027'!$W$4:$W$1226,$A4,'FUNDED DEALS 2027'!$C$4:$C$1226,"&gt;="&amp;DATE(2026,6,1),'FUNDED DEALS 2027'!$C$4:$C$1226,"&lt;"&amp;DATE(2026,7,1))+SUMIFS('FUNDED DEALS 2027'!$AB$4:$AB$1226,'FUNDED DEALS 2027'!$Z$4:$Z$1226,$A4,'FUNDED DEALS 2027'!$C$4:$C$1226,"&gt;="&amp;DATE(2026,6,1),'FUNDED DEALS 2027'!$C$4:$C$1226,"&lt;"&amp;DATE(2026,7,1)))</f>
        <v>0</v>
      </c>
      <c r="E4" s="48" t="n">
        <f aca="false">IF($A4="","",SUMIFS('FUNDED DEALS'!$V$4:$V$1226,'FUNDED DEALS'!$T$4:$T$1226,$A4,'FUNDED DEALS'!$C$4:$C$1226,"&gt;="&amp;DATE(2026,7,1),'FUNDED DEALS'!$C$4:$C$1226,"&lt;"&amp;DATE(2026,8,1))+SUMIFS('FUNDED DEALS'!$Y$4:$Y$1226,'FUNDED DEALS'!$W$4:$W$1226,$A4,'FUNDED DEALS'!$C$4:$C$1226,"&gt;="&amp;DATE(2026,7,1),'FUNDED DEALS'!$C$4:$C$1226,"&lt;"&amp;DATE(2026,8,1))+SUMIFS('FUNDED DEALS'!$AB$4:$AB$1226,'FUNDED DEALS'!$Z$4:$Z$1226,$A4,'FUNDED DEALS'!$C$4:$C$1226,"&gt;="&amp;DATE(2026,7,1),'FUNDED DEALS'!$C$4:$C$1226,"&lt;"&amp;DATE(2026,8,1))+SUMIFS('FUNDED DEALS 2027'!$V$4:$V$1226,'FUNDED DEALS 2027'!$T$4:$T$1226,$A4,'FUNDED DEALS 2027'!$C$4:$C$1226,"&gt;="&amp;DATE(2026,7,1),'FUNDED DEALS 2027'!$C$4:$C$1226,"&lt;"&amp;DATE(2026,8,1))+SUMIFS('FUNDED DEALS 2027'!$Y$4:$Y$1226,'FUNDED DEALS 2027'!$W$4:$W$1226,$A4,'FUNDED DEALS 2027'!$C$4:$C$1226,"&gt;="&amp;DATE(2026,7,1),'FUNDED DEALS 2027'!$C$4:$C$1226,"&lt;"&amp;DATE(2026,8,1))+SUMIFS('FUNDED DEALS 2027'!$AB$4:$AB$1226,'FUNDED DEALS 2027'!$Z$4:$Z$1226,$A4,'FUNDED DEALS 2027'!$C$4:$C$1226,"&gt;="&amp;DATE(2026,7,1),'FUNDED DEALS 2027'!$C$4:$C$1226,"&lt;"&amp;DATE(2026,8,1)))</f>
        <v>0</v>
      </c>
      <c r="F4" s="48" t="n">
        <f aca="false">IF($A4="","",SUMIFS('FUNDED DEALS'!$V$4:$V$1226,'FUNDED DEALS'!$T$4:$T$1226,$A4,'FUNDED DEALS'!$C$4:$C$1226,"&gt;="&amp;DATE(2026,8,1),'FUNDED DEALS'!$C$4:$C$1226,"&lt;"&amp;DATE(2026,9,1))+SUMIFS('FUNDED DEALS'!$Y$4:$Y$1226,'FUNDED DEALS'!$W$4:$W$1226,$A4,'FUNDED DEALS'!$C$4:$C$1226,"&gt;="&amp;DATE(2026,8,1),'FUNDED DEALS'!$C$4:$C$1226,"&lt;"&amp;DATE(2026,9,1))+SUMIFS('FUNDED DEALS'!$AB$4:$AB$1226,'FUNDED DEALS'!$Z$4:$Z$1226,$A4,'FUNDED DEALS'!$C$4:$C$1226,"&gt;="&amp;DATE(2026,8,1),'FUNDED DEALS'!$C$4:$C$1226,"&lt;"&amp;DATE(2026,9,1))+SUMIFS('FUNDED DEALS 2027'!$V$4:$V$1226,'FUNDED DEALS 2027'!$T$4:$T$1226,$A4,'FUNDED DEALS 2027'!$C$4:$C$1226,"&gt;="&amp;DATE(2026,8,1),'FUNDED DEALS 2027'!$C$4:$C$1226,"&lt;"&amp;DATE(2026,9,1))+SUMIFS('FUNDED DEALS 2027'!$Y$4:$Y$1226,'FUNDED DEALS 2027'!$W$4:$W$1226,$A4,'FUNDED DEALS 2027'!$C$4:$C$1226,"&gt;="&amp;DATE(2026,8,1),'FUNDED DEALS 2027'!$C$4:$C$1226,"&lt;"&amp;DATE(2026,9,1))+SUMIFS('FUNDED DEALS 2027'!$AB$4:$AB$1226,'FUNDED DEALS 2027'!$Z$4:$Z$1226,$A4,'FUNDED DEALS 2027'!$C$4:$C$1226,"&gt;="&amp;DATE(2026,8,1),'FUNDED DEALS 2027'!$C$4:$C$1226,"&lt;"&amp;DATE(2026,9,1)))</f>
        <v>0</v>
      </c>
      <c r="G4" s="48" t="n">
        <f aca="false">IF($A4="","",SUMIFS('FUNDED DEALS'!$V$4:$V$1226,'FUNDED DEALS'!$T$4:$T$1226,$A4,'FUNDED DEALS'!$C$4:$C$1226,"&gt;="&amp;DATE(2026,9,1),'FUNDED DEALS'!$C$4:$C$1226,"&lt;"&amp;DATE(2026,10,1))+SUMIFS('FUNDED DEALS'!$Y$4:$Y$1226,'FUNDED DEALS'!$W$4:$W$1226,$A4,'FUNDED DEALS'!$C$4:$C$1226,"&gt;="&amp;DATE(2026,9,1),'FUNDED DEALS'!$C$4:$C$1226,"&lt;"&amp;DATE(2026,10,1))+SUMIFS('FUNDED DEALS'!$AB$4:$AB$1226,'FUNDED DEALS'!$Z$4:$Z$1226,$A4,'FUNDED DEALS'!$C$4:$C$1226,"&gt;="&amp;DATE(2026,9,1),'FUNDED DEALS'!$C$4:$C$1226,"&lt;"&amp;DATE(2026,10,1))+SUMIFS('FUNDED DEALS 2027'!$V$4:$V$1226,'FUNDED DEALS 2027'!$T$4:$T$1226,$A4,'FUNDED DEALS 2027'!$C$4:$C$1226,"&gt;="&amp;DATE(2026,9,1),'FUNDED DEALS 2027'!$C$4:$C$1226,"&lt;"&amp;DATE(2026,10,1))+SUMIFS('FUNDED DEALS 2027'!$Y$4:$Y$1226,'FUNDED DEALS 2027'!$W$4:$W$1226,$A4,'FUNDED DEALS 2027'!$C$4:$C$1226,"&gt;="&amp;DATE(2026,9,1),'FUNDED DEALS 2027'!$C$4:$C$1226,"&lt;"&amp;DATE(2026,10,1))+SUMIFS('FUNDED DEALS 2027'!$AB$4:$AB$1226,'FUNDED DEALS 2027'!$Z$4:$Z$1226,$A4,'FUNDED DEALS 2027'!$C$4:$C$1226,"&gt;="&amp;DATE(2026,9,1),'FUNDED DEALS 2027'!$C$4:$C$1226,"&lt;"&amp;DATE(2026,10,1)))</f>
        <v>0</v>
      </c>
      <c r="H4" s="48" t="n">
        <f aca="false">IF($A4="","",SUMIFS('FUNDED DEALS'!$V$4:$V$1226,'FUNDED DEALS'!$T$4:$T$1226,$A4,'FUNDED DEALS'!$C$4:$C$1226,"&gt;="&amp;DATE(2026,10,1),'FUNDED DEALS'!$C$4:$C$1226,"&lt;"&amp;DATE(2026,11,1))+SUMIFS('FUNDED DEALS'!$Y$4:$Y$1226,'FUNDED DEALS'!$W$4:$W$1226,$A4,'FUNDED DEALS'!$C$4:$C$1226,"&gt;="&amp;DATE(2026,10,1),'FUNDED DEALS'!$C$4:$C$1226,"&lt;"&amp;DATE(2026,11,1))+SUMIFS('FUNDED DEALS'!$AB$4:$AB$1226,'FUNDED DEALS'!$Z$4:$Z$1226,$A4,'FUNDED DEALS'!$C$4:$C$1226,"&gt;="&amp;DATE(2026,10,1),'FUNDED DEALS'!$C$4:$C$1226,"&lt;"&amp;DATE(2026,11,1))+SUMIFS('FUNDED DEALS 2027'!$V$4:$V$1226,'FUNDED DEALS 2027'!$T$4:$T$1226,$A4,'FUNDED DEALS 2027'!$C$4:$C$1226,"&gt;="&amp;DATE(2026,10,1),'FUNDED DEALS 2027'!$C$4:$C$1226,"&lt;"&amp;DATE(2026,11,1))+SUMIFS('FUNDED DEALS 2027'!$Y$4:$Y$1226,'FUNDED DEALS 2027'!$W$4:$W$1226,$A4,'FUNDED DEALS 2027'!$C$4:$C$1226,"&gt;="&amp;DATE(2026,10,1),'FUNDED DEALS 2027'!$C$4:$C$1226,"&lt;"&amp;DATE(2026,11,1))+SUMIFS('FUNDED DEALS 2027'!$AB$4:$AB$1226,'FUNDED DEALS 2027'!$Z$4:$Z$1226,$A4,'FUNDED DEALS 2027'!$C$4:$C$1226,"&gt;="&amp;DATE(2026,10,1),'FUNDED DEALS 2027'!$C$4:$C$1226,"&lt;"&amp;DATE(2026,11,1)))</f>
        <v>0</v>
      </c>
      <c r="I4" s="48" t="n">
        <f aca="false">IF($A4="","",SUMIFS('FUNDED DEALS'!$V$4:$V$1226,'FUNDED DEALS'!$T$4:$T$1226,$A4,'FUNDED DEALS'!$C$4:$C$1226,"&gt;="&amp;DATE(2026,11,1),'FUNDED DEALS'!$C$4:$C$1226,"&lt;"&amp;DATE(2026,12,1))+SUMIFS('FUNDED DEALS'!$Y$4:$Y$1226,'FUNDED DEALS'!$W$4:$W$1226,$A4,'FUNDED DEALS'!$C$4:$C$1226,"&gt;="&amp;DATE(2026,11,1),'FUNDED DEALS'!$C$4:$C$1226,"&lt;"&amp;DATE(2026,12,1))+SUMIFS('FUNDED DEALS'!$AB$4:$AB$1226,'FUNDED DEALS'!$Z$4:$Z$1226,$A4,'FUNDED DEALS'!$C$4:$C$1226,"&gt;="&amp;DATE(2026,11,1),'FUNDED DEALS'!$C$4:$C$1226,"&lt;"&amp;DATE(2026,12,1))+SUMIFS('FUNDED DEALS 2027'!$V$4:$V$1226,'FUNDED DEALS 2027'!$T$4:$T$1226,$A4,'FUNDED DEALS 2027'!$C$4:$C$1226,"&gt;="&amp;DATE(2026,11,1),'FUNDED DEALS 2027'!$C$4:$C$1226,"&lt;"&amp;DATE(2026,12,1))+SUMIFS('FUNDED DEALS 2027'!$Y$4:$Y$1226,'FUNDED DEALS 2027'!$W$4:$W$1226,$A4,'FUNDED DEALS 2027'!$C$4:$C$1226,"&gt;="&amp;DATE(2026,11,1),'FUNDED DEALS 2027'!$C$4:$C$1226,"&lt;"&amp;DATE(2026,12,1))+SUMIFS('FUNDED DEALS 2027'!$AB$4:$AB$1226,'FUNDED DEALS 2027'!$Z$4:$Z$1226,$A4,'FUNDED DEALS 2027'!$C$4:$C$1226,"&gt;="&amp;DATE(2026,11,1),'FUNDED DEALS 2027'!$C$4:$C$1226,"&lt;"&amp;DATE(2026,12,1)))</f>
        <v>0</v>
      </c>
      <c r="J4" s="48" t="n">
        <f aca="false">IF($A4="","",SUMIFS('FUNDED DEALS'!$V$4:$V$1226,'FUNDED DEALS'!$T$4:$T$1226,$A4,'FUNDED DEALS'!$C$4:$C$1226,"&gt;="&amp;DATE(2026,12,1),'FUNDED DEALS'!$C$4:$C$1226,"&lt;"&amp;DATE(2027,1,1))+SUMIFS('FUNDED DEALS'!$Y$4:$Y$1226,'FUNDED DEALS'!$W$4:$W$1226,$A4,'FUNDED DEALS'!$C$4:$C$1226,"&gt;="&amp;DATE(2026,12,1),'FUNDED DEALS'!$C$4:$C$1226,"&lt;"&amp;DATE(2027,1,1))+SUMIFS('FUNDED DEALS'!$AB$4:$AB$1226,'FUNDED DEALS'!$Z$4:$Z$1226,$A4,'FUNDED DEALS'!$C$4:$C$1226,"&gt;="&amp;DATE(2026,12,1),'FUNDED DEALS'!$C$4:$C$1226,"&lt;"&amp;DATE(2027,1,1))+SUMIFS('FUNDED DEALS 2027'!$V$4:$V$1226,'FUNDED DEALS 2027'!$T$4:$T$1226,$A4,'FUNDED DEALS 2027'!$C$4:$C$1226,"&gt;="&amp;DATE(2026,12,1),'FUNDED DEALS 2027'!$C$4:$C$1226,"&lt;"&amp;DATE(2027,1,1))+SUMIFS('FUNDED DEALS 2027'!$Y$4:$Y$1226,'FUNDED DEALS 2027'!$W$4:$W$1226,$A4,'FUNDED DEALS 2027'!$C$4:$C$1226,"&gt;="&amp;DATE(2026,12,1),'FUNDED DEALS 2027'!$C$4:$C$1226,"&lt;"&amp;DATE(2027,1,1))+SUMIFS('FUNDED DEALS 2027'!$AB$4:$AB$1226,'FUNDED DEALS 2027'!$Z$4:$Z$1226,$A4,'FUNDED DEALS 2027'!$C$4:$C$1226,"&gt;="&amp;DATE(2026,12,1),'FUNDED DEALS 2027'!$C$4:$C$1226,"&lt;"&amp;DATE(2027,1,1)))</f>
        <v>0</v>
      </c>
      <c r="K4" s="48" t="n">
        <f aca="false">IF($A4="","",SUMIFS('FUNDED DEALS'!$V$4:$V$1226,'FUNDED DEALS'!$T$4:$T$1226,$A4,'FUNDED DEALS'!$C$4:$C$1226,"&gt;="&amp;DATE(2027,1,1),'FUNDED DEALS'!$C$4:$C$1226,"&lt;"&amp;DATE(2027,2,1))+SUMIFS('FUNDED DEALS'!$Y$4:$Y$1226,'FUNDED DEALS'!$W$4:$W$1226,$A4,'FUNDED DEALS'!$C$4:$C$1226,"&gt;="&amp;DATE(2027,1,1),'FUNDED DEALS'!$C$4:$C$1226,"&lt;"&amp;DATE(2027,2,1))+SUMIFS('FUNDED DEALS'!$AB$4:$AB$1226,'FUNDED DEALS'!$Z$4:$Z$1226,$A4,'FUNDED DEALS'!$C$4:$C$1226,"&gt;="&amp;DATE(2027,1,1),'FUNDED DEALS'!$C$4:$C$1226,"&lt;"&amp;DATE(2027,2,1))+SUMIFS('FUNDED DEALS 2027'!$V$4:$V$1226,'FUNDED DEALS 2027'!$T$4:$T$1226,$A4,'FUNDED DEALS 2027'!$C$4:$C$1226,"&gt;="&amp;DATE(2027,1,1),'FUNDED DEALS 2027'!$C$4:$C$1226,"&lt;"&amp;DATE(2027,2,1))+SUMIFS('FUNDED DEALS 2027'!$Y$4:$Y$1226,'FUNDED DEALS 2027'!$W$4:$W$1226,$A4,'FUNDED DEALS 2027'!$C$4:$C$1226,"&gt;="&amp;DATE(2027,1,1),'FUNDED DEALS 2027'!$C$4:$C$1226,"&lt;"&amp;DATE(2027,2,1))+SUMIFS('FUNDED DEALS 2027'!$AB$4:$AB$1226,'FUNDED DEALS 2027'!$Z$4:$Z$1226,$A4,'FUNDED DEALS 2027'!$C$4:$C$1226,"&gt;="&amp;DATE(2027,1,1),'FUNDED DEALS 2027'!$C$4:$C$1226,"&lt;"&amp;DATE(2027,2,1)))</f>
        <v>0</v>
      </c>
      <c r="L4" s="48" t="n">
        <f aca="false">IF($A4="","",SUMIFS('FUNDED DEALS'!$V$4:$V$1226,'FUNDED DEALS'!$T$4:$T$1226,$A4,'FUNDED DEALS'!$C$4:$C$1226,"&gt;="&amp;DATE(2027,2,1),'FUNDED DEALS'!$C$4:$C$1226,"&lt;"&amp;DATE(2027,3,1))+SUMIFS('FUNDED DEALS'!$Y$4:$Y$1226,'FUNDED DEALS'!$W$4:$W$1226,$A4,'FUNDED DEALS'!$C$4:$C$1226,"&gt;="&amp;DATE(2027,2,1),'FUNDED DEALS'!$C$4:$C$1226,"&lt;"&amp;DATE(2027,3,1))+SUMIFS('FUNDED DEALS'!$AB$4:$AB$1226,'FUNDED DEALS'!$Z$4:$Z$1226,$A4,'FUNDED DEALS'!$C$4:$C$1226,"&gt;="&amp;DATE(2027,2,1),'FUNDED DEALS'!$C$4:$C$1226,"&lt;"&amp;DATE(2027,3,1))+SUMIFS('FUNDED DEALS 2027'!$V$4:$V$1226,'FUNDED DEALS 2027'!$T$4:$T$1226,$A4,'FUNDED DEALS 2027'!$C$4:$C$1226,"&gt;="&amp;DATE(2027,2,1),'FUNDED DEALS 2027'!$C$4:$C$1226,"&lt;"&amp;DATE(2027,3,1))+SUMIFS('FUNDED DEALS 2027'!$Y$4:$Y$1226,'FUNDED DEALS 2027'!$W$4:$W$1226,$A4,'FUNDED DEALS 2027'!$C$4:$C$1226,"&gt;="&amp;DATE(2027,2,1),'FUNDED DEALS 2027'!$C$4:$C$1226,"&lt;"&amp;DATE(2027,3,1))+SUMIFS('FUNDED DEALS 2027'!$AB$4:$AB$1226,'FUNDED DEALS 2027'!$Z$4:$Z$1226,$A4,'FUNDED DEALS 2027'!$C$4:$C$1226,"&gt;="&amp;DATE(2027,2,1),'FUNDED DEALS 2027'!$C$4:$C$1226,"&lt;"&amp;DATE(2027,3,1)))</f>
        <v>0</v>
      </c>
      <c r="M4" s="48" t="n">
        <f aca="false">IF($A4="","",SUMIFS('FUNDED DEALS'!$V$4:$V$1226,'FUNDED DEALS'!$T$4:$T$1226,$A4,'FUNDED DEALS'!$C$4:$C$1226,"&gt;="&amp;DATE(2027,3,1),'FUNDED DEALS'!$C$4:$C$1226,"&lt;"&amp;DATE(2027,4,1))+SUMIFS('FUNDED DEALS'!$Y$4:$Y$1226,'FUNDED DEALS'!$W$4:$W$1226,$A4,'FUNDED DEALS'!$C$4:$C$1226,"&gt;="&amp;DATE(2027,3,1),'FUNDED DEALS'!$C$4:$C$1226,"&lt;"&amp;DATE(2027,4,1))+SUMIFS('FUNDED DEALS'!$AB$4:$AB$1226,'FUNDED DEALS'!$Z$4:$Z$1226,$A4,'FUNDED DEALS'!$C$4:$C$1226,"&gt;="&amp;DATE(2027,3,1),'FUNDED DEALS'!$C$4:$C$1226,"&lt;"&amp;DATE(2027,4,1))+SUMIFS('FUNDED DEALS 2027'!$V$4:$V$1226,'FUNDED DEALS 2027'!$T$4:$T$1226,$A4,'FUNDED DEALS 2027'!$C$4:$C$1226,"&gt;="&amp;DATE(2027,3,1),'FUNDED DEALS 2027'!$C$4:$C$1226,"&lt;"&amp;DATE(2027,4,1))+SUMIFS('FUNDED DEALS 2027'!$Y$4:$Y$1226,'FUNDED DEALS 2027'!$W$4:$W$1226,$A4,'FUNDED DEALS 2027'!$C$4:$C$1226,"&gt;="&amp;DATE(2027,3,1),'FUNDED DEALS 2027'!$C$4:$C$1226,"&lt;"&amp;DATE(2027,4,1))+SUMIFS('FUNDED DEALS 2027'!$AB$4:$AB$1226,'FUNDED DEALS 2027'!$Z$4:$Z$1226,$A4,'FUNDED DEALS 2027'!$C$4:$C$1226,"&gt;="&amp;DATE(2027,3,1),'FUNDED DEALS 2027'!$C$4:$C$1226,"&lt;"&amp;DATE(2027,4,1)))</f>
        <v>0</v>
      </c>
      <c r="N4" s="48" t="n">
        <f aca="false">IF($A4="","",SUMIFS('FUNDED DEALS'!$V$4:$V$1226,'FUNDED DEALS'!$T$4:$T$1226,$A4,'FUNDED DEALS'!$C$4:$C$1226,"&gt;="&amp;DATE(2027,4,1),'FUNDED DEALS'!$C$4:$C$1226,"&lt;"&amp;DATE(2027,5,1))+SUMIFS('FUNDED DEALS'!$Y$4:$Y$1226,'FUNDED DEALS'!$W$4:$W$1226,$A4,'FUNDED DEALS'!$C$4:$C$1226,"&gt;="&amp;DATE(2027,4,1),'FUNDED DEALS'!$C$4:$C$1226,"&lt;"&amp;DATE(2027,5,1))+SUMIFS('FUNDED DEALS'!$AB$4:$AB$1226,'FUNDED DEALS'!$Z$4:$Z$1226,$A4,'FUNDED DEALS'!$C$4:$C$1226,"&gt;="&amp;DATE(2027,4,1),'FUNDED DEALS'!$C$4:$C$1226,"&lt;"&amp;DATE(2027,5,1))+SUMIFS('FUNDED DEALS 2027'!$V$4:$V$1226,'FUNDED DEALS 2027'!$T$4:$T$1226,$A4,'FUNDED DEALS 2027'!$C$4:$C$1226,"&gt;="&amp;DATE(2027,4,1),'FUNDED DEALS 2027'!$C$4:$C$1226,"&lt;"&amp;DATE(2027,5,1))+SUMIFS('FUNDED DEALS 2027'!$Y$4:$Y$1226,'FUNDED DEALS 2027'!$W$4:$W$1226,$A4,'FUNDED DEALS 2027'!$C$4:$C$1226,"&gt;="&amp;DATE(2027,4,1),'FUNDED DEALS 2027'!$C$4:$C$1226,"&lt;"&amp;DATE(2027,5,1))+SUMIFS('FUNDED DEALS 2027'!$AB$4:$AB$1226,'FUNDED DEALS 2027'!$Z$4:$Z$1226,$A4,'FUNDED DEALS 2027'!$C$4:$C$1226,"&gt;="&amp;DATE(2027,4,1),'FUNDED DEALS 2027'!$C$4:$C$1226,"&lt;"&amp;DATE(2027,5,1)))</f>
        <v>0</v>
      </c>
      <c r="O4" s="48" t="n">
        <f aca="false">IF($A4="","",SUMIFS('FUNDED DEALS'!$V$4:$V$1226,'FUNDED DEALS'!$T$4:$T$1226,$A4,'FUNDED DEALS'!$C$4:$C$1226,"&gt;="&amp;DATE(2027,5,1),'FUNDED DEALS'!$C$4:$C$1226,"&lt;"&amp;DATE(2027,6,1))+SUMIFS('FUNDED DEALS'!$Y$4:$Y$1226,'FUNDED DEALS'!$W$4:$W$1226,$A4,'FUNDED DEALS'!$C$4:$C$1226,"&gt;="&amp;DATE(2027,5,1),'FUNDED DEALS'!$C$4:$C$1226,"&lt;"&amp;DATE(2027,6,1))+SUMIFS('FUNDED DEALS'!$AB$4:$AB$1226,'FUNDED DEALS'!$Z$4:$Z$1226,$A4,'FUNDED DEALS'!$C$4:$C$1226,"&gt;="&amp;DATE(2027,5,1),'FUNDED DEALS'!$C$4:$C$1226,"&lt;"&amp;DATE(2027,6,1))+SUMIFS('FUNDED DEALS 2027'!$V$4:$V$1226,'FUNDED DEALS 2027'!$T$4:$T$1226,$A4,'FUNDED DEALS 2027'!$C$4:$C$1226,"&gt;="&amp;DATE(2027,5,1),'FUNDED DEALS 2027'!$C$4:$C$1226,"&lt;"&amp;DATE(2027,6,1))+SUMIFS('FUNDED DEALS 2027'!$Y$4:$Y$1226,'FUNDED DEALS 2027'!$W$4:$W$1226,$A4,'FUNDED DEALS 2027'!$C$4:$C$1226,"&gt;="&amp;DATE(2027,5,1),'FUNDED DEALS 2027'!$C$4:$C$1226,"&lt;"&amp;DATE(2027,6,1))+SUMIFS('FUNDED DEALS 2027'!$AB$4:$AB$1226,'FUNDED DEALS 2027'!$Z$4:$Z$1226,$A4,'FUNDED DEALS 2027'!$C$4:$C$1226,"&gt;="&amp;DATE(2027,5,1),'FUNDED DEALS 2027'!$C$4:$C$1226,"&lt;"&amp;DATE(2027,6,1)))</f>
        <v>0</v>
      </c>
      <c r="P4" s="48" t="n">
        <f aca="false">IF($A4="","",SUMIFS('FUNDED DEALS'!$V$4:$V$1226,'FUNDED DEALS'!$T$4:$T$1226,$A4,'FUNDED DEALS'!$C$4:$C$1226,"&gt;="&amp;DATE(2027,6,1),'FUNDED DEALS'!$C$4:$C$1226,"&lt;"&amp;DATE(2027,7,1))+SUMIFS('FUNDED DEALS'!$Y$4:$Y$1226,'FUNDED DEALS'!$W$4:$W$1226,$A4,'FUNDED DEALS'!$C$4:$C$1226,"&gt;="&amp;DATE(2027,6,1),'FUNDED DEALS'!$C$4:$C$1226,"&lt;"&amp;DATE(2027,7,1))+SUMIFS('FUNDED DEALS'!$AB$4:$AB$1226,'FUNDED DEALS'!$Z$4:$Z$1226,$A4,'FUNDED DEALS'!$C$4:$C$1226,"&gt;="&amp;DATE(2027,6,1),'FUNDED DEALS'!$C$4:$C$1226,"&lt;"&amp;DATE(2027,7,1))+SUMIFS('FUNDED DEALS 2027'!$V$4:$V$1226,'FUNDED DEALS 2027'!$T$4:$T$1226,$A4,'FUNDED DEALS 2027'!$C$4:$C$1226,"&gt;="&amp;DATE(2027,6,1),'FUNDED DEALS 2027'!$C$4:$C$1226,"&lt;"&amp;DATE(2027,7,1))+SUMIFS('FUNDED DEALS 2027'!$Y$4:$Y$1226,'FUNDED DEALS 2027'!$W$4:$W$1226,$A4,'FUNDED DEALS 2027'!$C$4:$C$1226,"&gt;="&amp;DATE(2027,6,1),'FUNDED DEALS 2027'!$C$4:$C$1226,"&lt;"&amp;DATE(2027,7,1))+SUMIFS('FUNDED DEALS 2027'!$AB$4:$AB$1226,'FUNDED DEALS 2027'!$Z$4:$Z$1226,$A4,'FUNDED DEALS 2027'!$C$4:$C$1226,"&gt;="&amp;DATE(2027,6,1),'FUNDED DEALS 2027'!$C$4:$C$1226,"&lt;"&amp;DATE(2027,7,1)))</f>
        <v>0</v>
      </c>
      <c r="Q4" s="48" t="n">
        <f aca="false">IF($A4="","",SUMIFS('FUNDED DEALS'!$V$4:$V$1226,'FUNDED DEALS'!$T$4:$T$1226,$A4,'FUNDED DEALS'!$C$4:$C$1226,"&gt;="&amp;DATE(2027,7,1),'FUNDED DEALS'!$C$4:$C$1226,"&lt;"&amp;DATE(2027,8,1))+SUMIFS('FUNDED DEALS'!$Y$4:$Y$1226,'FUNDED DEALS'!$W$4:$W$1226,$A4,'FUNDED DEALS'!$C$4:$C$1226,"&gt;="&amp;DATE(2027,7,1),'FUNDED DEALS'!$C$4:$C$1226,"&lt;"&amp;DATE(2027,8,1))+SUMIFS('FUNDED DEALS'!$AB$4:$AB$1226,'FUNDED DEALS'!$Z$4:$Z$1226,$A4,'FUNDED DEALS'!$C$4:$C$1226,"&gt;="&amp;DATE(2027,7,1),'FUNDED DEALS'!$C$4:$C$1226,"&lt;"&amp;DATE(2027,8,1))+SUMIFS('FUNDED DEALS 2027'!$V$4:$V$1226,'FUNDED DEALS 2027'!$T$4:$T$1226,$A4,'FUNDED DEALS 2027'!$C$4:$C$1226,"&gt;="&amp;DATE(2027,7,1),'FUNDED DEALS 2027'!$C$4:$C$1226,"&lt;"&amp;DATE(2027,8,1))+SUMIFS('FUNDED DEALS 2027'!$Y$4:$Y$1226,'FUNDED DEALS 2027'!$W$4:$W$1226,$A4,'FUNDED DEALS 2027'!$C$4:$C$1226,"&gt;="&amp;DATE(2027,7,1),'FUNDED DEALS 2027'!$C$4:$C$1226,"&lt;"&amp;DATE(2027,8,1))+SUMIFS('FUNDED DEALS 2027'!$AB$4:$AB$1226,'FUNDED DEALS 2027'!$Z$4:$Z$1226,$A4,'FUNDED DEALS 2027'!$C$4:$C$1226,"&gt;="&amp;DATE(2027,7,1),'FUNDED DEALS 2027'!$C$4:$C$1226,"&lt;"&amp;DATE(2027,8,1)))</f>
        <v>0</v>
      </c>
      <c r="R4" s="48" t="n">
        <f aca="false">IF($A4="","",SUMIFS('FUNDED DEALS'!$V$4:$V$1226,'FUNDED DEALS'!$T$4:$T$1226,$A4,'FUNDED DEALS'!$C$4:$C$1226,"&gt;="&amp;DATE(2027,8,1),'FUNDED DEALS'!$C$4:$C$1226,"&lt;"&amp;DATE(2027,9,1))+SUMIFS('FUNDED DEALS'!$Y$4:$Y$1226,'FUNDED DEALS'!$W$4:$W$1226,$A4,'FUNDED DEALS'!$C$4:$C$1226,"&gt;="&amp;DATE(2027,8,1),'FUNDED DEALS'!$C$4:$C$1226,"&lt;"&amp;DATE(2027,9,1))+SUMIFS('FUNDED DEALS'!$AB$4:$AB$1226,'FUNDED DEALS'!$Z$4:$Z$1226,$A4,'FUNDED DEALS'!$C$4:$C$1226,"&gt;="&amp;DATE(2027,8,1),'FUNDED DEALS'!$C$4:$C$1226,"&lt;"&amp;DATE(2027,9,1))+SUMIFS('FUNDED DEALS 2027'!$V$4:$V$1226,'FUNDED DEALS 2027'!$T$4:$T$1226,$A4,'FUNDED DEALS 2027'!$C$4:$C$1226,"&gt;="&amp;DATE(2027,8,1),'FUNDED DEALS 2027'!$C$4:$C$1226,"&lt;"&amp;DATE(2027,9,1))+SUMIFS('FUNDED DEALS 2027'!$Y$4:$Y$1226,'FUNDED DEALS 2027'!$W$4:$W$1226,$A4,'FUNDED DEALS 2027'!$C$4:$C$1226,"&gt;="&amp;DATE(2027,8,1),'FUNDED DEALS 2027'!$C$4:$C$1226,"&lt;"&amp;DATE(2027,9,1))+SUMIFS('FUNDED DEALS 2027'!$AB$4:$AB$1226,'FUNDED DEALS 2027'!$Z$4:$Z$1226,$A4,'FUNDED DEALS 2027'!$C$4:$C$1226,"&gt;="&amp;DATE(2027,8,1),'FUNDED DEALS 2027'!$C$4:$C$1226,"&lt;"&amp;DATE(2027,9,1)))</f>
        <v>0</v>
      </c>
      <c r="S4" s="48" t="n">
        <f aca="false">IF($A4="","",SUMIFS('FUNDED DEALS'!$V$4:$V$1226,'FUNDED DEALS'!$T$4:$T$1226,$A4,'FUNDED DEALS'!$C$4:$C$1226,"&gt;="&amp;DATE(2027,9,1),'FUNDED DEALS'!$C$4:$C$1226,"&lt;"&amp;DATE(2027,10,1))+SUMIFS('FUNDED DEALS'!$Y$4:$Y$1226,'FUNDED DEALS'!$W$4:$W$1226,$A4,'FUNDED DEALS'!$C$4:$C$1226,"&gt;="&amp;DATE(2027,9,1),'FUNDED DEALS'!$C$4:$C$1226,"&lt;"&amp;DATE(2027,10,1))+SUMIFS('FUNDED DEALS'!$AB$4:$AB$1226,'FUNDED DEALS'!$Z$4:$Z$1226,$A4,'FUNDED DEALS'!$C$4:$C$1226,"&gt;="&amp;DATE(2027,9,1),'FUNDED DEALS'!$C$4:$C$1226,"&lt;"&amp;DATE(2027,10,1))+SUMIFS('FUNDED DEALS 2027'!$V$4:$V$1226,'FUNDED DEALS 2027'!$T$4:$T$1226,$A4,'FUNDED DEALS 2027'!$C$4:$C$1226,"&gt;="&amp;DATE(2027,9,1),'FUNDED DEALS 2027'!$C$4:$C$1226,"&lt;"&amp;DATE(2027,10,1))+SUMIFS('FUNDED DEALS 2027'!$Y$4:$Y$1226,'FUNDED DEALS 2027'!$W$4:$W$1226,$A4,'FUNDED DEALS 2027'!$C$4:$C$1226,"&gt;="&amp;DATE(2027,9,1),'FUNDED DEALS 2027'!$C$4:$C$1226,"&lt;"&amp;DATE(2027,10,1))+SUMIFS('FUNDED DEALS 2027'!$AB$4:$AB$1226,'FUNDED DEALS 2027'!$Z$4:$Z$1226,$A4,'FUNDED DEALS 2027'!$C$4:$C$1226,"&gt;="&amp;DATE(2027,9,1),'FUNDED DEALS 2027'!$C$4:$C$1226,"&lt;"&amp;DATE(2027,10,1)))</f>
        <v>0</v>
      </c>
      <c r="T4" s="48" t="n">
        <f aca="false">IF($A4="","",SUMIFS('FUNDED DEALS'!$V$4:$V$1226,'FUNDED DEALS'!$T$4:$T$1226,$A4,'FUNDED DEALS'!$C$4:$C$1226,"&gt;="&amp;DATE(2027,10,1),'FUNDED DEALS'!$C$4:$C$1226,"&lt;"&amp;DATE(2027,11,1))+SUMIFS('FUNDED DEALS'!$Y$4:$Y$1226,'FUNDED DEALS'!$W$4:$W$1226,$A4,'FUNDED DEALS'!$C$4:$C$1226,"&gt;="&amp;DATE(2027,10,1),'FUNDED DEALS'!$C$4:$C$1226,"&lt;"&amp;DATE(2027,11,1))+SUMIFS('FUNDED DEALS'!$AB$4:$AB$1226,'FUNDED DEALS'!$Z$4:$Z$1226,$A4,'FUNDED DEALS'!$C$4:$C$1226,"&gt;="&amp;DATE(2027,10,1),'FUNDED DEALS'!$C$4:$C$1226,"&lt;"&amp;DATE(2027,11,1))+SUMIFS('FUNDED DEALS 2027'!$V$4:$V$1226,'FUNDED DEALS 2027'!$T$4:$T$1226,$A4,'FUNDED DEALS 2027'!$C$4:$C$1226,"&gt;="&amp;DATE(2027,10,1),'FUNDED DEALS 2027'!$C$4:$C$1226,"&lt;"&amp;DATE(2027,11,1))+SUMIFS('FUNDED DEALS 2027'!$Y$4:$Y$1226,'FUNDED DEALS 2027'!$W$4:$W$1226,$A4,'FUNDED DEALS 2027'!$C$4:$C$1226,"&gt;="&amp;DATE(2027,10,1),'FUNDED DEALS 2027'!$C$4:$C$1226,"&lt;"&amp;DATE(2027,11,1))+SUMIFS('FUNDED DEALS 2027'!$AB$4:$AB$1226,'FUNDED DEALS 2027'!$Z$4:$Z$1226,$A4,'FUNDED DEALS 2027'!$C$4:$C$1226,"&gt;="&amp;DATE(2027,10,1),'FUNDED DEALS 2027'!$C$4:$C$1226,"&lt;"&amp;DATE(2027,11,1)))</f>
        <v>0</v>
      </c>
      <c r="U4" s="48" t="n">
        <f aca="false">IF($A4="","",SUMIFS('FUNDED DEALS'!$V$4:$V$1226,'FUNDED DEALS'!$T$4:$T$1226,$A4,'FUNDED DEALS'!$C$4:$C$1226,"&gt;="&amp;DATE(2027,11,1),'FUNDED DEALS'!$C$4:$C$1226,"&lt;"&amp;DATE(2027,12,1))+SUMIFS('FUNDED DEALS'!$Y$4:$Y$1226,'FUNDED DEALS'!$W$4:$W$1226,$A4,'FUNDED DEALS'!$C$4:$C$1226,"&gt;="&amp;DATE(2027,11,1),'FUNDED DEALS'!$C$4:$C$1226,"&lt;"&amp;DATE(2027,12,1))+SUMIFS('FUNDED DEALS'!$AB$4:$AB$1226,'FUNDED DEALS'!$Z$4:$Z$1226,$A4,'FUNDED DEALS'!$C$4:$C$1226,"&gt;="&amp;DATE(2027,11,1),'FUNDED DEALS'!$C$4:$C$1226,"&lt;"&amp;DATE(2027,12,1))+SUMIFS('FUNDED DEALS 2027'!$V$4:$V$1226,'FUNDED DEALS 2027'!$T$4:$T$1226,$A4,'FUNDED DEALS 2027'!$C$4:$C$1226,"&gt;="&amp;DATE(2027,11,1),'FUNDED DEALS 2027'!$C$4:$C$1226,"&lt;"&amp;DATE(2027,12,1))+SUMIFS('FUNDED DEALS 2027'!$Y$4:$Y$1226,'FUNDED DEALS 2027'!$W$4:$W$1226,$A4,'FUNDED DEALS 2027'!$C$4:$C$1226,"&gt;="&amp;DATE(2027,11,1),'FUNDED DEALS 2027'!$C$4:$C$1226,"&lt;"&amp;DATE(2027,12,1))+SUMIFS('FUNDED DEALS 2027'!$AB$4:$AB$1226,'FUNDED DEALS 2027'!$Z$4:$Z$1226,$A4,'FUNDED DEALS 2027'!$C$4:$C$1226,"&gt;="&amp;DATE(2027,11,1),'FUNDED DEALS 2027'!$C$4:$C$1226,"&lt;"&amp;DATE(2027,12,1)))</f>
        <v>0</v>
      </c>
      <c r="V4" s="48" t="n">
        <f aca="false">IF($A4="","",SUMIFS('FUNDED DEALS'!$V$4:$V$1226,'FUNDED DEALS'!$T$4:$T$1226,$A4,'FUNDED DEALS'!$C$4:$C$1226,"&gt;="&amp;DATE(2027,12,1),'FUNDED DEALS'!$C$4:$C$1226,"&lt;"&amp;DATE(2028,1,1))+SUMIFS('FUNDED DEALS'!$Y$4:$Y$1226,'FUNDED DEALS'!$W$4:$W$1226,$A4,'FUNDED DEALS'!$C$4:$C$1226,"&gt;="&amp;DATE(2027,12,1),'FUNDED DEALS'!$C$4:$C$1226,"&lt;"&amp;DATE(2028,1,1))+SUMIFS('FUNDED DEALS'!$AB$4:$AB$1226,'FUNDED DEALS'!$Z$4:$Z$1226,$A4,'FUNDED DEALS'!$C$4:$C$1226,"&gt;="&amp;DATE(2027,12,1),'FUNDED DEALS'!$C$4:$C$1226,"&lt;"&amp;DATE(2028,1,1))+SUMIFS('FUNDED DEALS 2027'!$V$4:$V$1226,'FUNDED DEALS 2027'!$T$4:$T$1226,$A4,'FUNDED DEALS 2027'!$C$4:$C$1226,"&gt;="&amp;DATE(2027,12,1),'FUNDED DEALS 2027'!$C$4:$C$1226,"&lt;"&amp;DATE(2028,1,1))+SUMIFS('FUNDED DEALS 2027'!$Y$4:$Y$1226,'FUNDED DEALS 2027'!$W$4:$W$1226,$A4,'FUNDED DEALS 2027'!$C$4:$C$1226,"&gt;="&amp;DATE(2027,12,1),'FUNDED DEALS 2027'!$C$4:$C$1226,"&lt;"&amp;DATE(2028,1,1))+SUMIFS('FUNDED DEALS 2027'!$AB$4:$AB$1226,'FUNDED DEALS 2027'!$Z$4:$Z$1226,$A4,'FUNDED DEALS 2027'!$C$4:$C$1226,"&gt;="&amp;DATE(2027,12,1),'FUNDED DEALS 2027'!$C$4:$C$1226,"&lt;"&amp;DATE(2028,1,1)))</f>
        <v>0</v>
      </c>
      <c r="W4" s="56" t="n">
        <f aca="false">IF($A4="","",SUM(B4:V4))</f>
        <v>0</v>
      </c>
    </row>
    <row r="5" customFormat="false" ht="15" hidden="false" customHeight="false" outlineLevel="0" collapsed="false">
      <c r="A5" s="50" t="str">
        <f aca="false">IF(REPS!A3="","",REPS!A3)</f>
        <v>Raymond Amato</v>
      </c>
      <c r="B5" s="51" t="n">
        <f aca="false">IF($A5="","",SUMIFS('FUNDED DEALS'!$V$4:$V$1226,'FUNDED DEALS'!$T$4:$T$1226,$A5,'FUNDED DEALS'!$C$4:$C$1226,"&gt;="&amp;DATE(2026,4,1),'FUNDED DEALS'!$C$4:$C$1226,"&lt;"&amp;DATE(2026,5,1))+SUMIFS('FUNDED DEALS'!$Y$4:$Y$1226,'FUNDED DEALS'!$W$4:$W$1226,$A5,'FUNDED DEALS'!$C$4:$C$1226,"&gt;="&amp;DATE(2026,4,1),'FUNDED DEALS'!$C$4:$C$1226,"&lt;"&amp;DATE(2026,5,1))+SUMIFS('FUNDED DEALS'!$AB$4:$AB$1226,'FUNDED DEALS'!$Z$4:$Z$1226,$A5,'FUNDED DEALS'!$C$4:$C$1226,"&gt;="&amp;DATE(2026,4,1),'FUNDED DEALS'!$C$4:$C$1226,"&lt;"&amp;DATE(2026,5,1))+SUMIFS('FUNDED DEALS 2027'!$V$4:$V$1226,'FUNDED DEALS 2027'!$T$4:$T$1226,$A5,'FUNDED DEALS 2027'!$C$4:$C$1226,"&gt;="&amp;DATE(2026,4,1),'FUNDED DEALS 2027'!$C$4:$C$1226,"&lt;"&amp;DATE(2026,5,1))+SUMIFS('FUNDED DEALS 2027'!$Y$4:$Y$1226,'FUNDED DEALS 2027'!$W$4:$W$1226,$A5,'FUNDED DEALS 2027'!$C$4:$C$1226,"&gt;="&amp;DATE(2026,4,1),'FUNDED DEALS 2027'!$C$4:$C$1226,"&lt;"&amp;DATE(2026,5,1))+SUMIFS('FUNDED DEALS 2027'!$AB$4:$AB$1226,'FUNDED DEALS 2027'!$Z$4:$Z$1226,$A5,'FUNDED DEALS 2027'!$C$4:$C$1226,"&gt;="&amp;DATE(2026,4,1),'FUNDED DEALS 2027'!$C$4:$C$1226,"&lt;"&amp;DATE(2026,5,1)))</f>
        <v>0</v>
      </c>
      <c r="C5" s="51" t="n">
        <f aca="false">IF($A5="","",SUMIFS('FUNDED DEALS'!$V$4:$V$1226,'FUNDED DEALS'!$T$4:$T$1226,$A5,'FUNDED DEALS'!$C$4:$C$1226,"&gt;="&amp;DATE(2026,5,1),'FUNDED DEALS'!$C$4:$C$1226,"&lt;"&amp;DATE(2026,6,1))+SUMIFS('FUNDED DEALS'!$Y$4:$Y$1226,'FUNDED DEALS'!$W$4:$W$1226,$A5,'FUNDED DEALS'!$C$4:$C$1226,"&gt;="&amp;DATE(2026,5,1),'FUNDED DEALS'!$C$4:$C$1226,"&lt;"&amp;DATE(2026,6,1))+SUMIFS('FUNDED DEALS'!$AB$4:$AB$1226,'FUNDED DEALS'!$Z$4:$Z$1226,$A5,'FUNDED DEALS'!$C$4:$C$1226,"&gt;="&amp;DATE(2026,5,1),'FUNDED DEALS'!$C$4:$C$1226,"&lt;"&amp;DATE(2026,6,1))+SUMIFS('FUNDED DEALS 2027'!$V$4:$V$1226,'FUNDED DEALS 2027'!$T$4:$T$1226,$A5,'FUNDED DEALS 2027'!$C$4:$C$1226,"&gt;="&amp;DATE(2026,5,1),'FUNDED DEALS 2027'!$C$4:$C$1226,"&lt;"&amp;DATE(2026,6,1))+SUMIFS('FUNDED DEALS 2027'!$Y$4:$Y$1226,'FUNDED DEALS 2027'!$W$4:$W$1226,$A5,'FUNDED DEALS 2027'!$C$4:$C$1226,"&gt;="&amp;DATE(2026,5,1),'FUNDED DEALS 2027'!$C$4:$C$1226,"&lt;"&amp;DATE(2026,6,1))+SUMIFS('FUNDED DEALS 2027'!$AB$4:$AB$1226,'FUNDED DEALS 2027'!$Z$4:$Z$1226,$A5,'FUNDED DEALS 2027'!$C$4:$C$1226,"&gt;="&amp;DATE(2026,5,1),'FUNDED DEALS 2027'!$C$4:$C$1226,"&lt;"&amp;DATE(2026,6,1)))</f>
        <v>0</v>
      </c>
      <c r="D5" s="51" t="n">
        <f aca="false">IF($A5="","",SUMIFS('FUNDED DEALS'!$V$4:$V$1226,'FUNDED DEALS'!$T$4:$T$1226,$A5,'FUNDED DEALS'!$C$4:$C$1226,"&gt;="&amp;DATE(2026,6,1),'FUNDED DEALS'!$C$4:$C$1226,"&lt;"&amp;DATE(2026,7,1))+SUMIFS('FUNDED DEALS'!$Y$4:$Y$1226,'FUNDED DEALS'!$W$4:$W$1226,$A5,'FUNDED DEALS'!$C$4:$C$1226,"&gt;="&amp;DATE(2026,6,1),'FUNDED DEALS'!$C$4:$C$1226,"&lt;"&amp;DATE(2026,7,1))+SUMIFS('FUNDED DEALS'!$AB$4:$AB$1226,'FUNDED DEALS'!$Z$4:$Z$1226,$A5,'FUNDED DEALS'!$C$4:$C$1226,"&gt;="&amp;DATE(2026,6,1),'FUNDED DEALS'!$C$4:$C$1226,"&lt;"&amp;DATE(2026,7,1))+SUMIFS('FUNDED DEALS 2027'!$V$4:$V$1226,'FUNDED DEALS 2027'!$T$4:$T$1226,$A5,'FUNDED DEALS 2027'!$C$4:$C$1226,"&gt;="&amp;DATE(2026,6,1),'FUNDED DEALS 2027'!$C$4:$C$1226,"&lt;"&amp;DATE(2026,7,1))+SUMIFS('FUNDED DEALS 2027'!$Y$4:$Y$1226,'FUNDED DEALS 2027'!$W$4:$W$1226,$A5,'FUNDED DEALS 2027'!$C$4:$C$1226,"&gt;="&amp;DATE(2026,6,1),'FUNDED DEALS 2027'!$C$4:$C$1226,"&lt;"&amp;DATE(2026,7,1))+SUMIFS('FUNDED DEALS 2027'!$AB$4:$AB$1226,'FUNDED DEALS 2027'!$Z$4:$Z$1226,$A5,'FUNDED DEALS 2027'!$C$4:$C$1226,"&gt;="&amp;DATE(2026,6,1),'FUNDED DEALS 2027'!$C$4:$C$1226,"&lt;"&amp;DATE(2026,7,1)))</f>
        <v>0</v>
      </c>
      <c r="E5" s="51" t="n">
        <f aca="false">IF($A5="","",SUMIFS('FUNDED DEALS'!$V$4:$V$1226,'FUNDED DEALS'!$T$4:$T$1226,$A5,'FUNDED DEALS'!$C$4:$C$1226,"&gt;="&amp;DATE(2026,7,1),'FUNDED DEALS'!$C$4:$C$1226,"&lt;"&amp;DATE(2026,8,1))+SUMIFS('FUNDED DEALS'!$Y$4:$Y$1226,'FUNDED DEALS'!$W$4:$W$1226,$A5,'FUNDED DEALS'!$C$4:$C$1226,"&gt;="&amp;DATE(2026,7,1),'FUNDED DEALS'!$C$4:$C$1226,"&lt;"&amp;DATE(2026,8,1))+SUMIFS('FUNDED DEALS'!$AB$4:$AB$1226,'FUNDED DEALS'!$Z$4:$Z$1226,$A5,'FUNDED DEALS'!$C$4:$C$1226,"&gt;="&amp;DATE(2026,7,1),'FUNDED DEALS'!$C$4:$C$1226,"&lt;"&amp;DATE(2026,8,1))+SUMIFS('FUNDED DEALS 2027'!$V$4:$V$1226,'FUNDED DEALS 2027'!$T$4:$T$1226,$A5,'FUNDED DEALS 2027'!$C$4:$C$1226,"&gt;="&amp;DATE(2026,7,1),'FUNDED DEALS 2027'!$C$4:$C$1226,"&lt;"&amp;DATE(2026,8,1))+SUMIFS('FUNDED DEALS 2027'!$Y$4:$Y$1226,'FUNDED DEALS 2027'!$W$4:$W$1226,$A5,'FUNDED DEALS 2027'!$C$4:$C$1226,"&gt;="&amp;DATE(2026,7,1),'FUNDED DEALS 2027'!$C$4:$C$1226,"&lt;"&amp;DATE(2026,8,1))+SUMIFS('FUNDED DEALS 2027'!$AB$4:$AB$1226,'FUNDED DEALS 2027'!$Z$4:$Z$1226,$A5,'FUNDED DEALS 2027'!$C$4:$C$1226,"&gt;="&amp;DATE(2026,7,1),'FUNDED DEALS 2027'!$C$4:$C$1226,"&lt;"&amp;DATE(2026,8,1)))</f>
        <v>0</v>
      </c>
      <c r="F5" s="51" t="n">
        <f aca="false">IF($A5="","",SUMIFS('FUNDED DEALS'!$V$4:$V$1226,'FUNDED DEALS'!$T$4:$T$1226,$A5,'FUNDED DEALS'!$C$4:$C$1226,"&gt;="&amp;DATE(2026,8,1),'FUNDED DEALS'!$C$4:$C$1226,"&lt;"&amp;DATE(2026,9,1))+SUMIFS('FUNDED DEALS'!$Y$4:$Y$1226,'FUNDED DEALS'!$W$4:$W$1226,$A5,'FUNDED DEALS'!$C$4:$C$1226,"&gt;="&amp;DATE(2026,8,1),'FUNDED DEALS'!$C$4:$C$1226,"&lt;"&amp;DATE(2026,9,1))+SUMIFS('FUNDED DEALS'!$AB$4:$AB$1226,'FUNDED DEALS'!$Z$4:$Z$1226,$A5,'FUNDED DEALS'!$C$4:$C$1226,"&gt;="&amp;DATE(2026,8,1),'FUNDED DEALS'!$C$4:$C$1226,"&lt;"&amp;DATE(2026,9,1))+SUMIFS('FUNDED DEALS 2027'!$V$4:$V$1226,'FUNDED DEALS 2027'!$T$4:$T$1226,$A5,'FUNDED DEALS 2027'!$C$4:$C$1226,"&gt;="&amp;DATE(2026,8,1),'FUNDED DEALS 2027'!$C$4:$C$1226,"&lt;"&amp;DATE(2026,9,1))+SUMIFS('FUNDED DEALS 2027'!$Y$4:$Y$1226,'FUNDED DEALS 2027'!$W$4:$W$1226,$A5,'FUNDED DEALS 2027'!$C$4:$C$1226,"&gt;="&amp;DATE(2026,8,1),'FUNDED DEALS 2027'!$C$4:$C$1226,"&lt;"&amp;DATE(2026,9,1))+SUMIFS('FUNDED DEALS 2027'!$AB$4:$AB$1226,'FUNDED DEALS 2027'!$Z$4:$Z$1226,$A5,'FUNDED DEALS 2027'!$C$4:$C$1226,"&gt;="&amp;DATE(2026,8,1),'FUNDED DEALS 2027'!$C$4:$C$1226,"&lt;"&amp;DATE(2026,9,1)))</f>
        <v>0</v>
      </c>
      <c r="G5" s="51" t="n">
        <f aca="false">IF($A5="","",SUMIFS('FUNDED DEALS'!$V$4:$V$1226,'FUNDED DEALS'!$T$4:$T$1226,$A5,'FUNDED DEALS'!$C$4:$C$1226,"&gt;="&amp;DATE(2026,9,1),'FUNDED DEALS'!$C$4:$C$1226,"&lt;"&amp;DATE(2026,10,1))+SUMIFS('FUNDED DEALS'!$Y$4:$Y$1226,'FUNDED DEALS'!$W$4:$W$1226,$A5,'FUNDED DEALS'!$C$4:$C$1226,"&gt;="&amp;DATE(2026,9,1),'FUNDED DEALS'!$C$4:$C$1226,"&lt;"&amp;DATE(2026,10,1))+SUMIFS('FUNDED DEALS'!$AB$4:$AB$1226,'FUNDED DEALS'!$Z$4:$Z$1226,$A5,'FUNDED DEALS'!$C$4:$C$1226,"&gt;="&amp;DATE(2026,9,1),'FUNDED DEALS'!$C$4:$C$1226,"&lt;"&amp;DATE(2026,10,1))+SUMIFS('FUNDED DEALS 2027'!$V$4:$V$1226,'FUNDED DEALS 2027'!$T$4:$T$1226,$A5,'FUNDED DEALS 2027'!$C$4:$C$1226,"&gt;="&amp;DATE(2026,9,1),'FUNDED DEALS 2027'!$C$4:$C$1226,"&lt;"&amp;DATE(2026,10,1))+SUMIFS('FUNDED DEALS 2027'!$Y$4:$Y$1226,'FUNDED DEALS 2027'!$W$4:$W$1226,$A5,'FUNDED DEALS 2027'!$C$4:$C$1226,"&gt;="&amp;DATE(2026,9,1),'FUNDED DEALS 2027'!$C$4:$C$1226,"&lt;"&amp;DATE(2026,10,1))+SUMIFS('FUNDED DEALS 2027'!$AB$4:$AB$1226,'FUNDED DEALS 2027'!$Z$4:$Z$1226,$A5,'FUNDED DEALS 2027'!$C$4:$C$1226,"&gt;="&amp;DATE(2026,9,1),'FUNDED DEALS 2027'!$C$4:$C$1226,"&lt;"&amp;DATE(2026,10,1)))</f>
        <v>0</v>
      </c>
      <c r="H5" s="51" t="n">
        <f aca="false">IF($A5="","",SUMIFS('FUNDED DEALS'!$V$4:$V$1226,'FUNDED DEALS'!$T$4:$T$1226,$A5,'FUNDED DEALS'!$C$4:$C$1226,"&gt;="&amp;DATE(2026,10,1),'FUNDED DEALS'!$C$4:$C$1226,"&lt;"&amp;DATE(2026,11,1))+SUMIFS('FUNDED DEALS'!$Y$4:$Y$1226,'FUNDED DEALS'!$W$4:$W$1226,$A5,'FUNDED DEALS'!$C$4:$C$1226,"&gt;="&amp;DATE(2026,10,1),'FUNDED DEALS'!$C$4:$C$1226,"&lt;"&amp;DATE(2026,11,1))+SUMIFS('FUNDED DEALS'!$AB$4:$AB$1226,'FUNDED DEALS'!$Z$4:$Z$1226,$A5,'FUNDED DEALS'!$C$4:$C$1226,"&gt;="&amp;DATE(2026,10,1),'FUNDED DEALS'!$C$4:$C$1226,"&lt;"&amp;DATE(2026,11,1))+SUMIFS('FUNDED DEALS 2027'!$V$4:$V$1226,'FUNDED DEALS 2027'!$T$4:$T$1226,$A5,'FUNDED DEALS 2027'!$C$4:$C$1226,"&gt;="&amp;DATE(2026,10,1),'FUNDED DEALS 2027'!$C$4:$C$1226,"&lt;"&amp;DATE(2026,11,1))+SUMIFS('FUNDED DEALS 2027'!$Y$4:$Y$1226,'FUNDED DEALS 2027'!$W$4:$W$1226,$A5,'FUNDED DEALS 2027'!$C$4:$C$1226,"&gt;="&amp;DATE(2026,10,1),'FUNDED DEALS 2027'!$C$4:$C$1226,"&lt;"&amp;DATE(2026,11,1))+SUMIFS('FUNDED DEALS 2027'!$AB$4:$AB$1226,'FUNDED DEALS 2027'!$Z$4:$Z$1226,$A5,'FUNDED DEALS 2027'!$C$4:$C$1226,"&gt;="&amp;DATE(2026,10,1),'FUNDED DEALS 2027'!$C$4:$C$1226,"&lt;"&amp;DATE(2026,11,1)))</f>
        <v>0</v>
      </c>
      <c r="I5" s="51" t="n">
        <f aca="false">IF($A5="","",SUMIFS('FUNDED DEALS'!$V$4:$V$1226,'FUNDED DEALS'!$T$4:$T$1226,$A5,'FUNDED DEALS'!$C$4:$C$1226,"&gt;="&amp;DATE(2026,11,1),'FUNDED DEALS'!$C$4:$C$1226,"&lt;"&amp;DATE(2026,12,1))+SUMIFS('FUNDED DEALS'!$Y$4:$Y$1226,'FUNDED DEALS'!$W$4:$W$1226,$A5,'FUNDED DEALS'!$C$4:$C$1226,"&gt;="&amp;DATE(2026,11,1),'FUNDED DEALS'!$C$4:$C$1226,"&lt;"&amp;DATE(2026,12,1))+SUMIFS('FUNDED DEALS'!$AB$4:$AB$1226,'FUNDED DEALS'!$Z$4:$Z$1226,$A5,'FUNDED DEALS'!$C$4:$C$1226,"&gt;="&amp;DATE(2026,11,1),'FUNDED DEALS'!$C$4:$C$1226,"&lt;"&amp;DATE(2026,12,1))+SUMIFS('FUNDED DEALS 2027'!$V$4:$V$1226,'FUNDED DEALS 2027'!$T$4:$T$1226,$A5,'FUNDED DEALS 2027'!$C$4:$C$1226,"&gt;="&amp;DATE(2026,11,1),'FUNDED DEALS 2027'!$C$4:$C$1226,"&lt;"&amp;DATE(2026,12,1))+SUMIFS('FUNDED DEALS 2027'!$Y$4:$Y$1226,'FUNDED DEALS 2027'!$W$4:$W$1226,$A5,'FUNDED DEALS 2027'!$C$4:$C$1226,"&gt;="&amp;DATE(2026,11,1),'FUNDED DEALS 2027'!$C$4:$C$1226,"&lt;"&amp;DATE(2026,12,1))+SUMIFS('FUNDED DEALS 2027'!$AB$4:$AB$1226,'FUNDED DEALS 2027'!$Z$4:$Z$1226,$A5,'FUNDED DEALS 2027'!$C$4:$C$1226,"&gt;="&amp;DATE(2026,11,1),'FUNDED DEALS 2027'!$C$4:$C$1226,"&lt;"&amp;DATE(2026,12,1)))</f>
        <v>0</v>
      </c>
      <c r="J5" s="51" t="n">
        <f aca="false">IF($A5="","",SUMIFS('FUNDED DEALS'!$V$4:$V$1226,'FUNDED DEALS'!$T$4:$T$1226,$A5,'FUNDED DEALS'!$C$4:$C$1226,"&gt;="&amp;DATE(2026,12,1),'FUNDED DEALS'!$C$4:$C$1226,"&lt;"&amp;DATE(2027,1,1))+SUMIFS('FUNDED DEALS'!$Y$4:$Y$1226,'FUNDED DEALS'!$W$4:$W$1226,$A5,'FUNDED DEALS'!$C$4:$C$1226,"&gt;="&amp;DATE(2026,12,1),'FUNDED DEALS'!$C$4:$C$1226,"&lt;"&amp;DATE(2027,1,1))+SUMIFS('FUNDED DEALS'!$AB$4:$AB$1226,'FUNDED DEALS'!$Z$4:$Z$1226,$A5,'FUNDED DEALS'!$C$4:$C$1226,"&gt;="&amp;DATE(2026,12,1),'FUNDED DEALS'!$C$4:$C$1226,"&lt;"&amp;DATE(2027,1,1))+SUMIFS('FUNDED DEALS 2027'!$V$4:$V$1226,'FUNDED DEALS 2027'!$T$4:$T$1226,$A5,'FUNDED DEALS 2027'!$C$4:$C$1226,"&gt;="&amp;DATE(2026,12,1),'FUNDED DEALS 2027'!$C$4:$C$1226,"&lt;"&amp;DATE(2027,1,1))+SUMIFS('FUNDED DEALS 2027'!$Y$4:$Y$1226,'FUNDED DEALS 2027'!$W$4:$W$1226,$A5,'FUNDED DEALS 2027'!$C$4:$C$1226,"&gt;="&amp;DATE(2026,12,1),'FUNDED DEALS 2027'!$C$4:$C$1226,"&lt;"&amp;DATE(2027,1,1))+SUMIFS('FUNDED DEALS 2027'!$AB$4:$AB$1226,'FUNDED DEALS 2027'!$Z$4:$Z$1226,$A5,'FUNDED DEALS 2027'!$C$4:$C$1226,"&gt;="&amp;DATE(2026,12,1),'FUNDED DEALS 2027'!$C$4:$C$1226,"&lt;"&amp;DATE(2027,1,1)))</f>
        <v>0</v>
      </c>
      <c r="K5" s="51" t="n">
        <f aca="false">IF($A5="","",SUMIFS('FUNDED DEALS'!$V$4:$V$1226,'FUNDED DEALS'!$T$4:$T$1226,$A5,'FUNDED DEALS'!$C$4:$C$1226,"&gt;="&amp;DATE(2027,1,1),'FUNDED DEALS'!$C$4:$C$1226,"&lt;"&amp;DATE(2027,2,1))+SUMIFS('FUNDED DEALS'!$Y$4:$Y$1226,'FUNDED DEALS'!$W$4:$W$1226,$A5,'FUNDED DEALS'!$C$4:$C$1226,"&gt;="&amp;DATE(2027,1,1),'FUNDED DEALS'!$C$4:$C$1226,"&lt;"&amp;DATE(2027,2,1))+SUMIFS('FUNDED DEALS'!$AB$4:$AB$1226,'FUNDED DEALS'!$Z$4:$Z$1226,$A5,'FUNDED DEALS'!$C$4:$C$1226,"&gt;="&amp;DATE(2027,1,1),'FUNDED DEALS'!$C$4:$C$1226,"&lt;"&amp;DATE(2027,2,1))+SUMIFS('FUNDED DEALS 2027'!$V$4:$V$1226,'FUNDED DEALS 2027'!$T$4:$T$1226,$A5,'FUNDED DEALS 2027'!$C$4:$C$1226,"&gt;="&amp;DATE(2027,1,1),'FUNDED DEALS 2027'!$C$4:$C$1226,"&lt;"&amp;DATE(2027,2,1))+SUMIFS('FUNDED DEALS 2027'!$Y$4:$Y$1226,'FUNDED DEALS 2027'!$W$4:$W$1226,$A5,'FUNDED DEALS 2027'!$C$4:$C$1226,"&gt;="&amp;DATE(2027,1,1),'FUNDED DEALS 2027'!$C$4:$C$1226,"&lt;"&amp;DATE(2027,2,1))+SUMIFS('FUNDED DEALS 2027'!$AB$4:$AB$1226,'FUNDED DEALS 2027'!$Z$4:$Z$1226,$A5,'FUNDED DEALS 2027'!$C$4:$C$1226,"&gt;="&amp;DATE(2027,1,1),'FUNDED DEALS 2027'!$C$4:$C$1226,"&lt;"&amp;DATE(2027,2,1)))</f>
        <v>0</v>
      </c>
      <c r="L5" s="51" t="n">
        <f aca="false">IF($A5="","",SUMIFS('FUNDED DEALS'!$V$4:$V$1226,'FUNDED DEALS'!$T$4:$T$1226,$A5,'FUNDED DEALS'!$C$4:$C$1226,"&gt;="&amp;DATE(2027,2,1),'FUNDED DEALS'!$C$4:$C$1226,"&lt;"&amp;DATE(2027,3,1))+SUMIFS('FUNDED DEALS'!$Y$4:$Y$1226,'FUNDED DEALS'!$W$4:$W$1226,$A5,'FUNDED DEALS'!$C$4:$C$1226,"&gt;="&amp;DATE(2027,2,1),'FUNDED DEALS'!$C$4:$C$1226,"&lt;"&amp;DATE(2027,3,1))+SUMIFS('FUNDED DEALS'!$AB$4:$AB$1226,'FUNDED DEALS'!$Z$4:$Z$1226,$A5,'FUNDED DEALS'!$C$4:$C$1226,"&gt;="&amp;DATE(2027,2,1),'FUNDED DEALS'!$C$4:$C$1226,"&lt;"&amp;DATE(2027,3,1))+SUMIFS('FUNDED DEALS 2027'!$V$4:$V$1226,'FUNDED DEALS 2027'!$T$4:$T$1226,$A5,'FUNDED DEALS 2027'!$C$4:$C$1226,"&gt;="&amp;DATE(2027,2,1),'FUNDED DEALS 2027'!$C$4:$C$1226,"&lt;"&amp;DATE(2027,3,1))+SUMIFS('FUNDED DEALS 2027'!$Y$4:$Y$1226,'FUNDED DEALS 2027'!$W$4:$W$1226,$A5,'FUNDED DEALS 2027'!$C$4:$C$1226,"&gt;="&amp;DATE(2027,2,1),'FUNDED DEALS 2027'!$C$4:$C$1226,"&lt;"&amp;DATE(2027,3,1))+SUMIFS('FUNDED DEALS 2027'!$AB$4:$AB$1226,'FUNDED DEALS 2027'!$Z$4:$Z$1226,$A5,'FUNDED DEALS 2027'!$C$4:$C$1226,"&gt;="&amp;DATE(2027,2,1),'FUNDED DEALS 2027'!$C$4:$C$1226,"&lt;"&amp;DATE(2027,3,1)))</f>
        <v>0</v>
      </c>
      <c r="M5" s="51" t="n">
        <f aca="false">IF($A5="","",SUMIFS('FUNDED DEALS'!$V$4:$V$1226,'FUNDED DEALS'!$T$4:$T$1226,$A5,'FUNDED DEALS'!$C$4:$C$1226,"&gt;="&amp;DATE(2027,3,1),'FUNDED DEALS'!$C$4:$C$1226,"&lt;"&amp;DATE(2027,4,1))+SUMIFS('FUNDED DEALS'!$Y$4:$Y$1226,'FUNDED DEALS'!$W$4:$W$1226,$A5,'FUNDED DEALS'!$C$4:$C$1226,"&gt;="&amp;DATE(2027,3,1),'FUNDED DEALS'!$C$4:$C$1226,"&lt;"&amp;DATE(2027,4,1))+SUMIFS('FUNDED DEALS'!$AB$4:$AB$1226,'FUNDED DEALS'!$Z$4:$Z$1226,$A5,'FUNDED DEALS'!$C$4:$C$1226,"&gt;="&amp;DATE(2027,3,1),'FUNDED DEALS'!$C$4:$C$1226,"&lt;"&amp;DATE(2027,4,1))+SUMIFS('FUNDED DEALS 2027'!$V$4:$V$1226,'FUNDED DEALS 2027'!$T$4:$T$1226,$A5,'FUNDED DEALS 2027'!$C$4:$C$1226,"&gt;="&amp;DATE(2027,3,1),'FUNDED DEALS 2027'!$C$4:$C$1226,"&lt;"&amp;DATE(2027,4,1))+SUMIFS('FUNDED DEALS 2027'!$Y$4:$Y$1226,'FUNDED DEALS 2027'!$W$4:$W$1226,$A5,'FUNDED DEALS 2027'!$C$4:$C$1226,"&gt;="&amp;DATE(2027,3,1),'FUNDED DEALS 2027'!$C$4:$C$1226,"&lt;"&amp;DATE(2027,4,1))+SUMIFS('FUNDED DEALS 2027'!$AB$4:$AB$1226,'FUNDED DEALS 2027'!$Z$4:$Z$1226,$A5,'FUNDED DEALS 2027'!$C$4:$C$1226,"&gt;="&amp;DATE(2027,3,1),'FUNDED DEALS 2027'!$C$4:$C$1226,"&lt;"&amp;DATE(2027,4,1)))</f>
        <v>0</v>
      </c>
      <c r="N5" s="51" t="n">
        <f aca="false">IF($A5="","",SUMIFS('FUNDED DEALS'!$V$4:$V$1226,'FUNDED DEALS'!$T$4:$T$1226,$A5,'FUNDED DEALS'!$C$4:$C$1226,"&gt;="&amp;DATE(2027,4,1),'FUNDED DEALS'!$C$4:$C$1226,"&lt;"&amp;DATE(2027,5,1))+SUMIFS('FUNDED DEALS'!$Y$4:$Y$1226,'FUNDED DEALS'!$W$4:$W$1226,$A5,'FUNDED DEALS'!$C$4:$C$1226,"&gt;="&amp;DATE(2027,4,1),'FUNDED DEALS'!$C$4:$C$1226,"&lt;"&amp;DATE(2027,5,1))+SUMIFS('FUNDED DEALS'!$AB$4:$AB$1226,'FUNDED DEALS'!$Z$4:$Z$1226,$A5,'FUNDED DEALS'!$C$4:$C$1226,"&gt;="&amp;DATE(2027,4,1),'FUNDED DEALS'!$C$4:$C$1226,"&lt;"&amp;DATE(2027,5,1))+SUMIFS('FUNDED DEALS 2027'!$V$4:$V$1226,'FUNDED DEALS 2027'!$T$4:$T$1226,$A5,'FUNDED DEALS 2027'!$C$4:$C$1226,"&gt;="&amp;DATE(2027,4,1),'FUNDED DEALS 2027'!$C$4:$C$1226,"&lt;"&amp;DATE(2027,5,1))+SUMIFS('FUNDED DEALS 2027'!$Y$4:$Y$1226,'FUNDED DEALS 2027'!$W$4:$W$1226,$A5,'FUNDED DEALS 2027'!$C$4:$C$1226,"&gt;="&amp;DATE(2027,4,1),'FUNDED DEALS 2027'!$C$4:$C$1226,"&lt;"&amp;DATE(2027,5,1))+SUMIFS('FUNDED DEALS 2027'!$AB$4:$AB$1226,'FUNDED DEALS 2027'!$Z$4:$Z$1226,$A5,'FUNDED DEALS 2027'!$C$4:$C$1226,"&gt;="&amp;DATE(2027,4,1),'FUNDED DEALS 2027'!$C$4:$C$1226,"&lt;"&amp;DATE(2027,5,1)))</f>
        <v>0</v>
      </c>
      <c r="O5" s="51" t="n">
        <f aca="false">IF($A5="","",SUMIFS('FUNDED DEALS'!$V$4:$V$1226,'FUNDED DEALS'!$T$4:$T$1226,$A5,'FUNDED DEALS'!$C$4:$C$1226,"&gt;="&amp;DATE(2027,5,1),'FUNDED DEALS'!$C$4:$C$1226,"&lt;"&amp;DATE(2027,6,1))+SUMIFS('FUNDED DEALS'!$Y$4:$Y$1226,'FUNDED DEALS'!$W$4:$W$1226,$A5,'FUNDED DEALS'!$C$4:$C$1226,"&gt;="&amp;DATE(2027,5,1),'FUNDED DEALS'!$C$4:$C$1226,"&lt;"&amp;DATE(2027,6,1))+SUMIFS('FUNDED DEALS'!$AB$4:$AB$1226,'FUNDED DEALS'!$Z$4:$Z$1226,$A5,'FUNDED DEALS'!$C$4:$C$1226,"&gt;="&amp;DATE(2027,5,1),'FUNDED DEALS'!$C$4:$C$1226,"&lt;"&amp;DATE(2027,6,1))+SUMIFS('FUNDED DEALS 2027'!$V$4:$V$1226,'FUNDED DEALS 2027'!$T$4:$T$1226,$A5,'FUNDED DEALS 2027'!$C$4:$C$1226,"&gt;="&amp;DATE(2027,5,1),'FUNDED DEALS 2027'!$C$4:$C$1226,"&lt;"&amp;DATE(2027,6,1))+SUMIFS('FUNDED DEALS 2027'!$Y$4:$Y$1226,'FUNDED DEALS 2027'!$W$4:$W$1226,$A5,'FUNDED DEALS 2027'!$C$4:$C$1226,"&gt;="&amp;DATE(2027,5,1),'FUNDED DEALS 2027'!$C$4:$C$1226,"&lt;"&amp;DATE(2027,6,1))+SUMIFS('FUNDED DEALS 2027'!$AB$4:$AB$1226,'FUNDED DEALS 2027'!$Z$4:$Z$1226,$A5,'FUNDED DEALS 2027'!$C$4:$C$1226,"&gt;="&amp;DATE(2027,5,1),'FUNDED DEALS 2027'!$C$4:$C$1226,"&lt;"&amp;DATE(2027,6,1)))</f>
        <v>0</v>
      </c>
      <c r="P5" s="51" t="n">
        <f aca="false">IF($A5="","",SUMIFS('FUNDED DEALS'!$V$4:$V$1226,'FUNDED DEALS'!$T$4:$T$1226,$A5,'FUNDED DEALS'!$C$4:$C$1226,"&gt;="&amp;DATE(2027,6,1),'FUNDED DEALS'!$C$4:$C$1226,"&lt;"&amp;DATE(2027,7,1))+SUMIFS('FUNDED DEALS'!$Y$4:$Y$1226,'FUNDED DEALS'!$W$4:$W$1226,$A5,'FUNDED DEALS'!$C$4:$C$1226,"&gt;="&amp;DATE(2027,6,1),'FUNDED DEALS'!$C$4:$C$1226,"&lt;"&amp;DATE(2027,7,1))+SUMIFS('FUNDED DEALS'!$AB$4:$AB$1226,'FUNDED DEALS'!$Z$4:$Z$1226,$A5,'FUNDED DEALS'!$C$4:$C$1226,"&gt;="&amp;DATE(2027,6,1),'FUNDED DEALS'!$C$4:$C$1226,"&lt;"&amp;DATE(2027,7,1))+SUMIFS('FUNDED DEALS 2027'!$V$4:$V$1226,'FUNDED DEALS 2027'!$T$4:$T$1226,$A5,'FUNDED DEALS 2027'!$C$4:$C$1226,"&gt;="&amp;DATE(2027,6,1),'FUNDED DEALS 2027'!$C$4:$C$1226,"&lt;"&amp;DATE(2027,7,1))+SUMIFS('FUNDED DEALS 2027'!$Y$4:$Y$1226,'FUNDED DEALS 2027'!$W$4:$W$1226,$A5,'FUNDED DEALS 2027'!$C$4:$C$1226,"&gt;="&amp;DATE(2027,6,1),'FUNDED DEALS 2027'!$C$4:$C$1226,"&lt;"&amp;DATE(2027,7,1))+SUMIFS('FUNDED DEALS 2027'!$AB$4:$AB$1226,'FUNDED DEALS 2027'!$Z$4:$Z$1226,$A5,'FUNDED DEALS 2027'!$C$4:$C$1226,"&gt;="&amp;DATE(2027,6,1),'FUNDED DEALS 2027'!$C$4:$C$1226,"&lt;"&amp;DATE(2027,7,1)))</f>
        <v>0</v>
      </c>
      <c r="Q5" s="51" t="n">
        <f aca="false">IF($A5="","",SUMIFS('FUNDED DEALS'!$V$4:$V$1226,'FUNDED DEALS'!$T$4:$T$1226,$A5,'FUNDED DEALS'!$C$4:$C$1226,"&gt;="&amp;DATE(2027,7,1),'FUNDED DEALS'!$C$4:$C$1226,"&lt;"&amp;DATE(2027,8,1))+SUMIFS('FUNDED DEALS'!$Y$4:$Y$1226,'FUNDED DEALS'!$W$4:$W$1226,$A5,'FUNDED DEALS'!$C$4:$C$1226,"&gt;="&amp;DATE(2027,7,1),'FUNDED DEALS'!$C$4:$C$1226,"&lt;"&amp;DATE(2027,8,1))+SUMIFS('FUNDED DEALS'!$AB$4:$AB$1226,'FUNDED DEALS'!$Z$4:$Z$1226,$A5,'FUNDED DEALS'!$C$4:$C$1226,"&gt;="&amp;DATE(2027,7,1),'FUNDED DEALS'!$C$4:$C$1226,"&lt;"&amp;DATE(2027,8,1))+SUMIFS('FUNDED DEALS 2027'!$V$4:$V$1226,'FUNDED DEALS 2027'!$T$4:$T$1226,$A5,'FUNDED DEALS 2027'!$C$4:$C$1226,"&gt;="&amp;DATE(2027,7,1),'FUNDED DEALS 2027'!$C$4:$C$1226,"&lt;"&amp;DATE(2027,8,1))+SUMIFS('FUNDED DEALS 2027'!$Y$4:$Y$1226,'FUNDED DEALS 2027'!$W$4:$W$1226,$A5,'FUNDED DEALS 2027'!$C$4:$C$1226,"&gt;="&amp;DATE(2027,7,1),'FUNDED DEALS 2027'!$C$4:$C$1226,"&lt;"&amp;DATE(2027,8,1))+SUMIFS('FUNDED DEALS 2027'!$AB$4:$AB$1226,'FUNDED DEALS 2027'!$Z$4:$Z$1226,$A5,'FUNDED DEALS 2027'!$C$4:$C$1226,"&gt;="&amp;DATE(2027,7,1),'FUNDED DEALS 2027'!$C$4:$C$1226,"&lt;"&amp;DATE(2027,8,1)))</f>
        <v>0</v>
      </c>
      <c r="R5" s="51" t="n">
        <f aca="false">IF($A5="","",SUMIFS('FUNDED DEALS'!$V$4:$V$1226,'FUNDED DEALS'!$T$4:$T$1226,$A5,'FUNDED DEALS'!$C$4:$C$1226,"&gt;="&amp;DATE(2027,8,1),'FUNDED DEALS'!$C$4:$C$1226,"&lt;"&amp;DATE(2027,9,1))+SUMIFS('FUNDED DEALS'!$Y$4:$Y$1226,'FUNDED DEALS'!$W$4:$W$1226,$A5,'FUNDED DEALS'!$C$4:$C$1226,"&gt;="&amp;DATE(2027,8,1),'FUNDED DEALS'!$C$4:$C$1226,"&lt;"&amp;DATE(2027,9,1))+SUMIFS('FUNDED DEALS'!$AB$4:$AB$1226,'FUNDED DEALS'!$Z$4:$Z$1226,$A5,'FUNDED DEALS'!$C$4:$C$1226,"&gt;="&amp;DATE(2027,8,1),'FUNDED DEALS'!$C$4:$C$1226,"&lt;"&amp;DATE(2027,9,1))+SUMIFS('FUNDED DEALS 2027'!$V$4:$V$1226,'FUNDED DEALS 2027'!$T$4:$T$1226,$A5,'FUNDED DEALS 2027'!$C$4:$C$1226,"&gt;="&amp;DATE(2027,8,1),'FUNDED DEALS 2027'!$C$4:$C$1226,"&lt;"&amp;DATE(2027,9,1))+SUMIFS('FUNDED DEALS 2027'!$Y$4:$Y$1226,'FUNDED DEALS 2027'!$W$4:$W$1226,$A5,'FUNDED DEALS 2027'!$C$4:$C$1226,"&gt;="&amp;DATE(2027,8,1),'FUNDED DEALS 2027'!$C$4:$C$1226,"&lt;"&amp;DATE(2027,9,1))+SUMIFS('FUNDED DEALS 2027'!$AB$4:$AB$1226,'FUNDED DEALS 2027'!$Z$4:$Z$1226,$A5,'FUNDED DEALS 2027'!$C$4:$C$1226,"&gt;="&amp;DATE(2027,8,1),'FUNDED DEALS 2027'!$C$4:$C$1226,"&lt;"&amp;DATE(2027,9,1)))</f>
        <v>0</v>
      </c>
      <c r="S5" s="51" t="n">
        <f aca="false">IF($A5="","",SUMIFS('FUNDED DEALS'!$V$4:$V$1226,'FUNDED DEALS'!$T$4:$T$1226,$A5,'FUNDED DEALS'!$C$4:$C$1226,"&gt;="&amp;DATE(2027,9,1),'FUNDED DEALS'!$C$4:$C$1226,"&lt;"&amp;DATE(2027,10,1))+SUMIFS('FUNDED DEALS'!$Y$4:$Y$1226,'FUNDED DEALS'!$W$4:$W$1226,$A5,'FUNDED DEALS'!$C$4:$C$1226,"&gt;="&amp;DATE(2027,9,1),'FUNDED DEALS'!$C$4:$C$1226,"&lt;"&amp;DATE(2027,10,1))+SUMIFS('FUNDED DEALS'!$AB$4:$AB$1226,'FUNDED DEALS'!$Z$4:$Z$1226,$A5,'FUNDED DEALS'!$C$4:$C$1226,"&gt;="&amp;DATE(2027,9,1),'FUNDED DEALS'!$C$4:$C$1226,"&lt;"&amp;DATE(2027,10,1))+SUMIFS('FUNDED DEALS 2027'!$V$4:$V$1226,'FUNDED DEALS 2027'!$T$4:$T$1226,$A5,'FUNDED DEALS 2027'!$C$4:$C$1226,"&gt;="&amp;DATE(2027,9,1),'FUNDED DEALS 2027'!$C$4:$C$1226,"&lt;"&amp;DATE(2027,10,1))+SUMIFS('FUNDED DEALS 2027'!$Y$4:$Y$1226,'FUNDED DEALS 2027'!$W$4:$W$1226,$A5,'FUNDED DEALS 2027'!$C$4:$C$1226,"&gt;="&amp;DATE(2027,9,1),'FUNDED DEALS 2027'!$C$4:$C$1226,"&lt;"&amp;DATE(2027,10,1))+SUMIFS('FUNDED DEALS 2027'!$AB$4:$AB$1226,'FUNDED DEALS 2027'!$Z$4:$Z$1226,$A5,'FUNDED DEALS 2027'!$C$4:$C$1226,"&gt;="&amp;DATE(2027,9,1),'FUNDED DEALS 2027'!$C$4:$C$1226,"&lt;"&amp;DATE(2027,10,1)))</f>
        <v>0</v>
      </c>
      <c r="T5" s="51" t="n">
        <f aca="false">IF($A5="","",SUMIFS('FUNDED DEALS'!$V$4:$V$1226,'FUNDED DEALS'!$T$4:$T$1226,$A5,'FUNDED DEALS'!$C$4:$C$1226,"&gt;="&amp;DATE(2027,10,1),'FUNDED DEALS'!$C$4:$C$1226,"&lt;"&amp;DATE(2027,11,1))+SUMIFS('FUNDED DEALS'!$Y$4:$Y$1226,'FUNDED DEALS'!$W$4:$W$1226,$A5,'FUNDED DEALS'!$C$4:$C$1226,"&gt;="&amp;DATE(2027,10,1),'FUNDED DEALS'!$C$4:$C$1226,"&lt;"&amp;DATE(2027,11,1))+SUMIFS('FUNDED DEALS'!$AB$4:$AB$1226,'FUNDED DEALS'!$Z$4:$Z$1226,$A5,'FUNDED DEALS'!$C$4:$C$1226,"&gt;="&amp;DATE(2027,10,1),'FUNDED DEALS'!$C$4:$C$1226,"&lt;"&amp;DATE(2027,11,1))+SUMIFS('FUNDED DEALS 2027'!$V$4:$V$1226,'FUNDED DEALS 2027'!$T$4:$T$1226,$A5,'FUNDED DEALS 2027'!$C$4:$C$1226,"&gt;="&amp;DATE(2027,10,1),'FUNDED DEALS 2027'!$C$4:$C$1226,"&lt;"&amp;DATE(2027,11,1))+SUMIFS('FUNDED DEALS 2027'!$Y$4:$Y$1226,'FUNDED DEALS 2027'!$W$4:$W$1226,$A5,'FUNDED DEALS 2027'!$C$4:$C$1226,"&gt;="&amp;DATE(2027,10,1),'FUNDED DEALS 2027'!$C$4:$C$1226,"&lt;"&amp;DATE(2027,11,1))+SUMIFS('FUNDED DEALS 2027'!$AB$4:$AB$1226,'FUNDED DEALS 2027'!$Z$4:$Z$1226,$A5,'FUNDED DEALS 2027'!$C$4:$C$1226,"&gt;="&amp;DATE(2027,10,1),'FUNDED DEALS 2027'!$C$4:$C$1226,"&lt;"&amp;DATE(2027,11,1)))</f>
        <v>0</v>
      </c>
      <c r="U5" s="51" t="n">
        <f aca="false">IF($A5="","",SUMIFS('FUNDED DEALS'!$V$4:$V$1226,'FUNDED DEALS'!$T$4:$T$1226,$A5,'FUNDED DEALS'!$C$4:$C$1226,"&gt;="&amp;DATE(2027,11,1),'FUNDED DEALS'!$C$4:$C$1226,"&lt;"&amp;DATE(2027,12,1))+SUMIFS('FUNDED DEALS'!$Y$4:$Y$1226,'FUNDED DEALS'!$W$4:$W$1226,$A5,'FUNDED DEALS'!$C$4:$C$1226,"&gt;="&amp;DATE(2027,11,1),'FUNDED DEALS'!$C$4:$C$1226,"&lt;"&amp;DATE(2027,12,1))+SUMIFS('FUNDED DEALS'!$AB$4:$AB$1226,'FUNDED DEALS'!$Z$4:$Z$1226,$A5,'FUNDED DEALS'!$C$4:$C$1226,"&gt;="&amp;DATE(2027,11,1),'FUNDED DEALS'!$C$4:$C$1226,"&lt;"&amp;DATE(2027,12,1))+SUMIFS('FUNDED DEALS 2027'!$V$4:$V$1226,'FUNDED DEALS 2027'!$T$4:$T$1226,$A5,'FUNDED DEALS 2027'!$C$4:$C$1226,"&gt;="&amp;DATE(2027,11,1),'FUNDED DEALS 2027'!$C$4:$C$1226,"&lt;"&amp;DATE(2027,12,1))+SUMIFS('FUNDED DEALS 2027'!$Y$4:$Y$1226,'FUNDED DEALS 2027'!$W$4:$W$1226,$A5,'FUNDED DEALS 2027'!$C$4:$C$1226,"&gt;="&amp;DATE(2027,11,1),'FUNDED DEALS 2027'!$C$4:$C$1226,"&lt;"&amp;DATE(2027,12,1))+SUMIFS('FUNDED DEALS 2027'!$AB$4:$AB$1226,'FUNDED DEALS 2027'!$Z$4:$Z$1226,$A5,'FUNDED DEALS 2027'!$C$4:$C$1226,"&gt;="&amp;DATE(2027,11,1),'FUNDED DEALS 2027'!$C$4:$C$1226,"&lt;"&amp;DATE(2027,12,1)))</f>
        <v>0</v>
      </c>
      <c r="V5" s="51" t="n">
        <f aca="false">IF($A5="","",SUMIFS('FUNDED DEALS'!$V$4:$V$1226,'FUNDED DEALS'!$T$4:$T$1226,$A5,'FUNDED DEALS'!$C$4:$C$1226,"&gt;="&amp;DATE(2027,12,1),'FUNDED DEALS'!$C$4:$C$1226,"&lt;"&amp;DATE(2028,1,1))+SUMIFS('FUNDED DEALS'!$Y$4:$Y$1226,'FUNDED DEALS'!$W$4:$W$1226,$A5,'FUNDED DEALS'!$C$4:$C$1226,"&gt;="&amp;DATE(2027,12,1),'FUNDED DEALS'!$C$4:$C$1226,"&lt;"&amp;DATE(2028,1,1))+SUMIFS('FUNDED DEALS'!$AB$4:$AB$1226,'FUNDED DEALS'!$Z$4:$Z$1226,$A5,'FUNDED DEALS'!$C$4:$C$1226,"&gt;="&amp;DATE(2027,12,1),'FUNDED DEALS'!$C$4:$C$1226,"&lt;"&amp;DATE(2028,1,1))+SUMIFS('FUNDED DEALS 2027'!$V$4:$V$1226,'FUNDED DEALS 2027'!$T$4:$T$1226,$A5,'FUNDED DEALS 2027'!$C$4:$C$1226,"&gt;="&amp;DATE(2027,12,1),'FUNDED DEALS 2027'!$C$4:$C$1226,"&lt;"&amp;DATE(2028,1,1))+SUMIFS('FUNDED DEALS 2027'!$Y$4:$Y$1226,'FUNDED DEALS 2027'!$W$4:$W$1226,$A5,'FUNDED DEALS 2027'!$C$4:$C$1226,"&gt;="&amp;DATE(2027,12,1),'FUNDED DEALS 2027'!$C$4:$C$1226,"&lt;"&amp;DATE(2028,1,1))+SUMIFS('FUNDED DEALS 2027'!$AB$4:$AB$1226,'FUNDED DEALS 2027'!$Z$4:$Z$1226,$A5,'FUNDED DEALS 2027'!$C$4:$C$1226,"&gt;="&amp;DATE(2027,12,1),'FUNDED DEALS 2027'!$C$4:$C$1226,"&lt;"&amp;DATE(2028,1,1)))</f>
        <v>0</v>
      </c>
      <c r="W5" s="58" t="n">
        <f aca="false">IF($A5="","",SUM(B5:V5))</f>
        <v>0</v>
      </c>
    </row>
    <row r="6" customFormat="false" ht="15" hidden="false" customHeight="false" outlineLevel="0" collapsed="false">
      <c r="A6" s="47" t="str">
        <f aca="false">IF(REPS!A4="","",REPS!A4)</f>
        <v>Azi Sharbani</v>
      </c>
      <c r="B6" s="48" t="n">
        <f aca="false">IF($A6="","",SUMIFS('FUNDED DEALS'!$V$4:$V$1226,'FUNDED DEALS'!$T$4:$T$1226,$A6,'FUNDED DEALS'!$C$4:$C$1226,"&gt;="&amp;DATE(2026,4,1),'FUNDED DEALS'!$C$4:$C$1226,"&lt;"&amp;DATE(2026,5,1))+SUMIFS('FUNDED DEALS'!$Y$4:$Y$1226,'FUNDED DEALS'!$W$4:$W$1226,$A6,'FUNDED DEALS'!$C$4:$C$1226,"&gt;="&amp;DATE(2026,4,1),'FUNDED DEALS'!$C$4:$C$1226,"&lt;"&amp;DATE(2026,5,1))+SUMIFS('FUNDED DEALS'!$AB$4:$AB$1226,'FUNDED DEALS'!$Z$4:$Z$1226,$A6,'FUNDED DEALS'!$C$4:$C$1226,"&gt;="&amp;DATE(2026,4,1),'FUNDED DEALS'!$C$4:$C$1226,"&lt;"&amp;DATE(2026,5,1))+SUMIFS('FUNDED DEALS 2027'!$V$4:$V$1226,'FUNDED DEALS 2027'!$T$4:$T$1226,$A6,'FUNDED DEALS 2027'!$C$4:$C$1226,"&gt;="&amp;DATE(2026,4,1),'FUNDED DEALS 2027'!$C$4:$C$1226,"&lt;"&amp;DATE(2026,5,1))+SUMIFS('FUNDED DEALS 2027'!$Y$4:$Y$1226,'FUNDED DEALS 2027'!$W$4:$W$1226,$A6,'FUNDED DEALS 2027'!$C$4:$C$1226,"&gt;="&amp;DATE(2026,4,1),'FUNDED DEALS 2027'!$C$4:$C$1226,"&lt;"&amp;DATE(2026,5,1))+SUMIFS('FUNDED DEALS 2027'!$AB$4:$AB$1226,'FUNDED DEALS 2027'!$Z$4:$Z$1226,$A6,'FUNDED DEALS 2027'!$C$4:$C$1226,"&gt;="&amp;DATE(2026,4,1),'FUNDED DEALS 2027'!$C$4:$C$1226,"&lt;"&amp;DATE(2026,5,1)))</f>
        <v>0</v>
      </c>
      <c r="C6" s="48" t="n">
        <f aca="false">IF($A6="","",SUMIFS('FUNDED DEALS'!$V$4:$V$1226,'FUNDED DEALS'!$T$4:$T$1226,$A6,'FUNDED DEALS'!$C$4:$C$1226,"&gt;="&amp;DATE(2026,5,1),'FUNDED DEALS'!$C$4:$C$1226,"&lt;"&amp;DATE(2026,6,1))+SUMIFS('FUNDED DEALS'!$Y$4:$Y$1226,'FUNDED DEALS'!$W$4:$W$1226,$A6,'FUNDED DEALS'!$C$4:$C$1226,"&gt;="&amp;DATE(2026,5,1),'FUNDED DEALS'!$C$4:$C$1226,"&lt;"&amp;DATE(2026,6,1))+SUMIFS('FUNDED DEALS'!$AB$4:$AB$1226,'FUNDED DEALS'!$Z$4:$Z$1226,$A6,'FUNDED DEALS'!$C$4:$C$1226,"&gt;="&amp;DATE(2026,5,1),'FUNDED DEALS'!$C$4:$C$1226,"&lt;"&amp;DATE(2026,6,1))+SUMIFS('FUNDED DEALS 2027'!$V$4:$V$1226,'FUNDED DEALS 2027'!$T$4:$T$1226,$A6,'FUNDED DEALS 2027'!$C$4:$C$1226,"&gt;="&amp;DATE(2026,5,1),'FUNDED DEALS 2027'!$C$4:$C$1226,"&lt;"&amp;DATE(2026,6,1))+SUMIFS('FUNDED DEALS 2027'!$Y$4:$Y$1226,'FUNDED DEALS 2027'!$W$4:$W$1226,$A6,'FUNDED DEALS 2027'!$C$4:$C$1226,"&gt;="&amp;DATE(2026,5,1),'FUNDED DEALS 2027'!$C$4:$C$1226,"&lt;"&amp;DATE(2026,6,1))+SUMIFS('FUNDED DEALS 2027'!$AB$4:$AB$1226,'FUNDED DEALS 2027'!$Z$4:$Z$1226,$A6,'FUNDED DEALS 2027'!$C$4:$C$1226,"&gt;="&amp;DATE(2026,5,1),'FUNDED DEALS 2027'!$C$4:$C$1226,"&lt;"&amp;DATE(2026,6,1)))</f>
        <v>0</v>
      </c>
      <c r="D6" s="48" t="n">
        <f aca="false">IF($A6="","",SUMIFS('FUNDED DEALS'!$V$4:$V$1226,'FUNDED DEALS'!$T$4:$T$1226,$A6,'FUNDED DEALS'!$C$4:$C$1226,"&gt;="&amp;DATE(2026,6,1),'FUNDED DEALS'!$C$4:$C$1226,"&lt;"&amp;DATE(2026,7,1))+SUMIFS('FUNDED DEALS'!$Y$4:$Y$1226,'FUNDED DEALS'!$W$4:$W$1226,$A6,'FUNDED DEALS'!$C$4:$C$1226,"&gt;="&amp;DATE(2026,6,1),'FUNDED DEALS'!$C$4:$C$1226,"&lt;"&amp;DATE(2026,7,1))+SUMIFS('FUNDED DEALS'!$AB$4:$AB$1226,'FUNDED DEALS'!$Z$4:$Z$1226,$A6,'FUNDED DEALS'!$C$4:$C$1226,"&gt;="&amp;DATE(2026,6,1),'FUNDED DEALS'!$C$4:$C$1226,"&lt;"&amp;DATE(2026,7,1))+SUMIFS('FUNDED DEALS 2027'!$V$4:$V$1226,'FUNDED DEALS 2027'!$T$4:$T$1226,$A6,'FUNDED DEALS 2027'!$C$4:$C$1226,"&gt;="&amp;DATE(2026,6,1),'FUNDED DEALS 2027'!$C$4:$C$1226,"&lt;"&amp;DATE(2026,7,1))+SUMIFS('FUNDED DEALS 2027'!$Y$4:$Y$1226,'FUNDED DEALS 2027'!$W$4:$W$1226,$A6,'FUNDED DEALS 2027'!$C$4:$C$1226,"&gt;="&amp;DATE(2026,6,1),'FUNDED DEALS 2027'!$C$4:$C$1226,"&lt;"&amp;DATE(2026,7,1))+SUMIFS('FUNDED DEALS 2027'!$AB$4:$AB$1226,'FUNDED DEALS 2027'!$Z$4:$Z$1226,$A6,'FUNDED DEALS 2027'!$C$4:$C$1226,"&gt;="&amp;DATE(2026,6,1),'FUNDED DEALS 2027'!$C$4:$C$1226,"&lt;"&amp;DATE(2026,7,1)))</f>
        <v>0</v>
      </c>
      <c r="E6" s="48" t="n">
        <f aca="false">IF($A6="","",SUMIFS('FUNDED DEALS'!$V$4:$V$1226,'FUNDED DEALS'!$T$4:$T$1226,$A6,'FUNDED DEALS'!$C$4:$C$1226,"&gt;="&amp;DATE(2026,7,1),'FUNDED DEALS'!$C$4:$C$1226,"&lt;"&amp;DATE(2026,8,1))+SUMIFS('FUNDED DEALS'!$Y$4:$Y$1226,'FUNDED DEALS'!$W$4:$W$1226,$A6,'FUNDED DEALS'!$C$4:$C$1226,"&gt;="&amp;DATE(2026,7,1),'FUNDED DEALS'!$C$4:$C$1226,"&lt;"&amp;DATE(2026,8,1))+SUMIFS('FUNDED DEALS'!$AB$4:$AB$1226,'FUNDED DEALS'!$Z$4:$Z$1226,$A6,'FUNDED DEALS'!$C$4:$C$1226,"&gt;="&amp;DATE(2026,7,1),'FUNDED DEALS'!$C$4:$C$1226,"&lt;"&amp;DATE(2026,8,1))+SUMIFS('FUNDED DEALS 2027'!$V$4:$V$1226,'FUNDED DEALS 2027'!$T$4:$T$1226,$A6,'FUNDED DEALS 2027'!$C$4:$C$1226,"&gt;="&amp;DATE(2026,7,1),'FUNDED DEALS 2027'!$C$4:$C$1226,"&lt;"&amp;DATE(2026,8,1))+SUMIFS('FUNDED DEALS 2027'!$Y$4:$Y$1226,'FUNDED DEALS 2027'!$W$4:$W$1226,$A6,'FUNDED DEALS 2027'!$C$4:$C$1226,"&gt;="&amp;DATE(2026,7,1),'FUNDED DEALS 2027'!$C$4:$C$1226,"&lt;"&amp;DATE(2026,8,1))+SUMIFS('FUNDED DEALS 2027'!$AB$4:$AB$1226,'FUNDED DEALS 2027'!$Z$4:$Z$1226,$A6,'FUNDED DEALS 2027'!$C$4:$C$1226,"&gt;="&amp;DATE(2026,7,1),'FUNDED DEALS 2027'!$C$4:$C$1226,"&lt;"&amp;DATE(2026,8,1)))</f>
        <v>0</v>
      </c>
      <c r="F6" s="48" t="n">
        <f aca="false">IF($A6="","",SUMIFS('FUNDED DEALS'!$V$4:$V$1226,'FUNDED DEALS'!$T$4:$T$1226,$A6,'FUNDED DEALS'!$C$4:$C$1226,"&gt;="&amp;DATE(2026,8,1),'FUNDED DEALS'!$C$4:$C$1226,"&lt;"&amp;DATE(2026,9,1))+SUMIFS('FUNDED DEALS'!$Y$4:$Y$1226,'FUNDED DEALS'!$W$4:$W$1226,$A6,'FUNDED DEALS'!$C$4:$C$1226,"&gt;="&amp;DATE(2026,8,1),'FUNDED DEALS'!$C$4:$C$1226,"&lt;"&amp;DATE(2026,9,1))+SUMIFS('FUNDED DEALS'!$AB$4:$AB$1226,'FUNDED DEALS'!$Z$4:$Z$1226,$A6,'FUNDED DEALS'!$C$4:$C$1226,"&gt;="&amp;DATE(2026,8,1),'FUNDED DEALS'!$C$4:$C$1226,"&lt;"&amp;DATE(2026,9,1))+SUMIFS('FUNDED DEALS 2027'!$V$4:$V$1226,'FUNDED DEALS 2027'!$T$4:$T$1226,$A6,'FUNDED DEALS 2027'!$C$4:$C$1226,"&gt;="&amp;DATE(2026,8,1),'FUNDED DEALS 2027'!$C$4:$C$1226,"&lt;"&amp;DATE(2026,9,1))+SUMIFS('FUNDED DEALS 2027'!$Y$4:$Y$1226,'FUNDED DEALS 2027'!$W$4:$W$1226,$A6,'FUNDED DEALS 2027'!$C$4:$C$1226,"&gt;="&amp;DATE(2026,8,1),'FUNDED DEALS 2027'!$C$4:$C$1226,"&lt;"&amp;DATE(2026,9,1))+SUMIFS('FUNDED DEALS 2027'!$AB$4:$AB$1226,'FUNDED DEALS 2027'!$Z$4:$Z$1226,$A6,'FUNDED DEALS 2027'!$C$4:$C$1226,"&gt;="&amp;DATE(2026,8,1),'FUNDED DEALS 2027'!$C$4:$C$1226,"&lt;"&amp;DATE(2026,9,1)))</f>
        <v>0</v>
      </c>
      <c r="G6" s="48" t="n">
        <f aca="false">IF($A6="","",SUMIFS('FUNDED DEALS'!$V$4:$V$1226,'FUNDED DEALS'!$T$4:$T$1226,$A6,'FUNDED DEALS'!$C$4:$C$1226,"&gt;="&amp;DATE(2026,9,1),'FUNDED DEALS'!$C$4:$C$1226,"&lt;"&amp;DATE(2026,10,1))+SUMIFS('FUNDED DEALS'!$Y$4:$Y$1226,'FUNDED DEALS'!$W$4:$W$1226,$A6,'FUNDED DEALS'!$C$4:$C$1226,"&gt;="&amp;DATE(2026,9,1),'FUNDED DEALS'!$C$4:$C$1226,"&lt;"&amp;DATE(2026,10,1))+SUMIFS('FUNDED DEALS'!$AB$4:$AB$1226,'FUNDED DEALS'!$Z$4:$Z$1226,$A6,'FUNDED DEALS'!$C$4:$C$1226,"&gt;="&amp;DATE(2026,9,1),'FUNDED DEALS'!$C$4:$C$1226,"&lt;"&amp;DATE(2026,10,1))+SUMIFS('FUNDED DEALS 2027'!$V$4:$V$1226,'FUNDED DEALS 2027'!$T$4:$T$1226,$A6,'FUNDED DEALS 2027'!$C$4:$C$1226,"&gt;="&amp;DATE(2026,9,1),'FUNDED DEALS 2027'!$C$4:$C$1226,"&lt;"&amp;DATE(2026,10,1))+SUMIFS('FUNDED DEALS 2027'!$Y$4:$Y$1226,'FUNDED DEALS 2027'!$W$4:$W$1226,$A6,'FUNDED DEALS 2027'!$C$4:$C$1226,"&gt;="&amp;DATE(2026,9,1),'FUNDED DEALS 2027'!$C$4:$C$1226,"&lt;"&amp;DATE(2026,10,1))+SUMIFS('FUNDED DEALS 2027'!$AB$4:$AB$1226,'FUNDED DEALS 2027'!$Z$4:$Z$1226,$A6,'FUNDED DEALS 2027'!$C$4:$C$1226,"&gt;="&amp;DATE(2026,9,1),'FUNDED DEALS 2027'!$C$4:$C$1226,"&lt;"&amp;DATE(2026,10,1)))</f>
        <v>0</v>
      </c>
      <c r="H6" s="48" t="n">
        <f aca="false">IF($A6="","",SUMIFS('FUNDED DEALS'!$V$4:$V$1226,'FUNDED DEALS'!$T$4:$T$1226,$A6,'FUNDED DEALS'!$C$4:$C$1226,"&gt;="&amp;DATE(2026,10,1),'FUNDED DEALS'!$C$4:$C$1226,"&lt;"&amp;DATE(2026,11,1))+SUMIFS('FUNDED DEALS'!$Y$4:$Y$1226,'FUNDED DEALS'!$W$4:$W$1226,$A6,'FUNDED DEALS'!$C$4:$C$1226,"&gt;="&amp;DATE(2026,10,1),'FUNDED DEALS'!$C$4:$C$1226,"&lt;"&amp;DATE(2026,11,1))+SUMIFS('FUNDED DEALS'!$AB$4:$AB$1226,'FUNDED DEALS'!$Z$4:$Z$1226,$A6,'FUNDED DEALS'!$C$4:$C$1226,"&gt;="&amp;DATE(2026,10,1),'FUNDED DEALS'!$C$4:$C$1226,"&lt;"&amp;DATE(2026,11,1))+SUMIFS('FUNDED DEALS 2027'!$V$4:$V$1226,'FUNDED DEALS 2027'!$T$4:$T$1226,$A6,'FUNDED DEALS 2027'!$C$4:$C$1226,"&gt;="&amp;DATE(2026,10,1),'FUNDED DEALS 2027'!$C$4:$C$1226,"&lt;"&amp;DATE(2026,11,1))+SUMIFS('FUNDED DEALS 2027'!$Y$4:$Y$1226,'FUNDED DEALS 2027'!$W$4:$W$1226,$A6,'FUNDED DEALS 2027'!$C$4:$C$1226,"&gt;="&amp;DATE(2026,10,1),'FUNDED DEALS 2027'!$C$4:$C$1226,"&lt;"&amp;DATE(2026,11,1))+SUMIFS('FUNDED DEALS 2027'!$AB$4:$AB$1226,'FUNDED DEALS 2027'!$Z$4:$Z$1226,$A6,'FUNDED DEALS 2027'!$C$4:$C$1226,"&gt;="&amp;DATE(2026,10,1),'FUNDED DEALS 2027'!$C$4:$C$1226,"&lt;"&amp;DATE(2026,11,1)))</f>
        <v>0</v>
      </c>
      <c r="I6" s="48" t="n">
        <f aca="false">IF($A6="","",SUMIFS('FUNDED DEALS'!$V$4:$V$1226,'FUNDED DEALS'!$T$4:$T$1226,$A6,'FUNDED DEALS'!$C$4:$C$1226,"&gt;="&amp;DATE(2026,11,1),'FUNDED DEALS'!$C$4:$C$1226,"&lt;"&amp;DATE(2026,12,1))+SUMIFS('FUNDED DEALS'!$Y$4:$Y$1226,'FUNDED DEALS'!$W$4:$W$1226,$A6,'FUNDED DEALS'!$C$4:$C$1226,"&gt;="&amp;DATE(2026,11,1),'FUNDED DEALS'!$C$4:$C$1226,"&lt;"&amp;DATE(2026,12,1))+SUMIFS('FUNDED DEALS'!$AB$4:$AB$1226,'FUNDED DEALS'!$Z$4:$Z$1226,$A6,'FUNDED DEALS'!$C$4:$C$1226,"&gt;="&amp;DATE(2026,11,1),'FUNDED DEALS'!$C$4:$C$1226,"&lt;"&amp;DATE(2026,12,1))+SUMIFS('FUNDED DEALS 2027'!$V$4:$V$1226,'FUNDED DEALS 2027'!$T$4:$T$1226,$A6,'FUNDED DEALS 2027'!$C$4:$C$1226,"&gt;="&amp;DATE(2026,11,1),'FUNDED DEALS 2027'!$C$4:$C$1226,"&lt;"&amp;DATE(2026,12,1))+SUMIFS('FUNDED DEALS 2027'!$Y$4:$Y$1226,'FUNDED DEALS 2027'!$W$4:$W$1226,$A6,'FUNDED DEALS 2027'!$C$4:$C$1226,"&gt;="&amp;DATE(2026,11,1),'FUNDED DEALS 2027'!$C$4:$C$1226,"&lt;"&amp;DATE(2026,12,1))+SUMIFS('FUNDED DEALS 2027'!$AB$4:$AB$1226,'FUNDED DEALS 2027'!$Z$4:$Z$1226,$A6,'FUNDED DEALS 2027'!$C$4:$C$1226,"&gt;="&amp;DATE(2026,11,1),'FUNDED DEALS 2027'!$C$4:$C$1226,"&lt;"&amp;DATE(2026,12,1)))</f>
        <v>0</v>
      </c>
      <c r="J6" s="48" t="n">
        <f aca="false">IF($A6="","",SUMIFS('FUNDED DEALS'!$V$4:$V$1226,'FUNDED DEALS'!$T$4:$T$1226,$A6,'FUNDED DEALS'!$C$4:$C$1226,"&gt;="&amp;DATE(2026,12,1),'FUNDED DEALS'!$C$4:$C$1226,"&lt;"&amp;DATE(2027,1,1))+SUMIFS('FUNDED DEALS'!$Y$4:$Y$1226,'FUNDED DEALS'!$W$4:$W$1226,$A6,'FUNDED DEALS'!$C$4:$C$1226,"&gt;="&amp;DATE(2026,12,1),'FUNDED DEALS'!$C$4:$C$1226,"&lt;"&amp;DATE(2027,1,1))+SUMIFS('FUNDED DEALS'!$AB$4:$AB$1226,'FUNDED DEALS'!$Z$4:$Z$1226,$A6,'FUNDED DEALS'!$C$4:$C$1226,"&gt;="&amp;DATE(2026,12,1),'FUNDED DEALS'!$C$4:$C$1226,"&lt;"&amp;DATE(2027,1,1))+SUMIFS('FUNDED DEALS 2027'!$V$4:$V$1226,'FUNDED DEALS 2027'!$T$4:$T$1226,$A6,'FUNDED DEALS 2027'!$C$4:$C$1226,"&gt;="&amp;DATE(2026,12,1),'FUNDED DEALS 2027'!$C$4:$C$1226,"&lt;"&amp;DATE(2027,1,1))+SUMIFS('FUNDED DEALS 2027'!$Y$4:$Y$1226,'FUNDED DEALS 2027'!$W$4:$W$1226,$A6,'FUNDED DEALS 2027'!$C$4:$C$1226,"&gt;="&amp;DATE(2026,12,1),'FUNDED DEALS 2027'!$C$4:$C$1226,"&lt;"&amp;DATE(2027,1,1))+SUMIFS('FUNDED DEALS 2027'!$AB$4:$AB$1226,'FUNDED DEALS 2027'!$Z$4:$Z$1226,$A6,'FUNDED DEALS 2027'!$C$4:$C$1226,"&gt;="&amp;DATE(2026,12,1),'FUNDED DEALS 2027'!$C$4:$C$1226,"&lt;"&amp;DATE(2027,1,1)))</f>
        <v>0</v>
      </c>
      <c r="K6" s="48" t="n">
        <f aca="false">IF($A6="","",SUMIFS('FUNDED DEALS'!$V$4:$V$1226,'FUNDED DEALS'!$T$4:$T$1226,$A6,'FUNDED DEALS'!$C$4:$C$1226,"&gt;="&amp;DATE(2027,1,1),'FUNDED DEALS'!$C$4:$C$1226,"&lt;"&amp;DATE(2027,2,1))+SUMIFS('FUNDED DEALS'!$Y$4:$Y$1226,'FUNDED DEALS'!$W$4:$W$1226,$A6,'FUNDED DEALS'!$C$4:$C$1226,"&gt;="&amp;DATE(2027,1,1),'FUNDED DEALS'!$C$4:$C$1226,"&lt;"&amp;DATE(2027,2,1))+SUMIFS('FUNDED DEALS'!$AB$4:$AB$1226,'FUNDED DEALS'!$Z$4:$Z$1226,$A6,'FUNDED DEALS'!$C$4:$C$1226,"&gt;="&amp;DATE(2027,1,1),'FUNDED DEALS'!$C$4:$C$1226,"&lt;"&amp;DATE(2027,2,1))+SUMIFS('FUNDED DEALS 2027'!$V$4:$V$1226,'FUNDED DEALS 2027'!$T$4:$T$1226,$A6,'FUNDED DEALS 2027'!$C$4:$C$1226,"&gt;="&amp;DATE(2027,1,1),'FUNDED DEALS 2027'!$C$4:$C$1226,"&lt;"&amp;DATE(2027,2,1))+SUMIFS('FUNDED DEALS 2027'!$Y$4:$Y$1226,'FUNDED DEALS 2027'!$W$4:$W$1226,$A6,'FUNDED DEALS 2027'!$C$4:$C$1226,"&gt;="&amp;DATE(2027,1,1),'FUNDED DEALS 2027'!$C$4:$C$1226,"&lt;"&amp;DATE(2027,2,1))+SUMIFS('FUNDED DEALS 2027'!$AB$4:$AB$1226,'FUNDED DEALS 2027'!$Z$4:$Z$1226,$A6,'FUNDED DEALS 2027'!$C$4:$C$1226,"&gt;="&amp;DATE(2027,1,1),'FUNDED DEALS 2027'!$C$4:$C$1226,"&lt;"&amp;DATE(2027,2,1)))</f>
        <v>0</v>
      </c>
      <c r="L6" s="48" t="n">
        <f aca="false">IF($A6="","",SUMIFS('FUNDED DEALS'!$V$4:$V$1226,'FUNDED DEALS'!$T$4:$T$1226,$A6,'FUNDED DEALS'!$C$4:$C$1226,"&gt;="&amp;DATE(2027,2,1),'FUNDED DEALS'!$C$4:$C$1226,"&lt;"&amp;DATE(2027,3,1))+SUMIFS('FUNDED DEALS'!$Y$4:$Y$1226,'FUNDED DEALS'!$W$4:$W$1226,$A6,'FUNDED DEALS'!$C$4:$C$1226,"&gt;="&amp;DATE(2027,2,1),'FUNDED DEALS'!$C$4:$C$1226,"&lt;"&amp;DATE(2027,3,1))+SUMIFS('FUNDED DEALS'!$AB$4:$AB$1226,'FUNDED DEALS'!$Z$4:$Z$1226,$A6,'FUNDED DEALS'!$C$4:$C$1226,"&gt;="&amp;DATE(2027,2,1),'FUNDED DEALS'!$C$4:$C$1226,"&lt;"&amp;DATE(2027,3,1))+SUMIFS('FUNDED DEALS 2027'!$V$4:$V$1226,'FUNDED DEALS 2027'!$T$4:$T$1226,$A6,'FUNDED DEALS 2027'!$C$4:$C$1226,"&gt;="&amp;DATE(2027,2,1),'FUNDED DEALS 2027'!$C$4:$C$1226,"&lt;"&amp;DATE(2027,3,1))+SUMIFS('FUNDED DEALS 2027'!$Y$4:$Y$1226,'FUNDED DEALS 2027'!$W$4:$W$1226,$A6,'FUNDED DEALS 2027'!$C$4:$C$1226,"&gt;="&amp;DATE(2027,2,1),'FUNDED DEALS 2027'!$C$4:$C$1226,"&lt;"&amp;DATE(2027,3,1))+SUMIFS('FUNDED DEALS 2027'!$AB$4:$AB$1226,'FUNDED DEALS 2027'!$Z$4:$Z$1226,$A6,'FUNDED DEALS 2027'!$C$4:$C$1226,"&gt;="&amp;DATE(2027,2,1),'FUNDED DEALS 2027'!$C$4:$C$1226,"&lt;"&amp;DATE(2027,3,1)))</f>
        <v>0</v>
      </c>
      <c r="M6" s="48" t="n">
        <f aca="false">IF($A6="","",SUMIFS('FUNDED DEALS'!$V$4:$V$1226,'FUNDED DEALS'!$T$4:$T$1226,$A6,'FUNDED DEALS'!$C$4:$C$1226,"&gt;="&amp;DATE(2027,3,1),'FUNDED DEALS'!$C$4:$C$1226,"&lt;"&amp;DATE(2027,4,1))+SUMIFS('FUNDED DEALS'!$Y$4:$Y$1226,'FUNDED DEALS'!$W$4:$W$1226,$A6,'FUNDED DEALS'!$C$4:$C$1226,"&gt;="&amp;DATE(2027,3,1),'FUNDED DEALS'!$C$4:$C$1226,"&lt;"&amp;DATE(2027,4,1))+SUMIFS('FUNDED DEALS'!$AB$4:$AB$1226,'FUNDED DEALS'!$Z$4:$Z$1226,$A6,'FUNDED DEALS'!$C$4:$C$1226,"&gt;="&amp;DATE(2027,3,1),'FUNDED DEALS'!$C$4:$C$1226,"&lt;"&amp;DATE(2027,4,1))+SUMIFS('FUNDED DEALS 2027'!$V$4:$V$1226,'FUNDED DEALS 2027'!$T$4:$T$1226,$A6,'FUNDED DEALS 2027'!$C$4:$C$1226,"&gt;="&amp;DATE(2027,3,1),'FUNDED DEALS 2027'!$C$4:$C$1226,"&lt;"&amp;DATE(2027,4,1))+SUMIFS('FUNDED DEALS 2027'!$Y$4:$Y$1226,'FUNDED DEALS 2027'!$W$4:$W$1226,$A6,'FUNDED DEALS 2027'!$C$4:$C$1226,"&gt;="&amp;DATE(2027,3,1),'FUNDED DEALS 2027'!$C$4:$C$1226,"&lt;"&amp;DATE(2027,4,1))+SUMIFS('FUNDED DEALS 2027'!$AB$4:$AB$1226,'FUNDED DEALS 2027'!$Z$4:$Z$1226,$A6,'FUNDED DEALS 2027'!$C$4:$C$1226,"&gt;="&amp;DATE(2027,3,1),'FUNDED DEALS 2027'!$C$4:$C$1226,"&lt;"&amp;DATE(2027,4,1)))</f>
        <v>0</v>
      </c>
      <c r="N6" s="48" t="n">
        <f aca="false">IF($A6="","",SUMIFS('FUNDED DEALS'!$V$4:$V$1226,'FUNDED DEALS'!$T$4:$T$1226,$A6,'FUNDED DEALS'!$C$4:$C$1226,"&gt;="&amp;DATE(2027,4,1),'FUNDED DEALS'!$C$4:$C$1226,"&lt;"&amp;DATE(2027,5,1))+SUMIFS('FUNDED DEALS'!$Y$4:$Y$1226,'FUNDED DEALS'!$W$4:$W$1226,$A6,'FUNDED DEALS'!$C$4:$C$1226,"&gt;="&amp;DATE(2027,4,1),'FUNDED DEALS'!$C$4:$C$1226,"&lt;"&amp;DATE(2027,5,1))+SUMIFS('FUNDED DEALS'!$AB$4:$AB$1226,'FUNDED DEALS'!$Z$4:$Z$1226,$A6,'FUNDED DEALS'!$C$4:$C$1226,"&gt;="&amp;DATE(2027,4,1),'FUNDED DEALS'!$C$4:$C$1226,"&lt;"&amp;DATE(2027,5,1))+SUMIFS('FUNDED DEALS 2027'!$V$4:$V$1226,'FUNDED DEALS 2027'!$T$4:$T$1226,$A6,'FUNDED DEALS 2027'!$C$4:$C$1226,"&gt;="&amp;DATE(2027,4,1),'FUNDED DEALS 2027'!$C$4:$C$1226,"&lt;"&amp;DATE(2027,5,1))+SUMIFS('FUNDED DEALS 2027'!$Y$4:$Y$1226,'FUNDED DEALS 2027'!$W$4:$W$1226,$A6,'FUNDED DEALS 2027'!$C$4:$C$1226,"&gt;="&amp;DATE(2027,4,1),'FUNDED DEALS 2027'!$C$4:$C$1226,"&lt;"&amp;DATE(2027,5,1))+SUMIFS('FUNDED DEALS 2027'!$AB$4:$AB$1226,'FUNDED DEALS 2027'!$Z$4:$Z$1226,$A6,'FUNDED DEALS 2027'!$C$4:$C$1226,"&gt;="&amp;DATE(2027,4,1),'FUNDED DEALS 2027'!$C$4:$C$1226,"&lt;"&amp;DATE(2027,5,1)))</f>
        <v>0</v>
      </c>
      <c r="O6" s="48" t="n">
        <f aca="false">IF($A6="","",SUMIFS('FUNDED DEALS'!$V$4:$V$1226,'FUNDED DEALS'!$T$4:$T$1226,$A6,'FUNDED DEALS'!$C$4:$C$1226,"&gt;="&amp;DATE(2027,5,1),'FUNDED DEALS'!$C$4:$C$1226,"&lt;"&amp;DATE(2027,6,1))+SUMIFS('FUNDED DEALS'!$Y$4:$Y$1226,'FUNDED DEALS'!$W$4:$W$1226,$A6,'FUNDED DEALS'!$C$4:$C$1226,"&gt;="&amp;DATE(2027,5,1),'FUNDED DEALS'!$C$4:$C$1226,"&lt;"&amp;DATE(2027,6,1))+SUMIFS('FUNDED DEALS'!$AB$4:$AB$1226,'FUNDED DEALS'!$Z$4:$Z$1226,$A6,'FUNDED DEALS'!$C$4:$C$1226,"&gt;="&amp;DATE(2027,5,1),'FUNDED DEALS'!$C$4:$C$1226,"&lt;"&amp;DATE(2027,6,1))+SUMIFS('FUNDED DEALS 2027'!$V$4:$V$1226,'FUNDED DEALS 2027'!$T$4:$T$1226,$A6,'FUNDED DEALS 2027'!$C$4:$C$1226,"&gt;="&amp;DATE(2027,5,1),'FUNDED DEALS 2027'!$C$4:$C$1226,"&lt;"&amp;DATE(2027,6,1))+SUMIFS('FUNDED DEALS 2027'!$Y$4:$Y$1226,'FUNDED DEALS 2027'!$W$4:$W$1226,$A6,'FUNDED DEALS 2027'!$C$4:$C$1226,"&gt;="&amp;DATE(2027,5,1),'FUNDED DEALS 2027'!$C$4:$C$1226,"&lt;"&amp;DATE(2027,6,1))+SUMIFS('FUNDED DEALS 2027'!$AB$4:$AB$1226,'FUNDED DEALS 2027'!$Z$4:$Z$1226,$A6,'FUNDED DEALS 2027'!$C$4:$C$1226,"&gt;="&amp;DATE(2027,5,1),'FUNDED DEALS 2027'!$C$4:$C$1226,"&lt;"&amp;DATE(2027,6,1)))</f>
        <v>0</v>
      </c>
      <c r="P6" s="48" t="n">
        <f aca="false">IF($A6="","",SUMIFS('FUNDED DEALS'!$V$4:$V$1226,'FUNDED DEALS'!$T$4:$T$1226,$A6,'FUNDED DEALS'!$C$4:$C$1226,"&gt;="&amp;DATE(2027,6,1),'FUNDED DEALS'!$C$4:$C$1226,"&lt;"&amp;DATE(2027,7,1))+SUMIFS('FUNDED DEALS'!$Y$4:$Y$1226,'FUNDED DEALS'!$W$4:$W$1226,$A6,'FUNDED DEALS'!$C$4:$C$1226,"&gt;="&amp;DATE(2027,6,1),'FUNDED DEALS'!$C$4:$C$1226,"&lt;"&amp;DATE(2027,7,1))+SUMIFS('FUNDED DEALS'!$AB$4:$AB$1226,'FUNDED DEALS'!$Z$4:$Z$1226,$A6,'FUNDED DEALS'!$C$4:$C$1226,"&gt;="&amp;DATE(2027,6,1),'FUNDED DEALS'!$C$4:$C$1226,"&lt;"&amp;DATE(2027,7,1))+SUMIFS('FUNDED DEALS 2027'!$V$4:$V$1226,'FUNDED DEALS 2027'!$T$4:$T$1226,$A6,'FUNDED DEALS 2027'!$C$4:$C$1226,"&gt;="&amp;DATE(2027,6,1),'FUNDED DEALS 2027'!$C$4:$C$1226,"&lt;"&amp;DATE(2027,7,1))+SUMIFS('FUNDED DEALS 2027'!$Y$4:$Y$1226,'FUNDED DEALS 2027'!$W$4:$W$1226,$A6,'FUNDED DEALS 2027'!$C$4:$C$1226,"&gt;="&amp;DATE(2027,6,1),'FUNDED DEALS 2027'!$C$4:$C$1226,"&lt;"&amp;DATE(2027,7,1))+SUMIFS('FUNDED DEALS 2027'!$AB$4:$AB$1226,'FUNDED DEALS 2027'!$Z$4:$Z$1226,$A6,'FUNDED DEALS 2027'!$C$4:$C$1226,"&gt;="&amp;DATE(2027,6,1),'FUNDED DEALS 2027'!$C$4:$C$1226,"&lt;"&amp;DATE(2027,7,1)))</f>
        <v>0</v>
      </c>
      <c r="Q6" s="48" t="n">
        <f aca="false">IF($A6="","",SUMIFS('FUNDED DEALS'!$V$4:$V$1226,'FUNDED DEALS'!$T$4:$T$1226,$A6,'FUNDED DEALS'!$C$4:$C$1226,"&gt;="&amp;DATE(2027,7,1),'FUNDED DEALS'!$C$4:$C$1226,"&lt;"&amp;DATE(2027,8,1))+SUMIFS('FUNDED DEALS'!$Y$4:$Y$1226,'FUNDED DEALS'!$W$4:$W$1226,$A6,'FUNDED DEALS'!$C$4:$C$1226,"&gt;="&amp;DATE(2027,7,1),'FUNDED DEALS'!$C$4:$C$1226,"&lt;"&amp;DATE(2027,8,1))+SUMIFS('FUNDED DEALS'!$AB$4:$AB$1226,'FUNDED DEALS'!$Z$4:$Z$1226,$A6,'FUNDED DEALS'!$C$4:$C$1226,"&gt;="&amp;DATE(2027,7,1),'FUNDED DEALS'!$C$4:$C$1226,"&lt;"&amp;DATE(2027,8,1))+SUMIFS('FUNDED DEALS 2027'!$V$4:$V$1226,'FUNDED DEALS 2027'!$T$4:$T$1226,$A6,'FUNDED DEALS 2027'!$C$4:$C$1226,"&gt;="&amp;DATE(2027,7,1),'FUNDED DEALS 2027'!$C$4:$C$1226,"&lt;"&amp;DATE(2027,8,1))+SUMIFS('FUNDED DEALS 2027'!$Y$4:$Y$1226,'FUNDED DEALS 2027'!$W$4:$W$1226,$A6,'FUNDED DEALS 2027'!$C$4:$C$1226,"&gt;="&amp;DATE(2027,7,1),'FUNDED DEALS 2027'!$C$4:$C$1226,"&lt;"&amp;DATE(2027,8,1))+SUMIFS('FUNDED DEALS 2027'!$AB$4:$AB$1226,'FUNDED DEALS 2027'!$Z$4:$Z$1226,$A6,'FUNDED DEALS 2027'!$C$4:$C$1226,"&gt;="&amp;DATE(2027,7,1),'FUNDED DEALS 2027'!$C$4:$C$1226,"&lt;"&amp;DATE(2027,8,1)))</f>
        <v>0</v>
      </c>
      <c r="R6" s="48" t="n">
        <f aca="false">IF($A6="","",SUMIFS('FUNDED DEALS'!$V$4:$V$1226,'FUNDED DEALS'!$T$4:$T$1226,$A6,'FUNDED DEALS'!$C$4:$C$1226,"&gt;="&amp;DATE(2027,8,1),'FUNDED DEALS'!$C$4:$C$1226,"&lt;"&amp;DATE(2027,9,1))+SUMIFS('FUNDED DEALS'!$Y$4:$Y$1226,'FUNDED DEALS'!$W$4:$W$1226,$A6,'FUNDED DEALS'!$C$4:$C$1226,"&gt;="&amp;DATE(2027,8,1),'FUNDED DEALS'!$C$4:$C$1226,"&lt;"&amp;DATE(2027,9,1))+SUMIFS('FUNDED DEALS'!$AB$4:$AB$1226,'FUNDED DEALS'!$Z$4:$Z$1226,$A6,'FUNDED DEALS'!$C$4:$C$1226,"&gt;="&amp;DATE(2027,8,1),'FUNDED DEALS'!$C$4:$C$1226,"&lt;"&amp;DATE(2027,9,1))+SUMIFS('FUNDED DEALS 2027'!$V$4:$V$1226,'FUNDED DEALS 2027'!$T$4:$T$1226,$A6,'FUNDED DEALS 2027'!$C$4:$C$1226,"&gt;="&amp;DATE(2027,8,1),'FUNDED DEALS 2027'!$C$4:$C$1226,"&lt;"&amp;DATE(2027,9,1))+SUMIFS('FUNDED DEALS 2027'!$Y$4:$Y$1226,'FUNDED DEALS 2027'!$W$4:$W$1226,$A6,'FUNDED DEALS 2027'!$C$4:$C$1226,"&gt;="&amp;DATE(2027,8,1),'FUNDED DEALS 2027'!$C$4:$C$1226,"&lt;"&amp;DATE(2027,9,1))+SUMIFS('FUNDED DEALS 2027'!$AB$4:$AB$1226,'FUNDED DEALS 2027'!$Z$4:$Z$1226,$A6,'FUNDED DEALS 2027'!$C$4:$C$1226,"&gt;="&amp;DATE(2027,8,1),'FUNDED DEALS 2027'!$C$4:$C$1226,"&lt;"&amp;DATE(2027,9,1)))</f>
        <v>0</v>
      </c>
      <c r="S6" s="48" t="n">
        <f aca="false">IF($A6="","",SUMIFS('FUNDED DEALS'!$V$4:$V$1226,'FUNDED DEALS'!$T$4:$T$1226,$A6,'FUNDED DEALS'!$C$4:$C$1226,"&gt;="&amp;DATE(2027,9,1),'FUNDED DEALS'!$C$4:$C$1226,"&lt;"&amp;DATE(2027,10,1))+SUMIFS('FUNDED DEALS'!$Y$4:$Y$1226,'FUNDED DEALS'!$W$4:$W$1226,$A6,'FUNDED DEALS'!$C$4:$C$1226,"&gt;="&amp;DATE(2027,9,1),'FUNDED DEALS'!$C$4:$C$1226,"&lt;"&amp;DATE(2027,10,1))+SUMIFS('FUNDED DEALS'!$AB$4:$AB$1226,'FUNDED DEALS'!$Z$4:$Z$1226,$A6,'FUNDED DEALS'!$C$4:$C$1226,"&gt;="&amp;DATE(2027,9,1),'FUNDED DEALS'!$C$4:$C$1226,"&lt;"&amp;DATE(2027,10,1))+SUMIFS('FUNDED DEALS 2027'!$V$4:$V$1226,'FUNDED DEALS 2027'!$T$4:$T$1226,$A6,'FUNDED DEALS 2027'!$C$4:$C$1226,"&gt;="&amp;DATE(2027,9,1),'FUNDED DEALS 2027'!$C$4:$C$1226,"&lt;"&amp;DATE(2027,10,1))+SUMIFS('FUNDED DEALS 2027'!$Y$4:$Y$1226,'FUNDED DEALS 2027'!$W$4:$W$1226,$A6,'FUNDED DEALS 2027'!$C$4:$C$1226,"&gt;="&amp;DATE(2027,9,1),'FUNDED DEALS 2027'!$C$4:$C$1226,"&lt;"&amp;DATE(2027,10,1))+SUMIFS('FUNDED DEALS 2027'!$AB$4:$AB$1226,'FUNDED DEALS 2027'!$Z$4:$Z$1226,$A6,'FUNDED DEALS 2027'!$C$4:$C$1226,"&gt;="&amp;DATE(2027,9,1),'FUNDED DEALS 2027'!$C$4:$C$1226,"&lt;"&amp;DATE(2027,10,1)))</f>
        <v>0</v>
      </c>
      <c r="T6" s="48" t="n">
        <f aca="false">IF($A6="","",SUMIFS('FUNDED DEALS'!$V$4:$V$1226,'FUNDED DEALS'!$T$4:$T$1226,$A6,'FUNDED DEALS'!$C$4:$C$1226,"&gt;="&amp;DATE(2027,10,1),'FUNDED DEALS'!$C$4:$C$1226,"&lt;"&amp;DATE(2027,11,1))+SUMIFS('FUNDED DEALS'!$Y$4:$Y$1226,'FUNDED DEALS'!$W$4:$W$1226,$A6,'FUNDED DEALS'!$C$4:$C$1226,"&gt;="&amp;DATE(2027,10,1),'FUNDED DEALS'!$C$4:$C$1226,"&lt;"&amp;DATE(2027,11,1))+SUMIFS('FUNDED DEALS'!$AB$4:$AB$1226,'FUNDED DEALS'!$Z$4:$Z$1226,$A6,'FUNDED DEALS'!$C$4:$C$1226,"&gt;="&amp;DATE(2027,10,1),'FUNDED DEALS'!$C$4:$C$1226,"&lt;"&amp;DATE(2027,11,1))+SUMIFS('FUNDED DEALS 2027'!$V$4:$V$1226,'FUNDED DEALS 2027'!$T$4:$T$1226,$A6,'FUNDED DEALS 2027'!$C$4:$C$1226,"&gt;="&amp;DATE(2027,10,1),'FUNDED DEALS 2027'!$C$4:$C$1226,"&lt;"&amp;DATE(2027,11,1))+SUMIFS('FUNDED DEALS 2027'!$Y$4:$Y$1226,'FUNDED DEALS 2027'!$W$4:$W$1226,$A6,'FUNDED DEALS 2027'!$C$4:$C$1226,"&gt;="&amp;DATE(2027,10,1),'FUNDED DEALS 2027'!$C$4:$C$1226,"&lt;"&amp;DATE(2027,11,1))+SUMIFS('FUNDED DEALS 2027'!$AB$4:$AB$1226,'FUNDED DEALS 2027'!$Z$4:$Z$1226,$A6,'FUNDED DEALS 2027'!$C$4:$C$1226,"&gt;="&amp;DATE(2027,10,1),'FUNDED DEALS 2027'!$C$4:$C$1226,"&lt;"&amp;DATE(2027,11,1)))</f>
        <v>0</v>
      </c>
      <c r="U6" s="48" t="n">
        <f aca="false">IF($A6="","",SUMIFS('FUNDED DEALS'!$V$4:$V$1226,'FUNDED DEALS'!$T$4:$T$1226,$A6,'FUNDED DEALS'!$C$4:$C$1226,"&gt;="&amp;DATE(2027,11,1),'FUNDED DEALS'!$C$4:$C$1226,"&lt;"&amp;DATE(2027,12,1))+SUMIFS('FUNDED DEALS'!$Y$4:$Y$1226,'FUNDED DEALS'!$W$4:$W$1226,$A6,'FUNDED DEALS'!$C$4:$C$1226,"&gt;="&amp;DATE(2027,11,1),'FUNDED DEALS'!$C$4:$C$1226,"&lt;"&amp;DATE(2027,12,1))+SUMIFS('FUNDED DEALS'!$AB$4:$AB$1226,'FUNDED DEALS'!$Z$4:$Z$1226,$A6,'FUNDED DEALS'!$C$4:$C$1226,"&gt;="&amp;DATE(2027,11,1),'FUNDED DEALS'!$C$4:$C$1226,"&lt;"&amp;DATE(2027,12,1))+SUMIFS('FUNDED DEALS 2027'!$V$4:$V$1226,'FUNDED DEALS 2027'!$T$4:$T$1226,$A6,'FUNDED DEALS 2027'!$C$4:$C$1226,"&gt;="&amp;DATE(2027,11,1),'FUNDED DEALS 2027'!$C$4:$C$1226,"&lt;"&amp;DATE(2027,12,1))+SUMIFS('FUNDED DEALS 2027'!$Y$4:$Y$1226,'FUNDED DEALS 2027'!$W$4:$W$1226,$A6,'FUNDED DEALS 2027'!$C$4:$C$1226,"&gt;="&amp;DATE(2027,11,1),'FUNDED DEALS 2027'!$C$4:$C$1226,"&lt;"&amp;DATE(2027,12,1))+SUMIFS('FUNDED DEALS 2027'!$AB$4:$AB$1226,'FUNDED DEALS 2027'!$Z$4:$Z$1226,$A6,'FUNDED DEALS 2027'!$C$4:$C$1226,"&gt;="&amp;DATE(2027,11,1),'FUNDED DEALS 2027'!$C$4:$C$1226,"&lt;"&amp;DATE(2027,12,1)))</f>
        <v>0</v>
      </c>
      <c r="V6" s="48" t="n">
        <f aca="false">IF($A6="","",SUMIFS('FUNDED DEALS'!$V$4:$V$1226,'FUNDED DEALS'!$T$4:$T$1226,$A6,'FUNDED DEALS'!$C$4:$C$1226,"&gt;="&amp;DATE(2027,12,1),'FUNDED DEALS'!$C$4:$C$1226,"&lt;"&amp;DATE(2028,1,1))+SUMIFS('FUNDED DEALS'!$Y$4:$Y$1226,'FUNDED DEALS'!$W$4:$W$1226,$A6,'FUNDED DEALS'!$C$4:$C$1226,"&gt;="&amp;DATE(2027,12,1),'FUNDED DEALS'!$C$4:$C$1226,"&lt;"&amp;DATE(2028,1,1))+SUMIFS('FUNDED DEALS'!$AB$4:$AB$1226,'FUNDED DEALS'!$Z$4:$Z$1226,$A6,'FUNDED DEALS'!$C$4:$C$1226,"&gt;="&amp;DATE(2027,12,1),'FUNDED DEALS'!$C$4:$C$1226,"&lt;"&amp;DATE(2028,1,1))+SUMIFS('FUNDED DEALS 2027'!$V$4:$V$1226,'FUNDED DEALS 2027'!$T$4:$T$1226,$A6,'FUNDED DEALS 2027'!$C$4:$C$1226,"&gt;="&amp;DATE(2027,12,1),'FUNDED DEALS 2027'!$C$4:$C$1226,"&lt;"&amp;DATE(2028,1,1))+SUMIFS('FUNDED DEALS 2027'!$Y$4:$Y$1226,'FUNDED DEALS 2027'!$W$4:$W$1226,$A6,'FUNDED DEALS 2027'!$C$4:$C$1226,"&gt;="&amp;DATE(2027,12,1),'FUNDED DEALS 2027'!$C$4:$C$1226,"&lt;"&amp;DATE(2028,1,1))+SUMIFS('FUNDED DEALS 2027'!$AB$4:$AB$1226,'FUNDED DEALS 2027'!$Z$4:$Z$1226,$A6,'FUNDED DEALS 2027'!$C$4:$C$1226,"&gt;="&amp;DATE(2027,12,1),'FUNDED DEALS 2027'!$C$4:$C$1226,"&lt;"&amp;DATE(2028,1,1)))</f>
        <v>0</v>
      </c>
      <c r="W6" s="56" t="n">
        <f aca="false">IF($A6="","",SUM(B6:V6))</f>
        <v>0</v>
      </c>
    </row>
    <row r="7" customFormat="false" ht="15" hidden="false" customHeight="false" outlineLevel="0" collapsed="false">
      <c r="A7" s="50" t="str">
        <f aca="false">IF(REPS!A5="","",REPS!A5)</f>
        <v>Nick Faldo</v>
      </c>
      <c r="B7" s="51" t="n">
        <f aca="false">IF($A7="","",SUMIFS('FUNDED DEALS'!$V$4:$V$1226,'FUNDED DEALS'!$T$4:$T$1226,$A7,'FUNDED DEALS'!$C$4:$C$1226,"&gt;="&amp;DATE(2026,4,1),'FUNDED DEALS'!$C$4:$C$1226,"&lt;"&amp;DATE(2026,5,1))+SUMIFS('FUNDED DEALS'!$Y$4:$Y$1226,'FUNDED DEALS'!$W$4:$W$1226,$A7,'FUNDED DEALS'!$C$4:$C$1226,"&gt;="&amp;DATE(2026,4,1),'FUNDED DEALS'!$C$4:$C$1226,"&lt;"&amp;DATE(2026,5,1))+SUMIFS('FUNDED DEALS'!$AB$4:$AB$1226,'FUNDED DEALS'!$Z$4:$Z$1226,$A7,'FUNDED DEALS'!$C$4:$C$1226,"&gt;="&amp;DATE(2026,4,1),'FUNDED DEALS'!$C$4:$C$1226,"&lt;"&amp;DATE(2026,5,1))+SUMIFS('FUNDED DEALS 2027'!$V$4:$V$1226,'FUNDED DEALS 2027'!$T$4:$T$1226,$A7,'FUNDED DEALS 2027'!$C$4:$C$1226,"&gt;="&amp;DATE(2026,4,1),'FUNDED DEALS 2027'!$C$4:$C$1226,"&lt;"&amp;DATE(2026,5,1))+SUMIFS('FUNDED DEALS 2027'!$Y$4:$Y$1226,'FUNDED DEALS 2027'!$W$4:$W$1226,$A7,'FUNDED DEALS 2027'!$C$4:$C$1226,"&gt;="&amp;DATE(2026,4,1),'FUNDED DEALS 2027'!$C$4:$C$1226,"&lt;"&amp;DATE(2026,5,1))+SUMIFS('FUNDED DEALS 2027'!$AB$4:$AB$1226,'FUNDED DEALS 2027'!$Z$4:$Z$1226,$A7,'FUNDED DEALS 2027'!$C$4:$C$1226,"&gt;="&amp;DATE(2026,4,1),'FUNDED DEALS 2027'!$C$4:$C$1226,"&lt;"&amp;DATE(2026,5,1)))</f>
        <v>0</v>
      </c>
      <c r="C7" s="51" t="n">
        <f aca="false">IF($A7="","",SUMIFS('FUNDED DEALS'!$V$4:$V$1226,'FUNDED DEALS'!$T$4:$T$1226,$A7,'FUNDED DEALS'!$C$4:$C$1226,"&gt;="&amp;DATE(2026,5,1),'FUNDED DEALS'!$C$4:$C$1226,"&lt;"&amp;DATE(2026,6,1))+SUMIFS('FUNDED DEALS'!$Y$4:$Y$1226,'FUNDED DEALS'!$W$4:$W$1226,$A7,'FUNDED DEALS'!$C$4:$C$1226,"&gt;="&amp;DATE(2026,5,1),'FUNDED DEALS'!$C$4:$C$1226,"&lt;"&amp;DATE(2026,6,1))+SUMIFS('FUNDED DEALS'!$AB$4:$AB$1226,'FUNDED DEALS'!$Z$4:$Z$1226,$A7,'FUNDED DEALS'!$C$4:$C$1226,"&gt;="&amp;DATE(2026,5,1),'FUNDED DEALS'!$C$4:$C$1226,"&lt;"&amp;DATE(2026,6,1))+SUMIFS('FUNDED DEALS 2027'!$V$4:$V$1226,'FUNDED DEALS 2027'!$T$4:$T$1226,$A7,'FUNDED DEALS 2027'!$C$4:$C$1226,"&gt;="&amp;DATE(2026,5,1),'FUNDED DEALS 2027'!$C$4:$C$1226,"&lt;"&amp;DATE(2026,6,1))+SUMIFS('FUNDED DEALS 2027'!$Y$4:$Y$1226,'FUNDED DEALS 2027'!$W$4:$W$1226,$A7,'FUNDED DEALS 2027'!$C$4:$C$1226,"&gt;="&amp;DATE(2026,5,1),'FUNDED DEALS 2027'!$C$4:$C$1226,"&lt;"&amp;DATE(2026,6,1))+SUMIFS('FUNDED DEALS 2027'!$AB$4:$AB$1226,'FUNDED DEALS 2027'!$Z$4:$Z$1226,$A7,'FUNDED DEALS 2027'!$C$4:$C$1226,"&gt;="&amp;DATE(2026,5,1),'FUNDED DEALS 2027'!$C$4:$C$1226,"&lt;"&amp;DATE(2026,6,1)))</f>
        <v>0</v>
      </c>
      <c r="D7" s="51" t="n">
        <f aca="false">IF($A7="","",SUMIFS('FUNDED DEALS'!$V$4:$V$1226,'FUNDED DEALS'!$T$4:$T$1226,$A7,'FUNDED DEALS'!$C$4:$C$1226,"&gt;="&amp;DATE(2026,6,1),'FUNDED DEALS'!$C$4:$C$1226,"&lt;"&amp;DATE(2026,7,1))+SUMIFS('FUNDED DEALS'!$Y$4:$Y$1226,'FUNDED DEALS'!$W$4:$W$1226,$A7,'FUNDED DEALS'!$C$4:$C$1226,"&gt;="&amp;DATE(2026,6,1),'FUNDED DEALS'!$C$4:$C$1226,"&lt;"&amp;DATE(2026,7,1))+SUMIFS('FUNDED DEALS'!$AB$4:$AB$1226,'FUNDED DEALS'!$Z$4:$Z$1226,$A7,'FUNDED DEALS'!$C$4:$C$1226,"&gt;="&amp;DATE(2026,6,1),'FUNDED DEALS'!$C$4:$C$1226,"&lt;"&amp;DATE(2026,7,1))+SUMIFS('FUNDED DEALS 2027'!$V$4:$V$1226,'FUNDED DEALS 2027'!$T$4:$T$1226,$A7,'FUNDED DEALS 2027'!$C$4:$C$1226,"&gt;="&amp;DATE(2026,6,1),'FUNDED DEALS 2027'!$C$4:$C$1226,"&lt;"&amp;DATE(2026,7,1))+SUMIFS('FUNDED DEALS 2027'!$Y$4:$Y$1226,'FUNDED DEALS 2027'!$W$4:$W$1226,$A7,'FUNDED DEALS 2027'!$C$4:$C$1226,"&gt;="&amp;DATE(2026,6,1),'FUNDED DEALS 2027'!$C$4:$C$1226,"&lt;"&amp;DATE(2026,7,1))+SUMIFS('FUNDED DEALS 2027'!$AB$4:$AB$1226,'FUNDED DEALS 2027'!$Z$4:$Z$1226,$A7,'FUNDED DEALS 2027'!$C$4:$C$1226,"&gt;="&amp;DATE(2026,6,1),'FUNDED DEALS 2027'!$C$4:$C$1226,"&lt;"&amp;DATE(2026,7,1)))</f>
        <v>0</v>
      </c>
      <c r="E7" s="51" t="n">
        <f aca="false">IF($A7="","",SUMIFS('FUNDED DEALS'!$V$4:$V$1226,'FUNDED DEALS'!$T$4:$T$1226,$A7,'FUNDED DEALS'!$C$4:$C$1226,"&gt;="&amp;DATE(2026,7,1),'FUNDED DEALS'!$C$4:$C$1226,"&lt;"&amp;DATE(2026,8,1))+SUMIFS('FUNDED DEALS'!$Y$4:$Y$1226,'FUNDED DEALS'!$W$4:$W$1226,$A7,'FUNDED DEALS'!$C$4:$C$1226,"&gt;="&amp;DATE(2026,7,1),'FUNDED DEALS'!$C$4:$C$1226,"&lt;"&amp;DATE(2026,8,1))+SUMIFS('FUNDED DEALS'!$AB$4:$AB$1226,'FUNDED DEALS'!$Z$4:$Z$1226,$A7,'FUNDED DEALS'!$C$4:$C$1226,"&gt;="&amp;DATE(2026,7,1),'FUNDED DEALS'!$C$4:$C$1226,"&lt;"&amp;DATE(2026,8,1))+SUMIFS('FUNDED DEALS 2027'!$V$4:$V$1226,'FUNDED DEALS 2027'!$T$4:$T$1226,$A7,'FUNDED DEALS 2027'!$C$4:$C$1226,"&gt;="&amp;DATE(2026,7,1),'FUNDED DEALS 2027'!$C$4:$C$1226,"&lt;"&amp;DATE(2026,8,1))+SUMIFS('FUNDED DEALS 2027'!$Y$4:$Y$1226,'FUNDED DEALS 2027'!$W$4:$W$1226,$A7,'FUNDED DEALS 2027'!$C$4:$C$1226,"&gt;="&amp;DATE(2026,7,1),'FUNDED DEALS 2027'!$C$4:$C$1226,"&lt;"&amp;DATE(2026,8,1))+SUMIFS('FUNDED DEALS 2027'!$AB$4:$AB$1226,'FUNDED DEALS 2027'!$Z$4:$Z$1226,$A7,'FUNDED DEALS 2027'!$C$4:$C$1226,"&gt;="&amp;DATE(2026,7,1),'FUNDED DEALS 2027'!$C$4:$C$1226,"&lt;"&amp;DATE(2026,8,1)))</f>
        <v>0</v>
      </c>
      <c r="F7" s="51" t="n">
        <f aca="false">IF($A7="","",SUMIFS('FUNDED DEALS'!$V$4:$V$1226,'FUNDED DEALS'!$T$4:$T$1226,$A7,'FUNDED DEALS'!$C$4:$C$1226,"&gt;="&amp;DATE(2026,8,1),'FUNDED DEALS'!$C$4:$C$1226,"&lt;"&amp;DATE(2026,9,1))+SUMIFS('FUNDED DEALS'!$Y$4:$Y$1226,'FUNDED DEALS'!$W$4:$W$1226,$A7,'FUNDED DEALS'!$C$4:$C$1226,"&gt;="&amp;DATE(2026,8,1),'FUNDED DEALS'!$C$4:$C$1226,"&lt;"&amp;DATE(2026,9,1))+SUMIFS('FUNDED DEALS'!$AB$4:$AB$1226,'FUNDED DEALS'!$Z$4:$Z$1226,$A7,'FUNDED DEALS'!$C$4:$C$1226,"&gt;="&amp;DATE(2026,8,1),'FUNDED DEALS'!$C$4:$C$1226,"&lt;"&amp;DATE(2026,9,1))+SUMIFS('FUNDED DEALS 2027'!$V$4:$V$1226,'FUNDED DEALS 2027'!$T$4:$T$1226,$A7,'FUNDED DEALS 2027'!$C$4:$C$1226,"&gt;="&amp;DATE(2026,8,1),'FUNDED DEALS 2027'!$C$4:$C$1226,"&lt;"&amp;DATE(2026,9,1))+SUMIFS('FUNDED DEALS 2027'!$Y$4:$Y$1226,'FUNDED DEALS 2027'!$W$4:$W$1226,$A7,'FUNDED DEALS 2027'!$C$4:$C$1226,"&gt;="&amp;DATE(2026,8,1),'FUNDED DEALS 2027'!$C$4:$C$1226,"&lt;"&amp;DATE(2026,9,1))+SUMIFS('FUNDED DEALS 2027'!$AB$4:$AB$1226,'FUNDED DEALS 2027'!$Z$4:$Z$1226,$A7,'FUNDED DEALS 2027'!$C$4:$C$1226,"&gt;="&amp;DATE(2026,8,1),'FUNDED DEALS 2027'!$C$4:$C$1226,"&lt;"&amp;DATE(2026,9,1)))</f>
        <v>0</v>
      </c>
      <c r="G7" s="51" t="n">
        <f aca="false">IF($A7="","",SUMIFS('FUNDED DEALS'!$V$4:$V$1226,'FUNDED DEALS'!$T$4:$T$1226,$A7,'FUNDED DEALS'!$C$4:$C$1226,"&gt;="&amp;DATE(2026,9,1),'FUNDED DEALS'!$C$4:$C$1226,"&lt;"&amp;DATE(2026,10,1))+SUMIFS('FUNDED DEALS'!$Y$4:$Y$1226,'FUNDED DEALS'!$W$4:$W$1226,$A7,'FUNDED DEALS'!$C$4:$C$1226,"&gt;="&amp;DATE(2026,9,1),'FUNDED DEALS'!$C$4:$C$1226,"&lt;"&amp;DATE(2026,10,1))+SUMIFS('FUNDED DEALS'!$AB$4:$AB$1226,'FUNDED DEALS'!$Z$4:$Z$1226,$A7,'FUNDED DEALS'!$C$4:$C$1226,"&gt;="&amp;DATE(2026,9,1),'FUNDED DEALS'!$C$4:$C$1226,"&lt;"&amp;DATE(2026,10,1))+SUMIFS('FUNDED DEALS 2027'!$V$4:$V$1226,'FUNDED DEALS 2027'!$T$4:$T$1226,$A7,'FUNDED DEALS 2027'!$C$4:$C$1226,"&gt;="&amp;DATE(2026,9,1),'FUNDED DEALS 2027'!$C$4:$C$1226,"&lt;"&amp;DATE(2026,10,1))+SUMIFS('FUNDED DEALS 2027'!$Y$4:$Y$1226,'FUNDED DEALS 2027'!$W$4:$W$1226,$A7,'FUNDED DEALS 2027'!$C$4:$C$1226,"&gt;="&amp;DATE(2026,9,1),'FUNDED DEALS 2027'!$C$4:$C$1226,"&lt;"&amp;DATE(2026,10,1))+SUMIFS('FUNDED DEALS 2027'!$AB$4:$AB$1226,'FUNDED DEALS 2027'!$Z$4:$Z$1226,$A7,'FUNDED DEALS 2027'!$C$4:$C$1226,"&gt;="&amp;DATE(2026,9,1),'FUNDED DEALS 2027'!$C$4:$C$1226,"&lt;"&amp;DATE(2026,10,1)))</f>
        <v>0</v>
      </c>
      <c r="H7" s="51" t="n">
        <f aca="false">IF($A7="","",SUMIFS('FUNDED DEALS'!$V$4:$V$1226,'FUNDED DEALS'!$T$4:$T$1226,$A7,'FUNDED DEALS'!$C$4:$C$1226,"&gt;="&amp;DATE(2026,10,1),'FUNDED DEALS'!$C$4:$C$1226,"&lt;"&amp;DATE(2026,11,1))+SUMIFS('FUNDED DEALS'!$Y$4:$Y$1226,'FUNDED DEALS'!$W$4:$W$1226,$A7,'FUNDED DEALS'!$C$4:$C$1226,"&gt;="&amp;DATE(2026,10,1),'FUNDED DEALS'!$C$4:$C$1226,"&lt;"&amp;DATE(2026,11,1))+SUMIFS('FUNDED DEALS'!$AB$4:$AB$1226,'FUNDED DEALS'!$Z$4:$Z$1226,$A7,'FUNDED DEALS'!$C$4:$C$1226,"&gt;="&amp;DATE(2026,10,1),'FUNDED DEALS'!$C$4:$C$1226,"&lt;"&amp;DATE(2026,11,1))+SUMIFS('FUNDED DEALS 2027'!$V$4:$V$1226,'FUNDED DEALS 2027'!$T$4:$T$1226,$A7,'FUNDED DEALS 2027'!$C$4:$C$1226,"&gt;="&amp;DATE(2026,10,1),'FUNDED DEALS 2027'!$C$4:$C$1226,"&lt;"&amp;DATE(2026,11,1))+SUMIFS('FUNDED DEALS 2027'!$Y$4:$Y$1226,'FUNDED DEALS 2027'!$W$4:$W$1226,$A7,'FUNDED DEALS 2027'!$C$4:$C$1226,"&gt;="&amp;DATE(2026,10,1),'FUNDED DEALS 2027'!$C$4:$C$1226,"&lt;"&amp;DATE(2026,11,1))+SUMIFS('FUNDED DEALS 2027'!$AB$4:$AB$1226,'FUNDED DEALS 2027'!$Z$4:$Z$1226,$A7,'FUNDED DEALS 2027'!$C$4:$C$1226,"&gt;="&amp;DATE(2026,10,1),'FUNDED DEALS 2027'!$C$4:$C$1226,"&lt;"&amp;DATE(2026,11,1)))</f>
        <v>0</v>
      </c>
      <c r="I7" s="51" t="n">
        <f aca="false">IF($A7="","",SUMIFS('FUNDED DEALS'!$V$4:$V$1226,'FUNDED DEALS'!$T$4:$T$1226,$A7,'FUNDED DEALS'!$C$4:$C$1226,"&gt;="&amp;DATE(2026,11,1),'FUNDED DEALS'!$C$4:$C$1226,"&lt;"&amp;DATE(2026,12,1))+SUMIFS('FUNDED DEALS'!$Y$4:$Y$1226,'FUNDED DEALS'!$W$4:$W$1226,$A7,'FUNDED DEALS'!$C$4:$C$1226,"&gt;="&amp;DATE(2026,11,1),'FUNDED DEALS'!$C$4:$C$1226,"&lt;"&amp;DATE(2026,12,1))+SUMIFS('FUNDED DEALS'!$AB$4:$AB$1226,'FUNDED DEALS'!$Z$4:$Z$1226,$A7,'FUNDED DEALS'!$C$4:$C$1226,"&gt;="&amp;DATE(2026,11,1),'FUNDED DEALS'!$C$4:$C$1226,"&lt;"&amp;DATE(2026,12,1))+SUMIFS('FUNDED DEALS 2027'!$V$4:$V$1226,'FUNDED DEALS 2027'!$T$4:$T$1226,$A7,'FUNDED DEALS 2027'!$C$4:$C$1226,"&gt;="&amp;DATE(2026,11,1),'FUNDED DEALS 2027'!$C$4:$C$1226,"&lt;"&amp;DATE(2026,12,1))+SUMIFS('FUNDED DEALS 2027'!$Y$4:$Y$1226,'FUNDED DEALS 2027'!$W$4:$W$1226,$A7,'FUNDED DEALS 2027'!$C$4:$C$1226,"&gt;="&amp;DATE(2026,11,1),'FUNDED DEALS 2027'!$C$4:$C$1226,"&lt;"&amp;DATE(2026,12,1))+SUMIFS('FUNDED DEALS 2027'!$AB$4:$AB$1226,'FUNDED DEALS 2027'!$Z$4:$Z$1226,$A7,'FUNDED DEALS 2027'!$C$4:$C$1226,"&gt;="&amp;DATE(2026,11,1),'FUNDED DEALS 2027'!$C$4:$C$1226,"&lt;"&amp;DATE(2026,12,1)))</f>
        <v>0</v>
      </c>
      <c r="J7" s="51" t="n">
        <f aca="false">IF($A7="","",SUMIFS('FUNDED DEALS'!$V$4:$V$1226,'FUNDED DEALS'!$T$4:$T$1226,$A7,'FUNDED DEALS'!$C$4:$C$1226,"&gt;="&amp;DATE(2026,12,1),'FUNDED DEALS'!$C$4:$C$1226,"&lt;"&amp;DATE(2027,1,1))+SUMIFS('FUNDED DEALS'!$Y$4:$Y$1226,'FUNDED DEALS'!$W$4:$W$1226,$A7,'FUNDED DEALS'!$C$4:$C$1226,"&gt;="&amp;DATE(2026,12,1),'FUNDED DEALS'!$C$4:$C$1226,"&lt;"&amp;DATE(2027,1,1))+SUMIFS('FUNDED DEALS'!$AB$4:$AB$1226,'FUNDED DEALS'!$Z$4:$Z$1226,$A7,'FUNDED DEALS'!$C$4:$C$1226,"&gt;="&amp;DATE(2026,12,1),'FUNDED DEALS'!$C$4:$C$1226,"&lt;"&amp;DATE(2027,1,1))+SUMIFS('FUNDED DEALS 2027'!$V$4:$V$1226,'FUNDED DEALS 2027'!$T$4:$T$1226,$A7,'FUNDED DEALS 2027'!$C$4:$C$1226,"&gt;="&amp;DATE(2026,12,1),'FUNDED DEALS 2027'!$C$4:$C$1226,"&lt;"&amp;DATE(2027,1,1))+SUMIFS('FUNDED DEALS 2027'!$Y$4:$Y$1226,'FUNDED DEALS 2027'!$W$4:$W$1226,$A7,'FUNDED DEALS 2027'!$C$4:$C$1226,"&gt;="&amp;DATE(2026,12,1),'FUNDED DEALS 2027'!$C$4:$C$1226,"&lt;"&amp;DATE(2027,1,1))+SUMIFS('FUNDED DEALS 2027'!$AB$4:$AB$1226,'FUNDED DEALS 2027'!$Z$4:$Z$1226,$A7,'FUNDED DEALS 2027'!$C$4:$C$1226,"&gt;="&amp;DATE(2026,12,1),'FUNDED DEALS 2027'!$C$4:$C$1226,"&lt;"&amp;DATE(2027,1,1)))</f>
        <v>0</v>
      </c>
      <c r="K7" s="51" t="n">
        <f aca="false">IF($A7="","",SUMIFS('FUNDED DEALS'!$V$4:$V$1226,'FUNDED DEALS'!$T$4:$T$1226,$A7,'FUNDED DEALS'!$C$4:$C$1226,"&gt;="&amp;DATE(2027,1,1),'FUNDED DEALS'!$C$4:$C$1226,"&lt;"&amp;DATE(2027,2,1))+SUMIFS('FUNDED DEALS'!$Y$4:$Y$1226,'FUNDED DEALS'!$W$4:$W$1226,$A7,'FUNDED DEALS'!$C$4:$C$1226,"&gt;="&amp;DATE(2027,1,1),'FUNDED DEALS'!$C$4:$C$1226,"&lt;"&amp;DATE(2027,2,1))+SUMIFS('FUNDED DEALS'!$AB$4:$AB$1226,'FUNDED DEALS'!$Z$4:$Z$1226,$A7,'FUNDED DEALS'!$C$4:$C$1226,"&gt;="&amp;DATE(2027,1,1),'FUNDED DEALS'!$C$4:$C$1226,"&lt;"&amp;DATE(2027,2,1))+SUMIFS('FUNDED DEALS 2027'!$V$4:$V$1226,'FUNDED DEALS 2027'!$T$4:$T$1226,$A7,'FUNDED DEALS 2027'!$C$4:$C$1226,"&gt;="&amp;DATE(2027,1,1),'FUNDED DEALS 2027'!$C$4:$C$1226,"&lt;"&amp;DATE(2027,2,1))+SUMIFS('FUNDED DEALS 2027'!$Y$4:$Y$1226,'FUNDED DEALS 2027'!$W$4:$W$1226,$A7,'FUNDED DEALS 2027'!$C$4:$C$1226,"&gt;="&amp;DATE(2027,1,1),'FUNDED DEALS 2027'!$C$4:$C$1226,"&lt;"&amp;DATE(2027,2,1))+SUMIFS('FUNDED DEALS 2027'!$AB$4:$AB$1226,'FUNDED DEALS 2027'!$Z$4:$Z$1226,$A7,'FUNDED DEALS 2027'!$C$4:$C$1226,"&gt;="&amp;DATE(2027,1,1),'FUNDED DEALS 2027'!$C$4:$C$1226,"&lt;"&amp;DATE(2027,2,1)))</f>
        <v>0</v>
      </c>
      <c r="L7" s="51" t="n">
        <f aca="false">IF($A7="","",SUMIFS('FUNDED DEALS'!$V$4:$V$1226,'FUNDED DEALS'!$T$4:$T$1226,$A7,'FUNDED DEALS'!$C$4:$C$1226,"&gt;="&amp;DATE(2027,2,1),'FUNDED DEALS'!$C$4:$C$1226,"&lt;"&amp;DATE(2027,3,1))+SUMIFS('FUNDED DEALS'!$Y$4:$Y$1226,'FUNDED DEALS'!$W$4:$W$1226,$A7,'FUNDED DEALS'!$C$4:$C$1226,"&gt;="&amp;DATE(2027,2,1),'FUNDED DEALS'!$C$4:$C$1226,"&lt;"&amp;DATE(2027,3,1))+SUMIFS('FUNDED DEALS'!$AB$4:$AB$1226,'FUNDED DEALS'!$Z$4:$Z$1226,$A7,'FUNDED DEALS'!$C$4:$C$1226,"&gt;="&amp;DATE(2027,2,1),'FUNDED DEALS'!$C$4:$C$1226,"&lt;"&amp;DATE(2027,3,1))+SUMIFS('FUNDED DEALS 2027'!$V$4:$V$1226,'FUNDED DEALS 2027'!$T$4:$T$1226,$A7,'FUNDED DEALS 2027'!$C$4:$C$1226,"&gt;="&amp;DATE(2027,2,1),'FUNDED DEALS 2027'!$C$4:$C$1226,"&lt;"&amp;DATE(2027,3,1))+SUMIFS('FUNDED DEALS 2027'!$Y$4:$Y$1226,'FUNDED DEALS 2027'!$W$4:$W$1226,$A7,'FUNDED DEALS 2027'!$C$4:$C$1226,"&gt;="&amp;DATE(2027,2,1),'FUNDED DEALS 2027'!$C$4:$C$1226,"&lt;"&amp;DATE(2027,3,1))+SUMIFS('FUNDED DEALS 2027'!$AB$4:$AB$1226,'FUNDED DEALS 2027'!$Z$4:$Z$1226,$A7,'FUNDED DEALS 2027'!$C$4:$C$1226,"&gt;="&amp;DATE(2027,2,1),'FUNDED DEALS 2027'!$C$4:$C$1226,"&lt;"&amp;DATE(2027,3,1)))</f>
        <v>0</v>
      </c>
      <c r="M7" s="51" t="n">
        <f aca="false">IF($A7="","",SUMIFS('FUNDED DEALS'!$V$4:$V$1226,'FUNDED DEALS'!$T$4:$T$1226,$A7,'FUNDED DEALS'!$C$4:$C$1226,"&gt;="&amp;DATE(2027,3,1),'FUNDED DEALS'!$C$4:$C$1226,"&lt;"&amp;DATE(2027,4,1))+SUMIFS('FUNDED DEALS'!$Y$4:$Y$1226,'FUNDED DEALS'!$W$4:$W$1226,$A7,'FUNDED DEALS'!$C$4:$C$1226,"&gt;="&amp;DATE(2027,3,1),'FUNDED DEALS'!$C$4:$C$1226,"&lt;"&amp;DATE(2027,4,1))+SUMIFS('FUNDED DEALS'!$AB$4:$AB$1226,'FUNDED DEALS'!$Z$4:$Z$1226,$A7,'FUNDED DEALS'!$C$4:$C$1226,"&gt;="&amp;DATE(2027,3,1),'FUNDED DEALS'!$C$4:$C$1226,"&lt;"&amp;DATE(2027,4,1))+SUMIFS('FUNDED DEALS 2027'!$V$4:$V$1226,'FUNDED DEALS 2027'!$T$4:$T$1226,$A7,'FUNDED DEALS 2027'!$C$4:$C$1226,"&gt;="&amp;DATE(2027,3,1),'FUNDED DEALS 2027'!$C$4:$C$1226,"&lt;"&amp;DATE(2027,4,1))+SUMIFS('FUNDED DEALS 2027'!$Y$4:$Y$1226,'FUNDED DEALS 2027'!$W$4:$W$1226,$A7,'FUNDED DEALS 2027'!$C$4:$C$1226,"&gt;="&amp;DATE(2027,3,1),'FUNDED DEALS 2027'!$C$4:$C$1226,"&lt;"&amp;DATE(2027,4,1))+SUMIFS('FUNDED DEALS 2027'!$AB$4:$AB$1226,'FUNDED DEALS 2027'!$Z$4:$Z$1226,$A7,'FUNDED DEALS 2027'!$C$4:$C$1226,"&gt;="&amp;DATE(2027,3,1),'FUNDED DEALS 2027'!$C$4:$C$1226,"&lt;"&amp;DATE(2027,4,1)))</f>
        <v>0</v>
      </c>
      <c r="N7" s="51" t="n">
        <f aca="false">IF($A7="","",SUMIFS('FUNDED DEALS'!$V$4:$V$1226,'FUNDED DEALS'!$T$4:$T$1226,$A7,'FUNDED DEALS'!$C$4:$C$1226,"&gt;="&amp;DATE(2027,4,1),'FUNDED DEALS'!$C$4:$C$1226,"&lt;"&amp;DATE(2027,5,1))+SUMIFS('FUNDED DEALS'!$Y$4:$Y$1226,'FUNDED DEALS'!$W$4:$W$1226,$A7,'FUNDED DEALS'!$C$4:$C$1226,"&gt;="&amp;DATE(2027,4,1),'FUNDED DEALS'!$C$4:$C$1226,"&lt;"&amp;DATE(2027,5,1))+SUMIFS('FUNDED DEALS'!$AB$4:$AB$1226,'FUNDED DEALS'!$Z$4:$Z$1226,$A7,'FUNDED DEALS'!$C$4:$C$1226,"&gt;="&amp;DATE(2027,4,1),'FUNDED DEALS'!$C$4:$C$1226,"&lt;"&amp;DATE(2027,5,1))+SUMIFS('FUNDED DEALS 2027'!$V$4:$V$1226,'FUNDED DEALS 2027'!$T$4:$T$1226,$A7,'FUNDED DEALS 2027'!$C$4:$C$1226,"&gt;="&amp;DATE(2027,4,1),'FUNDED DEALS 2027'!$C$4:$C$1226,"&lt;"&amp;DATE(2027,5,1))+SUMIFS('FUNDED DEALS 2027'!$Y$4:$Y$1226,'FUNDED DEALS 2027'!$W$4:$W$1226,$A7,'FUNDED DEALS 2027'!$C$4:$C$1226,"&gt;="&amp;DATE(2027,4,1),'FUNDED DEALS 2027'!$C$4:$C$1226,"&lt;"&amp;DATE(2027,5,1))+SUMIFS('FUNDED DEALS 2027'!$AB$4:$AB$1226,'FUNDED DEALS 2027'!$Z$4:$Z$1226,$A7,'FUNDED DEALS 2027'!$C$4:$C$1226,"&gt;="&amp;DATE(2027,4,1),'FUNDED DEALS 2027'!$C$4:$C$1226,"&lt;"&amp;DATE(2027,5,1)))</f>
        <v>0</v>
      </c>
      <c r="O7" s="51" t="n">
        <f aca="false">IF($A7="","",SUMIFS('FUNDED DEALS'!$V$4:$V$1226,'FUNDED DEALS'!$T$4:$T$1226,$A7,'FUNDED DEALS'!$C$4:$C$1226,"&gt;="&amp;DATE(2027,5,1),'FUNDED DEALS'!$C$4:$C$1226,"&lt;"&amp;DATE(2027,6,1))+SUMIFS('FUNDED DEALS'!$Y$4:$Y$1226,'FUNDED DEALS'!$W$4:$W$1226,$A7,'FUNDED DEALS'!$C$4:$C$1226,"&gt;="&amp;DATE(2027,5,1),'FUNDED DEALS'!$C$4:$C$1226,"&lt;"&amp;DATE(2027,6,1))+SUMIFS('FUNDED DEALS'!$AB$4:$AB$1226,'FUNDED DEALS'!$Z$4:$Z$1226,$A7,'FUNDED DEALS'!$C$4:$C$1226,"&gt;="&amp;DATE(2027,5,1),'FUNDED DEALS'!$C$4:$C$1226,"&lt;"&amp;DATE(2027,6,1))+SUMIFS('FUNDED DEALS 2027'!$V$4:$V$1226,'FUNDED DEALS 2027'!$T$4:$T$1226,$A7,'FUNDED DEALS 2027'!$C$4:$C$1226,"&gt;="&amp;DATE(2027,5,1),'FUNDED DEALS 2027'!$C$4:$C$1226,"&lt;"&amp;DATE(2027,6,1))+SUMIFS('FUNDED DEALS 2027'!$Y$4:$Y$1226,'FUNDED DEALS 2027'!$W$4:$W$1226,$A7,'FUNDED DEALS 2027'!$C$4:$C$1226,"&gt;="&amp;DATE(2027,5,1),'FUNDED DEALS 2027'!$C$4:$C$1226,"&lt;"&amp;DATE(2027,6,1))+SUMIFS('FUNDED DEALS 2027'!$AB$4:$AB$1226,'FUNDED DEALS 2027'!$Z$4:$Z$1226,$A7,'FUNDED DEALS 2027'!$C$4:$C$1226,"&gt;="&amp;DATE(2027,5,1),'FUNDED DEALS 2027'!$C$4:$C$1226,"&lt;"&amp;DATE(2027,6,1)))</f>
        <v>0</v>
      </c>
      <c r="P7" s="51" t="n">
        <f aca="false">IF($A7="","",SUMIFS('FUNDED DEALS'!$V$4:$V$1226,'FUNDED DEALS'!$T$4:$T$1226,$A7,'FUNDED DEALS'!$C$4:$C$1226,"&gt;="&amp;DATE(2027,6,1),'FUNDED DEALS'!$C$4:$C$1226,"&lt;"&amp;DATE(2027,7,1))+SUMIFS('FUNDED DEALS'!$Y$4:$Y$1226,'FUNDED DEALS'!$W$4:$W$1226,$A7,'FUNDED DEALS'!$C$4:$C$1226,"&gt;="&amp;DATE(2027,6,1),'FUNDED DEALS'!$C$4:$C$1226,"&lt;"&amp;DATE(2027,7,1))+SUMIFS('FUNDED DEALS'!$AB$4:$AB$1226,'FUNDED DEALS'!$Z$4:$Z$1226,$A7,'FUNDED DEALS'!$C$4:$C$1226,"&gt;="&amp;DATE(2027,6,1),'FUNDED DEALS'!$C$4:$C$1226,"&lt;"&amp;DATE(2027,7,1))+SUMIFS('FUNDED DEALS 2027'!$V$4:$V$1226,'FUNDED DEALS 2027'!$T$4:$T$1226,$A7,'FUNDED DEALS 2027'!$C$4:$C$1226,"&gt;="&amp;DATE(2027,6,1),'FUNDED DEALS 2027'!$C$4:$C$1226,"&lt;"&amp;DATE(2027,7,1))+SUMIFS('FUNDED DEALS 2027'!$Y$4:$Y$1226,'FUNDED DEALS 2027'!$W$4:$W$1226,$A7,'FUNDED DEALS 2027'!$C$4:$C$1226,"&gt;="&amp;DATE(2027,6,1),'FUNDED DEALS 2027'!$C$4:$C$1226,"&lt;"&amp;DATE(2027,7,1))+SUMIFS('FUNDED DEALS 2027'!$AB$4:$AB$1226,'FUNDED DEALS 2027'!$Z$4:$Z$1226,$A7,'FUNDED DEALS 2027'!$C$4:$C$1226,"&gt;="&amp;DATE(2027,6,1),'FUNDED DEALS 2027'!$C$4:$C$1226,"&lt;"&amp;DATE(2027,7,1)))</f>
        <v>0</v>
      </c>
      <c r="Q7" s="51" t="n">
        <f aca="false">IF($A7="","",SUMIFS('FUNDED DEALS'!$V$4:$V$1226,'FUNDED DEALS'!$T$4:$T$1226,$A7,'FUNDED DEALS'!$C$4:$C$1226,"&gt;="&amp;DATE(2027,7,1),'FUNDED DEALS'!$C$4:$C$1226,"&lt;"&amp;DATE(2027,8,1))+SUMIFS('FUNDED DEALS'!$Y$4:$Y$1226,'FUNDED DEALS'!$W$4:$W$1226,$A7,'FUNDED DEALS'!$C$4:$C$1226,"&gt;="&amp;DATE(2027,7,1),'FUNDED DEALS'!$C$4:$C$1226,"&lt;"&amp;DATE(2027,8,1))+SUMIFS('FUNDED DEALS'!$AB$4:$AB$1226,'FUNDED DEALS'!$Z$4:$Z$1226,$A7,'FUNDED DEALS'!$C$4:$C$1226,"&gt;="&amp;DATE(2027,7,1),'FUNDED DEALS'!$C$4:$C$1226,"&lt;"&amp;DATE(2027,8,1))+SUMIFS('FUNDED DEALS 2027'!$V$4:$V$1226,'FUNDED DEALS 2027'!$T$4:$T$1226,$A7,'FUNDED DEALS 2027'!$C$4:$C$1226,"&gt;="&amp;DATE(2027,7,1),'FUNDED DEALS 2027'!$C$4:$C$1226,"&lt;"&amp;DATE(2027,8,1))+SUMIFS('FUNDED DEALS 2027'!$Y$4:$Y$1226,'FUNDED DEALS 2027'!$W$4:$W$1226,$A7,'FUNDED DEALS 2027'!$C$4:$C$1226,"&gt;="&amp;DATE(2027,7,1),'FUNDED DEALS 2027'!$C$4:$C$1226,"&lt;"&amp;DATE(2027,8,1))+SUMIFS('FUNDED DEALS 2027'!$AB$4:$AB$1226,'FUNDED DEALS 2027'!$Z$4:$Z$1226,$A7,'FUNDED DEALS 2027'!$C$4:$C$1226,"&gt;="&amp;DATE(2027,7,1),'FUNDED DEALS 2027'!$C$4:$C$1226,"&lt;"&amp;DATE(2027,8,1)))</f>
        <v>0</v>
      </c>
      <c r="R7" s="51" t="n">
        <f aca="false">IF($A7="","",SUMIFS('FUNDED DEALS'!$V$4:$V$1226,'FUNDED DEALS'!$T$4:$T$1226,$A7,'FUNDED DEALS'!$C$4:$C$1226,"&gt;="&amp;DATE(2027,8,1),'FUNDED DEALS'!$C$4:$C$1226,"&lt;"&amp;DATE(2027,9,1))+SUMIFS('FUNDED DEALS'!$Y$4:$Y$1226,'FUNDED DEALS'!$W$4:$W$1226,$A7,'FUNDED DEALS'!$C$4:$C$1226,"&gt;="&amp;DATE(2027,8,1),'FUNDED DEALS'!$C$4:$C$1226,"&lt;"&amp;DATE(2027,9,1))+SUMIFS('FUNDED DEALS'!$AB$4:$AB$1226,'FUNDED DEALS'!$Z$4:$Z$1226,$A7,'FUNDED DEALS'!$C$4:$C$1226,"&gt;="&amp;DATE(2027,8,1),'FUNDED DEALS'!$C$4:$C$1226,"&lt;"&amp;DATE(2027,9,1))+SUMIFS('FUNDED DEALS 2027'!$V$4:$V$1226,'FUNDED DEALS 2027'!$T$4:$T$1226,$A7,'FUNDED DEALS 2027'!$C$4:$C$1226,"&gt;="&amp;DATE(2027,8,1),'FUNDED DEALS 2027'!$C$4:$C$1226,"&lt;"&amp;DATE(2027,9,1))+SUMIFS('FUNDED DEALS 2027'!$Y$4:$Y$1226,'FUNDED DEALS 2027'!$W$4:$W$1226,$A7,'FUNDED DEALS 2027'!$C$4:$C$1226,"&gt;="&amp;DATE(2027,8,1),'FUNDED DEALS 2027'!$C$4:$C$1226,"&lt;"&amp;DATE(2027,9,1))+SUMIFS('FUNDED DEALS 2027'!$AB$4:$AB$1226,'FUNDED DEALS 2027'!$Z$4:$Z$1226,$A7,'FUNDED DEALS 2027'!$C$4:$C$1226,"&gt;="&amp;DATE(2027,8,1),'FUNDED DEALS 2027'!$C$4:$C$1226,"&lt;"&amp;DATE(2027,9,1)))</f>
        <v>0</v>
      </c>
      <c r="S7" s="51" t="n">
        <f aca="false">IF($A7="","",SUMIFS('FUNDED DEALS'!$V$4:$V$1226,'FUNDED DEALS'!$T$4:$T$1226,$A7,'FUNDED DEALS'!$C$4:$C$1226,"&gt;="&amp;DATE(2027,9,1),'FUNDED DEALS'!$C$4:$C$1226,"&lt;"&amp;DATE(2027,10,1))+SUMIFS('FUNDED DEALS'!$Y$4:$Y$1226,'FUNDED DEALS'!$W$4:$W$1226,$A7,'FUNDED DEALS'!$C$4:$C$1226,"&gt;="&amp;DATE(2027,9,1),'FUNDED DEALS'!$C$4:$C$1226,"&lt;"&amp;DATE(2027,10,1))+SUMIFS('FUNDED DEALS'!$AB$4:$AB$1226,'FUNDED DEALS'!$Z$4:$Z$1226,$A7,'FUNDED DEALS'!$C$4:$C$1226,"&gt;="&amp;DATE(2027,9,1),'FUNDED DEALS'!$C$4:$C$1226,"&lt;"&amp;DATE(2027,10,1))+SUMIFS('FUNDED DEALS 2027'!$V$4:$V$1226,'FUNDED DEALS 2027'!$T$4:$T$1226,$A7,'FUNDED DEALS 2027'!$C$4:$C$1226,"&gt;="&amp;DATE(2027,9,1),'FUNDED DEALS 2027'!$C$4:$C$1226,"&lt;"&amp;DATE(2027,10,1))+SUMIFS('FUNDED DEALS 2027'!$Y$4:$Y$1226,'FUNDED DEALS 2027'!$W$4:$W$1226,$A7,'FUNDED DEALS 2027'!$C$4:$C$1226,"&gt;="&amp;DATE(2027,9,1),'FUNDED DEALS 2027'!$C$4:$C$1226,"&lt;"&amp;DATE(2027,10,1))+SUMIFS('FUNDED DEALS 2027'!$AB$4:$AB$1226,'FUNDED DEALS 2027'!$Z$4:$Z$1226,$A7,'FUNDED DEALS 2027'!$C$4:$C$1226,"&gt;="&amp;DATE(2027,9,1),'FUNDED DEALS 2027'!$C$4:$C$1226,"&lt;"&amp;DATE(2027,10,1)))</f>
        <v>0</v>
      </c>
      <c r="T7" s="51" t="n">
        <f aca="false">IF($A7="","",SUMIFS('FUNDED DEALS'!$V$4:$V$1226,'FUNDED DEALS'!$T$4:$T$1226,$A7,'FUNDED DEALS'!$C$4:$C$1226,"&gt;="&amp;DATE(2027,10,1),'FUNDED DEALS'!$C$4:$C$1226,"&lt;"&amp;DATE(2027,11,1))+SUMIFS('FUNDED DEALS'!$Y$4:$Y$1226,'FUNDED DEALS'!$W$4:$W$1226,$A7,'FUNDED DEALS'!$C$4:$C$1226,"&gt;="&amp;DATE(2027,10,1),'FUNDED DEALS'!$C$4:$C$1226,"&lt;"&amp;DATE(2027,11,1))+SUMIFS('FUNDED DEALS'!$AB$4:$AB$1226,'FUNDED DEALS'!$Z$4:$Z$1226,$A7,'FUNDED DEALS'!$C$4:$C$1226,"&gt;="&amp;DATE(2027,10,1),'FUNDED DEALS'!$C$4:$C$1226,"&lt;"&amp;DATE(2027,11,1))+SUMIFS('FUNDED DEALS 2027'!$V$4:$V$1226,'FUNDED DEALS 2027'!$T$4:$T$1226,$A7,'FUNDED DEALS 2027'!$C$4:$C$1226,"&gt;="&amp;DATE(2027,10,1),'FUNDED DEALS 2027'!$C$4:$C$1226,"&lt;"&amp;DATE(2027,11,1))+SUMIFS('FUNDED DEALS 2027'!$Y$4:$Y$1226,'FUNDED DEALS 2027'!$W$4:$W$1226,$A7,'FUNDED DEALS 2027'!$C$4:$C$1226,"&gt;="&amp;DATE(2027,10,1),'FUNDED DEALS 2027'!$C$4:$C$1226,"&lt;"&amp;DATE(2027,11,1))+SUMIFS('FUNDED DEALS 2027'!$AB$4:$AB$1226,'FUNDED DEALS 2027'!$Z$4:$Z$1226,$A7,'FUNDED DEALS 2027'!$C$4:$C$1226,"&gt;="&amp;DATE(2027,10,1),'FUNDED DEALS 2027'!$C$4:$C$1226,"&lt;"&amp;DATE(2027,11,1)))</f>
        <v>0</v>
      </c>
      <c r="U7" s="51" t="n">
        <f aca="false">IF($A7="","",SUMIFS('FUNDED DEALS'!$V$4:$V$1226,'FUNDED DEALS'!$T$4:$T$1226,$A7,'FUNDED DEALS'!$C$4:$C$1226,"&gt;="&amp;DATE(2027,11,1),'FUNDED DEALS'!$C$4:$C$1226,"&lt;"&amp;DATE(2027,12,1))+SUMIFS('FUNDED DEALS'!$Y$4:$Y$1226,'FUNDED DEALS'!$W$4:$W$1226,$A7,'FUNDED DEALS'!$C$4:$C$1226,"&gt;="&amp;DATE(2027,11,1),'FUNDED DEALS'!$C$4:$C$1226,"&lt;"&amp;DATE(2027,12,1))+SUMIFS('FUNDED DEALS'!$AB$4:$AB$1226,'FUNDED DEALS'!$Z$4:$Z$1226,$A7,'FUNDED DEALS'!$C$4:$C$1226,"&gt;="&amp;DATE(2027,11,1),'FUNDED DEALS'!$C$4:$C$1226,"&lt;"&amp;DATE(2027,12,1))+SUMIFS('FUNDED DEALS 2027'!$V$4:$V$1226,'FUNDED DEALS 2027'!$T$4:$T$1226,$A7,'FUNDED DEALS 2027'!$C$4:$C$1226,"&gt;="&amp;DATE(2027,11,1),'FUNDED DEALS 2027'!$C$4:$C$1226,"&lt;"&amp;DATE(2027,12,1))+SUMIFS('FUNDED DEALS 2027'!$Y$4:$Y$1226,'FUNDED DEALS 2027'!$W$4:$W$1226,$A7,'FUNDED DEALS 2027'!$C$4:$C$1226,"&gt;="&amp;DATE(2027,11,1),'FUNDED DEALS 2027'!$C$4:$C$1226,"&lt;"&amp;DATE(2027,12,1))+SUMIFS('FUNDED DEALS 2027'!$AB$4:$AB$1226,'FUNDED DEALS 2027'!$Z$4:$Z$1226,$A7,'FUNDED DEALS 2027'!$C$4:$C$1226,"&gt;="&amp;DATE(2027,11,1),'FUNDED DEALS 2027'!$C$4:$C$1226,"&lt;"&amp;DATE(2027,12,1)))</f>
        <v>0</v>
      </c>
      <c r="V7" s="51" t="n">
        <f aca="false">IF($A7="","",SUMIFS('FUNDED DEALS'!$V$4:$V$1226,'FUNDED DEALS'!$T$4:$T$1226,$A7,'FUNDED DEALS'!$C$4:$C$1226,"&gt;="&amp;DATE(2027,12,1),'FUNDED DEALS'!$C$4:$C$1226,"&lt;"&amp;DATE(2028,1,1))+SUMIFS('FUNDED DEALS'!$Y$4:$Y$1226,'FUNDED DEALS'!$W$4:$W$1226,$A7,'FUNDED DEALS'!$C$4:$C$1226,"&gt;="&amp;DATE(2027,12,1),'FUNDED DEALS'!$C$4:$C$1226,"&lt;"&amp;DATE(2028,1,1))+SUMIFS('FUNDED DEALS'!$AB$4:$AB$1226,'FUNDED DEALS'!$Z$4:$Z$1226,$A7,'FUNDED DEALS'!$C$4:$C$1226,"&gt;="&amp;DATE(2027,12,1),'FUNDED DEALS'!$C$4:$C$1226,"&lt;"&amp;DATE(2028,1,1))+SUMIFS('FUNDED DEALS 2027'!$V$4:$V$1226,'FUNDED DEALS 2027'!$T$4:$T$1226,$A7,'FUNDED DEALS 2027'!$C$4:$C$1226,"&gt;="&amp;DATE(2027,12,1),'FUNDED DEALS 2027'!$C$4:$C$1226,"&lt;"&amp;DATE(2028,1,1))+SUMIFS('FUNDED DEALS 2027'!$Y$4:$Y$1226,'FUNDED DEALS 2027'!$W$4:$W$1226,$A7,'FUNDED DEALS 2027'!$C$4:$C$1226,"&gt;="&amp;DATE(2027,12,1),'FUNDED DEALS 2027'!$C$4:$C$1226,"&lt;"&amp;DATE(2028,1,1))+SUMIFS('FUNDED DEALS 2027'!$AB$4:$AB$1226,'FUNDED DEALS 2027'!$Z$4:$Z$1226,$A7,'FUNDED DEALS 2027'!$C$4:$C$1226,"&gt;="&amp;DATE(2027,12,1),'FUNDED DEALS 2027'!$C$4:$C$1226,"&lt;"&amp;DATE(2028,1,1)))</f>
        <v>0</v>
      </c>
      <c r="W7" s="58" t="n">
        <f aca="false">IF($A7="","",SUM(B7:V7))</f>
        <v>0</v>
      </c>
    </row>
    <row r="8" customFormat="false" ht="15" hidden="false" customHeight="false" outlineLevel="0" collapsed="false">
      <c r="A8" s="47" t="str">
        <f aca="false">IF(REPS!A6="","",REPS!A6)</f>
        <v>Zach Sanders</v>
      </c>
      <c r="B8" s="48" t="n">
        <f aca="false">IF($A8="","",SUMIFS('FUNDED DEALS'!$V$4:$V$1226,'FUNDED DEALS'!$T$4:$T$1226,$A8,'FUNDED DEALS'!$C$4:$C$1226,"&gt;="&amp;DATE(2026,4,1),'FUNDED DEALS'!$C$4:$C$1226,"&lt;"&amp;DATE(2026,5,1))+SUMIFS('FUNDED DEALS'!$Y$4:$Y$1226,'FUNDED DEALS'!$W$4:$W$1226,$A8,'FUNDED DEALS'!$C$4:$C$1226,"&gt;="&amp;DATE(2026,4,1),'FUNDED DEALS'!$C$4:$C$1226,"&lt;"&amp;DATE(2026,5,1))+SUMIFS('FUNDED DEALS'!$AB$4:$AB$1226,'FUNDED DEALS'!$Z$4:$Z$1226,$A8,'FUNDED DEALS'!$C$4:$C$1226,"&gt;="&amp;DATE(2026,4,1),'FUNDED DEALS'!$C$4:$C$1226,"&lt;"&amp;DATE(2026,5,1))+SUMIFS('FUNDED DEALS 2027'!$V$4:$V$1226,'FUNDED DEALS 2027'!$T$4:$T$1226,$A8,'FUNDED DEALS 2027'!$C$4:$C$1226,"&gt;="&amp;DATE(2026,4,1),'FUNDED DEALS 2027'!$C$4:$C$1226,"&lt;"&amp;DATE(2026,5,1))+SUMIFS('FUNDED DEALS 2027'!$Y$4:$Y$1226,'FUNDED DEALS 2027'!$W$4:$W$1226,$A8,'FUNDED DEALS 2027'!$C$4:$C$1226,"&gt;="&amp;DATE(2026,4,1),'FUNDED DEALS 2027'!$C$4:$C$1226,"&lt;"&amp;DATE(2026,5,1))+SUMIFS('FUNDED DEALS 2027'!$AB$4:$AB$1226,'FUNDED DEALS 2027'!$Z$4:$Z$1226,$A8,'FUNDED DEALS 2027'!$C$4:$C$1226,"&gt;="&amp;DATE(2026,4,1),'FUNDED DEALS 2027'!$C$4:$C$1226,"&lt;"&amp;DATE(2026,5,1)))</f>
        <v>0</v>
      </c>
      <c r="C8" s="48" t="n">
        <f aca="false">IF($A8="","",SUMIFS('FUNDED DEALS'!$V$4:$V$1226,'FUNDED DEALS'!$T$4:$T$1226,$A8,'FUNDED DEALS'!$C$4:$C$1226,"&gt;="&amp;DATE(2026,5,1),'FUNDED DEALS'!$C$4:$C$1226,"&lt;"&amp;DATE(2026,6,1))+SUMIFS('FUNDED DEALS'!$Y$4:$Y$1226,'FUNDED DEALS'!$W$4:$W$1226,$A8,'FUNDED DEALS'!$C$4:$C$1226,"&gt;="&amp;DATE(2026,5,1),'FUNDED DEALS'!$C$4:$C$1226,"&lt;"&amp;DATE(2026,6,1))+SUMIFS('FUNDED DEALS'!$AB$4:$AB$1226,'FUNDED DEALS'!$Z$4:$Z$1226,$A8,'FUNDED DEALS'!$C$4:$C$1226,"&gt;="&amp;DATE(2026,5,1),'FUNDED DEALS'!$C$4:$C$1226,"&lt;"&amp;DATE(2026,6,1))+SUMIFS('FUNDED DEALS 2027'!$V$4:$V$1226,'FUNDED DEALS 2027'!$T$4:$T$1226,$A8,'FUNDED DEALS 2027'!$C$4:$C$1226,"&gt;="&amp;DATE(2026,5,1),'FUNDED DEALS 2027'!$C$4:$C$1226,"&lt;"&amp;DATE(2026,6,1))+SUMIFS('FUNDED DEALS 2027'!$Y$4:$Y$1226,'FUNDED DEALS 2027'!$W$4:$W$1226,$A8,'FUNDED DEALS 2027'!$C$4:$C$1226,"&gt;="&amp;DATE(2026,5,1),'FUNDED DEALS 2027'!$C$4:$C$1226,"&lt;"&amp;DATE(2026,6,1))+SUMIFS('FUNDED DEALS 2027'!$AB$4:$AB$1226,'FUNDED DEALS 2027'!$Z$4:$Z$1226,$A8,'FUNDED DEALS 2027'!$C$4:$C$1226,"&gt;="&amp;DATE(2026,5,1),'FUNDED DEALS 2027'!$C$4:$C$1226,"&lt;"&amp;DATE(2026,6,1)))</f>
        <v>0</v>
      </c>
      <c r="D8" s="48" t="n">
        <f aca="false">IF($A8="","",SUMIFS('FUNDED DEALS'!$V$4:$V$1226,'FUNDED DEALS'!$T$4:$T$1226,$A8,'FUNDED DEALS'!$C$4:$C$1226,"&gt;="&amp;DATE(2026,6,1),'FUNDED DEALS'!$C$4:$C$1226,"&lt;"&amp;DATE(2026,7,1))+SUMIFS('FUNDED DEALS'!$Y$4:$Y$1226,'FUNDED DEALS'!$W$4:$W$1226,$A8,'FUNDED DEALS'!$C$4:$C$1226,"&gt;="&amp;DATE(2026,6,1),'FUNDED DEALS'!$C$4:$C$1226,"&lt;"&amp;DATE(2026,7,1))+SUMIFS('FUNDED DEALS'!$AB$4:$AB$1226,'FUNDED DEALS'!$Z$4:$Z$1226,$A8,'FUNDED DEALS'!$C$4:$C$1226,"&gt;="&amp;DATE(2026,6,1),'FUNDED DEALS'!$C$4:$C$1226,"&lt;"&amp;DATE(2026,7,1))+SUMIFS('FUNDED DEALS 2027'!$V$4:$V$1226,'FUNDED DEALS 2027'!$T$4:$T$1226,$A8,'FUNDED DEALS 2027'!$C$4:$C$1226,"&gt;="&amp;DATE(2026,6,1),'FUNDED DEALS 2027'!$C$4:$C$1226,"&lt;"&amp;DATE(2026,7,1))+SUMIFS('FUNDED DEALS 2027'!$Y$4:$Y$1226,'FUNDED DEALS 2027'!$W$4:$W$1226,$A8,'FUNDED DEALS 2027'!$C$4:$C$1226,"&gt;="&amp;DATE(2026,6,1),'FUNDED DEALS 2027'!$C$4:$C$1226,"&lt;"&amp;DATE(2026,7,1))+SUMIFS('FUNDED DEALS 2027'!$AB$4:$AB$1226,'FUNDED DEALS 2027'!$Z$4:$Z$1226,$A8,'FUNDED DEALS 2027'!$C$4:$C$1226,"&gt;="&amp;DATE(2026,6,1),'FUNDED DEALS 2027'!$C$4:$C$1226,"&lt;"&amp;DATE(2026,7,1)))</f>
        <v>0</v>
      </c>
      <c r="E8" s="48" t="n">
        <f aca="false">IF($A8="","",SUMIFS('FUNDED DEALS'!$V$4:$V$1226,'FUNDED DEALS'!$T$4:$T$1226,$A8,'FUNDED DEALS'!$C$4:$C$1226,"&gt;="&amp;DATE(2026,7,1),'FUNDED DEALS'!$C$4:$C$1226,"&lt;"&amp;DATE(2026,8,1))+SUMIFS('FUNDED DEALS'!$Y$4:$Y$1226,'FUNDED DEALS'!$W$4:$W$1226,$A8,'FUNDED DEALS'!$C$4:$C$1226,"&gt;="&amp;DATE(2026,7,1),'FUNDED DEALS'!$C$4:$C$1226,"&lt;"&amp;DATE(2026,8,1))+SUMIFS('FUNDED DEALS'!$AB$4:$AB$1226,'FUNDED DEALS'!$Z$4:$Z$1226,$A8,'FUNDED DEALS'!$C$4:$C$1226,"&gt;="&amp;DATE(2026,7,1),'FUNDED DEALS'!$C$4:$C$1226,"&lt;"&amp;DATE(2026,8,1))+SUMIFS('FUNDED DEALS 2027'!$V$4:$V$1226,'FUNDED DEALS 2027'!$T$4:$T$1226,$A8,'FUNDED DEALS 2027'!$C$4:$C$1226,"&gt;="&amp;DATE(2026,7,1),'FUNDED DEALS 2027'!$C$4:$C$1226,"&lt;"&amp;DATE(2026,8,1))+SUMIFS('FUNDED DEALS 2027'!$Y$4:$Y$1226,'FUNDED DEALS 2027'!$W$4:$W$1226,$A8,'FUNDED DEALS 2027'!$C$4:$C$1226,"&gt;="&amp;DATE(2026,7,1),'FUNDED DEALS 2027'!$C$4:$C$1226,"&lt;"&amp;DATE(2026,8,1))+SUMIFS('FUNDED DEALS 2027'!$AB$4:$AB$1226,'FUNDED DEALS 2027'!$Z$4:$Z$1226,$A8,'FUNDED DEALS 2027'!$C$4:$C$1226,"&gt;="&amp;DATE(2026,7,1),'FUNDED DEALS 2027'!$C$4:$C$1226,"&lt;"&amp;DATE(2026,8,1)))</f>
        <v>0</v>
      </c>
      <c r="F8" s="48" t="n">
        <f aca="false">IF($A8="","",SUMIFS('FUNDED DEALS'!$V$4:$V$1226,'FUNDED DEALS'!$T$4:$T$1226,$A8,'FUNDED DEALS'!$C$4:$C$1226,"&gt;="&amp;DATE(2026,8,1),'FUNDED DEALS'!$C$4:$C$1226,"&lt;"&amp;DATE(2026,9,1))+SUMIFS('FUNDED DEALS'!$Y$4:$Y$1226,'FUNDED DEALS'!$W$4:$W$1226,$A8,'FUNDED DEALS'!$C$4:$C$1226,"&gt;="&amp;DATE(2026,8,1),'FUNDED DEALS'!$C$4:$C$1226,"&lt;"&amp;DATE(2026,9,1))+SUMIFS('FUNDED DEALS'!$AB$4:$AB$1226,'FUNDED DEALS'!$Z$4:$Z$1226,$A8,'FUNDED DEALS'!$C$4:$C$1226,"&gt;="&amp;DATE(2026,8,1),'FUNDED DEALS'!$C$4:$C$1226,"&lt;"&amp;DATE(2026,9,1))+SUMIFS('FUNDED DEALS 2027'!$V$4:$V$1226,'FUNDED DEALS 2027'!$T$4:$T$1226,$A8,'FUNDED DEALS 2027'!$C$4:$C$1226,"&gt;="&amp;DATE(2026,8,1),'FUNDED DEALS 2027'!$C$4:$C$1226,"&lt;"&amp;DATE(2026,9,1))+SUMIFS('FUNDED DEALS 2027'!$Y$4:$Y$1226,'FUNDED DEALS 2027'!$W$4:$W$1226,$A8,'FUNDED DEALS 2027'!$C$4:$C$1226,"&gt;="&amp;DATE(2026,8,1),'FUNDED DEALS 2027'!$C$4:$C$1226,"&lt;"&amp;DATE(2026,9,1))+SUMIFS('FUNDED DEALS 2027'!$AB$4:$AB$1226,'FUNDED DEALS 2027'!$Z$4:$Z$1226,$A8,'FUNDED DEALS 2027'!$C$4:$C$1226,"&gt;="&amp;DATE(2026,8,1),'FUNDED DEALS 2027'!$C$4:$C$1226,"&lt;"&amp;DATE(2026,9,1)))</f>
        <v>0</v>
      </c>
      <c r="G8" s="48" t="n">
        <f aca="false">IF($A8="","",SUMIFS('FUNDED DEALS'!$V$4:$V$1226,'FUNDED DEALS'!$T$4:$T$1226,$A8,'FUNDED DEALS'!$C$4:$C$1226,"&gt;="&amp;DATE(2026,9,1),'FUNDED DEALS'!$C$4:$C$1226,"&lt;"&amp;DATE(2026,10,1))+SUMIFS('FUNDED DEALS'!$Y$4:$Y$1226,'FUNDED DEALS'!$W$4:$W$1226,$A8,'FUNDED DEALS'!$C$4:$C$1226,"&gt;="&amp;DATE(2026,9,1),'FUNDED DEALS'!$C$4:$C$1226,"&lt;"&amp;DATE(2026,10,1))+SUMIFS('FUNDED DEALS'!$AB$4:$AB$1226,'FUNDED DEALS'!$Z$4:$Z$1226,$A8,'FUNDED DEALS'!$C$4:$C$1226,"&gt;="&amp;DATE(2026,9,1),'FUNDED DEALS'!$C$4:$C$1226,"&lt;"&amp;DATE(2026,10,1))+SUMIFS('FUNDED DEALS 2027'!$V$4:$V$1226,'FUNDED DEALS 2027'!$T$4:$T$1226,$A8,'FUNDED DEALS 2027'!$C$4:$C$1226,"&gt;="&amp;DATE(2026,9,1),'FUNDED DEALS 2027'!$C$4:$C$1226,"&lt;"&amp;DATE(2026,10,1))+SUMIFS('FUNDED DEALS 2027'!$Y$4:$Y$1226,'FUNDED DEALS 2027'!$W$4:$W$1226,$A8,'FUNDED DEALS 2027'!$C$4:$C$1226,"&gt;="&amp;DATE(2026,9,1),'FUNDED DEALS 2027'!$C$4:$C$1226,"&lt;"&amp;DATE(2026,10,1))+SUMIFS('FUNDED DEALS 2027'!$AB$4:$AB$1226,'FUNDED DEALS 2027'!$Z$4:$Z$1226,$A8,'FUNDED DEALS 2027'!$C$4:$C$1226,"&gt;="&amp;DATE(2026,9,1),'FUNDED DEALS 2027'!$C$4:$C$1226,"&lt;"&amp;DATE(2026,10,1)))</f>
        <v>0</v>
      </c>
      <c r="H8" s="48" t="n">
        <f aca="false">IF($A8="","",SUMIFS('FUNDED DEALS'!$V$4:$V$1226,'FUNDED DEALS'!$T$4:$T$1226,$A8,'FUNDED DEALS'!$C$4:$C$1226,"&gt;="&amp;DATE(2026,10,1),'FUNDED DEALS'!$C$4:$C$1226,"&lt;"&amp;DATE(2026,11,1))+SUMIFS('FUNDED DEALS'!$Y$4:$Y$1226,'FUNDED DEALS'!$W$4:$W$1226,$A8,'FUNDED DEALS'!$C$4:$C$1226,"&gt;="&amp;DATE(2026,10,1),'FUNDED DEALS'!$C$4:$C$1226,"&lt;"&amp;DATE(2026,11,1))+SUMIFS('FUNDED DEALS'!$AB$4:$AB$1226,'FUNDED DEALS'!$Z$4:$Z$1226,$A8,'FUNDED DEALS'!$C$4:$C$1226,"&gt;="&amp;DATE(2026,10,1),'FUNDED DEALS'!$C$4:$C$1226,"&lt;"&amp;DATE(2026,11,1))+SUMIFS('FUNDED DEALS 2027'!$V$4:$V$1226,'FUNDED DEALS 2027'!$T$4:$T$1226,$A8,'FUNDED DEALS 2027'!$C$4:$C$1226,"&gt;="&amp;DATE(2026,10,1),'FUNDED DEALS 2027'!$C$4:$C$1226,"&lt;"&amp;DATE(2026,11,1))+SUMIFS('FUNDED DEALS 2027'!$Y$4:$Y$1226,'FUNDED DEALS 2027'!$W$4:$W$1226,$A8,'FUNDED DEALS 2027'!$C$4:$C$1226,"&gt;="&amp;DATE(2026,10,1),'FUNDED DEALS 2027'!$C$4:$C$1226,"&lt;"&amp;DATE(2026,11,1))+SUMIFS('FUNDED DEALS 2027'!$AB$4:$AB$1226,'FUNDED DEALS 2027'!$Z$4:$Z$1226,$A8,'FUNDED DEALS 2027'!$C$4:$C$1226,"&gt;="&amp;DATE(2026,10,1),'FUNDED DEALS 2027'!$C$4:$C$1226,"&lt;"&amp;DATE(2026,11,1)))</f>
        <v>0</v>
      </c>
      <c r="I8" s="48" t="n">
        <f aca="false">IF($A8="","",SUMIFS('FUNDED DEALS'!$V$4:$V$1226,'FUNDED DEALS'!$T$4:$T$1226,$A8,'FUNDED DEALS'!$C$4:$C$1226,"&gt;="&amp;DATE(2026,11,1),'FUNDED DEALS'!$C$4:$C$1226,"&lt;"&amp;DATE(2026,12,1))+SUMIFS('FUNDED DEALS'!$Y$4:$Y$1226,'FUNDED DEALS'!$W$4:$W$1226,$A8,'FUNDED DEALS'!$C$4:$C$1226,"&gt;="&amp;DATE(2026,11,1),'FUNDED DEALS'!$C$4:$C$1226,"&lt;"&amp;DATE(2026,12,1))+SUMIFS('FUNDED DEALS'!$AB$4:$AB$1226,'FUNDED DEALS'!$Z$4:$Z$1226,$A8,'FUNDED DEALS'!$C$4:$C$1226,"&gt;="&amp;DATE(2026,11,1),'FUNDED DEALS'!$C$4:$C$1226,"&lt;"&amp;DATE(2026,12,1))+SUMIFS('FUNDED DEALS 2027'!$V$4:$V$1226,'FUNDED DEALS 2027'!$T$4:$T$1226,$A8,'FUNDED DEALS 2027'!$C$4:$C$1226,"&gt;="&amp;DATE(2026,11,1),'FUNDED DEALS 2027'!$C$4:$C$1226,"&lt;"&amp;DATE(2026,12,1))+SUMIFS('FUNDED DEALS 2027'!$Y$4:$Y$1226,'FUNDED DEALS 2027'!$W$4:$W$1226,$A8,'FUNDED DEALS 2027'!$C$4:$C$1226,"&gt;="&amp;DATE(2026,11,1),'FUNDED DEALS 2027'!$C$4:$C$1226,"&lt;"&amp;DATE(2026,12,1))+SUMIFS('FUNDED DEALS 2027'!$AB$4:$AB$1226,'FUNDED DEALS 2027'!$Z$4:$Z$1226,$A8,'FUNDED DEALS 2027'!$C$4:$C$1226,"&gt;="&amp;DATE(2026,11,1),'FUNDED DEALS 2027'!$C$4:$C$1226,"&lt;"&amp;DATE(2026,12,1)))</f>
        <v>0</v>
      </c>
      <c r="J8" s="48" t="n">
        <f aca="false">IF($A8="","",SUMIFS('FUNDED DEALS'!$V$4:$V$1226,'FUNDED DEALS'!$T$4:$T$1226,$A8,'FUNDED DEALS'!$C$4:$C$1226,"&gt;="&amp;DATE(2026,12,1),'FUNDED DEALS'!$C$4:$C$1226,"&lt;"&amp;DATE(2027,1,1))+SUMIFS('FUNDED DEALS'!$Y$4:$Y$1226,'FUNDED DEALS'!$W$4:$W$1226,$A8,'FUNDED DEALS'!$C$4:$C$1226,"&gt;="&amp;DATE(2026,12,1),'FUNDED DEALS'!$C$4:$C$1226,"&lt;"&amp;DATE(2027,1,1))+SUMIFS('FUNDED DEALS'!$AB$4:$AB$1226,'FUNDED DEALS'!$Z$4:$Z$1226,$A8,'FUNDED DEALS'!$C$4:$C$1226,"&gt;="&amp;DATE(2026,12,1),'FUNDED DEALS'!$C$4:$C$1226,"&lt;"&amp;DATE(2027,1,1))+SUMIFS('FUNDED DEALS 2027'!$V$4:$V$1226,'FUNDED DEALS 2027'!$T$4:$T$1226,$A8,'FUNDED DEALS 2027'!$C$4:$C$1226,"&gt;="&amp;DATE(2026,12,1),'FUNDED DEALS 2027'!$C$4:$C$1226,"&lt;"&amp;DATE(2027,1,1))+SUMIFS('FUNDED DEALS 2027'!$Y$4:$Y$1226,'FUNDED DEALS 2027'!$W$4:$W$1226,$A8,'FUNDED DEALS 2027'!$C$4:$C$1226,"&gt;="&amp;DATE(2026,12,1),'FUNDED DEALS 2027'!$C$4:$C$1226,"&lt;"&amp;DATE(2027,1,1))+SUMIFS('FUNDED DEALS 2027'!$AB$4:$AB$1226,'FUNDED DEALS 2027'!$Z$4:$Z$1226,$A8,'FUNDED DEALS 2027'!$C$4:$C$1226,"&gt;="&amp;DATE(2026,12,1),'FUNDED DEALS 2027'!$C$4:$C$1226,"&lt;"&amp;DATE(2027,1,1)))</f>
        <v>0</v>
      </c>
      <c r="K8" s="48" t="n">
        <f aca="false">IF($A8="","",SUMIFS('FUNDED DEALS'!$V$4:$V$1226,'FUNDED DEALS'!$T$4:$T$1226,$A8,'FUNDED DEALS'!$C$4:$C$1226,"&gt;="&amp;DATE(2027,1,1),'FUNDED DEALS'!$C$4:$C$1226,"&lt;"&amp;DATE(2027,2,1))+SUMIFS('FUNDED DEALS'!$Y$4:$Y$1226,'FUNDED DEALS'!$W$4:$W$1226,$A8,'FUNDED DEALS'!$C$4:$C$1226,"&gt;="&amp;DATE(2027,1,1),'FUNDED DEALS'!$C$4:$C$1226,"&lt;"&amp;DATE(2027,2,1))+SUMIFS('FUNDED DEALS'!$AB$4:$AB$1226,'FUNDED DEALS'!$Z$4:$Z$1226,$A8,'FUNDED DEALS'!$C$4:$C$1226,"&gt;="&amp;DATE(2027,1,1),'FUNDED DEALS'!$C$4:$C$1226,"&lt;"&amp;DATE(2027,2,1))+SUMIFS('FUNDED DEALS 2027'!$V$4:$V$1226,'FUNDED DEALS 2027'!$T$4:$T$1226,$A8,'FUNDED DEALS 2027'!$C$4:$C$1226,"&gt;="&amp;DATE(2027,1,1),'FUNDED DEALS 2027'!$C$4:$C$1226,"&lt;"&amp;DATE(2027,2,1))+SUMIFS('FUNDED DEALS 2027'!$Y$4:$Y$1226,'FUNDED DEALS 2027'!$W$4:$W$1226,$A8,'FUNDED DEALS 2027'!$C$4:$C$1226,"&gt;="&amp;DATE(2027,1,1),'FUNDED DEALS 2027'!$C$4:$C$1226,"&lt;"&amp;DATE(2027,2,1))+SUMIFS('FUNDED DEALS 2027'!$AB$4:$AB$1226,'FUNDED DEALS 2027'!$Z$4:$Z$1226,$A8,'FUNDED DEALS 2027'!$C$4:$C$1226,"&gt;="&amp;DATE(2027,1,1),'FUNDED DEALS 2027'!$C$4:$C$1226,"&lt;"&amp;DATE(2027,2,1)))</f>
        <v>0</v>
      </c>
      <c r="L8" s="48" t="n">
        <f aca="false">IF($A8="","",SUMIFS('FUNDED DEALS'!$V$4:$V$1226,'FUNDED DEALS'!$T$4:$T$1226,$A8,'FUNDED DEALS'!$C$4:$C$1226,"&gt;="&amp;DATE(2027,2,1),'FUNDED DEALS'!$C$4:$C$1226,"&lt;"&amp;DATE(2027,3,1))+SUMIFS('FUNDED DEALS'!$Y$4:$Y$1226,'FUNDED DEALS'!$W$4:$W$1226,$A8,'FUNDED DEALS'!$C$4:$C$1226,"&gt;="&amp;DATE(2027,2,1),'FUNDED DEALS'!$C$4:$C$1226,"&lt;"&amp;DATE(2027,3,1))+SUMIFS('FUNDED DEALS'!$AB$4:$AB$1226,'FUNDED DEALS'!$Z$4:$Z$1226,$A8,'FUNDED DEALS'!$C$4:$C$1226,"&gt;="&amp;DATE(2027,2,1),'FUNDED DEALS'!$C$4:$C$1226,"&lt;"&amp;DATE(2027,3,1))+SUMIFS('FUNDED DEALS 2027'!$V$4:$V$1226,'FUNDED DEALS 2027'!$T$4:$T$1226,$A8,'FUNDED DEALS 2027'!$C$4:$C$1226,"&gt;="&amp;DATE(2027,2,1),'FUNDED DEALS 2027'!$C$4:$C$1226,"&lt;"&amp;DATE(2027,3,1))+SUMIFS('FUNDED DEALS 2027'!$Y$4:$Y$1226,'FUNDED DEALS 2027'!$W$4:$W$1226,$A8,'FUNDED DEALS 2027'!$C$4:$C$1226,"&gt;="&amp;DATE(2027,2,1),'FUNDED DEALS 2027'!$C$4:$C$1226,"&lt;"&amp;DATE(2027,3,1))+SUMIFS('FUNDED DEALS 2027'!$AB$4:$AB$1226,'FUNDED DEALS 2027'!$Z$4:$Z$1226,$A8,'FUNDED DEALS 2027'!$C$4:$C$1226,"&gt;="&amp;DATE(2027,2,1),'FUNDED DEALS 2027'!$C$4:$C$1226,"&lt;"&amp;DATE(2027,3,1)))</f>
        <v>0</v>
      </c>
      <c r="M8" s="48" t="n">
        <f aca="false">IF($A8="","",SUMIFS('FUNDED DEALS'!$V$4:$V$1226,'FUNDED DEALS'!$T$4:$T$1226,$A8,'FUNDED DEALS'!$C$4:$C$1226,"&gt;="&amp;DATE(2027,3,1),'FUNDED DEALS'!$C$4:$C$1226,"&lt;"&amp;DATE(2027,4,1))+SUMIFS('FUNDED DEALS'!$Y$4:$Y$1226,'FUNDED DEALS'!$W$4:$W$1226,$A8,'FUNDED DEALS'!$C$4:$C$1226,"&gt;="&amp;DATE(2027,3,1),'FUNDED DEALS'!$C$4:$C$1226,"&lt;"&amp;DATE(2027,4,1))+SUMIFS('FUNDED DEALS'!$AB$4:$AB$1226,'FUNDED DEALS'!$Z$4:$Z$1226,$A8,'FUNDED DEALS'!$C$4:$C$1226,"&gt;="&amp;DATE(2027,3,1),'FUNDED DEALS'!$C$4:$C$1226,"&lt;"&amp;DATE(2027,4,1))+SUMIFS('FUNDED DEALS 2027'!$V$4:$V$1226,'FUNDED DEALS 2027'!$T$4:$T$1226,$A8,'FUNDED DEALS 2027'!$C$4:$C$1226,"&gt;="&amp;DATE(2027,3,1),'FUNDED DEALS 2027'!$C$4:$C$1226,"&lt;"&amp;DATE(2027,4,1))+SUMIFS('FUNDED DEALS 2027'!$Y$4:$Y$1226,'FUNDED DEALS 2027'!$W$4:$W$1226,$A8,'FUNDED DEALS 2027'!$C$4:$C$1226,"&gt;="&amp;DATE(2027,3,1),'FUNDED DEALS 2027'!$C$4:$C$1226,"&lt;"&amp;DATE(2027,4,1))+SUMIFS('FUNDED DEALS 2027'!$AB$4:$AB$1226,'FUNDED DEALS 2027'!$Z$4:$Z$1226,$A8,'FUNDED DEALS 2027'!$C$4:$C$1226,"&gt;="&amp;DATE(2027,3,1),'FUNDED DEALS 2027'!$C$4:$C$1226,"&lt;"&amp;DATE(2027,4,1)))</f>
        <v>0</v>
      </c>
      <c r="N8" s="48" t="n">
        <f aca="false">IF($A8="","",SUMIFS('FUNDED DEALS'!$V$4:$V$1226,'FUNDED DEALS'!$T$4:$T$1226,$A8,'FUNDED DEALS'!$C$4:$C$1226,"&gt;="&amp;DATE(2027,4,1),'FUNDED DEALS'!$C$4:$C$1226,"&lt;"&amp;DATE(2027,5,1))+SUMIFS('FUNDED DEALS'!$Y$4:$Y$1226,'FUNDED DEALS'!$W$4:$W$1226,$A8,'FUNDED DEALS'!$C$4:$C$1226,"&gt;="&amp;DATE(2027,4,1),'FUNDED DEALS'!$C$4:$C$1226,"&lt;"&amp;DATE(2027,5,1))+SUMIFS('FUNDED DEALS'!$AB$4:$AB$1226,'FUNDED DEALS'!$Z$4:$Z$1226,$A8,'FUNDED DEALS'!$C$4:$C$1226,"&gt;="&amp;DATE(2027,4,1),'FUNDED DEALS'!$C$4:$C$1226,"&lt;"&amp;DATE(2027,5,1))+SUMIFS('FUNDED DEALS 2027'!$V$4:$V$1226,'FUNDED DEALS 2027'!$T$4:$T$1226,$A8,'FUNDED DEALS 2027'!$C$4:$C$1226,"&gt;="&amp;DATE(2027,4,1),'FUNDED DEALS 2027'!$C$4:$C$1226,"&lt;"&amp;DATE(2027,5,1))+SUMIFS('FUNDED DEALS 2027'!$Y$4:$Y$1226,'FUNDED DEALS 2027'!$W$4:$W$1226,$A8,'FUNDED DEALS 2027'!$C$4:$C$1226,"&gt;="&amp;DATE(2027,4,1),'FUNDED DEALS 2027'!$C$4:$C$1226,"&lt;"&amp;DATE(2027,5,1))+SUMIFS('FUNDED DEALS 2027'!$AB$4:$AB$1226,'FUNDED DEALS 2027'!$Z$4:$Z$1226,$A8,'FUNDED DEALS 2027'!$C$4:$C$1226,"&gt;="&amp;DATE(2027,4,1),'FUNDED DEALS 2027'!$C$4:$C$1226,"&lt;"&amp;DATE(2027,5,1)))</f>
        <v>0</v>
      </c>
      <c r="O8" s="48" t="n">
        <f aca="false">IF($A8="","",SUMIFS('FUNDED DEALS'!$V$4:$V$1226,'FUNDED DEALS'!$T$4:$T$1226,$A8,'FUNDED DEALS'!$C$4:$C$1226,"&gt;="&amp;DATE(2027,5,1),'FUNDED DEALS'!$C$4:$C$1226,"&lt;"&amp;DATE(2027,6,1))+SUMIFS('FUNDED DEALS'!$Y$4:$Y$1226,'FUNDED DEALS'!$W$4:$W$1226,$A8,'FUNDED DEALS'!$C$4:$C$1226,"&gt;="&amp;DATE(2027,5,1),'FUNDED DEALS'!$C$4:$C$1226,"&lt;"&amp;DATE(2027,6,1))+SUMIFS('FUNDED DEALS'!$AB$4:$AB$1226,'FUNDED DEALS'!$Z$4:$Z$1226,$A8,'FUNDED DEALS'!$C$4:$C$1226,"&gt;="&amp;DATE(2027,5,1),'FUNDED DEALS'!$C$4:$C$1226,"&lt;"&amp;DATE(2027,6,1))+SUMIFS('FUNDED DEALS 2027'!$V$4:$V$1226,'FUNDED DEALS 2027'!$T$4:$T$1226,$A8,'FUNDED DEALS 2027'!$C$4:$C$1226,"&gt;="&amp;DATE(2027,5,1),'FUNDED DEALS 2027'!$C$4:$C$1226,"&lt;"&amp;DATE(2027,6,1))+SUMIFS('FUNDED DEALS 2027'!$Y$4:$Y$1226,'FUNDED DEALS 2027'!$W$4:$W$1226,$A8,'FUNDED DEALS 2027'!$C$4:$C$1226,"&gt;="&amp;DATE(2027,5,1),'FUNDED DEALS 2027'!$C$4:$C$1226,"&lt;"&amp;DATE(2027,6,1))+SUMIFS('FUNDED DEALS 2027'!$AB$4:$AB$1226,'FUNDED DEALS 2027'!$Z$4:$Z$1226,$A8,'FUNDED DEALS 2027'!$C$4:$C$1226,"&gt;="&amp;DATE(2027,5,1),'FUNDED DEALS 2027'!$C$4:$C$1226,"&lt;"&amp;DATE(2027,6,1)))</f>
        <v>0</v>
      </c>
      <c r="P8" s="48" t="n">
        <f aca="false">IF($A8="","",SUMIFS('FUNDED DEALS'!$V$4:$V$1226,'FUNDED DEALS'!$T$4:$T$1226,$A8,'FUNDED DEALS'!$C$4:$C$1226,"&gt;="&amp;DATE(2027,6,1),'FUNDED DEALS'!$C$4:$C$1226,"&lt;"&amp;DATE(2027,7,1))+SUMIFS('FUNDED DEALS'!$Y$4:$Y$1226,'FUNDED DEALS'!$W$4:$W$1226,$A8,'FUNDED DEALS'!$C$4:$C$1226,"&gt;="&amp;DATE(2027,6,1),'FUNDED DEALS'!$C$4:$C$1226,"&lt;"&amp;DATE(2027,7,1))+SUMIFS('FUNDED DEALS'!$AB$4:$AB$1226,'FUNDED DEALS'!$Z$4:$Z$1226,$A8,'FUNDED DEALS'!$C$4:$C$1226,"&gt;="&amp;DATE(2027,6,1),'FUNDED DEALS'!$C$4:$C$1226,"&lt;"&amp;DATE(2027,7,1))+SUMIFS('FUNDED DEALS 2027'!$V$4:$V$1226,'FUNDED DEALS 2027'!$T$4:$T$1226,$A8,'FUNDED DEALS 2027'!$C$4:$C$1226,"&gt;="&amp;DATE(2027,6,1),'FUNDED DEALS 2027'!$C$4:$C$1226,"&lt;"&amp;DATE(2027,7,1))+SUMIFS('FUNDED DEALS 2027'!$Y$4:$Y$1226,'FUNDED DEALS 2027'!$W$4:$W$1226,$A8,'FUNDED DEALS 2027'!$C$4:$C$1226,"&gt;="&amp;DATE(2027,6,1),'FUNDED DEALS 2027'!$C$4:$C$1226,"&lt;"&amp;DATE(2027,7,1))+SUMIFS('FUNDED DEALS 2027'!$AB$4:$AB$1226,'FUNDED DEALS 2027'!$Z$4:$Z$1226,$A8,'FUNDED DEALS 2027'!$C$4:$C$1226,"&gt;="&amp;DATE(2027,6,1),'FUNDED DEALS 2027'!$C$4:$C$1226,"&lt;"&amp;DATE(2027,7,1)))</f>
        <v>0</v>
      </c>
      <c r="Q8" s="48" t="n">
        <f aca="false">IF($A8="","",SUMIFS('FUNDED DEALS'!$V$4:$V$1226,'FUNDED DEALS'!$T$4:$T$1226,$A8,'FUNDED DEALS'!$C$4:$C$1226,"&gt;="&amp;DATE(2027,7,1),'FUNDED DEALS'!$C$4:$C$1226,"&lt;"&amp;DATE(2027,8,1))+SUMIFS('FUNDED DEALS'!$Y$4:$Y$1226,'FUNDED DEALS'!$W$4:$W$1226,$A8,'FUNDED DEALS'!$C$4:$C$1226,"&gt;="&amp;DATE(2027,7,1),'FUNDED DEALS'!$C$4:$C$1226,"&lt;"&amp;DATE(2027,8,1))+SUMIFS('FUNDED DEALS'!$AB$4:$AB$1226,'FUNDED DEALS'!$Z$4:$Z$1226,$A8,'FUNDED DEALS'!$C$4:$C$1226,"&gt;="&amp;DATE(2027,7,1),'FUNDED DEALS'!$C$4:$C$1226,"&lt;"&amp;DATE(2027,8,1))+SUMIFS('FUNDED DEALS 2027'!$V$4:$V$1226,'FUNDED DEALS 2027'!$T$4:$T$1226,$A8,'FUNDED DEALS 2027'!$C$4:$C$1226,"&gt;="&amp;DATE(2027,7,1),'FUNDED DEALS 2027'!$C$4:$C$1226,"&lt;"&amp;DATE(2027,8,1))+SUMIFS('FUNDED DEALS 2027'!$Y$4:$Y$1226,'FUNDED DEALS 2027'!$W$4:$W$1226,$A8,'FUNDED DEALS 2027'!$C$4:$C$1226,"&gt;="&amp;DATE(2027,7,1),'FUNDED DEALS 2027'!$C$4:$C$1226,"&lt;"&amp;DATE(2027,8,1))+SUMIFS('FUNDED DEALS 2027'!$AB$4:$AB$1226,'FUNDED DEALS 2027'!$Z$4:$Z$1226,$A8,'FUNDED DEALS 2027'!$C$4:$C$1226,"&gt;="&amp;DATE(2027,7,1),'FUNDED DEALS 2027'!$C$4:$C$1226,"&lt;"&amp;DATE(2027,8,1)))</f>
        <v>0</v>
      </c>
      <c r="R8" s="48" t="n">
        <f aca="false">IF($A8="","",SUMIFS('FUNDED DEALS'!$V$4:$V$1226,'FUNDED DEALS'!$T$4:$T$1226,$A8,'FUNDED DEALS'!$C$4:$C$1226,"&gt;="&amp;DATE(2027,8,1),'FUNDED DEALS'!$C$4:$C$1226,"&lt;"&amp;DATE(2027,9,1))+SUMIFS('FUNDED DEALS'!$Y$4:$Y$1226,'FUNDED DEALS'!$W$4:$W$1226,$A8,'FUNDED DEALS'!$C$4:$C$1226,"&gt;="&amp;DATE(2027,8,1),'FUNDED DEALS'!$C$4:$C$1226,"&lt;"&amp;DATE(2027,9,1))+SUMIFS('FUNDED DEALS'!$AB$4:$AB$1226,'FUNDED DEALS'!$Z$4:$Z$1226,$A8,'FUNDED DEALS'!$C$4:$C$1226,"&gt;="&amp;DATE(2027,8,1),'FUNDED DEALS'!$C$4:$C$1226,"&lt;"&amp;DATE(2027,9,1))+SUMIFS('FUNDED DEALS 2027'!$V$4:$V$1226,'FUNDED DEALS 2027'!$T$4:$T$1226,$A8,'FUNDED DEALS 2027'!$C$4:$C$1226,"&gt;="&amp;DATE(2027,8,1),'FUNDED DEALS 2027'!$C$4:$C$1226,"&lt;"&amp;DATE(2027,9,1))+SUMIFS('FUNDED DEALS 2027'!$Y$4:$Y$1226,'FUNDED DEALS 2027'!$W$4:$W$1226,$A8,'FUNDED DEALS 2027'!$C$4:$C$1226,"&gt;="&amp;DATE(2027,8,1),'FUNDED DEALS 2027'!$C$4:$C$1226,"&lt;"&amp;DATE(2027,9,1))+SUMIFS('FUNDED DEALS 2027'!$AB$4:$AB$1226,'FUNDED DEALS 2027'!$Z$4:$Z$1226,$A8,'FUNDED DEALS 2027'!$C$4:$C$1226,"&gt;="&amp;DATE(2027,8,1),'FUNDED DEALS 2027'!$C$4:$C$1226,"&lt;"&amp;DATE(2027,9,1)))</f>
        <v>0</v>
      </c>
      <c r="S8" s="48" t="n">
        <f aca="false">IF($A8="","",SUMIFS('FUNDED DEALS'!$V$4:$V$1226,'FUNDED DEALS'!$T$4:$T$1226,$A8,'FUNDED DEALS'!$C$4:$C$1226,"&gt;="&amp;DATE(2027,9,1),'FUNDED DEALS'!$C$4:$C$1226,"&lt;"&amp;DATE(2027,10,1))+SUMIFS('FUNDED DEALS'!$Y$4:$Y$1226,'FUNDED DEALS'!$W$4:$W$1226,$A8,'FUNDED DEALS'!$C$4:$C$1226,"&gt;="&amp;DATE(2027,9,1),'FUNDED DEALS'!$C$4:$C$1226,"&lt;"&amp;DATE(2027,10,1))+SUMIFS('FUNDED DEALS'!$AB$4:$AB$1226,'FUNDED DEALS'!$Z$4:$Z$1226,$A8,'FUNDED DEALS'!$C$4:$C$1226,"&gt;="&amp;DATE(2027,9,1),'FUNDED DEALS'!$C$4:$C$1226,"&lt;"&amp;DATE(2027,10,1))+SUMIFS('FUNDED DEALS 2027'!$V$4:$V$1226,'FUNDED DEALS 2027'!$T$4:$T$1226,$A8,'FUNDED DEALS 2027'!$C$4:$C$1226,"&gt;="&amp;DATE(2027,9,1),'FUNDED DEALS 2027'!$C$4:$C$1226,"&lt;"&amp;DATE(2027,10,1))+SUMIFS('FUNDED DEALS 2027'!$Y$4:$Y$1226,'FUNDED DEALS 2027'!$W$4:$W$1226,$A8,'FUNDED DEALS 2027'!$C$4:$C$1226,"&gt;="&amp;DATE(2027,9,1),'FUNDED DEALS 2027'!$C$4:$C$1226,"&lt;"&amp;DATE(2027,10,1))+SUMIFS('FUNDED DEALS 2027'!$AB$4:$AB$1226,'FUNDED DEALS 2027'!$Z$4:$Z$1226,$A8,'FUNDED DEALS 2027'!$C$4:$C$1226,"&gt;="&amp;DATE(2027,9,1),'FUNDED DEALS 2027'!$C$4:$C$1226,"&lt;"&amp;DATE(2027,10,1)))</f>
        <v>0</v>
      </c>
      <c r="T8" s="48" t="n">
        <f aca="false">IF($A8="","",SUMIFS('FUNDED DEALS'!$V$4:$V$1226,'FUNDED DEALS'!$T$4:$T$1226,$A8,'FUNDED DEALS'!$C$4:$C$1226,"&gt;="&amp;DATE(2027,10,1),'FUNDED DEALS'!$C$4:$C$1226,"&lt;"&amp;DATE(2027,11,1))+SUMIFS('FUNDED DEALS'!$Y$4:$Y$1226,'FUNDED DEALS'!$W$4:$W$1226,$A8,'FUNDED DEALS'!$C$4:$C$1226,"&gt;="&amp;DATE(2027,10,1),'FUNDED DEALS'!$C$4:$C$1226,"&lt;"&amp;DATE(2027,11,1))+SUMIFS('FUNDED DEALS'!$AB$4:$AB$1226,'FUNDED DEALS'!$Z$4:$Z$1226,$A8,'FUNDED DEALS'!$C$4:$C$1226,"&gt;="&amp;DATE(2027,10,1),'FUNDED DEALS'!$C$4:$C$1226,"&lt;"&amp;DATE(2027,11,1))+SUMIFS('FUNDED DEALS 2027'!$V$4:$V$1226,'FUNDED DEALS 2027'!$T$4:$T$1226,$A8,'FUNDED DEALS 2027'!$C$4:$C$1226,"&gt;="&amp;DATE(2027,10,1),'FUNDED DEALS 2027'!$C$4:$C$1226,"&lt;"&amp;DATE(2027,11,1))+SUMIFS('FUNDED DEALS 2027'!$Y$4:$Y$1226,'FUNDED DEALS 2027'!$W$4:$W$1226,$A8,'FUNDED DEALS 2027'!$C$4:$C$1226,"&gt;="&amp;DATE(2027,10,1),'FUNDED DEALS 2027'!$C$4:$C$1226,"&lt;"&amp;DATE(2027,11,1))+SUMIFS('FUNDED DEALS 2027'!$AB$4:$AB$1226,'FUNDED DEALS 2027'!$Z$4:$Z$1226,$A8,'FUNDED DEALS 2027'!$C$4:$C$1226,"&gt;="&amp;DATE(2027,10,1),'FUNDED DEALS 2027'!$C$4:$C$1226,"&lt;"&amp;DATE(2027,11,1)))</f>
        <v>0</v>
      </c>
      <c r="U8" s="48" t="n">
        <f aca="false">IF($A8="","",SUMIFS('FUNDED DEALS'!$V$4:$V$1226,'FUNDED DEALS'!$T$4:$T$1226,$A8,'FUNDED DEALS'!$C$4:$C$1226,"&gt;="&amp;DATE(2027,11,1),'FUNDED DEALS'!$C$4:$C$1226,"&lt;"&amp;DATE(2027,12,1))+SUMIFS('FUNDED DEALS'!$Y$4:$Y$1226,'FUNDED DEALS'!$W$4:$W$1226,$A8,'FUNDED DEALS'!$C$4:$C$1226,"&gt;="&amp;DATE(2027,11,1),'FUNDED DEALS'!$C$4:$C$1226,"&lt;"&amp;DATE(2027,12,1))+SUMIFS('FUNDED DEALS'!$AB$4:$AB$1226,'FUNDED DEALS'!$Z$4:$Z$1226,$A8,'FUNDED DEALS'!$C$4:$C$1226,"&gt;="&amp;DATE(2027,11,1),'FUNDED DEALS'!$C$4:$C$1226,"&lt;"&amp;DATE(2027,12,1))+SUMIFS('FUNDED DEALS 2027'!$V$4:$V$1226,'FUNDED DEALS 2027'!$T$4:$T$1226,$A8,'FUNDED DEALS 2027'!$C$4:$C$1226,"&gt;="&amp;DATE(2027,11,1),'FUNDED DEALS 2027'!$C$4:$C$1226,"&lt;"&amp;DATE(2027,12,1))+SUMIFS('FUNDED DEALS 2027'!$Y$4:$Y$1226,'FUNDED DEALS 2027'!$W$4:$W$1226,$A8,'FUNDED DEALS 2027'!$C$4:$C$1226,"&gt;="&amp;DATE(2027,11,1),'FUNDED DEALS 2027'!$C$4:$C$1226,"&lt;"&amp;DATE(2027,12,1))+SUMIFS('FUNDED DEALS 2027'!$AB$4:$AB$1226,'FUNDED DEALS 2027'!$Z$4:$Z$1226,$A8,'FUNDED DEALS 2027'!$C$4:$C$1226,"&gt;="&amp;DATE(2027,11,1),'FUNDED DEALS 2027'!$C$4:$C$1226,"&lt;"&amp;DATE(2027,12,1)))</f>
        <v>0</v>
      </c>
      <c r="V8" s="48" t="n">
        <f aca="false">IF($A8="","",SUMIFS('FUNDED DEALS'!$V$4:$V$1226,'FUNDED DEALS'!$T$4:$T$1226,$A8,'FUNDED DEALS'!$C$4:$C$1226,"&gt;="&amp;DATE(2027,12,1),'FUNDED DEALS'!$C$4:$C$1226,"&lt;"&amp;DATE(2028,1,1))+SUMIFS('FUNDED DEALS'!$Y$4:$Y$1226,'FUNDED DEALS'!$W$4:$W$1226,$A8,'FUNDED DEALS'!$C$4:$C$1226,"&gt;="&amp;DATE(2027,12,1),'FUNDED DEALS'!$C$4:$C$1226,"&lt;"&amp;DATE(2028,1,1))+SUMIFS('FUNDED DEALS'!$AB$4:$AB$1226,'FUNDED DEALS'!$Z$4:$Z$1226,$A8,'FUNDED DEALS'!$C$4:$C$1226,"&gt;="&amp;DATE(2027,12,1),'FUNDED DEALS'!$C$4:$C$1226,"&lt;"&amp;DATE(2028,1,1))+SUMIFS('FUNDED DEALS 2027'!$V$4:$V$1226,'FUNDED DEALS 2027'!$T$4:$T$1226,$A8,'FUNDED DEALS 2027'!$C$4:$C$1226,"&gt;="&amp;DATE(2027,12,1),'FUNDED DEALS 2027'!$C$4:$C$1226,"&lt;"&amp;DATE(2028,1,1))+SUMIFS('FUNDED DEALS 2027'!$Y$4:$Y$1226,'FUNDED DEALS 2027'!$W$4:$W$1226,$A8,'FUNDED DEALS 2027'!$C$4:$C$1226,"&gt;="&amp;DATE(2027,12,1),'FUNDED DEALS 2027'!$C$4:$C$1226,"&lt;"&amp;DATE(2028,1,1))+SUMIFS('FUNDED DEALS 2027'!$AB$4:$AB$1226,'FUNDED DEALS 2027'!$Z$4:$Z$1226,$A8,'FUNDED DEALS 2027'!$C$4:$C$1226,"&gt;="&amp;DATE(2027,12,1),'FUNDED DEALS 2027'!$C$4:$C$1226,"&lt;"&amp;DATE(2028,1,1)))</f>
        <v>0</v>
      </c>
      <c r="W8" s="56" t="n">
        <f aca="false">IF($A8="","",SUM(B8:V8))</f>
        <v>0</v>
      </c>
    </row>
    <row r="9" customFormat="false" ht="15" hidden="false" customHeight="false" outlineLevel="0" collapsed="false">
      <c r="A9" s="50" t="str">
        <f aca="false">IF(REPS!A7="","",REPS!A7)</f>
        <v>Gil Dichy</v>
      </c>
      <c r="B9" s="51" t="n">
        <f aca="false">IF($A9="","",SUMIFS('FUNDED DEALS'!$V$4:$V$1226,'FUNDED DEALS'!$T$4:$T$1226,$A9,'FUNDED DEALS'!$C$4:$C$1226,"&gt;="&amp;DATE(2026,4,1),'FUNDED DEALS'!$C$4:$C$1226,"&lt;"&amp;DATE(2026,5,1))+SUMIFS('FUNDED DEALS'!$Y$4:$Y$1226,'FUNDED DEALS'!$W$4:$W$1226,$A9,'FUNDED DEALS'!$C$4:$C$1226,"&gt;="&amp;DATE(2026,4,1),'FUNDED DEALS'!$C$4:$C$1226,"&lt;"&amp;DATE(2026,5,1))+SUMIFS('FUNDED DEALS'!$AB$4:$AB$1226,'FUNDED DEALS'!$Z$4:$Z$1226,$A9,'FUNDED DEALS'!$C$4:$C$1226,"&gt;="&amp;DATE(2026,4,1),'FUNDED DEALS'!$C$4:$C$1226,"&lt;"&amp;DATE(2026,5,1))+SUMIFS('FUNDED DEALS 2027'!$V$4:$V$1226,'FUNDED DEALS 2027'!$T$4:$T$1226,$A9,'FUNDED DEALS 2027'!$C$4:$C$1226,"&gt;="&amp;DATE(2026,4,1),'FUNDED DEALS 2027'!$C$4:$C$1226,"&lt;"&amp;DATE(2026,5,1))+SUMIFS('FUNDED DEALS 2027'!$Y$4:$Y$1226,'FUNDED DEALS 2027'!$W$4:$W$1226,$A9,'FUNDED DEALS 2027'!$C$4:$C$1226,"&gt;="&amp;DATE(2026,4,1),'FUNDED DEALS 2027'!$C$4:$C$1226,"&lt;"&amp;DATE(2026,5,1))+SUMIFS('FUNDED DEALS 2027'!$AB$4:$AB$1226,'FUNDED DEALS 2027'!$Z$4:$Z$1226,$A9,'FUNDED DEALS 2027'!$C$4:$C$1226,"&gt;="&amp;DATE(2026,4,1),'FUNDED DEALS 2027'!$C$4:$C$1226,"&lt;"&amp;DATE(2026,5,1)))</f>
        <v>0</v>
      </c>
      <c r="C9" s="51" t="n">
        <f aca="false">IF($A9="","",SUMIFS('FUNDED DEALS'!$V$4:$V$1226,'FUNDED DEALS'!$T$4:$T$1226,$A9,'FUNDED DEALS'!$C$4:$C$1226,"&gt;="&amp;DATE(2026,5,1),'FUNDED DEALS'!$C$4:$C$1226,"&lt;"&amp;DATE(2026,6,1))+SUMIFS('FUNDED DEALS'!$Y$4:$Y$1226,'FUNDED DEALS'!$W$4:$W$1226,$A9,'FUNDED DEALS'!$C$4:$C$1226,"&gt;="&amp;DATE(2026,5,1),'FUNDED DEALS'!$C$4:$C$1226,"&lt;"&amp;DATE(2026,6,1))+SUMIFS('FUNDED DEALS'!$AB$4:$AB$1226,'FUNDED DEALS'!$Z$4:$Z$1226,$A9,'FUNDED DEALS'!$C$4:$C$1226,"&gt;="&amp;DATE(2026,5,1),'FUNDED DEALS'!$C$4:$C$1226,"&lt;"&amp;DATE(2026,6,1))+SUMIFS('FUNDED DEALS 2027'!$V$4:$V$1226,'FUNDED DEALS 2027'!$T$4:$T$1226,$A9,'FUNDED DEALS 2027'!$C$4:$C$1226,"&gt;="&amp;DATE(2026,5,1),'FUNDED DEALS 2027'!$C$4:$C$1226,"&lt;"&amp;DATE(2026,6,1))+SUMIFS('FUNDED DEALS 2027'!$Y$4:$Y$1226,'FUNDED DEALS 2027'!$W$4:$W$1226,$A9,'FUNDED DEALS 2027'!$C$4:$C$1226,"&gt;="&amp;DATE(2026,5,1),'FUNDED DEALS 2027'!$C$4:$C$1226,"&lt;"&amp;DATE(2026,6,1))+SUMIFS('FUNDED DEALS 2027'!$AB$4:$AB$1226,'FUNDED DEALS 2027'!$Z$4:$Z$1226,$A9,'FUNDED DEALS 2027'!$C$4:$C$1226,"&gt;="&amp;DATE(2026,5,1),'FUNDED DEALS 2027'!$C$4:$C$1226,"&lt;"&amp;DATE(2026,6,1)))</f>
        <v>0</v>
      </c>
      <c r="D9" s="51" t="n">
        <f aca="false">IF($A9="","",SUMIFS('FUNDED DEALS'!$V$4:$V$1226,'FUNDED DEALS'!$T$4:$T$1226,$A9,'FUNDED DEALS'!$C$4:$C$1226,"&gt;="&amp;DATE(2026,6,1),'FUNDED DEALS'!$C$4:$C$1226,"&lt;"&amp;DATE(2026,7,1))+SUMIFS('FUNDED DEALS'!$Y$4:$Y$1226,'FUNDED DEALS'!$W$4:$W$1226,$A9,'FUNDED DEALS'!$C$4:$C$1226,"&gt;="&amp;DATE(2026,6,1),'FUNDED DEALS'!$C$4:$C$1226,"&lt;"&amp;DATE(2026,7,1))+SUMIFS('FUNDED DEALS'!$AB$4:$AB$1226,'FUNDED DEALS'!$Z$4:$Z$1226,$A9,'FUNDED DEALS'!$C$4:$C$1226,"&gt;="&amp;DATE(2026,6,1),'FUNDED DEALS'!$C$4:$C$1226,"&lt;"&amp;DATE(2026,7,1))+SUMIFS('FUNDED DEALS 2027'!$V$4:$V$1226,'FUNDED DEALS 2027'!$T$4:$T$1226,$A9,'FUNDED DEALS 2027'!$C$4:$C$1226,"&gt;="&amp;DATE(2026,6,1),'FUNDED DEALS 2027'!$C$4:$C$1226,"&lt;"&amp;DATE(2026,7,1))+SUMIFS('FUNDED DEALS 2027'!$Y$4:$Y$1226,'FUNDED DEALS 2027'!$W$4:$W$1226,$A9,'FUNDED DEALS 2027'!$C$4:$C$1226,"&gt;="&amp;DATE(2026,6,1),'FUNDED DEALS 2027'!$C$4:$C$1226,"&lt;"&amp;DATE(2026,7,1))+SUMIFS('FUNDED DEALS 2027'!$AB$4:$AB$1226,'FUNDED DEALS 2027'!$Z$4:$Z$1226,$A9,'FUNDED DEALS 2027'!$C$4:$C$1226,"&gt;="&amp;DATE(2026,6,1),'FUNDED DEALS 2027'!$C$4:$C$1226,"&lt;"&amp;DATE(2026,7,1)))</f>
        <v>0</v>
      </c>
      <c r="E9" s="51" t="n">
        <f aca="false">IF($A9="","",SUMIFS('FUNDED DEALS'!$V$4:$V$1226,'FUNDED DEALS'!$T$4:$T$1226,$A9,'FUNDED DEALS'!$C$4:$C$1226,"&gt;="&amp;DATE(2026,7,1),'FUNDED DEALS'!$C$4:$C$1226,"&lt;"&amp;DATE(2026,8,1))+SUMIFS('FUNDED DEALS'!$Y$4:$Y$1226,'FUNDED DEALS'!$W$4:$W$1226,$A9,'FUNDED DEALS'!$C$4:$C$1226,"&gt;="&amp;DATE(2026,7,1),'FUNDED DEALS'!$C$4:$C$1226,"&lt;"&amp;DATE(2026,8,1))+SUMIFS('FUNDED DEALS'!$AB$4:$AB$1226,'FUNDED DEALS'!$Z$4:$Z$1226,$A9,'FUNDED DEALS'!$C$4:$C$1226,"&gt;="&amp;DATE(2026,7,1),'FUNDED DEALS'!$C$4:$C$1226,"&lt;"&amp;DATE(2026,8,1))+SUMIFS('FUNDED DEALS 2027'!$V$4:$V$1226,'FUNDED DEALS 2027'!$T$4:$T$1226,$A9,'FUNDED DEALS 2027'!$C$4:$C$1226,"&gt;="&amp;DATE(2026,7,1),'FUNDED DEALS 2027'!$C$4:$C$1226,"&lt;"&amp;DATE(2026,8,1))+SUMIFS('FUNDED DEALS 2027'!$Y$4:$Y$1226,'FUNDED DEALS 2027'!$W$4:$W$1226,$A9,'FUNDED DEALS 2027'!$C$4:$C$1226,"&gt;="&amp;DATE(2026,7,1),'FUNDED DEALS 2027'!$C$4:$C$1226,"&lt;"&amp;DATE(2026,8,1))+SUMIFS('FUNDED DEALS 2027'!$AB$4:$AB$1226,'FUNDED DEALS 2027'!$Z$4:$Z$1226,$A9,'FUNDED DEALS 2027'!$C$4:$C$1226,"&gt;="&amp;DATE(2026,7,1),'FUNDED DEALS 2027'!$C$4:$C$1226,"&lt;"&amp;DATE(2026,8,1)))</f>
        <v>0</v>
      </c>
      <c r="F9" s="51" t="n">
        <f aca="false">IF($A9="","",SUMIFS('FUNDED DEALS'!$V$4:$V$1226,'FUNDED DEALS'!$T$4:$T$1226,$A9,'FUNDED DEALS'!$C$4:$C$1226,"&gt;="&amp;DATE(2026,8,1),'FUNDED DEALS'!$C$4:$C$1226,"&lt;"&amp;DATE(2026,9,1))+SUMIFS('FUNDED DEALS'!$Y$4:$Y$1226,'FUNDED DEALS'!$W$4:$W$1226,$A9,'FUNDED DEALS'!$C$4:$C$1226,"&gt;="&amp;DATE(2026,8,1),'FUNDED DEALS'!$C$4:$C$1226,"&lt;"&amp;DATE(2026,9,1))+SUMIFS('FUNDED DEALS'!$AB$4:$AB$1226,'FUNDED DEALS'!$Z$4:$Z$1226,$A9,'FUNDED DEALS'!$C$4:$C$1226,"&gt;="&amp;DATE(2026,8,1),'FUNDED DEALS'!$C$4:$C$1226,"&lt;"&amp;DATE(2026,9,1))+SUMIFS('FUNDED DEALS 2027'!$V$4:$V$1226,'FUNDED DEALS 2027'!$T$4:$T$1226,$A9,'FUNDED DEALS 2027'!$C$4:$C$1226,"&gt;="&amp;DATE(2026,8,1),'FUNDED DEALS 2027'!$C$4:$C$1226,"&lt;"&amp;DATE(2026,9,1))+SUMIFS('FUNDED DEALS 2027'!$Y$4:$Y$1226,'FUNDED DEALS 2027'!$W$4:$W$1226,$A9,'FUNDED DEALS 2027'!$C$4:$C$1226,"&gt;="&amp;DATE(2026,8,1),'FUNDED DEALS 2027'!$C$4:$C$1226,"&lt;"&amp;DATE(2026,9,1))+SUMIFS('FUNDED DEALS 2027'!$AB$4:$AB$1226,'FUNDED DEALS 2027'!$Z$4:$Z$1226,$A9,'FUNDED DEALS 2027'!$C$4:$C$1226,"&gt;="&amp;DATE(2026,8,1),'FUNDED DEALS 2027'!$C$4:$C$1226,"&lt;"&amp;DATE(2026,9,1)))</f>
        <v>0</v>
      </c>
      <c r="G9" s="51" t="n">
        <f aca="false">IF($A9="","",SUMIFS('FUNDED DEALS'!$V$4:$V$1226,'FUNDED DEALS'!$T$4:$T$1226,$A9,'FUNDED DEALS'!$C$4:$C$1226,"&gt;="&amp;DATE(2026,9,1),'FUNDED DEALS'!$C$4:$C$1226,"&lt;"&amp;DATE(2026,10,1))+SUMIFS('FUNDED DEALS'!$Y$4:$Y$1226,'FUNDED DEALS'!$W$4:$W$1226,$A9,'FUNDED DEALS'!$C$4:$C$1226,"&gt;="&amp;DATE(2026,9,1),'FUNDED DEALS'!$C$4:$C$1226,"&lt;"&amp;DATE(2026,10,1))+SUMIFS('FUNDED DEALS'!$AB$4:$AB$1226,'FUNDED DEALS'!$Z$4:$Z$1226,$A9,'FUNDED DEALS'!$C$4:$C$1226,"&gt;="&amp;DATE(2026,9,1),'FUNDED DEALS'!$C$4:$C$1226,"&lt;"&amp;DATE(2026,10,1))+SUMIFS('FUNDED DEALS 2027'!$V$4:$V$1226,'FUNDED DEALS 2027'!$T$4:$T$1226,$A9,'FUNDED DEALS 2027'!$C$4:$C$1226,"&gt;="&amp;DATE(2026,9,1),'FUNDED DEALS 2027'!$C$4:$C$1226,"&lt;"&amp;DATE(2026,10,1))+SUMIFS('FUNDED DEALS 2027'!$Y$4:$Y$1226,'FUNDED DEALS 2027'!$W$4:$W$1226,$A9,'FUNDED DEALS 2027'!$C$4:$C$1226,"&gt;="&amp;DATE(2026,9,1),'FUNDED DEALS 2027'!$C$4:$C$1226,"&lt;"&amp;DATE(2026,10,1))+SUMIFS('FUNDED DEALS 2027'!$AB$4:$AB$1226,'FUNDED DEALS 2027'!$Z$4:$Z$1226,$A9,'FUNDED DEALS 2027'!$C$4:$C$1226,"&gt;="&amp;DATE(2026,9,1),'FUNDED DEALS 2027'!$C$4:$C$1226,"&lt;"&amp;DATE(2026,10,1)))</f>
        <v>0</v>
      </c>
      <c r="H9" s="51" t="n">
        <f aca="false">IF($A9="","",SUMIFS('FUNDED DEALS'!$V$4:$V$1226,'FUNDED DEALS'!$T$4:$T$1226,$A9,'FUNDED DEALS'!$C$4:$C$1226,"&gt;="&amp;DATE(2026,10,1),'FUNDED DEALS'!$C$4:$C$1226,"&lt;"&amp;DATE(2026,11,1))+SUMIFS('FUNDED DEALS'!$Y$4:$Y$1226,'FUNDED DEALS'!$W$4:$W$1226,$A9,'FUNDED DEALS'!$C$4:$C$1226,"&gt;="&amp;DATE(2026,10,1),'FUNDED DEALS'!$C$4:$C$1226,"&lt;"&amp;DATE(2026,11,1))+SUMIFS('FUNDED DEALS'!$AB$4:$AB$1226,'FUNDED DEALS'!$Z$4:$Z$1226,$A9,'FUNDED DEALS'!$C$4:$C$1226,"&gt;="&amp;DATE(2026,10,1),'FUNDED DEALS'!$C$4:$C$1226,"&lt;"&amp;DATE(2026,11,1))+SUMIFS('FUNDED DEALS 2027'!$V$4:$V$1226,'FUNDED DEALS 2027'!$T$4:$T$1226,$A9,'FUNDED DEALS 2027'!$C$4:$C$1226,"&gt;="&amp;DATE(2026,10,1),'FUNDED DEALS 2027'!$C$4:$C$1226,"&lt;"&amp;DATE(2026,11,1))+SUMIFS('FUNDED DEALS 2027'!$Y$4:$Y$1226,'FUNDED DEALS 2027'!$W$4:$W$1226,$A9,'FUNDED DEALS 2027'!$C$4:$C$1226,"&gt;="&amp;DATE(2026,10,1),'FUNDED DEALS 2027'!$C$4:$C$1226,"&lt;"&amp;DATE(2026,11,1))+SUMIFS('FUNDED DEALS 2027'!$AB$4:$AB$1226,'FUNDED DEALS 2027'!$Z$4:$Z$1226,$A9,'FUNDED DEALS 2027'!$C$4:$C$1226,"&gt;="&amp;DATE(2026,10,1),'FUNDED DEALS 2027'!$C$4:$C$1226,"&lt;"&amp;DATE(2026,11,1)))</f>
        <v>0</v>
      </c>
      <c r="I9" s="51" t="n">
        <f aca="false">IF($A9="","",SUMIFS('FUNDED DEALS'!$V$4:$V$1226,'FUNDED DEALS'!$T$4:$T$1226,$A9,'FUNDED DEALS'!$C$4:$C$1226,"&gt;="&amp;DATE(2026,11,1),'FUNDED DEALS'!$C$4:$C$1226,"&lt;"&amp;DATE(2026,12,1))+SUMIFS('FUNDED DEALS'!$Y$4:$Y$1226,'FUNDED DEALS'!$W$4:$W$1226,$A9,'FUNDED DEALS'!$C$4:$C$1226,"&gt;="&amp;DATE(2026,11,1),'FUNDED DEALS'!$C$4:$C$1226,"&lt;"&amp;DATE(2026,12,1))+SUMIFS('FUNDED DEALS'!$AB$4:$AB$1226,'FUNDED DEALS'!$Z$4:$Z$1226,$A9,'FUNDED DEALS'!$C$4:$C$1226,"&gt;="&amp;DATE(2026,11,1),'FUNDED DEALS'!$C$4:$C$1226,"&lt;"&amp;DATE(2026,12,1))+SUMIFS('FUNDED DEALS 2027'!$V$4:$V$1226,'FUNDED DEALS 2027'!$T$4:$T$1226,$A9,'FUNDED DEALS 2027'!$C$4:$C$1226,"&gt;="&amp;DATE(2026,11,1),'FUNDED DEALS 2027'!$C$4:$C$1226,"&lt;"&amp;DATE(2026,12,1))+SUMIFS('FUNDED DEALS 2027'!$Y$4:$Y$1226,'FUNDED DEALS 2027'!$W$4:$W$1226,$A9,'FUNDED DEALS 2027'!$C$4:$C$1226,"&gt;="&amp;DATE(2026,11,1),'FUNDED DEALS 2027'!$C$4:$C$1226,"&lt;"&amp;DATE(2026,12,1))+SUMIFS('FUNDED DEALS 2027'!$AB$4:$AB$1226,'FUNDED DEALS 2027'!$Z$4:$Z$1226,$A9,'FUNDED DEALS 2027'!$C$4:$C$1226,"&gt;="&amp;DATE(2026,11,1),'FUNDED DEALS 2027'!$C$4:$C$1226,"&lt;"&amp;DATE(2026,12,1)))</f>
        <v>0</v>
      </c>
      <c r="J9" s="51" t="n">
        <f aca="false">IF($A9="","",SUMIFS('FUNDED DEALS'!$V$4:$V$1226,'FUNDED DEALS'!$T$4:$T$1226,$A9,'FUNDED DEALS'!$C$4:$C$1226,"&gt;="&amp;DATE(2026,12,1),'FUNDED DEALS'!$C$4:$C$1226,"&lt;"&amp;DATE(2027,1,1))+SUMIFS('FUNDED DEALS'!$Y$4:$Y$1226,'FUNDED DEALS'!$W$4:$W$1226,$A9,'FUNDED DEALS'!$C$4:$C$1226,"&gt;="&amp;DATE(2026,12,1),'FUNDED DEALS'!$C$4:$C$1226,"&lt;"&amp;DATE(2027,1,1))+SUMIFS('FUNDED DEALS'!$AB$4:$AB$1226,'FUNDED DEALS'!$Z$4:$Z$1226,$A9,'FUNDED DEALS'!$C$4:$C$1226,"&gt;="&amp;DATE(2026,12,1),'FUNDED DEALS'!$C$4:$C$1226,"&lt;"&amp;DATE(2027,1,1))+SUMIFS('FUNDED DEALS 2027'!$V$4:$V$1226,'FUNDED DEALS 2027'!$T$4:$T$1226,$A9,'FUNDED DEALS 2027'!$C$4:$C$1226,"&gt;="&amp;DATE(2026,12,1),'FUNDED DEALS 2027'!$C$4:$C$1226,"&lt;"&amp;DATE(2027,1,1))+SUMIFS('FUNDED DEALS 2027'!$Y$4:$Y$1226,'FUNDED DEALS 2027'!$W$4:$W$1226,$A9,'FUNDED DEALS 2027'!$C$4:$C$1226,"&gt;="&amp;DATE(2026,12,1),'FUNDED DEALS 2027'!$C$4:$C$1226,"&lt;"&amp;DATE(2027,1,1))+SUMIFS('FUNDED DEALS 2027'!$AB$4:$AB$1226,'FUNDED DEALS 2027'!$Z$4:$Z$1226,$A9,'FUNDED DEALS 2027'!$C$4:$C$1226,"&gt;="&amp;DATE(2026,12,1),'FUNDED DEALS 2027'!$C$4:$C$1226,"&lt;"&amp;DATE(2027,1,1)))</f>
        <v>0</v>
      </c>
      <c r="K9" s="51" t="n">
        <f aca="false">IF($A9="","",SUMIFS('FUNDED DEALS'!$V$4:$V$1226,'FUNDED DEALS'!$T$4:$T$1226,$A9,'FUNDED DEALS'!$C$4:$C$1226,"&gt;="&amp;DATE(2027,1,1),'FUNDED DEALS'!$C$4:$C$1226,"&lt;"&amp;DATE(2027,2,1))+SUMIFS('FUNDED DEALS'!$Y$4:$Y$1226,'FUNDED DEALS'!$W$4:$W$1226,$A9,'FUNDED DEALS'!$C$4:$C$1226,"&gt;="&amp;DATE(2027,1,1),'FUNDED DEALS'!$C$4:$C$1226,"&lt;"&amp;DATE(2027,2,1))+SUMIFS('FUNDED DEALS'!$AB$4:$AB$1226,'FUNDED DEALS'!$Z$4:$Z$1226,$A9,'FUNDED DEALS'!$C$4:$C$1226,"&gt;="&amp;DATE(2027,1,1),'FUNDED DEALS'!$C$4:$C$1226,"&lt;"&amp;DATE(2027,2,1))+SUMIFS('FUNDED DEALS 2027'!$V$4:$V$1226,'FUNDED DEALS 2027'!$T$4:$T$1226,$A9,'FUNDED DEALS 2027'!$C$4:$C$1226,"&gt;="&amp;DATE(2027,1,1),'FUNDED DEALS 2027'!$C$4:$C$1226,"&lt;"&amp;DATE(2027,2,1))+SUMIFS('FUNDED DEALS 2027'!$Y$4:$Y$1226,'FUNDED DEALS 2027'!$W$4:$W$1226,$A9,'FUNDED DEALS 2027'!$C$4:$C$1226,"&gt;="&amp;DATE(2027,1,1),'FUNDED DEALS 2027'!$C$4:$C$1226,"&lt;"&amp;DATE(2027,2,1))+SUMIFS('FUNDED DEALS 2027'!$AB$4:$AB$1226,'FUNDED DEALS 2027'!$Z$4:$Z$1226,$A9,'FUNDED DEALS 2027'!$C$4:$C$1226,"&gt;="&amp;DATE(2027,1,1),'FUNDED DEALS 2027'!$C$4:$C$1226,"&lt;"&amp;DATE(2027,2,1)))</f>
        <v>0</v>
      </c>
      <c r="L9" s="51" t="n">
        <f aca="false">IF($A9="","",SUMIFS('FUNDED DEALS'!$V$4:$V$1226,'FUNDED DEALS'!$T$4:$T$1226,$A9,'FUNDED DEALS'!$C$4:$C$1226,"&gt;="&amp;DATE(2027,2,1),'FUNDED DEALS'!$C$4:$C$1226,"&lt;"&amp;DATE(2027,3,1))+SUMIFS('FUNDED DEALS'!$Y$4:$Y$1226,'FUNDED DEALS'!$W$4:$W$1226,$A9,'FUNDED DEALS'!$C$4:$C$1226,"&gt;="&amp;DATE(2027,2,1),'FUNDED DEALS'!$C$4:$C$1226,"&lt;"&amp;DATE(2027,3,1))+SUMIFS('FUNDED DEALS'!$AB$4:$AB$1226,'FUNDED DEALS'!$Z$4:$Z$1226,$A9,'FUNDED DEALS'!$C$4:$C$1226,"&gt;="&amp;DATE(2027,2,1),'FUNDED DEALS'!$C$4:$C$1226,"&lt;"&amp;DATE(2027,3,1))+SUMIFS('FUNDED DEALS 2027'!$V$4:$V$1226,'FUNDED DEALS 2027'!$T$4:$T$1226,$A9,'FUNDED DEALS 2027'!$C$4:$C$1226,"&gt;="&amp;DATE(2027,2,1),'FUNDED DEALS 2027'!$C$4:$C$1226,"&lt;"&amp;DATE(2027,3,1))+SUMIFS('FUNDED DEALS 2027'!$Y$4:$Y$1226,'FUNDED DEALS 2027'!$W$4:$W$1226,$A9,'FUNDED DEALS 2027'!$C$4:$C$1226,"&gt;="&amp;DATE(2027,2,1),'FUNDED DEALS 2027'!$C$4:$C$1226,"&lt;"&amp;DATE(2027,3,1))+SUMIFS('FUNDED DEALS 2027'!$AB$4:$AB$1226,'FUNDED DEALS 2027'!$Z$4:$Z$1226,$A9,'FUNDED DEALS 2027'!$C$4:$C$1226,"&gt;="&amp;DATE(2027,2,1),'FUNDED DEALS 2027'!$C$4:$C$1226,"&lt;"&amp;DATE(2027,3,1)))</f>
        <v>0</v>
      </c>
      <c r="M9" s="51" t="n">
        <f aca="false">IF($A9="","",SUMIFS('FUNDED DEALS'!$V$4:$V$1226,'FUNDED DEALS'!$T$4:$T$1226,$A9,'FUNDED DEALS'!$C$4:$C$1226,"&gt;="&amp;DATE(2027,3,1),'FUNDED DEALS'!$C$4:$C$1226,"&lt;"&amp;DATE(2027,4,1))+SUMIFS('FUNDED DEALS'!$Y$4:$Y$1226,'FUNDED DEALS'!$W$4:$W$1226,$A9,'FUNDED DEALS'!$C$4:$C$1226,"&gt;="&amp;DATE(2027,3,1),'FUNDED DEALS'!$C$4:$C$1226,"&lt;"&amp;DATE(2027,4,1))+SUMIFS('FUNDED DEALS'!$AB$4:$AB$1226,'FUNDED DEALS'!$Z$4:$Z$1226,$A9,'FUNDED DEALS'!$C$4:$C$1226,"&gt;="&amp;DATE(2027,3,1),'FUNDED DEALS'!$C$4:$C$1226,"&lt;"&amp;DATE(2027,4,1))+SUMIFS('FUNDED DEALS 2027'!$V$4:$V$1226,'FUNDED DEALS 2027'!$T$4:$T$1226,$A9,'FUNDED DEALS 2027'!$C$4:$C$1226,"&gt;="&amp;DATE(2027,3,1),'FUNDED DEALS 2027'!$C$4:$C$1226,"&lt;"&amp;DATE(2027,4,1))+SUMIFS('FUNDED DEALS 2027'!$Y$4:$Y$1226,'FUNDED DEALS 2027'!$W$4:$W$1226,$A9,'FUNDED DEALS 2027'!$C$4:$C$1226,"&gt;="&amp;DATE(2027,3,1),'FUNDED DEALS 2027'!$C$4:$C$1226,"&lt;"&amp;DATE(2027,4,1))+SUMIFS('FUNDED DEALS 2027'!$AB$4:$AB$1226,'FUNDED DEALS 2027'!$Z$4:$Z$1226,$A9,'FUNDED DEALS 2027'!$C$4:$C$1226,"&gt;="&amp;DATE(2027,3,1),'FUNDED DEALS 2027'!$C$4:$C$1226,"&lt;"&amp;DATE(2027,4,1)))</f>
        <v>0</v>
      </c>
      <c r="N9" s="51" t="n">
        <f aca="false">IF($A9="","",SUMIFS('FUNDED DEALS'!$V$4:$V$1226,'FUNDED DEALS'!$T$4:$T$1226,$A9,'FUNDED DEALS'!$C$4:$C$1226,"&gt;="&amp;DATE(2027,4,1),'FUNDED DEALS'!$C$4:$C$1226,"&lt;"&amp;DATE(2027,5,1))+SUMIFS('FUNDED DEALS'!$Y$4:$Y$1226,'FUNDED DEALS'!$W$4:$W$1226,$A9,'FUNDED DEALS'!$C$4:$C$1226,"&gt;="&amp;DATE(2027,4,1),'FUNDED DEALS'!$C$4:$C$1226,"&lt;"&amp;DATE(2027,5,1))+SUMIFS('FUNDED DEALS'!$AB$4:$AB$1226,'FUNDED DEALS'!$Z$4:$Z$1226,$A9,'FUNDED DEALS'!$C$4:$C$1226,"&gt;="&amp;DATE(2027,4,1),'FUNDED DEALS'!$C$4:$C$1226,"&lt;"&amp;DATE(2027,5,1))+SUMIFS('FUNDED DEALS 2027'!$V$4:$V$1226,'FUNDED DEALS 2027'!$T$4:$T$1226,$A9,'FUNDED DEALS 2027'!$C$4:$C$1226,"&gt;="&amp;DATE(2027,4,1),'FUNDED DEALS 2027'!$C$4:$C$1226,"&lt;"&amp;DATE(2027,5,1))+SUMIFS('FUNDED DEALS 2027'!$Y$4:$Y$1226,'FUNDED DEALS 2027'!$W$4:$W$1226,$A9,'FUNDED DEALS 2027'!$C$4:$C$1226,"&gt;="&amp;DATE(2027,4,1),'FUNDED DEALS 2027'!$C$4:$C$1226,"&lt;"&amp;DATE(2027,5,1))+SUMIFS('FUNDED DEALS 2027'!$AB$4:$AB$1226,'FUNDED DEALS 2027'!$Z$4:$Z$1226,$A9,'FUNDED DEALS 2027'!$C$4:$C$1226,"&gt;="&amp;DATE(2027,4,1),'FUNDED DEALS 2027'!$C$4:$C$1226,"&lt;"&amp;DATE(2027,5,1)))</f>
        <v>0</v>
      </c>
      <c r="O9" s="51" t="n">
        <f aca="false">IF($A9="","",SUMIFS('FUNDED DEALS'!$V$4:$V$1226,'FUNDED DEALS'!$T$4:$T$1226,$A9,'FUNDED DEALS'!$C$4:$C$1226,"&gt;="&amp;DATE(2027,5,1),'FUNDED DEALS'!$C$4:$C$1226,"&lt;"&amp;DATE(2027,6,1))+SUMIFS('FUNDED DEALS'!$Y$4:$Y$1226,'FUNDED DEALS'!$W$4:$W$1226,$A9,'FUNDED DEALS'!$C$4:$C$1226,"&gt;="&amp;DATE(2027,5,1),'FUNDED DEALS'!$C$4:$C$1226,"&lt;"&amp;DATE(2027,6,1))+SUMIFS('FUNDED DEALS'!$AB$4:$AB$1226,'FUNDED DEALS'!$Z$4:$Z$1226,$A9,'FUNDED DEALS'!$C$4:$C$1226,"&gt;="&amp;DATE(2027,5,1),'FUNDED DEALS'!$C$4:$C$1226,"&lt;"&amp;DATE(2027,6,1))+SUMIFS('FUNDED DEALS 2027'!$V$4:$V$1226,'FUNDED DEALS 2027'!$T$4:$T$1226,$A9,'FUNDED DEALS 2027'!$C$4:$C$1226,"&gt;="&amp;DATE(2027,5,1),'FUNDED DEALS 2027'!$C$4:$C$1226,"&lt;"&amp;DATE(2027,6,1))+SUMIFS('FUNDED DEALS 2027'!$Y$4:$Y$1226,'FUNDED DEALS 2027'!$W$4:$W$1226,$A9,'FUNDED DEALS 2027'!$C$4:$C$1226,"&gt;="&amp;DATE(2027,5,1),'FUNDED DEALS 2027'!$C$4:$C$1226,"&lt;"&amp;DATE(2027,6,1))+SUMIFS('FUNDED DEALS 2027'!$AB$4:$AB$1226,'FUNDED DEALS 2027'!$Z$4:$Z$1226,$A9,'FUNDED DEALS 2027'!$C$4:$C$1226,"&gt;="&amp;DATE(2027,5,1),'FUNDED DEALS 2027'!$C$4:$C$1226,"&lt;"&amp;DATE(2027,6,1)))</f>
        <v>0</v>
      </c>
      <c r="P9" s="51" t="n">
        <f aca="false">IF($A9="","",SUMIFS('FUNDED DEALS'!$V$4:$V$1226,'FUNDED DEALS'!$T$4:$T$1226,$A9,'FUNDED DEALS'!$C$4:$C$1226,"&gt;="&amp;DATE(2027,6,1),'FUNDED DEALS'!$C$4:$C$1226,"&lt;"&amp;DATE(2027,7,1))+SUMIFS('FUNDED DEALS'!$Y$4:$Y$1226,'FUNDED DEALS'!$W$4:$W$1226,$A9,'FUNDED DEALS'!$C$4:$C$1226,"&gt;="&amp;DATE(2027,6,1),'FUNDED DEALS'!$C$4:$C$1226,"&lt;"&amp;DATE(2027,7,1))+SUMIFS('FUNDED DEALS'!$AB$4:$AB$1226,'FUNDED DEALS'!$Z$4:$Z$1226,$A9,'FUNDED DEALS'!$C$4:$C$1226,"&gt;="&amp;DATE(2027,6,1),'FUNDED DEALS'!$C$4:$C$1226,"&lt;"&amp;DATE(2027,7,1))+SUMIFS('FUNDED DEALS 2027'!$V$4:$V$1226,'FUNDED DEALS 2027'!$T$4:$T$1226,$A9,'FUNDED DEALS 2027'!$C$4:$C$1226,"&gt;="&amp;DATE(2027,6,1),'FUNDED DEALS 2027'!$C$4:$C$1226,"&lt;"&amp;DATE(2027,7,1))+SUMIFS('FUNDED DEALS 2027'!$Y$4:$Y$1226,'FUNDED DEALS 2027'!$W$4:$W$1226,$A9,'FUNDED DEALS 2027'!$C$4:$C$1226,"&gt;="&amp;DATE(2027,6,1),'FUNDED DEALS 2027'!$C$4:$C$1226,"&lt;"&amp;DATE(2027,7,1))+SUMIFS('FUNDED DEALS 2027'!$AB$4:$AB$1226,'FUNDED DEALS 2027'!$Z$4:$Z$1226,$A9,'FUNDED DEALS 2027'!$C$4:$C$1226,"&gt;="&amp;DATE(2027,6,1),'FUNDED DEALS 2027'!$C$4:$C$1226,"&lt;"&amp;DATE(2027,7,1)))</f>
        <v>0</v>
      </c>
      <c r="Q9" s="51" t="n">
        <f aca="false">IF($A9="","",SUMIFS('FUNDED DEALS'!$V$4:$V$1226,'FUNDED DEALS'!$T$4:$T$1226,$A9,'FUNDED DEALS'!$C$4:$C$1226,"&gt;="&amp;DATE(2027,7,1),'FUNDED DEALS'!$C$4:$C$1226,"&lt;"&amp;DATE(2027,8,1))+SUMIFS('FUNDED DEALS'!$Y$4:$Y$1226,'FUNDED DEALS'!$W$4:$W$1226,$A9,'FUNDED DEALS'!$C$4:$C$1226,"&gt;="&amp;DATE(2027,7,1),'FUNDED DEALS'!$C$4:$C$1226,"&lt;"&amp;DATE(2027,8,1))+SUMIFS('FUNDED DEALS'!$AB$4:$AB$1226,'FUNDED DEALS'!$Z$4:$Z$1226,$A9,'FUNDED DEALS'!$C$4:$C$1226,"&gt;="&amp;DATE(2027,7,1),'FUNDED DEALS'!$C$4:$C$1226,"&lt;"&amp;DATE(2027,8,1))+SUMIFS('FUNDED DEALS 2027'!$V$4:$V$1226,'FUNDED DEALS 2027'!$T$4:$T$1226,$A9,'FUNDED DEALS 2027'!$C$4:$C$1226,"&gt;="&amp;DATE(2027,7,1),'FUNDED DEALS 2027'!$C$4:$C$1226,"&lt;"&amp;DATE(2027,8,1))+SUMIFS('FUNDED DEALS 2027'!$Y$4:$Y$1226,'FUNDED DEALS 2027'!$W$4:$W$1226,$A9,'FUNDED DEALS 2027'!$C$4:$C$1226,"&gt;="&amp;DATE(2027,7,1),'FUNDED DEALS 2027'!$C$4:$C$1226,"&lt;"&amp;DATE(2027,8,1))+SUMIFS('FUNDED DEALS 2027'!$AB$4:$AB$1226,'FUNDED DEALS 2027'!$Z$4:$Z$1226,$A9,'FUNDED DEALS 2027'!$C$4:$C$1226,"&gt;="&amp;DATE(2027,7,1),'FUNDED DEALS 2027'!$C$4:$C$1226,"&lt;"&amp;DATE(2027,8,1)))</f>
        <v>0</v>
      </c>
      <c r="R9" s="51" t="n">
        <f aca="false">IF($A9="","",SUMIFS('FUNDED DEALS'!$V$4:$V$1226,'FUNDED DEALS'!$T$4:$T$1226,$A9,'FUNDED DEALS'!$C$4:$C$1226,"&gt;="&amp;DATE(2027,8,1),'FUNDED DEALS'!$C$4:$C$1226,"&lt;"&amp;DATE(2027,9,1))+SUMIFS('FUNDED DEALS'!$Y$4:$Y$1226,'FUNDED DEALS'!$W$4:$W$1226,$A9,'FUNDED DEALS'!$C$4:$C$1226,"&gt;="&amp;DATE(2027,8,1),'FUNDED DEALS'!$C$4:$C$1226,"&lt;"&amp;DATE(2027,9,1))+SUMIFS('FUNDED DEALS'!$AB$4:$AB$1226,'FUNDED DEALS'!$Z$4:$Z$1226,$A9,'FUNDED DEALS'!$C$4:$C$1226,"&gt;="&amp;DATE(2027,8,1),'FUNDED DEALS'!$C$4:$C$1226,"&lt;"&amp;DATE(2027,9,1))+SUMIFS('FUNDED DEALS 2027'!$V$4:$V$1226,'FUNDED DEALS 2027'!$T$4:$T$1226,$A9,'FUNDED DEALS 2027'!$C$4:$C$1226,"&gt;="&amp;DATE(2027,8,1),'FUNDED DEALS 2027'!$C$4:$C$1226,"&lt;"&amp;DATE(2027,9,1))+SUMIFS('FUNDED DEALS 2027'!$Y$4:$Y$1226,'FUNDED DEALS 2027'!$W$4:$W$1226,$A9,'FUNDED DEALS 2027'!$C$4:$C$1226,"&gt;="&amp;DATE(2027,8,1),'FUNDED DEALS 2027'!$C$4:$C$1226,"&lt;"&amp;DATE(2027,9,1))+SUMIFS('FUNDED DEALS 2027'!$AB$4:$AB$1226,'FUNDED DEALS 2027'!$Z$4:$Z$1226,$A9,'FUNDED DEALS 2027'!$C$4:$C$1226,"&gt;="&amp;DATE(2027,8,1),'FUNDED DEALS 2027'!$C$4:$C$1226,"&lt;"&amp;DATE(2027,9,1)))</f>
        <v>0</v>
      </c>
      <c r="S9" s="51" t="n">
        <f aca="false">IF($A9="","",SUMIFS('FUNDED DEALS'!$V$4:$V$1226,'FUNDED DEALS'!$T$4:$T$1226,$A9,'FUNDED DEALS'!$C$4:$C$1226,"&gt;="&amp;DATE(2027,9,1),'FUNDED DEALS'!$C$4:$C$1226,"&lt;"&amp;DATE(2027,10,1))+SUMIFS('FUNDED DEALS'!$Y$4:$Y$1226,'FUNDED DEALS'!$W$4:$W$1226,$A9,'FUNDED DEALS'!$C$4:$C$1226,"&gt;="&amp;DATE(2027,9,1),'FUNDED DEALS'!$C$4:$C$1226,"&lt;"&amp;DATE(2027,10,1))+SUMIFS('FUNDED DEALS'!$AB$4:$AB$1226,'FUNDED DEALS'!$Z$4:$Z$1226,$A9,'FUNDED DEALS'!$C$4:$C$1226,"&gt;="&amp;DATE(2027,9,1),'FUNDED DEALS'!$C$4:$C$1226,"&lt;"&amp;DATE(2027,10,1))+SUMIFS('FUNDED DEALS 2027'!$V$4:$V$1226,'FUNDED DEALS 2027'!$T$4:$T$1226,$A9,'FUNDED DEALS 2027'!$C$4:$C$1226,"&gt;="&amp;DATE(2027,9,1),'FUNDED DEALS 2027'!$C$4:$C$1226,"&lt;"&amp;DATE(2027,10,1))+SUMIFS('FUNDED DEALS 2027'!$Y$4:$Y$1226,'FUNDED DEALS 2027'!$W$4:$W$1226,$A9,'FUNDED DEALS 2027'!$C$4:$C$1226,"&gt;="&amp;DATE(2027,9,1),'FUNDED DEALS 2027'!$C$4:$C$1226,"&lt;"&amp;DATE(2027,10,1))+SUMIFS('FUNDED DEALS 2027'!$AB$4:$AB$1226,'FUNDED DEALS 2027'!$Z$4:$Z$1226,$A9,'FUNDED DEALS 2027'!$C$4:$C$1226,"&gt;="&amp;DATE(2027,9,1),'FUNDED DEALS 2027'!$C$4:$C$1226,"&lt;"&amp;DATE(2027,10,1)))</f>
        <v>0</v>
      </c>
      <c r="T9" s="51" t="n">
        <f aca="false">IF($A9="","",SUMIFS('FUNDED DEALS'!$V$4:$V$1226,'FUNDED DEALS'!$T$4:$T$1226,$A9,'FUNDED DEALS'!$C$4:$C$1226,"&gt;="&amp;DATE(2027,10,1),'FUNDED DEALS'!$C$4:$C$1226,"&lt;"&amp;DATE(2027,11,1))+SUMIFS('FUNDED DEALS'!$Y$4:$Y$1226,'FUNDED DEALS'!$W$4:$W$1226,$A9,'FUNDED DEALS'!$C$4:$C$1226,"&gt;="&amp;DATE(2027,10,1),'FUNDED DEALS'!$C$4:$C$1226,"&lt;"&amp;DATE(2027,11,1))+SUMIFS('FUNDED DEALS'!$AB$4:$AB$1226,'FUNDED DEALS'!$Z$4:$Z$1226,$A9,'FUNDED DEALS'!$C$4:$C$1226,"&gt;="&amp;DATE(2027,10,1),'FUNDED DEALS'!$C$4:$C$1226,"&lt;"&amp;DATE(2027,11,1))+SUMIFS('FUNDED DEALS 2027'!$V$4:$V$1226,'FUNDED DEALS 2027'!$T$4:$T$1226,$A9,'FUNDED DEALS 2027'!$C$4:$C$1226,"&gt;="&amp;DATE(2027,10,1),'FUNDED DEALS 2027'!$C$4:$C$1226,"&lt;"&amp;DATE(2027,11,1))+SUMIFS('FUNDED DEALS 2027'!$Y$4:$Y$1226,'FUNDED DEALS 2027'!$W$4:$W$1226,$A9,'FUNDED DEALS 2027'!$C$4:$C$1226,"&gt;="&amp;DATE(2027,10,1),'FUNDED DEALS 2027'!$C$4:$C$1226,"&lt;"&amp;DATE(2027,11,1))+SUMIFS('FUNDED DEALS 2027'!$AB$4:$AB$1226,'FUNDED DEALS 2027'!$Z$4:$Z$1226,$A9,'FUNDED DEALS 2027'!$C$4:$C$1226,"&gt;="&amp;DATE(2027,10,1),'FUNDED DEALS 2027'!$C$4:$C$1226,"&lt;"&amp;DATE(2027,11,1)))</f>
        <v>0</v>
      </c>
      <c r="U9" s="51" t="n">
        <f aca="false">IF($A9="","",SUMIFS('FUNDED DEALS'!$V$4:$V$1226,'FUNDED DEALS'!$T$4:$T$1226,$A9,'FUNDED DEALS'!$C$4:$C$1226,"&gt;="&amp;DATE(2027,11,1),'FUNDED DEALS'!$C$4:$C$1226,"&lt;"&amp;DATE(2027,12,1))+SUMIFS('FUNDED DEALS'!$Y$4:$Y$1226,'FUNDED DEALS'!$W$4:$W$1226,$A9,'FUNDED DEALS'!$C$4:$C$1226,"&gt;="&amp;DATE(2027,11,1),'FUNDED DEALS'!$C$4:$C$1226,"&lt;"&amp;DATE(2027,12,1))+SUMIFS('FUNDED DEALS'!$AB$4:$AB$1226,'FUNDED DEALS'!$Z$4:$Z$1226,$A9,'FUNDED DEALS'!$C$4:$C$1226,"&gt;="&amp;DATE(2027,11,1),'FUNDED DEALS'!$C$4:$C$1226,"&lt;"&amp;DATE(2027,12,1))+SUMIFS('FUNDED DEALS 2027'!$V$4:$V$1226,'FUNDED DEALS 2027'!$T$4:$T$1226,$A9,'FUNDED DEALS 2027'!$C$4:$C$1226,"&gt;="&amp;DATE(2027,11,1),'FUNDED DEALS 2027'!$C$4:$C$1226,"&lt;"&amp;DATE(2027,12,1))+SUMIFS('FUNDED DEALS 2027'!$Y$4:$Y$1226,'FUNDED DEALS 2027'!$W$4:$W$1226,$A9,'FUNDED DEALS 2027'!$C$4:$C$1226,"&gt;="&amp;DATE(2027,11,1),'FUNDED DEALS 2027'!$C$4:$C$1226,"&lt;"&amp;DATE(2027,12,1))+SUMIFS('FUNDED DEALS 2027'!$AB$4:$AB$1226,'FUNDED DEALS 2027'!$Z$4:$Z$1226,$A9,'FUNDED DEALS 2027'!$C$4:$C$1226,"&gt;="&amp;DATE(2027,11,1),'FUNDED DEALS 2027'!$C$4:$C$1226,"&lt;"&amp;DATE(2027,12,1)))</f>
        <v>0</v>
      </c>
      <c r="V9" s="51" t="n">
        <f aca="false">IF($A9="","",SUMIFS('FUNDED DEALS'!$V$4:$V$1226,'FUNDED DEALS'!$T$4:$T$1226,$A9,'FUNDED DEALS'!$C$4:$C$1226,"&gt;="&amp;DATE(2027,12,1),'FUNDED DEALS'!$C$4:$C$1226,"&lt;"&amp;DATE(2028,1,1))+SUMIFS('FUNDED DEALS'!$Y$4:$Y$1226,'FUNDED DEALS'!$W$4:$W$1226,$A9,'FUNDED DEALS'!$C$4:$C$1226,"&gt;="&amp;DATE(2027,12,1),'FUNDED DEALS'!$C$4:$C$1226,"&lt;"&amp;DATE(2028,1,1))+SUMIFS('FUNDED DEALS'!$AB$4:$AB$1226,'FUNDED DEALS'!$Z$4:$Z$1226,$A9,'FUNDED DEALS'!$C$4:$C$1226,"&gt;="&amp;DATE(2027,12,1),'FUNDED DEALS'!$C$4:$C$1226,"&lt;"&amp;DATE(2028,1,1))+SUMIFS('FUNDED DEALS 2027'!$V$4:$V$1226,'FUNDED DEALS 2027'!$T$4:$T$1226,$A9,'FUNDED DEALS 2027'!$C$4:$C$1226,"&gt;="&amp;DATE(2027,12,1),'FUNDED DEALS 2027'!$C$4:$C$1226,"&lt;"&amp;DATE(2028,1,1))+SUMIFS('FUNDED DEALS 2027'!$Y$4:$Y$1226,'FUNDED DEALS 2027'!$W$4:$W$1226,$A9,'FUNDED DEALS 2027'!$C$4:$C$1226,"&gt;="&amp;DATE(2027,12,1),'FUNDED DEALS 2027'!$C$4:$C$1226,"&lt;"&amp;DATE(2028,1,1))+SUMIFS('FUNDED DEALS 2027'!$AB$4:$AB$1226,'FUNDED DEALS 2027'!$Z$4:$Z$1226,$A9,'FUNDED DEALS 2027'!$C$4:$C$1226,"&gt;="&amp;DATE(2027,12,1),'FUNDED DEALS 2027'!$C$4:$C$1226,"&lt;"&amp;DATE(2028,1,1)))</f>
        <v>0</v>
      </c>
      <c r="W9" s="58" t="n">
        <f aca="false">IF($A9="","",SUM(B9:V9))</f>
        <v>0</v>
      </c>
    </row>
    <row r="10" customFormat="false" ht="15" hidden="false" customHeight="false" outlineLevel="0" collapsed="false">
      <c r="A10" s="47" t="str">
        <f aca="false">IF(REPS!A8="","",REPS!A8)</f>
        <v>Julian Ribak</v>
      </c>
      <c r="B10" s="48" t="n">
        <f aca="false">IF($A10="","",SUMIFS('FUNDED DEALS'!$V$4:$V$1226,'FUNDED DEALS'!$T$4:$T$1226,$A10,'FUNDED DEALS'!$C$4:$C$1226,"&gt;="&amp;DATE(2026,4,1),'FUNDED DEALS'!$C$4:$C$1226,"&lt;"&amp;DATE(2026,5,1))+SUMIFS('FUNDED DEALS'!$Y$4:$Y$1226,'FUNDED DEALS'!$W$4:$W$1226,$A10,'FUNDED DEALS'!$C$4:$C$1226,"&gt;="&amp;DATE(2026,4,1),'FUNDED DEALS'!$C$4:$C$1226,"&lt;"&amp;DATE(2026,5,1))+SUMIFS('FUNDED DEALS'!$AB$4:$AB$1226,'FUNDED DEALS'!$Z$4:$Z$1226,$A10,'FUNDED DEALS'!$C$4:$C$1226,"&gt;="&amp;DATE(2026,4,1),'FUNDED DEALS'!$C$4:$C$1226,"&lt;"&amp;DATE(2026,5,1))+SUMIFS('FUNDED DEALS 2027'!$V$4:$V$1226,'FUNDED DEALS 2027'!$T$4:$T$1226,$A10,'FUNDED DEALS 2027'!$C$4:$C$1226,"&gt;="&amp;DATE(2026,4,1),'FUNDED DEALS 2027'!$C$4:$C$1226,"&lt;"&amp;DATE(2026,5,1))+SUMIFS('FUNDED DEALS 2027'!$Y$4:$Y$1226,'FUNDED DEALS 2027'!$W$4:$W$1226,$A10,'FUNDED DEALS 2027'!$C$4:$C$1226,"&gt;="&amp;DATE(2026,4,1),'FUNDED DEALS 2027'!$C$4:$C$1226,"&lt;"&amp;DATE(2026,5,1))+SUMIFS('FUNDED DEALS 2027'!$AB$4:$AB$1226,'FUNDED DEALS 2027'!$Z$4:$Z$1226,$A10,'FUNDED DEALS 2027'!$C$4:$C$1226,"&gt;="&amp;DATE(2026,4,1),'FUNDED DEALS 2027'!$C$4:$C$1226,"&lt;"&amp;DATE(2026,5,1)))</f>
        <v>0</v>
      </c>
      <c r="C10" s="48" t="n">
        <f aca="false">IF($A10="","",SUMIFS('FUNDED DEALS'!$V$4:$V$1226,'FUNDED DEALS'!$T$4:$T$1226,$A10,'FUNDED DEALS'!$C$4:$C$1226,"&gt;="&amp;DATE(2026,5,1),'FUNDED DEALS'!$C$4:$C$1226,"&lt;"&amp;DATE(2026,6,1))+SUMIFS('FUNDED DEALS'!$Y$4:$Y$1226,'FUNDED DEALS'!$W$4:$W$1226,$A10,'FUNDED DEALS'!$C$4:$C$1226,"&gt;="&amp;DATE(2026,5,1),'FUNDED DEALS'!$C$4:$C$1226,"&lt;"&amp;DATE(2026,6,1))+SUMIFS('FUNDED DEALS'!$AB$4:$AB$1226,'FUNDED DEALS'!$Z$4:$Z$1226,$A10,'FUNDED DEALS'!$C$4:$C$1226,"&gt;="&amp;DATE(2026,5,1),'FUNDED DEALS'!$C$4:$C$1226,"&lt;"&amp;DATE(2026,6,1))+SUMIFS('FUNDED DEALS 2027'!$V$4:$V$1226,'FUNDED DEALS 2027'!$T$4:$T$1226,$A10,'FUNDED DEALS 2027'!$C$4:$C$1226,"&gt;="&amp;DATE(2026,5,1),'FUNDED DEALS 2027'!$C$4:$C$1226,"&lt;"&amp;DATE(2026,6,1))+SUMIFS('FUNDED DEALS 2027'!$Y$4:$Y$1226,'FUNDED DEALS 2027'!$W$4:$W$1226,$A10,'FUNDED DEALS 2027'!$C$4:$C$1226,"&gt;="&amp;DATE(2026,5,1),'FUNDED DEALS 2027'!$C$4:$C$1226,"&lt;"&amp;DATE(2026,6,1))+SUMIFS('FUNDED DEALS 2027'!$AB$4:$AB$1226,'FUNDED DEALS 2027'!$Z$4:$Z$1226,$A10,'FUNDED DEALS 2027'!$C$4:$C$1226,"&gt;="&amp;DATE(2026,5,1),'FUNDED DEALS 2027'!$C$4:$C$1226,"&lt;"&amp;DATE(2026,6,1)))</f>
        <v>0</v>
      </c>
      <c r="D10" s="48" t="n">
        <f aca="false">IF($A10="","",SUMIFS('FUNDED DEALS'!$V$4:$V$1226,'FUNDED DEALS'!$T$4:$T$1226,$A10,'FUNDED DEALS'!$C$4:$C$1226,"&gt;="&amp;DATE(2026,6,1),'FUNDED DEALS'!$C$4:$C$1226,"&lt;"&amp;DATE(2026,7,1))+SUMIFS('FUNDED DEALS'!$Y$4:$Y$1226,'FUNDED DEALS'!$W$4:$W$1226,$A10,'FUNDED DEALS'!$C$4:$C$1226,"&gt;="&amp;DATE(2026,6,1),'FUNDED DEALS'!$C$4:$C$1226,"&lt;"&amp;DATE(2026,7,1))+SUMIFS('FUNDED DEALS'!$AB$4:$AB$1226,'FUNDED DEALS'!$Z$4:$Z$1226,$A10,'FUNDED DEALS'!$C$4:$C$1226,"&gt;="&amp;DATE(2026,6,1),'FUNDED DEALS'!$C$4:$C$1226,"&lt;"&amp;DATE(2026,7,1))+SUMIFS('FUNDED DEALS 2027'!$V$4:$V$1226,'FUNDED DEALS 2027'!$T$4:$T$1226,$A10,'FUNDED DEALS 2027'!$C$4:$C$1226,"&gt;="&amp;DATE(2026,6,1),'FUNDED DEALS 2027'!$C$4:$C$1226,"&lt;"&amp;DATE(2026,7,1))+SUMIFS('FUNDED DEALS 2027'!$Y$4:$Y$1226,'FUNDED DEALS 2027'!$W$4:$W$1226,$A10,'FUNDED DEALS 2027'!$C$4:$C$1226,"&gt;="&amp;DATE(2026,6,1),'FUNDED DEALS 2027'!$C$4:$C$1226,"&lt;"&amp;DATE(2026,7,1))+SUMIFS('FUNDED DEALS 2027'!$AB$4:$AB$1226,'FUNDED DEALS 2027'!$Z$4:$Z$1226,$A10,'FUNDED DEALS 2027'!$C$4:$C$1226,"&gt;="&amp;DATE(2026,6,1),'FUNDED DEALS 2027'!$C$4:$C$1226,"&lt;"&amp;DATE(2026,7,1)))</f>
        <v>0</v>
      </c>
      <c r="E10" s="48" t="n">
        <f aca="false">IF($A10="","",SUMIFS('FUNDED DEALS'!$V$4:$V$1226,'FUNDED DEALS'!$T$4:$T$1226,$A10,'FUNDED DEALS'!$C$4:$C$1226,"&gt;="&amp;DATE(2026,7,1),'FUNDED DEALS'!$C$4:$C$1226,"&lt;"&amp;DATE(2026,8,1))+SUMIFS('FUNDED DEALS'!$Y$4:$Y$1226,'FUNDED DEALS'!$W$4:$W$1226,$A10,'FUNDED DEALS'!$C$4:$C$1226,"&gt;="&amp;DATE(2026,7,1),'FUNDED DEALS'!$C$4:$C$1226,"&lt;"&amp;DATE(2026,8,1))+SUMIFS('FUNDED DEALS'!$AB$4:$AB$1226,'FUNDED DEALS'!$Z$4:$Z$1226,$A10,'FUNDED DEALS'!$C$4:$C$1226,"&gt;="&amp;DATE(2026,7,1),'FUNDED DEALS'!$C$4:$C$1226,"&lt;"&amp;DATE(2026,8,1))+SUMIFS('FUNDED DEALS 2027'!$V$4:$V$1226,'FUNDED DEALS 2027'!$T$4:$T$1226,$A10,'FUNDED DEALS 2027'!$C$4:$C$1226,"&gt;="&amp;DATE(2026,7,1),'FUNDED DEALS 2027'!$C$4:$C$1226,"&lt;"&amp;DATE(2026,8,1))+SUMIFS('FUNDED DEALS 2027'!$Y$4:$Y$1226,'FUNDED DEALS 2027'!$W$4:$W$1226,$A10,'FUNDED DEALS 2027'!$C$4:$C$1226,"&gt;="&amp;DATE(2026,7,1),'FUNDED DEALS 2027'!$C$4:$C$1226,"&lt;"&amp;DATE(2026,8,1))+SUMIFS('FUNDED DEALS 2027'!$AB$4:$AB$1226,'FUNDED DEALS 2027'!$Z$4:$Z$1226,$A10,'FUNDED DEALS 2027'!$C$4:$C$1226,"&gt;="&amp;DATE(2026,7,1),'FUNDED DEALS 2027'!$C$4:$C$1226,"&lt;"&amp;DATE(2026,8,1)))</f>
        <v>0</v>
      </c>
      <c r="F10" s="48" t="n">
        <f aca="false">IF($A10="","",SUMIFS('FUNDED DEALS'!$V$4:$V$1226,'FUNDED DEALS'!$T$4:$T$1226,$A10,'FUNDED DEALS'!$C$4:$C$1226,"&gt;="&amp;DATE(2026,8,1),'FUNDED DEALS'!$C$4:$C$1226,"&lt;"&amp;DATE(2026,9,1))+SUMIFS('FUNDED DEALS'!$Y$4:$Y$1226,'FUNDED DEALS'!$W$4:$W$1226,$A10,'FUNDED DEALS'!$C$4:$C$1226,"&gt;="&amp;DATE(2026,8,1),'FUNDED DEALS'!$C$4:$C$1226,"&lt;"&amp;DATE(2026,9,1))+SUMIFS('FUNDED DEALS'!$AB$4:$AB$1226,'FUNDED DEALS'!$Z$4:$Z$1226,$A10,'FUNDED DEALS'!$C$4:$C$1226,"&gt;="&amp;DATE(2026,8,1),'FUNDED DEALS'!$C$4:$C$1226,"&lt;"&amp;DATE(2026,9,1))+SUMIFS('FUNDED DEALS 2027'!$V$4:$V$1226,'FUNDED DEALS 2027'!$T$4:$T$1226,$A10,'FUNDED DEALS 2027'!$C$4:$C$1226,"&gt;="&amp;DATE(2026,8,1),'FUNDED DEALS 2027'!$C$4:$C$1226,"&lt;"&amp;DATE(2026,9,1))+SUMIFS('FUNDED DEALS 2027'!$Y$4:$Y$1226,'FUNDED DEALS 2027'!$W$4:$W$1226,$A10,'FUNDED DEALS 2027'!$C$4:$C$1226,"&gt;="&amp;DATE(2026,8,1),'FUNDED DEALS 2027'!$C$4:$C$1226,"&lt;"&amp;DATE(2026,9,1))+SUMIFS('FUNDED DEALS 2027'!$AB$4:$AB$1226,'FUNDED DEALS 2027'!$Z$4:$Z$1226,$A10,'FUNDED DEALS 2027'!$C$4:$C$1226,"&gt;="&amp;DATE(2026,8,1),'FUNDED DEALS 2027'!$C$4:$C$1226,"&lt;"&amp;DATE(2026,9,1)))</f>
        <v>0</v>
      </c>
      <c r="G10" s="48" t="n">
        <f aca="false">IF($A10="","",SUMIFS('FUNDED DEALS'!$V$4:$V$1226,'FUNDED DEALS'!$T$4:$T$1226,$A10,'FUNDED DEALS'!$C$4:$C$1226,"&gt;="&amp;DATE(2026,9,1),'FUNDED DEALS'!$C$4:$C$1226,"&lt;"&amp;DATE(2026,10,1))+SUMIFS('FUNDED DEALS'!$Y$4:$Y$1226,'FUNDED DEALS'!$W$4:$W$1226,$A10,'FUNDED DEALS'!$C$4:$C$1226,"&gt;="&amp;DATE(2026,9,1),'FUNDED DEALS'!$C$4:$C$1226,"&lt;"&amp;DATE(2026,10,1))+SUMIFS('FUNDED DEALS'!$AB$4:$AB$1226,'FUNDED DEALS'!$Z$4:$Z$1226,$A10,'FUNDED DEALS'!$C$4:$C$1226,"&gt;="&amp;DATE(2026,9,1),'FUNDED DEALS'!$C$4:$C$1226,"&lt;"&amp;DATE(2026,10,1))+SUMIFS('FUNDED DEALS 2027'!$V$4:$V$1226,'FUNDED DEALS 2027'!$T$4:$T$1226,$A10,'FUNDED DEALS 2027'!$C$4:$C$1226,"&gt;="&amp;DATE(2026,9,1),'FUNDED DEALS 2027'!$C$4:$C$1226,"&lt;"&amp;DATE(2026,10,1))+SUMIFS('FUNDED DEALS 2027'!$Y$4:$Y$1226,'FUNDED DEALS 2027'!$W$4:$W$1226,$A10,'FUNDED DEALS 2027'!$C$4:$C$1226,"&gt;="&amp;DATE(2026,9,1),'FUNDED DEALS 2027'!$C$4:$C$1226,"&lt;"&amp;DATE(2026,10,1))+SUMIFS('FUNDED DEALS 2027'!$AB$4:$AB$1226,'FUNDED DEALS 2027'!$Z$4:$Z$1226,$A10,'FUNDED DEALS 2027'!$C$4:$C$1226,"&gt;="&amp;DATE(2026,9,1),'FUNDED DEALS 2027'!$C$4:$C$1226,"&lt;"&amp;DATE(2026,10,1)))</f>
        <v>0</v>
      </c>
      <c r="H10" s="48" t="n">
        <f aca="false">IF($A10="","",SUMIFS('FUNDED DEALS'!$V$4:$V$1226,'FUNDED DEALS'!$T$4:$T$1226,$A10,'FUNDED DEALS'!$C$4:$C$1226,"&gt;="&amp;DATE(2026,10,1),'FUNDED DEALS'!$C$4:$C$1226,"&lt;"&amp;DATE(2026,11,1))+SUMIFS('FUNDED DEALS'!$Y$4:$Y$1226,'FUNDED DEALS'!$W$4:$W$1226,$A10,'FUNDED DEALS'!$C$4:$C$1226,"&gt;="&amp;DATE(2026,10,1),'FUNDED DEALS'!$C$4:$C$1226,"&lt;"&amp;DATE(2026,11,1))+SUMIFS('FUNDED DEALS'!$AB$4:$AB$1226,'FUNDED DEALS'!$Z$4:$Z$1226,$A10,'FUNDED DEALS'!$C$4:$C$1226,"&gt;="&amp;DATE(2026,10,1),'FUNDED DEALS'!$C$4:$C$1226,"&lt;"&amp;DATE(2026,11,1))+SUMIFS('FUNDED DEALS 2027'!$V$4:$V$1226,'FUNDED DEALS 2027'!$T$4:$T$1226,$A10,'FUNDED DEALS 2027'!$C$4:$C$1226,"&gt;="&amp;DATE(2026,10,1),'FUNDED DEALS 2027'!$C$4:$C$1226,"&lt;"&amp;DATE(2026,11,1))+SUMIFS('FUNDED DEALS 2027'!$Y$4:$Y$1226,'FUNDED DEALS 2027'!$W$4:$W$1226,$A10,'FUNDED DEALS 2027'!$C$4:$C$1226,"&gt;="&amp;DATE(2026,10,1),'FUNDED DEALS 2027'!$C$4:$C$1226,"&lt;"&amp;DATE(2026,11,1))+SUMIFS('FUNDED DEALS 2027'!$AB$4:$AB$1226,'FUNDED DEALS 2027'!$Z$4:$Z$1226,$A10,'FUNDED DEALS 2027'!$C$4:$C$1226,"&gt;="&amp;DATE(2026,10,1),'FUNDED DEALS 2027'!$C$4:$C$1226,"&lt;"&amp;DATE(2026,11,1)))</f>
        <v>0</v>
      </c>
      <c r="I10" s="48" t="n">
        <f aca="false">IF($A10="","",SUMIFS('FUNDED DEALS'!$V$4:$V$1226,'FUNDED DEALS'!$T$4:$T$1226,$A10,'FUNDED DEALS'!$C$4:$C$1226,"&gt;="&amp;DATE(2026,11,1),'FUNDED DEALS'!$C$4:$C$1226,"&lt;"&amp;DATE(2026,12,1))+SUMIFS('FUNDED DEALS'!$Y$4:$Y$1226,'FUNDED DEALS'!$W$4:$W$1226,$A10,'FUNDED DEALS'!$C$4:$C$1226,"&gt;="&amp;DATE(2026,11,1),'FUNDED DEALS'!$C$4:$C$1226,"&lt;"&amp;DATE(2026,12,1))+SUMIFS('FUNDED DEALS'!$AB$4:$AB$1226,'FUNDED DEALS'!$Z$4:$Z$1226,$A10,'FUNDED DEALS'!$C$4:$C$1226,"&gt;="&amp;DATE(2026,11,1),'FUNDED DEALS'!$C$4:$C$1226,"&lt;"&amp;DATE(2026,12,1))+SUMIFS('FUNDED DEALS 2027'!$V$4:$V$1226,'FUNDED DEALS 2027'!$T$4:$T$1226,$A10,'FUNDED DEALS 2027'!$C$4:$C$1226,"&gt;="&amp;DATE(2026,11,1),'FUNDED DEALS 2027'!$C$4:$C$1226,"&lt;"&amp;DATE(2026,12,1))+SUMIFS('FUNDED DEALS 2027'!$Y$4:$Y$1226,'FUNDED DEALS 2027'!$W$4:$W$1226,$A10,'FUNDED DEALS 2027'!$C$4:$C$1226,"&gt;="&amp;DATE(2026,11,1),'FUNDED DEALS 2027'!$C$4:$C$1226,"&lt;"&amp;DATE(2026,12,1))+SUMIFS('FUNDED DEALS 2027'!$AB$4:$AB$1226,'FUNDED DEALS 2027'!$Z$4:$Z$1226,$A10,'FUNDED DEALS 2027'!$C$4:$C$1226,"&gt;="&amp;DATE(2026,11,1),'FUNDED DEALS 2027'!$C$4:$C$1226,"&lt;"&amp;DATE(2026,12,1)))</f>
        <v>0</v>
      </c>
      <c r="J10" s="48" t="n">
        <f aca="false">IF($A10="","",SUMIFS('FUNDED DEALS'!$V$4:$V$1226,'FUNDED DEALS'!$T$4:$T$1226,$A10,'FUNDED DEALS'!$C$4:$C$1226,"&gt;="&amp;DATE(2026,12,1),'FUNDED DEALS'!$C$4:$C$1226,"&lt;"&amp;DATE(2027,1,1))+SUMIFS('FUNDED DEALS'!$Y$4:$Y$1226,'FUNDED DEALS'!$W$4:$W$1226,$A10,'FUNDED DEALS'!$C$4:$C$1226,"&gt;="&amp;DATE(2026,12,1),'FUNDED DEALS'!$C$4:$C$1226,"&lt;"&amp;DATE(2027,1,1))+SUMIFS('FUNDED DEALS'!$AB$4:$AB$1226,'FUNDED DEALS'!$Z$4:$Z$1226,$A10,'FUNDED DEALS'!$C$4:$C$1226,"&gt;="&amp;DATE(2026,12,1),'FUNDED DEALS'!$C$4:$C$1226,"&lt;"&amp;DATE(2027,1,1))+SUMIFS('FUNDED DEALS 2027'!$V$4:$V$1226,'FUNDED DEALS 2027'!$T$4:$T$1226,$A10,'FUNDED DEALS 2027'!$C$4:$C$1226,"&gt;="&amp;DATE(2026,12,1),'FUNDED DEALS 2027'!$C$4:$C$1226,"&lt;"&amp;DATE(2027,1,1))+SUMIFS('FUNDED DEALS 2027'!$Y$4:$Y$1226,'FUNDED DEALS 2027'!$W$4:$W$1226,$A10,'FUNDED DEALS 2027'!$C$4:$C$1226,"&gt;="&amp;DATE(2026,12,1),'FUNDED DEALS 2027'!$C$4:$C$1226,"&lt;"&amp;DATE(2027,1,1))+SUMIFS('FUNDED DEALS 2027'!$AB$4:$AB$1226,'FUNDED DEALS 2027'!$Z$4:$Z$1226,$A10,'FUNDED DEALS 2027'!$C$4:$C$1226,"&gt;="&amp;DATE(2026,12,1),'FUNDED DEALS 2027'!$C$4:$C$1226,"&lt;"&amp;DATE(2027,1,1)))</f>
        <v>0</v>
      </c>
      <c r="K10" s="48" t="n">
        <f aca="false">IF($A10="","",SUMIFS('FUNDED DEALS'!$V$4:$V$1226,'FUNDED DEALS'!$T$4:$T$1226,$A10,'FUNDED DEALS'!$C$4:$C$1226,"&gt;="&amp;DATE(2027,1,1),'FUNDED DEALS'!$C$4:$C$1226,"&lt;"&amp;DATE(2027,2,1))+SUMIFS('FUNDED DEALS'!$Y$4:$Y$1226,'FUNDED DEALS'!$W$4:$W$1226,$A10,'FUNDED DEALS'!$C$4:$C$1226,"&gt;="&amp;DATE(2027,1,1),'FUNDED DEALS'!$C$4:$C$1226,"&lt;"&amp;DATE(2027,2,1))+SUMIFS('FUNDED DEALS'!$AB$4:$AB$1226,'FUNDED DEALS'!$Z$4:$Z$1226,$A10,'FUNDED DEALS'!$C$4:$C$1226,"&gt;="&amp;DATE(2027,1,1),'FUNDED DEALS'!$C$4:$C$1226,"&lt;"&amp;DATE(2027,2,1))+SUMIFS('FUNDED DEALS 2027'!$V$4:$V$1226,'FUNDED DEALS 2027'!$T$4:$T$1226,$A10,'FUNDED DEALS 2027'!$C$4:$C$1226,"&gt;="&amp;DATE(2027,1,1),'FUNDED DEALS 2027'!$C$4:$C$1226,"&lt;"&amp;DATE(2027,2,1))+SUMIFS('FUNDED DEALS 2027'!$Y$4:$Y$1226,'FUNDED DEALS 2027'!$W$4:$W$1226,$A10,'FUNDED DEALS 2027'!$C$4:$C$1226,"&gt;="&amp;DATE(2027,1,1),'FUNDED DEALS 2027'!$C$4:$C$1226,"&lt;"&amp;DATE(2027,2,1))+SUMIFS('FUNDED DEALS 2027'!$AB$4:$AB$1226,'FUNDED DEALS 2027'!$Z$4:$Z$1226,$A10,'FUNDED DEALS 2027'!$C$4:$C$1226,"&gt;="&amp;DATE(2027,1,1),'FUNDED DEALS 2027'!$C$4:$C$1226,"&lt;"&amp;DATE(2027,2,1)))</f>
        <v>0</v>
      </c>
      <c r="L10" s="48" t="n">
        <f aca="false">IF($A10="","",SUMIFS('FUNDED DEALS'!$V$4:$V$1226,'FUNDED DEALS'!$T$4:$T$1226,$A10,'FUNDED DEALS'!$C$4:$C$1226,"&gt;="&amp;DATE(2027,2,1),'FUNDED DEALS'!$C$4:$C$1226,"&lt;"&amp;DATE(2027,3,1))+SUMIFS('FUNDED DEALS'!$Y$4:$Y$1226,'FUNDED DEALS'!$W$4:$W$1226,$A10,'FUNDED DEALS'!$C$4:$C$1226,"&gt;="&amp;DATE(2027,2,1),'FUNDED DEALS'!$C$4:$C$1226,"&lt;"&amp;DATE(2027,3,1))+SUMIFS('FUNDED DEALS'!$AB$4:$AB$1226,'FUNDED DEALS'!$Z$4:$Z$1226,$A10,'FUNDED DEALS'!$C$4:$C$1226,"&gt;="&amp;DATE(2027,2,1),'FUNDED DEALS'!$C$4:$C$1226,"&lt;"&amp;DATE(2027,3,1))+SUMIFS('FUNDED DEALS 2027'!$V$4:$V$1226,'FUNDED DEALS 2027'!$T$4:$T$1226,$A10,'FUNDED DEALS 2027'!$C$4:$C$1226,"&gt;="&amp;DATE(2027,2,1),'FUNDED DEALS 2027'!$C$4:$C$1226,"&lt;"&amp;DATE(2027,3,1))+SUMIFS('FUNDED DEALS 2027'!$Y$4:$Y$1226,'FUNDED DEALS 2027'!$W$4:$W$1226,$A10,'FUNDED DEALS 2027'!$C$4:$C$1226,"&gt;="&amp;DATE(2027,2,1),'FUNDED DEALS 2027'!$C$4:$C$1226,"&lt;"&amp;DATE(2027,3,1))+SUMIFS('FUNDED DEALS 2027'!$AB$4:$AB$1226,'FUNDED DEALS 2027'!$Z$4:$Z$1226,$A10,'FUNDED DEALS 2027'!$C$4:$C$1226,"&gt;="&amp;DATE(2027,2,1),'FUNDED DEALS 2027'!$C$4:$C$1226,"&lt;"&amp;DATE(2027,3,1)))</f>
        <v>0</v>
      </c>
      <c r="M10" s="48" t="n">
        <f aca="false">IF($A10="","",SUMIFS('FUNDED DEALS'!$V$4:$V$1226,'FUNDED DEALS'!$T$4:$T$1226,$A10,'FUNDED DEALS'!$C$4:$C$1226,"&gt;="&amp;DATE(2027,3,1),'FUNDED DEALS'!$C$4:$C$1226,"&lt;"&amp;DATE(2027,4,1))+SUMIFS('FUNDED DEALS'!$Y$4:$Y$1226,'FUNDED DEALS'!$W$4:$W$1226,$A10,'FUNDED DEALS'!$C$4:$C$1226,"&gt;="&amp;DATE(2027,3,1),'FUNDED DEALS'!$C$4:$C$1226,"&lt;"&amp;DATE(2027,4,1))+SUMIFS('FUNDED DEALS'!$AB$4:$AB$1226,'FUNDED DEALS'!$Z$4:$Z$1226,$A10,'FUNDED DEALS'!$C$4:$C$1226,"&gt;="&amp;DATE(2027,3,1),'FUNDED DEALS'!$C$4:$C$1226,"&lt;"&amp;DATE(2027,4,1))+SUMIFS('FUNDED DEALS 2027'!$V$4:$V$1226,'FUNDED DEALS 2027'!$T$4:$T$1226,$A10,'FUNDED DEALS 2027'!$C$4:$C$1226,"&gt;="&amp;DATE(2027,3,1),'FUNDED DEALS 2027'!$C$4:$C$1226,"&lt;"&amp;DATE(2027,4,1))+SUMIFS('FUNDED DEALS 2027'!$Y$4:$Y$1226,'FUNDED DEALS 2027'!$W$4:$W$1226,$A10,'FUNDED DEALS 2027'!$C$4:$C$1226,"&gt;="&amp;DATE(2027,3,1),'FUNDED DEALS 2027'!$C$4:$C$1226,"&lt;"&amp;DATE(2027,4,1))+SUMIFS('FUNDED DEALS 2027'!$AB$4:$AB$1226,'FUNDED DEALS 2027'!$Z$4:$Z$1226,$A10,'FUNDED DEALS 2027'!$C$4:$C$1226,"&gt;="&amp;DATE(2027,3,1),'FUNDED DEALS 2027'!$C$4:$C$1226,"&lt;"&amp;DATE(2027,4,1)))</f>
        <v>0</v>
      </c>
      <c r="N10" s="48" t="n">
        <f aca="false">IF($A10="","",SUMIFS('FUNDED DEALS'!$V$4:$V$1226,'FUNDED DEALS'!$T$4:$T$1226,$A10,'FUNDED DEALS'!$C$4:$C$1226,"&gt;="&amp;DATE(2027,4,1),'FUNDED DEALS'!$C$4:$C$1226,"&lt;"&amp;DATE(2027,5,1))+SUMIFS('FUNDED DEALS'!$Y$4:$Y$1226,'FUNDED DEALS'!$W$4:$W$1226,$A10,'FUNDED DEALS'!$C$4:$C$1226,"&gt;="&amp;DATE(2027,4,1),'FUNDED DEALS'!$C$4:$C$1226,"&lt;"&amp;DATE(2027,5,1))+SUMIFS('FUNDED DEALS'!$AB$4:$AB$1226,'FUNDED DEALS'!$Z$4:$Z$1226,$A10,'FUNDED DEALS'!$C$4:$C$1226,"&gt;="&amp;DATE(2027,4,1),'FUNDED DEALS'!$C$4:$C$1226,"&lt;"&amp;DATE(2027,5,1))+SUMIFS('FUNDED DEALS 2027'!$V$4:$V$1226,'FUNDED DEALS 2027'!$T$4:$T$1226,$A10,'FUNDED DEALS 2027'!$C$4:$C$1226,"&gt;="&amp;DATE(2027,4,1),'FUNDED DEALS 2027'!$C$4:$C$1226,"&lt;"&amp;DATE(2027,5,1))+SUMIFS('FUNDED DEALS 2027'!$Y$4:$Y$1226,'FUNDED DEALS 2027'!$W$4:$W$1226,$A10,'FUNDED DEALS 2027'!$C$4:$C$1226,"&gt;="&amp;DATE(2027,4,1),'FUNDED DEALS 2027'!$C$4:$C$1226,"&lt;"&amp;DATE(2027,5,1))+SUMIFS('FUNDED DEALS 2027'!$AB$4:$AB$1226,'FUNDED DEALS 2027'!$Z$4:$Z$1226,$A10,'FUNDED DEALS 2027'!$C$4:$C$1226,"&gt;="&amp;DATE(2027,4,1),'FUNDED DEALS 2027'!$C$4:$C$1226,"&lt;"&amp;DATE(2027,5,1)))</f>
        <v>0</v>
      </c>
      <c r="O10" s="48" t="n">
        <f aca="false">IF($A10="","",SUMIFS('FUNDED DEALS'!$V$4:$V$1226,'FUNDED DEALS'!$T$4:$T$1226,$A10,'FUNDED DEALS'!$C$4:$C$1226,"&gt;="&amp;DATE(2027,5,1),'FUNDED DEALS'!$C$4:$C$1226,"&lt;"&amp;DATE(2027,6,1))+SUMIFS('FUNDED DEALS'!$Y$4:$Y$1226,'FUNDED DEALS'!$W$4:$W$1226,$A10,'FUNDED DEALS'!$C$4:$C$1226,"&gt;="&amp;DATE(2027,5,1),'FUNDED DEALS'!$C$4:$C$1226,"&lt;"&amp;DATE(2027,6,1))+SUMIFS('FUNDED DEALS'!$AB$4:$AB$1226,'FUNDED DEALS'!$Z$4:$Z$1226,$A10,'FUNDED DEALS'!$C$4:$C$1226,"&gt;="&amp;DATE(2027,5,1),'FUNDED DEALS'!$C$4:$C$1226,"&lt;"&amp;DATE(2027,6,1))+SUMIFS('FUNDED DEALS 2027'!$V$4:$V$1226,'FUNDED DEALS 2027'!$T$4:$T$1226,$A10,'FUNDED DEALS 2027'!$C$4:$C$1226,"&gt;="&amp;DATE(2027,5,1),'FUNDED DEALS 2027'!$C$4:$C$1226,"&lt;"&amp;DATE(2027,6,1))+SUMIFS('FUNDED DEALS 2027'!$Y$4:$Y$1226,'FUNDED DEALS 2027'!$W$4:$W$1226,$A10,'FUNDED DEALS 2027'!$C$4:$C$1226,"&gt;="&amp;DATE(2027,5,1),'FUNDED DEALS 2027'!$C$4:$C$1226,"&lt;"&amp;DATE(2027,6,1))+SUMIFS('FUNDED DEALS 2027'!$AB$4:$AB$1226,'FUNDED DEALS 2027'!$Z$4:$Z$1226,$A10,'FUNDED DEALS 2027'!$C$4:$C$1226,"&gt;="&amp;DATE(2027,5,1),'FUNDED DEALS 2027'!$C$4:$C$1226,"&lt;"&amp;DATE(2027,6,1)))</f>
        <v>0</v>
      </c>
      <c r="P10" s="48" t="n">
        <f aca="false">IF($A10="","",SUMIFS('FUNDED DEALS'!$V$4:$V$1226,'FUNDED DEALS'!$T$4:$T$1226,$A10,'FUNDED DEALS'!$C$4:$C$1226,"&gt;="&amp;DATE(2027,6,1),'FUNDED DEALS'!$C$4:$C$1226,"&lt;"&amp;DATE(2027,7,1))+SUMIFS('FUNDED DEALS'!$Y$4:$Y$1226,'FUNDED DEALS'!$W$4:$W$1226,$A10,'FUNDED DEALS'!$C$4:$C$1226,"&gt;="&amp;DATE(2027,6,1),'FUNDED DEALS'!$C$4:$C$1226,"&lt;"&amp;DATE(2027,7,1))+SUMIFS('FUNDED DEALS'!$AB$4:$AB$1226,'FUNDED DEALS'!$Z$4:$Z$1226,$A10,'FUNDED DEALS'!$C$4:$C$1226,"&gt;="&amp;DATE(2027,6,1),'FUNDED DEALS'!$C$4:$C$1226,"&lt;"&amp;DATE(2027,7,1))+SUMIFS('FUNDED DEALS 2027'!$V$4:$V$1226,'FUNDED DEALS 2027'!$T$4:$T$1226,$A10,'FUNDED DEALS 2027'!$C$4:$C$1226,"&gt;="&amp;DATE(2027,6,1),'FUNDED DEALS 2027'!$C$4:$C$1226,"&lt;"&amp;DATE(2027,7,1))+SUMIFS('FUNDED DEALS 2027'!$Y$4:$Y$1226,'FUNDED DEALS 2027'!$W$4:$W$1226,$A10,'FUNDED DEALS 2027'!$C$4:$C$1226,"&gt;="&amp;DATE(2027,6,1),'FUNDED DEALS 2027'!$C$4:$C$1226,"&lt;"&amp;DATE(2027,7,1))+SUMIFS('FUNDED DEALS 2027'!$AB$4:$AB$1226,'FUNDED DEALS 2027'!$Z$4:$Z$1226,$A10,'FUNDED DEALS 2027'!$C$4:$C$1226,"&gt;="&amp;DATE(2027,6,1),'FUNDED DEALS 2027'!$C$4:$C$1226,"&lt;"&amp;DATE(2027,7,1)))</f>
        <v>0</v>
      </c>
      <c r="Q10" s="48" t="n">
        <f aca="false">IF($A10="","",SUMIFS('FUNDED DEALS'!$V$4:$V$1226,'FUNDED DEALS'!$T$4:$T$1226,$A10,'FUNDED DEALS'!$C$4:$C$1226,"&gt;="&amp;DATE(2027,7,1),'FUNDED DEALS'!$C$4:$C$1226,"&lt;"&amp;DATE(2027,8,1))+SUMIFS('FUNDED DEALS'!$Y$4:$Y$1226,'FUNDED DEALS'!$W$4:$W$1226,$A10,'FUNDED DEALS'!$C$4:$C$1226,"&gt;="&amp;DATE(2027,7,1),'FUNDED DEALS'!$C$4:$C$1226,"&lt;"&amp;DATE(2027,8,1))+SUMIFS('FUNDED DEALS'!$AB$4:$AB$1226,'FUNDED DEALS'!$Z$4:$Z$1226,$A10,'FUNDED DEALS'!$C$4:$C$1226,"&gt;="&amp;DATE(2027,7,1),'FUNDED DEALS'!$C$4:$C$1226,"&lt;"&amp;DATE(2027,8,1))+SUMIFS('FUNDED DEALS 2027'!$V$4:$V$1226,'FUNDED DEALS 2027'!$T$4:$T$1226,$A10,'FUNDED DEALS 2027'!$C$4:$C$1226,"&gt;="&amp;DATE(2027,7,1),'FUNDED DEALS 2027'!$C$4:$C$1226,"&lt;"&amp;DATE(2027,8,1))+SUMIFS('FUNDED DEALS 2027'!$Y$4:$Y$1226,'FUNDED DEALS 2027'!$W$4:$W$1226,$A10,'FUNDED DEALS 2027'!$C$4:$C$1226,"&gt;="&amp;DATE(2027,7,1),'FUNDED DEALS 2027'!$C$4:$C$1226,"&lt;"&amp;DATE(2027,8,1))+SUMIFS('FUNDED DEALS 2027'!$AB$4:$AB$1226,'FUNDED DEALS 2027'!$Z$4:$Z$1226,$A10,'FUNDED DEALS 2027'!$C$4:$C$1226,"&gt;="&amp;DATE(2027,7,1),'FUNDED DEALS 2027'!$C$4:$C$1226,"&lt;"&amp;DATE(2027,8,1)))</f>
        <v>0</v>
      </c>
      <c r="R10" s="48" t="n">
        <f aca="false">IF($A10="","",SUMIFS('FUNDED DEALS'!$V$4:$V$1226,'FUNDED DEALS'!$T$4:$T$1226,$A10,'FUNDED DEALS'!$C$4:$C$1226,"&gt;="&amp;DATE(2027,8,1),'FUNDED DEALS'!$C$4:$C$1226,"&lt;"&amp;DATE(2027,9,1))+SUMIFS('FUNDED DEALS'!$Y$4:$Y$1226,'FUNDED DEALS'!$W$4:$W$1226,$A10,'FUNDED DEALS'!$C$4:$C$1226,"&gt;="&amp;DATE(2027,8,1),'FUNDED DEALS'!$C$4:$C$1226,"&lt;"&amp;DATE(2027,9,1))+SUMIFS('FUNDED DEALS'!$AB$4:$AB$1226,'FUNDED DEALS'!$Z$4:$Z$1226,$A10,'FUNDED DEALS'!$C$4:$C$1226,"&gt;="&amp;DATE(2027,8,1),'FUNDED DEALS'!$C$4:$C$1226,"&lt;"&amp;DATE(2027,9,1))+SUMIFS('FUNDED DEALS 2027'!$V$4:$V$1226,'FUNDED DEALS 2027'!$T$4:$T$1226,$A10,'FUNDED DEALS 2027'!$C$4:$C$1226,"&gt;="&amp;DATE(2027,8,1),'FUNDED DEALS 2027'!$C$4:$C$1226,"&lt;"&amp;DATE(2027,9,1))+SUMIFS('FUNDED DEALS 2027'!$Y$4:$Y$1226,'FUNDED DEALS 2027'!$W$4:$W$1226,$A10,'FUNDED DEALS 2027'!$C$4:$C$1226,"&gt;="&amp;DATE(2027,8,1),'FUNDED DEALS 2027'!$C$4:$C$1226,"&lt;"&amp;DATE(2027,9,1))+SUMIFS('FUNDED DEALS 2027'!$AB$4:$AB$1226,'FUNDED DEALS 2027'!$Z$4:$Z$1226,$A10,'FUNDED DEALS 2027'!$C$4:$C$1226,"&gt;="&amp;DATE(2027,8,1),'FUNDED DEALS 2027'!$C$4:$C$1226,"&lt;"&amp;DATE(2027,9,1)))</f>
        <v>0</v>
      </c>
      <c r="S10" s="48" t="n">
        <f aca="false">IF($A10="","",SUMIFS('FUNDED DEALS'!$V$4:$V$1226,'FUNDED DEALS'!$T$4:$T$1226,$A10,'FUNDED DEALS'!$C$4:$C$1226,"&gt;="&amp;DATE(2027,9,1),'FUNDED DEALS'!$C$4:$C$1226,"&lt;"&amp;DATE(2027,10,1))+SUMIFS('FUNDED DEALS'!$Y$4:$Y$1226,'FUNDED DEALS'!$W$4:$W$1226,$A10,'FUNDED DEALS'!$C$4:$C$1226,"&gt;="&amp;DATE(2027,9,1),'FUNDED DEALS'!$C$4:$C$1226,"&lt;"&amp;DATE(2027,10,1))+SUMIFS('FUNDED DEALS'!$AB$4:$AB$1226,'FUNDED DEALS'!$Z$4:$Z$1226,$A10,'FUNDED DEALS'!$C$4:$C$1226,"&gt;="&amp;DATE(2027,9,1),'FUNDED DEALS'!$C$4:$C$1226,"&lt;"&amp;DATE(2027,10,1))+SUMIFS('FUNDED DEALS 2027'!$V$4:$V$1226,'FUNDED DEALS 2027'!$T$4:$T$1226,$A10,'FUNDED DEALS 2027'!$C$4:$C$1226,"&gt;="&amp;DATE(2027,9,1),'FUNDED DEALS 2027'!$C$4:$C$1226,"&lt;"&amp;DATE(2027,10,1))+SUMIFS('FUNDED DEALS 2027'!$Y$4:$Y$1226,'FUNDED DEALS 2027'!$W$4:$W$1226,$A10,'FUNDED DEALS 2027'!$C$4:$C$1226,"&gt;="&amp;DATE(2027,9,1),'FUNDED DEALS 2027'!$C$4:$C$1226,"&lt;"&amp;DATE(2027,10,1))+SUMIFS('FUNDED DEALS 2027'!$AB$4:$AB$1226,'FUNDED DEALS 2027'!$Z$4:$Z$1226,$A10,'FUNDED DEALS 2027'!$C$4:$C$1226,"&gt;="&amp;DATE(2027,9,1),'FUNDED DEALS 2027'!$C$4:$C$1226,"&lt;"&amp;DATE(2027,10,1)))</f>
        <v>0</v>
      </c>
      <c r="T10" s="48" t="n">
        <f aca="false">IF($A10="","",SUMIFS('FUNDED DEALS'!$V$4:$V$1226,'FUNDED DEALS'!$T$4:$T$1226,$A10,'FUNDED DEALS'!$C$4:$C$1226,"&gt;="&amp;DATE(2027,10,1),'FUNDED DEALS'!$C$4:$C$1226,"&lt;"&amp;DATE(2027,11,1))+SUMIFS('FUNDED DEALS'!$Y$4:$Y$1226,'FUNDED DEALS'!$W$4:$W$1226,$A10,'FUNDED DEALS'!$C$4:$C$1226,"&gt;="&amp;DATE(2027,10,1),'FUNDED DEALS'!$C$4:$C$1226,"&lt;"&amp;DATE(2027,11,1))+SUMIFS('FUNDED DEALS'!$AB$4:$AB$1226,'FUNDED DEALS'!$Z$4:$Z$1226,$A10,'FUNDED DEALS'!$C$4:$C$1226,"&gt;="&amp;DATE(2027,10,1),'FUNDED DEALS'!$C$4:$C$1226,"&lt;"&amp;DATE(2027,11,1))+SUMIFS('FUNDED DEALS 2027'!$V$4:$V$1226,'FUNDED DEALS 2027'!$T$4:$T$1226,$A10,'FUNDED DEALS 2027'!$C$4:$C$1226,"&gt;="&amp;DATE(2027,10,1),'FUNDED DEALS 2027'!$C$4:$C$1226,"&lt;"&amp;DATE(2027,11,1))+SUMIFS('FUNDED DEALS 2027'!$Y$4:$Y$1226,'FUNDED DEALS 2027'!$W$4:$W$1226,$A10,'FUNDED DEALS 2027'!$C$4:$C$1226,"&gt;="&amp;DATE(2027,10,1),'FUNDED DEALS 2027'!$C$4:$C$1226,"&lt;"&amp;DATE(2027,11,1))+SUMIFS('FUNDED DEALS 2027'!$AB$4:$AB$1226,'FUNDED DEALS 2027'!$Z$4:$Z$1226,$A10,'FUNDED DEALS 2027'!$C$4:$C$1226,"&gt;="&amp;DATE(2027,10,1),'FUNDED DEALS 2027'!$C$4:$C$1226,"&lt;"&amp;DATE(2027,11,1)))</f>
        <v>0</v>
      </c>
      <c r="U10" s="48" t="n">
        <f aca="false">IF($A10="","",SUMIFS('FUNDED DEALS'!$V$4:$V$1226,'FUNDED DEALS'!$T$4:$T$1226,$A10,'FUNDED DEALS'!$C$4:$C$1226,"&gt;="&amp;DATE(2027,11,1),'FUNDED DEALS'!$C$4:$C$1226,"&lt;"&amp;DATE(2027,12,1))+SUMIFS('FUNDED DEALS'!$Y$4:$Y$1226,'FUNDED DEALS'!$W$4:$W$1226,$A10,'FUNDED DEALS'!$C$4:$C$1226,"&gt;="&amp;DATE(2027,11,1),'FUNDED DEALS'!$C$4:$C$1226,"&lt;"&amp;DATE(2027,12,1))+SUMIFS('FUNDED DEALS'!$AB$4:$AB$1226,'FUNDED DEALS'!$Z$4:$Z$1226,$A10,'FUNDED DEALS'!$C$4:$C$1226,"&gt;="&amp;DATE(2027,11,1),'FUNDED DEALS'!$C$4:$C$1226,"&lt;"&amp;DATE(2027,12,1))+SUMIFS('FUNDED DEALS 2027'!$V$4:$V$1226,'FUNDED DEALS 2027'!$T$4:$T$1226,$A10,'FUNDED DEALS 2027'!$C$4:$C$1226,"&gt;="&amp;DATE(2027,11,1),'FUNDED DEALS 2027'!$C$4:$C$1226,"&lt;"&amp;DATE(2027,12,1))+SUMIFS('FUNDED DEALS 2027'!$Y$4:$Y$1226,'FUNDED DEALS 2027'!$W$4:$W$1226,$A10,'FUNDED DEALS 2027'!$C$4:$C$1226,"&gt;="&amp;DATE(2027,11,1),'FUNDED DEALS 2027'!$C$4:$C$1226,"&lt;"&amp;DATE(2027,12,1))+SUMIFS('FUNDED DEALS 2027'!$AB$4:$AB$1226,'FUNDED DEALS 2027'!$Z$4:$Z$1226,$A10,'FUNDED DEALS 2027'!$C$4:$C$1226,"&gt;="&amp;DATE(2027,11,1),'FUNDED DEALS 2027'!$C$4:$C$1226,"&lt;"&amp;DATE(2027,12,1)))</f>
        <v>0</v>
      </c>
      <c r="V10" s="48" t="n">
        <f aca="false">IF($A10="","",SUMIFS('FUNDED DEALS'!$V$4:$V$1226,'FUNDED DEALS'!$T$4:$T$1226,$A10,'FUNDED DEALS'!$C$4:$C$1226,"&gt;="&amp;DATE(2027,12,1),'FUNDED DEALS'!$C$4:$C$1226,"&lt;"&amp;DATE(2028,1,1))+SUMIFS('FUNDED DEALS'!$Y$4:$Y$1226,'FUNDED DEALS'!$W$4:$W$1226,$A10,'FUNDED DEALS'!$C$4:$C$1226,"&gt;="&amp;DATE(2027,12,1),'FUNDED DEALS'!$C$4:$C$1226,"&lt;"&amp;DATE(2028,1,1))+SUMIFS('FUNDED DEALS'!$AB$4:$AB$1226,'FUNDED DEALS'!$Z$4:$Z$1226,$A10,'FUNDED DEALS'!$C$4:$C$1226,"&gt;="&amp;DATE(2027,12,1),'FUNDED DEALS'!$C$4:$C$1226,"&lt;"&amp;DATE(2028,1,1))+SUMIFS('FUNDED DEALS 2027'!$V$4:$V$1226,'FUNDED DEALS 2027'!$T$4:$T$1226,$A10,'FUNDED DEALS 2027'!$C$4:$C$1226,"&gt;="&amp;DATE(2027,12,1),'FUNDED DEALS 2027'!$C$4:$C$1226,"&lt;"&amp;DATE(2028,1,1))+SUMIFS('FUNDED DEALS 2027'!$Y$4:$Y$1226,'FUNDED DEALS 2027'!$W$4:$W$1226,$A10,'FUNDED DEALS 2027'!$C$4:$C$1226,"&gt;="&amp;DATE(2027,12,1),'FUNDED DEALS 2027'!$C$4:$C$1226,"&lt;"&amp;DATE(2028,1,1))+SUMIFS('FUNDED DEALS 2027'!$AB$4:$AB$1226,'FUNDED DEALS 2027'!$Z$4:$Z$1226,$A10,'FUNDED DEALS 2027'!$C$4:$C$1226,"&gt;="&amp;DATE(2027,12,1),'FUNDED DEALS 2027'!$C$4:$C$1226,"&lt;"&amp;DATE(2028,1,1)))</f>
        <v>0</v>
      </c>
      <c r="W10" s="56" t="n">
        <f aca="false">IF($A10="","",SUM(B10:V10))</f>
        <v>0</v>
      </c>
    </row>
    <row r="11" customFormat="false" ht="15" hidden="false" customHeight="false" outlineLevel="0" collapsed="false">
      <c r="A11" s="50" t="str">
        <f aca="false">IF(REPS!A9="","",REPS!A9)</f>
        <v>Louie Palleta</v>
      </c>
      <c r="B11" s="51" t="n">
        <f aca="false">IF($A11="","",SUMIFS('FUNDED DEALS'!$V$4:$V$1226,'FUNDED DEALS'!$T$4:$T$1226,$A11,'FUNDED DEALS'!$C$4:$C$1226,"&gt;="&amp;DATE(2026,4,1),'FUNDED DEALS'!$C$4:$C$1226,"&lt;"&amp;DATE(2026,5,1))+SUMIFS('FUNDED DEALS'!$Y$4:$Y$1226,'FUNDED DEALS'!$W$4:$W$1226,$A11,'FUNDED DEALS'!$C$4:$C$1226,"&gt;="&amp;DATE(2026,4,1),'FUNDED DEALS'!$C$4:$C$1226,"&lt;"&amp;DATE(2026,5,1))+SUMIFS('FUNDED DEALS'!$AB$4:$AB$1226,'FUNDED DEALS'!$Z$4:$Z$1226,$A11,'FUNDED DEALS'!$C$4:$C$1226,"&gt;="&amp;DATE(2026,4,1),'FUNDED DEALS'!$C$4:$C$1226,"&lt;"&amp;DATE(2026,5,1))+SUMIFS('FUNDED DEALS 2027'!$V$4:$V$1226,'FUNDED DEALS 2027'!$T$4:$T$1226,$A11,'FUNDED DEALS 2027'!$C$4:$C$1226,"&gt;="&amp;DATE(2026,4,1),'FUNDED DEALS 2027'!$C$4:$C$1226,"&lt;"&amp;DATE(2026,5,1))+SUMIFS('FUNDED DEALS 2027'!$Y$4:$Y$1226,'FUNDED DEALS 2027'!$W$4:$W$1226,$A11,'FUNDED DEALS 2027'!$C$4:$C$1226,"&gt;="&amp;DATE(2026,4,1),'FUNDED DEALS 2027'!$C$4:$C$1226,"&lt;"&amp;DATE(2026,5,1))+SUMIFS('FUNDED DEALS 2027'!$AB$4:$AB$1226,'FUNDED DEALS 2027'!$Z$4:$Z$1226,$A11,'FUNDED DEALS 2027'!$C$4:$C$1226,"&gt;="&amp;DATE(2026,4,1),'FUNDED DEALS 2027'!$C$4:$C$1226,"&lt;"&amp;DATE(2026,5,1)))</f>
        <v>0</v>
      </c>
      <c r="C11" s="51" t="n">
        <f aca="false">IF($A11="","",SUMIFS('FUNDED DEALS'!$V$4:$V$1226,'FUNDED DEALS'!$T$4:$T$1226,$A11,'FUNDED DEALS'!$C$4:$C$1226,"&gt;="&amp;DATE(2026,5,1),'FUNDED DEALS'!$C$4:$C$1226,"&lt;"&amp;DATE(2026,6,1))+SUMIFS('FUNDED DEALS'!$Y$4:$Y$1226,'FUNDED DEALS'!$W$4:$W$1226,$A11,'FUNDED DEALS'!$C$4:$C$1226,"&gt;="&amp;DATE(2026,5,1),'FUNDED DEALS'!$C$4:$C$1226,"&lt;"&amp;DATE(2026,6,1))+SUMIFS('FUNDED DEALS'!$AB$4:$AB$1226,'FUNDED DEALS'!$Z$4:$Z$1226,$A11,'FUNDED DEALS'!$C$4:$C$1226,"&gt;="&amp;DATE(2026,5,1),'FUNDED DEALS'!$C$4:$C$1226,"&lt;"&amp;DATE(2026,6,1))+SUMIFS('FUNDED DEALS 2027'!$V$4:$V$1226,'FUNDED DEALS 2027'!$T$4:$T$1226,$A11,'FUNDED DEALS 2027'!$C$4:$C$1226,"&gt;="&amp;DATE(2026,5,1),'FUNDED DEALS 2027'!$C$4:$C$1226,"&lt;"&amp;DATE(2026,6,1))+SUMIFS('FUNDED DEALS 2027'!$Y$4:$Y$1226,'FUNDED DEALS 2027'!$W$4:$W$1226,$A11,'FUNDED DEALS 2027'!$C$4:$C$1226,"&gt;="&amp;DATE(2026,5,1),'FUNDED DEALS 2027'!$C$4:$C$1226,"&lt;"&amp;DATE(2026,6,1))+SUMIFS('FUNDED DEALS 2027'!$AB$4:$AB$1226,'FUNDED DEALS 2027'!$Z$4:$Z$1226,$A11,'FUNDED DEALS 2027'!$C$4:$C$1226,"&gt;="&amp;DATE(2026,5,1),'FUNDED DEALS 2027'!$C$4:$C$1226,"&lt;"&amp;DATE(2026,6,1)))</f>
        <v>0</v>
      </c>
      <c r="D11" s="51" t="n">
        <f aca="false">IF($A11="","",SUMIFS('FUNDED DEALS'!$V$4:$V$1226,'FUNDED DEALS'!$T$4:$T$1226,$A11,'FUNDED DEALS'!$C$4:$C$1226,"&gt;="&amp;DATE(2026,6,1),'FUNDED DEALS'!$C$4:$C$1226,"&lt;"&amp;DATE(2026,7,1))+SUMIFS('FUNDED DEALS'!$Y$4:$Y$1226,'FUNDED DEALS'!$W$4:$W$1226,$A11,'FUNDED DEALS'!$C$4:$C$1226,"&gt;="&amp;DATE(2026,6,1),'FUNDED DEALS'!$C$4:$C$1226,"&lt;"&amp;DATE(2026,7,1))+SUMIFS('FUNDED DEALS'!$AB$4:$AB$1226,'FUNDED DEALS'!$Z$4:$Z$1226,$A11,'FUNDED DEALS'!$C$4:$C$1226,"&gt;="&amp;DATE(2026,6,1),'FUNDED DEALS'!$C$4:$C$1226,"&lt;"&amp;DATE(2026,7,1))+SUMIFS('FUNDED DEALS 2027'!$V$4:$V$1226,'FUNDED DEALS 2027'!$T$4:$T$1226,$A11,'FUNDED DEALS 2027'!$C$4:$C$1226,"&gt;="&amp;DATE(2026,6,1),'FUNDED DEALS 2027'!$C$4:$C$1226,"&lt;"&amp;DATE(2026,7,1))+SUMIFS('FUNDED DEALS 2027'!$Y$4:$Y$1226,'FUNDED DEALS 2027'!$W$4:$W$1226,$A11,'FUNDED DEALS 2027'!$C$4:$C$1226,"&gt;="&amp;DATE(2026,6,1),'FUNDED DEALS 2027'!$C$4:$C$1226,"&lt;"&amp;DATE(2026,7,1))+SUMIFS('FUNDED DEALS 2027'!$AB$4:$AB$1226,'FUNDED DEALS 2027'!$Z$4:$Z$1226,$A11,'FUNDED DEALS 2027'!$C$4:$C$1226,"&gt;="&amp;DATE(2026,6,1),'FUNDED DEALS 2027'!$C$4:$C$1226,"&lt;"&amp;DATE(2026,7,1)))</f>
        <v>0</v>
      </c>
      <c r="E11" s="51" t="n">
        <f aca="false">IF($A11="","",SUMIFS('FUNDED DEALS'!$V$4:$V$1226,'FUNDED DEALS'!$T$4:$T$1226,$A11,'FUNDED DEALS'!$C$4:$C$1226,"&gt;="&amp;DATE(2026,7,1),'FUNDED DEALS'!$C$4:$C$1226,"&lt;"&amp;DATE(2026,8,1))+SUMIFS('FUNDED DEALS'!$Y$4:$Y$1226,'FUNDED DEALS'!$W$4:$W$1226,$A11,'FUNDED DEALS'!$C$4:$C$1226,"&gt;="&amp;DATE(2026,7,1),'FUNDED DEALS'!$C$4:$C$1226,"&lt;"&amp;DATE(2026,8,1))+SUMIFS('FUNDED DEALS'!$AB$4:$AB$1226,'FUNDED DEALS'!$Z$4:$Z$1226,$A11,'FUNDED DEALS'!$C$4:$C$1226,"&gt;="&amp;DATE(2026,7,1),'FUNDED DEALS'!$C$4:$C$1226,"&lt;"&amp;DATE(2026,8,1))+SUMIFS('FUNDED DEALS 2027'!$V$4:$V$1226,'FUNDED DEALS 2027'!$T$4:$T$1226,$A11,'FUNDED DEALS 2027'!$C$4:$C$1226,"&gt;="&amp;DATE(2026,7,1),'FUNDED DEALS 2027'!$C$4:$C$1226,"&lt;"&amp;DATE(2026,8,1))+SUMIFS('FUNDED DEALS 2027'!$Y$4:$Y$1226,'FUNDED DEALS 2027'!$W$4:$W$1226,$A11,'FUNDED DEALS 2027'!$C$4:$C$1226,"&gt;="&amp;DATE(2026,7,1),'FUNDED DEALS 2027'!$C$4:$C$1226,"&lt;"&amp;DATE(2026,8,1))+SUMIFS('FUNDED DEALS 2027'!$AB$4:$AB$1226,'FUNDED DEALS 2027'!$Z$4:$Z$1226,$A11,'FUNDED DEALS 2027'!$C$4:$C$1226,"&gt;="&amp;DATE(2026,7,1),'FUNDED DEALS 2027'!$C$4:$C$1226,"&lt;"&amp;DATE(2026,8,1)))</f>
        <v>0</v>
      </c>
      <c r="F11" s="51" t="n">
        <f aca="false">IF($A11="","",SUMIFS('FUNDED DEALS'!$V$4:$V$1226,'FUNDED DEALS'!$T$4:$T$1226,$A11,'FUNDED DEALS'!$C$4:$C$1226,"&gt;="&amp;DATE(2026,8,1),'FUNDED DEALS'!$C$4:$C$1226,"&lt;"&amp;DATE(2026,9,1))+SUMIFS('FUNDED DEALS'!$Y$4:$Y$1226,'FUNDED DEALS'!$W$4:$W$1226,$A11,'FUNDED DEALS'!$C$4:$C$1226,"&gt;="&amp;DATE(2026,8,1),'FUNDED DEALS'!$C$4:$C$1226,"&lt;"&amp;DATE(2026,9,1))+SUMIFS('FUNDED DEALS'!$AB$4:$AB$1226,'FUNDED DEALS'!$Z$4:$Z$1226,$A11,'FUNDED DEALS'!$C$4:$C$1226,"&gt;="&amp;DATE(2026,8,1),'FUNDED DEALS'!$C$4:$C$1226,"&lt;"&amp;DATE(2026,9,1))+SUMIFS('FUNDED DEALS 2027'!$V$4:$V$1226,'FUNDED DEALS 2027'!$T$4:$T$1226,$A11,'FUNDED DEALS 2027'!$C$4:$C$1226,"&gt;="&amp;DATE(2026,8,1),'FUNDED DEALS 2027'!$C$4:$C$1226,"&lt;"&amp;DATE(2026,9,1))+SUMIFS('FUNDED DEALS 2027'!$Y$4:$Y$1226,'FUNDED DEALS 2027'!$W$4:$W$1226,$A11,'FUNDED DEALS 2027'!$C$4:$C$1226,"&gt;="&amp;DATE(2026,8,1),'FUNDED DEALS 2027'!$C$4:$C$1226,"&lt;"&amp;DATE(2026,9,1))+SUMIFS('FUNDED DEALS 2027'!$AB$4:$AB$1226,'FUNDED DEALS 2027'!$Z$4:$Z$1226,$A11,'FUNDED DEALS 2027'!$C$4:$C$1226,"&gt;="&amp;DATE(2026,8,1),'FUNDED DEALS 2027'!$C$4:$C$1226,"&lt;"&amp;DATE(2026,9,1)))</f>
        <v>0</v>
      </c>
      <c r="G11" s="51" t="n">
        <f aca="false">IF($A11="","",SUMIFS('FUNDED DEALS'!$V$4:$V$1226,'FUNDED DEALS'!$T$4:$T$1226,$A11,'FUNDED DEALS'!$C$4:$C$1226,"&gt;="&amp;DATE(2026,9,1),'FUNDED DEALS'!$C$4:$C$1226,"&lt;"&amp;DATE(2026,10,1))+SUMIFS('FUNDED DEALS'!$Y$4:$Y$1226,'FUNDED DEALS'!$W$4:$W$1226,$A11,'FUNDED DEALS'!$C$4:$C$1226,"&gt;="&amp;DATE(2026,9,1),'FUNDED DEALS'!$C$4:$C$1226,"&lt;"&amp;DATE(2026,10,1))+SUMIFS('FUNDED DEALS'!$AB$4:$AB$1226,'FUNDED DEALS'!$Z$4:$Z$1226,$A11,'FUNDED DEALS'!$C$4:$C$1226,"&gt;="&amp;DATE(2026,9,1),'FUNDED DEALS'!$C$4:$C$1226,"&lt;"&amp;DATE(2026,10,1))+SUMIFS('FUNDED DEALS 2027'!$V$4:$V$1226,'FUNDED DEALS 2027'!$T$4:$T$1226,$A11,'FUNDED DEALS 2027'!$C$4:$C$1226,"&gt;="&amp;DATE(2026,9,1),'FUNDED DEALS 2027'!$C$4:$C$1226,"&lt;"&amp;DATE(2026,10,1))+SUMIFS('FUNDED DEALS 2027'!$Y$4:$Y$1226,'FUNDED DEALS 2027'!$W$4:$W$1226,$A11,'FUNDED DEALS 2027'!$C$4:$C$1226,"&gt;="&amp;DATE(2026,9,1),'FUNDED DEALS 2027'!$C$4:$C$1226,"&lt;"&amp;DATE(2026,10,1))+SUMIFS('FUNDED DEALS 2027'!$AB$4:$AB$1226,'FUNDED DEALS 2027'!$Z$4:$Z$1226,$A11,'FUNDED DEALS 2027'!$C$4:$C$1226,"&gt;="&amp;DATE(2026,9,1),'FUNDED DEALS 2027'!$C$4:$C$1226,"&lt;"&amp;DATE(2026,10,1)))</f>
        <v>0</v>
      </c>
      <c r="H11" s="51" t="n">
        <f aca="false">IF($A11="","",SUMIFS('FUNDED DEALS'!$V$4:$V$1226,'FUNDED DEALS'!$T$4:$T$1226,$A11,'FUNDED DEALS'!$C$4:$C$1226,"&gt;="&amp;DATE(2026,10,1),'FUNDED DEALS'!$C$4:$C$1226,"&lt;"&amp;DATE(2026,11,1))+SUMIFS('FUNDED DEALS'!$Y$4:$Y$1226,'FUNDED DEALS'!$W$4:$W$1226,$A11,'FUNDED DEALS'!$C$4:$C$1226,"&gt;="&amp;DATE(2026,10,1),'FUNDED DEALS'!$C$4:$C$1226,"&lt;"&amp;DATE(2026,11,1))+SUMIFS('FUNDED DEALS'!$AB$4:$AB$1226,'FUNDED DEALS'!$Z$4:$Z$1226,$A11,'FUNDED DEALS'!$C$4:$C$1226,"&gt;="&amp;DATE(2026,10,1),'FUNDED DEALS'!$C$4:$C$1226,"&lt;"&amp;DATE(2026,11,1))+SUMIFS('FUNDED DEALS 2027'!$V$4:$V$1226,'FUNDED DEALS 2027'!$T$4:$T$1226,$A11,'FUNDED DEALS 2027'!$C$4:$C$1226,"&gt;="&amp;DATE(2026,10,1),'FUNDED DEALS 2027'!$C$4:$C$1226,"&lt;"&amp;DATE(2026,11,1))+SUMIFS('FUNDED DEALS 2027'!$Y$4:$Y$1226,'FUNDED DEALS 2027'!$W$4:$W$1226,$A11,'FUNDED DEALS 2027'!$C$4:$C$1226,"&gt;="&amp;DATE(2026,10,1),'FUNDED DEALS 2027'!$C$4:$C$1226,"&lt;"&amp;DATE(2026,11,1))+SUMIFS('FUNDED DEALS 2027'!$AB$4:$AB$1226,'FUNDED DEALS 2027'!$Z$4:$Z$1226,$A11,'FUNDED DEALS 2027'!$C$4:$C$1226,"&gt;="&amp;DATE(2026,10,1),'FUNDED DEALS 2027'!$C$4:$C$1226,"&lt;"&amp;DATE(2026,11,1)))</f>
        <v>0</v>
      </c>
      <c r="I11" s="51" t="n">
        <f aca="false">IF($A11="","",SUMIFS('FUNDED DEALS'!$V$4:$V$1226,'FUNDED DEALS'!$T$4:$T$1226,$A11,'FUNDED DEALS'!$C$4:$C$1226,"&gt;="&amp;DATE(2026,11,1),'FUNDED DEALS'!$C$4:$C$1226,"&lt;"&amp;DATE(2026,12,1))+SUMIFS('FUNDED DEALS'!$Y$4:$Y$1226,'FUNDED DEALS'!$W$4:$W$1226,$A11,'FUNDED DEALS'!$C$4:$C$1226,"&gt;="&amp;DATE(2026,11,1),'FUNDED DEALS'!$C$4:$C$1226,"&lt;"&amp;DATE(2026,12,1))+SUMIFS('FUNDED DEALS'!$AB$4:$AB$1226,'FUNDED DEALS'!$Z$4:$Z$1226,$A11,'FUNDED DEALS'!$C$4:$C$1226,"&gt;="&amp;DATE(2026,11,1),'FUNDED DEALS'!$C$4:$C$1226,"&lt;"&amp;DATE(2026,12,1))+SUMIFS('FUNDED DEALS 2027'!$V$4:$V$1226,'FUNDED DEALS 2027'!$T$4:$T$1226,$A11,'FUNDED DEALS 2027'!$C$4:$C$1226,"&gt;="&amp;DATE(2026,11,1),'FUNDED DEALS 2027'!$C$4:$C$1226,"&lt;"&amp;DATE(2026,12,1))+SUMIFS('FUNDED DEALS 2027'!$Y$4:$Y$1226,'FUNDED DEALS 2027'!$W$4:$W$1226,$A11,'FUNDED DEALS 2027'!$C$4:$C$1226,"&gt;="&amp;DATE(2026,11,1),'FUNDED DEALS 2027'!$C$4:$C$1226,"&lt;"&amp;DATE(2026,12,1))+SUMIFS('FUNDED DEALS 2027'!$AB$4:$AB$1226,'FUNDED DEALS 2027'!$Z$4:$Z$1226,$A11,'FUNDED DEALS 2027'!$C$4:$C$1226,"&gt;="&amp;DATE(2026,11,1),'FUNDED DEALS 2027'!$C$4:$C$1226,"&lt;"&amp;DATE(2026,12,1)))</f>
        <v>0</v>
      </c>
      <c r="J11" s="51" t="n">
        <f aca="false">IF($A11="","",SUMIFS('FUNDED DEALS'!$V$4:$V$1226,'FUNDED DEALS'!$T$4:$T$1226,$A11,'FUNDED DEALS'!$C$4:$C$1226,"&gt;="&amp;DATE(2026,12,1),'FUNDED DEALS'!$C$4:$C$1226,"&lt;"&amp;DATE(2027,1,1))+SUMIFS('FUNDED DEALS'!$Y$4:$Y$1226,'FUNDED DEALS'!$W$4:$W$1226,$A11,'FUNDED DEALS'!$C$4:$C$1226,"&gt;="&amp;DATE(2026,12,1),'FUNDED DEALS'!$C$4:$C$1226,"&lt;"&amp;DATE(2027,1,1))+SUMIFS('FUNDED DEALS'!$AB$4:$AB$1226,'FUNDED DEALS'!$Z$4:$Z$1226,$A11,'FUNDED DEALS'!$C$4:$C$1226,"&gt;="&amp;DATE(2026,12,1),'FUNDED DEALS'!$C$4:$C$1226,"&lt;"&amp;DATE(2027,1,1))+SUMIFS('FUNDED DEALS 2027'!$V$4:$V$1226,'FUNDED DEALS 2027'!$T$4:$T$1226,$A11,'FUNDED DEALS 2027'!$C$4:$C$1226,"&gt;="&amp;DATE(2026,12,1),'FUNDED DEALS 2027'!$C$4:$C$1226,"&lt;"&amp;DATE(2027,1,1))+SUMIFS('FUNDED DEALS 2027'!$Y$4:$Y$1226,'FUNDED DEALS 2027'!$W$4:$W$1226,$A11,'FUNDED DEALS 2027'!$C$4:$C$1226,"&gt;="&amp;DATE(2026,12,1),'FUNDED DEALS 2027'!$C$4:$C$1226,"&lt;"&amp;DATE(2027,1,1))+SUMIFS('FUNDED DEALS 2027'!$AB$4:$AB$1226,'FUNDED DEALS 2027'!$Z$4:$Z$1226,$A11,'FUNDED DEALS 2027'!$C$4:$C$1226,"&gt;="&amp;DATE(2026,12,1),'FUNDED DEALS 2027'!$C$4:$C$1226,"&lt;"&amp;DATE(2027,1,1)))</f>
        <v>0</v>
      </c>
      <c r="K11" s="51" t="n">
        <f aca="false">IF($A11="","",SUMIFS('FUNDED DEALS'!$V$4:$V$1226,'FUNDED DEALS'!$T$4:$T$1226,$A11,'FUNDED DEALS'!$C$4:$C$1226,"&gt;="&amp;DATE(2027,1,1),'FUNDED DEALS'!$C$4:$C$1226,"&lt;"&amp;DATE(2027,2,1))+SUMIFS('FUNDED DEALS'!$Y$4:$Y$1226,'FUNDED DEALS'!$W$4:$W$1226,$A11,'FUNDED DEALS'!$C$4:$C$1226,"&gt;="&amp;DATE(2027,1,1),'FUNDED DEALS'!$C$4:$C$1226,"&lt;"&amp;DATE(2027,2,1))+SUMIFS('FUNDED DEALS'!$AB$4:$AB$1226,'FUNDED DEALS'!$Z$4:$Z$1226,$A11,'FUNDED DEALS'!$C$4:$C$1226,"&gt;="&amp;DATE(2027,1,1),'FUNDED DEALS'!$C$4:$C$1226,"&lt;"&amp;DATE(2027,2,1))+SUMIFS('FUNDED DEALS 2027'!$V$4:$V$1226,'FUNDED DEALS 2027'!$T$4:$T$1226,$A11,'FUNDED DEALS 2027'!$C$4:$C$1226,"&gt;="&amp;DATE(2027,1,1),'FUNDED DEALS 2027'!$C$4:$C$1226,"&lt;"&amp;DATE(2027,2,1))+SUMIFS('FUNDED DEALS 2027'!$Y$4:$Y$1226,'FUNDED DEALS 2027'!$W$4:$W$1226,$A11,'FUNDED DEALS 2027'!$C$4:$C$1226,"&gt;="&amp;DATE(2027,1,1),'FUNDED DEALS 2027'!$C$4:$C$1226,"&lt;"&amp;DATE(2027,2,1))+SUMIFS('FUNDED DEALS 2027'!$AB$4:$AB$1226,'FUNDED DEALS 2027'!$Z$4:$Z$1226,$A11,'FUNDED DEALS 2027'!$C$4:$C$1226,"&gt;="&amp;DATE(2027,1,1),'FUNDED DEALS 2027'!$C$4:$C$1226,"&lt;"&amp;DATE(2027,2,1)))</f>
        <v>0</v>
      </c>
      <c r="L11" s="51" t="n">
        <f aca="false">IF($A11="","",SUMIFS('FUNDED DEALS'!$V$4:$V$1226,'FUNDED DEALS'!$T$4:$T$1226,$A11,'FUNDED DEALS'!$C$4:$C$1226,"&gt;="&amp;DATE(2027,2,1),'FUNDED DEALS'!$C$4:$C$1226,"&lt;"&amp;DATE(2027,3,1))+SUMIFS('FUNDED DEALS'!$Y$4:$Y$1226,'FUNDED DEALS'!$W$4:$W$1226,$A11,'FUNDED DEALS'!$C$4:$C$1226,"&gt;="&amp;DATE(2027,2,1),'FUNDED DEALS'!$C$4:$C$1226,"&lt;"&amp;DATE(2027,3,1))+SUMIFS('FUNDED DEALS'!$AB$4:$AB$1226,'FUNDED DEALS'!$Z$4:$Z$1226,$A11,'FUNDED DEALS'!$C$4:$C$1226,"&gt;="&amp;DATE(2027,2,1),'FUNDED DEALS'!$C$4:$C$1226,"&lt;"&amp;DATE(2027,3,1))+SUMIFS('FUNDED DEALS 2027'!$V$4:$V$1226,'FUNDED DEALS 2027'!$T$4:$T$1226,$A11,'FUNDED DEALS 2027'!$C$4:$C$1226,"&gt;="&amp;DATE(2027,2,1),'FUNDED DEALS 2027'!$C$4:$C$1226,"&lt;"&amp;DATE(2027,3,1))+SUMIFS('FUNDED DEALS 2027'!$Y$4:$Y$1226,'FUNDED DEALS 2027'!$W$4:$W$1226,$A11,'FUNDED DEALS 2027'!$C$4:$C$1226,"&gt;="&amp;DATE(2027,2,1),'FUNDED DEALS 2027'!$C$4:$C$1226,"&lt;"&amp;DATE(2027,3,1))+SUMIFS('FUNDED DEALS 2027'!$AB$4:$AB$1226,'FUNDED DEALS 2027'!$Z$4:$Z$1226,$A11,'FUNDED DEALS 2027'!$C$4:$C$1226,"&gt;="&amp;DATE(2027,2,1),'FUNDED DEALS 2027'!$C$4:$C$1226,"&lt;"&amp;DATE(2027,3,1)))</f>
        <v>0</v>
      </c>
      <c r="M11" s="51" t="n">
        <f aca="false">IF($A11="","",SUMIFS('FUNDED DEALS'!$V$4:$V$1226,'FUNDED DEALS'!$T$4:$T$1226,$A11,'FUNDED DEALS'!$C$4:$C$1226,"&gt;="&amp;DATE(2027,3,1),'FUNDED DEALS'!$C$4:$C$1226,"&lt;"&amp;DATE(2027,4,1))+SUMIFS('FUNDED DEALS'!$Y$4:$Y$1226,'FUNDED DEALS'!$W$4:$W$1226,$A11,'FUNDED DEALS'!$C$4:$C$1226,"&gt;="&amp;DATE(2027,3,1),'FUNDED DEALS'!$C$4:$C$1226,"&lt;"&amp;DATE(2027,4,1))+SUMIFS('FUNDED DEALS'!$AB$4:$AB$1226,'FUNDED DEALS'!$Z$4:$Z$1226,$A11,'FUNDED DEALS'!$C$4:$C$1226,"&gt;="&amp;DATE(2027,3,1),'FUNDED DEALS'!$C$4:$C$1226,"&lt;"&amp;DATE(2027,4,1))+SUMIFS('FUNDED DEALS 2027'!$V$4:$V$1226,'FUNDED DEALS 2027'!$T$4:$T$1226,$A11,'FUNDED DEALS 2027'!$C$4:$C$1226,"&gt;="&amp;DATE(2027,3,1),'FUNDED DEALS 2027'!$C$4:$C$1226,"&lt;"&amp;DATE(2027,4,1))+SUMIFS('FUNDED DEALS 2027'!$Y$4:$Y$1226,'FUNDED DEALS 2027'!$W$4:$W$1226,$A11,'FUNDED DEALS 2027'!$C$4:$C$1226,"&gt;="&amp;DATE(2027,3,1),'FUNDED DEALS 2027'!$C$4:$C$1226,"&lt;"&amp;DATE(2027,4,1))+SUMIFS('FUNDED DEALS 2027'!$AB$4:$AB$1226,'FUNDED DEALS 2027'!$Z$4:$Z$1226,$A11,'FUNDED DEALS 2027'!$C$4:$C$1226,"&gt;="&amp;DATE(2027,3,1),'FUNDED DEALS 2027'!$C$4:$C$1226,"&lt;"&amp;DATE(2027,4,1)))</f>
        <v>0</v>
      </c>
      <c r="N11" s="51" t="n">
        <f aca="false">IF($A11="","",SUMIFS('FUNDED DEALS'!$V$4:$V$1226,'FUNDED DEALS'!$T$4:$T$1226,$A11,'FUNDED DEALS'!$C$4:$C$1226,"&gt;="&amp;DATE(2027,4,1),'FUNDED DEALS'!$C$4:$C$1226,"&lt;"&amp;DATE(2027,5,1))+SUMIFS('FUNDED DEALS'!$Y$4:$Y$1226,'FUNDED DEALS'!$W$4:$W$1226,$A11,'FUNDED DEALS'!$C$4:$C$1226,"&gt;="&amp;DATE(2027,4,1),'FUNDED DEALS'!$C$4:$C$1226,"&lt;"&amp;DATE(2027,5,1))+SUMIFS('FUNDED DEALS'!$AB$4:$AB$1226,'FUNDED DEALS'!$Z$4:$Z$1226,$A11,'FUNDED DEALS'!$C$4:$C$1226,"&gt;="&amp;DATE(2027,4,1),'FUNDED DEALS'!$C$4:$C$1226,"&lt;"&amp;DATE(2027,5,1))+SUMIFS('FUNDED DEALS 2027'!$V$4:$V$1226,'FUNDED DEALS 2027'!$T$4:$T$1226,$A11,'FUNDED DEALS 2027'!$C$4:$C$1226,"&gt;="&amp;DATE(2027,4,1),'FUNDED DEALS 2027'!$C$4:$C$1226,"&lt;"&amp;DATE(2027,5,1))+SUMIFS('FUNDED DEALS 2027'!$Y$4:$Y$1226,'FUNDED DEALS 2027'!$W$4:$W$1226,$A11,'FUNDED DEALS 2027'!$C$4:$C$1226,"&gt;="&amp;DATE(2027,4,1),'FUNDED DEALS 2027'!$C$4:$C$1226,"&lt;"&amp;DATE(2027,5,1))+SUMIFS('FUNDED DEALS 2027'!$AB$4:$AB$1226,'FUNDED DEALS 2027'!$Z$4:$Z$1226,$A11,'FUNDED DEALS 2027'!$C$4:$C$1226,"&gt;="&amp;DATE(2027,4,1),'FUNDED DEALS 2027'!$C$4:$C$1226,"&lt;"&amp;DATE(2027,5,1)))</f>
        <v>0</v>
      </c>
      <c r="O11" s="51" t="n">
        <f aca="false">IF($A11="","",SUMIFS('FUNDED DEALS'!$V$4:$V$1226,'FUNDED DEALS'!$T$4:$T$1226,$A11,'FUNDED DEALS'!$C$4:$C$1226,"&gt;="&amp;DATE(2027,5,1),'FUNDED DEALS'!$C$4:$C$1226,"&lt;"&amp;DATE(2027,6,1))+SUMIFS('FUNDED DEALS'!$Y$4:$Y$1226,'FUNDED DEALS'!$W$4:$W$1226,$A11,'FUNDED DEALS'!$C$4:$C$1226,"&gt;="&amp;DATE(2027,5,1),'FUNDED DEALS'!$C$4:$C$1226,"&lt;"&amp;DATE(2027,6,1))+SUMIFS('FUNDED DEALS'!$AB$4:$AB$1226,'FUNDED DEALS'!$Z$4:$Z$1226,$A11,'FUNDED DEALS'!$C$4:$C$1226,"&gt;="&amp;DATE(2027,5,1),'FUNDED DEALS'!$C$4:$C$1226,"&lt;"&amp;DATE(2027,6,1))+SUMIFS('FUNDED DEALS 2027'!$V$4:$V$1226,'FUNDED DEALS 2027'!$T$4:$T$1226,$A11,'FUNDED DEALS 2027'!$C$4:$C$1226,"&gt;="&amp;DATE(2027,5,1),'FUNDED DEALS 2027'!$C$4:$C$1226,"&lt;"&amp;DATE(2027,6,1))+SUMIFS('FUNDED DEALS 2027'!$Y$4:$Y$1226,'FUNDED DEALS 2027'!$W$4:$W$1226,$A11,'FUNDED DEALS 2027'!$C$4:$C$1226,"&gt;="&amp;DATE(2027,5,1),'FUNDED DEALS 2027'!$C$4:$C$1226,"&lt;"&amp;DATE(2027,6,1))+SUMIFS('FUNDED DEALS 2027'!$AB$4:$AB$1226,'FUNDED DEALS 2027'!$Z$4:$Z$1226,$A11,'FUNDED DEALS 2027'!$C$4:$C$1226,"&gt;="&amp;DATE(2027,5,1),'FUNDED DEALS 2027'!$C$4:$C$1226,"&lt;"&amp;DATE(2027,6,1)))</f>
        <v>0</v>
      </c>
      <c r="P11" s="51" t="n">
        <f aca="false">IF($A11="","",SUMIFS('FUNDED DEALS'!$V$4:$V$1226,'FUNDED DEALS'!$T$4:$T$1226,$A11,'FUNDED DEALS'!$C$4:$C$1226,"&gt;="&amp;DATE(2027,6,1),'FUNDED DEALS'!$C$4:$C$1226,"&lt;"&amp;DATE(2027,7,1))+SUMIFS('FUNDED DEALS'!$Y$4:$Y$1226,'FUNDED DEALS'!$W$4:$W$1226,$A11,'FUNDED DEALS'!$C$4:$C$1226,"&gt;="&amp;DATE(2027,6,1),'FUNDED DEALS'!$C$4:$C$1226,"&lt;"&amp;DATE(2027,7,1))+SUMIFS('FUNDED DEALS'!$AB$4:$AB$1226,'FUNDED DEALS'!$Z$4:$Z$1226,$A11,'FUNDED DEALS'!$C$4:$C$1226,"&gt;="&amp;DATE(2027,6,1),'FUNDED DEALS'!$C$4:$C$1226,"&lt;"&amp;DATE(2027,7,1))+SUMIFS('FUNDED DEALS 2027'!$V$4:$V$1226,'FUNDED DEALS 2027'!$T$4:$T$1226,$A11,'FUNDED DEALS 2027'!$C$4:$C$1226,"&gt;="&amp;DATE(2027,6,1),'FUNDED DEALS 2027'!$C$4:$C$1226,"&lt;"&amp;DATE(2027,7,1))+SUMIFS('FUNDED DEALS 2027'!$Y$4:$Y$1226,'FUNDED DEALS 2027'!$W$4:$W$1226,$A11,'FUNDED DEALS 2027'!$C$4:$C$1226,"&gt;="&amp;DATE(2027,6,1),'FUNDED DEALS 2027'!$C$4:$C$1226,"&lt;"&amp;DATE(2027,7,1))+SUMIFS('FUNDED DEALS 2027'!$AB$4:$AB$1226,'FUNDED DEALS 2027'!$Z$4:$Z$1226,$A11,'FUNDED DEALS 2027'!$C$4:$C$1226,"&gt;="&amp;DATE(2027,6,1),'FUNDED DEALS 2027'!$C$4:$C$1226,"&lt;"&amp;DATE(2027,7,1)))</f>
        <v>0</v>
      </c>
      <c r="Q11" s="51" t="n">
        <f aca="false">IF($A11="","",SUMIFS('FUNDED DEALS'!$V$4:$V$1226,'FUNDED DEALS'!$T$4:$T$1226,$A11,'FUNDED DEALS'!$C$4:$C$1226,"&gt;="&amp;DATE(2027,7,1),'FUNDED DEALS'!$C$4:$C$1226,"&lt;"&amp;DATE(2027,8,1))+SUMIFS('FUNDED DEALS'!$Y$4:$Y$1226,'FUNDED DEALS'!$W$4:$W$1226,$A11,'FUNDED DEALS'!$C$4:$C$1226,"&gt;="&amp;DATE(2027,7,1),'FUNDED DEALS'!$C$4:$C$1226,"&lt;"&amp;DATE(2027,8,1))+SUMIFS('FUNDED DEALS'!$AB$4:$AB$1226,'FUNDED DEALS'!$Z$4:$Z$1226,$A11,'FUNDED DEALS'!$C$4:$C$1226,"&gt;="&amp;DATE(2027,7,1),'FUNDED DEALS'!$C$4:$C$1226,"&lt;"&amp;DATE(2027,8,1))+SUMIFS('FUNDED DEALS 2027'!$V$4:$V$1226,'FUNDED DEALS 2027'!$T$4:$T$1226,$A11,'FUNDED DEALS 2027'!$C$4:$C$1226,"&gt;="&amp;DATE(2027,7,1),'FUNDED DEALS 2027'!$C$4:$C$1226,"&lt;"&amp;DATE(2027,8,1))+SUMIFS('FUNDED DEALS 2027'!$Y$4:$Y$1226,'FUNDED DEALS 2027'!$W$4:$W$1226,$A11,'FUNDED DEALS 2027'!$C$4:$C$1226,"&gt;="&amp;DATE(2027,7,1),'FUNDED DEALS 2027'!$C$4:$C$1226,"&lt;"&amp;DATE(2027,8,1))+SUMIFS('FUNDED DEALS 2027'!$AB$4:$AB$1226,'FUNDED DEALS 2027'!$Z$4:$Z$1226,$A11,'FUNDED DEALS 2027'!$C$4:$C$1226,"&gt;="&amp;DATE(2027,7,1),'FUNDED DEALS 2027'!$C$4:$C$1226,"&lt;"&amp;DATE(2027,8,1)))</f>
        <v>0</v>
      </c>
      <c r="R11" s="51" t="n">
        <f aca="false">IF($A11="","",SUMIFS('FUNDED DEALS'!$V$4:$V$1226,'FUNDED DEALS'!$T$4:$T$1226,$A11,'FUNDED DEALS'!$C$4:$C$1226,"&gt;="&amp;DATE(2027,8,1),'FUNDED DEALS'!$C$4:$C$1226,"&lt;"&amp;DATE(2027,9,1))+SUMIFS('FUNDED DEALS'!$Y$4:$Y$1226,'FUNDED DEALS'!$W$4:$W$1226,$A11,'FUNDED DEALS'!$C$4:$C$1226,"&gt;="&amp;DATE(2027,8,1),'FUNDED DEALS'!$C$4:$C$1226,"&lt;"&amp;DATE(2027,9,1))+SUMIFS('FUNDED DEALS'!$AB$4:$AB$1226,'FUNDED DEALS'!$Z$4:$Z$1226,$A11,'FUNDED DEALS'!$C$4:$C$1226,"&gt;="&amp;DATE(2027,8,1),'FUNDED DEALS'!$C$4:$C$1226,"&lt;"&amp;DATE(2027,9,1))+SUMIFS('FUNDED DEALS 2027'!$V$4:$V$1226,'FUNDED DEALS 2027'!$T$4:$T$1226,$A11,'FUNDED DEALS 2027'!$C$4:$C$1226,"&gt;="&amp;DATE(2027,8,1),'FUNDED DEALS 2027'!$C$4:$C$1226,"&lt;"&amp;DATE(2027,9,1))+SUMIFS('FUNDED DEALS 2027'!$Y$4:$Y$1226,'FUNDED DEALS 2027'!$W$4:$W$1226,$A11,'FUNDED DEALS 2027'!$C$4:$C$1226,"&gt;="&amp;DATE(2027,8,1),'FUNDED DEALS 2027'!$C$4:$C$1226,"&lt;"&amp;DATE(2027,9,1))+SUMIFS('FUNDED DEALS 2027'!$AB$4:$AB$1226,'FUNDED DEALS 2027'!$Z$4:$Z$1226,$A11,'FUNDED DEALS 2027'!$C$4:$C$1226,"&gt;="&amp;DATE(2027,8,1),'FUNDED DEALS 2027'!$C$4:$C$1226,"&lt;"&amp;DATE(2027,9,1)))</f>
        <v>0</v>
      </c>
      <c r="S11" s="51" t="n">
        <f aca="false">IF($A11="","",SUMIFS('FUNDED DEALS'!$V$4:$V$1226,'FUNDED DEALS'!$T$4:$T$1226,$A11,'FUNDED DEALS'!$C$4:$C$1226,"&gt;="&amp;DATE(2027,9,1),'FUNDED DEALS'!$C$4:$C$1226,"&lt;"&amp;DATE(2027,10,1))+SUMIFS('FUNDED DEALS'!$Y$4:$Y$1226,'FUNDED DEALS'!$W$4:$W$1226,$A11,'FUNDED DEALS'!$C$4:$C$1226,"&gt;="&amp;DATE(2027,9,1),'FUNDED DEALS'!$C$4:$C$1226,"&lt;"&amp;DATE(2027,10,1))+SUMIFS('FUNDED DEALS'!$AB$4:$AB$1226,'FUNDED DEALS'!$Z$4:$Z$1226,$A11,'FUNDED DEALS'!$C$4:$C$1226,"&gt;="&amp;DATE(2027,9,1),'FUNDED DEALS'!$C$4:$C$1226,"&lt;"&amp;DATE(2027,10,1))+SUMIFS('FUNDED DEALS 2027'!$V$4:$V$1226,'FUNDED DEALS 2027'!$T$4:$T$1226,$A11,'FUNDED DEALS 2027'!$C$4:$C$1226,"&gt;="&amp;DATE(2027,9,1),'FUNDED DEALS 2027'!$C$4:$C$1226,"&lt;"&amp;DATE(2027,10,1))+SUMIFS('FUNDED DEALS 2027'!$Y$4:$Y$1226,'FUNDED DEALS 2027'!$W$4:$W$1226,$A11,'FUNDED DEALS 2027'!$C$4:$C$1226,"&gt;="&amp;DATE(2027,9,1),'FUNDED DEALS 2027'!$C$4:$C$1226,"&lt;"&amp;DATE(2027,10,1))+SUMIFS('FUNDED DEALS 2027'!$AB$4:$AB$1226,'FUNDED DEALS 2027'!$Z$4:$Z$1226,$A11,'FUNDED DEALS 2027'!$C$4:$C$1226,"&gt;="&amp;DATE(2027,9,1),'FUNDED DEALS 2027'!$C$4:$C$1226,"&lt;"&amp;DATE(2027,10,1)))</f>
        <v>0</v>
      </c>
      <c r="T11" s="51" t="n">
        <f aca="false">IF($A11="","",SUMIFS('FUNDED DEALS'!$V$4:$V$1226,'FUNDED DEALS'!$T$4:$T$1226,$A11,'FUNDED DEALS'!$C$4:$C$1226,"&gt;="&amp;DATE(2027,10,1),'FUNDED DEALS'!$C$4:$C$1226,"&lt;"&amp;DATE(2027,11,1))+SUMIFS('FUNDED DEALS'!$Y$4:$Y$1226,'FUNDED DEALS'!$W$4:$W$1226,$A11,'FUNDED DEALS'!$C$4:$C$1226,"&gt;="&amp;DATE(2027,10,1),'FUNDED DEALS'!$C$4:$C$1226,"&lt;"&amp;DATE(2027,11,1))+SUMIFS('FUNDED DEALS'!$AB$4:$AB$1226,'FUNDED DEALS'!$Z$4:$Z$1226,$A11,'FUNDED DEALS'!$C$4:$C$1226,"&gt;="&amp;DATE(2027,10,1),'FUNDED DEALS'!$C$4:$C$1226,"&lt;"&amp;DATE(2027,11,1))+SUMIFS('FUNDED DEALS 2027'!$V$4:$V$1226,'FUNDED DEALS 2027'!$T$4:$T$1226,$A11,'FUNDED DEALS 2027'!$C$4:$C$1226,"&gt;="&amp;DATE(2027,10,1),'FUNDED DEALS 2027'!$C$4:$C$1226,"&lt;"&amp;DATE(2027,11,1))+SUMIFS('FUNDED DEALS 2027'!$Y$4:$Y$1226,'FUNDED DEALS 2027'!$W$4:$W$1226,$A11,'FUNDED DEALS 2027'!$C$4:$C$1226,"&gt;="&amp;DATE(2027,10,1),'FUNDED DEALS 2027'!$C$4:$C$1226,"&lt;"&amp;DATE(2027,11,1))+SUMIFS('FUNDED DEALS 2027'!$AB$4:$AB$1226,'FUNDED DEALS 2027'!$Z$4:$Z$1226,$A11,'FUNDED DEALS 2027'!$C$4:$C$1226,"&gt;="&amp;DATE(2027,10,1),'FUNDED DEALS 2027'!$C$4:$C$1226,"&lt;"&amp;DATE(2027,11,1)))</f>
        <v>0</v>
      </c>
      <c r="U11" s="51" t="n">
        <f aca="false">IF($A11="","",SUMIFS('FUNDED DEALS'!$V$4:$V$1226,'FUNDED DEALS'!$T$4:$T$1226,$A11,'FUNDED DEALS'!$C$4:$C$1226,"&gt;="&amp;DATE(2027,11,1),'FUNDED DEALS'!$C$4:$C$1226,"&lt;"&amp;DATE(2027,12,1))+SUMIFS('FUNDED DEALS'!$Y$4:$Y$1226,'FUNDED DEALS'!$W$4:$W$1226,$A11,'FUNDED DEALS'!$C$4:$C$1226,"&gt;="&amp;DATE(2027,11,1),'FUNDED DEALS'!$C$4:$C$1226,"&lt;"&amp;DATE(2027,12,1))+SUMIFS('FUNDED DEALS'!$AB$4:$AB$1226,'FUNDED DEALS'!$Z$4:$Z$1226,$A11,'FUNDED DEALS'!$C$4:$C$1226,"&gt;="&amp;DATE(2027,11,1),'FUNDED DEALS'!$C$4:$C$1226,"&lt;"&amp;DATE(2027,12,1))+SUMIFS('FUNDED DEALS 2027'!$V$4:$V$1226,'FUNDED DEALS 2027'!$T$4:$T$1226,$A11,'FUNDED DEALS 2027'!$C$4:$C$1226,"&gt;="&amp;DATE(2027,11,1),'FUNDED DEALS 2027'!$C$4:$C$1226,"&lt;"&amp;DATE(2027,12,1))+SUMIFS('FUNDED DEALS 2027'!$Y$4:$Y$1226,'FUNDED DEALS 2027'!$W$4:$W$1226,$A11,'FUNDED DEALS 2027'!$C$4:$C$1226,"&gt;="&amp;DATE(2027,11,1),'FUNDED DEALS 2027'!$C$4:$C$1226,"&lt;"&amp;DATE(2027,12,1))+SUMIFS('FUNDED DEALS 2027'!$AB$4:$AB$1226,'FUNDED DEALS 2027'!$Z$4:$Z$1226,$A11,'FUNDED DEALS 2027'!$C$4:$C$1226,"&gt;="&amp;DATE(2027,11,1),'FUNDED DEALS 2027'!$C$4:$C$1226,"&lt;"&amp;DATE(2027,12,1)))</f>
        <v>0</v>
      </c>
      <c r="V11" s="51" t="n">
        <f aca="false">IF($A11="","",SUMIFS('FUNDED DEALS'!$V$4:$V$1226,'FUNDED DEALS'!$T$4:$T$1226,$A11,'FUNDED DEALS'!$C$4:$C$1226,"&gt;="&amp;DATE(2027,12,1),'FUNDED DEALS'!$C$4:$C$1226,"&lt;"&amp;DATE(2028,1,1))+SUMIFS('FUNDED DEALS'!$Y$4:$Y$1226,'FUNDED DEALS'!$W$4:$W$1226,$A11,'FUNDED DEALS'!$C$4:$C$1226,"&gt;="&amp;DATE(2027,12,1),'FUNDED DEALS'!$C$4:$C$1226,"&lt;"&amp;DATE(2028,1,1))+SUMIFS('FUNDED DEALS'!$AB$4:$AB$1226,'FUNDED DEALS'!$Z$4:$Z$1226,$A11,'FUNDED DEALS'!$C$4:$C$1226,"&gt;="&amp;DATE(2027,12,1),'FUNDED DEALS'!$C$4:$C$1226,"&lt;"&amp;DATE(2028,1,1))+SUMIFS('FUNDED DEALS 2027'!$V$4:$V$1226,'FUNDED DEALS 2027'!$T$4:$T$1226,$A11,'FUNDED DEALS 2027'!$C$4:$C$1226,"&gt;="&amp;DATE(2027,12,1),'FUNDED DEALS 2027'!$C$4:$C$1226,"&lt;"&amp;DATE(2028,1,1))+SUMIFS('FUNDED DEALS 2027'!$Y$4:$Y$1226,'FUNDED DEALS 2027'!$W$4:$W$1226,$A11,'FUNDED DEALS 2027'!$C$4:$C$1226,"&gt;="&amp;DATE(2027,12,1),'FUNDED DEALS 2027'!$C$4:$C$1226,"&lt;"&amp;DATE(2028,1,1))+SUMIFS('FUNDED DEALS 2027'!$AB$4:$AB$1226,'FUNDED DEALS 2027'!$Z$4:$Z$1226,$A11,'FUNDED DEALS 2027'!$C$4:$C$1226,"&gt;="&amp;DATE(2027,12,1),'FUNDED DEALS 2027'!$C$4:$C$1226,"&lt;"&amp;DATE(2028,1,1)))</f>
        <v>0</v>
      </c>
      <c r="W11" s="58" t="n">
        <f aca="false">IF($A11="","",SUM(B11:V11))</f>
        <v>0</v>
      </c>
    </row>
    <row r="12" customFormat="false" ht="15" hidden="false" customHeight="false" outlineLevel="0" collapsed="false">
      <c r="A12" s="47" t="str">
        <f aca="false">IF(REPS!A10="","",REPS!A10)</f>
        <v>Jacobo Simkin</v>
      </c>
      <c r="B12" s="48" t="n">
        <f aca="false">IF($A12="","",SUMIFS('FUNDED DEALS'!$V$4:$V$1226,'FUNDED DEALS'!$T$4:$T$1226,$A12,'FUNDED DEALS'!$C$4:$C$1226,"&gt;="&amp;DATE(2026,4,1),'FUNDED DEALS'!$C$4:$C$1226,"&lt;"&amp;DATE(2026,5,1))+SUMIFS('FUNDED DEALS'!$Y$4:$Y$1226,'FUNDED DEALS'!$W$4:$W$1226,$A12,'FUNDED DEALS'!$C$4:$C$1226,"&gt;="&amp;DATE(2026,4,1),'FUNDED DEALS'!$C$4:$C$1226,"&lt;"&amp;DATE(2026,5,1))+SUMIFS('FUNDED DEALS'!$AB$4:$AB$1226,'FUNDED DEALS'!$Z$4:$Z$1226,$A12,'FUNDED DEALS'!$C$4:$C$1226,"&gt;="&amp;DATE(2026,4,1),'FUNDED DEALS'!$C$4:$C$1226,"&lt;"&amp;DATE(2026,5,1))+SUMIFS('FUNDED DEALS 2027'!$V$4:$V$1226,'FUNDED DEALS 2027'!$T$4:$T$1226,$A12,'FUNDED DEALS 2027'!$C$4:$C$1226,"&gt;="&amp;DATE(2026,4,1),'FUNDED DEALS 2027'!$C$4:$C$1226,"&lt;"&amp;DATE(2026,5,1))+SUMIFS('FUNDED DEALS 2027'!$Y$4:$Y$1226,'FUNDED DEALS 2027'!$W$4:$W$1226,$A12,'FUNDED DEALS 2027'!$C$4:$C$1226,"&gt;="&amp;DATE(2026,4,1),'FUNDED DEALS 2027'!$C$4:$C$1226,"&lt;"&amp;DATE(2026,5,1))+SUMIFS('FUNDED DEALS 2027'!$AB$4:$AB$1226,'FUNDED DEALS 2027'!$Z$4:$Z$1226,$A12,'FUNDED DEALS 2027'!$C$4:$C$1226,"&gt;="&amp;DATE(2026,4,1),'FUNDED DEALS 2027'!$C$4:$C$1226,"&lt;"&amp;DATE(2026,5,1)))</f>
        <v>0</v>
      </c>
      <c r="C12" s="48" t="n">
        <f aca="false">IF($A12="","",SUMIFS('FUNDED DEALS'!$V$4:$V$1226,'FUNDED DEALS'!$T$4:$T$1226,$A12,'FUNDED DEALS'!$C$4:$C$1226,"&gt;="&amp;DATE(2026,5,1),'FUNDED DEALS'!$C$4:$C$1226,"&lt;"&amp;DATE(2026,6,1))+SUMIFS('FUNDED DEALS'!$Y$4:$Y$1226,'FUNDED DEALS'!$W$4:$W$1226,$A12,'FUNDED DEALS'!$C$4:$C$1226,"&gt;="&amp;DATE(2026,5,1),'FUNDED DEALS'!$C$4:$C$1226,"&lt;"&amp;DATE(2026,6,1))+SUMIFS('FUNDED DEALS'!$AB$4:$AB$1226,'FUNDED DEALS'!$Z$4:$Z$1226,$A12,'FUNDED DEALS'!$C$4:$C$1226,"&gt;="&amp;DATE(2026,5,1),'FUNDED DEALS'!$C$4:$C$1226,"&lt;"&amp;DATE(2026,6,1))+SUMIFS('FUNDED DEALS 2027'!$V$4:$V$1226,'FUNDED DEALS 2027'!$T$4:$T$1226,$A12,'FUNDED DEALS 2027'!$C$4:$C$1226,"&gt;="&amp;DATE(2026,5,1),'FUNDED DEALS 2027'!$C$4:$C$1226,"&lt;"&amp;DATE(2026,6,1))+SUMIFS('FUNDED DEALS 2027'!$Y$4:$Y$1226,'FUNDED DEALS 2027'!$W$4:$W$1226,$A12,'FUNDED DEALS 2027'!$C$4:$C$1226,"&gt;="&amp;DATE(2026,5,1),'FUNDED DEALS 2027'!$C$4:$C$1226,"&lt;"&amp;DATE(2026,6,1))+SUMIFS('FUNDED DEALS 2027'!$AB$4:$AB$1226,'FUNDED DEALS 2027'!$Z$4:$Z$1226,$A12,'FUNDED DEALS 2027'!$C$4:$C$1226,"&gt;="&amp;DATE(2026,5,1),'FUNDED DEALS 2027'!$C$4:$C$1226,"&lt;"&amp;DATE(2026,6,1)))</f>
        <v>0</v>
      </c>
      <c r="D12" s="48" t="n">
        <f aca="false">IF($A12="","",SUMIFS('FUNDED DEALS'!$V$4:$V$1226,'FUNDED DEALS'!$T$4:$T$1226,$A12,'FUNDED DEALS'!$C$4:$C$1226,"&gt;="&amp;DATE(2026,6,1),'FUNDED DEALS'!$C$4:$C$1226,"&lt;"&amp;DATE(2026,7,1))+SUMIFS('FUNDED DEALS'!$Y$4:$Y$1226,'FUNDED DEALS'!$W$4:$W$1226,$A12,'FUNDED DEALS'!$C$4:$C$1226,"&gt;="&amp;DATE(2026,6,1),'FUNDED DEALS'!$C$4:$C$1226,"&lt;"&amp;DATE(2026,7,1))+SUMIFS('FUNDED DEALS'!$AB$4:$AB$1226,'FUNDED DEALS'!$Z$4:$Z$1226,$A12,'FUNDED DEALS'!$C$4:$C$1226,"&gt;="&amp;DATE(2026,6,1),'FUNDED DEALS'!$C$4:$C$1226,"&lt;"&amp;DATE(2026,7,1))+SUMIFS('FUNDED DEALS 2027'!$V$4:$V$1226,'FUNDED DEALS 2027'!$T$4:$T$1226,$A12,'FUNDED DEALS 2027'!$C$4:$C$1226,"&gt;="&amp;DATE(2026,6,1),'FUNDED DEALS 2027'!$C$4:$C$1226,"&lt;"&amp;DATE(2026,7,1))+SUMIFS('FUNDED DEALS 2027'!$Y$4:$Y$1226,'FUNDED DEALS 2027'!$W$4:$W$1226,$A12,'FUNDED DEALS 2027'!$C$4:$C$1226,"&gt;="&amp;DATE(2026,6,1),'FUNDED DEALS 2027'!$C$4:$C$1226,"&lt;"&amp;DATE(2026,7,1))+SUMIFS('FUNDED DEALS 2027'!$AB$4:$AB$1226,'FUNDED DEALS 2027'!$Z$4:$Z$1226,$A12,'FUNDED DEALS 2027'!$C$4:$C$1226,"&gt;="&amp;DATE(2026,6,1),'FUNDED DEALS 2027'!$C$4:$C$1226,"&lt;"&amp;DATE(2026,7,1)))</f>
        <v>0</v>
      </c>
      <c r="E12" s="48" t="n">
        <f aca="false">IF($A12="","",SUMIFS('FUNDED DEALS'!$V$4:$V$1226,'FUNDED DEALS'!$T$4:$T$1226,$A12,'FUNDED DEALS'!$C$4:$C$1226,"&gt;="&amp;DATE(2026,7,1),'FUNDED DEALS'!$C$4:$C$1226,"&lt;"&amp;DATE(2026,8,1))+SUMIFS('FUNDED DEALS'!$Y$4:$Y$1226,'FUNDED DEALS'!$W$4:$W$1226,$A12,'FUNDED DEALS'!$C$4:$C$1226,"&gt;="&amp;DATE(2026,7,1),'FUNDED DEALS'!$C$4:$C$1226,"&lt;"&amp;DATE(2026,8,1))+SUMIFS('FUNDED DEALS'!$AB$4:$AB$1226,'FUNDED DEALS'!$Z$4:$Z$1226,$A12,'FUNDED DEALS'!$C$4:$C$1226,"&gt;="&amp;DATE(2026,7,1),'FUNDED DEALS'!$C$4:$C$1226,"&lt;"&amp;DATE(2026,8,1))+SUMIFS('FUNDED DEALS 2027'!$V$4:$V$1226,'FUNDED DEALS 2027'!$T$4:$T$1226,$A12,'FUNDED DEALS 2027'!$C$4:$C$1226,"&gt;="&amp;DATE(2026,7,1),'FUNDED DEALS 2027'!$C$4:$C$1226,"&lt;"&amp;DATE(2026,8,1))+SUMIFS('FUNDED DEALS 2027'!$Y$4:$Y$1226,'FUNDED DEALS 2027'!$W$4:$W$1226,$A12,'FUNDED DEALS 2027'!$C$4:$C$1226,"&gt;="&amp;DATE(2026,7,1),'FUNDED DEALS 2027'!$C$4:$C$1226,"&lt;"&amp;DATE(2026,8,1))+SUMIFS('FUNDED DEALS 2027'!$AB$4:$AB$1226,'FUNDED DEALS 2027'!$Z$4:$Z$1226,$A12,'FUNDED DEALS 2027'!$C$4:$C$1226,"&gt;="&amp;DATE(2026,7,1),'FUNDED DEALS 2027'!$C$4:$C$1226,"&lt;"&amp;DATE(2026,8,1)))</f>
        <v>0</v>
      </c>
      <c r="F12" s="48" t="n">
        <f aca="false">IF($A12="","",SUMIFS('FUNDED DEALS'!$V$4:$V$1226,'FUNDED DEALS'!$T$4:$T$1226,$A12,'FUNDED DEALS'!$C$4:$C$1226,"&gt;="&amp;DATE(2026,8,1),'FUNDED DEALS'!$C$4:$C$1226,"&lt;"&amp;DATE(2026,9,1))+SUMIFS('FUNDED DEALS'!$Y$4:$Y$1226,'FUNDED DEALS'!$W$4:$W$1226,$A12,'FUNDED DEALS'!$C$4:$C$1226,"&gt;="&amp;DATE(2026,8,1),'FUNDED DEALS'!$C$4:$C$1226,"&lt;"&amp;DATE(2026,9,1))+SUMIFS('FUNDED DEALS'!$AB$4:$AB$1226,'FUNDED DEALS'!$Z$4:$Z$1226,$A12,'FUNDED DEALS'!$C$4:$C$1226,"&gt;="&amp;DATE(2026,8,1),'FUNDED DEALS'!$C$4:$C$1226,"&lt;"&amp;DATE(2026,9,1))+SUMIFS('FUNDED DEALS 2027'!$V$4:$V$1226,'FUNDED DEALS 2027'!$T$4:$T$1226,$A12,'FUNDED DEALS 2027'!$C$4:$C$1226,"&gt;="&amp;DATE(2026,8,1),'FUNDED DEALS 2027'!$C$4:$C$1226,"&lt;"&amp;DATE(2026,9,1))+SUMIFS('FUNDED DEALS 2027'!$Y$4:$Y$1226,'FUNDED DEALS 2027'!$W$4:$W$1226,$A12,'FUNDED DEALS 2027'!$C$4:$C$1226,"&gt;="&amp;DATE(2026,8,1),'FUNDED DEALS 2027'!$C$4:$C$1226,"&lt;"&amp;DATE(2026,9,1))+SUMIFS('FUNDED DEALS 2027'!$AB$4:$AB$1226,'FUNDED DEALS 2027'!$Z$4:$Z$1226,$A12,'FUNDED DEALS 2027'!$C$4:$C$1226,"&gt;="&amp;DATE(2026,8,1),'FUNDED DEALS 2027'!$C$4:$C$1226,"&lt;"&amp;DATE(2026,9,1)))</f>
        <v>0</v>
      </c>
      <c r="G12" s="48" t="n">
        <f aca="false">IF($A12="","",SUMIFS('FUNDED DEALS'!$V$4:$V$1226,'FUNDED DEALS'!$T$4:$T$1226,$A12,'FUNDED DEALS'!$C$4:$C$1226,"&gt;="&amp;DATE(2026,9,1),'FUNDED DEALS'!$C$4:$C$1226,"&lt;"&amp;DATE(2026,10,1))+SUMIFS('FUNDED DEALS'!$Y$4:$Y$1226,'FUNDED DEALS'!$W$4:$W$1226,$A12,'FUNDED DEALS'!$C$4:$C$1226,"&gt;="&amp;DATE(2026,9,1),'FUNDED DEALS'!$C$4:$C$1226,"&lt;"&amp;DATE(2026,10,1))+SUMIFS('FUNDED DEALS'!$AB$4:$AB$1226,'FUNDED DEALS'!$Z$4:$Z$1226,$A12,'FUNDED DEALS'!$C$4:$C$1226,"&gt;="&amp;DATE(2026,9,1),'FUNDED DEALS'!$C$4:$C$1226,"&lt;"&amp;DATE(2026,10,1))+SUMIFS('FUNDED DEALS 2027'!$V$4:$V$1226,'FUNDED DEALS 2027'!$T$4:$T$1226,$A12,'FUNDED DEALS 2027'!$C$4:$C$1226,"&gt;="&amp;DATE(2026,9,1),'FUNDED DEALS 2027'!$C$4:$C$1226,"&lt;"&amp;DATE(2026,10,1))+SUMIFS('FUNDED DEALS 2027'!$Y$4:$Y$1226,'FUNDED DEALS 2027'!$W$4:$W$1226,$A12,'FUNDED DEALS 2027'!$C$4:$C$1226,"&gt;="&amp;DATE(2026,9,1),'FUNDED DEALS 2027'!$C$4:$C$1226,"&lt;"&amp;DATE(2026,10,1))+SUMIFS('FUNDED DEALS 2027'!$AB$4:$AB$1226,'FUNDED DEALS 2027'!$Z$4:$Z$1226,$A12,'FUNDED DEALS 2027'!$C$4:$C$1226,"&gt;="&amp;DATE(2026,9,1),'FUNDED DEALS 2027'!$C$4:$C$1226,"&lt;"&amp;DATE(2026,10,1)))</f>
        <v>0</v>
      </c>
      <c r="H12" s="48" t="n">
        <f aca="false">IF($A12="","",SUMIFS('FUNDED DEALS'!$V$4:$V$1226,'FUNDED DEALS'!$T$4:$T$1226,$A12,'FUNDED DEALS'!$C$4:$C$1226,"&gt;="&amp;DATE(2026,10,1),'FUNDED DEALS'!$C$4:$C$1226,"&lt;"&amp;DATE(2026,11,1))+SUMIFS('FUNDED DEALS'!$Y$4:$Y$1226,'FUNDED DEALS'!$W$4:$W$1226,$A12,'FUNDED DEALS'!$C$4:$C$1226,"&gt;="&amp;DATE(2026,10,1),'FUNDED DEALS'!$C$4:$C$1226,"&lt;"&amp;DATE(2026,11,1))+SUMIFS('FUNDED DEALS'!$AB$4:$AB$1226,'FUNDED DEALS'!$Z$4:$Z$1226,$A12,'FUNDED DEALS'!$C$4:$C$1226,"&gt;="&amp;DATE(2026,10,1),'FUNDED DEALS'!$C$4:$C$1226,"&lt;"&amp;DATE(2026,11,1))+SUMIFS('FUNDED DEALS 2027'!$V$4:$V$1226,'FUNDED DEALS 2027'!$T$4:$T$1226,$A12,'FUNDED DEALS 2027'!$C$4:$C$1226,"&gt;="&amp;DATE(2026,10,1),'FUNDED DEALS 2027'!$C$4:$C$1226,"&lt;"&amp;DATE(2026,11,1))+SUMIFS('FUNDED DEALS 2027'!$Y$4:$Y$1226,'FUNDED DEALS 2027'!$W$4:$W$1226,$A12,'FUNDED DEALS 2027'!$C$4:$C$1226,"&gt;="&amp;DATE(2026,10,1),'FUNDED DEALS 2027'!$C$4:$C$1226,"&lt;"&amp;DATE(2026,11,1))+SUMIFS('FUNDED DEALS 2027'!$AB$4:$AB$1226,'FUNDED DEALS 2027'!$Z$4:$Z$1226,$A12,'FUNDED DEALS 2027'!$C$4:$C$1226,"&gt;="&amp;DATE(2026,10,1),'FUNDED DEALS 2027'!$C$4:$C$1226,"&lt;"&amp;DATE(2026,11,1)))</f>
        <v>0</v>
      </c>
      <c r="I12" s="48" t="n">
        <f aca="false">IF($A12="","",SUMIFS('FUNDED DEALS'!$V$4:$V$1226,'FUNDED DEALS'!$T$4:$T$1226,$A12,'FUNDED DEALS'!$C$4:$C$1226,"&gt;="&amp;DATE(2026,11,1),'FUNDED DEALS'!$C$4:$C$1226,"&lt;"&amp;DATE(2026,12,1))+SUMIFS('FUNDED DEALS'!$Y$4:$Y$1226,'FUNDED DEALS'!$W$4:$W$1226,$A12,'FUNDED DEALS'!$C$4:$C$1226,"&gt;="&amp;DATE(2026,11,1),'FUNDED DEALS'!$C$4:$C$1226,"&lt;"&amp;DATE(2026,12,1))+SUMIFS('FUNDED DEALS'!$AB$4:$AB$1226,'FUNDED DEALS'!$Z$4:$Z$1226,$A12,'FUNDED DEALS'!$C$4:$C$1226,"&gt;="&amp;DATE(2026,11,1),'FUNDED DEALS'!$C$4:$C$1226,"&lt;"&amp;DATE(2026,12,1))+SUMIFS('FUNDED DEALS 2027'!$V$4:$V$1226,'FUNDED DEALS 2027'!$T$4:$T$1226,$A12,'FUNDED DEALS 2027'!$C$4:$C$1226,"&gt;="&amp;DATE(2026,11,1),'FUNDED DEALS 2027'!$C$4:$C$1226,"&lt;"&amp;DATE(2026,12,1))+SUMIFS('FUNDED DEALS 2027'!$Y$4:$Y$1226,'FUNDED DEALS 2027'!$W$4:$W$1226,$A12,'FUNDED DEALS 2027'!$C$4:$C$1226,"&gt;="&amp;DATE(2026,11,1),'FUNDED DEALS 2027'!$C$4:$C$1226,"&lt;"&amp;DATE(2026,12,1))+SUMIFS('FUNDED DEALS 2027'!$AB$4:$AB$1226,'FUNDED DEALS 2027'!$Z$4:$Z$1226,$A12,'FUNDED DEALS 2027'!$C$4:$C$1226,"&gt;="&amp;DATE(2026,11,1),'FUNDED DEALS 2027'!$C$4:$C$1226,"&lt;"&amp;DATE(2026,12,1)))</f>
        <v>0</v>
      </c>
      <c r="J12" s="48" t="n">
        <f aca="false">IF($A12="","",SUMIFS('FUNDED DEALS'!$V$4:$V$1226,'FUNDED DEALS'!$T$4:$T$1226,$A12,'FUNDED DEALS'!$C$4:$C$1226,"&gt;="&amp;DATE(2026,12,1),'FUNDED DEALS'!$C$4:$C$1226,"&lt;"&amp;DATE(2027,1,1))+SUMIFS('FUNDED DEALS'!$Y$4:$Y$1226,'FUNDED DEALS'!$W$4:$W$1226,$A12,'FUNDED DEALS'!$C$4:$C$1226,"&gt;="&amp;DATE(2026,12,1),'FUNDED DEALS'!$C$4:$C$1226,"&lt;"&amp;DATE(2027,1,1))+SUMIFS('FUNDED DEALS'!$AB$4:$AB$1226,'FUNDED DEALS'!$Z$4:$Z$1226,$A12,'FUNDED DEALS'!$C$4:$C$1226,"&gt;="&amp;DATE(2026,12,1),'FUNDED DEALS'!$C$4:$C$1226,"&lt;"&amp;DATE(2027,1,1))+SUMIFS('FUNDED DEALS 2027'!$V$4:$V$1226,'FUNDED DEALS 2027'!$T$4:$T$1226,$A12,'FUNDED DEALS 2027'!$C$4:$C$1226,"&gt;="&amp;DATE(2026,12,1),'FUNDED DEALS 2027'!$C$4:$C$1226,"&lt;"&amp;DATE(2027,1,1))+SUMIFS('FUNDED DEALS 2027'!$Y$4:$Y$1226,'FUNDED DEALS 2027'!$W$4:$W$1226,$A12,'FUNDED DEALS 2027'!$C$4:$C$1226,"&gt;="&amp;DATE(2026,12,1),'FUNDED DEALS 2027'!$C$4:$C$1226,"&lt;"&amp;DATE(2027,1,1))+SUMIFS('FUNDED DEALS 2027'!$AB$4:$AB$1226,'FUNDED DEALS 2027'!$Z$4:$Z$1226,$A12,'FUNDED DEALS 2027'!$C$4:$C$1226,"&gt;="&amp;DATE(2026,12,1),'FUNDED DEALS 2027'!$C$4:$C$1226,"&lt;"&amp;DATE(2027,1,1)))</f>
        <v>0</v>
      </c>
      <c r="K12" s="48" t="n">
        <f aca="false">IF($A12="","",SUMIFS('FUNDED DEALS'!$V$4:$V$1226,'FUNDED DEALS'!$T$4:$T$1226,$A12,'FUNDED DEALS'!$C$4:$C$1226,"&gt;="&amp;DATE(2027,1,1),'FUNDED DEALS'!$C$4:$C$1226,"&lt;"&amp;DATE(2027,2,1))+SUMIFS('FUNDED DEALS'!$Y$4:$Y$1226,'FUNDED DEALS'!$W$4:$W$1226,$A12,'FUNDED DEALS'!$C$4:$C$1226,"&gt;="&amp;DATE(2027,1,1),'FUNDED DEALS'!$C$4:$C$1226,"&lt;"&amp;DATE(2027,2,1))+SUMIFS('FUNDED DEALS'!$AB$4:$AB$1226,'FUNDED DEALS'!$Z$4:$Z$1226,$A12,'FUNDED DEALS'!$C$4:$C$1226,"&gt;="&amp;DATE(2027,1,1),'FUNDED DEALS'!$C$4:$C$1226,"&lt;"&amp;DATE(2027,2,1))+SUMIFS('FUNDED DEALS 2027'!$V$4:$V$1226,'FUNDED DEALS 2027'!$T$4:$T$1226,$A12,'FUNDED DEALS 2027'!$C$4:$C$1226,"&gt;="&amp;DATE(2027,1,1),'FUNDED DEALS 2027'!$C$4:$C$1226,"&lt;"&amp;DATE(2027,2,1))+SUMIFS('FUNDED DEALS 2027'!$Y$4:$Y$1226,'FUNDED DEALS 2027'!$W$4:$W$1226,$A12,'FUNDED DEALS 2027'!$C$4:$C$1226,"&gt;="&amp;DATE(2027,1,1),'FUNDED DEALS 2027'!$C$4:$C$1226,"&lt;"&amp;DATE(2027,2,1))+SUMIFS('FUNDED DEALS 2027'!$AB$4:$AB$1226,'FUNDED DEALS 2027'!$Z$4:$Z$1226,$A12,'FUNDED DEALS 2027'!$C$4:$C$1226,"&gt;="&amp;DATE(2027,1,1),'FUNDED DEALS 2027'!$C$4:$C$1226,"&lt;"&amp;DATE(2027,2,1)))</f>
        <v>0</v>
      </c>
      <c r="L12" s="48" t="n">
        <f aca="false">IF($A12="","",SUMIFS('FUNDED DEALS'!$V$4:$V$1226,'FUNDED DEALS'!$T$4:$T$1226,$A12,'FUNDED DEALS'!$C$4:$C$1226,"&gt;="&amp;DATE(2027,2,1),'FUNDED DEALS'!$C$4:$C$1226,"&lt;"&amp;DATE(2027,3,1))+SUMIFS('FUNDED DEALS'!$Y$4:$Y$1226,'FUNDED DEALS'!$W$4:$W$1226,$A12,'FUNDED DEALS'!$C$4:$C$1226,"&gt;="&amp;DATE(2027,2,1),'FUNDED DEALS'!$C$4:$C$1226,"&lt;"&amp;DATE(2027,3,1))+SUMIFS('FUNDED DEALS'!$AB$4:$AB$1226,'FUNDED DEALS'!$Z$4:$Z$1226,$A12,'FUNDED DEALS'!$C$4:$C$1226,"&gt;="&amp;DATE(2027,2,1),'FUNDED DEALS'!$C$4:$C$1226,"&lt;"&amp;DATE(2027,3,1))+SUMIFS('FUNDED DEALS 2027'!$V$4:$V$1226,'FUNDED DEALS 2027'!$T$4:$T$1226,$A12,'FUNDED DEALS 2027'!$C$4:$C$1226,"&gt;="&amp;DATE(2027,2,1),'FUNDED DEALS 2027'!$C$4:$C$1226,"&lt;"&amp;DATE(2027,3,1))+SUMIFS('FUNDED DEALS 2027'!$Y$4:$Y$1226,'FUNDED DEALS 2027'!$W$4:$W$1226,$A12,'FUNDED DEALS 2027'!$C$4:$C$1226,"&gt;="&amp;DATE(2027,2,1),'FUNDED DEALS 2027'!$C$4:$C$1226,"&lt;"&amp;DATE(2027,3,1))+SUMIFS('FUNDED DEALS 2027'!$AB$4:$AB$1226,'FUNDED DEALS 2027'!$Z$4:$Z$1226,$A12,'FUNDED DEALS 2027'!$C$4:$C$1226,"&gt;="&amp;DATE(2027,2,1),'FUNDED DEALS 2027'!$C$4:$C$1226,"&lt;"&amp;DATE(2027,3,1)))</f>
        <v>0</v>
      </c>
      <c r="M12" s="48" t="n">
        <f aca="false">IF($A12="","",SUMIFS('FUNDED DEALS'!$V$4:$V$1226,'FUNDED DEALS'!$T$4:$T$1226,$A12,'FUNDED DEALS'!$C$4:$C$1226,"&gt;="&amp;DATE(2027,3,1),'FUNDED DEALS'!$C$4:$C$1226,"&lt;"&amp;DATE(2027,4,1))+SUMIFS('FUNDED DEALS'!$Y$4:$Y$1226,'FUNDED DEALS'!$W$4:$W$1226,$A12,'FUNDED DEALS'!$C$4:$C$1226,"&gt;="&amp;DATE(2027,3,1),'FUNDED DEALS'!$C$4:$C$1226,"&lt;"&amp;DATE(2027,4,1))+SUMIFS('FUNDED DEALS'!$AB$4:$AB$1226,'FUNDED DEALS'!$Z$4:$Z$1226,$A12,'FUNDED DEALS'!$C$4:$C$1226,"&gt;="&amp;DATE(2027,3,1),'FUNDED DEALS'!$C$4:$C$1226,"&lt;"&amp;DATE(2027,4,1))+SUMIFS('FUNDED DEALS 2027'!$V$4:$V$1226,'FUNDED DEALS 2027'!$T$4:$T$1226,$A12,'FUNDED DEALS 2027'!$C$4:$C$1226,"&gt;="&amp;DATE(2027,3,1),'FUNDED DEALS 2027'!$C$4:$C$1226,"&lt;"&amp;DATE(2027,4,1))+SUMIFS('FUNDED DEALS 2027'!$Y$4:$Y$1226,'FUNDED DEALS 2027'!$W$4:$W$1226,$A12,'FUNDED DEALS 2027'!$C$4:$C$1226,"&gt;="&amp;DATE(2027,3,1),'FUNDED DEALS 2027'!$C$4:$C$1226,"&lt;"&amp;DATE(2027,4,1))+SUMIFS('FUNDED DEALS 2027'!$AB$4:$AB$1226,'FUNDED DEALS 2027'!$Z$4:$Z$1226,$A12,'FUNDED DEALS 2027'!$C$4:$C$1226,"&gt;="&amp;DATE(2027,3,1),'FUNDED DEALS 2027'!$C$4:$C$1226,"&lt;"&amp;DATE(2027,4,1)))</f>
        <v>0</v>
      </c>
      <c r="N12" s="48" t="n">
        <f aca="false">IF($A12="","",SUMIFS('FUNDED DEALS'!$V$4:$V$1226,'FUNDED DEALS'!$T$4:$T$1226,$A12,'FUNDED DEALS'!$C$4:$C$1226,"&gt;="&amp;DATE(2027,4,1),'FUNDED DEALS'!$C$4:$C$1226,"&lt;"&amp;DATE(2027,5,1))+SUMIFS('FUNDED DEALS'!$Y$4:$Y$1226,'FUNDED DEALS'!$W$4:$W$1226,$A12,'FUNDED DEALS'!$C$4:$C$1226,"&gt;="&amp;DATE(2027,4,1),'FUNDED DEALS'!$C$4:$C$1226,"&lt;"&amp;DATE(2027,5,1))+SUMIFS('FUNDED DEALS'!$AB$4:$AB$1226,'FUNDED DEALS'!$Z$4:$Z$1226,$A12,'FUNDED DEALS'!$C$4:$C$1226,"&gt;="&amp;DATE(2027,4,1),'FUNDED DEALS'!$C$4:$C$1226,"&lt;"&amp;DATE(2027,5,1))+SUMIFS('FUNDED DEALS 2027'!$V$4:$V$1226,'FUNDED DEALS 2027'!$T$4:$T$1226,$A12,'FUNDED DEALS 2027'!$C$4:$C$1226,"&gt;="&amp;DATE(2027,4,1),'FUNDED DEALS 2027'!$C$4:$C$1226,"&lt;"&amp;DATE(2027,5,1))+SUMIFS('FUNDED DEALS 2027'!$Y$4:$Y$1226,'FUNDED DEALS 2027'!$W$4:$W$1226,$A12,'FUNDED DEALS 2027'!$C$4:$C$1226,"&gt;="&amp;DATE(2027,4,1),'FUNDED DEALS 2027'!$C$4:$C$1226,"&lt;"&amp;DATE(2027,5,1))+SUMIFS('FUNDED DEALS 2027'!$AB$4:$AB$1226,'FUNDED DEALS 2027'!$Z$4:$Z$1226,$A12,'FUNDED DEALS 2027'!$C$4:$C$1226,"&gt;="&amp;DATE(2027,4,1),'FUNDED DEALS 2027'!$C$4:$C$1226,"&lt;"&amp;DATE(2027,5,1)))</f>
        <v>0</v>
      </c>
      <c r="O12" s="48" t="n">
        <f aca="false">IF($A12="","",SUMIFS('FUNDED DEALS'!$V$4:$V$1226,'FUNDED DEALS'!$T$4:$T$1226,$A12,'FUNDED DEALS'!$C$4:$C$1226,"&gt;="&amp;DATE(2027,5,1),'FUNDED DEALS'!$C$4:$C$1226,"&lt;"&amp;DATE(2027,6,1))+SUMIFS('FUNDED DEALS'!$Y$4:$Y$1226,'FUNDED DEALS'!$W$4:$W$1226,$A12,'FUNDED DEALS'!$C$4:$C$1226,"&gt;="&amp;DATE(2027,5,1),'FUNDED DEALS'!$C$4:$C$1226,"&lt;"&amp;DATE(2027,6,1))+SUMIFS('FUNDED DEALS'!$AB$4:$AB$1226,'FUNDED DEALS'!$Z$4:$Z$1226,$A12,'FUNDED DEALS'!$C$4:$C$1226,"&gt;="&amp;DATE(2027,5,1),'FUNDED DEALS'!$C$4:$C$1226,"&lt;"&amp;DATE(2027,6,1))+SUMIFS('FUNDED DEALS 2027'!$V$4:$V$1226,'FUNDED DEALS 2027'!$T$4:$T$1226,$A12,'FUNDED DEALS 2027'!$C$4:$C$1226,"&gt;="&amp;DATE(2027,5,1),'FUNDED DEALS 2027'!$C$4:$C$1226,"&lt;"&amp;DATE(2027,6,1))+SUMIFS('FUNDED DEALS 2027'!$Y$4:$Y$1226,'FUNDED DEALS 2027'!$W$4:$W$1226,$A12,'FUNDED DEALS 2027'!$C$4:$C$1226,"&gt;="&amp;DATE(2027,5,1),'FUNDED DEALS 2027'!$C$4:$C$1226,"&lt;"&amp;DATE(2027,6,1))+SUMIFS('FUNDED DEALS 2027'!$AB$4:$AB$1226,'FUNDED DEALS 2027'!$Z$4:$Z$1226,$A12,'FUNDED DEALS 2027'!$C$4:$C$1226,"&gt;="&amp;DATE(2027,5,1),'FUNDED DEALS 2027'!$C$4:$C$1226,"&lt;"&amp;DATE(2027,6,1)))</f>
        <v>0</v>
      </c>
      <c r="P12" s="48" t="n">
        <f aca="false">IF($A12="","",SUMIFS('FUNDED DEALS'!$V$4:$V$1226,'FUNDED DEALS'!$T$4:$T$1226,$A12,'FUNDED DEALS'!$C$4:$C$1226,"&gt;="&amp;DATE(2027,6,1),'FUNDED DEALS'!$C$4:$C$1226,"&lt;"&amp;DATE(2027,7,1))+SUMIFS('FUNDED DEALS'!$Y$4:$Y$1226,'FUNDED DEALS'!$W$4:$W$1226,$A12,'FUNDED DEALS'!$C$4:$C$1226,"&gt;="&amp;DATE(2027,6,1),'FUNDED DEALS'!$C$4:$C$1226,"&lt;"&amp;DATE(2027,7,1))+SUMIFS('FUNDED DEALS'!$AB$4:$AB$1226,'FUNDED DEALS'!$Z$4:$Z$1226,$A12,'FUNDED DEALS'!$C$4:$C$1226,"&gt;="&amp;DATE(2027,6,1),'FUNDED DEALS'!$C$4:$C$1226,"&lt;"&amp;DATE(2027,7,1))+SUMIFS('FUNDED DEALS 2027'!$V$4:$V$1226,'FUNDED DEALS 2027'!$T$4:$T$1226,$A12,'FUNDED DEALS 2027'!$C$4:$C$1226,"&gt;="&amp;DATE(2027,6,1),'FUNDED DEALS 2027'!$C$4:$C$1226,"&lt;"&amp;DATE(2027,7,1))+SUMIFS('FUNDED DEALS 2027'!$Y$4:$Y$1226,'FUNDED DEALS 2027'!$W$4:$W$1226,$A12,'FUNDED DEALS 2027'!$C$4:$C$1226,"&gt;="&amp;DATE(2027,6,1),'FUNDED DEALS 2027'!$C$4:$C$1226,"&lt;"&amp;DATE(2027,7,1))+SUMIFS('FUNDED DEALS 2027'!$AB$4:$AB$1226,'FUNDED DEALS 2027'!$Z$4:$Z$1226,$A12,'FUNDED DEALS 2027'!$C$4:$C$1226,"&gt;="&amp;DATE(2027,6,1),'FUNDED DEALS 2027'!$C$4:$C$1226,"&lt;"&amp;DATE(2027,7,1)))</f>
        <v>0</v>
      </c>
      <c r="Q12" s="48" t="n">
        <f aca="false">IF($A12="","",SUMIFS('FUNDED DEALS'!$V$4:$V$1226,'FUNDED DEALS'!$T$4:$T$1226,$A12,'FUNDED DEALS'!$C$4:$C$1226,"&gt;="&amp;DATE(2027,7,1),'FUNDED DEALS'!$C$4:$C$1226,"&lt;"&amp;DATE(2027,8,1))+SUMIFS('FUNDED DEALS'!$Y$4:$Y$1226,'FUNDED DEALS'!$W$4:$W$1226,$A12,'FUNDED DEALS'!$C$4:$C$1226,"&gt;="&amp;DATE(2027,7,1),'FUNDED DEALS'!$C$4:$C$1226,"&lt;"&amp;DATE(2027,8,1))+SUMIFS('FUNDED DEALS'!$AB$4:$AB$1226,'FUNDED DEALS'!$Z$4:$Z$1226,$A12,'FUNDED DEALS'!$C$4:$C$1226,"&gt;="&amp;DATE(2027,7,1),'FUNDED DEALS'!$C$4:$C$1226,"&lt;"&amp;DATE(2027,8,1))+SUMIFS('FUNDED DEALS 2027'!$V$4:$V$1226,'FUNDED DEALS 2027'!$T$4:$T$1226,$A12,'FUNDED DEALS 2027'!$C$4:$C$1226,"&gt;="&amp;DATE(2027,7,1),'FUNDED DEALS 2027'!$C$4:$C$1226,"&lt;"&amp;DATE(2027,8,1))+SUMIFS('FUNDED DEALS 2027'!$Y$4:$Y$1226,'FUNDED DEALS 2027'!$W$4:$W$1226,$A12,'FUNDED DEALS 2027'!$C$4:$C$1226,"&gt;="&amp;DATE(2027,7,1),'FUNDED DEALS 2027'!$C$4:$C$1226,"&lt;"&amp;DATE(2027,8,1))+SUMIFS('FUNDED DEALS 2027'!$AB$4:$AB$1226,'FUNDED DEALS 2027'!$Z$4:$Z$1226,$A12,'FUNDED DEALS 2027'!$C$4:$C$1226,"&gt;="&amp;DATE(2027,7,1),'FUNDED DEALS 2027'!$C$4:$C$1226,"&lt;"&amp;DATE(2027,8,1)))</f>
        <v>0</v>
      </c>
      <c r="R12" s="48" t="n">
        <f aca="false">IF($A12="","",SUMIFS('FUNDED DEALS'!$V$4:$V$1226,'FUNDED DEALS'!$T$4:$T$1226,$A12,'FUNDED DEALS'!$C$4:$C$1226,"&gt;="&amp;DATE(2027,8,1),'FUNDED DEALS'!$C$4:$C$1226,"&lt;"&amp;DATE(2027,9,1))+SUMIFS('FUNDED DEALS'!$Y$4:$Y$1226,'FUNDED DEALS'!$W$4:$W$1226,$A12,'FUNDED DEALS'!$C$4:$C$1226,"&gt;="&amp;DATE(2027,8,1),'FUNDED DEALS'!$C$4:$C$1226,"&lt;"&amp;DATE(2027,9,1))+SUMIFS('FUNDED DEALS'!$AB$4:$AB$1226,'FUNDED DEALS'!$Z$4:$Z$1226,$A12,'FUNDED DEALS'!$C$4:$C$1226,"&gt;="&amp;DATE(2027,8,1),'FUNDED DEALS'!$C$4:$C$1226,"&lt;"&amp;DATE(2027,9,1))+SUMIFS('FUNDED DEALS 2027'!$V$4:$V$1226,'FUNDED DEALS 2027'!$T$4:$T$1226,$A12,'FUNDED DEALS 2027'!$C$4:$C$1226,"&gt;="&amp;DATE(2027,8,1),'FUNDED DEALS 2027'!$C$4:$C$1226,"&lt;"&amp;DATE(2027,9,1))+SUMIFS('FUNDED DEALS 2027'!$Y$4:$Y$1226,'FUNDED DEALS 2027'!$W$4:$W$1226,$A12,'FUNDED DEALS 2027'!$C$4:$C$1226,"&gt;="&amp;DATE(2027,8,1),'FUNDED DEALS 2027'!$C$4:$C$1226,"&lt;"&amp;DATE(2027,9,1))+SUMIFS('FUNDED DEALS 2027'!$AB$4:$AB$1226,'FUNDED DEALS 2027'!$Z$4:$Z$1226,$A12,'FUNDED DEALS 2027'!$C$4:$C$1226,"&gt;="&amp;DATE(2027,8,1),'FUNDED DEALS 2027'!$C$4:$C$1226,"&lt;"&amp;DATE(2027,9,1)))</f>
        <v>0</v>
      </c>
      <c r="S12" s="48" t="n">
        <f aca="false">IF($A12="","",SUMIFS('FUNDED DEALS'!$V$4:$V$1226,'FUNDED DEALS'!$T$4:$T$1226,$A12,'FUNDED DEALS'!$C$4:$C$1226,"&gt;="&amp;DATE(2027,9,1),'FUNDED DEALS'!$C$4:$C$1226,"&lt;"&amp;DATE(2027,10,1))+SUMIFS('FUNDED DEALS'!$Y$4:$Y$1226,'FUNDED DEALS'!$W$4:$W$1226,$A12,'FUNDED DEALS'!$C$4:$C$1226,"&gt;="&amp;DATE(2027,9,1),'FUNDED DEALS'!$C$4:$C$1226,"&lt;"&amp;DATE(2027,10,1))+SUMIFS('FUNDED DEALS'!$AB$4:$AB$1226,'FUNDED DEALS'!$Z$4:$Z$1226,$A12,'FUNDED DEALS'!$C$4:$C$1226,"&gt;="&amp;DATE(2027,9,1),'FUNDED DEALS'!$C$4:$C$1226,"&lt;"&amp;DATE(2027,10,1))+SUMIFS('FUNDED DEALS 2027'!$V$4:$V$1226,'FUNDED DEALS 2027'!$T$4:$T$1226,$A12,'FUNDED DEALS 2027'!$C$4:$C$1226,"&gt;="&amp;DATE(2027,9,1),'FUNDED DEALS 2027'!$C$4:$C$1226,"&lt;"&amp;DATE(2027,10,1))+SUMIFS('FUNDED DEALS 2027'!$Y$4:$Y$1226,'FUNDED DEALS 2027'!$W$4:$W$1226,$A12,'FUNDED DEALS 2027'!$C$4:$C$1226,"&gt;="&amp;DATE(2027,9,1),'FUNDED DEALS 2027'!$C$4:$C$1226,"&lt;"&amp;DATE(2027,10,1))+SUMIFS('FUNDED DEALS 2027'!$AB$4:$AB$1226,'FUNDED DEALS 2027'!$Z$4:$Z$1226,$A12,'FUNDED DEALS 2027'!$C$4:$C$1226,"&gt;="&amp;DATE(2027,9,1),'FUNDED DEALS 2027'!$C$4:$C$1226,"&lt;"&amp;DATE(2027,10,1)))</f>
        <v>0</v>
      </c>
      <c r="T12" s="48" t="n">
        <f aca="false">IF($A12="","",SUMIFS('FUNDED DEALS'!$V$4:$V$1226,'FUNDED DEALS'!$T$4:$T$1226,$A12,'FUNDED DEALS'!$C$4:$C$1226,"&gt;="&amp;DATE(2027,10,1),'FUNDED DEALS'!$C$4:$C$1226,"&lt;"&amp;DATE(2027,11,1))+SUMIFS('FUNDED DEALS'!$Y$4:$Y$1226,'FUNDED DEALS'!$W$4:$W$1226,$A12,'FUNDED DEALS'!$C$4:$C$1226,"&gt;="&amp;DATE(2027,10,1),'FUNDED DEALS'!$C$4:$C$1226,"&lt;"&amp;DATE(2027,11,1))+SUMIFS('FUNDED DEALS'!$AB$4:$AB$1226,'FUNDED DEALS'!$Z$4:$Z$1226,$A12,'FUNDED DEALS'!$C$4:$C$1226,"&gt;="&amp;DATE(2027,10,1),'FUNDED DEALS'!$C$4:$C$1226,"&lt;"&amp;DATE(2027,11,1))+SUMIFS('FUNDED DEALS 2027'!$V$4:$V$1226,'FUNDED DEALS 2027'!$T$4:$T$1226,$A12,'FUNDED DEALS 2027'!$C$4:$C$1226,"&gt;="&amp;DATE(2027,10,1),'FUNDED DEALS 2027'!$C$4:$C$1226,"&lt;"&amp;DATE(2027,11,1))+SUMIFS('FUNDED DEALS 2027'!$Y$4:$Y$1226,'FUNDED DEALS 2027'!$W$4:$W$1226,$A12,'FUNDED DEALS 2027'!$C$4:$C$1226,"&gt;="&amp;DATE(2027,10,1),'FUNDED DEALS 2027'!$C$4:$C$1226,"&lt;"&amp;DATE(2027,11,1))+SUMIFS('FUNDED DEALS 2027'!$AB$4:$AB$1226,'FUNDED DEALS 2027'!$Z$4:$Z$1226,$A12,'FUNDED DEALS 2027'!$C$4:$C$1226,"&gt;="&amp;DATE(2027,10,1),'FUNDED DEALS 2027'!$C$4:$C$1226,"&lt;"&amp;DATE(2027,11,1)))</f>
        <v>0</v>
      </c>
      <c r="U12" s="48" t="n">
        <f aca="false">IF($A12="","",SUMIFS('FUNDED DEALS'!$V$4:$V$1226,'FUNDED DEALS'!$T$4:$T$1226,$A12,'FUNDED DEALS'!$C$4:$C$1226,"&gt;="&amp;DATE(2027,11,1),'FUNDED DEALS'!$C$4:$C$1226,"&lt;"&amp;DATE(2027,12,1))+SUMIFS('FUNDED DEALS'!$Y$4:$Y$1226,'FUNDED DEALS'!$W$4:$W$1226,$A12,'FUNDED DEALS'!$C$4:$C$1226,"&gt;="&amp;DATE(2027,11,1),'FUNDED DEALS'!$C$4:$C$1226,"&lt;"&amp;DATE(2027,12,1))+SUMIFS('FUNDED DEALS'!$AB$4:$AB$1226,'FUNDED DEALS'!$Z$4:$Z$1226,$A12,'FUNDED DEALS'!$C$4:$C$1226,"&gt;="&amp;DATE(2027,11,1),'FUNDED DEALS'!$C$4:$C$1226,"&lt;"&amp;DATE(2027,12,1))+SUMIFS('FUNDED DEALS 2027'!$V$4:$V$1226,'FUNDED DEALS 2027'!$T$4:$T$1226,$A12,'FUNDED DEALS 2027'!$C$4:$C$1226,"&gt;="&amp;DATE(2027,11,1),'FUNDED DEALS 2027'!$C$4:$C$1226,"&lt;"&amp;DATE(2027,12,1))+SUMIFS('FUNDED DEALS 2027'!$Y$4:$Y$1226,'FUNDED DEALS 2027'!$W$4:$W$1226,$A12,'FUNDED DEALS 2027'!$C$4:$C$1226,"&gt;="&amp;DATE(2027,11,1),'FUNDED DEALS 2027'!$C$4:$C$1226,"&lt;"&amp;DATE(2027,12,1))+SUMIFS('FUNDED DEALS 2027'!$AB$4:$AB$1226,'FUNDED DEALS 2027'!$Z$4:$Z$1226,$A12,'FUNDED DEALS 2027'!$C$4:$C$1226,"&gt;="&amp;DATE(2027,11,1),'FUNDED DEALS 2027'!$C$4:$C$1226,"&lt;"&amp;DATE(2027,12,1)))</f>
        <v>0</v>
      </c>
      <c r="V12" s="48" t="n">
        <f aca="false">IF($A12="","",SUMIFS('FUNDED DEALS'!$V$4:$V$1226,'FUNDED DEALS'!$T$4:$T$1226,$A12,'FUNDED DEALS'!$C$4:$C$1226,"&gt;="&amp;DATE(2027,12,1),'FUNDED DEALS'!$C$4:$C$1226,"&lt;"&amp;DATE(2028,1,1))+SUMIFS('FUNDED DEALS'!$Y$4:$Y$1226,'FUNDED DEALS'!$W$4:$W$1226,$A12,'FUNDED DEALS'!$C$4:$C$1226,"&gt;="&amp;DATE(2027,12,1),'FUNDED DEALS'!$C$4:$C$1226,"&lt;"&amp;DATE(2028,1,1))+SUMIFS('FUNDED DEALS'!$AB$4:$AB$1226,'FUNDED DEALS'!$Z$4:$Z$1226,$A12,'FUNDED DEALS'!$C$4:$C$1226,"&gt;="&amp;DATE(2027,12,1),'FUNDED DEALS'!$C$4:$C$1226,"&lt;"&amp;DATE(2028,1,1))+SUMIFS('FUNDED DEALS 2027'!$V$4:$V$1226,'FUNDED DEALS 2027'!$T$4:$T$1226,$A12,'FUNDED DEALS 2027'!$C$4:$C$1226,"&gt;="&amp;DATE(2027,12,1),'FUNDED DEALS 2027'!$C$4:$C$1226,"&lt;"&amp;DATE(2028,1,1))+SUMIFS('FUNDED DEALS 2027'!$Y$4:$Y$1226,'FUNDED DEALS 2027'!$W$4:$W$1226,$A12,'FUNDED DEALS 2027'!$C$4:$C$1226,"&gt;="&amp;DATE(2027,12,1),'FUNDED DEALS 2027'!$C$4:$C$1226,"&lt;"&amp;DATE(2028,1,1))+SUMIFS('FUNDED DEALS 2027'!$AB$4:$AB$1226,'FUNDED DEALS 2027'!$Z$4:$Z$1226,$A12,'FUNDED DEALS 2027'!$C$4:$C$1226,"&gt;="&amp;DATE(2027,12,1),'FUNDED DEALS 2027'!$C$4:$C$1226,"&lt;"&amp;DATE(2028,1,1)))</f>
        <v>0</v>
      </c>
      <c r="W12" s="56" t="n">
        <f aca="false">IF($A12="","",SUM(B12:V12))</f>
        <v>0</v>
      </c>
    </row>
    <row r="13" customFormat="false" ht="15" hidden="false" customHeight="false" outlineLevel="0" collapsed="false">
      <c r="A13" s="50" t="str">
        <f aca="false">IF(REPS!A11="","",REPS!A11)</f>
        <v>Gabriel Barnes</v>
      </c>
      <c r="B13" s="51" t="n">
        <f aca="false">IF($A13="","",SUMIFS('FUNDED DEALS'!$V$4:$V$1226,'FUNDED DEALS'!$T$4:$T$1226,$A13,'FUNDED DEALS'!$C$4:$C$1226,"&gt;="&amp;DATE(2026,4,1),'FUNDED DEALS'!$C$4:$C$1226,"&lt;"&amp;DATE(2026,5,1))+SUMIFS('FUNDED DEALS'!$Y$4:$Y$1226,'FUNDED DEALS'!$W$4:$W$1226,$A13,'FUNDED DEALS'!$C$4:$C$1226,"&gt;="&amp;DATE(2026,4,1),'FUNDED DEALS'!$C$4:$C$1226,"&lt;"&amp;DATE(2026,5,1))+SUMIFS('FUNDED DEALS'!$AB$4:$AB$1226,'FUNDED DEALS'!$Z$4:$Z$1226,$A13,'FUNDED DEALS'!$C$4:$C$1226,"&gt;="&amp;DATE(2026,4,1),'FUNDED DEALS'!$C$4:$C$1226,"&lt;"&amp;DATE(2026,5,1))+SUMIFS('FUNDED DEALS 2027'!$V$4:$V$1226,'FUNDED DEALS 2027'!$T$4:$T$1226,$A13,'FUNDED DEALS 2027'!$C$4:$C$1226,"&gt;="&amp;DATE(2026,4,1),'FUNDED DEALS 2027'!$C$4:$C$1226,"&lt;"&amp;DATE(2026,5,1))+SUMIFS('FUNDED DEALS 2027'!$Y$4:$Y$1226,'FUNDED DEALS 2027'!$W$4:$W$1226,$A13,'FUNDED DEALS 2027'!$C$4:$C$1226,"&gt;="&amp;DATE(2026,4,1),'FUNDED DEALS 2027'!$C$4:$C$1226,"&lt;"&amp;DATE(2026,5,1))+SUMIFS('FUNDED DEALS 2027'!$AB$4:$AB$1226,'FUNDED DEALS 2027'!$Z$4:$Z$1226,$A13,'FUNDED DEALS 2027'!$C$4:$C$1226,"&gt;="&amp;DATE(2026,4,1),'FUNDED DEALS 2027'!$C$4:$C$1226,"&lt;"&amp;DATE(2026,5,1)))</f>
        <v>0</v>
      </c>
      <c r="C13" s="51" t="n">
        <f aca="false">IF($A13="","",SUMIFS('FUNDED DEALS'!$V$4:$V$1226,'FUNDED DEALS'!$T$4:$T$1226,$A13,'FUNDED DEALS'!$C$4:$C$1226,"&gt;="&amp;DATE(2026,5,1),'FUNDED DEALS'!$C$4:$C$1226,"&lt;"&amp;DATE(2026,6,1))+SUMIFS('FUNDED DEALS'!$Y$4:$Y$1226,'FUNDED DEALS'!$W$4:$W$1226,$A13,'FUNDED DEALS'!$C$4:$C$1226,"&gt;="&amp;DATE(2026,5,1),'FUNDED DEALS'!$C$4:$C$1226,"&lt;"&amp;DATE(2026,6,1))+SUMIFS('FUNDED DEALS'!$AB$4:$AB$1226,'FUNDED DEALS'!$Z$4:$Z$1226,$A13,'FUNDED DEALS'!$C$4:$C$1226,"&gt;="&amp;DATE(2026,5,1),'FUNDED DEALS'!$C$4:$C$1226,"&lt;"&amp;DATE(2026,6,1))+SUMIFS('FUNDED DEALS 2027'!$V$4:$V$1226,'FUNDED DEALS 2027'!$T$4:$T$1226,$A13,'FUNDED DEALS 2027'!$C$4:$C$1226,"&gt;="&amp;DATE(2026,5,1),'FUNDED DEALS 2027'!$C$4:$C$1226,"&lt;"&amp;DATE(2026,6,1))+SUMIFS('FUNDED DEALS 2027'!$Y$4:$Y$1226,'FUNDED DEALS 2027'!$W$4:$W$1226,$A13,'FUNDED DEALS 2027'!$C$4:$C$1226,"&gt;="&amp;DATE(2026,5,1),'FUNDED DEALS 2027'!$C$4:$C$1226,"&lt;"&amp;DATE(2026,6,1))+SUMIFS('FUNDED DEALS 2027'!$AB$4:$AB$1226,'FUNDED DEALS 2027'!$Z$4:$Z$1226,$A13,'FUNDED DEALS 2027'!$C$4:$C$1226,"&gt;="&amp;DATE(2026,5,1),'FUNDED DEALS 2027'!$C$4:$C$1226,"&lt;"&amp;DATE(2026,6,1)))</f>
        <v>0</v>
      </c>
      <c r="D13" s="51" t="n">
        <f aca="false">IF($A13="","",SUMIFS('FUNDED DEALS'!$V$4:$V$1226,'FUNDED DEALS'!$T$4:$T$1226,$A13,'FUNDED DEALS'!$C$4:$C$1226,"&gt;="&amp;DATE(2026,6,1),'FUNDED DEALS'!$C$4:$C$1226,"&lt;"&amp;DATE(2026,7,1))+SUMIFS('FUNDED DEALS'!$Y$4:$Y$1226,'FUNDED DEALS'!$W$4:$W$1226,$A13,'FUNDED DEALS'!$C$4:$C$1226,"&gt;="&amp;DATE(2026,6,1),'FUNDED DEALS'!$C$4:$C$1226,"&lt;"&amp;DATE(2026,7,1))+SUMIFS('FUNDED DEALS'!$AB$4:$AB$1226,'FUNDED DEALS'!$Z$4:$Z$1226,$A13,'FUNDED DEALS'!$C$4:$C$1226,"&gt;="&amp;DATE(2026,6,1),'FUNDED DEALS'!$C$4:$C$1226,"&lt;"&amp;DATE(2026,7,1))+SUMIFS('FUNDED DEALS 2027'!$V$4:$V$1226,'FUNDED DEALS 2027'!$T$4:$T$1226,$A13,'FUNDED DEALS 2027'!$C$4:$C$1226,"&gt;="&amp;DATE(2026,6,1),'FUNDED DEALS 2027'!$C$4:$C$1226,"&lt;"&amp;DATE(2026,7,1))+SUMIFS('FUNDED DEALS 2027'!$Y$4:$Y$1226,'FUNDED DEALS 2027'!$W$4:$W$1226,$A13,'FUNDED DEALS 2027'!$C$4:$C$1226,"&gt;="&amp;DATE(2026,6,1),'FUNDED DEALS 2027'!$C$4:$C$1226,"&lt;"&amp;DATE(2026,7,1))+SUMIFS('FUNDED DEALS 2027'!$AB$4:$AB$1226,'FUNDED DEALS 2027'!$Z$4:$Z$1226,$A13,'FUNDED DEALS 2027'!$C$4:$C$1226,"&gt;="&amp;DATE(2026,6,1),'FUNDED DEALS 2027'!$C$4:$C$1226,"&lt;"&amp;DATE(2026,7,1)))</f>
        <v>0</v>
      </c>
      <c r="E13" s="51" t="n">
        <f aca="false">IF($A13="","",SUMIFS('FUNDED DEALS'!$V$4:$V$1226,'FUNDED DEALS'!$T$4:$T$1226,$A13,'FUNDED DEALS'!$C$4:$C$1226,"&gt;="&amp;DATE(2026,7,1),'FUNDED DEALS'!$C$4:$C$1226,"&lt;"&amp;DATE(2026,8,1))+SUMIFS('FUNDED DEALS'!$Y$4:$Y$1226,'FUNDED DEALS'!$W$4:$W$1226,$A13,'FUNDED DEALS'!$C$4:$C$1226,"&gt;="&amp;DATE(2026,7,1),'FUNDED DEALS'!$C$4:$C$1226,"&lt;"&amp;DATE(2026,8,1))+SUMIFS('FUNDED DEALS'!$AB$4:$AB$1226,'FUNDED DEALS'!$Z$4:$Z$1226,$A13,'FUNDED DEALS'!$C$4:$C$1226,"&gt;="&amp;DATE(2026,7,1),'FUNDED DEALS'!$C$4:$C$1226,"&lt;"&amp;DATE(2026,8,1))+SUMIFS('FUNDED DEALS 2027'!$V$4:$V$1226,'FUNDED DEALS 2027'!$T$4:$T$1226,$A13,'FUNDED DEALS 2027'!$C$4:$C$1226,"&gt;="&amp;DATE(2026,7,1),'FUNDED DEALS 2027'!$C$4:$C$1226,"&lt;"&amp;DATE(2026,8,1))+SUMIFS('FUNDED DEALS 2027'!$Y$4:$Y$1226,'FUNDED DEALS 2027'!$W$4:$W$1226,$A13,'FUNDED DEALS 2027'!$C$4:$C$1226,"&gt;="&amp;DATE(2026,7,1),'FUNDED DEALS 2027'!$C$4:$C$1226,"&lt;"&amp;DATE(2026,8,1))+SUMIFS('FUNDED DEALS 2027'!$AB$4:$AB$1226,'FUNDED DEALS 2027'!$Z$4:$Z$1226,$A13,'FUNDED DEALS 2027'!$C$4:$C$1226,"&gt;="&amp;DATE(2026,7,1),'FUNDED DEALS 2027'!$C$4:$C$1226,"&lt;"&amp;DATE(2026,8,1)))</f>
        <v>0</v>
      </c>
      <c r="F13" s="51" t="n">
        <f aca="false">IF($A13="","",SUMIFS('FUNDED DEALS'!$V$4:$V$1226,'FUNDED DEALS'!$T$4:$T$1226,$A13,'FUNDED DEALS'!$C$4:$C$1226,"&gt;="&amp;DATE(2026,8,1),'FUNDED DEALS'!$C$4:$C$1226,"&lt;"&amp;DATE(2026,9,1))+SUMIFS('FUNDED DEALS'!$Y$4:$Y$1226,'FUNDED DEALS'!$W$4:$W$1226,$A13,'FUNDED DEALS'!$C$4:$C$1226,"&gt;="&amp;DATE(2026,8,1),'FUNDED DEALS'!$C$4:$C$1226,"&lt;"&amp;DATE(2026,9,1))+SUMIFS('FUNDED DEALS'!$AB$4:$AB$1226,'FUNDED DEALS'!$Z$4:$Z$1226,$A13,'FUNDED DEALS'!$C$4:$C$1226,"&gt;="&amp;DATE(2026,8,1),'FUNDED DEALS'!$C$4:$C$1226,"&lt;"&amp;DATE(2026,9,1))+SUMIFS('FUNDED DEALS 2027'!$V$4:$V$1226,'FUNDED DEALS 2027'!$T$4:$T$1226,$A13,'FUNDED DEALS 2027'!$C$4:$C$1226,"&gt;="&amp;DATE(2026,8,1),'FUNDED DEALS 2027'!$C$4:$C$1226,"&lt;"&amp;DATE(2026,9,1))+SUMIFS('FUNDED DEALS 2027'!$Y$4:$Y$1226,'FUNDED DEALS 2027'!$W$4:$W$1226,$A13,'FUNDED DEALS 2027'!$C$4:$C$1226,"&gt;="&amp;DATE(2026,8,1),'FUNDED DEALS 2027'!$C$4:$C$1226,"&lt;"&amp;DATE(2026,9,1))+SUMIFS('FUNDED DEALS 2027'!$AB$4:$AB$1226,'FUNDED DEALS 2027'!$Z$4:$Z$1226,$A13,'FUNDED DEALS 2027'!$C$4:$C$1226,"&gt;="&amp;DATE(2026,8,1),'FUNDED DEALS 2027'!$C$4:$C$1226,"&lt;"&amp;DATE(2026,9,1)))</f>
        <v>0</v>
      </c>
      <c r="G13" s="51" t="n">
        <f aca="false">IF($A13="","",SUMIFS('FUNDED DEALS'!$V$4:$V$1226,'FUNDED DEALS'!$T$4:$T$1226,$A13,'FUNDED DEALS'!$C$4:$C$1226,"&gt;="&amp;DATE(2026,9,1),'FUNDED DEALS'!$C$4:$C$1226,"&lt;"&amp;DATE(2026,10,1))+SUMIFS('FUNDED DEALS'!$Y$4:$Y$1226,'FUNDED DEALS'!$W$4:$W$1226,$A13,'FUNDED DEALS'!$C$4:$C$1226,"&gt;="&amp;DATE(2026,9,1),'FUNDED DEALS'!$C$4:$C$1226,"&lt;"&amp;DATE(2026,10,1))+SUMIFS('FUNDED DEALS'!$AB$4:$AB$1226,'FUNDED DEALS'!$Z$4:$Z$1226,$A13,'FUNDED DEALS'!$C$4:$C$1226,"&gt;="&amp;DATE(2026,9,1),'FUNDED DEALS'!$C$4:$C$1226,"&lt;"&amp;DATE(2026,10,1))+SUMIFS('FUNDED DEALS 2027'!$V$4:$V$1226,'FUNDED DEALS 2027'!$T$4:$T$1226,$A13,'FUNDED DEALS 2027'!$C$4:$C$1226,"&gt;="&amp;DATE(2026,9,1),'FUNDED DEALS 2027'!$C$4:$C$1226,"&lt;"&amp;DATE(2026,10,1))+SUMIFS('FUNDED DEALS 2027'!$Y$4:$Y$1226,'FUNDED DEALS 2027'!$W$4:$W$1226,$A13,'FUNDED DEALS 2027'!$C$4:$C$1226,"&gt;="&amp;DATE(2026,9,1),'FUNDED DEALS 2027'!$C$4:$C$1226,"&lt;"&amp;DATE(2026,10,1))+SUMIFS('FUNDED DEALS 2027'!$AB$4:$AB$1226,'FUNDED DEALS 2027'!$Z$4:$Z$1226,$A13,'FUNDED DEALS 2027'!$C$4:$C$1226,"&gt;="&amp;DATE(2026,9,1),'FUNDED DEALS 2027'!$C$4:$C$1226,"&lt;"&amp;DATE(2026,10,1)))</f>
        <v>0</v>
      </c>
      <c r="H13" s="51" t="n">
        <f aca="false">IF($A13="","",SUMIFS('FUNDED DEALS'!$V$4:$V$1226,'FUNDED DEALS'!$T$4:$T$1226,$A13,'FUNDED DEALS'!$C$4:$C$1226,"&gt;="&amp;DATE(2026,10,1),'FUNDED DEALS'!$C$4:$C$1226,"&lt;"&amp;DATE(2026,11,1))+SUMIFS('FUNDED DEALS'!$Y$4:$Y$1226,'FUNDED DEALS'!$W$4:$W$1226,$A13,'FUNDED DEALS'!$C$4:$C$1226,"&gt;="&amp;DATE(2026,10,1),'FUNDED DEALS'!$C$4:$C$1226,"&lt;"&amp;DATE(2026,11,1))+SUMIFS('FUNDED DEALS'!$AB$4:$AB$1226,'FUNDED DEALS'!$Z$4:$Z$1226,$A13,'FUNDED DEALS'!$C$4:$C$1226,"&gt;="&amp;DATE(2026,10,1),'FUNDED DEALS'!$C$4:$C$1226,"&lt;"&amp;DATE(2026,11,1))+SUMIFS('FUNDED DEALS 2027'!$V$4:$V$1226,'FUNDED DEALS 2027'!$T$4:$T$1226,$A13,'FUNDED DEALS 2027'!$C$4:$C$1226,"&gt;="&amp;DATE(2026,10,1),'FUNDED DEALS 2027'!$C$4:$C$1226,"&lt;"&amp;DATE(2026,11,1))+SUMIFS('FUNDED DEALS 2027'!$Y$4:$Y$1226,'FUNDED DEALS 2027'!$W$4:$W$1226,$A13,'FUNDED DEALS 2027'!$C$4:$C$1226,"&gt;="&amp;DATE(2026,10,1),'FUNDED DEALS 2027'!$C$4:$C$1226,"&lt;"&amp;DATE(2026,11,1))+SUMIFS('FUNDED DEALS 2027'!$AB$4:$AB$1226,'FUNDED DEALS 2027'!$Z$4:$Z$1226,$A13,'FUNDED DEALS 2027'!$C$4:$C$1226,"&gt;="&amp;DATE(2026,10,1),'FUNDED DEALS 2027'!$C$4:$C$1226,"&lt;"&amp;DATE(2026,11,1)))</f>
        <v>0</v>
      </c>
      <c r="I13" s="51" t="n">
        <f aca="false">IF($A13="","",SUMIFS('FUNDED DEALS'!$V$4:$V$1226,'FUNDED DEALS'!$T$4:$T$1226,$A13,'FUNDED DEALS'!$C$4:$C$1226,"&gt;="&amp;DATE(2026,11,1),'FUNDED DEALS'!$C$4:$C$1226,"&lt;"&amp;DATE(2026,12,1))+SUMIFS('FUNDED DEALS'!$Y$4:$Y$1226,'FUNDED DEALS'!$W$4:$W$1226,$A13,'FUNDED DEALS'!$C$4:$C$1226,"&gt;="&amp;DATE(2026,11,1),'FUNDED DEALS'!$C$4:$C$1226,"&lt;"&amp;DATE(2026,12,1))+SUMIFS('FUNDED DEALS'!$AB$4:$AB$1226,'FUNDED DEALS'!$Z$4:$Z$1226,$A13,'FUNDED DEALS'!$C$4:$C$1226,"&gt;="&amp;DATE(2026,11,1),'FUNDED DEALS'!$C$4:$C$1226,"&lt;"&amp;DATE(2026,12,1))+SUMIFS('FUNDED DEALS 2027'!$V$4:$V$1226,'FUNDED DEALS 2027'!$T$4:$T$1226,$A13,'FUNDED DEALS 2027'!$C$4:$C$1226,"&gt;="&amp;DATE(2026,11,1),'FUNDED DEALS 2027'!$C$4:$C$1226,"&lt;"&amp;DATE(2026,12,1))+SUMIFS('FUNDED DEALS 2027'!$Y$4:$Y$1226,'FUNDED DEALS 2027'!$W$4:$W$1226,$A13,'FUNDED DEALS 2027'!$C$4:$C$1226,"&gt;="&amp;DATE(2026,11,1),'FUNDED DEALS 2027'!$C$4:$C$1226,"&lt;"&amp;DATE(2026,12,1))+SUMIFS('FUNDED DEALS 2027'!$AB$4:$AB$1226,'FUNDED DEALS 2027'!$Z$4:$Z$1226,$A13,'FUNDED DEALS 2027'!$C$4:$C$1226,"&gt;="&amp;DATE(2026,11,1),'FUNDED DEALS 2027'!$C$4:$C$1226,"&lt;"&amp;DATE(2026,12,1)))</f>
        <v>0</v>
      </c>
      <c r="J13" s="51" t="n">
        <f aca="false">IF($A13="","",SUMIFS('FUNDED DEALS'!$V$4:$V$1226,'FUNDED DEALS'!$T$4:$T$1226,$A13,'FUNDED DEALS'!$C$4:$C$1226,"&gt;="&amp;DATE(2026,12,1),'FUNDED DEALS'!$C$4:$C$1226,"&lt;"&amp;DATE(2027,1,1))+SUMIFS('FUNDED DEALS'!$Y$4:$Y$1226,'FUNDED DEALS'!$W$4:$W$1226,$A13,'FUNDED DEALS'!$C$4:$C$1226,"&gt;="&amp;DATE(2026,12,1),'FUNDED DEALS'!$C$4:$C$1226,"&lt;"&amp;DATE(2027,1,1))+SUMIFS('FUNDED DEALS'!$AB$4:$AB$1226,'FUNDED DEALS'!$Z$4:$Z$1226,$A13,'FUNDED DEALS'!$C$4:$C$1226,"&gt;="&amp;DATE(2026,12,1),'FUNDED DEALS'!$C$4:$C$1226,"&lt;"&amp;DATE(2027,1,1))+SUMIFS('FUNDED DEALS 2027'!$V$4:$V$1226,'FUNDED DEALS 2027'!$T$4:$T$1226,$A13,'FUNDED DEALS 2027'!$C$4:$C$1226,"&gt;="&amp;DATE(2026,12,1),'FUNDED DEALS 2027'!$C$4:$C$1226,"&lt;"&amp;DATE(2027,1,1))+SUMIFS('FUNDED DEALS 2027'!$Y$4:$Y$1226,'FUNDED DEALS 2027'!$W$4:$W$1226,$A13,'FUNDED DEALS 2027'!$C$4:$C$1226,"&gt;="&amp;DATE(2026,12,1),'FUNDED DEALS 2027'!$C$4:$C$1226,"&lt;"&amp;DATE(2027,1,1))+SUMIFS('FUNDED DEALS 2027'!$AB$4:$AB$1226,'FUNDED DEALS 2027'!$Z$4:$Z$1226,$A13,'FUNDED DEALS 2027'!$C$4:$C$1226,"&gt;="&amp;DATE(2026,12,1),'FUNDED DEALS 2027'!$C$4:$C$1226,"&lt;"&amp;DATE(2027,1,1)))</f>
        <v>0</v>
      </c>
      <c r="K13" s="51" t="n">
        <f aca="false">IF($A13="","",SUMIFS('FUNDED DEALS'!$V$4:$V$1226,'FUNDED DEALS'!$T$4:$T$1226,$A13,'FUNDED DEALS'!$C$4:$C$1226,"&gt;="&amp;DATE(2027,1,1),'FUNDED DEALS'!$C$4:$C$1226,"&lt;"&amp;DATE(2027,2,1))+SUMIFS('FUNDED DEALS'!$Y$4:$Y$1226,'FUNDED DEALS'!$W$4:$W$1226,$A13,'FUNDED DEALS'!$C$4:$C$1226,"&gt;="&amp;DATE(2027,1,1),'FUNDED DEALS'!$C$4:$C$1226,"&lt;"&amp;DATE(2027,2,1))+SUMIFS('FUNDED DEALS'!$AB$4:$AB$1226,'FUNDED DEALS'!$Z$4:$Z$1226,$A13,'FUNDED DEALS'!$C$4:$C$1226,"&gt;="&amp;DATE(2027,1,1),'FUNDED DEALS'!$C$4:$C$1226,"&lt;"&amp;DATE(2027,2,1))+SUMIFS('FUNDED DEALS 2027'!$V$4:$V$1226,'FUNDED DEALS 2027'!$T$4:$T$1226,$A13,'FUNDED DEALS 2027'!$C$4:$C$1226,"&gt;="&amp;DATE(2027,1,1),'FUNDED DEALS 2027'!$C$4:$C$1226,"&lt;"&amp;DATE(2027,2,1))+SUMIFS('FUNDED DEALS 2027'!$Y$4:$Y$1226,'FUNDED DEALS 2027'!$W$4:$W$1226,$A13,'FUNDED DEALS 2027'!$C$4:$C$1226,"&gt;="&amp;DATE(2027,1,1),'FUNDED DEALS 2027'!$C$4:$C$1226,"&lt;"&amp;DATE(2027,2,1))+SUMIFS('FUNDED DEALS 2027'!$AB$4:$AB$1226,'FUNDED DEALS 2027'!$Z$4:$Z$1226,$A13,'FUNDED DEALS 2027'!$C$4:$C$1226,"&gt;="&amp;DATE(2027,1,1),'FUNDED DEALS 2027'!$C$4:$C$1226,"&lt;"&amp;DATE(2027,2,1)))</f>
        <v>0</v>
      </c>
      <c r="L13" s="51" t="n">
        <f aca="false">IF($A13="","",SUMIFS('FUNDED DEALS'!$V$4:$V$1226,'FUNDED DEALS'!$T$4:$T$1226,$A13,'FUNDED DEALS'!$C$4:$C$1226,"&gt;="&amp;DATE(2027,2,1),'FUNDED DEALS'!$C$4:$C$1226,"&lt;"&amp;DATE(2027,3,1))+SUMIFS('FUNDED DEALS'!$Y$4:$Y$1226,'FUNDED DEALS'!$W$4:$W$1226,$A13,'FUNDED DEALS'!$C$4:$C$1226,"&gt;="&amp;DATE(2027,2,1),'FUNDED DEALS'!$C$4:$C$1226,"&lt;"&amp;DATE(2027,3,1))+SUMIFS('FUNDED DEALS'!$AB$4:$AB$1226,'FUNDED DEALS'!$Z$4:$Z$1226,$A13,'FUNDED DEALS'!$C$4:$C$1226,"&gt;="&amp;DATE(2027,2,1),'FUNDED DEALS'!$C$4:$C$1226,"&lt;"&amp;DATE(2027,3,1))+SUMIFS('FUNDED DEALS 2027'!$V$4:$V$1226,'FUNDED DEALS 2027'!$T$4:$T$1226,$A13,'FUNDED DEALS 2027'!$C$4:$C$1226,"&gt;="&amp;DATE(2027,2,1),'FUNDED DEALS 2027'!$C$4:$C$1226,"&lt;"&amp;DATE(2027,3,1))+SUMIFS('FUNDED DEALS 2027'!$Y$4:$Y$1226,'FUNDED DEALS 2027'!$W$4:$W$1226,$A13,'FUNDED DEALS 2027'!$C$4:$C$1226,"&gt;="&amp;DATE(2027,2,1),'FUNDED DEALS 2027'!$C$4:$C$1226,"&lt;"&amp;DATE(2027,3,1))+SUMIFS('FUNDED DEALS 2027'!$AB$4:$AB$1226,'FUNDED DEALS 2027'!$Z$4:$Z$1226,$A13,'FUNDED DEALS 2027'!$C$4:$C$1226,"&gt;="&amp;DATE(2027,2,1),'FUNDED DEALS 2027'!$C$4:$C$1226,"&lt;"&amp;DATE(2027,3,1)))</f>
        <v>0</v>
      </c>
      <c r="M13" s="51" t="n">
        <f aca="false">IF($A13="","",SUMIFS('FUNDED DEALS'!$V$4:$V$1226,'FUNDED DEALS'!$T$4:$T$1226,$A13,'FUNDED DEALS'!$C$4:$C$1226,"&gt;="&amp;DATE(2027,3,1),'FUNDED DEALS'!$C$4:$C$1226,"&lt;"&amp;DATE(2027,4,1))+SUMIFS('FUNDED DEALS'!$Y$4:$Y$1226,'FUNDED DEALS'!$W$4:$W$1226,$A13,'FUNDED DEALS'!$C$4:$C$1226,"&gt;="&amp;DATE(2027,3,1),'FUNDED DEALS'!$C$4:$C$1226,"&lt;"&amp;DATE(2027,4,1))+SUMIFS('FUNDED DEALS'!$AB$4:$AB$1226,'FUNDED DEALS'!$Z$4:$Z$1226,$A13,'FUNDED DEALS'!$C$4:$C$1226,"&gt;="&amp;DATE(2027,3,1),'FUNDED DEALS'!$C$4:$C$1226,"&lt;"&amp;DATE(2027,4,1))+SUMIFS('FUNDED DEALS 2027'!$V$4:$V$1226,'FUNDED DEALS 2027'!$T$4:$T$1226,$A13,'FUNDED DEALS 2027'!$C$4:$C$1226,"&gt;="&amp;DATE(2027,3,1),'FUNDED DEALS 2027'!$C$4:$C$1226,"&lt;"&amp;DATE(2027,4,1))+SUMIFS('FUNDED DEALS 2027'!$Y$4:$Y$1226,'FUNDED DEALS 2027'!$W$4:$W$1226,$A13,'FUNDED DEALS 2027'!$C$4:$C$1226,"&gt;="&amp;DATE(2027,3,1),'FUNDED DEALS 2027'!$C$4:$C$1226,"&lt;"&amp;DATE(2027,4,1))+SUMIFS('FUNDED DEALS 2027'!$AB$4:$AB$1226,'FUNDED DEALS 2027'!$Z$4:$Z$1226,$A13,'FUNDED DEALS 2027'!$C$4:$C$1226,"&gt;="&amp;DATE(2027,3,1),'FUNDED DEALS 2027'!$C$4:$C$1226,"&lt;"&amp;DATE(2027,4,1)))</f>
        <v>0</v>
      </c>
      <c r="N13" s="51" t="n">
        <f aca="false">IF($A13="","",SUMIFS('FUNDED DEALS'!$V$4:$V$1226,'FUNDED DEALS'!$T$4:$T$1226,$A13,'FUNDED DEALS'!$C$4:$C$1226,"&gt;="&amp;DATE(2027,4,1),'FUNDED DEALS'!$C$4:$C$1226,"&lt;"&amp;DATE(2027,5,1))+SUMIFS('FUNDED DEALS'!$Y$4:$Y$1226,'FUNDED DEALS'!$W$4:$W$1226,$A13,'FUNDED DEALS'!$C$4:$C$1226,"&gt;="&amp;DATE(2027,4,1),'FUNDED DEALS'!$C$4:$C$1226,"&lt;"&amp;DATE(2027,5,1))+SUMIFS('FUNDED DEALS'!$AB$4:$AB$1226,'FUNDED DEALS'!$Z$4:$Z$1226,$A13,'FUNDED DEALS'!$C$4:$C$1226,"&gt;="&amp;DATE(2027,4,1),'FUNDED DEALS'!$C$4:$C$1226,"&lt;"&amp;DATE(2027,5,1))+SUMIFS('FUNDED DEALS 2027'!$V$4:$V$1226,'FUNDED DEALS 2027'!$T$4:$T$1226,$A13,'FUNDED DEALS 2027'!$C$4:$C$1226,"&gt;="&amp;DATE(2027,4,1),'FUNDED DEALS 2027'!$C$4:$C$1226,"&lt;"&amp;DATE(2027,5,1))+SUMIFS('FUNDED DEALS 2027'!$Y$4:$Y$1226,'FUNDED DEALS 2027'!$W$4:$W$1226,$A13,'FUNDED DEALS 2027'!$C$4:$C$1226,"&gt;="&amp;DATE(2027,4,1),'FUNDED DEALS 2027'!$C$4:$C$1226,"&lt;"&amp;DATE(2027,5,1))+SUMIFS('FUNDED DEALS 2027'!$AB$4:$AB$1226,'FUNDED DEALS 2027'!$Z$4:$Z$1226,$A13,'FUNDED DEALS 2027'!$C$4:$C$1226,"&gt;="&amp;DATE(2027,4,1),'FUNDED DEALS 2027'!$C$4:$C$1226,"&lt;"&amp;DATE(2027,5,1)))</f>
        <v>0</v>
      </c>
      <c r="O13" s="51" t="n">
        <f aca="false">IF($A13="","",SUMIFS('FUNDED DEALS'!$V$4:$V$1226,'FUNDED DEALS'!$T$4:$T$1226,$A13,'FUNDED DEALS'!$C$4:$C$1226,"&gt;="&amp;DATE(2027,5,1),'FUNDED DEALS'!$C$4:$C$1226,"&lt;"&amp;DATE(2027,6,1))+SUMIFS('FUNDED DEALS'!$Y$4:$Y$1226,'FUNDED DEALS'!$W$4:$W$1226,$A13,'FUNDED DEALS'!$C$4:$C$1226,"&gt;="&amp;DATE(2027,5,1),'FUNDED DEALS'!$C$4:$C$1226,"&lt;"&amp;DATE(2027,6,1))+SUMIFS('FUNDED DEALS'!$AB$4:$AB$1226,'FUNDED DEALS'!$Z$4:$Z$1226,$A13,'FUNDED DEALS'!$C$4:$C$1226,"&gt;="&amp;DATE(2027,5,1),'FUNDED DEALS'!$C$4:$C$1226,"&lt;"&amp;DATE(2027,6,1))+SUMIFS('FUNDED DEALS 2027'!$V$4:$V$1226,'FUNDED DEALS 2027'!$T$4:$T$1226,$A13,'FUNDED DEALS 2027'!$C$4:$C$1226,"&gt;="&amp;DATE(2027,5,1),'FUNDED DEALS 2027'!$C$4:$C$1226,"&lt;"&amp;DATE(2027,6,1))+SUMIFS('FUNDED DEALS 2027'!$Y$4:$Y$1226,'FUNDED DEALS 2027'!$W$4:$W$1226,$A13,'FUNDED DEALS 2027'!$C$4:$C$1226,"&gt;="&amp;DATE(2027,5,1),'FUNDED DEALS 2027'!$C$4:$C$1226,"&lt;"&amp;DATE(2027,6,1))+SUMIFS('FUNDED DEALS 2027'!$AB$4:$AB$1226,'FUNDED DEALS 2027'!$Z$4:$Z$1226,$A13,'FUNDED DEALS 2027'!$C$4:$C$1226,"&gt;="&amp;DATE(2027,5,1),'FUNDED DEALS 2027'!$C$4:$C$1226,"&lt;"&amp;DATE(2027,6,1)))</f>
        <v>0</v>
      </c>
      <c r="P13" s="51" t="n">
        <f aca="false">IF($A13="","",SUMIFS('FUNDED DEALS'!$V$4:$V$1226,'FUNDED DEALS'!$T$4:$T$1226,$A13,'FUNDED DEALS'!$C$4:$C$1226,"&gt;="&amp;DATE(2027,6,1),'FUNDED DEALS'!$C$4:$C$1226,"&lt;"&amp;DATE(2027,7,1))+SUMIFS('FUNDED DEALS'!$Y$4:$Y$1226,'FUNDED DEALS'!$W$4:$W$1226,$A13,'FUNDED DEALS'!$C$4:$C$1226,"&gt;="&amp;DATE(2027,6,1),'FUNDED DEALS'!$C$4:$C$1226,"&lt;"&amp;DATE(2027,7,1))+SUMIFS('FUNDED DEALS'!$AB$4:$AB$1226,'FUNDED DEALS'!$Z$4:$Z$1226,$A13,'FUNDED DEALS'!$C$4:$C$1226,"&gt;="&amp;DATE(2027,6,1),'FUNDED DEALS'!$C$4:$C$1226,"&lt;"&amp;DATE(2027,7,1))+SUMIFS('FUNDED DEALS 2027'!$V$4:$V$1226,'FUNDED DEALS 2027'!$T$4:$T$1226,$A13,'FUNDED DEALS 2027'!$C$4:$C$1226,"&gt;="&amp;DATE(2027,6,1),'FUNDED DEALS 2027'!$C$4:$C$1226,"&lt;"&amp;DATE(2027,7,1))+SUMIFS('FUNDED DEALS 2027'!$Y$4:$Y$1226,'FUNDED DEALS 2027'!$W$4:$W$1226,$A13,'FUNDED DEALS 2027'!$C$4:$C$1226,"&gt;="&amp;DATE(2027,6,1),'FUNDED DEALS 2027'!$C$4:$C$1226,"&lt;"&amp;DATE(2027,7,1))+SUMIFS('FUNDED DEALS 2027'!$AB$4:$AB$1226,'FUNDED DEALS 2027'!$Z$4:$Z$1226,$A13,'FUNDED DEALS 2027'!$C$4:$C$1226,"&gt;="&amp;DATE(2027,6,1),'FUNDED DEALS 2027'!$C$4:$C$1226,"&lt;"&amp;DATE(2027,7,1)))</f>
        <v>0</v>
      </c>
      <c r="Q13" s="51" t="n">
        <f aca="false">IF($A13="","",SUMIFS('FUNDED DEALS'!$V$4:$V$1226,'FUNDED DEALS'!$T$4:$T$1226,$A13,'FUNDED DEALS'!$C$4:$C$1226,"&gt;="&amp;DATE(2027,7,1),'FUNDED DEALS'!$C$4:$C$1226,"&lt;"&amp;DATE(2027,8,1))+SUMIFS('FUNDED DEALS'!$Y$4:$Y$1226,'FUNDED DEALS'!$W$4:$W$1226,$A13,'FUNDED DEALS'!$C$4:$C$1226,"&gt;="&amp;DATE(2027,7,1),'FUNDED DEALS'!$C$4:$C$1226,"&lt;"&amp;DATE(2027,8,1))+SUMIFS('FUNDED DEALS'!$AB$4:$AB$1226,'FUNDED DEALS'!$Z$4:$Z$1226,$A13,'FUNDED DEALS'!$C$4:$C$1226,"&gt;="&amp;DATE(2027,7,1),'FUNDED DEALS'!$C$4:$C$1226,"&lt;"&amp;DATE(2027,8,1))+SUMIFS('FUNDED DEALS 2027'!$V$4:$V$1226,'FUNDED DEALS 2027'!$T$4:$T$1226,$A13,'FUNDED DEALS 2027'!$C$4:$C$1226,"&gt;="&amp;DATE(2027,7,1),'FUNDED DEALS 2027'!$C$4:$C$1226,"&lt;"&amp;DATE(2027,8,1))+SUMIFS('FUNDED DEALS 2027'!$Y$4:$Y$1226,'FUNDED DEALS 2027'!$W$4:$W$1226,$A13,'FUNDED DEALS 2027'!$C$4:$C$1226,"&gt;="&amp;DATE(2027,7,1),'FUNDED DEALS 2027'!$C$4:$C$1226,"&lt;"&amp;DATE(2027,8,1))+SUMIFS('FUNDED DEALS 2027'!$AB$4:$AB$1226,'FUNDED DEALS 2027'!$Z$4:$Z$1226,$A13,'FUNDED DEALS 2027'!$C$4:$C$1226,"&gt;="&amp;DATE(2027,7,1),'FUNDED DEALS 2027'!$C$4:$C$1226,"&lt;"&amp;DATE(2027,8,1)))</f>
        <v>0</v>
      </c>
      <c r="R13" s="51" t="n">
        <f aca="false">IF($A13="","",SUMIFS('FUNDED DEALS'!$V$4:$V$1226,'FUNDED DEALS'!$T$4:$T$1226,$A13,'FUNDED DEALS'!$C$4:$C$1226,"&gt;="&amp;DATE(2027,8,1),'FUNDED DEALS'!$C$4:$C$1226,"&lt;"&amp;DATE(2027,9,1))+SUMIFS('FUNDED DEALS'!$Y$4:$Y$1226,'FUNDED DEALS'!$W$4:$W$1226,$A13,'FUNDED DEALS'!$C$4:$C$1226,"&gt;="&amp;DATE(2027,8,1),'FUNDED DEALS'!$C$4:$C$1226,"&lt;"&amp;DATE(2027,9,1))+SUMIFS('FUNDED DEALS'!$AB$4:$AB$1226,'FUNDED DEALS'!$Z$4:$Z$1226,$A13,'FUNDED DEALS'!$C$4:$C$1226,"&gt;="&amp;DATE(2027,8,1),'FUNDED DEALS'!$C$4:$C$1226,"&lt;"&amp;DATE(2027,9,1))+SUMIFS('FUNDED DEALS 2027'!$V$4:$V$1226,'FUNDED DEALS 2027'!$T$4:$T$1226,$A13,'FUNDED DEALS 2027'!$C$4:$C$1226,"&gt;="&amp;DATE(2027,8,1),'FUNDED DEALS 2027'!$C$4:$C$1226,"&lt;"&amp;DATE(2027,9,1))+SUMIFS('FUNDED DEALS 2027'!$Y$4:$Y$1226,'FUNDED DEALS 2027'!$W$4:$W$1226,$A13,'FUNDED DEALS 2027'!$C$4:$C$1226,"&gt;="&amp;DATE(2027,8,1),'FUNDED DEALS 2027'!$C$4:$C$1226,"&lt;"&amp;DATE(2027,9,1))+SUMIFS('FUNDED DEALS 2027'!$AB$4:$AB$1226,'FUNDED DEALS 2027'!$Z$4:$Z$1226,$A13,'FUNDED DEALS 2027'!$C$4:$C$1226,"&gt;="&amp;DATE(2027,8,1),'FUNDED DEALS 2027'!$C$4:$C$1226,"&lt;"&amp;DATE(2027,9,1)))</f>
        <v>0</v>
      </c>
      <c r="S13" s="51" t="n">
        <f aca="false">IF($A13="","",SUMIFS('FUNDED DEALS'!$V$4:$V$1226,'FUNDED DEALS'!$T$4:$T$1226,$A13,'FUNDED DEALS'!$C$4:$C$1226,"&gt;="&amp;DATE(2027,9,1),'FUNDED DEALS'!$C$4:$C$1226,"&lt;"&amp;DATE(2027,10,1))+SUMIFS('FUNDED DEALS'!$Y$4:$Y$1226,'FUNDED DEALS'!$W$4:$W$1226,$A13,'FUNDED DEALS'!$C$4:$C$1226,"&gt;="&amp;DATE(2027,9,1),'FUNDED DEALS'!$C$4:$C$1226,"&lt;"&amp;DATE(2027,10,1))+SUMIFS('FUNDED DEALS'!$AB$4:$AB$1226,'FUNDED DEALS'!$Z$4:$Z$1226,$A13,'FUNDED DEALS'!$C$4:$C$1226,"&gt;="&amp;DATE(2027,9,1),'FUNDED DEALS'!$C$4:$C$1226,"&lt;"&amp;DATE(2027,10,1))+SUMIFS('FUNDED DEALS 2027'!$V$4:$V$1226,'FUNDED DEALS 2027'!$T$4:$T$1226,$A13,'FUNDED DEALS 2027'!$C$4:$C$1226,"&gt;="&amp;DATE(2027,9,1),'FUNDED DEALS 2027'!$C$4:$C$1226,"&lt;"&amp;DATE(2027,10,1))+SUMIFS('FUNDED DEALS 2027'!$Y$4:$Y$1226,'FUNDED DEALS 2027'!$W$4:$W$1226,$A13,'FUNDED DEALS 2027'!$C$4:$C$1226,"&gt;="&amp;DATE(2027,9,1),'FUNDED DEALS 2027'!$C$4:$C$1226,"&lt;"&amp;DATE(2027,10,1))+SUMIFS('FUNDED DEALS 2027'!$AB$4:$AB$1226,'FUNDED DEALS 2027'!$Z$4:$Z$1226,$A13,'FUNDED DEALS 2027'!$C$4:$C$1226,"&gt;="&amp;DATE(2027,9,1),'FUNDED DEALS 2027'!$C$4:$C$1226,"&lt;"&amp;DATE(2027,10,1)))</f>
        <v>0</v>
      </c>
      <c r="T13" s="51" t="n">
        <f aca="false">IF($A13="","",SUMIFS('FUNDED DEALS'!$V$4:$V$1226,'FUNDED DEALS'!$T$4:$T$1226,$A13,'FUNDED DEALS'!$C$4:$C$1226,"&gt;="&amp;DATE(2027,10,1),'FUNDED DEALS'!$C$4:$C$1226,"&lt;"&amp;DATE(2027,11,1))+SUMIFS('FUNDED DEALS'!$Y$4:$Y$1226,'FUNDED DEALS'!$W$4:$W$1226,$A13,'FUNDED DEALS'!$C$4:$C$1226,"&gt;="&amp;DATE(2027,10,1),'FUNDED DEALS'!$C$4:$C$1226,"&lt;"&amp;DATE(2027,11,1))+SUMIFS('FUNDED DEALS'!$AB$4:$AB$1226,'FUNDED DEALS'!$Z$4:$Z$1226,$A13,'FUNDED DEALS'!$C$4:$C$1226,"&gt;="&amp;DATE(2027,10,1),'FUNDED DEALS'!$C$4:$C$1226,"&lt;"&amp;DATE(2027,11,1))+SUMIFS('FUNDED DEALS 2027'!$V$4:$V$1226,'FUNDED DEALS 2027'!$T$4:$T$1226,$A13,'FUNDED DEALS 2027'!$C$4:$C$1226,"&gt;="&amp;DATE(2027,10,1),'FUNDED DEALS 2027'!$C$4:$C$1226,"&lt;"&amp;DATE(2027,11,1))+SUMIFS('FUNDED DEALS 2027'!$Y$4:$Y$1226,'FUNDED DEALS 2027'!$W$4:$W$1226,$A13,'FUNDED DEALS 2027'!$C$4:$C$1226,"&gt;="&amp;DATE(2027,10,1),'FUNDED DEALS 2027'!$C$4:$C$1226,"&lt;"&amp;DATE(2027,11,1))+SUMIFS('FUNDED DEALS 2027'!$AB$4:$AB$1226,'FUNDED DEALS 2027'!$Z$4:$Z$1226,$A13,'FUNDED DEALS 2027'!$C$4:$C$1226,"&gt;="&amp;DATE(2027,10,1),'FUNDED DEALS 2027'!$C$4:$C$1226,"&lt;"&amp;DATE(2027,11,1)))</f>
        <v>0</v>
      </c>
      <c r="U13" s="51" t="n">
        <f aca="false">IF($A13="","",SUMIFS('FUNDED DEALS'!$V$4:$V$1226,'FUNDED DEALS'!$T$4:$T$1226,$A13,'FUNDED DEALS'!$C$4:$C$1226,"&gt;="&amp;DATE(2027,11,1),'FUNDED DEALS'!$C$4:$C$1226,"&lt;"&amp;DATE(2027,12,1))+SUMIFS('FUNDED DEALS'!$Y$4:$Y$1226,'FUNDED DEALS'!$W$4:$W$1226,$A13,'FUNDED DEALS'!$C$4:$C$1226,"&gt;="&amp;DATE(2027,11,1),'FUNDED DEALS'!$C$4:$C$1226,"&lt;"&amp;DATE(2027,12,1))+SUMIFS('FUNDED DEALS'!$AB$4:$AB$1226,'FUNDED DEALS'!$Z$4:$Z$1226,$A13,'FUNDED DEALS'!$C$4:$C$1226,"&gt;="&amp;DATE(2027,11,1),'FUNDED DEALS'!$C$4:$C$1226,"&lt;"&amp;DATE(2027,12,1))+SUMIFS('FUNDED DEALS 2027'!$V$4:$V$1226,'FUNDED DEALS 2027'!$T$4:$T$1226,$A13,'FUNDED DEALS 2027'!$C$4:$C$1226,"&gt;="&amp;DATE(2027,11,1),'FUNDED DEALS 2027'!$C$4:$C$1226,"&lt;"&amp;DATE(2027,12,1))+SUMIFS('FUNDED DEALS 2027'!$Y$4:$Y$1226,'FUNDED DEALS 2027'!$W$4:$W$1226,$A13,'FUNDED DEALS 2027'!$C$4:$C$1226,"&gt;="&amp;DATE(2027,11,1),'FUNDED DEALS 2027'!$C$4:$C$1226,"&lt;"&amp;DATE(2027,12,1))+SUMIFS('FUNDED DEALS 2027'!$AB$4:$AB$1226,'FUNDED DEALS 2027'!$Z$4:$Z$1226,$A13,'FUNDED DEALS 2027'!$C$4:$C$1226,"&gt;="&amp;DATE(2027,11,1),'FUNDED DEALS 2027'!$C$4:$C$1226,"&lt;"&amp;DATE(2027,12,1)))</f>
        <v>0</v>
      </c>
      <c r="V13" s="51" t="n">
        <f aca="false">IF($A13="","",SUMIFS('FUNDED DEALS'!$V$4:$V$1226,'FUNDED DEALS'!$T$4:$T$1226,$A13,'FUNDED DEALS'!$C$4:$C$1226,"&gt;="&amp;DATE(2027,12,1),'FUNDED DEALS'!$C$4:$C$1226,"&lt;"&amp;DATE(2028,1,1))+SUMIFS('FUNDED DEALS'!$Y$4:$Y$1226,'FUNDED DEALS'!$W$4:$W$1226,$A13,'FUNDED DEALS'!$C$4:$C$1226,"&gt;="&amp;DATE(2027,12,1),'FUNDED DEALS'!$C$4:$C$1226,"&lt;"&amp;DATE(2028,1,1))+SUMIFS('FUNDED DEALS'!$AB$4:$AB$1226,'FUNDED DEALS'!$Z$4:$Z$1226,$A13,'FUNDED DEALS'!$C$4:$C$1226,"&gt;="&amp;DATE(2027,12,1),'FUNDED DEALS'!$C$4:$C$1226,"&lt;"&amp;DATE(2028,1,1))+SUMIFS('FUNDED DEALS 2027'!$V$4:$V$1226,'FUNDED DEALS 2027'!$T$4:$T$1226,$A13,'FUNDED DEALS 2027'!$C$4:$C$1226,"&gt;="&amp;DATE(2027,12,1),'FUNDED DEALS 2027'!$C$4:$C$1226,"&lt;"&amp;DATE(2028,1,1))+SUMIFS('FUNDED DEALS 2027'!$Y$4:$Y$1226,'FUNDED DEALS 2027'!$W$4:$W$1226,$A13,'FUNDED DEALS 2027'!$C$4:$C$1226,"&gt;="&amp;DATE(2027,12,1),'FUNDED DEALS 2027'!$C$4:$C$1226,"&lt;"&amp;DATE(2028,1,1))+SUMIFS('FUNDED DEALS 2027'!$AB$4:$AB$1226,'FUNDED DEALS 2027'!$Z$4:$Z$1226,$A13,'FUNDED DEALS 2027'!$C$4:$C$1226,"&gt;="&amp;DATE(2027,12,1),'FUNDED DEALS 2027'!$C$4:$C$1226,"&lt;"&amp;DATE(2028,1,1)))</f>
        <v>0</v>
      </c>
      <c r="W13" s="58" t="n">
        <f aca="false">IF($A13="","",SUM(B13:V13))</f>
        <v>0</v>
      </c>
    </row>
    <row r="14" customFormat="false" ht="15" hidden="false" customHeight="false" outlineLevel="0" collapsed="false">
      <c r="A14" s="47" t="str">
        <f aca="false">IF(REPS!A12="","",REPS!A12)</f>
        <v>Edward Obi</v>
      </c>
      <c r="B14" s="48" t="n">
        <f aca="false">IF($A14="","",SUMIFS('FUNDED DEALS'!$V$4:$V$1226,'FUNDED DEALS'!$T$4:$T$1226,$A14,'FUNDED DEALS'!$C$4:$C$1226,"&gt;="&amp;DATE(2026,4,1),'FUNDED DEALS'!$C$4:$C$1226,"&lt;"&amp;DATE(2026,5,1))+SUMIFS('FUNDED DEALS'!$Y$4:$Y$1226,'FUNDED DEALS'!$W$4:$W$1226,$A14,'FUNDED DEALS'!$C$4:$C$1226,"&gt;="&amp;DATE(2026,4,1),'FUNDED DEALS'!$C$4:$C$1226,"&lt;"&amp;DATE(2026,5,1))+SUMIFS('FUNDED DEALS'!$AB$4:$AB$1226,'FUNDED DEALS'!$Z$4:$Z$1226,$A14,'FUNDED DEALS'!$C$4:$C$1226,"&gt;="&amp;DATE(2026,4,1),'FUNDED DEALS'!$C$4:$C$1226,"&lt;"&amp;DATE(2026,5,1))+SUMIFS('FUNDED DEALS 2027'!$V$4:$V$1226,'FUNDED DEALS 2027'!$T$4:$T$1226,$A14,'FUNDED DEALS 2027'!$C$4:$C$1226,"&gt;="&amp;DATE(2026,4,1),'FUNDED DEALS 2027'!$C$4:$C$1226,"&lt;"&amp;DATE(2026,5,1))+SUMIFS('FUNDED DEALS 2027'!$Y$4:$Y$1226,'FUNDED DEALS 2027'!$W$4:$W$1226,$A14,'FUNDED DEALS 2027'!$C$4:$C$1226,"&gt;="&amp;DATE(2026,4,1),'FUNDED DEALS 2027'!$C$4:$C$1226,"&lt;"&amp;DATE(2026,5,1))+SUMIFS('FUNDED DEALS 2027'!$AB$4:$AB$1226,'FUNDED DEALS 2027'!$Z$4:$Z$1226,$A14,'FUNDED DEALS 2027'!$C$4:$C$1226,"&gt;="&amp;DATE(2026,4,1),'FUNDED DEALS 2027'!$C$4:$C$1226,"&lt;"&amp;DATE(2026,5,1)))</f>
        <v>0</v>
      </c>
      <c r="C14" s="48" t="n">
        <f aca="false">IF($A14="","",SUMIFS('FUNDED DEALS'!$V$4:$V$1226,'FUNDED DEALS'!$T$4:$T$1226,$A14,'FUNDED DEALS'!$C$4:$C$1226,"&gt;="&amp;DATE(2026,5,1),'FUNDED DEALS'!$C$4:$C$1226,"&lt;"&amp;DATE(2026,6,1))+SUMIFS('FUNDED DEALS'!$Y$4:$Y$1226,'FUNDED DEALS'!$W$4:$W$1226,$A14,'FUNDED DEALS'!$C$4:$C$1226,"&gt;="&amp;DATE(2026,5,1),'FUNDED DEALS'!$C$4:$C$1226,"&lt;"&amp;DATE(2026,6,1))+SUMIFS('FUNDED DEALS'!$AB$4:$AB$1226,'FUNDED DEALS'!$Z$4:$Z$1226,$A14,'FUNDED DEALS'!$C$4:$C$1226,"&gt;="&amp;DATE(2026,5,1),'FUNDED DEALS'!$C$4:$C$1226,"&lt;"&amp;DATE(2026,6,1))+SUMIFS('FUNDED DEALS 2027'!$V$4:$V$1226,'FUNDED DEALS 2027'!$T$4:$T$1226,$A14,'FUNDED DEALS 2027'!$C$4:$C$1226,"&gt;="&amp;DATE(2026,5,1),'FUNDED DEALS 2027'!$C$4:$C$1226,"&lt;"&amp;DATE(2026,6,1))+SUMIFS('FUNDED DEALS 2027'!$Y$4:$Y$1226,'FUNDED DEALS 2027'!$W$4:$W$1226,$A14,'FUNDED DEALS 2027'!$C$4:$C$1226,"&gt;="&amp;DATE(2026,5,1),'FUNDED DEALS 2027'!$C$4:$C$1226,"&lt;"&amp;DATE(2026,6,1))+SUMIFS('FUNDED DEALS 2027'!$AB$4:$AB$1226,'FUNDED DEALS 2027'!$Z$4:$Z$1226,$A14,'FUNDED DEALS 2027'!$C$4:$C$1226,"&gt;="&amp;DATE(2026,5,1),'FUNDED DEALS 2027'!$C$4:$C$1226,"&lt;"&amp;DATE(2026,6,1)))</f>
        <v>0</v>
      </c>
      <c r="D14" s="48" t="n">
        <f aca="false">IF($A14="","",SUMIFS('FUNDED DEALS'!$V$4:$V$1226,'FUNDED DEALS'!$T$4:$T$1226,$A14,'FUNDED DEALS'!$C$4:$C$1226,"&gt;="&amp;DATE(2026,6,1),'FUNDED DEALS'!$C$4:$C$1226,"&lt;"&amp;DATE(2026,7,1))+SUMIFS('FUNDED DEALS'!$Y$4:$Y$1226,'FUNDED DEALS'!$W$4:$W$1226,$A14,'FUNDED DEALS'!$C$4:$C$1226,"&gt;="&amp;DATE(2026,6,1),'FUNDED DEALS'!$C$4:$C$1226,"&lt;"&amp;DATE(2026,7,1))+SUMIFS('FUNDED DEALS'!$AB$4:$AB$1226,'FUNDED DEALS'!$Z$4:$Z$1226,$A14,'FUNDED DEALS'!$C$4:$C$1226,"&gt;="&amp;DATE(2026,6,1),'FUNDED DEALS'!$C$4:$C$1226,"&lt;"&amp;DATE(2026,7,1))+SUMIFS('FUNDED DEALS 2027'!$V$4:$V$1226,'FUNDED DEALS 2027'!$T$4:$T$1226,$A14,'FUNDED DEALS 2027'!$C$4:$C$1226,"&gt;="&amp;DATE(2026,6,1),'FUNDED DEALS 2027'!$C$4:$C$1226,"&lt;"&amp;DATE(2026,7,1))+SUMIFS('FUNDED DEALS 2027'!$Y$4:$Y$1226,'FUNDED DEALS 2027'!$W$4:$W$1226,$A14,'FUNDED DEALS 2027'!$C$4:$C$1226,"&gt;="&amp;DATE(2026,6,1),'FUNDED DEALS 2027'!$C$4:$C$1226,"&lt;"&amp;DATE(2026,7,1))+SUMIFS('FUNDED DEALS 2027'!$AB$4:$AB$1226,'FUNDED DEALS 2027'!$Z$4:$Z$1226,$A14,'FUNDED DEALS 2027'!$C$4:$C$1226,"&gt;="&amp;DATE(2026,6,1),'FUNDED DEALS 2027'!$C$4:$C$1226,"&lt;"&amp;DATE(2026,7,1)))</f>
        <v>0</v>
      </c>
      <c r="E14" s="48" t="n">
        <f aca="false">IF($A14="","",SUMIFS('FUNDED DEALS'!$V$4:$V$1226,'FUNDED DEALS'!$T$4:$T$1226,$A14,'FUNDED DEALS'!$C$4:$C$1226,"&gt;="&amp;DATE(2026,7,1),'FUNDED DEALS'!$C$4:$C$1226,"&lt;"&amp;DATE(2026,8,1))+SUMIFS('FUNDED DEALS'!$Y$4:$Y$1226,'FUNDED DEALS'!$W$4:$W$1226,$A14,'FUNDED DEALS'!$C$4:$C$1226,"&gt;="&amp;DATE(2026,7,1),'FUNDED DEALS'!$C$4:$C$1226,"&lt;"&amp;DATE(2026,8,1))+SUMIFS('FUNDED DEALS'!$AB$4:$AB$1226,'FUNDED DEALS'!$Z$4:$Z$1226,$A14,'FUNDED DEALS'!$C$4:$C$1226,"&gt;="&amp;DATE(2026,7,1),'FUNDED DEALS'!$C$4:$C$1226,"&lt;"&amp;DATE(2026,8,1))+SUMIFS('FUNDED DEALS 2027'!$V$4:$V$1226,'FUNDED DEALS 2027'!$T$4:$T$1226,$A14,'FUNDED DEALS 2027'!$C$4:$C$1226,"&gt;="&amp;DATE(2026,7,1),'FUNDED DEALS 2027'!$C$4:$C$1226,"&lt;"&amp;DATE(2026,8,1))+SUMIFS('FUNDED DEALS 2027'!$Y$4:$Y$1226,'FUNDED DEALS 2027'!$W$4:$W$1226,$A14,'FUNDED DEALS 2027'!$C$4:$C$1226,"&gt;="&amp;DATE(2026,7,1),'FUNDED DEALS 2027'!$C$4:$C$1226,"&lt;"&amp;DATE(2026,8,1))+SUMIFS('FUNDED DEALS 2027'!$AB$4:$AB$1226,'FUNDED DEALS 2027'!$Z$4:$Z$1226,$A14,'FUNDED DEALS 2027'!$C$4:$C$1226,"&gt;="&amp;DATE(2026,7,1),'FUNDED DEALS 2027'!$C$4:$C$1226,"&lt;"&amp;DATE(2026,8,1)))</f>
        <v>0</v>
      </c>
      <c r="F14" s="48" t="n">
        <f aca="false">IF($A14="","",SUMIFS('FUNDED DEALS'!$V$4:$V$1226,'FUNDED DEALS'!$T$4:$T$1226,$A14,'FUNDED DEALS'!$C$4:$C$1226,"&gt;="&amp;DATE(2026,8,1),'FUNDED DEALS'!$C$4:$C$1226,"&lt;"&amp;DATE(2026,9,1))+SUMIFS('FUNDED DEALS'!$Y$4:$Y$1226,'FUNDED DEALS'!$W$4:$W$1226,$A14,'FUNDED DEALS'!$C$4:$C$1226,"&gt;="&amp;DATE(2026,8,1),'FUNDED DEALS'!$C$4:$C$1226,"&lt;"&amp;DATE(2026,9,1))+SUMIFS('FUNDED DEALS'!$AB$4:$AB$1226,'FUNDED DEALS'!$Z$4:$Z$1226,$A14,'FUNDED DEALS'!$C$4:$C$1226,"&gt;="&amp;DATE(2026,8,1),'FUNDED DEALS'!$C$4:$C$1226,"&lt;"&amp;DATE(2026,9,1))+SUMIFS('FUNDED DEALS 2027'!$V$4:$V$1226,'FUNDED DEALS 2027'!$T$4:$T$1226,$A14,'FUNDED DEALS 2027'!$C$4:$C$1226,"&gt;="&amp;DATE(2026,8,1),'FUNDED DEALS 2027'!$C$4:$C$1226,"&lt;"&amp;DATE(2026,9,1))+SUMIFS('FUNDED DEALS 2027'!$Y$4:$Y$1226,'FUNDED DEALS 2027'!$W$4:$W$1226,$A14,'FUNDED DEALS 2027'!$C$4:$C$1226,"&gt;="&amp;DATE(2026,8,1),'FUNDED DEALS 2027'!$C$4:$C$1226,"&lt;"&amp;DATE(2026,9,1))+SUMIFS('FUNDED DEALS 2027'!$AB$4:$AB$1226,'FUNDED DEALS 2027'!$Z$4:$Z$1226,$A14,'FUNDED DEALS 2027'!$C$4:$C$1226,"&gt;="&amp;DATE(2026,8,1),'FUNDED DEALS 2027'!$C$4:$C$1226,"&lt;"&amp;DATE(2026,9,1)))</f>
        <v>0</v>
      </c>
      <c r="G14" s="48" t="n">
        <f aca="false">IF($A14="","",SUMIFS('FUNDED DEALS'!$V$4:$V$1226,'FUNDED DEALS'!$T$4:$T$1226,$A14,'FUNDED DEALS'!$C$4:$C$1226,"&gt;="&amp;DATE(2026,9,1),'FUNDED DEALS'!$C$4:$C$1226,"&lt;"&amp;DATE(2026,10,1))+SUMIFS('FUNDED DEALS'!$Y$4:$Y$1226,'FUNDED DEALS'!$W$4:$W$1226,$A14,'FUNDED DEALS'!$C$4:$C$1226,"&gt;="&amp;DATE(2026,9,1),'FUNDED DEALS'!$C$4:$C$1226,"&lt;"&amp;DATE(2026,10,1))+SUMIFS('FUNDED DEALS'!$AB$4:$AB$1226,'FUNDED DEALS'!$Z$4:$Z$1226,$A14,'FUNDED DEALS'!$C$4:$C$1226,"&gt;="&amp;DATE(2026,9,1),'FUNDED DEALS'!$C$4:$C$1226,"&lt;"&amp;DATE(2026,10,1))+SUMIFS('FUNDED DEALS 2027'!$V$4:$V$1226,'FUNDED DEALS 2027'!$T$4:$T$1226,$A14,'FUNDED DEALS 2027'!$C$4:$C$1226,"&gt;="&amp;DATE(2026,9,1),'FUNDED DEALS 2027'!$C$4:$C$1226,"&lt;"&amp;DATE(2026,10,1))+SUMIFS('FUNDED DEALS 2027'!$Y$4:$Y$1226,'FUNDED DEALS 2027'!$W$4:$W$1226,$A14,'FUNDED DEALS 2027'!$C$4:$C$1226,"&gt;="&amp;DATE(2026,9,1),'FUNDED DEALS 2027'!$C$4:$C$1226,"&lt;"&amp;DATE(2026,10,1))+SUMIFS('FUNDED DEALS 2027'!$AB$4:$AB$1226,'FUNDED DEALS 2027'!$Z$4:$Z$1226,$A14,'FUNDED DEALS 2027'!$C$4:$C$1226,"&gt;="&amp;DATE(2026,9,1),'FUNDED DEALS 2027'!$C$4:$C$1226,"&lt;"&amp;DATE(2026,10,1)))</f>
        <v>0</v>
      </c>
      <c r="H14" s="48" t="n">
        <f aca="false">IF($A14="","",SUMIFS('FUNDED DEALS'!$V$4:$V$1226,'FUNDED DEALS'!$T$4:$T$1226,$A14,'FUNDED DEALS'!$C$4:$C$1226,"&gt;="&amp;DATE(2026,10,1),'FUNDED DEALS'!$C$4:$C$1226,"&lt;"&amp;DATE(2026,11,1))+SUMIFS('FUNDED DEALS'!$Y$4:$Y$1226,'FUNDED DEALS'!$W$4:$W$1226,$A14,'FUNDED DEALS'!$C$4:$C$1226,"&gt;="&amp;DATE(2026,10,1),'FUNDED DEALS'!$C$4:$C$1226,"&lt;"&amp;DATE(2026,11,1))+SUMIFS('FUNDED DEALS'!$AB$4:$AB$1226,'FUNDED DEALS'!$Z$4:$Z$1226,$A14,'FUNDED DEALS'!$C$4:$C$1226,"&gt;="&amp;DATE(2026,10,1),'FUNDED DEALS'!$C$4:$C$1226,"&lt;"&amp;DATE(2026,11,1))+SUMIFS('FUNDED DEALS 2027'!$V$4:$V$1226,'FUNDED DEALS 2027'!$T$4:$T$1226,$A14,'FUNDED DEALS 2027'!$C$4:$C$1226,"&gt;="&amp;DATE(2026,10,1),'FUNDED DEALS 2027'!$C$4:$C$1226,"&lt;"&amp;DATE(2026,11,1))+SUMIFS('FUNDED DEALS 2027'!$Y$4:$Y$1226,'FUNDED DEALS 2027'!$W$4:$W$1226,$A14,'FUNDED DEALS 2027'!$C$4:$C$1226,"&gt;="&amp;DATE(2026,10,1),'FUNDED DEALS 2027'!$C$4:$C$1226,"&lt;"&amp;DATE(2026,11,1))+SUMIFS('FUNDED DEALS 2027'!$AB$4:$AB$1226,'FUNDED DEALS 2027'!$Z$4:$Z$1226,$A14,'FUNDED DEALS 2027'!$C$4:$C$1226,"&gt;="&amp;DATE(2026,10,1),'FUNDED DEALS 2027'!$C$4:$C$1226,"&lt;"&amp;DATE(2026,11,1)))</f>
        <v>0</v>
      </c>
      <c r="I14" s="48" t="n">
        <f aca="false">IF($A14="","",SUMIFS('FUNDED DEALS'!$V$4:$V$1226,'FUNDED DEALS'!$T$4:$T$1226,$A14,'FUNDED DEALS'!$C$4:$C$1226,"&gt;="&amp;DATE(2026,11,1),'FUNDED DEALS'!$C$4:$C$1226,"&lt;"&amp;DATE(2026,12,1))+SUMIFS('FUNDED DEALS'!$Y$4:$Y$1226,'FUNDED DEALS'!$W$4:$W$1226,$A14,'FUNDED DEALS'!$C$4:$C$1226,"&gt;="&amp;DATE(2026,11,1),'FUNDED DEALS'!$C$4:$C$1226,"&lt;"&amp;DATE(2026,12,1))+SUMIFS('FUNDED DEALS'!$AB$4:$AB$1226,'FUNDED DEALS'!$Z$4:$Z$1226,$A14,'FUNDED DEALS'!$C$4:$C$1226,"&gt;="&amp;DATE(2026,11,1),'FUNDED DEALS'!$C$4:$C$1226,"&lt;"&amp;DATE(2026,12,1))+SUMIFS('FUNDED DEALS 2027'!$V$4:$V$1226,'FUNDED DEALS 2027'!$T$4:$T$1226,$A14,'FUNDED DEALS 2027'!$C$4:$C$1226,"&gt;="&amp;DATE(2026,11,1),'FUNDED DEALS 2027'!$C$4:$C$1226,"&lt;"&amp;DATE(2026,12,1))+SUMIFS('FUNDED DEALS 2027'!$Y$4:$Y$1226,'FUNDED DEALS 2027'!$W$4:$W$1226,$A14,'FUNDED DEALS 2027'!$C$4:$C$1226,"&gt;="&amp;DATE(2026,11,1),'FUNDED DEALS 2027'!$C$4:$C$1226,"&lt;"&amp;DATE(2026,12,1))+SUMIFS('FUNDED DEALS 2027'!$AB$4:$AB$1226,'FUNDED DEALS 2027'!$Z$4:$Z$1226,$A14,'FUNDED DEALS 2027'!$C$4:$C$1226,"&gt;="&amp;DATE(2026,11,1),'FUNDED DEALS 2027'!$C$4:$C$1226,"&lt;"&amp;DATE(2026,12,1)))</f>
        <v>0</v>
      </c>
      <c r="J14" s="48" t="n">
        <f aca="false">IF($A14="","",SUMIFS('FUNDED DEALS'!$V$4:$V$1226,'FUNDED DEALS'!$T$4:$T$1226,$A14,'FUNDED DEALS'!$C$4:$C$1226,"&gt;="&amp;DATE(2026,12,1),'FUNDED DEALS'!$C$4:$C$1226,"&lt;"&amp;DATE(2027,1,1))+SUMIFS('FUNDED DEALS'!$Y$4:$Y$1226,'FUNDED DEALS'!$W$4:$W$1226,$A14,'FUNDED DEALS'!$C$4:$C$1226,"&gt;="&amp;DATE(2026,12,1),'FUNDED DEALS'!$C$4:$C$1226,"&lt;"&amp;DATE(2027,1,1))+SUMIFS('FUNDED DEALS'!$AB$4:$AB$1226,'FUNDED DEALS'!$Z$4:$Z$1226,$A14,'FUNDED DEALS'!$C$4:$C$1226,"&gt;="&amp;DATE(2026,12,1),'FUNDED DEALS'!$C$4:$C$1226,"&lt;"&amp;DATE(2027,1,1))+SUMIFS('FUNDED DEALS 2027'!$V$4:$V$1226,'FUNDED DEALS 2027'!$T$4:$T$1226,$A14,'FUNDED DEALS 2027'!$C$4:$C$1226,"&gt;="&amp;DATE(2026,12,1),'FUNDED DEALS 2027'!$C$4:$C$1226,"&lt;"&amp;DATE(2027,1,1))+SUMIFS('FUNDED DEALS 2027'!$Y$4:$Y$1226,'FUNDED DEALS 2027'!$W$4:$W$1226,$A14,'FUNDED DEALS 2027'!$C$4:$C$1226,"&gt;="&amp;DATE(2026,12,1),'FUNDED DEALS 2027'!$C$4:$C$1226,"&lt;"&amp;DATE(2027,1,1))+SUMIFS('FUNDED DEALS 2027'!$AB$4:$AB$1226,'FUNDED DEALS 2027'!$Z$4:$Z$1226,$A14,'FUNDED DEALS 2027'!$C$4:$C$1226,"&gt;="&amp;DATE(2026,12,1),'FUNDED DEALS 2027'!$C$4:$C$1226,"&lt;"&amp;DATE(2027,1,1)))</f>
        <v>0</v>
      </c>
      <c r="K14" s="48" t="n">
        <f aca="false">IF($A14="","",SUMIFS('FUNDED DEALS'!$V$4:$V$1226,'FUNDED DEALS'!$T$4:$T$1226,$A14,'FUNDED DEALS'!$C$4:$C$1226,"&gt;="&amp;DATE(2027,1,1),'FUNDED DEALS'!$C$4:$C$1226,"&lt;"&amp;DATE(2027,2,1))+SUMIFS('FUNDED DEALS'!$Y$4:$Y$1226,'FUNDED DEALS'!$W$4:$W$1226,$A14,'FUNDED DEALS'!$C$4:$C$1226,"&gt;="&amp;DATE(2027,1,1),'FUNDED DEALS'!$C$4:$C$1226,"&lt;"&amp;DATE(2027,2,1))+SUMIFS('FUNDED DEALS'!$AB$4:$AB$1226,'FUNDED DEALS'!$Z$4:$Z$1226,$A14,'FUNDED DEALS'!$C$4:$C$1226,"&gt;="&amp;DATE(2027,1,1),'FUNDED DEALS'!$C$4:$C$1226,"&lt;"&amp;DATE(2027,2,1))+SUMIFS('FUNDED DEALS 2027'!$V$4:$V$1226,'FUNDED DEALS 2027'!$T$4:$T$1226,$A14,'FUNDED DEALS 2027'!$C$4:$C$1226,"&gt;="&amp;DATE(2027,1,1),'FUNDED DEALS 2027'!$C$4:$C$1226,"&lt;"&amp;DATE(2027,2,1))+SUMIFS('FUNDED DEALS 2027'!$Y$4:$Y$1226,'FUNDED DEALS 2027'!$W$4:$W$1226,$A14,'FUNDED DEALS 2027'!$C$4:$C$1226,"&gt;="&amp;DATE(2027,1,1),'FUNDED DEALS 2027'!$C$4:$C$1226,"&lt;"&amp;DATE(2027,2,1))+SUMIFS('FUNDED DEALS 2027'!$AB$4:$AB$1226,'FUNDED DEALS 2027'!$Z$4:$Z$1226,$A14,'FUNDED DEALS 2027'!$C$4:$C$1226,"&gt;="&amp;DATE(2027,1,1),'FUNDED DEALS 2027'!$C$4:$C$1226,"&lt;"&amp;DATE(2027,2,1)))</f>
        <v>0</v>
      </c>
      <c r="L14" s="48" t="n">
        <f aca="false">IF($A14="","",SUMIFS('FUNDED DEALS'!$V$4:$V$1226,'FUNDED DEALS'!$T$4:$T$1226,$A14,'FUNDED DEALS'!$C$4:$C$1226,"&gt;="&amp;DATE(2027,2,1),'FUNDED DEALS'!$C$4:$C$1226,"&lt;"&amp;DATE(2027,3,1))+SUMIFS('FUNDED DEALS'!$Y$4:$Y$1226,'FUNDED DEALS'!$W$4:$W$1226,$A14,'FUNDED DEALS'!$C$4:$C$1226,"&gt;="&amp;DATE(2027,2,1),'FUNDED DEALS'!$C$4:$C$1226,"&lt;"&amp;DATE(2027,3,1))+SUMIFS('FUNDED DEALS'!$AB$4:$AB$1226,'FUNDED DEALS'!$Z$4:$Z$1226,$A14,'FUNDED DEALS'!$C$4:$C$1226,"&gt;="&amp;DATE(2027,2,1),'FUNDED DEALS'!$C$4:$C$1226,"&lt;"&amp;DATE(2027,3,1))+SUMIFS('FUNDED DEALS 2027'!$V$4:$V$1226,'FUNDED DEALS 2027'!$T$4:$T$1226,$A14,'FUNDED DEALS 2027'!$C$4:$C$1226,"&gt;="&amp;DATE(2027,2,1),'FUNDED DEALS 2027'!$C$4:$C$1226,"&lt;"&amp;DATE(2027,3,1))+SUMIFS('FUNDED DEALS 2027'!$Y$4:$Y$1226,'FUNDED DEALS 2027'!$W$4:$W$1226,$A14,'FUNDED DEALS 2027'!$C$4:$C$1226,"&gt;="&amp;DATE(2027,2,1),'FUNDED DEALS 2027'!$C$4:$C$1226,"&lt;"&amp;DATE(2027,3,1))+SUMIFS('FUNDED DEALS 2027'!$AB$4:$AB$1226,'FUNDED DEALS 2027'!$Z$4:$Z$1226,$A14,'FUNDED DEALS 2027'!$C$4:$C$1226,"&gt;="&amp;DATE(2027,2,1),'FUNDED DEALS 2027'!$C$4:$C$1226,"&lt;"&amp;DATE(2027,3,1)))</f>
        <v>0</v>
      </c>
      <c r="M14" s="48" t="n">
        <f aca="false">IF($A14="","",SUMIFS('FUNDED DEALS'!$V$4:$V$1226,'FUNDED DEALS'!$T$4:$T$1226,$A14,'FUNDED DEALS'!$C$4:$C$1226,"&gt;="&amp;DATE(2027,3,1),'FUNDED DEALS'!$C$4:$C$1226,"&lt;"&amp;DATE(2027,4,1))+SUMIFS('FUNDED DEALS'!$Y$4:$Y$1226,'FUNDED DEALS'!$W$4:$W$1226,$A14,'FUNDED DEALS'!$C$4:$C$1226,"&gt;="&amp;DATE(2027,3,1),'FUNDED DEALS'!$C$4:$C$1226,"&lt;"&amp;DATE(2027,4,1))+SUMIFS('FUNDED DEALS'!$AB$4:$AB$1226,'FUNDED DEALS'!$Z$4:$Z$1226,$A14,'FUNDED DEALS'!$C$4:$C$1226,"&gt;="&amp;DATE(2027,3,1),'FUNDED DEALS'!$C$4:$C$1226,"&lt;"&amp;DATE(2027,4,1))+SUMIFS('FUNDED DEALS 2027'!$V$4:$V$1226,'FUNDED DEALS 2027'!$T$4:$T$1226,$A14,'FUNDED DEALS 2027'!$C$4:$C$1226,"&gt;="&amp;DATE(2027,3,1),'FUNDED DEALS 2027'!$C$4:$C$1226,"&lt;"&amp;DATE(2027,4,1))+SUMIFS('FUNDED DEALS 2027'!$Y$4:$Y$1226,'FUNDED DEALS 2027'!$W$4:$W$1226,$A14,'FUNDED DEALS 2027'!$C$4:$C$1226,"&gt;="&amp;DATE(2027,3,1),'FUNDED DEALS 2027'!$C$4:$C$1226,"&lt;"&amp;DATE(2027,4,1))+SUMIFS('FUNDED DEALS 2027'!$AB$4:$AB$1226,'FUNDED DEALS 2027'!$Z$4:$Z$1226,$A14,'FUNDED DEALS 2027'!$C$4:$C$1226,"&gt;="&amp;DATE(2027,3,1),'FUNDED DEALS 2027'!$C$4:$C$1226,"&lt;"&amp;DATE(2027,4,1)))</f>
        <v>0</v>
      </c>
      <c r="N14" s="48" t="n">
        <f aca="false">IF($A14="","",SUMIFS('FUNDED DEALS'!$V$4:$V$1226,'FUNDED DEALS'!$T$4:$T$1226,$A14,'FUNDED DEALS'!$C$4:$C$1226,"&gt;="&amp;DATE(2027,4,1),'FUNDED DEALS'!$C$4:$C$1226,"&lt;"&amp;DATE(2027,5,1))+SUMIFS('FUNDED DEALS'!$Y$4:$Y$1226,'FUNDED DEALS'!$W$4:$W$1226,$A14,'FUNDED DEALS'!$C$4:$C$1226,"&gt;="&amp;DATE(2027,4,1),'FUNDED DEALS'!$C$4:$C$1226,"&lt;"&amp;DATE(2027,5,1))+SUMIFS('FUNDED DEALS'!$AB$4:$AB$1226,'FUNDED DEALS'!$Z$4:$Z$1226,$A14,'FUNDED DEALS'!$C$4:$C$1226,"&gt;="&amp;DATE(2027,4,1),'FUNDED DEALS'!$C$4:$C$1226,"&lt;"&amp;DATE(2027,5,1))+SUMIFS('FUNDED DEALS 2027'!$V$4:$V$1226,'FUNDED DEALS 2027'!$T$4:$T$1226,$A14,'FUNDED DEALS 2027'!$C$4:$C$1226,"&gt;="&amp;DATE(2027,4,1),'FUNDED DEALS 2027'!$C$4:$C$1226,"&lt;"&amp;DATE(2027,5,1))+SUMIFS('FUNDED DEALS 2027'!$Y$4:$Y$1226,'FUNDED DEALS 2027'!$W$4:$W$1226,$A14,'FUNDED DEALS 2027'!$C$4:$C$1226,"&gt;="&amp;DATE(2027,4,1),'FUNDED DEALS 2027'!$C$4:$C$1226,"&lt;"&amp;DATE(2027,5,1))+SUMIFS('FUNDED DEALS 2027'!$AB$4:$AB$1226,'FUNDED DEALS 2027'!$Z$4:$Z$1226,$A14,'FUNDED DEALS 2027'!$C$4:$C$1226,"&gt;="&amp;DATE(2027,4,1),'FUNDED DEALS 2027'!$C$4:$C$1226,"&lt;"&amp;DATE(2027,5,1)))</f>
        <v>0</v>
      </c>
      <c r="O14" s="48" t="n">
        <f aca="false">IF($A14="","",SUMIFS('FUNDED DEALS'!$V$4:$V$1226,'FUNDED DEALS'!$T$4:$T$1226,$A14,'FUNDED DEALS'!$C$4:$C$1226,"&gt;="&amp;DATE(2027,5,1),'FUNDED DEALS'!$C$4:$C$1226,"&lt;"&amp;DATE(2027,6,1))+SUMIFS('FUNDED DEALS'!$Y$4:$Y$1226,'FUNDED DEALS'!$W$4:$W$1226,$A14,'FUNDED DEALS'!$C$4:$C$1226,"&gt;="&amp;DATE(2027,5,1),'FUNDED DEALS'!$C$4:$C$1226,"&lt;"&amp;DATE(2027,6,1))+SUMIFS('FUNDED DEALS'!$AB$4:$AB$1226,'FUNDED DEALS'!$Z$4:$Z$1226,$A14,'FUNDED DEALS'!$C$4:$C$1226,"&gt;="&amp;DATE(2027,5,1),'FUNDED DEALS'!$C$4:$C$1226,"&lt;"&amp;DATE(2027,6,1))+SUMIFS('FUNDED DEALS 2027'!$V$4:$V$1226,'FUNDED DEALS 2027'!$T$4:$T$1226,$A14,'FUNDED DEALS 2027'!$C$4:$C$1226,"&gt;="&amp;DATE(2027,5,1),'FUNDED DEALS 2027'!$C$4:$C$1226,"&lt;"&amp;DATE(2027,6,1))+SUMIFS('FUNDED DEALS 2027'!$Y$4:$Y$1226,'FUNDED DEALS 2027'!$W$4:$W$1226,$A14,'FUNDED DEALS 2027'!$C$4:$C$1226,"&gt;="&amp;DATE(2027,5,1),'FUNDED DEALS 2027'!$C$4:$C$1226,"&lt;"&amp;DATE(2027,6,1))+SUMIFS('FUNDED DEALS 2027'!$AB$4:$AB$1226,'FUNDED DEALS 2027'!$Z$4:$Z$1226,$A14,'FUNDED DEALS 2027'!$C$4:$C$1226,"&gt;="&amp;DATE(2027,5,1),'FUNDED DEALS 2027'!$C$4:$C$1226,"&lt;"&amp;DATE(2027,6,1)))</f>
        <v>0</v>
      </c>
      <c r="P14" s="48" t="n">
        <f aca="false">IF($A14="","",SUMIFS('FUNDED DEALS'!$V$4:$V$1226,'FUNDED DEALS'!$T$4:$T$1226,$A14,'FUNDED DEALS'!$C$4:$C$1226,"&gt;="&amp;DATE(2027,6,1),'FUNDED DEALS'!$C$4:$C$1226,"&lt;"&amp;DATE(2027,7,1))+SUMIFS('FUNDED DEALS'!$Y$4:$Y$1226,'FUNDED DEALS'!$W$4:$W$1226,$A14,'FUNDED DEALS'!$C$4:$C$1226,"&gt;="&amp;DATE(2027,6,1),'FUNDED DEALS'!$C$4:$C$1226,"&lt;"&amp;DATE(2027,7,1))+SUMIFS('FUNDED DEALS'!$AB$4:$AB$1226,'FUNDED DEALS'!$Z$4:$Z$1226,$A14,'FUNDED DEALS'!$C$4:$C$1226,"&gt;="&amp;DATE(2027,6,1),'FUNDED DEALS'!$C$4:$C$1226,"&lt;"&amp;DATE(2027,7,1))+SUMIFS('FUNDED DEALS 2027'!$V$4:$V$1226,'FUNDED DEALS 2027'!$T$4:$T$1226,$A14,'FUNDED DEALS 2027'!$C$4:$C$1226,"&gt;="&amp;DATE(2027,6,1),'FUNDED DEALS 2027'!$C$4:$C$1226,"&lt;"&amp;DATE(2027,7,1))+SUMIFS('FUNDED DEALS 2027'!$Y$4:$Y$1226,'FUNDED DEALS 2027'!$W$4:$W$1226,$A14,'FUNDED DEALS 2027'!$C$4:$C$1226,"&gt;="&amp;DATE(2027,6,1),'FUNDED DEALS 2027'!$C$4:$C$1226,"&lt;"&amp;DATE(2027,7,1))+SUMIFS('FUNDED DEALS 2027'!$AB$4:$AB$1226,'FUNDED DEALS 2027'!$Z$4:$Z$1226,$A14,'FUNDED DEALS 2027'!$C$4:$C$1226,"&gt;="&amp;DATE(2027,6,1),'FUNDED DEALS 2027'!$C$4:$C$1226,"&lt;"&amp;DATE(2027,7,1)))</f>
        <v>0</v>
      </c>
      <c r="Q14" s="48" t="n">
        <f aca="false">IF($A14="","",SUMIFS('FUNDED DEALS'!$V$4:$V$1226,'FUNDED DEALS'!$T$4:$T$1226,$A14,'FUNDED DEALS'!$C$4:$C$1226,"&gt;="&amp;DATE(2027,7,1),'FUNDED DEALS'!$C$4:$C$1226,"&lt;"&amp;DATE(2027,8,1))+SUMIFS('FUNDED DEALS'!$Y$4:$Y$1226,'FUNDED DEALS'!$W$4:$W$1226,$A14,'FUNDED DEALS'!$C$4:$C$1226,"&gt;="&amp;DATE(2027,7,1),'FUNDED DEALS'!$C$4:$C$1226,"&lt;"&amp;DATE(2027,8,1))+SUMIFS('FUNDED DEALS'!$AB$4:$AB$1226,'FUNDED DEALS'!$Z$4:$Z$1226,$A14,'FUNDED DEALS'!$C$4:$C$1226,"&gt;="&amp;DATE(2027,7,1),'FUNDED DEALS'!$C$4:$C$1226,"&lt;"&amp;DATE(2027,8,1))+SUMIFS('FUNDED DEALS 2027'!$V$4:$V$1226,'FUNDED DEALS 2027'!$T$4:$T$1226,$A14,'FUNDED DEALS 2027'!$C$4:$C$1226,"&gt;="&amp;DATE(2027,7,1),'FUNDED DEALS 2027'!$C$4:$C$1226,"&lt;"&amp;DATE(2027,8,1))+SUMIFS('FUNDED DEALS 2027'!$Y$4:$Y$1226,'FUNDED DEALS 2027'!$W$4:$W$1226,$A14,'FUNDED DEALS 2027'!$C$4:$C$1226,"&gt;="&amp;DATE(2027,7,1),'FUNDED DEALS 2027'!$C$4:$C$1226,"&lt;"&amp;DATE(2027,8,1))+SUMIFS('FUNDED DEALS 2027'!$AB$4:$AB$1226,'FUNDED DEALS 2027'!$Z$4:$Z$1226,$A14,'FUNDED DEALS 2027'!$C$4:$C$1226,"&gt;="&amp;DATE(2027,7,1),'FUNDED DEALS 2027'!$C$4:$C$1226,"&lt;"&amp;DATE(2027,8,1)))</f>
        <v>0</v>
      </c>
      <c r="R14" s="48" t="n">
        <f aca="false">IF($A14="","",SUMIFS('FUNDED DEALS'!$V$4:$V$1226,'FUNDED DEALS'!$T$4:$T$1226,$A14,'FUNDED DEALS'!$C$4:$C$1226,"&gt;="&amp;DATE(2027,8,1),'FUNDED DEALS'!$C$4:$C$1226,"&lt;"&amp;DATE(2027,9,1))+SUMIFS('FUNDED DEALS'!$Y$4:$Y$1226,'FUNDED DEALS'!$W$4:$W$1226,$A14,'FUNDED DEALS'!$C$4:$C$1226,"&gt;="&amp;DATE(2027,8,1),'FUNDED DEALS'!$C$4:$C$1226,"&lt;"&amp;DATE(2027,9,1))+SUMIFS('FUNDED DEALS'!$AB$4:$AB$1226,'FUNDED DEALS'!$Z$4:$Z$1226,$A14,'FUNDED DEALS'!$C$4:$C$1226,"&gt;="&amp;DATE(2027,8,1),'FUNDED DEALS'!$C$4:$C$1226,"&lt;"&amp;DATE(2027,9,1))+SUMIFS('FUNDED DEALS 2027'!$V$4:$V$1226,'FUNDED DEALS 2027'!$T$4:$T$1226,$A14,'FUNDED DEALS 2027'!$C$4:$C$1226,"&gt;="&amp;DATE(2027,8,1),'FUNDED DEALS 2027'!$C$4:$C$1226,"&lt;"&amp;DATE(2027,9,1))+SUMIFS('FUNDED DEALS 2027'!$Y$4:$Y$1226,'FUNDED DEALS 2027'!$W$4:$W$1226,$A14,'FUNDED DEALS 2027'!$C$4:$C$1226,"&gt;="&amp;DATE(2027,8,1),'FUNDED DEALS 2027'!$C$4:$C$1226,"&lt;"&amp;DATE(2027,9,1))+SUMIFS('FUNDED DEALS 2027'!$AB$4:$AB$1226,'FUNDED DEALS 2027'!$Z$4:$Z$1226,$A14,'FUNDED DEALS 2027'!$C$4:$C$1226,"&gt;="&amp;DATE(2027,8,1),'FUNDED DEALS 2027'!$C$4:$C$1226,"&lt;"&amp;DATE(2027,9,1)))</f>
        <v>0</v>
      </c>
      <c r="S14" s="48" t="n">
        <f aca="false">IF($A14="","",SUMIFS('FUNDED DEALS'!$V$4:$V$1226,'FUNDED DEALS'!$T$4:$T$1226,$A14,'FUNDED DEALS'!$C$4:$C$1226,"&gt;="&amp;DATE(2027,9,1),'FUNDED DEALS'!$C$4:$C$1226,"&lt;"&amp;DATE(2027,10,1))+SUMIFS('FUNDED DEALS'!$Y$4:$Y$1226,'FUNDED DEALS'!$W$4:$W$1226,$A14,'FUNDED DEALS'!$C$4:$C$1226,"&gt;="&amp;DATE(2027,9,1),'FUNDED DEALS'!$C$4:$C$1226,"&lt;"&amp;DATE(2027,10,1))+SUMIFS('FUNDED DEALS'!$AB$4:$AB$1226,'FUNDED DEALS'!$Z$4:$Z$1226,$A14,'FUNDED DEALS'!$C$4:$C$1226,"&gt;="&amp;DATE(2027,9,1),'FUNDED DEALS'!$C$4:$C$1226,"&lt;"&amp;DATE(2027,10,1))+SUMIFS('FUNDED DEALS 2027'!$V$4:$V$1226,'FUNDED DEALS 2027'!$T$4:$T$1226,$A14,'FUNDED DEALS 2027'!$C$4:$C$1226,"&gt;="&amp;DATE(2027,9,1),'FUNDED DEALS 2027'!$C$4:$C$1226,"&lt;"&amp;DATE(2027,10,1))+SUMIFS('FUNDED DEALS 2027'!$Y$4:$Y$1226,'FUNDED DEALS 2027'!$W$4:$W$1226,$A14,'FUNDED DEALS 2027'!$C$4:$C$1226,"&gt;="&amp;DATE(2027,9,1),'FUNDED DEALS 2027'!$C$4:$C$1226,"&lt;"&amp;DATE(2027,10,1))+SUMIFS('FUNDED DEALS 2027'!$AB$4:$AB$1226,'FUNDED DEALS 2027'!$Z$4:$Z$1226,$A14,'FUNDED DEALS 2027'!$C$4:$C$1226,"&gt;="&amp;DATE(2027,9,1),'FUNDED DEALS 2027'!$C$4:$C$1226,"&lt;"&amp;DATE(2027,10,1)))</f>
        <v>0</v>
      </c>
      <c r="T14" s="48" t="n">
        <f aca="false">IF($A14="","",SUMIFS('FUNDED DEALS'!$V$4:$V$1226,'FUNDED DEALS'!$T$4:$T$1226,$A14,'FUNDED DEALS'!$C$4:$C$1226,"&gt;="&amp;DATE(2027,10,1),'FUNDED DEALS'!$C$4:$C$1226,"&lt;"&amp;DATE(2027,11,1))+SUMIFS('FUNDED DEALS'!$Y$4:$Y$1226,'FUNDED DEALS'!$W$4:$W$1226,$A14,'FUNDED DEALS'!$C$4:$C$1226,"&gt;="&amp;DATE(2027,10,1),'FUNDED DEALS'!$C$4:$C$1226,"&lt;"&amp;DATE(2027,11,1))+SUMIFS('FUNDED DEALS'!$AB$4:$AB$1226,'FUNDED DEALS'!$Z$4:$Z$1226,$A14,'FUNDED DEALS'!$C$4:$C$1226,"&gt;="&amp;DATE(2027,10,1),'FUNDED DEALS'!$C$4:$C$1226,"&lt;"&amp;DATE(2027,11,1))+SUMIFS('FUNDED DEALS 2027'!$V$4:$V$1226,'FUNDED DEALS 2027'!$T$4:$T$1226,$A14,'FUNDED DEALS 2027'!$C$4:$C$1226,"&gt;="&amp;DATE(2027,10,1),'FUNDED DEALS 2027'!$C$4:$C$1226,"&lt;"&amp;DATE(2027,11,1))+SUMIFS('FUNDED DEALS 2027'!$Y$4:$Y$1226,'FUNDED DEALS 2027'!$W$4:$W$1226,$A14,'FUNDED DEALS 2027'!$C$4:$C$1226,"&gt;="&amp;DATE(2027,10,1),'FUNDED DEALS 2027'!$C$4:$C$1226,"&lt;"&amp;DATE(2027,11,1))+SUMIFS('FUNDED DEALS 2027'!$AB$4:$AB$1226,'FUNDED DEALS 2027'!$Z$4:$Z$1226,$A14,'FUNDED DEALS 2027'!$C$4:$C$1226,"&gt;="&amp;DATE(2027,10,1),'FUNDED DEALS 2027'!$C$4:$C$1226,"&lt;"&amp;DATE(2027,11,1)))</f>
        <v>0</v>
      </c>
      <c r="U14" s="48" t="n">
        <f aca="false">IF($A14="","",SUMIFS('FUNDED DEALS'!$V$4:$V$1226,'FUNDED DEALS'!$T$4:$T$1226,$A14,'FUNDED DEALS'!$C$4:$C$1226,"&gt;="&amp;DATE(2027,11,1),'FUNDED DEALS'!$C$4:$C$1226,"&lt;"&amp;DATE(2027,12,1))+SUMIFS('FUNDED DEALS'!$Y$4:$Y$1226,'FUNDED DEALS'!$W$4:$W$1226,$A14,'FUNDED DEALS'!$C$4:$C$1226,"&gt;="&amp;DATE(2027,11,1),'FUNDED DEALS'!$C$4:$C$1226,"&lt;"&amp;DATE(2027,12,1))+SUMIFS('FUNDED DEALS'!$AB$4:$AB$1226,'FUNDED DEALS'!$Z$4:$Z$1226,$A14,'FUNDED DEALS'!$C$4:$C$1226,"&gt;="&amp;DATE(2027,11,1),'FUNDED DEALS'!$C$4:$C$1226,"&lt;"&amp;DATE(2027,12,1))+SUMIFS('FUNDED DEALS 2027'!$V$4:$V$1226,'FUNDED DEALS 2027'!$T$4:$T$1226,$A14,'FUNDED DEALS 2027'!$C$4:$C$1226,"&gt;="&amp;DATE(2027,11,1),'FUNDED DEALS 2027'!$C$4:$C$1226,"&lt;"&amp;DATE(2027,12,1))+SUMIFS('FUNDED DEALS 2027'!$Y$4:$Y$1226,'FUNDED DEALS 2027'!$W$4:$W$1226,$A14,'FUNDED DEALS 2027'!$C$4:$C$1226,"&gt;="&amp;DATE(2027,11,1),'FUNDED DEALS 2027'!$C$4:$C$1226,"&lt;"&amp;DATE(2027,12,1))+SUMIFS('FUNDED DEALS 2027'!$AB$4:$AB$1226,'FUNDED DEALS 2027'!$Z$4:$Z$1226,$A14,'FUNDED DEALS 2027'!$C$4:$C$1226,"&gt;="&amp;DATE(2027,11,1),'FUNDED DEALS 2027'!$C$4:$C$1226,"&lt;"&amp;DATE(2027,12,1)))</f>
        <v>0</v>
      </c>
      <c r="V14" s="48" t="n">
        <f aca="false">IF($A14="","",SUMIFS('FUNDED DEALS'!$V$4:$V$1226,'FUNDED DEALS'!$T$4:$T$1226,$A14,'FUNDED DEALS'!$C$4:$C$1226,"&gt;="&amp;DATE(2027,12,1),'FUNDED DEALS'!$C$4:$C$1226,"&lt;"&amp;DATE(2028,1,1))+SUMIFS('FUNDED DEALS'!$Y$4:$Y$1226,'FUNDED DEALS'!$W$4:$W$1226,$A14,'FUNDED DEALS'!$C$4:$C$1226,"&gt;="&amp;DATE(2027,12,1),'FUNDED DEALS'!$C$4:$C$1226,"&lt;"&amp;DATE(2028,1,1))+SUMIFS('FUNDED DEALS'!$AB$4:$AB$1226,'FUNDED DEALS'!$Z$4:$Z$1226,$A14,'FUNDED DEALS'!$C$4:$C$1226,"&gt;="&amp;DATE(2027,12,1),'FUNDED DEALS'!$C$4:$C$1226,"&lt;"&amp;DATE(2028,1,1))+SUMIFS('FUNDED DEALS 2027'!$V$4:$V$1226,'FUNDED DEALS 2027'!$T$4:$T$1226,$A14,'FUNDED DEALS 2027'!$C$4:$C$1226,"&gt;="&amp;DATE(2027,12,1),'FUNDED DEALS 2027'!$C$4:$C$1226,"&lt;"&amp;DATE(2028,1,1))+SUMIFS('FUNDED DEALS 2027'!$Y$4:$Y$1226,'FUNDED DEALS 2027'!$W$4:$W$1226,$A14,'FUNDED DEALS 2027'!$C$4:$C$1226,"&gt;="&amp;DATE(2027,12,1),'FUNDED DEALS 2027'!$C$4:$C$1226,"&lt;"&amp;DATE(2028,1,1))+SUMIFS('FUNDED DEALS 2027'!$AB$4:$AB$1226,'FUNDED DEALS 2027'!$Z$4:$Z$1226,$A14,'FUNDED DEALS 2027'!$C$4:$C$1226,"&gt;="&amp;DATE(2027,12,1),'FUNDED DEALS 2027'!$C$4:$C$1226,"&lt;"&amp;DATE(2028,1,1)))</f>
        <v>0</v>
      </c>
      <c r="W14" s="56" t="n">
        <f aca="false">IF($A14="","",SUM(B14:V14))</f>
        <v>0</v>
      </c>
    </row>
    <row r="15" customFormat="false" ht="15" hidden="false" customHeight="false" outlineLevel="0" collapsed="false">
      <c r="A15" s="50" t="str">
        <f aca="false">IF(REPS!A13="","",REPS!A13)</f>
        <v>Shulamit Cohen</v>
      </c>
      <c r="B15" s="51" t="n">
        <f aca="false">IF($A15="","",SUMIFS('FUNDED DEALS'!$V$4:$V$1226,'FUNDED DEALS'!$T$4:$T$1226,$A15,'FUNDED DEALS'!$C$4:$C$1226,"&gt;="&amp;DATE(2026,4,1),'FUNDED DEALS'!$C$4:$C$1226,"&lt;"&amp;DATE(2026,5,1))+SUMIFS('FUNDED DEALS'!$Y$4:$Y$1226,'FUNDED DEALS'!$W$4:$W$1226,$A15,'FUNDED DEALS'!$C$4:$C$1226,"&gt;="&amp;DATE(2026,4,1),'FUNDED DEALS'!$C$4:$C$1226,"&lt;"&amp;DATE(2026,5,1))+SUMIFS('FUNDED DEALS'!$AB$4:$AB$1226,'FUNDED DEALS'!$Z$4:$Z$1226,$A15,'FUNDED DEALS'!$C$4:$C$1226,"&gt;="&amp;DATE(2026,4,1),'FUNDED DEALS'!$C$4:$C$1226,"&lt;"&amp;DATE(2026,5,1))+SUMIFS('FUNDED DEALS 2027'!$V$4:$V$1226,'FUNDED DEALS 2027'!$T$4:$T$1226,$A15,'FUNDED DEALS 2027'!$C$4:$C$1226,"&gt;="&amp;DATE(2026,4,1),'FUNDED DEALS 2027'!$C$4:$C$1226,"&lt;"&amp;DATE(2026,5,1))+SUMIFS('FUNDED DEALS 2027'!$Y$4:$Y$1226,'FUNDED DEALS 2027'!$W$4:$W$1226,$A15,'FUNDED DEALS 2027'!$C$4:$C$1226,"&gt;="&amp;DATE(2026,4,1),'FUNDED DEALS 2027'!$C$4:$C$1226,"&lt;"&amp;DATE(2026,5,1))+SUMIFS('FUNDED DEALS 2027'!$AB$4:$AB$1226,'FUNDED DEALS 2027'!$Z$4:$Z$1226,$A15,'FUNDED DEALS 2027'!$C$4:$C$1226,"&gt;="&amp;DATE(2026,4,1),'FUNDED DEALS 2027'!$C$4:$C$1226,"&lt;"&amp;DATE(2026,5,1)))</f>
        <v>0</v>
      </c>
      <c r="C15" s="51" t="n">
        <f aca="false">IF($A15="","",SUMIFS('FUNDED DEALS'!$V$4:$V$1226,'FUNDED DEALS'!$T$4:$T$1226,$A15,'FUNDED DEALS'!$C$4:$C$1226,"&gt;="&amp;DATE(2026,5,1),'FUNDED DEALS'!$C$4:$C$1226,"&lt;"&amp;DATE(2026,6,1))+SUMIFS('FUNDED DEALS'!$Y$4:$Y$1226,'FUNDED DEALS'!$W$4:$W$1226,$A15,'FUNDED DEALS'!$C$4:$C$1226,"&gt;="&amp;DATE(2026,5,1),'FUNDED DEALS'!$C$4:$C$1226,"&lt;"&amp;DATE(2026,6,1))+SUMIFS('FUNDED DEALS'!$AB$4:$AB$1226,'FUNDED DEALS'!$Z$4:$Z$1226,$A15,'FUNDED DEALS'!$C$4:$C$1226,"&gt;="&amp;DATE(2026,5,1),'FUNDED DEALS'!$C$4:$C$1226,"&lt;"&amp;DATE(2026,6,1))+SUMIFS('FUNDED DEALS 2027'!$V$4:$V$1226,'FUNDED DEALS 2027'!$T$4:$T$1226,$A15,'FUNDED DEALS 2027'!$C$4:$C$1226,"&gt;="&amp;DATE(2026,5,1),'FUNDED DEALS 2027'!$C$4:$C$1226,"&lt;"&amp;DATE(2026,6,1))+SUMIFS('FUNDED DEALS 2027'!$Y$4:$Y$1226,'FUNDED DEALS 2027'!$W$4:$W$1226,$A15,'FUNDED DEALS 2027'!$C$4:$C$1226,"&gt;="&amp;DATE(2026,5,1),'FUNDED DEALS 2027'!$C$4:$C$1226,"&lt;"&amp;DATE(2026,6,1))+SUMIFS('FUNDED DEALS 2027'!$AB$4:$AB$1226,'FUNDED DEALS 2027'!$Z$4:$Z$1226,$A15,'FUNDED DEALS 2027'!$C$4:$C$1226,"&gt;="&amp;DATE(2026,5,1),'FUNDED DEALS 2027'!$C$4:$C$1226,"&lt;"&amp;DATE(2026,6,1)))</f>
        <v>0</v>
      </c>
      <c r="D15" s="51" t="n">
        <f aca="false">IF($A15="","",SUMIFS('FUNDED DEALS'!$V$4:$V$1226,'FUNDED DEALS'!$T$4:$T$1226,$A15,'FUNDED DEALS'!$C$4:$C$1226,"&gt;="&amp;DATE(2026,6,1),'FUNDED DEALS'!$C$4:$C$1226,"&lt;"&amp;DATE(2026,7,1))+SUMIFS('FUNDED DEALS'!$Y$4:$Y$1226,'FUNDED DEALS'!$W$4:$W$1226,$A15,'FUNDED DEALS'!$C$4:$C$1226,"&gt;="&amp;DATE(2026,6,1),'FUNDED DEALS'!$C$4:$C$1226,"&lt;"&amp;DATE(2026,7,1))+SUMIFS('FUNDED DEALS'!$AB$4:$AB$1226,'FUNDED DEALS'!$Z$4:$Z$1226,$A15,'FUNDED DEALS'!$C$4:$C$1226,"&gt;="&amp;DATE(2026,6,1),'FUNDED DEALS'!$C$4:$C$1226,"&lt;"&amp;DATE(2026,7,1))+SUMIFS('FUNDED DEALS 2027'!$V$4:$V$1226,'FUNDED DEALS 2027'!$T$4:$T$1226,$A15,'FUNDED DEALS 2027'!$C$4:$C$1226,"&gt;="&amp;DATE(2026,6,1),'FUNDED DEALS 2027'!$C$4:$C$1226,"&lt;"&amp;DATE(2026,7,1))+SUMIFS('FUNDED DEALS 2027'!$Y$4:$Y$1226,'FUNDED DEALS 2027'!$W$4:$W$1226,$A15,'FUNDED DEALS 2027'!$C$4:$C$1226,"&gt;="&amp;DATE(2026,6,1),'FUNDED DEALS 2027'!$C$4:$C$1226,"&lt;"&amp;DATE(2026,7,1))+SUMIFS('FUNDED DEALS 2027'!$AB$4:$AB$1226,'FUNDED DEALS 2027'!$Z$4:$Z$1226,$A15,'FUNDED DEALS 2027'!$C$4:$C$1226,"&gt;="&amp;DATE(2026,6,1),'FUNDED DEALS 2027'!$C$4:$C$1226,"&lt;"&amp;DATE(2026,7,1)))</f>
        <v>0</v>
      </c>
      <c r="E15" s="51" t="n">
        <f aca="false">IF($A15="","",SUMIFS('FUNDED DEALS'!$V$4:$V$1226,'FUNDED DEALS'!$T$4:$T$1226,$A15,'FUNDED DEALS'!$C$4:$C$1226,"&gt;="&amp;DATE(2026,7,1),'FUNDED DEALS'!$C$4:$C$1226,"&lt;"&amp;DATE(2026,8,1))+SUMIFS('FUNDED DEALS'!$Y$4:$Y$1226,'FUNDED DEALS'!$W$4:$W$1226,$A15,'FUNDED DEALS'!$C$4:$C$1226,"&gt;="&amp;DATE(2026,7,1),'FUNDED DEALS'!$C$4:$C$1226,"&lt;"&amp;DATE(2026,8,1))+SUMIFS('FUNDED DEALS'!$AB$4:$AB$1226,'FUNDED DEALS'!$Z$4:$Z$1226,$A15,'FUNDED DEALS'!$C$4:$C$1226,"&gt;="&amp;DATE(2026,7,1),'FUNDED DEALS'!$C$4:$C$1226,"&lt;"&amp;DATE(2026,8,1))+SUMIFS('FUNDED DEALS 2027'!$V$4:$V$1226,'FUNDED DEALS 2027'!$T$4:$T$1226,$A15,'FUNDED DEALS 2027'!$C$4:$C$1226,"&gt;="&amp;DATE(2026,7,1),'FUNDED DEALS 2027'!$C$4:$C$1226,"&lt;"&amp;DATE(2026,8,1))+SUMIFS('FUNDED DEALS 2027'!$Y$4:$Y$1226,'FUNDED DEALS 2027'!$W$4:$W$1226,$A15,'FUNDED DEALS 2027'!$C$4:$C$1226,"&gt;="&amp;DATE(2026,7,1),'FUNDED DEALS 2027'!$C$4:$C$1226,"&lt;"&amp;DATE(2026,8,1))+SUMIFS('FUNDED DEALS 2027'!$AB$4:$AB$1226,'FUNDED DEALS 2027'!$Z$4:$Z$1226,$A15,'FUNDED DEALS 2027'!$C$4:$C$1226,"&gt;="&amp;DATE(2026,7,1),'FUNDED DEALS 2027'!$C$4:$C$1226,"&lt;"&amp;DATE(2026,8,1)))</f>
        <v>0</v>
      </c>
      <c r="F15" s="51" t="n">
        <f aca="false">IF($A15="","",SUMIFS('FUNDED DEALS'!$V$4:$V$1226,'FUNDED DEALS'!$T$4:$T$1226,$A15,'FUNDED DEALS'!$C$4:$C$1226,"&gt;="&amp;DATE(2026,8,1),'FUNDED DEALS'!$C$4:$C$1226,"&lt;"&amp;DATE(2026,9,1))+SUMIFS('FUNDED DEALS'!$Y$4:$Y$1226,'FUNDED DEALS'!$W$4:$W$1226,$A15,'FUNDED DEALS'!$C$4:$C$1226,"&gt;="&amp;DATE(2026,8,1),'FUNDED DEALS'!$C$4:$C$1226,"&lt;"&amp;DATE(2026,9,1))+SUMIFS('FUNDED DEALS'!$AB$4:$AB$1226,'FUNDED DEALS'!$Z$4:$Z$1226,$A15,'FUNDED DEALS'!$C$4:$C$1226,"&gt;="&amp;DATE(2026,8,1),'FUNDED DEALS'!$C$4:$C$1226,"&lt;"&amp;DATE(2026,9,1))+SUMIFS('FUNDED DEALS 2027'!$V$4:$V$1226,'FUNDED DEALS 2027'!$T$4:$T$1226,$A15,'FUNDED DEALS 2027'!$C$4:$C$1226,"&gt;="&amp;DATE(2026,8,1),'FUNDED DEALS 2027'!$C$4:$C$1226,"&lt;"&amp;DATE(2026,9,1))+SUMIFS('FUNDED DEALS 2027'!$Y$4:$Y$1226,'FUNDED DEALS 2027'!$W$4:$W$1226,$A15,'FUNDED DEALS 2027'!$C$4:$C$1226,"&gt;="&amp;DATE(2026,8,1),'FUNDED DEALS 2027'!$C$4:$C$1226,"&lt;"&amp;DATE(2026,9,1))+SUMIFS('FUNDED DEALS 2027'!$AB$4:$AB$1226,'FUNDED DEALS 2027'!$Z$4:$Z$1226,$A15,'FUNDED DEALS 2027'!$C$4:$C$1226,"&gt;="&amp;DATE(2026,8,1),'FUNDED DEALS 2027'!$C$4:$C$1226,"&lt;"&amp;DATE(2026,9,1)))</f>
        <v>0</v>
      </c>
      <c r="G15" s="51" t="n">
        <f aca="false">IF($A15="","",SUMIFS('FUNDED DEALS'!$V$4:$V$1226,'FUNDED DEALS'!$T$4:$T$1226,$A15,'FUNDED DEALS'!$C$4:$C$1226,"&gt;="&amp;DATE(2026,9,1),'FUNDED DEALS'!$C$4:$C$1226,"&lt;"&amp;DATE(2026,10,1))+SUMIFS('FUNDED DEALS'!$Y$4:$Y$1226,'FUNDED DEALS'!$W$4:$W$1226,$A15,'FUNDED DEALS'!$C$4:$C$1226,"&gt;="&amp;DATE(2026,9,1),'FUNDED DEALS'!$C$4:$C$1226,"&lt;"&amp;DATE(2026,10,1))+SUMIFS('FUNDED DEALS'!$AB$4:$AB$1226,'FUNDED DEALS'!$Z$4:$Z$1226,$A15,'FUNDED DEALS'!$C$4:$C$1226,"&gt;="&amp;DATE(2026,9,1),'FUNDED DEALS'!$C$4:$C$1226,"&lt;"&amp;DATE(2026,10,1))+SUMIFS('FUNDED DEALS 2027'!$V$4:$V$1226,'FUNDED DEALS 2027'!$T$4:$T$1226,$A15,'FUNDED DEALS 2027'!$C$4:$C$1226,"&gt;="&amp;DATE(2026,9,1),'FUNDED DEALS 2027'!$C$4:$C$1226,"&lt;"&amp;DATE(2026,10,1))+SUMIFS('FUNDED DEALS 2027'!$Y$4:$Y$1226,'FUNDED DEALS 2027'!$W$4:$W$1226,$A15,'FUNDED DEALS 2027'!$C$4:$C$1226,"&gt;="&amp;DATE(2026,9,1),'FUNDED DEALS 2027'!$C$4:$C$1226,"&lt;"&amp;DATE(2026,10,1))+SUMIFS('FUNDED DEALS 2027'!$AB$4:$AB$1226,'FUNDED DEALS 2027'!$Z$4:$Z$1226,$A15,'FUNDED DEALS 2027'!$C$4:$C$1226,"&gt;="&amp;DATE(2026,9,1),'FUNDED DEALS 2027'!$C$4:$C$1226,"&lt;"&amp;DATE(2026,10,1)))</f>
        <v>0</v>
      </c>
      <c r="H15" s="51" t="n">
        <f aca="false">IF($A15="","",SUMIFS('FUNDED DEALS'!$V$4:$V$1226,'FUNDED DEALS'!$T$4:$T$1226,$A15,'FUNDED DEALS'!$C$4:$C$1226,"&gt;="&amp;DATE(2026,10,1),'FUNDED DEALS'!$C$4:$C$1226,"&lt;"&amp;DATE(2026,11,1))+SUMIFS('FUNDED DEALS'!$Y$4:$Y$1226,'FUNDED DEALS'!$W$4:$W$1226,$A15,'FUNDED DEALS'!$C$4:$C$1226,"&gt;="&amp;DATE(2026,10,1),'FUNDED DEALS'!$C$4:$C$1226,"&lt;"&amp;DATE(2026,11,1))+SUMIFS('FUNDED DEALS'!$AB$4:$AB$1226,'FUNDED DEALS'!$Z$4:$Z$1226,$A15,'FUNDED DEALS'!$C$4:$C$1226,"&gt;="&amp;DATE(2026,10,1),'FUNDED DEALS'!$C$4:$C$1226,"&lt;"&amp;DATE(2026,11,1))+SUMIFS('FUNDED DEALS 2027'!$V$4:$V$1226,'FUNDED DEALS 2027'!$T$4:$T$1226,$A15,'FUNDED DEALS 2027'!$C$4:$C$1226,"&gt;="&amp;DATE(2026,10,1),'FUNDED DEALS 2027'!$C$4:$C$1226,"&lt;"&amp;DATE(2026,11,1))+SUMIFS('FUNDED DEALS 2027'!$Y$4:$Y$1226,'FUNDED DEALS 2027'!$W$4:$W$1226,$A15,'FUNDED DEALS 2027'!$C$4:$C$1226,"&gt;="&amp;DATE(2026,10,1),'FUNDED DEALS 2027'!$C$4:$C$1226,"&lt;"&amp;DATE(2026,11,1))+SUMIFS('FUNDED DEALS 2027'!$AB$4:$AB$1226,'FUNDED DEALS 2027'!$Z$4:$Z$1226,$A15,'FUNDED DEALS 2027'!$C$4:$C$1226,"&gt;="&amp;DATE(2026,10,1),'FUNDED DEALS 2027'!$C$4:$C$1226,"&lt;"&amp;DATE(2026,11,1)))</f>
        <v>0</v>
      </c>
      <c r="I15" s="51" t="n">
        <f aca="false">IF($A15="","",SUMIFS('FUNDED DEALS'!$V$4:$V$1226,'FUNDED DEALS'!$T$4:$T$1226,$A15,'FUNDED DEALS'!$C$4:$C$1226,"&gt;="&amp;DATE(2026,11,1),'FUNDED DEALS'!$C$4:$C$1226,"&lt;"&amp;DATE(2026,12,1))+SUMIFS('FUNDED DEALS'!$Y$4:$Y$1226,'FUNDED DEALS'!$W$4:$W$1226,$A15,'FUNDED DEALS'!$C$4:$C$1226,"&gt;="&amp;DATE(2026,11,1),'FUNDED DEALS'!$C$4:$C$1226,"&lt;"&amp;DATE(2026,12,1))+SUMIFS('FUNDED DEALS'!$AB$4:$AB$1226,'FUNDED DEALS'!$Z$4:$Z$1226,$A15,'FUNDED DEALS'!$C$4:$C$1226,"&gt;="&amp;DATE(2026,11,1),'FUNDED DEALS'!$C$4:$C$1226,"&lt;"&amp;DATE(2026,12,1))+SUMIFS('FUNDED DEALS 2027'!$V$4:$V$1226,'FUNDED DEALS 2027'!$T$4:$T$1226,$A15,'FUNDED DEALS 2027'!$C$4:$C$1226,"&gt;="&amp;DATE(2026,11,1),'FUNDED DEALS 2027'!$C$4:$C$1226,"&lt;"&amp;DATE(2026,12,1))+SUMIFS('FUNDED DEALS 2027'!$Y$4:$Y$1226,'FUNDED DEALS 2027'!$W$4:$W$1226,$A15,'FUNDED DEALS 2027'!$C$4:$C$1226,"&gt;="&amp;DATE(2026,11,1),'FUNDED DEALS 2027'!$C$4:$C$1226,"&lt;"&amp;DATE(2026,12,1))+SUMIFS('FUNDED DEALS 2027'!$AB$4:$AB$1226,'FUNDED DEALS 2027'!$Z$4:$Z$1226,$A15,'FUNDED DEALS 2027'!$C$4:$C$1226,"&gt;="&amp;DATE(2026,11,1),'FUNDED DEALS 2027'!$C$4:$C$1226,"&lt;"&amp;DATE(2026,12,1)))</f>
        <v>0</v>
      </c>
      <c r="J15" s="51" t="n">
        <f aca="false">IF($A15="","",SUMIFS('FUNDED DEALS'!$V$4:$V$1226,'FUNDED DEALS'!$T$4:$T$1226,$A15,'FUNDED DEALS'!$C$4:$C$1226,"&gt;="&amp;DATE(2026,12,1),'FUNDED DEALS'!$C$4:$C$1226,"&lt;"&amp;DATE(2027,1,1))+SUMIFS('FUNDED DEALS'!$Y$4:$Y$1226,'FUNDED DEALS'!$W$4:$W$1226,$A15,'FUNDED DEALS'!$C$4:$C$1226,"&gt;="&amp;DATE(2026,12,1),'FUNDED DEALS'!$C$4:$C$1226,"&lt;"&amp;DATE(2027,1,1))+SUMIFS('FUNDED DEALS'!$AB$4:$AB$1226,'FUNDED DEALS'!$Z$4:$Z$1226,$A15,'FUNDED DEALS'!$C$4:$C$1226,"&gt;="&amp;DATE(2026,12,1),'FUNDED DEALS'!$C$4:$C$1226,"&lt;"&amp;DATE(2027,1,1))+SUMIFS('FUNDED DEALS 2027'!$V$4:$V$1226,'FUNDED DEALS 2027'!$T$4:$T$1226,$A15,'FUNDED DEALS 2027'!$C$4:$C$1226,"&gt;="&amp;DATE(2026,12,1),'FUNDED DEALS 2027'!$C$4:$C$1226,"&lt;"&amp;DATE(2027,1,1))+SUMIFS('FUNDED DEALS 2027'!$Y$4:$Y$1226,'FUNDED DEALS 2027'!$W$4:$W$1226,$A15,'FUNDED DEALS 2027'!$C$4:$C$1226,"&gt;="&amp;DATE(2026,12,1),'FUNDED DEALS 2027'!$C$4:$C$1226,"&lt;"&amp;DATE(2027,1,1))+SUMIFS('FUNDED DEALS 2027'!$AB$4:$AB$1226,'FUNDED DEALS 2027'!$Z$4:$Z$1226,$A15,'FUNDED DEALS 2027'!$C$4:$C$1226,"&gt;="&amp;DATE(2026,12,1),'FUNDED DEALS 2027'!$C$4:$C$1226,"&lt;"&amp;DATE(2027,1,1)))</f>
        <v>0</v>
      </c>
      <c r="K15" s="51" t="n">
        <f aca="false">IF($A15="","",SUMIFS('FUNDED DEALS'!$V$4:$V$1226,'FUNDED DEALS'!$T$4:$T$1226,$A15,'FUNDED DEALS'!$C$4:$C$1226,"&gt;="&amp;DATE(2027,1,1),'FUNDED DEALS'!$C$4:$C$1226,"&lt;"&amp;DATE(2027,2,1))+SUMIFS('FUNDED DEALS'!$Y$4:$Y$1226,'FUNDED DEALS'!$W$4:$W$1226,$A15,'FUNDED DEALS'!$C$4:$C$1226,"&gt;="&amp;DATE(2027,1,1),'FUNDED DEALS'!$C$4:$C$1226,"&lt;"&amp;DATE(2027,2,1))+SUMIFS('FUNDED DEALS'!$AB$4:$AB$1226,'FUNDED DEALS'!$Z$4:$Z$1226,$A15,'FUNDED DEALS'!$C$4:$C$1226,"&gt;="&amp;DATE(2027,1,1),'FUNDED DEALS'!$C$4:$C$1226,"&lt;"&amp;DATE(2027,2,1))+SUMIFS('FUNDED DEALS 2027'!$V$4:$V$1226,'FUNDED DEALS 2027'!$T$4:$T$1226,$A15,'FUNDED DEALS 2027'!$C$4:$C$1226,"&gt;="&amp;DATE(2027,1,1),'FUNDED DEALS 2027'!$C$4:$C$1226,"&lt;"&amp;DATE(2027,2,1))+SUMIFS('FUNDED DEALS 2027'!$Y$4:$Y$1226,'FUNDED DEALS 2027'!$W$4:$W$1226,$A15,'FUNDED DEALS 2027'!$C$4:$C$1226,"&gt;="&amp;DATE(2027,1,1),'FUNDED DEALS 2027'!$C$4:$C$1226,"&lt;"&amp;DATE(2027,2,1))+SUMIFS('FUNDED DEALS 2027'!$AB$4:$AB$1226,'FUNDED DEALS 2027'!$Z$4:$Z$1226,$A15,'FUNDED DEALS 2027'!$C$4:$C$1226,"&gt;="&amp;DATE(2027,1,1),'FUNDED DEALS 2027'!$C$4:$C$1226,"&lt;"&amp;DATE(2027,2,1)))</f>
        <v>0</v>
      </c>
      <c r="L15" s="51" t="n">
        <f aca="false">IF($A15="","",SUMIFS('FUNDED DEALS'!$V$4:$V$1226,'FUNDED DEALS'!$T$4:$T$1226,$A15,'FUNDED DEALS'!$C$4:$C$1226,"&gt;="&amp;DATE(2027,2,1),'FUNDED DEALS'!$C$4:$C$1226,"&lt;"&amp;DATE(2027,3,1))+SUMIFS('FUNDED DEALS'!$Y$4:$Y$1226,'FUNDED DEALS'!$W$4:$W$1226,$A15,'FUNDED DEALS'!$C$4:$C$1226,"&gt;="&amp;DATE(2027,2,1),'FUNDED DEALS'!$C$4:$C$1226,"&lt;"&amp;DATE(2027,3,1))+SUMIFS('FUNDED DEALS'!$AB$4:$AB$1226,'FUNDED DEALS'!$Z$4:$Z$1226,$A15,'FUNDED DEALS'!$C$4:$C$1226,"&gt;="&amp;DATE(2027,2,1),'FUNDED DEALS'!$C$4:$C$1226,"&lt;"&amp;DATE(2027,3,1))+SUMIFS('FUNDED DEALS 2027'!$V$4:$V$1226,'FUNDED DEALS 2027'!$T$4:$T$1226,$A15,'FUNDED DEALS 2027'!$C$4:$C$1226,"&gt;="&amp;DATE(2027,2,1),'FUNDED DEALS 2027'!$C$4:$C$1226,"&lt;"&amp;DATE(2027,3,1))+SUMIFS('FUNDED DEALS 2027'!$Y$4:$Y$1226,'FUNDED DEALS 2027'!$W$4:$W$1226,$A15,'FUNDED DEALS 2027'!$C$4:$C$1226,"&gt;="&amp;DATE(2027,2,1),'FUNDED DEALS 2027'!$C$4:$C$1226,"&lt;"&amp;DATE(2027,3,1))+SUMIFS('FUNDED DEALS 2027'!$AB$4:$AB$1226,'FUNDED DEALS 2027'!$Z$4:$Z$1226,$A15,'FUNDED DEALS 2027'!$C$4:$C$1226,"&gt;="&amp;DATE(2027,2,1),'FUNDED DEALS 2027'!$C$4:$C$1226,"&lt;"&amp;DATE(2027,3,1)))</f>
        <v>0</v>
      </c>
      <c r="M15" s="51" t="n">
        <f aca="false">IF($A15="","",SUMIFS('FUNDED DEALS'!$V$4:$V$1226,'FUNDED DEALS'!$T$4:$T$1226,$A15,'FUNDED DEALS'!$C$4:$C$1226,"&gt;="&amp;DATE(2027,3,1),'FUNDED DEALS'!$C$4:$C$1226,"&lt;"&amp;DATE(2027,4,1))+SUMIFS('FUNDED DEALS'!$Y$4:$Y$1226,'FUNDED DEALS'!$W$4:$W$1226,$A15,'FUNDED DEALS'!$C$4:$C$1226,"&gt;="&amp;DATE(2027,3,1),'FUNDED DEALS'!$C$4:$C$1226,"&lt;"&amp;DATE(2027,4,1))+SUMIFS('FUNDED DEALS'!$AB$4:$AB$1226,'FUNDED DEALS'!$Z$4:$Z$1226,$A15,'FUNDED DEALS'!$C$4:$C$1226,"&gt;="&amp;DATE(2027,3,1),'FUNDED DEALS'!$C$4:$C$1226,"&lt;"&amp;DATE(2027,4,1))+SUMIFS('FUNDED DEALS 2027'!$V$4:$V$1226,'FUNDED DEALS 2027'!$T$4:$T$1226,$A15,'FUNDED DEALS 2027'!$C$4:$C$1226,"&gt;="&amp;DATE(2027,3,1),'FUNDED DEALS 2027'!$C$4:$C$1226,"&lt;"&amp;DATE(2027,4,1))+SUMIFS('FUNDED DEALS 2027'!$Y$4:$Y$1226,'FUNDED DEALS 2027'!$W$4:$W$1226,$A15,'FUNDED DEALS 2027'!$C$4:$C$1226,"&gt;="&amp;DATE(2027,3,1),'FUNDED DEALS 2027'!$C$4:$C$1226,"&lt;"&amp;DATE(2027,4,1))+SUMIFS('FUNDED DEALS 2027'!$AB$4:$AB$1226,'FUNDED DEALS 2027'!$Z$4:$Z$1226,$A15,'FUNDED DEALS 2027'!$C$4:$C$1226,"&gt;="&amp;DATE(2027,3,1),'FUNDED DEALS 2027'!$C$4:$C$1226,"&lt;"&amp;DATE(2027,4,1)))</f>
        <v>0</v>
      </c>
      <c r="N15" s="51" t="n">
        <f aca="false">IF($A15="","",SUMIFS('FUNDED DEALS'!$V$4:$V$1226,'FUNDED DEALS'!$T$4:$T$1226,$A15,'FUNDED DEALS'!$C$4:$C$1226,"&gt;="&amp;DATE(2027,4,1),'FUNDED DEALS'!$C$4:$C$1226,"&lt;"&amp;DATE(2027,5,1))+SUMIFS('FUNDED DEALS'!$Y$4:$Y$1226,'FUNDED DEALS'!$W$4:$W$1226,$A15,'FUNDED DEALS'!$C$4:$C$1226,"&gt;="&amp;DATE(2027,4,1),'FUNDED DEALS'!$C$4:$C$1226,"&lt;"&amp;DATE(2027,5,1))+SUMIFS('FUNDED DEALS'!$AB$4:$AB$1226,'FUNDED DEALS'!$Z$4:$Z$1226,$A15,'FUNDED DEALS'!$C$4:$C$1226,"&gt;="&amp;DATE(2027,4,1),'FUNDED DEALS'!$C$4:$C$1226,"&lt;"&amp;DATE(2027,5,1))+SUMIFS('FUNDED DEALS 2027'!$V$4:$V$1226,'FUNDED DEALS 2027'!$T$4:$T$1226,$A15,'FUNDED DEALS 2027'!$C$4:$C$1226,"&gt;="&amp;DATE(2027,4,1),'FUNDED DEALS 2027'!$C$4:$C$1226,"&lt;"&amp;DATE(2027,5,1))+SUMIFS('FUNDED DEALS 2027'!$Y$4:$Y$1226,'FUNDED DEALS 2027'!$W$4:$W$1226,$A15,'FUNDED DEALS 2027'!$C$4:$C$1226,"&gt;="&amp;DATE(2027,4,1),'FUNDED DEALS 2027'!$C$4:$C$1226,"&lt;"&amp;DATE(2027,5,1))+SUMIFS('FUNDED DEALS 2027'!$AB$4:$AB$1226,'FUNDED DEALS 2027'!$Z$4:$Z$1226,$A15,'FUNDED DEALS 2027'!$C$4:$C$1226,"&gt;="&amp;DATE(2027,4,1),'FUNDED DEALS 2027'!$C$4:$C$1226,"&lt;"&amp;DATE(2027,5,1)))</f>
        <v>0</v>
      </c>
      <c r="O15" s="51" t="n">
        <f aca="false">IF($A15="","",SUMIFS('FUNDED DEALS'!$V$4:$V$1226,'FUNDED DEALS'!$T$4:$T$1226,$A15,'FUNDED DEALS'!$C$4:$C$1226,"&gt;="&amp;DATE(2027,5,1),'FUNDED DEALS'!$C$4:$C$1226,"&lt;"&amp;DATE(2027,6,1))+SUMIFS('FUNDED DEALS'!$Y$4:$Y$1226,'FUNDED DEALS'!$W$4:$W$1226,$A15,'FUNDED DEALS'!$C$4:$C$1226,"&gt;="&amp;DATE(2027,5,1),'FUNDED DEALS'!$C$4:$C$1226,"&lt;"&amp;DATE(2027,6,1))+SUMIFS('FUNDED DEALS'!$AB$4:$AB$1226,'FUNDED DEALS'!$Z$4:$Z$1226,$A15,'FUNDED DEALS'!$C$4:$C$1226,"&gt;="&amp;DATE(2027,5,1),'FUNDED DEALS'!$C$4:$C$1226,"&lt;"&amp;DATE(2027,6,1))+SUMIFS('FUNDED DEALS 2027'!$V$4:$V$1226,'FUNDED DEALS 2027'!$T$4:$T$1226,$A15,'FUNDED DEALS 2027'!$C$4:$C$1226,"&gt;="&amp;DATE(2027,5,1),'FUNDED DEALS 2027'!$C$4:$C$1226,"&lt;"&amp;DATE(2027,6,1))+SUMIFS('FUNDED DEALS 2027'!$Y$4:$Y$1226,'FUNDED DEALS 2027'!$W$4:$W$1226,$A15,'FUNDED DEALS 2027'!$C$4:$C$1226,"&gt;="&amp;DATE(2027,5,1),'FUNDED DEALS 2027'!$C$4:$C$1226,"&lt;"&amp;DATE(2027,6,1))+SUMIFS('FUNDED DEALS 2027'!$AB$4:$AB$1226,'FUNDED DEALS 2027'!$Z$4:$Z$1226,$A15,'FUNDED DEALS 2027'!$C$4:$C$1226,"&gt;="&amp;DATE(2027,5,1),'FUNDED DEALS 2027'!$C$4:$C$1226,"&lt;"&amp;DATE(2027,6,1)))</f>
        <v>0</v>
      </c>
      <c r="P15" s="51" t="n">
        <f aca="false">IF($A15="","",SUMIFS('FUNDED DEALS'!$V$4:$V$1226,'FUNDED DEALS'!$T$4:$T$1226,$A15,'FUNDED DEALS'!$C$4:$C$1226,"&gt;="&amp;DATE(2027,6,1),'FUNDED DEALS'!$C$4:$C$1226,"&lt;"&amp;DATE(2027,7,1))+SUMIFS('FUNDED DEALS'!$Y$4:$Y$1226,'FUNDED DEALS'!$W$4:$W$1226,$A15,'FUNDED DEALS'!$C$4:$C$1226,"&gt;="&amp;DATE(2027,6,1),'FUNDED DEALS'!$C$4:$C$1226,"&lt;"&amp;DATE(2027,7,1))+SUMIFS('FUNDED DEALS'!$AB$4:$AB$1226,'FUNDED DEALS'!$Z$4:$Z$1226,$A15,'FUNDED DEALS'!$C$4:$C$1226,"&gt;="&amp;DATE(2027,6,1),'FUNDED DEALS'!$C$4:$C$1226,"&lt;"&amp;DATE(2027,7,1))+SUMIFS('FUNDED DEALS 2027'!$V$4:$V$1226,'FUNDED DEALS 2027'!$T$4:$T$1226,$A15,'FUNDED DEALS 2027'!$C$4:$C$1226,"&gt;="&amp;DATE(2027,6,1),'FUNDED DEALS 2027'!$C$4:$C$1226,"&lt;"&amp;DATE(2027,7,1))+SUMIFS('FUNDED DEALS 2027'!$Y$4:$Y$1226,'FUNDED DEALS 2027'!$W$4:$W$1226,$A15,'FUNDED DEALS 2027'!$C$4:$C$1226,"&gt;="&amp;DATE(2027,6,1),'FUNDED DEALS 2027'!$C$4:$C$1226,"&lt;"&amp;DATE(2027,7,1))+SUMIFS('FUNDED DEALS 2027'!$AB$4:$AB$1226,'FUNDED DEALS 2027'!$Z$4:$Z$1226,$A15,'FUNDED DEALS 2027'!$C$4:$C$1226,"&gt;="&amp;DATE(2027,6,1),'FUNDED DEALS 2027'!$C$4:$C$1226,"&lt;"&amp;DATE(2027,7,1)))</f>
        <v>0</v>
      </c>
      <c r="Q15" s="51" t="n">
        <f aca="false">IF($A15="","",SUMIFS('FUNDED DEALS'!$V$4:$V$1226,'FUNDED DEALS'!$T$4:$T$1226,$A15,'FUNDED DEALS'!$C$4:$C$1226,"&gt;="&amp;DATE(2027,7,1),'FUNDED DEALS'!$C$4:$C$1226,"&lt;"&amp;DATE(2027,8,1))+SUMIFS('FUNDED DEALS'!$Y$4:$Y$1226,'FUNDED DEALS'!$W$4:$W$1226,$A15,'FUNDED DEALS'!$C$4:$C$1226,"&gt;="&amp;DATE(2027,7,1),'FUNDED DEALS'!$C$4:$C$1226,"&lt;"&amp;DATE(2027,8,1))+SUMIFS('FUNDED DEALS'!$AB$4:$AB$1226,'FUNDED DEALS'!$Z$4:$Z$1226,$A15,'FUNDED DEALS'!$C$4:$C$1226,"&gt;="&amp;DATE(2027,7,1),'FUNDED DEALS'!$C$4:$C$1226,"&lt;"&amp;DATE(2027,8,1))+SUMIFS('FUNDED DEALS 2027'!$V$4:$V$1226,'FUNDED DEALS 2027'!$T$4:$T$1226,$A15,'FUNDED DEALS 2027'!$C$4:$C$1226,"&gt;="&amp;DATE(2027,7,1),'FUNDED DEALS 2027'!$C$4:$C$1226,"&lt;"&amp;DATE(2027,8,1))+SUMIFS('FUNDED DEALS 2027'!$Y$4:$Y$1226,'FUNDED DEALS 2027'!$W$4:$W$1226,$A15,'FUNDED DEALS 2027'!$C$4:$C$1226,"&gt;="&amp;DATE(2027,7,1),'FUNDED DEALS 2027'!$C$4:$C$1226,"&lt;"&amp;DATE(2027,8,1))+SUMIFS('FUNDED DEALS 2027'!$AB$4:$AB$1226,'FUNDED DEALS 2027'!$Z$4:$Z$1226,$A15,'FUNDED DEALS 2027'!$C$4:$C$1226,"&gt;="&amp;DATE(2027,7,1),'FUNDED DEALS 2027'!$C$4:$C$1226,"&lt;"&amp;DATE(2027,8,1)))</f>
        <v>0</v>
      </c>
      <c r="R15" s="51" t="n">
        <f aca="false">IF($A15="","",SUMIFS('FUNDED DEALS'!$V$4:$V$1226,'FUNDED DEALS'!$T$4:$T$1226,$A15,'FUNDED DEALS'!$C$4:$C$1226,"&gt;="&amp;DATE(2027,8,1),'FUNDED DEALS'!$C$4:$C$1226,"&lt;"&amp;DATE(2027,9,1))+SUMIFS('FUNDED DEALS'!$Y$4:$Y$1226,'FUNDED DEALS'!$W$4:$W$1226,$A15,'FUNDED DEALS'!$C$4:$C$1226,"&gt;="&amp;DATE(2027,8,1),'FUNDED DEALS'!$C$4:$C$1226,"&lt;"&amp;DATE(2027,9,1))+SUMIFS('FUNDED DEALS'!$AB$4:$AB$1226,'FUNDED DEALS'!$Z$4:$Z$1226,$A15,'FUNDED DEALS'!$C$4:$C$1226,"&gt;="&amp;DATE(2027,8,1),'FUNDED DEALS'!$C$4:$C$1226,"&lt;"&amp;DATE(2027,9,1))+SUMIFS('FUNDED DEALS 2027'!$V$4:$V$1226,'FUNDED DEALS 2027'!$T$4:$T$1226,$A15,'FUNDED DEALS 2027'!$C$4:$C$1226,"&gt;="&amp;DATE(2027,8,1),'FUNDED DEALS 2027'!$C$4:$C$1226,"&lt;"&amp;DATE(2027,9,1))+SUMIFS('FUNDED DEALS 2027'!$Y$4:$Y$1226,'FUNDED DEALS 2027'!$W$4:$W$1226,$A15,'FUNDED DEALS 2027'!$C$4:$C$1226,"&gt;="&amp;DATE(2027,8,1),'FUNDED DEALS 2027'!$C$4:$C$1226,"&lt;"&amp;DATE(2027,9,1))+SUMIFS('FUNDED DEALS 2027'!$AB$4:$AB$1226,'FUNDED DEALS 2027'!$Z$4:$Z$1226,$A15,'FUNDED DEALS 2027'!$C$4:$C$1226,"&gt;="&amp;DATE(2027,8,1),'FUNDED DEALS 2027'!$C$4:$C$1226,"&lt;"&amp;DATE(2027,9,1)))</f>
        <v>0</v>
      </c>
      <c r="S15" s="51" t="n">
        <f aca="false">IF($A15="","",SUMIFS('FUNDED DEALS'!$V$4:$V$1226,'FUNDED DEALS'!$T$4:$T$1226,$A15,'FUNDED DEALS'!$C$4:$C$1226,"&gt;="&amp;DATE(2027,9,1),'FUNDED DEALS'!$C$4:$C$1226,"&lt;"&amp;DATE(2027,10,1))+SUMIFS('FUNDED DEALS'!$Y$4:$Y$1226,'FUNDED DEALS'!$W$4:$W$1226,$A15,'FUNDED DEALS'!$C$4:$C$1226,"&gt;="&amp;DATE(2027,9,1),'FUNDED DEALS'!$C$4:$C$1226,"&lt;"&amp;DATE(2027,10,1))+SUMIFS('FUNDED DEALS'!$AB$4:$AB$1226,'FUNDED DEALS'!$Z$4:$Z$1226,$A15,'FUNDED DEALS'!$C$4:$C$1226,"&gt;="&amp;DATE(2027,9,1),'FUNDED DEALS'!$C$4:$C$1226,"&lt;"&amp;DATE(2027,10,1))+SUMIFS('FUNDED DEALS 2027'!$V$4:$V$1226,'FUNDED DEALS 2027'!$T$4:$T$1226,$A15,'FUNDED DEALS 2027'!$C$4:$C$1226,"&gt;="&amp;DATE(2027,9,1),'FUNDED DEALS 2027'!$C$4:$C$1226,"&lt;"&amp;DATE(2027,10,1))+SUMIFS('FUNDED DEALS 2027'!$Y$4:$Y$1226,'FUNDED DEALS 2027'!$W$4:$W$1226,$A15,'FUNDED DEALS 2027'!$C$4:$C$1226,"&gt;="&amp;DATE(2027,9,1),'FUNDED DEALS 2027'!$C$4:$C$1226,"&lt;"&amp;DATE(2027,10,1))+SUMIFS('FUNDED DEALS 2027'!$AB$4:$AB$1226,'FUNDED DEALS 2027'!$Z$4:$Z$1226,$A15,'FUNDED DEALS 2027'!$C$4:$C$1226,"&gt;="&amp;DATE(2027,9,1),'FUNDED DEALS 2027'!$C$4:$C$1226,"&lt;"&amp;DATE(2027,10,1)))</f>
        <v>0</v>
      </c>
      <c r="T15" s="51" t="n">
        <f aca="false">IF($A15="","",SUMIFS('FUNDED DEALS'!$V$4:$V$1226,'FUNDED DEALS'!$T$4:$T$1226,$A15,'FUNDED DEALS'!$C$4:$C$1226,"&gt;="&amp;DATE(2027,10,1),'FUNDED DEALS'!$C$4:$C$1226,"&lt;"&amp;DATE(2027,11,1))+SUMIFS('FUNDED DEALS'!$Y$4:$Y$1226,'FUNDED DEALS'!$W$4:$W$1226,$A15,'FUNDED DEALS'!$C$4:$C$1226,"&gt;="&amp;DATE(2027,10,1),'FUNDED DEALS'!$C$4:$C$1226,"&lt;"&amp;DATE(2027,11,1))+SUMIFS('FUNDED DEALS'!$AB$4:$AB$1226,'FUNDED DEALS'!$Z$4:$Z$1226,$A15,'FUNDED DEALS'!$C$4:$C$1226,"&gt;="&amp;DATE(2027,10,1),'FUNDED DEALS'!$C$4:$C$1226,"&lt;"&amp;DATE(2027,11,1))+SUMIFS('FUNDED DEALS 2027'!$V$4:$V$1226,'FUNDED DEALS 2027'!$T$4:$T$1226,$A15,'FUNDED DEALS 2027'!$C$4:$C$1226,"&gt;="&amp;DATE(2027,10,1),'FUNDED DEALS 2027'!$C$4:$C$1226,"&lt;"&amp;DATE(2027,11,1))+SUMIFS('FUNDED DEALS 2027'!$Y$4:$Y$1226,'FUNDED DEALS 2027'!$W$4:$W$1226,$A15,'FUNDED DEALS 2027'!$C$4:$C$1226,"&gt;="&amp;DATE(2027,10,1),'FUNDED DEALS 2027'!$C$4:$C$1226,"&lt;"&amp;DATE(2027,11,1))+SUMIFS('FUNDED DEALS 2027'!$AB$4:$AB$1226,'FUNDED DEALS 2027'!$Z$4:$Z$1226,$A15,'FUNDED DEALS 2027'!$C$4:$C$1226,"&gt;="&amp;DATE(2027,10,1),'FUNDED DEALS 2027'!$C$4:$C$1226,"&lt;"&amp;DATE(2027,11,1)))</f>
        <v>0</v>
      </c>
      <c r="U15" s="51" t="n">
        <f aca="false">IF($A15="","",SUMIFS('FUNDED DEALS'!$V$4:$V$1226,'FUNDED DEALS'!$T$4:$T$1226,$A15,'FUNDED DEALS'!$C$4:$C$1226,"&gt;="&amp;DATE(2027,11,1),'FUNDED DEALS'!$C$4:$C$1226,"&lt;"&amp;DATE(2027,12,1))+SUMIFS('FUNDED DEALS'!$Y$4:$Y$1226,'FUNDED DEALS'!$W$4:$W$1226,$A15,'FUNDED DEALS'!$C$4:$C$1226,"&gt;="&amp;DATE(2027,11,1),'FUNDED DEALS'!$C$4:$C$1226,"&lt;"&amp;DATE(2027,12,1))+SUMIFS('FUNDED DEALS'!$AB$4:$AB$1226,'FUNDED DEALS'!$Z$4:$Z$1226,$A15,'FUNDED DEALS'!$C$4:$C$1226,"&gt;="&amp;DATE(2027,11,1),'FUNDED DEALS'!$C$4:$C$1226,"&lt;"&amp;DATE(2027,12,1))+SUMIFS('FUNDED DEALS 2027'!$V$4:$V$1226,'FUNDED DEALS 2027'!$T$4:$T$1226,$A15,'FUNDED DEALS 2027'!$C$4:$C$1226,"&gt;="&amp;DATE(2027,11,1),'FUNDED DEALS 2027'!$C$4:$C$1226,"&lt;"&amp;DATE(2027,12,1))+SUMIFS('FUNDED DEALS 2027'!$Y$4:$Y$1226,'FUNDED DEALS 2027'!$W$4:$W$1226,$A15,'FUNDED DEALS 2027'!$C$4:$C$1226,"&gt;="&amp;DATE(2027,11,1),'FUNDED DEALS 2027'!$C$4:$C$1226,"&lt;"&amp;DATE(2027,12,1))+SUMIFS('FUNDED DEALS 2027'!$AB$4:$AB$1226,'FUNDED DEALS 2027'!$Z$4:$Z$1226,$A15,'FUNDED DEALS 2027'!$C$4:$C$1226,"&gt;="&amp;DATE(2027,11,1),'FUNDED DEALS 2027'!$C$4:$C$1226,"&lt;"&amp;DATE(2027,12,1)))</f>
        <v>0</v>
      </c>
      <c r="V15" s="51" t="n">
        <f aca="false">IF($A15="","",SUMIFS('FUNDED DEALS'!$V$4:$V$1226,'FUNDED DEALS'!$T$4:$T$1226,$A15,'FUNDED DEALS'!$C$4:$C$1226,"&gt;="&amp;DATE(2027,12,1),'FUNDED DEALS'!$C$4:$C$1226,"&lt;"&amp;DATE(2028,1,1))+SUMIFS('FUNDED DEALS'!$Y$4:$Y$1226,'FUNDED DEALS'!$W$4:$W$1226,$A15,'FUNDED DEALS'!$C$4:$C$1226,"&gt;="&amp;DATE(2027,12,1),'FUNDED DEALS'!$C$4:$C$1226,"&lt;"&amp;DATE(2028,1,1))+SUMIFS('FUNDED DEALS'!$AB$4:$AB$1226,'FUNDED DEALS'!$Z$4:$Z$1226,$A15,'FUNDED DEALS'!$C$4:$C$1226,"&gt;="&amp;DATE(2027,12,1),'FUNDED DEALS'!$C$4:$C$1226,"&lt;"&amp;DATE(2028,1,1))+SUMIFS('FUNDED DEALS 2027'!$V$4:$V$1226,'FUNDED DEALS 2027'!$T$4:$T$1226,$A15,'FUNDED DEALS 2027'!$C$4:$C$1226,"&gt;="&amp;DATE(2027,12,1),'FUNDED DEALS 2027'!$C$4:$C$1226,"&lt;"&amp;DATE(2028,1,1))+SUMIFS('FUNDED DEALS 2027'!$Y$4:$Y$1226,'FUNDED DEALS 2027'!$W$4:$W$1226,$A15,'FUNDED DEALS 2027'!$C$4:$C$1226,"&gt;="&amp;DATE(2027,12,1),'FUNDED DEALS 2027'!$C$4:$C$1226,"&lt;"&amp;DATE(2028,1,1))+SUMIFS('FUNDED DEALS 2027'!$AB$4:$AB$1226,'FUNDED DEALS 2027'!$Z$4:$Z$1226,$A15,'FUNDED DEALS 2027'!$C$4:$C$1226,"&gt;="&amp;DATE(2027,12,1),'FUNDED DEALS 2027'!$C$4:$C$1226,"&lt;"&amp;DATE(2028,1,1)))</f>
        <v>0</v>
      </c>
      <c r="W15" s="58" t="n">
        <f aca="false">IF($A15="","",SUM(B15:V15))</f>
        <v>0</v>
      </c>
    </row>
    <row r="16" customFormat="false" ht="15" hidden="false" customHeight="false" outlineLevel="0" collapsed="false">
      <c r="A16" s="47" t="str">
        <f aca="false">IF(REPS!A14="","",REPS!A14)</f>
        <v>Albert Dichy</v>
      </c>
      <c r="B16" s="48" t="n">
        <f aca="false">IF($A16="","",SUMIFS('FUNDED DEALS'!$V$4:$V$1226,'FUNDED DEALS'!$T$4:$T$1226,$A16,'FUNDED DEALS'!$C$4:$C$1226,"&gt;="&amp;DATE(2026,4,1),'FUNDED DEALS'!$C$4:$C$1226,"&lt;"&amp;DATE(2026,5,1))+SUMIFS('FUNDED DEALS'!$Y$4:$Y$1226,'FUNDED DEALS'!$W$4:$W$1226,$A16,'FUNDED DEALS'!$C$4:$C$1226,"&gt;="&amp;DATE(2026,4,1),'FUNDED DEALS'!$C$4:$C$1226,"&lt;"&amp;DATE(2026,5,1))+SUMIFS('FUNDED DEALS'!$AB$4:$AB$1226,'FUNDED DEALS'!$Z$4:$Z$1226,$A16,'FUNDED DEALS'!$C$4:$C$1226,"&gt;="&amp;DATE(2026,4,1),'FUNDED DEALS'!$C$4:$C$1226,"&lt;"&amp;DATE(2026,5,1))+SUMIFS('FUNDED DEALS 2027'!$V$4:$V$1226,'FUNDED DEALS 2027'!$T$4:$T$1226,$A16,'FUNDED DEALS 2027'!$C$4:$C$1226,"&gt;="&amp;DATE(2026,4,1),'FUNDED DEALS 2027'!$C$4:$C$1226,"&lt;"&amp;DATE(2026,5,1))+SUMIFS('FUNDED DEALS 2027'!$Y$4:$Y$1226,'FUNDED DEALS 2027'!$W$4:$W$1226,$A16,'FUNDED DEALS 2027'!$C$4:$C$1226,"&gt;="&amp;DATE(2026,4,1),'FUNDED DEALS 2027'!$C$4:$C$1226,"&lt;"&amp;DATE(2026,5,1))+SUMIFS('FUNDED DEALS 2027'!$AB$4:$AB$1226,'FUNDED DEALS 2027'!$Z$4:$Z$1226,$A16,'FUNDED DEALS 2027'!$C$4:$C$1226,"&gt;="&amp;DATE(2026,4,1),'FUNDED DEALS 2027'!$C$4:$C$1226,"&lt;"&amp;DATE(2026,5,1)))</f>
        <v>0</v>
      </c>
      <c r="C16" s="48" t="n">
        <f aca="false">IF($A16="","",SUMIFS('FUNDED DEALS'!$V$4:$V$1226,'FUNDED DEALS'!$T$4:$T$1226,$A16,'FUNDED DEALS'!$C$4:$C$1226,"&gt;="&amp;DATE(2026,5,1),'FUNDED DEALS'!$C$4:$C$1226,"&lt;"&amp;DATE(2026,6,1))+SUMIFS('FUNDED DEALS'!$Y$4:$Y$1226,'FUNDED DEALS'!$W$4:$W$1226,$A16,'FUNDED DEALS'!$C$4:$C$1226,"&gt;="&amp;DATE(2026,5,1),'FUNDED DEALS'!$C$4:$C$1226,"&lt;"&amp;DATE(2026,6,1))+SUMIFS('FUNDED DEALS'!$AB$4:$AB$1226,'FUNDED DEALS'!$Z$4:$Z$1226,$A16,'FUNDED DEALS'!$C$4:$C$1226,"&gt;="&amp;DATE(2026,5,1),'FUNDED DEALS'!$C$4:$C$1226,"&lt;"&amp;DATE(2026,6,1))+SUMIFS('FUNDED DEALS 2027'!$V$4:$V$1226,'FUNDED DEALS 2027'!$T$4:$T$1226,$A16,'FUNDED DEALS 2027'!$C$4:$C$1226,"&gt;="&amp;DATE(2026,5,1),'FUNDED DEALS 2027'!$C$4:$C$1226,"&lt;"&amp;DATE(2026,6,1))+SUMIFS('FUNDED DEALS 2027'!$Y$4:$Y$1226,'FUNDED DEALS 2027'!$W$4:$W$1226,$A16,'FUNDED DEALS 2027'!$C$4:$C$1226,"&gt;="&amp;DATE(2026,5,1),'FUNDED DEALS 2027'!$C$4:$C$1226,"&lt;"&amp;DATE(2026,6,1))+SUMIFS('FUNDED DEALS 2027'!$AB$4:$AB$1226,'FUNDED DEALS 2027'!$Z$4:$Z$1226,$A16,'FUNDED DEALS 2027'!$C$4:$C$1226,"&gt;="&amp;DATE(2026,5,1),'FUNDED DEALS 2027'!$C$4:$C$1226,"&lt;"&amp;DATE(2026,6,1)))</f>
        <v>0</v>
      </c>
      <c r="D16" s="48" t="n">
        <f aca="false">IF($A16="","",SUMIFS('FUNDED DEALS'!$V$4:$V$1226,'FUNDED DEALS'!$T$4:$T$1226,$A16,'FUNDED DEALS'!$C$4:$C$1226,"&gt;="&amp;DATE(2026,6,1),'FUNDED DEALS'!$C$4:$C$1226,"&lt;"&amp;DATE(2026,7,1))+SUMIFS('FUNDED DEALS'!$Y$4:$Y$1226,'FUNDED DEALS'!$W$4:$W$1226,$A16,'FUNDED DEALS'!$C$4:$C$1226,"&gt;="&amp;DATE(2026,6,1),'FUNDED DEALS'!$C$4:$C$1226,"&lt;"&amp;DATE(2026,7,1))+SUMIFS('FUNDED DEALS'!$AB$4:$AB$1226,'FUNDED DEALS'!$Z$4:$Z$1226,$A16,'FUNDED DEALS'!$C$4:$C$1226,"&gt;="&amp;DATE(2026,6,1),'FUNDED DEALS'!$C$4:$C$1226,"&lt;"&amp;DATE(2026,7,1))+SUMIFS('FUNDED DEALS 2027'!$V$4:$V$1226,'FUNDED DEALS 2027'!$T$4:$T$1226,$A16,'FUNDED DEALS 2027'!$C$4:$C$1226,"&gt;="&amp;DATE(2026,6,1),'FUNDED DEALS 2027'!$C$4:$C$1226,"&lt;"&amp;DATE(2026,7,1))+SUMIFS('FUNDED DEALS 2027'!$Y$4:$Y$1226,'FUNDED DEALS 2027'!$W$4:$W$1226,$A16,'FUNDED DEALS 2027'!$C$4:$C$1226,"&gt;="&amp;DATE(2026,6,1),'FUNDED DEALS 2027'!$C$4:$C$1226,"&lt;"&amp;DATE(2026,7,1))+SUMIFS('FUNDED DEALS 2027'!$AB$4:$AB$1226,'FUNDED DEALS 2027'!$Z$4:$Z$1226,$A16,'FUNDED DEALS 2027'!$C$4:$C$1226,"&gt;="&amp;DATE(2026,6,1),'FUNDED DEALS 2027'!$C$4:$C$1226,"&lt;"&amp;DATE(2026,7,1)))</f>
        <v>0</v>
      </c>
      <c r="E16" s="48" t="n">
        <f aca="false">IF($A16="","",SUMIFS('FUNDED DEALS'!$V$4:$V$1226,'FUNDED DEALS'!$T$4:$T$1226,$A16,'FUNDED DEALS'!$C$4:$C$1226,"&gt;="&amp;DATE(2026,7,1),'FUNDED DEALS'!$C$4:$C$1226,"&lt;"&amp;DATE(2026,8,1))+SUMIFS('FUNDED DEALS'!$Y$4:$Y$1226,'FUNDED DEALS'!$W$4:$W$1226,$A16,'FUNDED DEALS'!$C$4:$C$1226,"&gt;="&amp;DATE(2026,7,1),'FUNDED DEALS'!$C$4:$C$1226,"&lt;"&amp;DATE(2026,8,1))+SUMIFS('FUNDED DEALS'!$AB$4:$AB$1226,'FUNDED DEALS'!$Z$4:$Z$1226,$A16,'FUNDED DEALS'!$C$4:$C$1226,"&gt;="&amp;DATE(2026,7,1),'FUNDED DEALS'!$C$4:$C$1226,"&lt;"&amp;DATE(2026,8,1))+SUMIFS('FUNDED DEALS 2027'!$V$4:$V$1226,'FUNDED DEALS 2027'!$T$4:$T$1226,$A16,'FUNDED DEALS 2027'!$C$4:$C$1226,"&gt;="&amp;DATE(2026,7,1),'FUNDED DEALS 2027'!$C$4:$C$1226,"&lt;"&amp;DATE(2026,8,1))+SUMIFS('FUNDED DEALS 2027'!$Y$4:$Y$1226,'FUNDED DEALS 2027'!$W$4:$W$1226,$A16,'FUNDED DEALS 2027'!$C$4:$C$1226,"&gt;="&amp;DATE(2026,7,1),'FUNDED DEALS 2027'!$C$4:$C$1226,"&lt;"&amp;DATE(2026,8,1))+SUMIFS('FUNDED DEALS 2027'!$AB$4:$AB$1226,'FUNDED DEALS 2027'!$Z$4:$Z$1226,$A16,'FUNDED DEALS 2027'!$C$4:$C$1226,"&gt;="&amp;DATE(2026,7,1),'FUNDED DEALS 2027'!$C$4:$C$1226,"&lt;"&amp;DATE(2026,8,1)))</f>
        <v>0</v>
      </c>
      <c r="F16" s="48" t="n">
        <f aca="false">IF($A16="","",SUMIFS('FUNDED DEALS'!$V$4:$V$1226,'FUNDED DEALS'!$T$4:$T$1226,$A16,'FUNDED DEALS'!$C$4:$C$1226,"&gt;="&amp;DATE(2026,8,1),'FUNDED DEALS'!$C$4:$C$1226,"&lt;"&amp;DATE(2026,9,1))+SUMIFS('FUNDED DEALS'!$Y$4:$Y$1226,'FUNDED DEALS'!$W$4:$W$1226,$A16,'FUNDED DEALS'!$C$4:$C$1226,"&gt;="&amp;DATE(2026,8,1),'FUNDED DEALS'!$C$4:$C$1226,"&lt;"&amp;DATE(2026,9,1))+SUMIFS('FUNDED DEALS'!$AB$4:$AB$1226,'FUNDED DEALS'!$Z$4:$Z$1226,$A16,'FUNDED DEALS'!$C$4:$C$1226,"&gt;="&amp;DATE(2026,8,1),'FUNDED DEALS'!$C$4:$C$1226,"&lt;"&amp;DATE(2026,9,1))+SUMIFS('FUNDED DEALS 2027'!$V$4:$V$1226,'FUNDED DEALS 2027'!$T$4:$T$1226,$A16,'FUNDED DEALS 2027'!$C$4:$C$1226,"&gt;="&amp;DATE(2026,8,1),'FUNDED DEALS 2027'!$C$4:$C$1226,"&lt;"&amp;DATE(2026,9,1))+SUMIFS('FUNDED DEALS 2027'!$Y$4:$Y$1226,'FUNDED DEALS 2027'!$W$4:$W$1226,$A16,'FUNDED DEALS 2027'!$C$4:$C$1226,"&gt;="&amp;DATE(2026,8,1),'FUNDED DEALS 2027'!$C$4:$C$1226,"&lt;"&amp;DATE(2026,9,1))+SUMIFS('FUNDED DEALS 2027'!$AB$4:$AB$1226,'FUNDED DEALS 2027'!$Z$4:$Z$1226,$A16,'FUNDED DEALS 2027'!$C$4:$C$1226,"&gt;="&amp;DATE(2026,8,1),'FUNDED DEALS 2027'!$C$4:$C$1226,"&lt;"&amp;DATE(2026,9,1)))</f>
        <v>0</v>
      </c>
      <c r="G16" s="48" t="n">
        <f aca="false">IF($A16="","",SUMIFS('FUNDED DEALS'!$V$4:$V$1226,'FUNDED DEALS'!$T$4:$T$1226,$A16,'FUNDED DEALS'!$C$4:$C$1226,"&gt;="&amp;DATE(2026,9,1),'FUNDED DEALS'!$C$4:$C$1226,"&lt;"&amp;DATE(2026,10,1))+SUMIFS('FUNDED DEALS'!$Y$4:$Y$1226,'FUNDED DEALS'!$W$4:$W$1226,$A16,'FUNDED DEALS'!$C$4:$C$1226,"&gt;="&amp;DATE(2026,9,1),'FUNDED DEALS'!$C$4:$C$1226,"&lt;"&amp;DATE(2026,10,1))+SUMIFS('FUNDED DEALS'!$AB$4:$AB$1226,'FUNDED DEALS'!$Z$4:$Z$1226,$A16,'FUNDED DEALS'!$C$4:$C$1226,"&gt;="&amp;DATE(2026,9,1),'FUNDED DEALS'!$C$4:$C$1226,"&lt;"&amp;DATE(2026,10,1))+SUMIFS('FUNDED DEALS 2027'!$V$4:$V$1226,'FUNDED DEALS 2027'!$T$4:$T$1226,$A16,'FUNDED DEALS 2027'!$C$4:$C$1226,"&gt;="&amp;DATE(2026,9,1),'FUNDED DEALS 2027'!$C$4:$C$1226,"&lt;"&amp;DATE(2026,10,1))+SUMIFS('FUNDED DEALS 2027'!$Y$4:$Y$1226,'FUNDED DEALS 2027'!$W$4:$W$1226,$A16,'FUNDED DEALS 2027'!$C$4:$C$1226,"&gt;="&amp;DATE(2026,9,1),'FUNDED DEALS 2027'!$C$4:$C$1226,"&lt;"&amp;DATE(2026,10,1))+SUMIFS('FUNDED DEALS 2027'!$AB$4:$AB$1226,'FUNDED DEALS 2027'!$Z$4:$Z$1226,$A16,'FUNDED DEALS 2027'!$C$4:$C$1226,"&gt;="&amp;DATE(2026,9,1),'FUNDED DEALS 2027'!$C$4:$C$1226,"&lt;"&amp;DATE(2026,10,1)))</f>
        <v>0</v>
      </c>
      <c r="H16" s="48" t="n">
        <f aca="false">IF($A16="","",SUMIFS('FUNDED DEALS'!$V$4:$V$1226,'FUNDED DEALS'!$T$4:$T$1226,$A16,'FUNDED DEALS'!$C$4:$C$1226,"&gt;="&amp;DATE(2026,10,1),'FUNDED DEALS'!$C$4:$C$1226,"&lt;"&amp;DATE(2026,11,1))+SUMIFS('FUNDED DEALS'!$Y$4:$Y$1226,'FUNDED DEALS'!$W$4:$W$1226,$A16,'FUNDED DEALS'!$C$4:$C$1226,"&gt;="&amp;DATE(2026,10,1),'FUNDED DEALS'!$C$4:$C$1226,"&lt;"&amp;DATE(2026,11,1))+SUMIFS('FUNDED DEALS'!$AB$4:$AB$1226,'FUNDED DEALS'!$Z$4:$Z$1226,$A16,'FUNDED DEALS'!$C$4:$C$1226,"&gt;="&amp;DATE(2026,10,1),'FUNDED DEALS'!$C$4:$C$1226,"&lt;"&amp;DATE(2026,11,1))+SUMIFS('FUNDED DEALS 2027'!$V$4:$V$1226,'FUNDED DEALS 2027'!$T$4:$T$1226,$A16,'FUNDED DEALS 2027'!$C$4:$C$1226,"&gt;="&amp;DATE(2026,10,1),'FUNDED DEALS 2027'!$C$4:$C$1226,"&lt;"&amp;DATE(2026,11,1))+SUMIFS('FUNDED DEALS 2027'!$Y$4:$Y$1226,'FUNDED DEALS 2027'!$W$4:$W$1226,$A16,'FUNDED DEALS 2027'!$C$4:$C$1226,"&gt;="&amp;DATE(2026,10,1),'FUNDED DEALS 2027'!$C$4:$C$1226,"&lt;"&amp;DATE(2026,11,1))+SUMIFS('FUNDED DEALS 2027'!$AB$4:$AB$1226,'FUNDED DEALS 2027'!$Z$4:$Z$1226,$A16,'FUNDED DEALS 2027'!$C$4:$C$1226,"&gt;="&amp;DATE(2026,10,1),'FUNDED DEALS 2027'!$C$4:$C$1226,"&lt;"&amp;DATE(2026,11,1)))</f>
        <v>0</v>
      </c>
      <c r="I16" s="48" t="n">
        <f aca="false">IF($A16="","",SUMIFS('FUNDED DEALS'!$V$4:$V$1226,'FUNDED DEALS'!$T$4:$T$1226,$A16,'FUNDED DEALS'!$C$4:$C$1226,"&gt;="&amp;DATE(2026,11,1),'FUNDED DEALS'!$C$4:$C$1226,"&lt;"&amp;DATE(2026,12,1))+SUMIFS('FUNDED DEALS'!$Y$4:$Y$1226,'FUNDED DEALS'!$W$4:$W$1226,$A16,'FUNDED DEALS'!$C$4:$C$1226,"&gt;="&amp;DATE(2026,11,1),'FUNDED DEALS'!$C$4:$C$1226,"&lt;"&amp;DATE(2026,12,1))+SUMIFS('FUNDED DEALS'!$AB$4:$AB$1226,'FUNDED DEALS'!$Z$4:$Z$1226,$A16,'FUNDED DEALS'!$C$4:$C$1226,"&gt;="&amp;DATE(2026,11,1),'FUNDED DEALS'!$C$4:$C$1226,"&lt;"&amp;DATE(2026,12,1))+SUMIFS('FUNDED DEALS 2027'!$V$4:$V$1226,'FUNDED DEALS 2027'!$T$4:$T$1226,$A16,'FUNDED DEALS 2027'!$C$4:$C$1226,"&gt;="&amp;DATE(2026,11,1),'FUNDED DEALS 2027'!$C$4:$C$1226,"&lt;"&amp;DATE(2026,12,1))+SUMIFS('FUNDED DEALS 2027'!$Y$4:$Y$1226,'FUNDED DEALS 2027'!$W$4:$W$1226,$A16,'FUNDED DEALS 2027'!$C$4:$C$1226,"&gt;="&amp;DATE(2026,11,1),'FUNDED DEALS 2027'!$C$4:$C$1226,"&lt;"&amp;DATE(2026,12,1))+SUMIFS('FUNDED DEALS 2027'!$AB$4:$AB$1226,'FUNDED DEALS 2027'!$Z$4:$Z$1226,$A16,'FUNDED DEALS 2027'!$C$4:$C$1226,"&gt;="&amp;DATE(2026,11,1),'FUNDED DEALS 2027'!$C$4:$C$1226,"&lt;"&amp;DATE(2026,12,1)))</f>
        <v>0</v>
      </c>
      <c r="J16" s="48" t="n">
        <f aca="false">IF($A16="","",SUMIFS('FUNDED DEALS'!$V$4:$V$1226,'FUNDED DEALS'!$T$4:$T$1226,$A16,'FUNDED DEALS'!$C$4:$C$1226,"&gt;="&amp;DATE(2026,12,1),'FUNDED DEALS'!$C$4:$C$1226,"&lt;"&amp;DATE(2027,1,1))+SUMIFS('FUNDED DEALS'!$Y$4:$Y$1226,'FUNDED DEALS'!$W$4:$W$1226,$A16,'FUNDED DEALS'!$C$4:$C$1226,"&gt;="&amp;DATE(2026,12,1),'FUNDED DEALS'!$C$4:$C$1226,"&lt;"&amp;DATE(2027,1,1))+SUMIFS('FUNDED DEALS'!$AB$4:$AB$1226,'FUNDED DEALS'!$Z$4:$Z$1226,$A16,'FUNDED DEALS'!$C$4:$C$1226,"&gt;="&amp;DATE(2026,12,1),'FUNDED DEALS'!$C$4:$C$1226,"&lt;"&amp;DATE(2027,1,1))+SUMIFS('FUNDED DEALS 2027'!$V$4:$V$1226,'FUNDED DEALS 2027'!$T$4:$T$1226,$A16,'FUNDED DEALS 2027'!$C$4:$C$1226,"&gt;="&amp;DATE(2026,12,1),'FUNDED DEALS 2027'!$C$4:$C$1226,"&lt;"&amp;DATE(2027,1,1))+SUMIFS('FUNDED DEALS 2027'!$Y$4:$Y$1226,'FUNDED DEALS 2027'!$W$4:$W$1226,$A16,'FUNDED DEALS 2027'!$C$4:$C$1226,"&gt;="&amp;DATE(2026,12,1),'FUNDED DEALS 2027'!$C$4:$C$1226,"&lt;"&amp;DATE(2027,1,1))+SUMIFS('FUNDED DEALS 2027'!$AB$4:$AB$1226,'FUNDED DEALS 2027'!$Z$4:$Z$1226,$A16,'FUNDED DEALS 2027'!$C$4:$C$1226,"&gt;="&amp;DATE(2026,12,1),'FUNDED DEALS 2027'!$C$4:$C$1226,"&lt;"&amp;DATE(2027,1,1)))</f>
        <v>0</v>
      </c>
      <c r="K16" s="48" t="n">
        <f aca="false">IF($A16="","",SUMIFS('FUNDED DEALS'!$V$4:$V$1226,'FUNDED DEALS'!$T$4:$T$1226,$A16,'FUNDED DEALS'!$C$4:$C$1226,"&gt;="&amp;DATE(2027,1,1),'FUNDED DEALS'!$C$4:$C$1226,"&lt;"&amp;DATE(2027,2,1))+SUMIFS('FUNDED DEALS'!$Y$4:$Y$1226,'FUNDED DEALS'!$W$4:$W$1226,$A16,'FUNDED DEALS'!$C$4:$C$1226,"&gt;="&amp;DATE(2027,1,1),'FUNDED DEALS'!$C$4:$C$1226,"&lt;"&amp;DATE(2027,2,1))+SUMIFS('FUNDED DEALS'!$AB$4:$AB$1226,'FUNDED DEALS'!$Z$4:$Z$1226,$A16,'FUNDED DEALS'!$C$4:$C$1226,"&gt;="&amp;DATE(2027,1,1),'FUNDED DEALS'!$C$4:$C$1226,"&lt;"&amp;DATE(2027,2,1))+SUMIFS('FUNDED DEALS 2027'!$V$4:$V$1226,'FUNDED DEALS 2027'!$T$4:$T$1226,$A16,'FUNDED DEALS 2027'!$C$4:$C$1226,"&gt;="&amp;DATE(2027,1,1),'FUNDED DEALS 2027'!$C$4:$C$1226,"&lt;"&amp;DATE(2027,2,1))+SUMIFS('FUNDED DEALS 2027'!$Y$4:$Y$1226,'FUNDED DEALS 2027'!$W$4:$W$1226,$A16,'FUNDED DEALS 2027'!$C$4:$C$1226,"&gt;="&amp;DATE(2027,1,1),'FUNDED DEALS 2027'!$C$4:$C$1226,"&lt;"&amp;DATE(2027,2,1))+SUMIFS('FUNDED DEALS 2027'!$AB$4:$AB$1226,'FUNDED DEALS 2027'!$Z$4:$Z$1226,$A16,'FUNDED DEALS 2027'!$C$4:$C$1226,"&gt;="&amp;DATE(2027,1,1),'FUNDED DEALS 2027'!$C$4:$C$1226,"&lt;"&amp;DATE(2027,2,1)))</f>
        <v>0</v>
      </c>
      <c r="L16" s="48" t="n">
        <f aca="false">IF($A16="","",SUMIFS('FUNDED DEALS'!$V$4:$V$1226,'FUNDED DEALS'!$T$4:$T$1226,$A16,'FUNDED DEALS'!$C$4:$C$1226,"&gt;="&amp;DATE(2027,2,1),'FUNDED DEALS'!$C$4:$C$1226,"&lt;"&amp;DATE(2027,3,1))+SUMIFS('FUNDED DEALS'!$Y$4:$Y$1226,'FUNDED DEALS'!$W$4:$W$1226,$A16,'FUNDED DEALS'!$C$4:$C$1226,"&gt;="&amp;DATE(2027,2,1),'FUNDED DEALS'!$C$4:$C$1226,"&lt;"&amp;DATE(2027,3,1))+SUMIFS('FUNDED DEALS'!$AB$4:$AB$1226,'FUNDED DEALS'!$Z$4:$Z$1226,$A16,'FUNDED DEALS'!$C$4:$C$1226,"&gt;="&amp;DATE(2027,2,1),'FUNDED DEALS'!$C$4:$C$1226,"&lt;"&amp;DATE(2027,3,1))+SUMIFS('FUNDED DEALS 2027'!$V$4:$V$1226,'FUNDED DEALS 2027'!$T$4:$T$1226,$A16,'FUNDED DEALS 2027'!$C$4:$C$1226,"&gt;="&amp;DATE(2027,2,1),'FUNDED DEALS 2027'!$C$4:$C$1226,"&lt;"&amp;DATE(2027,3,1))+SUMIFS('FUNDED DEALS 2027'!$Y$4:$Y$1226,'FUNDED DEALS 2027'!$W$4:$W$1226,$A16,'FUNDED DEALS 2027'!$C$4:$C$1226,"&gt;="&amp;DATE(2027,2,1),'FUNDED DEALS 2027'!$C$4:$C$1226,"&lt;"&amp;DATE(2027,3,1))+SUMIFS('FUNDED DEALS 2027'!$AB$4:$AB$1226,'FUNDED DEALS 2027'!$Z$4:$Z$1226,$A16,'FUNDED DEALS 2027'!$C$4:$C$1226,"&gt;="&amp;DATE(2027,2,1),'FUNDED DEALS 2027'!$C$4:$C$1226,"&lt;"&amp;DATE(2027,3,1)))</f>
        <v>0</v>
      </c>
      <c r="M16" s="48" t="n">
        <f aca="false">IF($A16="","",SUMIFS('FUNDED DEALS'!$V$4:$V$1226,'FUNDED DEALS'!$T$4:$T$1226,$A16,'FUNDED DEALS'!$C$4:$C$1226,"&gt;="&amp;DATE(2027,3,1),'FUNDED DEALS'!$C$4:$C$1226,"&lt;"&amp;DATE(2027,4,1))+SUMIFS('FUNDED DEALS'!$Y$4:$Y$1226,'FUNDED DEALS'!$W$4:$W$1226,$A16,'FUNDED DEALS'!$C$4:$C$1226,"&gt;="&amp;DATE(2027,3,1),'FUNDED DEALS'!$C$4:$C$1226,"&lt;"&amp;DATE(2027,4,1))+SUMIFS('FUNDED DEALS'!$AB$4:$AB$1226,'FUNDED DEALS'!$Z$4:$Z$1226,$A16,'FUNDED DEALS'!$C$4:$C$1226,"&gt;="&amp;DATE(2027,3,1),'FUNDED DEALS'!$C$4:$C$1226,"&lt;"&amp;DATE(2027,4,1))+SUMIFS('FUNDED DEALS 2027'!$V$4:$V$1226,'FUNDED DEALS 2027'!$T$4:$T$1226,$A16,'FUNDED DEALS 2027'!$C$4:$C$1226,"&gt;="&amp;DATE(2027,3,1),'FUNDED DEALS 2027'!$C$4:$C$1226,"&lt;"&amp;DATE(2027,4,1))+SUMIFS('FUNDED DEALS 2027'!$Y$4:$Y$1226,'FUNDED DEALS 2027'!$W$4:$W$1226,$A16,'FUNDED DEALS 2027'!$C$4:$C$1226,"&gt;="&amp;DATE(2027,3,1),'FUNDED DEALS 2027'!$C$4:$C$1226,"&lt;"&amp;DATE(2027,4,1))+SUMIFS('FUNDED DEALS 2027'!$AB$4:$AB$1226,'FUNDED DEALS 2027'!$Z$4:$Z$1226,$A16,'FUNDED DEALS 2027'!$C$4:$C$1226,"&gt;="&amp;DATE(2027,3,1),'FUNDED DEALS 2027'!$C$4:$C$1226,"&lt;"&amp;DATE(2027,4,1)))</f>
        <v>0</v>
      </c>
      <c r="N16" s="48" t="n">
        <f aca="false">IF($A16="","",SUMIFS('FUNDED DEALS'!$V$4:$V$1226,'FUNDED DEALS'!$T$4:$T$1226,$A16,'FUNDED DEALS'!$C$4:$C$1226,"&gt;="&amp;DATE(2027,4,1),'FUNDED DEALS'!$C$4:$C$1226,"&lt;"&amp;DATE(2027,5,1))+SUMIFS('FUNDED DEALS'!$Y$4:$Y$1226,'FUNDED DEALS'!$W$4:$W$1226,$A16,'FUNDED DEALS'!$C$4:$C$1226,"&gt;="&amp;DATE(2027,4,1),'FUNDED DEALS'!$C$4:$C$1226,"&lt;"&amp;DATE(2027,5,1))+SUMIFS('FUNDED DEALS'!$AB$4:$AB$1226,'FUNDED DEALS'!$Z$4:$Z$1226,$A16,'FUNDED DEALS'!$C$4:$C$1226,"&gt;="&amp;DATE(2027,4,1),'FUNDED DEALS'!$C$4:$C$1226,"&lt;"&amp;DATE(2027,5,1))+SUMIFS('FUNDED DEALS 2027'!$V$4:$V$1226,'FUNDED DEALS 2027'!$T$4:$T$1226,$A16,'FUNDED DEALS 2027'!$C$4:$C$1226,"&gt;="&amp;DATE(2027,4,1),'FUNDED DEALS 2027'!$C$4:$C$1226,"&lt;"&amp;DATE(2027,5,1))+SUMIFS('FUNDED DEALS 2027'!$Y$4:$Y$1226,'FUNDED DEALS 2027'!$W$4:$W$1226,$A16,'FUNDED DEALS 2027'!$C$4:$C$1226,"&gt;="&amp;DATE(2027,4,1),'FUNDED DEALS 2027'!$C$4:$C$1226,"&lt;"&amp;DATE(2027,5,1))+SUMIFS('FUNDED DEALS 2027'!$AB$4:$AB$1226,'FUNDED DEALS 2027'!$Z$4:$Z$1226,$A16,'FUNDED DEALS 2027'!$C$4:$C$1226,"&gt;="&amp;DATE(2027,4,1),'FUNDED DEALS 2027'!$C$4:$C$1226,"&lt;"&amp;DATE(2027,5,1)))</f>
        <v>0</v>
      </c>
      <c r="O16" s="48" t="n">
        <f aca="false">IF($A16="","",SUMIFS('FUNDED DEALS'!$V$4:$V$1226,'FUNDED DEALS'!$T$4:$T$1226,$A16,'FUNDED DEALS'!$C$4:$C$1226,"&gt;="&amp;DATE(2027,5,1),'FUNDED DEALS'!$C$4:$C$1226,"&lt;"&amp;DATE(2027,6,1))+SUMIFS('FUNDED DEALS'!$Y$4:$Y$1226,'FUNDED DEALS'!$W$4:$W$1226,$A16,'FUNDED DEALS'!$C$4:$C$1226,"&gt;="&amp;DATE(2027,5,1),'FUNDED DEALS'!$C$4:$C$1226,"&lt;"&amp;DATE(2027,6,1))+SUMIFS('FUNDED DEALS'!$AB$4:$AB$1226,'FUNDED DEALS'!$Z$4:$Z$1226,$A16,'FUNDED DEALS'!$C$4:$C$1226,"&gt;="&amp;DATE(2027,5,1),'FUNDED DEALS'!$C$4:$C$1226,"&lt;"&amp;DATE(2027,6,1))+SUMIFS('FUNDED DEALS 2027'!$V$4:$V$1226,'FUNDED DEALS 2027'!$T$4:$T$1226,$A16,'FUNDED DEALS 2027'!$C$4:$C$1226,"&gt;="&amp;DATE(2027,5,1),'FUNDED DEALS 2027'!$C$4:$C$1226,"&lt;"&amp;DATE(2027,6,1))+SUMIFS('FUNDED DEALS 2027'!$Y$4:$Y$1226,'FUNDED DEALS 2027'!$W$4:$W$1226,$A16,'FUNDED DEALS 2027'!$C$4:$C$1226,"&gt;="&amp;DATE(2027,5,1),'FUNDED DEALS 2027'!$C$4:$C$1226,"&lt;"&amp;DATE(2027,6,1))+SUMIFS('FUNDED DEALS 2027'!$AB$4:$AB$1226,'FUNDED DEALS 2027'!$Z$4:$Z$1226,$A16,'FUNDED DEALS 2027'!$C$4:$C$1226,"&gt;="&amp;DATE(2027,5,1),'FUNDED DEALS 2027'!$C$4:$C$1226,"&lt;"&amp;DATE(2027,6,1)))</f>
        <v>0</v>
      </c>
      <c r="P16" s="48" t="n">
        <f aca="false">IF($A16="","",SUMIFS('FUNDED DEALS'!$V$4:$V$1226,'FUNDED DEALS'!$T$4:$T$1226,$A16,'FUNDED DEALS'!$C$4:$C$1226,"&gt;="&amp;DATE(2027,6,1),'FUNDED DEALS'!$C$4:$C$1226,"&lt;"&amp;DATE(2027,7,1))+SUMIFS('FUNDED DEALS'!$Y$4:$Y$1226,'FUNDED DEALS'!$W$4:$W$1226,$A16,'FUNDED DEALS'!$C$4:$C$1226,"&gt;="&amp;DATE(2027,6,1),'FUNDED DEALS'!$C$4:$C$1226,"&lt;"&amp;DATE(2027,7,1))+SUMIFS('FUNDED DEALS'!$AB$4:$AB$1226,'FUNDED DEALS'!$Z$4:$Z$1226,$A16,'FUNDED DEALS'!$C$4:$C$1226,"&gt;="&amp;DATE(2027,6,1),'FUNDED DEALS'!$C$4:$C$1226,"&lt;"&amp;DATE(2027,7,1))+SUMIFS('FUNDED DEALS 2027'!$V$4:$V$1226,'FUNDED DEALS 2027'!$T$4:$T$1226,$A16,'FUNDED DEALS 2027'!$C$4:$C$1226,"&gt;="&amp;DATE(2027,6,1),'FUNDED DEALS 2027'!$C$4:$C$1226,"&lt;"&amp;DATE(2027,7,1))+SUMIFS('FUNDED DEALS 2027'!$Y$4:$Y$1226,'FUNDED DEALS 2027'!$W$4:$W$1226,$A16,'FUNDED DEALS 2027'!$C$4:$C$1226,"&gt;="&amp;DATE(2027,6,1),'FUNDED DEALS 2027'!$C$4:$C$1226,"&lt;"&amp;DATE(2027,7,1))+SUMIFS('FUNDED DEALS 2027'!$AB$4:$AB$1226,'FUNDED DEALS 2027'!$Z$4:$Z$1226,$A16,'FUNDED DEALS 2027'!$C$4:$C$1226,"&gt;="&amp;DATE(2027,6,1),'FUNDED DEALS 2027'!$C$4:$C$1226,"&lt;"&amp;DATE(2027,7,1)))</f>
        <v>0</v>
      </c>
      <c r="Q16" s="48" t="n">
        <f aca="false">IF($A16="","",SUMIFS('FUNDED DEALS'!$V$4:$V$1226,'FUNDED DEALS'!$T$4:$T$1226,$A16,'FUNDED DEALS'!$C$4:$C$1226,"&gt;="&amp;DATE(2027,7,1),'FUNDED DEALS'!$C$4:$C$1226,"&lt;"&amp;DATE(2027,8,1))+SUMIFS('FUNDED DEALS'!$Y$4:$Y$1226,'FUNDED DEALS'!$W$4:$W$1226,$A16,'FUNDED DEALS'!$C$4:$C$1226,"&gt;="&amp;DATE(2027,7,1),'FUNDED DEALS'!$C$4:$C$1226,"&lt;"&amp;DATE(2027,8,1))+SUMIFS('FUNDED DEALS'!$AB$4:$AB$1226,'FUNDED DEALS'!$Z$4:$Z$1226,$A16,'FUNDED DEALS'!$C$4:$C$1226,"&gt;="&amp;DATE(2027,7,1),'FUNDED DEALS'!$C$4:$C$1226,"&lt;"&amp;DATE(2027,8,1))+SUMIFS('FUNDED DEALS 2027'!$V$4:$V$1226,'FUNDED DEALS 2027'!$T$4:$T$1226,$A16,'FUNDED DEALS 2027'!$C$4:$C$1226,"&gt;="&amp;DATE(2027,7,1),'FUNDED DEALS 2027'!$C$4:$C$1226,"&lt;"&amp;DATE(2027,8,1))+SUMIFS('FUNDED DEALS 2027'!$Y$4:$Y$1226,'FUNDED DEALS 2027'!$W$4:$W$1226,$A16,'FUNDED DEALS 2027'!$C$4:$C$1226,"&gt;="&amp;DATE(2027,7,1),'FUNDED DEALS 2027'!$C$4:$C$1226,"&lt;"&amp;DATE(2027,8,1))+SUMIFS('FUNDED DEALS 2027'!$AB$4:$AB$1226,'FUNDED DEALS 2027'!$Z$4:$Z$1226,$A16,'FUNDED DEALS 2027'!$C$4:$C$1226,"&gt;="&amp;DATE(2027,7,1),'FUNDED DEALS 2027'!$C$4:$C$1226,"&lt;"&amp;DATE(2027,8,1)))</f>
        <v>0</v>
      </c>
      <c r="R16" s="48" t="n">
        <f aca="false">IF($A16="","",SUMIFS('FUNDED DEALS'!$V$4:$V$1226,'FUNDED DEALS'!$T$4:$T$1226,$A16,'FUNDED DEALS'!$C$4:$C$1226,"&gt;="&amp;DATE(2027,8,1),'FUNDED DEALS'!$C$4:$C$1226,"&lt;"&amp;DATE(2027,9,1))+SUMIFS('FUNDED DEALS'!$Y$4:$Y$1226,'FUNDED DEALS'!$W$4:$W$1226,$A16,'FUNDED DEALS'!$C$4:$C$1226,"&gt;="&amp;DATE(2027,8,1),'FUNDED DEALS'!$C$4:$C$1226,"&lt;"&amp;DATE(2027,9,1))+SUMIFS('FUNDED DEALS'!$AB$4:$AB$1226,'FUNDED DEALS'!$Z$4:$Z$1226,$A16,'FUNDED DEALS'!$C$4:$C$1226,"&gt;="&amp;DATE(2027,8,1),'FUNDED DEALS'!$C$4:$C$1226,"&lt;"&amp;DATE(2027,9,1))+SUMIFS('FUNDED DEALS 2027'!$V$4:$V$1226,'FUNDED DEALS 2027'!$T$4:$T$1226,$A16,'FUNDED DEALS 2027'!$C$4:$C$1226,"&gt;="&amp;DATE(2027,8,1),'FUNDED DEALS 2027'!$C$4:$C$1226,"&lt;"&amp;DATE(2027,9,1))+SUMIFS('FUNDED DEALS 2027'!$Y$4:$Y$1226,'FUNDED DEALS 2027'!$W$4:$W$1226,$A16,'FUNDED DEALS 2027'!$C$4:$C$1226,"&gt;="&amp;DATE(2027,8,1),'FUNDED DEALS 2027'!$C$4:$C$1226,"&lt;"&amp;DATE(2027,9,1))+SUMIFS('FUNDED DEALS 2027'!$AB$4:$AB$1226,'FUNDED DEALS 2027'!$Z$4:$Z$1226,$A16,'FUNDED DEALS 2027'!$C$4:$C$1226,"&gt;="&amp;DATE(2027,8,1),'FUNDED DEALS 2027'!$C$4:$C$1226,"&lt;"&amp;DATE(2027,9,1)))</f>
        <v>0</v>
      </c>
      <c r="S16" s="48" t="n">
        <f aca="false">IF($A16="","",SUMIFS('FUNDED DEALS'!$V$4:$V$1226,'FUNDED DEALS'!$T$4:$T$1226,$A16,'FUNDED DEALS'!$C$4:$C$1226,"&gt;="&amp;DATE(2027,9,1),'FUNDED DEALS'!$C$4:$C$1226,"&lt;"&amp;DATE(2027,10,1))+SUMIFS('FUNDED DEALS'!$Y$4:$Y$1226,'FUNDED DEALS'!$W$4:$W$1226,$A16,'FUNDED DEALS'!$C$4:$C$1226,"&gt;="&amp;DATE(2027,9,1),'FUNDED DEALS'!$C$4:$C$1226,"&lt;"&amp;DATE(2027,10,1))+SUMIFS('FUNDED DEALS'!$AB$4:$AB$1226,'FUNDED DEALS'!$Z$4:$Z$1226,$A16,'FUNDED DEALS'!$C$4:$C$1226,"&gt;="&amp;DATE(2027,9,1),'FUNDED DEALS'!$C$4:$C$1226,"&lt;"&amp;DATE(2027,10,1))+SUMIFS('FUNDED DEALS 2027'!$V$4:$V$1226,'FUNDED DEALS 2027'!$T$4:$T$1226,$A16,'FUNDED DEALS 2027'!$C$4:$C$1226,"&gt;="&amp;DATE(2027,9,1),'FUNDED DEALS 2027'!$C$4:$C$1226,"&lt;"&amp;DATE(2027,10,1))+SUMIFS('FUNDED DEALS 2027'!$Y$4:$Y$1226,'FUNDED DEALS 2027'!$W$4:$W$1226,$A16,'FUNDED DEALS 2027'!$C$4:$C$1226,"&gt;="&amp;DATE(2027,9,1),'FUNDED DEALS 2027'!$C$4:$C$1226,"&lt;"&amp;DATE(2027,10,1))+SUMIFS('FUNDED DEALS 2027'!$AB$4:$AB$1226,'FUNDED DEALS 2027'!$Z$4:$Z$1226,$A16,'FUNDED DEALS 2027'!$C$4:$C$1226,"&gt;="&amp;DATE(2027,9,1),'FUNDED DEALS 2027'!$C$4:$C$1226,"&lt;"&amp;DATE(2027,10,1)))</f>
        <v>0</v>
      </c>
      <c r="T16" s="48" t="n">
        <f aca="false">IF($A16="","",SUMIFS('FUNDED DEALS'!$V$4:$V$1226,'FUNDED DEALS'!$T$4:$T$1226,$A16,'FUNDED DEALS'!$C$4:$C$1226,"&gt;="&amp;DATE(2027,10,1),'FUNDED DEALS'!$C$4:$C$1226,"&lt;"&amp;DATE(2027,11,1))+SUMIFS('FUNDED DEALS'!$Y$4:$Y$1226,'FUNDED DEALS'!$W$4:$W$1226,$A16,'FUNDED DEALS'!$C$4:$C$1226,"&gt;="&amp;DATE(2027,10,1),'FUNDED DEALS'!$C$4:$C$1226,"&lt;"&amp;DATE(2027,11,1))+SUMIFS('FUNDED DEALS'!$AB$4:$AB$1226,'FUNDED DEALS'!$Z$4:$Z$1226,$A16,'FUNDED DEALS'!$C$4:$C$1226,"&gt;="&amp;DATE(2027,10,1),'FUNDED DEALS'!$C$4:$C$1226,"&lt;"&amp;DATE(2027,11,1))+SUMIFS('FUNDED DEALS 2027'!$V$4:$V$1226,'FUNDED DEALS 2027'!$T$4:$T$1226,$A16,'FUNDED DEALS 2027'!$C$4:$C$1226,"&gt;="&amp;DATE(2027,10,1),'FUNDED DEALS 2027'!$C$4:$C$1226,"&lt;"&amp;DATE(2027,11,1))+SUMIFS('FUNDED DEALS 2027'!$Y$4:$Y$1226,'FUNDED DEALS 2027'!$W$4:$W$1226,$A16,'FUNDED DEALS 2027'!$C$4:$C$1226,"&gt;="&amp;DATE(2027,10,1),'FUNDED DEALS 2027'!$C$4:$C$1226,"&lt;"&amp;DATE(2027,11,1))+SUMIFS('FUNDED DEALS 2027'!$AB$4:$AB$1226,'FUNDED DEALS 2027'!$Z$4:$Z$1226,$A16,'FUNDED DEALS 2027'!$C$4:$C$1226,"&gt;="&amp;DATE(2027,10,1),'FUNDED DEALS 2027'!$C$4:$C$1226,"&lt;"&amp;DATE(2027,11,1)))</f>
        <v>0</v>
      </c>
      <c r="U16" s="48" t="n">
        <f aca="false">IF($A16="","",SUMIFS('FUNDED DEALS'!$V$4:$V$1226,'FUNDED DEALS'!$T$4:$T$1226,$A16,'FUNDED DEALS'!$C$4:$C$1226,"&gt;="&amp;DATE(2027,11,1),'FUNDED DEALS'!$C$4:$C$1226,"&lt;"&amp;DATE(2027,12,1))+SUMIFS('FUNDED DEALS'!$Y$4:$Y$1226,'FUNDED DEALS'!$W$4:$W$1226,$A16,'FUNDED DEALS'!$C$4:$C$1226,"&gt;="&amp;DATE(2027,11,1),'FUNDED DEALS'!$C$4:$C$1226,"&lt;"&amp;DATE(2027,12,1))+SUMIFS('FUNDED DEALS'!$AB$4:$AB$1226,'FUNDED DEALS'!$Z$4:$Z$1226,$A16,'FUNDED DEALS'!$C$4:$C$1226,"&gt;="&amp;DATE(2027,11,1),'FUNDED DEALS'!$C$4:$C$1226,"&lt;"&amp;DATE(2027,12,1))+SUMIFS('FUNDED DEALS 2027'!$V$4:$V$1226,'FUNDED DEALS 2027'!$T$4:$T$1226,$A16,'FUNDED DEALS 2027'!$C$4:$C$1226,"&gt;="&amp;DATE(2027,11,1),'FUNDED DEALS 2027'!$C$4:$C$1226,"&lt;"&amp;DATE(2027,12,1))+SUMIFS('FUNDED DEALS 2027'!$Y$4:$Y$1226,'FUNDED DEALS 2027'!$W$4:$W$1226,$A16,'FUNDED DEALS 2027'!$C$4:$C$1226,"&gt;="&amp;DATE(2027,11,1),'FUNDED DEALS 2027'!$C$4:$C$1226,"&lt;"&amp;DATE(2027,12,1))+SUMIFS('FUNDED DEALS 2027'!$AB$4:$AB$1226,'FUNDED DEALS 2027'!$Z$4:$Z$1226,$A16,'FUNDED DEALS 2027'!$C$4:$C$1226,"&gt;="&amp;DATE(2027,11,1),'FUNDED DEALS 2027'!$C$4:$C$1226,"&lt;"&amp;DATE(2027,12,1)))</f>
        <v>0</v>
      </c>
      <c r="V16" s="48" t="n">
        <f aca="false">IF($A16="","",SUMIFS('FUNDED DEALS'!$V$4:$V$1226,'FUNDED DEALS'!$T$4:$T$1226,$A16,'FUNDED DEALS'!$C$4:$C$1226,"&gt;="&amp;DATE(2027,12,1),'FUNDED DEALS'!$C$4:$C$1226,"&lt;"&amp;DATE(2028,1,1))+SUMIFS('FUNDED DEALS'!$Y$4:$Y$1226,'FUNDED DEALS'!$W$4:$W$1226,$A16,'FUNDED DEALS'!$C$4:$C$1226,"&gt;="&amp;DATE(2027,12,1),'FUNDED DEALS'!$C$4:$C$1226,"&lt;"&amp;DATE(2028,1,1))+SUMIFS('FUNDED DEALS'!$AB$4:$AB$1226,'FUNDED DEALS'!$Z$4:$Z$1226,$A16,'FUNDED DEALS'!$C$4:$C$1226,"&gt;="&amp;DATE(2027,12,1),'FUNDED DEALS'!$C$4:$C$1226,"&lt;"&amp;DATE(2028,1,1))+SUMIFS('FUNDED DEALS 2027'!$V$4:$V$1226,'FUNDED DEALS 2027'!$T$4:$T$1226,$A16,'FUNDED DEALS 2027'!$C$4:$C$1226,"&gt;="&amp;DATE(2027,12,1),'FUNDED DEALS 2027'!$C$4:$C$1226,"&lt;"&amp;DATE(2028,1,1))+SUMIFS('FUNDED DEALS 2027'!$Y$4:$Y$1226,'FUNDED DEALS 2027'!$W$4:$W$1226,$A16,'FUNDED DEALS 2027'!$C$4:$C$1226,"&gt;="&amp;DATE(2027,12,1),'FUNDED DEALS 2027'!$C$4:$C$1226,"&lt;"&amp;DATE(2028,1,1))+SUMIFS('FUNDED DEALS 2027'!$AB$4:$AB$1226,'FUNDED DEALS 2027'!$Z$4:$Z$1226,$A16,'FUNDED DEALS 2027'!$C$4:$C$1226,"&gt;="&amp;DATE(2027,12,1),'FUNDED DEALS 2027'!$C$4:$C$1226,"&lt;"&amp;DATE(2028,1,1)))</f>
        <v>0</v>
      </c>
      <c r="W16" s="56" t="n">
        <f aca="false">IF($A16="","",SUM(B16:V16))</f>
        <v>0</v>
      </c>
    </row>
    <row r="17" customFormat="false" ht="15" hidden="false" customHeight="false" outlineLevel="0" collapsed="false">
      <c r="A17" s="50" t="str">
        <f aca="false">IF(REPS!A15="","",REPS!A15)</f>
        <v>Louie Espinoza</v>
      </c>
      <c r="B17" s="51" t="n">
        <f aca="false">IF($A17="","",SUMIFS('FUNDED DEALS'!$V$4:$V$1226,'FUNDED DEALS'!$T$4:$T$1226,$A17,'FUNDED DEALS'!$C$4:$C$1226,"&gt;="&amp;DATE(2026,4,1),'FUNDED DEALS'!$C$4:$C$1226,"&lt;"&amp;DATE(2026,5,1))+SUMIFS('FUNDED DEALS'!$Y$4:$Y$1226,'FUNDED DEALS'!$W$4:$W$1226,$A17,'FUNDED DEALS'!$C$4:$C$1226,"&gt;="&amp;DATE(2026,4,1),'FUNDED DEALS'!$C$4:$C$1226,"&lt;"&amp;DATE(2026,5,1))+SUMIFS('FUNDED DEALS'!$AB$4:$AB$1226,'FUNDED DEALS'!$Z$4:$Z$1226,$A17,'FUNDED DEALS'!$C$4:$C$1226,"&gt;="&amp;DATE(2026,4,1),'FUNDED DEALS'!$C$4:$C$1226,"&lt;"&amp;DATE(2026,5,1))+SUMIFS('FUNDED DEALS 2027'!$V$4:$V$1226,'FUNDED DEALS 2027'!$T$4:$T$1226,$A17,'FUNDED DEALS 2027'!$C$4:$C$1226,"&gt;="&amp;DATE(2026,4,1),'FUNDED DEALS 2027'!$C$4:$C$1226,"&lt;"&amp;DATE(2026,5,1))+SUMIFS('FUNDED DEALS 2027'!$Y$4:$Y$1226,'FUNDED DEALS 2027'!$W$4:$W$1226,$A17,'FUNDED DEALS 2027'!$C$4:$C$1226,"&gt;="&amp;DATE(2026,4,1),'FUNDED DEALS 2027'!$C$4:$C$1226,"&lt;"&amp;DATE(2026,5,1))+SUMIFS('FUNDED DEALS 2027'!$AB$4:$AB$1226,'FUNDED DEALS 2027'!$Z$4:$Z$1226,$A17,'FUNDED DEALS 2027'!$C$4:$C$1226,"&gt;="&amp;DATE(2026,4,1),'FUNDED DEALS 2027'!$C$4:$C$1226,"&lt;"&amp;DATE(2026,5,1)))</f>
        <v>0</v>
      </c>
      <c r="C17" s="51" t="n">
        <f aca="false">IF($A17="","",SUMIFS('FUNDED DEALS'!$V$4:$V$1226,'FUNDED DEALS'!$T$4:$T$1226,$A17,'FUNDED DEALS'!$C$4:$C$1226,"&gt;="&amp;DATE(2026,5,1),'FUNDED DEALS'!$C$4:$C$1226,"&lt;"&amp;DATE(2026,6,1))+SUMIFS('FUNDED DEALS'!$Y$4:$Y$1226,'FUNDED DEALS'!$W$4:$W$1226,$A17,'FUNDED DEALS'!$C$4:$C$1226,"&gt;="&amp;DATE(2026,5,1),'FUNDED DEALS'!$C$4:$C$1226,"&lt;"&amp;DATE(2026,6,1))+SUMIFS('FUNDED DEALS'!$AB$4:$AB$1226,'FUNDED DEALS'!$Z$4:$Z$1226,$A17,'FUNDED DEALS'!$C$4:$C$1226,"&gt;="&amp;DATE(2026,5,1),'FUNDED DEALS'!$C$4:$C$1226,"&lt;"&amp;DATE(2026,6,1))+SUMIFS('FUNDED DEALS 2027'!$V$4:$V$1226,'FUNDED DEALS 2027'!$T$4:$T$1226,$A17,'FUNDED DEALS 2027'!$C$4:$C$1226,"&gt;="&amp;DATE(2026,5,1),'FUNDED DEALS 2027'!$C$4:$C$1226,"&lt;"&amp;DATE(2026,6,1))+SUMIFS('FUNDED DEALS 2027'!$Y$4:$Y$1226,'FUNDED DEALS 2027'!$W$4:$W$1226,$A17,'FUNDED DEALS 2027'!$C$4:$C$1226,"&gt;="&amp;DATE(2026,5,1),'FUNDED DEALS 2027'!$C$4:$C$1226,"&lt;"&amp;DATE(2026,6,1))+SUMIFS('FUNDED DEALS 2027'!$AB$4:$AB$1226,'FUNDED DEALS 2027'!$Z$4:$Z$1226,$A17,'FUNDED DEALS 2027'!$C$4:$C$1226,"&gt;="&amp;DATE(2026,5,1),'FUNDED DEALS 2027'!$C$4:$C$1226,"&lt;"&amp;DATE(2026,6,1)))</f>
        <v>0</v>
      </c>
      <c r="D17" s="51" t="n">
        <f aca="false">IF($A17="","",SUMIFS('FUNDED DEALS'!$V$4:$V$1226,'FUNDED DEALS'!$T$4:$T$1226,$A17,'FUNDED DEALS'!$C$4:$C$1226,"&gt;="&amp;DATE(2026,6,1),'FUNDED DEALS'!$C$4:$C$1226,"&lt;"&amp;DATE(2026,7,1))+SUMIFS('FUNDED DEALS'!$Y$4:$Y$1226,'FUNDED DEALS'!$W$4:$W$1226,$A17,'FUNDED DEALS'!$C$4:$C$1226,"&gt;="&amp;DATE(2026,6,1),'FUNDED DEALS'!$C$4:$C$1226,"&lt;"&amp;DATE(2026,7,1))+SUMIFS('FUNDED DEALS'!$AB$4:$AB$1226,'FUNDED DEALS'!$Z$4:$Z$1226,$A17,'FUNDED DEALS'!$C$4:$C$1226,"&gt;="&amp;DATE(2026,6,1),'FUNDED DEALS'!$C$4:$C$1226,"&lt;"&amp;DATE(2026,7,1))+SUMIFS('FUNDED DEALS 2027'!$V$4:$V$1226,'FUNDED DEALS 2027'!$T$4:$T$1226,$A17,'FUNDED DEALS 2027'!$C$4:$C$1226,"&gt;="&amp;DATE(2026,6,1),'FUNDED DEALS 2027'!$C$4:$C$1226,"&lt;"&amp;DATE(2026,7,1))+SUMIFS('FUNDED DEALS 2027'!$Y$4:$Y$1226,'FUNDED DEALS 2027'!$W$4:$W$1226,$A17,'FUNDED DEALS 2027'!$C$4:$C$1226,"&gt;="&amp;DATE(2026,6,1),'FUNDED DEALS 2027'!$C$4:$C$1226,"&lt;"&amp;DATE(2026,7,1))+SUMIFS('FUNDED DEALS 2027'!$AB$4:$AB$1226,'FUNDED DEALS 2027'!$Z$4:$Z$1226,$A17,'FUNDED DEALS 2027'!$C$4:$C$1226,"&gt;="&amp;DATE(2026,6,1),'FUNDED DEALS 2027'!$C$4:$C$1226,"&lt;"&amp;DATE(2026,7,1)))</f>
        <v>0</v>
      </c>
      <c r="E17" s="51" t="n">
        <f aca="false">IF($A17="","",SUMIFS('FUNDED DEALS'!$V$4:$V$1226,'FUNDED DEALS'!$T$4:$T$1226,$A17,'FUNDED DEALS'!$C$4:$C$1226,"&gt;="&amp;DATE(2026,7,1),'FUNDED DEALS'!$C$4:$C$1226,"&lt;"&amp;DATE(2026,8,1))+SUMIFS('FUNDED DEALS'!$Y$4:$Y$1226,'FUNDED DEALS'!$W$4:$W$1226,$A17,'FUNDED DEALS'!$C$4:$C$1226,"&gt;="&amp;DATE(2026,7,1),'FUNDED DEALS'!$C$4:$C$1226,"&lt;"&amp;DATE(2026,8,1))+SUMIFS('FUNDED DEALS'!$AB$4:$AB$1226,'FUNDED DEALS'!$Z$4:$Z$1226,$A17,'FUNDED DEALS'!$C$4:$C$1226,"&gt;="&amp;DATE(2026,7,1),'FUNDED DEALS'!$C$4:$C$1226,"&lt;"&amp;DATE(2026,8,1))+SUMIFS('FUNDED DEALS 2027'!$V$4:$V$1226,'FUNDED DEALS 2027'!$T$4:$T$1226,$A17,'FUNDED DEALS 2027'!$C$4:$C$1226,"&gt;="&amp;DATE(2026,7,1),'FUNDED DEALS 2027'!$C$4:$C$1226,"&lt;"&amp;DATE(2026,8,1))+SUMIFS('FUNDED DEALS 2027'!$Y$4:$Y$1226,'FUNDED DEALS 2027'!$W$4:$W$1226,$A17,'FUNDED DEALS 2027'!$C$4:$C$1226,"&gt;="&amp;DATE(2026,7,1),'FUNDED DEALS 2027'!$C$4:$C$1226,"&lt;"&amp;DATE(2026,8,1))+SUMIFS('FUNDED DEALS 2027'!$AB$4:$AB$1226,'FUNDED DEALS 2027'!$Z$4:$Z$1226,$A17,'FUNDED DEALS 2027'!$C$4:$C$1226,"&gt;="&amp;DATE(2026,7,1),'FUNDED DEALS 2027'!$C$4:$C$1226,"&lt;"&amp;DATE(2026,8,1)))</f>
        <v>0</v>
      </c>
      <c r="F17" s="51" t="n">
        <f aca="false">IF($A17="","",SUMIFS('FUNDED DEALS'!$V$4:$V$1226,'FUNDED DEALS'!$T$4:$T$1226,$A17,'FUNDED DEALS'!$C$4:$C$1226,"&gt;="&amp;DATE(2026,8,1),'FUNDED DEALS'!$C$4:$C$1226,"&lt;"&amp;DATE(2026,9,1))+SUMIFS('FUNDED DEALS'!$Y$4:$Y$1226,'FUNDED DEALS'!$W$4:$W$1226,$A17,'FUNDED DEALS'!$C$4:$C$1226,"&gt;="&amp;DATE(2026,8,1),'FUNDED DEALS'!$C$4:$C$1226,"&lt;"&amp;DATE(2026,9,1))+SUMIFS('FUNDED DEALS'!$AB$4:$AB$1226,'FUNDED DEALS'!$Z$4:$Z$1226,$A17,'FUNDED DEALS'!$C$4:$C$1226,"&gt;="&amp;DATE(2026,8,1),'FUNDED DEALS'!$C$4:$C$1226,"&lt;"&amp;DATE(2026,9,1))+SUMIFS('FUNDED DEALS 2027'!$V$4:$V$1226,'FUNDED DEALS 2027'!$T$4:$T$1226,$A17,'FUNDED DEALS 2027'!$C$4:$C$1226,"&gt;="&amp;DATE(2026,8,1),'FUNDED DEALS 2027'!$C$4:$C$1226,"&lt;"&amp;DATE(2026,9,1))+SUMIFS('FUNDED DEALS 2027'!$Y$4:$Y$1226,'FUNDED DEALS 2027'!$W$4:$W$1226,$A17,'FUNDED DEALS 2027'!$C$4:$C$1226,"&gt;="&amp;DATE(2026,8,1),'FUNDED DEALS 2027'!$C$4:$C$1226,"&lt;"&amp;DATE(2026,9,1))+SUMIFS('FUNDED DEALS 2027'!$AB$4:$AB$1226,'FUNDED DEALS 2027'!$Z$4:$Z$1226,$A17,'FUNDED DEALS 2027'!$C$4:$C$1226,"&gt;="&amp;DATE(2026,8,1),'FUNDED DEALS 2027'!$C$4:$C$1226,"&lt;"&amp;DATE(2026,9,1)))</f>
        <v>0</v>
      </c>
      <c r="G17" s="51" t="n">
        <f aca="false">IF($A17="","",SUMIFS('FUNDED DEALS'!$V$4:$V$1226,'FUNDED DEALS'!$T$4:$T$1226,$A17,'FUNDED DEALS'!$C$4:$C$1226,"&gt;="&amp;DATE(2026,9,1),'FUNDED DEALS'!$C$4:$C$1226,"&lt;"&amp;DATE(2026,10,1))+SUMIFS('FUNDED DEALS'!$Y$4:$Y$1226,'FUNDED DEALS'!$W$4:$W$1226,$A17,'FUNDED DEALS'!$C$4:$C$1226,"&gt;="&amp;DATE(2026,9,1),'FUNDED DEALS'!$C$4:$C$1226,"&lt;"&amp;DATE(2026,10,1))+SUMIFS('FUNDED DEALS'!$AB$4:$AB$1226,'FUNDED DEALS'!$Z$4:$Z$1226,$A17,'FUNDED DEALS'!$C$4:$C$1226,"&gt;="&amp;DATE(2026,9,1),'FUNDED DEALS'!$C$4:$C$1226,"&lt;"&amp;DATE(2026,10,1))+SUMIFS('FUNDED DEALS 2027'!$V$4:$V$1226,'FUNDED DEALS 2027'!$T$4:$T$1226,$A17,'FUNDED DEALS 2027'!$C$4:$C$1226,"&gt;="&amp;DATE(2026,9,1),'FUNDED DEALS 2027'!$C$4:$C$1226,"&lt;"&amp;DATE(2026,10,1))+SUMIFS('FUNDED DEALS 2027'!$Y$4:$Y$1226,'FUNDED DEALS 2027'!$W$4:$W$1226,$A17,'FUNDED DEALS 2027'!$C$4:$C$1226,"&gt;="&amp;DATE(2026,9,1),'FUNDED DEALS 2027'!$C$4:$C$1226,"&lt;"&amp;DATE(2026,10,1))+SUMIFS('FUNDED DEALS 2027'!$AB$4:$AB$1226,'FUNDED DEALS 2027'!$Z$4:$Z$1226,$A17,'FUNDED DEALS 2027'!$C$4:$C$1226,"&gt;="&amp;DATE(2026,9,1),'FUNDED DEALS 2027'!$C$4:$C$1226,"&lt;"&amp;DATE(2026,10,1)))</f>
        <v>0</v>
      </c>
      <c r="H17" s="51" t="n">
        <f aca="false">IF($A17="","",SUMIFS('FUNDED DEALS'!$V$4:$V$1226,'FUNDED DEALS'!$T$4:$T$1226,$A17,'FUNDED DEALS'!$C$4:$C$1226,"&gt;="&amp;DATE(2026,10,1),'FUNDED DEALS'!$C$4:$C$1226,"&lt;"&amp;DATE(2026,11,1))+SUMIFS('FUNDED DEALS'!$Y$4:$Y$1226,'FUNDED DEALS'!$W$4:$W$1226,$A17,'FUNDED DEALS'!$C$4:$C$1226,"&gt;="&amp;DATE(2026,10,1),'FUNDED DEALS'!$C$4:$C$1226,"&lt;"&amp;DATE(2026,11,1))+SUMIFS('FUNDED DEALS'!$AB$4:$AB$1226,'FUNDED DEALS'!$Z$4:$Z$1226,$A17,'FUNDED DEALS'!$C$4:$C$1226,"&gt;="&amp;DATE(2026,10,1),'FUNDED DEALS'!$C$4:$C$1226,"&lt;"&amp;DATE(2026,11,1))+SUMIFS('FUNDED DEALS 2027'!$V$4:$V$1226,'FUNDED DEALS 2027'!$T$4:$T$1226,$A17,'FUNDED DEALS 2027'!$C$4:$C$1226,"&gt;="&amp;DATE(2026,10,1),'FUNDED DEALS 2027'!$C$4:$C$1226,"&lt;"&amp;DATE(2026,11,1))+SUMIFS('FUNDED DEALS 2027'!$Y$4:$Y$1226,'FUNDED DEALS 2027'!$W$4:$W$1226,$A17,'FUNDED DEALS 2027'!$C$4:$C$1226,"&gt;="&amp;DATE(2026,10,1),'FUNDED DEALS 2027'!$C$4:$C$1226,"&lt;"&amp;DATE(2026,11,1))+SUMIFS('FUNDED DEALS 2027'!$AB$4:$AB$1226,'FUNDED DEALS 2027'!$Z$4:$Z$1226,$A17,'FUNDED DEALS 2027'!$C$4:$C$1226,"&gt;="&amp;DATE(2026,10,1),'FUNDED DEALS 2027'!$C$4:$C$1226,"&lt;"&amp;DATE(2026,11,1)))</f>
        <v>0</v>
      </c>
      <c r="I17" s="51" t="n">
        <f aca="false">IF($A17="","",SUMIFS('FUNDED DEALS'!$V$4:$V$1226,'FUNDED DEALS'!$T$4:$T$1226,$A17,'FUNDED DEALS'!$C$4:$C$1226,"&gt;="&amp;DATE(2026,11,1),'FUNDED DEALS'!$C$4:$C$1226,"&lt;"&amp;DATE(2026,12,1))+SUMIFS('FUNDED DEALS'!$Y$4:$Y$1226,'FUNDED DEALS'!$W$4:$W$1226,$A17,'FUNDED DEALS'!$C$4:$C$1226,"&gt;="&amp;DATE(2026,11,1),'FUNDED DEALS'!$C$4:$C$1226,"&lt;"&amp;DATE(2026,12,1))+SUMIFS('FUNDED DEALS'!$AB$4:$AB$1226,'FUNDED DEALS'!$Z$4:$Z$1226,$A17,'FUNDED DEALS'!$C$4:$C$1226,"&gt;="&amp;DATE(2026,11,1),'FUNDED DEALS'!$C$4:$C$1226,"&lt;"&amp;DATE(2026,12,1))+SUMIFS('FUNDED DEALS 2027'!$V$4:$V$1226,'FUNDED DEALS 2027'!$T$4:$T$1226,$A17,'FUNDED DEALS 2027'!$C$4:$C$1226,"&gt;="&amp;DATE(2026,11,1),'FUNDED DEALS 2027'!$C$4:$C$1226,"&lt;"&amp;DATE(2026,12,1))+SUMIFS('FUNDED DEALS 2027'!$Y$4:$Y$1226,'FUNDED DEALS 2027'!$W$4:$W$1226,$A17,'FUNDED DEALS 2027'!$C$4:$C$1226,"&gt;="&amp;DATE(2026,11,1),'FUNDED DEALS 2027'!$C$4:$C$1226,"&lt;"&amp;DATE(2026,12,1))+SUMIFS('FUNDED DEALS 2027'!$AB$4:$AB$1226,'FUNDED DEALS 2027'!$Z$4:$Z$1226,$A17,'FUNDED DEALS 2027'!$C$4:$C$1226,"&gt;="&amp;DATE(2026,11,1),'FUNDED DEALS 2027'!$C$4:$C$1226,"&lt;"&amp;DATE(2026,12,1)))</f>
        <v>0</v>
      </c>
      <c r="J17" s="51" t="n">
        <f aca="false">IF($A17="","",SUMIFS('FUNDED DEALS'!$V$4:$V$1226,'FUNDED DEALS'!$T$4:$T$1226,$A17,'FUNDED DEALS'!$C$4:$C$1226,"&gt;="&amp;DATE(2026,12,1),'FUNDED DEALS'!$C$4:$C$1226,"&lt;"&amp;DATE(2027,1,1))+SUMIFS('FUNDED DEALS'!$Y$4:$Y$1226,'FUNDED DEALS'!$W$4:$W$1226,$A17,'FUNDED DEALS'!$C$4:$C$1226,"&gt;="&amp;DATE(2026,12,1),'FUNDED DEALS'!$C$4:$C$1226,"&lt;"&amp;DATE(2027,1,1))+SUMIFS('FUNDED DEALS'!$AB$4:$AB$1226,'FUNDED DEALS'!$Z$4:$Z$1226,$A17,'FUNDED DEALS'!$C$4:$C$1226,"&gt;="&amp;DATE(2026,12,1),'FUNDED DEALS'!$C$4:$C$1226,"&lt;"&amp;DATE(2027,1,1))+SUMIFS('FUNDED DEALS 2027'!$V$4:$V$1226,'FUNDED DEALS 2027'!$T$4:$T$1226,$A17,'FUNDED DEALS 2027'!$C$4:$C$1226,"&gt;="&amp;DATE(2026,12,1),'FUNDED DEALS 2027'!$C$4:$C$1226,"&lt;"&amp;DATE(2027,1,1))+SUMIFS('FUNDED DEALS 2027'!$Y$4:$Y$1226,'FUNDED DEALS 2027'!$W$4:$W$1226,$A17,'FUNDED DEALS 2027'!$C$4:$C$1226,"&gt;="&amp;DATE(2026,12,1),'FUNDED DEALS 2027'!$C$4:$C$1226,"&lt;"&amp;DATE(2027,1,1))+SUMIFS('FUNDED DEALS 2027'!$AB$4:$AB$1226,'FUNDED DEALS 2027'!$Z$4:$Z$1226,$A17,'FUNDED DEALS 2027'!$C$4:$C$1226,"&gt;="&amp;DATE(2026,12,1),'FUNDED DEALS 2027'!$C$4:$C$1226,"&lt;"&amp;DATE(2027,1,1)))</f>
        <v>0</v>
      </c>
      <c r="K17" s="51" t="n">
        <f aca="false">IF($A17="","",SUMIFS('FUNDED DEALS'!$V$4:$V$1226,'FUNDED DEALS'!$T$4:$T$1226,$A17,'FUNDED DEALS'!$C$4:$C$1226,"&gt;="&amp;DATE(2027,1,1),'FUNDED DEALS'!$C$4:$C$1226,"&lt;"&amp;DATE(2027,2,1))+SUMIFS('FUNDED DEALS'!$Y$4:$Y$1226,'FUNDED DEALS'!$W$4:$W$1226,$A17,'FUNDED DEALS'!$C$4:$C$1226,"&gt;="&amp;DATE(2027,1,1),'FUNDED DEALS'!$C$4:$C$1226,"&lt;"&amp;DATE(2027,2,1))+SUMIFS('FUNDED DEALS'!$AB$4:$AB$1226,'FUNDED DEALS'!$Z$4:$Z$1226,$A17,'FUNDED DEALS'!$C$4:$C$1226,"&gt;="&amp;DATE(2027,1,1),'FUNDED DEALS'!$C$4:$C$1226,"&lt;"&amp;DATE(2027,2,1))+SUMIFS('FUNDED DEALS 2027'!$V$4:$V$1226,'FUNDED DEALS 2027'!$T$4:$T$1226,$A17,'FUNDED DEALS 2027'!$C$4:$C$1226,"&gt;="&amp;DATE(2027,1,1),'FUNDED DEALS 2027'!$C$4:$C$1226,"&lt;"&amp;DATE(2027,2,1))+SUMIFS('FUNDED DEALS 2027'!$Y$4:$Y$1226,'FUNDED DEALS 2027'!$W$4:$W$1226,$A17,'FUNDED DEALS 2027'!$C$4:$C$1226,"&gt;="&amp;DATE(2027,1,1),'FUNDED DEALS 2027'!$C$4:$C$1226,"&lt;"&amp;DATE(2027,2,1))+SUMIFS('FUNDED DEALS 2027'!$AB$4:$AB$1226,'FUNDED DEALS 2027'!$Z$4:$Z$1226,$A17,'FUNDED DEALS 2027'!$C$4:$C$1226,"&gt;="&amp;DATE(2027,1,1),'FUNDED DEALS 2027'!$C$4:$C$1226,"&lt;"&amp;DATE(2027,2,1)))</f>
        <v>0</v>
      </c>
      <c r="L17" s="51" t="n">
        <f aca="false">IF($A17="","",SUMIFS('FUNDED DEALS'!$V$4:$V$1226,'FUNDED DEALS'!$T$4:$T$1226,$A17,'FUNDED DEALS'!$C$4:$C$1226,"&gt;="&amp;DATE(2027,2,1),'FUNDED DEALS'!$C$4:$C$1226,"&lt;"&amp;DATE(2027,3,1))+SUMIFS('FUNDED DEALS'!$Y$4:$Y$1226,'FUNDED DEALS'!$W$4:$W$1226,$A17,'FUNDED DEALS'!$C$4:$C$1226,"&gt;="&amp;DATE(2027,2,1),'FUNDED DEALS'!$C$4:$C$1226,"&lt;"&amp;DATE(2027,3,1))+SUMIFS('FUNDED DEALS'!$AB$4:$AB$1226,'FUNDED DEALS'!$Z$4:$Z$1226,$A17,'FUNDED DEALS'!$C$4:$C$1226,"&gt;="&amp;DATE(2027,2,1),'FUNDED DEALS'!$C$4:$C$1226,"&lt;"&amp;DATE(2027,3,1))+SUMIFS('FUNDED DEALS 2027'!$V$4:$V$1226,'FUNDED DEALS 2027'!$T$4:$T$1226,$A17,'FUNDED DEALS 2027'!$C$4:$C$1226,"&gt;="&amp;DATE(2027,2,1),'FUNDED DEALS 2027'!$C$4:$C$1226,"&lt;"&amp;DATE(2027,3,1))+SUMIFS('FUNDED DEALS 2027'!$Y$4:$Y$1226,'FUNDED DEALS 2027'!$W$4:$W$1226,$A17,'FUNDED DEALS 2027'!$C$4:$C$1226,"&gt;="&amp;DATE(2027,2,1),'FUNDED DEALS 2027'!$C$4:$C$1226,"&lt;"&amp;DATE(2027,3,1))+SUMIFS('FUNDED DEALS 2027'!$AB$4:$AB$1226,'FUNDED DEALS 2027'!$Z$4:$Z$1226,$A17,'FUNDED DEALS 2027'!$C$4:$C$1226,"&gt;="&amp;DATE(2027,2,1),'FUNDED DEALS 2027'!$C$4:$C$1226,"&lt;"&amp;DATE(2027,3,1)))</f>
        <v>0</v>
      </c>
      <c r="M17" s="51" t="n">
        <f aca="false">IF($A17="","",SUMIFS('FUNDED DEALS'!$V$4:$V$1226,'FUNDED DEALS'!$T$4:$T$1226,$A17,'FUNDED DEALS'!$C$4:$C$1226,"&gt;="&amp;DATE(2027,3,1),'FUNDED DEALS'!$C$4:$C$1226,"&lt;"&amp;DATE(2027,4,1))+SUMIFS('FUNDED DEALS'!$Y$4:$Y$1226,'FUNDED DEALS'!$W$4:$W$1226,$A17,'FUNDED DEALS'!$C$4:$C$1226,"&gt;="&amp;DATE(2027,3,1),'FUNDED DEALS'!$C$4:$C$1226,"&lt;"&amp;DATE(2027,4,1))+SUMIFS('FUNDED DEALS'!$AB$4:$AB$1226,'FUNDED DEALS'!$Z$4:$Z$1226,$A17,'FUNDED DEALS'!$C$4:$C$1226,"&gt;="&amp;DATE(2027,3,1),'FUNDED DEALS'!$C$4:$C$1226,"&lt;"&amp;DATE(2027,4,1))+SUMIFS('FUNDED DEALS 2027'!$V$4:$V$1226,'FUNDED DEALS 2027'!$T$4:$T$1226,$A17,'FUNDED DEALS 2027'!$C$4:$C$1226,"&gt;="&amp;DATE(2027,3,1),'FUNDED DEALS 2027'!$C$4:$C$1226,"&lt;"&amp;DATE(2027,4,1))+SUMIFS('FUNDED DEALS 2027'!$Y$4:$Y$1226,'FUNDED DEALS 2027'!$W$4:$W$1226,$A17,'FUNDED DEALS 2027'!$C$4:$C$1226,"&gt;="&amp;DATE(2027,3,1),'FUNDED DEALS 2027'!$C$4:$C$1226,"&lt;"&amp;DATE(2027,4,1))+SUMIFS('FUNDED DEALS 2027'!$AB$4:$AB$1226,'FUNDED DEALS 2027'!$Z$4:$Z$1226,$A17,'FUNDED DEALS 2027'!$C$4:$C$1226,"&gt;="&amp;DATE(2027,3,1),'FUNDED DEALS 2027'!$C$4:$C$1226,"&lt;"&amp;DATE(2027,4,1)))</f>
        <v>0</v>
      </c>
      <c r="N17" s="51" t="n">
        <f aca="false">IF($A17="","",SUMIFS('FUNDED DEALS'!$V$4:$V$1226,'FUNDED DEALS'!$T$4:$T$1226,$A17,'FUNDED DEALS'!$C$4:$C$1226,"&gt;="&amp;DATE(2027,4,1),'FUNDED DEALS'!$C$4:$C$1226,"&lt;"&amp;DATE(2027,5,1))+SUMIFS('FUNDED DEALS'!$Y$4:$Y$1226,'FUNDED DEALS'!$W$4:$W$1226,$A17,'FUNDED DEALS'!$C$4:$C$1226,"&gt;="&amp;DATE(2027,4,1),'FUNDED DEALS'!$C$4:$C$1226,"&lt;"&amp;DATE(2027,5,1))+SUMIFS('FUNDED DEALS'!$AB$4:$AB$1226,'FUNDED DEALS'!$Z$4:$Z$1226,$A17,'FUNDED DEALS'!$C$4:$C$1226,"&gt;="&amp;DATE(2027,4,1),'FUNDED DEALS'!$C$4:$C$1226,"&lt;"&amp;DATE(2027,5,1))+SUMIFS('FUNDED DEALS 2027'!$V$4:$V$1226,'FUNDED DEALS 2027'!$T$4:$T$1226,$A17,'FUNDED DEALS 2027'!$C$4:$C$1226,"&gt;="&amp;DATE(2027,4,1),'FUNDED DEALS 2027'!$C$4:$C$1226,"&lt;"&amp;DATE(2027,5,1))+SUMIFS('FUNDED DEALS 2027'!$Y$4:$Y$1226,'FUNDED DEALS 2027'!$W$4:$W$1226,$A17,'FUNDED DEALS 2027'!$C$4:$C$1226,"&gt;="&amp;DATE(2027,4,1),'FUNDED DEALS 2027'!$C$4:$C$1226,"&lt;"&amp;DATE(2027,5,1))+SUMIFS('FUNDED DEALS 2027'!$AB$4:$AB$1226,'FUNDED DEALS 2027'!$Z$4:$Z$1226,$A17,'FUNDED DEALS 2027'!$C$4:$C$1226,"&gt;="&amp;DATE(2027,4,1),'FUNDED DEALS 2027'!$C$4:$C$1226,"&lt;"&amp;DATE(2027,5,1)))</f>
        <v>0</v>
      </c>
      <c r="O17" s="51" t="n">
        <f aca="false">IF($A17="","",SUMIFS('FUNDED DEALS'!$V$4:$V$1226,'FUNDED DEALS'!$T$4:$T$1226,$A17,'FUNDED DEALS'!$C$4:$C$1226,"&gt;="&amp;DATE(2027,5,1),'FUNDED DEALS'!$C$4:$C$1226,"&lt;"&amp;DATE(2027,6,1))+SUMIFS('FUNDED DEALS'!$Y$4:$Y$1226,'FUNDED DEALS'!$W$4:$W$1226,$A17,'FUNDED DEALS'!$C$4:$C$1226,"&gt;="&amp;DATE(2027,5,1),'FUNDED DEALS'!$C$4:$C$1226,"&lt;"&amp;DATE(2027,6,1))+SUMIFS('FUNDED DEALS'!$AB$4:$AB$1226,'FUNDED DEALS'!$Z$4:$Z$1226,$A17,'FUNDED DEALS'!$C$4:$C$1226,"&gt;="&amp;DATE(2027,5,1),'FUNDED DEALS'!$C$4:$C$1226,"&lt;"&amp;DATE(2027,6,1))+SUMIFS('FUNDED DEALS 2027'!$V$4:$V$1226,'FUNDED DEALS 2027'!$T$4:$T$1226,$A17,'FUNDED DEALS 2027'!$C$4:$C$1226,"&gt;="&amp;DATE(2027,5,1),'FUNDED DEALS 2027'!$C$4:$C$1226,"&lt;"&amp;DATE(2027,6,1))+SUMIFS('FUNDED DEALS 2027'!$Y$4:$Y$1226,'FUNDED DEALS 2027'!$W$4:$W$1226,$A17,'FUNDED DEALS 2027'!$C$4:$C$1226,"&gt;="&amp;DATE(2027,5,1),'FUNDED DEALS 2027'!$C$4:$C$1226,"&lt;"&amp;DATE(2027,6,1))+SUMIFS('FUNDED DEALS 2027'!$AB$4:$AB$1226,'FUNDED DEALS 2027'!$Z$4:$Z$1226,$A17,'FUNDED DEALS 2027'!$C$4:$C$1226,"&gt;="&amp;DATE(2027,5,1),'FUNDED DEALS 2027'!$C$4:$C$1226,"&lt;"&amp;DATE(2027,6,1)))</f>
        <v>0</v>
      </c>
      <c r="P17" s="51" t="n">
        <f aca="false">IF($A17="","",SUMIFS('FUNDED DEALS'!$V$4:$V$1226,'FUNDED DEALS'!$T$4:$T$1226,$A17,'FUNDED DEALS'!$C$4:$C$1226,"&gt;="&amp;DATE(2027,6,1),'FUNDED DEALS'!$C$4:$C$1226,"&lt;"&amp;DATE(2027,7,1))+SUMIFS('FUNDED DEALS'!$Y$4:$Y$1226,'FUNDED DEALS'!$W$4:$W$1226,$A17,'FUNDED DEALS'!$C$4:$C$1226,"&gt;="&amp;DATE(2027,6,1),'FUNDED DEALS'!$C$4:$C$1226,"&lt;"&amp;DATE(2027,7,1))+SUMIFS('FUNDED DEALS'!$AB$4:$AB$1226,'FUNDED DEALS'!$Z$4:$Z$1226,$A17,'FUNDED DEALS'!$C$4:$C$1226,"&gt;="&amp;DATE(2027,6,1),'FUNDED DEALS'!$C$4:$C$1226,"&lt;"&amp;DATE(2027,7,1))+SUMIFS('FUNDED DEALS 2027'!$V$4:$V$1226,'FUNDED DEALS 2027'!$T$4:$T$1226,$A17,'FUNDED DEALS 2027'!$C$4:$C$1226,"&gt;="&amp;DATE(2027,6,1),'FUNDED DEALS 2027'!$C$4:$C$1226,"&lt;"&amp;DATE(2027,7,1))+SUMIFS('FUNDED DEALS 2027'!$Y$4:$Y$1226,'FUNDED DEALS 2027'!$W$4:$W$1226,$A17,'FUNDED DEALS 2027'!$C$4:$C$1226,"&gt;="&amp;DATE(2027,6,1),'FUNDED DEALS 2027'!$C$4:$C$1226,"&lt;"&amp;DATE(2027,7,1))+SUMIFS('FUNDED DEALS 2027'!$AB$4:$AB$1226,'FUNDED DEALS 2027'!$Z$4:$Z$1226,$A17,'FUNDED DEALS 2027'!$C$4:$C$1226,"&gt;="&amp;DATE(2027,6,1),'FUNDED DEALS 2027'!$C$4:$C$1226,"&lt;"&amp;DATE(2027,7,1)))</f>
        <v>0</v>
      </c>
      <c r="Q17" s="51" t="n">
        <f aca="false">IF($A17="","",SUMIFS('FUNDED DEALS'!$V$4:$V$1226,'FUNDED DEALS'!$T$4:$T$1226,$A17,'FUNDED DEALS'!$C$4:$C$1226,"&gt;="&amp;DATE(2027,7,1),'FUNDED DEALS'!$C$4:$C$1226,"&lt;"&amp;DATE(2027,8,1))+SUMIFS('FUNDED DEALS'!$Y$4:$Y$1226,'FUNDED DEALS'!$W$4:$W$1226,$A17,'FUNDED DEALS'!$C$4:$C$1226,"&gt;="&amp;DATE(2027,7,1),'FUNDED DEALS'!$C$4:$C$1226,"&lt;"&amp;DATE(2027,8,1))+SUMIFS('FUNDED DEALS'!$AB$4:$AB$1226,'FUNDED DEALS'!$Z$4:$Z$1226,$A17,'FUNDED DEALS'!$C$4:$C$1226,"&gt;="&amp;DATE(2027,7,1),'FUNDED DEALS'!$C$4:$C$1226,"&lt;"&amp;DATE(2027,8,1))+SUMIFS('FUNDED DEALS 2027'!$V$4:$V$1226,'FUNDED DEALS 2027'!$T$4:$T$1226,$A17,'FUNDED DEALS 2027'!$C$4:$C$1226,"&gt;="&amp;DATE(2027,7,1),'FUNDED DEALS 2027'!$C$4:$C$1226,"&lt;"&amp;DATE(2027,8,1))+SUMIFS('FUNDED DEALS 2027'!$Y$4:$Y$1226,'FUNDED DEALS 2027'!$W$4:$W$1226,$A17,'FUNDED DEALS 2027'!$C$4:$C$1226,"&gt;="&amp;DATE(2027,7,1),'FUNDED DEALS 2027'!$C$4:$C$1226,"&lt;"&amp;DATE(2027,8,1))+SUMIFS('FUNDED DEALS 2027'!$AB$4:$AB$1226,'FUNDED DEALS 2027'!$Z$4:$Z$1226,$A17,'FUNDED DEALS 2027'!$C$4:$C$1226,"&gt;="&amp;DATE(2027,7,1),'FUNDED DEALS 2027'!$C$4:$C$1226,"&lt;"&amp;DATE(2027,8,1)))</f>
        <v>0</v>
      </c>
      <c r="R17" s="51" t="n">
        <f aca="false">IF($A17="","",SUMIFS('FUNDED DEALS'!$V$4:$V$1226,'FUNDED DEALS'!$T$4:$T$1226,$A17,'FUNDED DEALS'!$C$4:$C$1226,"&gt;="&amp;DATE(2027,8,1),'FUNDED DEALS'!$C$4:$C$1226,"&lt;"&amp;DATE(2027,9,1))+SUMIFS('FUNDED DEALS'!$Y$4:$Y$1226,'FUNDED DEALS'!$W$4:$W$1226,$A17,'FUNDED DEALS'!$C$4:$C$1226,"&gt;="&amp;DATE(2027,8,1),'FUNDED DEALS'!$C$4:$C$1226,"&lt;"&amp;DATE(2027,9,1))+SUMIFS('FUNDED DEALS'!$AB$4:$AB$1226,'FUNDED DEALS'!$Z$4:$Z$1226,$A17,'FUNDED DEALS'!$C$4:$C$1226,"&gt;="&amp;DATE(2027,8,1),'FUNDED DEALS'!$C$4:$C$1226,"&lt;"&amp;DATE(2027,9,1))+SUMIFS('FUNDED DEALS 2027'!$V$4:$V$1226,'FUNDED DEALS 2027'!$T$4:$T$1226,$A17,'FUNDED DEALS 2027'!$C$4:$C$1226,"&gt;="&amp;DATE(2027,8,1),'FUNDED DEALS 2027'!$C$4:$C$1226,"&lt;"&amp;DATE(2027,9,1))+SUMIFS('FUNDED DEALS 2027'!$Y$4:$Y$1226,'FUNDED DEALS 2027'!$W$4:$W$1226,$A17,'FUNDED DEALS 2027'!$C$4:$C$1226,"&gt;="&amp;DATE(2027,8,1),'FUNDED DEALS 2027'!$C$4:$C$1226,"&lt;"&amp;DATE(2027,9,1))+SUMIFS('FUNDED DEALS 2027'!$AB$4:$AB$1226,'FUNDED DEALS 2027'!$Z$4:$Z$1226,$A17,'FUNDED DEALS 2027'!$C$4:$C$1226,"&gt;="&amp;DATE(2027,8,1),'FUNDED DEALS 2027'!$C$4:$C$1226,"&lt;"&amp;DATE(2027,9,1)))</f>
        <v>0</v>
      </c>
      <c r="S17" s="51" t="n">
        <f aca="false">IF($A17="","",SUMIFS('FUNDED DEALS'!$V$4:$V$1226,'FUNDED DEALS'!$T$4:$T$1226,$A17,'FUNDED DEALS'!$C$4:$C$1226,"&gt;="&amp;DATE(2027,9,1),'FUNDED DEALS'!$C$4:$C$1226,"&lt;"&amp;DATE(2027,10,1))+SUMIFS('FUNDED DEALS'!$Y$4:$Y$1226,'FUNDED DEALS'!$W$4:$W$1226,$A17,'FUNDED DEALS'!$C$4:$C$1226,"&gt;="&amp;DATE(2027,9,1),'FUNDED DEALS'!$C$4:$C$1226,"&lt;"&amp;DATE(2027,10,1))+SUMIFS('FUNDED DEALS'!$AB$4:$AB$1226,'FUNDED DEALS'!$Z$4:$Z$1226,$A17,'FUNDED DEALS'!$C$4:$C$1226,"&gt;="&amp;DATE(2027,9,1),'FUNDED DEALS'!$C$4:$C$1226,"&lt;"&amp;DATE(2027,10,1))+SUMIFS('FUNDED DEALS 2027'!$V$4:$V$1226,'FUNDED DEALS 2027'!$T$4:$T$1226,$A17,'FUNDED DEALS 2027'!$C$4:$C$1226,"&gt;="&amp;DATE(2027,9,1),'FUNDED DEALS 2027'!$C$4:$C$1226,"&lt;"&amp;DATE(2027,10,1))+SUMIFS('FUNDED DEALS 2027'!$Y$4:$Y$1226,'FUNDED DEALS 2027'!$W$4:$W$1226,$A17,'FUNDED DEALS 2027'!$C$4:$C$1226,"&gt;="&amp;DATE(2027,9,1),'FUNDED DEALS 2027'!$C$4:$C$1226,"&lt;"&amp;DATE(2027,10,1))+SUMIFS('FUNDED DEALS 2027'!$AB$4:$AB$1226,'FUNDED DEALS 2027'!$Z$4:$Z$1226,$A17,'FUNDED DEALS 2027'!$C$4:$C$1226,"&gt;="&amp;DATE(2027,9,1),'FUNDED DEALS 2027'!$C$4:$C$1226,"&lt;"&amp;DATE(2027,10,1)))</f>
        <v>0</v>
      </c>
      <c r="T17" s="51" t="n">
        <f aca="false">IF($A17="","",SUMIFS('FUNDED DEALS'!$V$4:$V$1226,'FUNDED DEALS'!$T$4:$T$1226,$A17,'FUNDED DEALS'!$C$4:$C$1226,"&gt;="&amp;DATE(2027,10,1),'FUNDED DEALS'!$C$4:$C$1226,"&lt;"&amp;DATE(2027,11,1))+SUMIFS('FUNDED DEALS'!$Y$4:$Y$1226,'FUNDED DEALS'!$W$4:$W$1226,$A17,'FUNDED DEALS'!$C$4:$C$1226,"&gt;="&amp;DATE(2027,10,1),'FUNDED DEALS'!$C$4:$C$1226,"&lt;"&amp;DATE(2027,11,1))+SUMIFS('FUNDED DEALS'!$AB$4:$AB$1226,'FUNDED DEALS'!$Z$4:$Z$1226,$A17,'FUNDED DEALS'!$C$4:$C$1226,"&gt;="&amp;DATE(2027,10,1),'FUNDED DEALS'!$C$4:$C$1226,"&lt;"&amp;DATE(2027,11,1))+SUMIFS('FUNDED DEALS 2027'!$V$4:$V$1226,'FUNDED DEALS 2027'!$T$4:$T$1226,$A17,'FUNDED DEALS 2027'!$C$4:$C$1226,"&gt;="&amp;DATE(2027,10,1),'FUNDED DEALS 2027'!$C$4:$C$1226,"&lt;"&amp;DATE(2027,11,1))+SUMIFS('FUNDED DEALS 2027'!$Y$4:$Y$1226,'FUNDED DEALS 2027'!$W$4:$W$1226,$A17,'FUNDED DEALS 2027'!$C$4:$C$1226,"&gt;="&amp;DATE(2027,10,1),'FUNDED DEALS 2027'!$C$4:$C$1226,"&lt;"&amp;DATE(2027,11,1))+SUMIFS('FUNDED DEALS 2027'!$AB$4:$AB$1226,'FUNDED DEALS 2027'!$Z$4:$Z$1226,$A17,'FUNDED DEALS 2027'!$C$4:$C$1226,"&gt;="&amp;DATE(2027,10,1),'FUNDED DEALS 2027'!$C$4:$C$1226,"&lt;"&amp;DATE(2027,11,1)))</f>
        <v>0</v>
      </c>
      <c r="U17" s="51" t="n">
        <f aca="false">IF($A17="","",SUMIFS('FUNDED DEALS'!$V$4:$V$1226,'FUNDED DEALS'!$T$4:$T$1226,$A17,'FUNDED DEALS'!$C$4:$C$1226,"&gt;="&amp;DATE(2027,11,1),'FUNDED DEALS'!$C$4:$C$1226,"&lt;"&amp;DATE(2027,12,1))+SUMIFS('FUNDED DEALS'!$Y$4:$Y$1226,'FUNDED DEALS'!$W$4:$W$1226,$A17,'FUNDED DEALS'!$C$4:$C$1226,"&gt;="&amp;DATE(2027,11,1),'FUNDED DEALS'!$C$4:$C$1226,"&lt;"&amp;DATE(2027,12,1))+SUMIFS('FUNDED DEALS'!$AB$4:$AB$1226,'FUNDED DEALS'!$Z$4:$Z$1226,$A17,'FUNDED DEALS'!$C$4:$C$1226,"&gt;="&amp;DATE(2027,11,1),'FUNDED DEALS'!$C$4:$C$1226,"&lt;"&amp;DATE(2027,12,1))+SUMIFS('FUNDED DEALS 2027'!$V$4:$V$1226,'FUNDED DEALS 2027'!$T$4:$T$1226,$A17,'FUNDED DEALS 2027'!$C$4:$C$1226,"&gt;="&amp;DATE(2027,11,1),'FUNDED DEALS 2027'!$C$4:$C$1226,"&lt;"&amp;DATE(2027,12,1))+SUMIFS('FUNDED DEALS 2027'!$Y$4:$Y$1226,'FUNDED DEALS 2027'!$W$4:$W$1226,$A17,'FUNDED DEALS 2027'!$C$4:$C$1226,"&gt;="&amp;DATE(2027,11,1),'FUNDED DEALS 2027'!$C$4:$C$1226,"&lt;"&amp;DATE(2027,12,1))+SUMIFS('FUNDED DEALS 2027'!$AB$4:$AB$1226,'FUNDED DEALS 2027'!$Z$4:$Z$1226,$A17,'FUNDED DEALS 2027'!$C$4:$C$1226,"&gt;="&amp;DATE(2027,11,1),'FUNDED DEALS 2027'!$C$4:$C$1226,"&lt;"&amp;DATE(2027,12,1)))</f>
        <v>0</v>
      </c>
      <c r="V17" s="51" t="n">
        <f aca="false">IF($A17="","",SUMIFS('FUNDED DEALS'!$V$4:$V$1226,'FUNDED DEALS'!$T$4:$T$1226,$A17,'FUNDED DEALS'!$C$4:$C$1226,"&gt;="&amp;DATE(2027,12,1),'FUNDED DEALS'!$C$4:$C$1226,"&lt;"&amp;DATE(2028,1,1))+SUMIFS('FUNDED DEALS'!$Y$4:$Y$1226,'FUNDED DEALS'!$W$4:$W$1226,$A17,'FUNDED DEALS'!$C$4:$C$1226,"&gt;="&amp;DATE(2027,12,1),'FUNDED DEALS'!$C$4:$C$1226,"&lt;"&amp;DATE(2028,1,1))+SUMIFS('FUNDED DEALS'!$AB$4:$AB$1226,'FUNDED DEALS'!$Z$4:$Z$1226,$A17,'FUNDED DEALS'!$C$4:$C$1226,"&gt;="&amp;DATE(2027,12,1),'FUNDED DEALS'!$C$4:$C$1226,"&lt;"&amp;DATE(2028,1,1))+SUMIFS('FUNDED DEALS 2027'!$V$4:$V$1226,'FUNDED DEALS 2027'!$T$4:$T$1226,$A17,'FUNDED DEALS 2027'!$C$4:$C$1226,"&gt;="&amp;DATE(2027,12,1),'FUNDED DEALS 2027'!$C$4:$C$1226,"&lt;"&amp;DATE(2028,1,1))+SUMIFS('FUNDED DEALS 2027'!$Y$4:$Y$1226,'FUNDED DEALS 2027'!$W$4:$W$1226,$A17,'FUNDED DEALS 2027'!$C$4:$C$1226,"&gt;="&amp;DATE(2027,12,1),'FUNDED DEALS 2027'!$C$4:$C$1226,"&lt;"&amp;DATE(2028,1,1))+SUMIFS('FUNDED DEALS 2027'!$AB$4:$AB$1226,'FUNDED DEALS 2027'!$Z$4:$Z$1226,$A17,'FUNDED DEALS 2027'!$C$4:$C$1226,"&gt;="&amp;DATE(2027,12,1),'FUNDED DEALS 2027'!$C$4:$C$1226,"&lt;"&amp;DATE(2028,1,1)))</f>
        <v>0</v>
      </c>
      <c r="W17" s="58" t="n">
        <f aca="false">IF($A17="","",SUM(B17:V17))</f>
        <v>0</v>
      </c>
    </row>
    <row r="18" customFormat="false" ht="15" hidden="false" customHeight="false" outlineLevel="0" collapsed="false">
      <c r="A18" s="47" t="str">
        <f aca="false">IF(REPS!A16="","",REPS!A16)</f>
        <v>Noah Levine</v>
      </c>
      <c r="B18" s="48" t="n">
        <f aca="false">IF($A18="","",SUMIFS('FUNDED DEALS'!$V$4:$V$1226,'FUNDED DEALS'!$T$4:$T$1226,$A18,'FUNDED DEALS'!$C$4:$C$1226,"&gt;="&amp;DATE(2026,4,1),'FUNDED DEALS'!$C$4:$C$1226,"&lt;"&amp;DATE(2026,5,1))+SUMIFS('FUNDED DEALS'!$Y$4:$Y$1226,'FUNDED DEALS'!$W$4:$W$1226,$A18,'FUNDED DEALS'!$C$4:$C$1226,"&gt;="&amp;DATE(2026,4,1),'FUNDED DEALS'!$C$4:$C$1226,"&lt;"&amp;DATE(2026,5,1))+SUMIFS('FUNDED DEALS'!$AB$4:$AB$1226,'FUNDED DEALS'!$Z$4:$Z$1226,$A18,'FUNDED DEALS'!$C$4:$C$1226,"&gt;="&amp;DATE(2026,4,1),'FUNDED DEALS'!$C$4:$C$1226,"&lt;"&amp;DATE(2026,5,1))+SUMIFS('FUNDED DEALS 2027'!$V$4:$V$1226,'FUNDED DEALS 2027'!$T$4:$T$1226,$A18,'FUNDED DEALS 2027'!$C$4:$C$1226,"&gt;="&amp;DATE(2026,4,1),'FUNDED DEALS 2027'!$C$4:$C$1226,"&lt;"&amp;DATE(2026,5,1))+SUMIFS('FUNDED DEALS 2027'!$Y$4:$Y$1226,'FUNDED DEALS 2027'!$W$4:$W$1226,$A18,'FUNDED DEALS 2027'!$C$4:$C$1226,"&gt;="&amp;DATE(2026,4,1),'FUNDED DEALS 2027'!$C$4:$C$1226,"&lt;"&amp;DATE(2026,5,1))+SUMIFS('FUNDED DEALS 2027'!$AB$4:$AB$1226,'FUNDED DEALS 2027'!$Z$4:$Z$1226,$A18,'FUNDED DEALS 2027'!$C$4:$C$1226,"&gt;="&amp;DATE(2026,4,1),'FUNDED DEALS 2027'!$C$4:$C$1226,"&lt;"&amp;DATE(2026,5,1)))</f>
        <v>0</v>
      </c>
      <c r="C18" s="48" t="n">
        <f aca="false">IF($A18="","",SUMIFS('FUNDED DEALS'!$V$4:$V$1226,'FUNDED DEALS'!$T$4:$T$1226,$A18,'FUNDED DEALS'!$C$4:$C$1226,"&gt;="&amp;DATE(2026,5,1),'FUNDED DEALS'!$C$4:$C$1226,"&lt;"&amp;DATE(2026,6,1))+SUMIFS('FUNDED DEALS'!$Y$4:$Y$1226,'FUNDED DEALS'!$W$4:$W$1226,$A18,'FUNDED DEALS'!$C$4:$C$1226,"&gt;="&amp;DATE(2026,5,1),'FUNDED DEALS'!$C$4:$C$1226,"&lt;"&amp;DATE(2026,6,1))+SUMIFS('FUNDED DEALS'!$AB$4:$AB$1226,'FUNDED DEALS'!$Z$4:$Z$1226,$A18,'FUNDED DEALS'!$C$4:$C$1226,"&gt;="&amp;DATE(2026,5,1),'FUNDED DEALS'!$C$4:$C$1226,"&lt;"&amp;DATE(2026,6,1))+SUMIFS('FUNDED DEALS 2027'!$V$4:$V$1226,'FUNDED DEALS 2027'!$T$4:$T$1226,$A18,'FUNDED DEALS 2027'!$C$4:$C$1226,"&gt;="&amp;DATE(2026,5,1),'FUNDED DEALS 2027'!$C$4:$C$1226,"&lt;"&amp;DATE(2026,6,1))+SUMIFS('FUNDED DEALS 2027'!$Y$4:$Y$1226,'FUNDED DEALS 2027'!$W$4:$W$1226,$A18,'FUNDED DEALS 2027'!$C$4:$C$1226,"&gt;="&amp;DATE(2026,5,1),'FUNDED DEALS 2027'!$C$4:$C$1226,"&lt;"&amp;DATE(2026,6,1))+SUMIFS('FUNDED DEALS 2027'!$AB$4:$AB$1226,'FUNDED DEALS 2027'!$Z$4:$Z$1226,$A18,'FUNDED DEALS 2027'!$C$4:$C$1226,"&gt;="&amp;DATE(2026,5,1),'FUNDED DEALS 2027'!$C$4:$C$1226,"&lt;"&amp;DATE(2026,6,1)))</f>
        <v>0</v>
      </c>
      <c r="D18" s="48" t="n">
        <f aca="false">IF($A18="","",SUMIFS('FUNDED DEALS'!$V$4:$V$1226,'FUNDED DEALS'!$T$4:$T$1226,$A18,'FUNDED DEALS'!$C$4:$C$1226,"&gt;="&amp;DATE(2026,6,1),'FUNDED DEALS'!$C$4:$C$1226,"&lt;"&amp;DATE(2026,7,1))+SUMIFS('FUNDED DEALS'!$Y$4:$Y$1226,'FUNDED DEALS'!$W$4:$W$1226,$A18,'FUNDED DEALS'!$C$4:$C$1226,"&gt;="&amp;DATE(2026,6,1),'FUNDED DEALS'!$C$4:$C$1226,"&lt;"&amp;DATE(2026,7,1))+SUMIFS('FUNDED DEALS'!$AB$4:$AB$1226,'FUNDED DEALS'!$Z$4:$Z$1226,$A18,'FUNDED DEALS'!$C$4:$C$1226,"&gt;="&amp;DATE(2026,6,1),'FUNDED DEALS'!$C$4:$C$1226,"&lt;"&amp;DATE(2026,7,1))+SUMIFS('FUNDED DEALS 2027'!$V$4:$V$1226,'FUNDED DEALS 2027'!$T$4:$T$1226,$A18,'FUNDED DEALS 2027'!$C$4:$C$1226,"&gt;="&amp;DATE(2026,6,1),'FUNDED DEALS 2027'!$C$4:$C$1226,"&lt;"&amp;DATE(2026,7,1))+SUMIFS('FUNDED DEALS 2027'!$Y$4:$Y$1226,'FUNDED DEALS 2027'!$W$4:$W$1226,$A18,'FUNDED DEALS 2027'!$C$4:$C$1226,"&gt;="&amp;DATE(2026,6,1),'FUNDED DEALS 2027'!$C$4:$C$1226,"&lt;"&amp;DATE(2026,7,1))+SUMIFS('FUNDED DEALS 2027'!$AB$4:$AB$1226,'FUNDED DEALS 2027'!$Z$4:$Z$1226,$A18,'FUNDED DEALS 2027'!$C$4:$C$1226,"&gt;="&amp;DATE(2026,6,1),'FUNDED DEALS 2027'!$C$4:$C$1226,"&lt;"&amp;DATE(2026,7,1)))</f>
        <v>0</v>
      </c>
      <c r="E18" s="48" t="n">
        <f aca="false">IF($A18="","",SUMIFS('FUNDED DEALS'!$V$4:$V$1226,'FUNDED DEALS'!$T$4:$T$1226,$A18,'FUNDED DEALS'!$C$4:$C$1226,"&gt;="&amp;DATE(2026,7,1),'FUNDED DEALS'!$C$4:$C$1226,"&lt;"&amp;DATE(2026,8,1))+SUMIFS('FUNDED DEALS'!$Y$4:$Y$1226,'FUNDED DEALS'!$W$4:$W$1226,$A18,'FUNDED DEALS'!$C$4:$C$1226,"&gt;="&amp;DATE(2026,7,1),'FUNDED DEALS'!$C$4:$C$1226,"&lt;"&amp;DATE(2026,8,1))+SUMIFS('FUNDED DEALS'!$AB$4:$AB$1226,'FUNDED DEALS'!$Z$4:$Z$1226,$A18,'FUNDED DEALS'!$C$4:$C$1226,"&gt;="&amp;DATE(2026,7,1),'FUNDED DEALS'!$C$4:$C$1226,"&lt;"&amp;DATE(2026,8,1))+SUMIFS('FUNDED DEALS 2027'!$V$4:$V$1226,'FUNDED DEALS 2027'!$T$4:$T$1226,$A18,'FUNDED DEALS 2027'!$C$4:$C$1226,"&gt;="&amp;DATE(2026,7,1),'FUNDED DEALS 2027'!$C$4:$C$1226,"&lt;"&amp;DATE(2026,8,1))+SUMIFS('FUNDED DEALS 2027'!$Y$4:$Y$1226,'FUNDED DEALS 2027'!$W$4:$W$1226,$A18,'FUNDED DEALS 2027'!$C$4:$C$1226,"&gt;="&amp;DATE(2026,7,1),'FUNDED DEALS 2027'!$C$4:$C$1226,"&lt;"&amp;DATE(2026,8,1))+SUMIFS('FUNDED DEALS 2027'!$AB$4:$AB$1226,'FUNDED DEALS 2027'!$Z$4:$Z$1226,$A18,'FUNDED DEALS 2027'!$C$4:$C$1226,"&gt;="&amp;DATE(2026,7,1),'FUNDED DEALS 2027'!$C$4:$C$1226,"&lt;"&amp;DATE(2026,8,1)))</f>
        <v>0</v>
      </c>
      <c r="F18" s="48" t="n">
        <f aca="false">IF($A18="","",SUMIFS('FUNDED DEALS'!$V$4:$V$1226,'FUNDED DEALS'!$T$4:$T$1226,$A18,'FUNDED DEALS'!$C$4:$C$1226,"&gt;="&amp;DATE(2026,8,1),'FUNDED DEALS'!$C$4:$C$1226,"&lt;"&amp;DATE(2026,9,1))+SUMIFS('FUNDED DEALS'!$Y$4:$Y$1226,'FUNDED DEALS'!$W$4:$W$1226,$A18,'FUNDED DEALS'!$C$4:$C$1226,"&gt;="&amp;DATE(2026,8,1),'FUNDED DEALS'!$C$4:$C$1226,"&lt;"&amp;DATE(2026,9,1))+SUMIFS('FUNDED DEALS'!$AB$4:$AB$1226,'FUNDED DEALS'!$Z$4:$Z$1226,$A18,'FUNDED DEALS'!$C$4:$C$1226,"&gt;="&amp;DATE(2026,8,1),'FUNDED DEALS'!$C$4:$C$1226,"&lt;"&amp;DATE(2026,9,1))+SUMIFS('FUNDED DEALS 2027'!$V$4:$V$1226,'FUNDED DEALS 2027'!$T$4:$T$1226,$A18,'FUNDED DEALS 2027'!$C$4:$C$1226,"&gt;="&amp;DATE(2026,8,1),'FUNDED DEALS 2027'!$C$4:$C$1226,"&lt;"&amp;DATE(2026,9,1))+SUMIFS('FUNDED DEALS 2027'!$Y$4:$Y$1226,'FUNDED DEALS 2027'!$W$4:$W$1226,$A18,'FUNDED DEALS 2027'!$C$4:$C$1226,"&gt;="&amp;DATE(2026,8,1),'FUNDED DEALS 2027'!$C$4:$C$1226,"&lt;"&amp;DATE(2026,9,1))+SUMIFS('FUNDED DEALS 2027'!$AB$4:$AB$1226,'FUNDED DEALS 2027'!$Z$4:$Z$1226,$A18,'FUNDED DEALS 2027'!$C$4:$C$1226,"&gt;="&amp;DATE(2026,8,1),'FUNDED DEALS 2027'!$C$4:$C$1226,"&lt;"&amp;DATE(2026,9,1)))</f>
        <v>0</v>
      </c>
      <c r="G18" s="48" t="n">
        <f aca="false">IF($A18="","",SUMIFS('FUNDED DEALS'!$V$4:$V$1226,'FUNDED DEALS'!$T$4:$T$1226,$A18,'FUNDED DEALS'!$C$4:$C$1226,"&gt;="&amp;DATE(2026,9,1),'FUNDED DEALS'!$C$4:$C$1226,"&lt;"&amp;DATE(2026,10,1))+SUMIFS('FUNDED DEALS'!$Y$4:$Y$1226,'FUNDED DEALS'!$W$4:$W$1226,$A18,'FUNDED DEALS'!$C$4:$C$1226,"&gt;="&amp;DATE(2026,9,1),'FUNDED DEALS'!$C$4:$C$1226,"&lt;"&amp;DATE(2026,10,1))+SUMIFS('FUNDED DEALS'!$AB$4:$AB$1226,'FUNDED DEALS'!$Z$4:$Z$1226,$A18,'FUNDED DEALS'!$C$4:$C$1226,"&gt;="&amp;DATE(2026,9,1),'FUNDED DEALS'!$C$4:$C$1226,"&lt;"&amp;DATE(2026,10,1))+SUMIFS('FUNDED DEALS 2027'!$V$4:$V$1226,'FUNDED DEALS 2027'!$T$4:$T$1226,$A18,'FUNDED DEALS 2027'!$C$4:$C$1226,"&gt;="&amp;DATE(2026,9,1),'FUNDED DEALS 2027'!$C$4:$C$1226,"&lt;"&amp;DATE(2026,10,1))+SUMIFS('FUNDED DEALS 2027'!$Y$4:$Y$1226,'FUNDED DEALS 2027'!$W$4:$W$1226,$A18,'FUNDED DEALS 2027'!$C$4:$C$1226,"&gt;="&amp;DATE(2026,9,1),'FUNDED DEALS 2027'!$C$4:$C$1226,"&lt;"&amp;DATE(2026,10,1))+SUMIFS('FUNDED DEALS 2027'!$AB$4:$AB$1226,'FUNDED DEALS 2027'!$Z$4:$Z$1226,$A18,'FUNDED DEALS 2027'!$C$4:$C$1226,"&gt;="&amp;DATE(2026,9,1),'FUNDED DEALS 2027'!$C$4:$C$1226,"&lt;"&amp;DATE(2026,10,1)))</f>
        <v>0</v>
      </c>
      <c r="H18" s="48" t="n">
        <f aca="false">IF($A18="","",SUMIFS('FUNDED DEALS'!$V$4:$V$1226,'FUNDED DEALS'!$T$4:$T$1226,$A18,'FUNDED DEALS'!$C$4:$C$1226,"&gt;="&amp;DATE(2026,10,1),'FUNDED DEALS'!$C$4:$C$1226,"&lt;"&amp;DATE(2026,11,1))+SUMIFS('FUNDED DEALS'!$Y$4:$Y$1226,'FUNDED DEALS'!$W$4:$W$1226,$A18,'FUNDED DEALS'!$C$4:$C$1226,"&gt;="&amp;DATE(2026,10,1),'FUNDED DEALS'!$C$4:$C$1226,"&lt;"&amp;DATE(2026,11,1))+SUMIFS('FUNDED DEALS'!$AB$4:$AB$1226,'FUNDED DEALS'!$Z$4:$Z$1226,$A18,'FUNDED DEALS'!$C$4:$C$1226,"&gt;="&amp;DATE(2026,10,1),'FUNDED DEALS'!$C$4:$C$1226,"&lt;"&amp;DATE(2026,11,1))+SUMIFS('FUNDED DEALS 2027'!$V$4:$V$1226,'FUNDED DEALS 2027'!$T$4:$T$1226,$A18,'FUNDED DEALS 2027'!$C$4:$C$1226,"&gt;="&amp;DATE(2026,10,1),'FUNDED DEALS 2027'!$C$4:$C$1226,"&lt;"&amp;DATE(2026,11,1))+SUMIFS('FUNDED DEALS 2027'!$Y$4:$Y$1226,'FUNDED DEALS 2027'!$W$4:$W$1226,$A18,'FUNDED DEALS 2027'!$C$4:$C$1226,"&gt;="&amp;DATE(2026,10,1),'FUNDED DEALS 2027'!$C$4:$C$1226,"&lt;"&amp;DATE(2026,11,1))+SUMIFS('FUNDED DEALS 2027'!$AB$4:$AB$1226,'FUNDED DEALS 2027'!$Z$4:$Z$1226,$A18,'FUNDED DEALS 2027'!$C$4:$C$1226,"&gt;="&amp;DATE(2026,10,1),'FUNDED DEALS 2027'!$C$4:$C$1226,"&lt;"&amp;DATE(2026,11,1)))</f>
        <v>0</v>
      </c>
      <c r="I18" s="48" t="n">
        <f aca="false">IF($A18="","",SUMIFS('FUNDED DEALS'!$V$4:$V$1226,'FUNDED DEALS'!$T$4:$T$1226,$A18,'FUNDED DEALS'!$C$4:$C$1226,"&gt;="&amp;DATE(2026,11,1),'FUNDED DEALS'!$C$4:$C$1226,"&lt;"&amp;DATE(2026,12,1))+SUMIFS('FUNDED DEALS'!$Y$4:$Y$1226,'FUNDED DEALS'!$W$4:$W$1226,$A18,'FUNDED DEALS'!$C$4:$C$1226,"&gt;="&amp;DATE(2026,11,1),'FUNDED DEALS'!$C$4:$C$1226,"&lt;"&amp;DATE(2026,12,1))+SUMIFS('FUNDED DEALS'!$AB$4:$AB$1226,'FUNDED DEALS'!$Z$4:$Z$1226,$A18,'FUNDED DEALS'!$C$4:$C$1226,"&gt;="&amp;DATE(2026,11,1),'FUNDED DEALS'!$C$4:$C$1226,"&lt;"&amp;DATE(2026,12,1))+SUMIFS('FUNDED DEALS 2027'!$V$4:$V$1226,'FUNDED DEALS 2027'!$T$4:$T$1226,$A18,'FUNDED DEALS 2027'!$C$4:$C$1226,"&gt;="&amp;DATE(2026,11,1),'FUNDED DEALS 2027'!$C$4:$C$1226,"&lt;"&amp;DATE(2026,12,1))+SUMIFS('FUNDED DEALS 2027'!$Y$4:$Y$1226,'FUNDED DEALS 2027'!$W$4:$W$1226,$A18,'FUNDED DEALS 2027'!$C$4:$C$1226,"&gt;="&amp;DATE(2026,11,1),'FUNDED DEALS 2027'!$C$4:$C$1226,"&lt;"&amp;DATE(2026,12,1))+SUMIFS('FUNDED DEALS 2027'!$AB$4:$AB$1226,'FUNDED DEALS 2027'!$Z$4:$Z$1226,$A18,'FUNDED DEALS 2027'!$C$4:$C$1226,"&gt;="&amp;DATE(2026,11,1),'FUNDED DEALS 2027'!$C$4:$C$1226,"&lt;"&amp;DATE(2026,12,1)))</f>
        <v>0</v>
      </c>
      <c r="J18" s="48" t="n">
        <f aca="false">IF($A18="","",SUMIFS('FUNDED DEALS'!$V$4:$V$1226,'FUNDED DEALS'!$T$4:$T$1226,$A18,'FUNDED DEALS'!$C$4:$C$1226,"&gt;="&amp;DATE(2026,12,1),'FUNDED DEALS'!$C$4:$C$1226,"&lt;"&amp;DATE(2027,1,1))+SUMIFS('FUNDED DEALS'!$Y$4:$Y$1226,'FUNDED DEALS'!$W$4:$W$1226,$A18,'FUNDED DEALS'!$C$4:$C$1226,"&gt;="&amp;DATE(2026,12,1),'FUNDED DEALS'!$C$4:$C$1226,"&lt;"&amp;DATE(2027,1,1))+SUMIFS('FUNDED DEALS'!$AB$4:$AB$1226,'FUNDED DEALS'!$Z$4:$Z$1226,$A18,'FUNDED DEALS'!$C$4:$C$1226,"&gt;="&amp;DATE(2026,12,1),'FUNDED DEALS'!$C$4:$C$1226,"&lt;"&amp;DATE(2027,1,1))+SUMIFS('FUNDED DEALS 2027'!$V$4:$V$1226,'FUNDED DEALS 2027'!$T$4:$T$1226,$A18,'FUNDED DEALS 2027'!$C$4:$C$1226,"&gt;="&amp;DATE(2026,12,1),'FUNDED DEALS 2027'!$C$4:$C$1226,"&lt;"&amp;DATE(2027,1,1))+SUMIFS('FUNDED DEALS 2027'!$Y$4:$Y$1226,'FUNDED DEALS 2027'!$W$4:$W$1226,$A18,'FUNDED DEALS 2027'!$C$4:$C$1226,"&gt;="&amp;DATE(2026,12,1),'FUNDED DEALS 2027'!$C$4:$C$1226,"&lt;"&amp;DATE(2027,1,1))+SUMIFS('FUNDED DEALS 2027'!$AB$4:$AB$1226,'FUNDED DEALS 2027'!$Z$4:$Z$1226,$A18,'FUNDED DEALS 2027'!$C$4:$C$1226,"&gt;="&amp;DATE(2026,12,1),'FUNDED DEALS 2027'!$C$4:$C$1226,"&lt;"&amp;DATE(2027,1,1)))</f>
        <v>0</v>
      </c>
      <c r="K18" s="48" t="n">
        <f aca="false">IF($A18="","",SUMIFS('FUNDED DEALS'!$V$4:$V$1226,'FUNDED DEALS'!$T$4:$T$1226,$A18,'FUNDED DEALS'!$C$4:$C$1226,"&gt;="&amp;DATE(2027,1,1),'FUNDED DEALS'!$C$4:$C$1226,"&lt;"&amp;DATE(2027,2,1))+SUMIFS('FUNDED DEALS'!$Y$4:$Y$1226,'FUNDED DEALS'!$W$4:$W$1226,$A18,'FUNDED DEALS'!$C$4:$C$1226,"&gt;="&amp;DATE(2027,1,1),'FUNDED DEALS'!$C$4:$C$1226,"&lt;"&amp;DATE(2027,2,1))+SUMIFS('FUNDED DEALS'!$AB$4:$AB$1226,'FUNDED DEALS'!$Z$4:$Z$1226,$A18,'FUNDED DEALS'!$C$4:$C$1226,"&gt;="&amp;DATE(2027,1,1),'FUNDED DEALS'!$C$4:$C$1226,"&lt;"&amp;DATE(2027,2,1))+SUMIFS('FUNDED DEALS 2027'!$V$4:$V$1226,'FUNDED DEALS 2027'!$T$4:$T$1226,$A18,'FUNDED DEALS 2027'!$C$4:$C$1226,"&gt;="&amp;DATE(2027,1,1),'FUNDED DEALS 2027'!$C$4:$C$1226,"&lt;"&amp;DATE(2027,2,1))+SUMIFS('FUNDED DEALS 2027'!$Y$4:$Y$1226,'FUNDED DEALS 2027'!$W$4:$W$1226,$A18,'FUNDED DEALS 2027'!$C$4:$C$1226,"&gt;="&amp;DATE(2027,1,1),'FUNDED DEALS 2027'!$C$4:$C$1226,"&lt;"&amp;DATE(2027,2,1))+SUMIFS('FUNDED DEALS 2027'!$AB$4:$AB$1226,'FUNDED DEALS 2027'!$Z$4:$Z$1226,$A18,'FUNDED DEALS 2027'!$C$4:$C$1226,"&gt;="&amp;DATE(2027,1,1),'FUNDED DEALS 2027'!$C$4:$C$1226,"&lt;"&amp;DATE(2027,2,1)))</f>
        <v>0</v>
      </c>
      <c r="L18" s="48" t="n">
        <f aca="false">IF($A18="","",SUMIFS('FUNDED DEALS'!$V$4:$V$1226,'FUNDED DEALS'!$T$4:$T$1226,$A18,'FUNDED DEALS'!$C$4:$C$1226,"&gt;="&amp;DATE(2027,2,1),'FUNDED DEALS'!$C$4:$C$1226,"&lt;"&amp;DATE(2027,3,1))+SUMIFS('FUNDED DEALS'!$Y$4:$Y$1226,'FUNDED DEALS'!$W$4:$W$1226,$A18,'FUNDED DEALS'!$C$4:$C$1226,"&gt;="&amp;DATE(2027,2,1),'FUNDED DEALS'!$C$4:$C$1226,"&lt;"&amp;DATE(2027,3,1))+SUMIFS('FUNDED DEALS'!$AB$4:$AB$1226,'FUNDED DEALS'!$Z$4:$Z$1226,$A18,'FUNDED DEALS'!$C$4:$C$1226,"&gt;="&amp;DATE(2027,2,1),'FUNDED DEALS'!$C$4:$C$1226,"&lt;"&amp;DATE(2027,3,1))+SUMIFS('FUNDED DEALS 2027'!$V$4:$V$1226,'FUNDED DEALS 2027'!$T$4:$T$1226,$A18,'FUNDED DEALS 2027'!$C$4:$C$1226,"&gt;="&amp;DATE(2027,2,1),'FUNDED DEALS 2027'!$C$4:$C$1226,"&lt;"&amp;DATE(2027,3,1))+SUMIFS('FUNDED DEALS 2027'!$Y$4:$Y$1226,'FUNDED DEALS 2027'!$W$4:$W$1226,$A18,'FUNDED DEALS 2027'!$C$4:$C$1226,"&gt;="&amp;DATE(2027,2,1),'FUNDED DEALS 2027'!$C$4:$C$1226,"&lt;"&amp;DATE(2027,3,1))+SUMIFS('FUNDED DEALS 2027'!$AB$4:$AB$1226,'FUNDED DEALS 2027'!$Z$4:$Z$1226,$A18,'FUNDED DEALS 2027'!$C$4:$C$1226,"&gt;="&amp;DATE(2027,2,1),'FUNDED DEALS 2027'!$C$4:$C$1226,"&lt;"&amp;DATE(2027,3,1)))</f>
        <v>0</v>
      </c>
      <c r="M18" s="48" t="n">
        <f aca="false">IF($A18="","",SUMIFS('FUNDED DEALS'!$V$4:$V$1226,'FUNDED DEALS'!$T$4:$T$1226,$A18,'FUNDED DEALS'!$C$4:$C$1226,"&gt;="&amp;DATE(2027,3,1),'FUNDED DEALS'!$C$4:$C$1226,"&lt;"&amp;DATE(2027,4,1))+SUMIFS('FUNDED DEALS'!$Y$4:$Y$1226,'FUNDED DEALS'!$W$4:$W$1226,$A18,'FUNDED DEALS'!$C$4:$C$1226,"&gt;="&amp;DATE(2027,3,1),'FUNDED DEALS'!$C$4:$C$1226,"&lt;"&amp;DATE(2027,4,1))+SUMIFS('FUNDED DEALS'!$AB$4:$AB$1226,'FUNDED DEALS'!$Z$4:$Z$1226,$A18,'FUNDED DEALS'!$C$4:$C$1226,"&gt;="&amp;DATE(2027,3,1),'FUNDED DEALS'!$C$4:$C$1226,"&lt;"&amp;DATE(2027,4,1))+SUMIFS('FUNDED DEALS 2027'!$V$4:$V$1226,'FUNDED DEALS 2027'!$T$4:$T$1226,$A18,'FUNDED DEALS 2027'!$C$4:$C$1226,"&gt;="&amp;DATE(2027,3,1),'FUNDED DEALS 2027'!$C$4:$C$1226,"&lt;"&amp;DATE(2027,4,1))+SUMIFS('FUNDED DEALS 2027'!$Y$4:$Y$1226,'FUNDED DEALS 2027'!$W$4:$W$1226,$A18,'FUNDED DEALS 2027'!$C$4:$C$1226,"&gt;="&amp;DATE(2027,3,1),'FUNDED DEALS 2027'!$C$4:$C$1226,"&lt;"&amp;DATE(2027,4,1))+SUMIFS('FUNDED DEALS 2027'!$AB$4:$AB$1226,'FUNDED DEALS 2027'!$Z$4:$Z$1226,$A18,'FUNDED DEALS 2027'!$C$4:$C$1226,"&gt;="&amp;DATE(2027,3,1),'FUNDED DEALS 2027'!$C$4:$C$1226,"&lt;"&amp;DATE(2027,4,1)))</f>
        <v>0</v>
      </c>
      <c r="N18" s="48" t="n">
        <f aca="false">IF($A18="","",SUMIFS('FUNDED DEALS'!$V$4:$V$1226,'FUNDED DEALS'!$T$4:$T$1226,$A18,'FUNDED DEALS'!$C$4:$C$1226,"&gt;="&amp;DATE(2027,4,1),'FUNDED DEALS'!$C$4:$C$1226,"&lt;"&amp;DATE(2027,5,1))+SUMIFS('FUNDED DEALS'!$Y$4:$Y$1226,'FUNDED DEALS'!$W$4:$W$1226,$A18,'FUNDED DEALS'!$C$4:$C$1226,"&gt;="&amp;DATE(2027,4,1),'FUNDED DEALS'!$C$4:$C$1226,"&lt;"&amp;DATE(2027,5,1))+SUMIFS('FUNDED DEALS'!$AB$4:$AB$1226,'FUNDED DEALS'!$Z$4:$Z$1226,$A18,'FUNDED DEALS'!$C$4:$C$1226,"&gt;="&amp;DATE(2027,4,1),'FUNDED DEALS'!$C$4:$C$1226,"&lt;"&amp;DATE(2027,5,1))+SUMIFS('FUNDED DEALS 2027'!$V$4:$V$1226,'FUNDED DEALS 2027'!$T$4:$T$1226,$A18,'FUNDED DEALS 2027'!$C$4:$C$1226,"&gt;="&amp;DATE(2027,4,1),'FUNDED DEALS 2027'!$C$4:$C$1226,"&lt;"&amp;DATE(2027,5,1))+SUMIFS('FUNDED DEALS 2027'!$Y$4:$Y$1226,'FUNDED DEALS 2027'!$W$4:$W$1226,$A18,'FUNDED DEALS 2027'!$C$4:$C$1226,"&gt;="&amp;DATE(2027,4,1),'FUNDED DEALS 2027'!$C$4:$C$1226,"&lt;"&amp;DATE(2027,5,1))+SUMIFS('FUNDED DEALS 2027'!$AB$4:$AB$1226,'FUNDED DEALS 2027'!$Z$4:$Z$1226,$A18,'FUNDED DEALS 2027'!$C$4:$C$1226,"&gt;="&amp;DATE(2027,4,1),'FUNDED DEALS 2027'!$C$4:$C$1226,"&lt;"&amp;DATE(2027,5,1)))</f>
        <v>0</v>
      </c>
      <c r="O18" s="48" t="n">
        <f aca="false">IF($A18="","",SUMIFS('FUNDED DEALS'!$V$4:$V$1226,'FUNDED DEALS'!$T$4:$T$1226,$A18,'FUNDED DEALS'!$C$4:$C$1226,"&gt;="&amp;DATE(2027,5,1),'FUNDED DEALS'!$C$4:$C$1226,"&lt;"&amp;DATE(2027,6,1))+SUMIFS('FUNDED DEALS'!$Y$4:$Y$1226,'FUNDED DEALS'!$W$4:$W$1226,$A18,'FUNDED DEALS'!$C$4:$C$1226,"&gt;="&amp;DATE(2027,5,1),'FUNDED DEALS'!$C$4:$C$1226,"&lt;"&amp;DATE(2027,6,1))+SUMIFS('FUNDED DEALS'!$AB$4:$AB$1226,'FUNDED DEALS'!$Z$4:$Z$1226,$A18,'FUNDED DEALS'!$C$4:$C$1226,"&gt;="&amp;DATE(2027,5,1),'FUNDED DEALS'!$C$4:$C$1226,"&lt;"&amp;DATE(2027,6,1))+SUMIFS('FUNDED DEALS 2027'!$V$4:$V$1226,'FUNDED DEALS 2027'!$T$4:$T$1226,$A18,'FUNDED DEALS 2027'!$C$4:$C$1226,"&gt;="&amp;DATE(2027,5,1),'FUNDED DEALS 2027'!$C$4:$C$1226,"&lt;"&amp;DATE(2027,6,1))+SUMIFS('FUNDED DEALS 2027'!$Y$4:$Y$1226,'FUNDED DEALS 2027'!$W$4:$W$1226,$A18,'FUNDED DEALS 2027'!$C$4:$C$1226,"&gt;="&amp;DATE(2027,5,1),'FUNDED DEALS 2027'!$C$4:$C$1226,"&lt;"&amp;DATE(2027,6,1))+SUMIFS('FUNDED DEALS 2027'!$AB$4:$AB$1226,'FUNDED DEALS 2027'!$Z$4:$Z$1226,$A18,'FUNDED DEALS 2027'!$C$4:$C$1226,"&gt;="&amp;DATE(2027,5,1),'FUNDED DEALS 2027'!$C$4:$C$1226,"&lt;"&amp;DATE(2027,6,1)))</f>
        <v>0</v>
      </c>
      <c r="P18" s="48" t="n">
        <f aca="false">IF($A18="","",SUMIFS('FUNDED DEALS'!$V$4:$V$1226,'FUNDED DEALS'!$T$4:$T$1226,$A18,'FUNDED DEALS'!$C$4:$C$1226,"&gt;="&amp;DATE(2027,6,1),'FUNDED DEALS'!$C$4:$C$1226,"&lt;"&amp;DATE(2027,7,1))+SUMIFS('FUNDED DEALS'!$Y$4:$Y$1226,'FUNDED DEALS'!$W$4:$W$1226,$A18,'FUNDED DEALS'!$C$4:$C$1226,"&gt;="&amp;DATE(2027,6,1),'FUNDED DEALS'!$C$4:$C$1226,"&lt;"&amp;DATE(2027,7,1))+SUMIFS('FUNDED DEALS'!$AB$4:$AB$1226,'FUNDED DEALS'!$Z$4:$Z$1226,$A18,'FUNDED DEALS'!$C$4:$C$1226,"&gt;="&amp;DATE(2027,6,1),'FUNDED DEALS'!$C$4:$C$1226,"&lt;"&amp;DATE(2027,7,1))+SUMIFS('FUNDED DEALS 2027'!$V$4:$V$1226,'FUNDED DEALS 2027'!$T$4:$T$1226,$A18,'FUNDED DEALS 2027'!$C$4:$C$1226,"&gt;="&amp;DATE(2027,6,1),'FUNDED DEALS 2027'!$C$4:$C$1226,"&lt;"&amp;DATE(2027,7,1))+SUMIFS('FUNDED DEALS 2027'!$Y$4:$Y$1226,'FUNDED DEALS 2027'!$W$4:$W$1226,$A18,'FUNDED DEALS 2027'!$C$4:$C$1226,"&gt;="&amp;DATE(2027,6,1),'FUNDED DEALS 2027'!$C$4:$C$1226,"&lt;"&amp;DATE(2027,7,1))+SUMIFS('FUNDED DEALS 2027'!$AB$4:$AB$1226,'FUNDED DEALS 2027'!$Z$4:$Z$1226,$A18,'FUNDED DEALS 2027'!$C$4:$C$1226,"&gt;="&amp;DATE(2027,6,1),'FUNDED DEALS 2027'!$C$4:$C$1226,"&lt;"&amp;DATE(2027,7,1)))</f>
        <v>0</v>
      </c>
      <c r="Q18" s="48" t="n">
        <f aca="false">IF($A18="","",SUMIFS('FUNDED DEALS'!$V$4:$V$1226,'FUNDED DEALS'!$T$4:$T$1226,$A18,'FUNDED DEALS'!$C$4:$C$1226,"&gt;="&amp;DATE(2027,7,1),'FUNDED DEALS'!$C$4:$C$1226,"&lt;"&amp;DATE(2027,8,1))+SUMIFS('FUNDED DEALS'!$Y$4:$Y$1226,'FUNDED DEALS'!$W$4:$W$1226,$A18,'FUNDED DEALS'!$C$4:$C$1226,"&gt;="&amp;DATE(2027,7,1),'FUNDED DEALS'!$C$4:$C$1226,"&lt;"&amp;DATE(2027,8,1))+SUMIFS('FUNDED DEALS'!$AB$4:$AB$1226,'FUNDED DEALS'!$Z$4:$Z$1226,$A18,'FUNDED DEALS'!$C$4:$C$1226,"&gt;="&amp;DATE(2027,7,1),'FUNDED DEALS'!$C$4:$C$1226,"&lt;"&amp;DATE(2027,8,1))+SUMIFS('FUNDED DEALS 2027'!$V$4:$V$1226,'FUNDED DEALS 2027'!$T$4:$T$1226,$A18,'FUNDED DEALS 2027'!$C$4:$C$1226,"&gt;="&amp;DATE(2027,7,1),'FUNDED DEALS 2027'!$C$4:$C$1226,"&lt;"&amp;DATE(2027,8,1))+SUMIFS('FUNDED DEALS 2027'!$Y$4:$Y$1226,'FUNDED DEALS 2027'!$W$4:$W$1226,$A18,'FUNDED DEALS 2027'!$C$4:$C$1226,"&gt;="&amp;DATE(2027,7,1),'FUNDED DEALS 2027'!$C$4:$C$1226,"&lt;"&amp;DATE(2027,8,1))+SUMIFS('FUNDED DEALS 2027'!$AB$4:$AB$1226,'FUNDED DEALS 2027'!$Z$4:$Z$1226,$A18,'FUNDED DEALS 2027'!$C$4:$C$1226,"&gt;="&amp;DATE(2027,7,1),'FUNDED DEALS 2027'!$C$4:$C$1226,"&lt;"&amp;DATE(2027,8,1)))</f>
        <v>0</v>
      </c>
      <c r="R18" s="48" t="n">
        <f aca="false">IF($A18="","",SUMIFS('FUNDED DEALS'!$V$4:$V$1226,'FUNDED DEALS'!$T$4:$T$1226,$A18,'FUNDED DEALS'!$C$4:$C$1226,"&gt;="&amp;DATE(2027,8,1),'FUNDED DEALS'!$C$4:$C$1226,"&lt;"&amp;DATE(2027,9,1))+SUMIFS('FUNDED DEALS'!$Y$4:$Y$1226,'FUNDED DEALS'!$W$4:$W$1226,$A18,'FUNDED DEALS'!$C$4:$C$1226,"&gt;="&amp;DATE(2027,8,1),'FUNDED DEALS'!$C$4:$C$1226,"&lt;"&amp;DATE(2027,9,1))+SUMIFS('FUNDED DEALS'!$AB$4:$AB$1226,'FUNDED DEALS'!$Z$4:$Z$1226,$A18,'FUNDED DEALS'!$C$4:$C$1226,"&gt;="&amp;DATE(2027,8,1),'FUNDED DEALS'!$C$4:$C$1226,"&lt;"&amp;DATE(2027,9,1))+SUMIFS('FUNDED DEALS 2027'!$V$4:$V$1226,'FUNDED DEALS 2027'!$T$4:$T$1226,$A18,'FUNDED DEALS 2027'!$C$4:$C$1226,"&gt;="&amp;DATE(2027,8,1),'FUNDED DEALS 2027'!$C$4:$C$1226,"&lt;"&amp;DATE(2027,9,1))+SUMIFS('FUNDED DEALS 2027'!$Y$4:$Y$1226,'FUNDED DEALS 2027'!$W$4:$W$1226,$A18,'FUNDED DEALS 2027'!$C$4:$C$1226,"&gt;="&amp;DATE(2027,8,1),'FUNDED DEALS 2027'!$C$4:$C$1226,"&lt;"&amp;DATE(2027,9,1))+SUMIFS('FUNDED DEALS 2027'!$AB$4:$AB$1226,'FUNDED DEALS 2027'!$Z$4:$Z$1226,$A18,'FUNDED DEALS 2027'!$C$4:$C$1226,"&gt;="&amp;DATE(2027,8,1),'FUNDED DEALS 2027'!$C$4:$C$1226,"&lt;"&amp;DATE(2027,9,1)))</f>
        <v>0</v>
      </c>
      <c r="S18" s="48" t="n">
        <f aca="false">IF($A18="","",SUMIFS('FUNDED DEALS'!$V$4:$V$1226,'FUNDED DEALS'!$T$4:$T$1226,$A18,'FUNDED DEALS'!$C$4:$C$1226,"&gt;="&amp;DATE(2027,9,1),'FUNDED DEALS'!$C$4:$C$1226,"&lt;"&amp;DATE(2027,10,1))+SUMIFS('FUNDED DEALS'!$Y$4:$Y$1226,'FUNDED DEALS'!$W$4:$W$1226,$A18,'FUNDED DEALS'!$C$4:$C$1226,"&gt;="&amp;DATE(2027,9,1),'FUNDED DEALS'!$C$4:$C$1226,"&lt;"&amp;DATE(2027,10,1))+SUMIFS('FUNDED DEALS'!$AB$4:$AB$1226,'FUNDED DEALS'!$Z$4:$Z$1226,$A18,'FUNDED DEALS'!$C$4:$C$1226,"&gt;="&amp;DATE(2027,9,1),'FUNDED DEALS'!$C$4:$C$1226,"&lt;"&amp;DATE(2027,10,1))+SUMIFS('FUNDED DEALS 2027'!$V$4:$V$1226,'FUNDED DEALS 2027'!$T$4:$T$1226,$A18,'FUNDED DEALS 2027'!$C$4:$C$1226,"&gt;="&amp;DATE(2027,9,1),'FUNDED DEALS 2027'!$C$4:$C$1226,"&lt;"&amp;DATE(2027,10,1))+SUMIFS('FUNDED DEALS 2027'!$Y$4:$Y$1226,'FUNDED DEALS 2027'!$W$4:$W$1226,$A18,'FUNDED DEALS 2027'!$C$4:$C$1226,"&gt;="&amp;DATE(2027,9,1),'FUNDED DEALS 2027'!$C$4:$C$1226,"&lt;"&amp;DATE(2027,10,1))+SUMIFS('FUNDED DEALS 2027'!$AB$4:$AB$1226,'FUNDED DEALS 2027'!$Z$4:$Z$1226,$A18,'FUNDED DEALS 2027'!$C$4:$C$1226,"&gt;="&amp;DATE(2027,9,1),'FUNDED DEALS 2027'!$C$4:$C$1226,"&lt;"&amp;DATE(2027,10,1)))</f>
        <v>0</v>
      </c>
      <c r="T18" s="48" t="n">
        <f aca="false">IF($A18="","",SUMIFS('FUNDED DEALS'!$V$4:$V$1226,'FUNDED DEALS'!$T$4:$T$1226,$A18,'FUNDED DEALS'!$C$4:$C$1226,"&gt;="&amp;DATE(2027,10,1),'FUNDED DEALS'!$C$4:$C$1226,"&lt;"&amp;DATE(2027,11,1))+SUMIFS('FUNDED DEALS'!$Y$4:$Y$1226,'FUNDED DEALS'!$W$4:$W$1226,$A18,'FUNDED DEALS'!$C$4:$C$1226,"&gt;="&amp;DATE(2027,10,1),'FUNDED DEALS'!$C$4:$C$1226,"&lt;"&amp;DATE(2027,11,1))+SUMIFS('FUNDED DEALS'!$AB$4:$AB$1226,'FUNDED DEALS'!$Z$4:$Z$1226,$A18,'FUNDED DEALS'!$C$4:$C$1226,"&gt;="&amp;DATE(2027,10,1),'FUNDED DEALS'!$C$4:$C$1226,"&lt;"&amp;DATE(2027,11,1))+SUMIFS('FUNDED DEALS 2027'!$V$4:$V$1226,'FUNDED DEALS 2027'!$T$4:$T$1226,$A18,'FUNDED DEALS 2027'!$C$4:$C$1226,"&gt;="&amp;DATE(2027,10,1),'FUNDED DEALS 2027'!$C$4:$C$1226,"&lt;"&amp;DATE(2027,11,1))+SUMIFS('FUNDED DEALS 2027'!$Y$4:$Y$1226,'FUNDED DEALS 2027'!$W$4:$W$1226,$A18,'FUNDED DEALS 2027'!$C$4:$C$1226,"&gt;="&amp;DATE(2027,10,1),'FUNDED DEALS 2027'!$C$4:$C$1226,"&lt;"&amp;DATE(2027,11,1))+SUMIFS('FUNDED DEALS 2027'!$AB$4:$AB$1226,'FUNDED DEALS 2027'!$Z$4:$Z$1226,$A18,'FUNDED DEALS 2027'!$C$4:$C$1226,"&gt;="&amp;DATE(2027,10,1),'FUNDED DEALS 2027'!$C$4:$C$1226,"&lt;"&amp;DATE(2027,11,1)))</f>
        <v>0</v>
      </c>
      <c r="U18" s="48" t="n">
        <f aca="false">IF($A18="","",SUMIFS('FUNDED DEALS'!$V$4:$V$1226,'FUNDED DEALS'!$T$4:$T$1226,$A18,'FUNDED DEALS'!$C$4:$C$1226,"&gt;="&amp;DATE(2027,11,1),'FUNDED DEALS'!$C$4:$C$1226,"&lt;"&amp;DATE(2027,12,1))+SUMIFS('FUNDED DEALS'!$Y$4:$Y$1226,'FUNDED DEALS'!$W$4:$W$1226,$A18,'FUNDED DEALS'!$C$4:$C$1226,"&gt;="&amp;DATE(2027,11,1),'FUNDED DEALS'!$C$4:$C$1226,"&lt;"&amp;DATE(2027,12,1))+SUMIFS('FUNDED DEALS'!$AB$4:$AB$1226,'FUNDED DEALS'!$Z$4:$Z$1226,$A18,'FUNDED DEALS'!$C$4:$C$1226,"&gt;="&amp;DATE(2027,11,1),'FUNDED DEALS'!$C$4:$C$1226,"&lt;"&amp;DATE(2027,12,1))+SUMIFS('FUNDED DEALS 2027'!$V$4:$V$1226,'FUNDED DEALS 2027'!$T$4:$T$1226,$A18,'FUNDED DEALS 2027'!$C$4:$C$1226,"&gt;="&amp;DATE(2027,11,1),'FUNDED DEALS 2027'!$C$4:$C$1226,"&lt;"&amp;DATE(2027,12,1))+SUMIFS('FUNDED DEALS 2027'!$Y$4:$Y$1226,'FUNDED DEALS 2027'!$W$4:$W$1226,$A18,'FUNDED DEALS 2027'!$C$4:$C$1226,"&gt;="&amp;DATE(2027,11,1),'FUNDED DEALS 2027'!$C$4:$C$1226,"&lt;"&amp;DATE(2027,12,1))+SUMIFS('FUNDED DEALS 2027'!$AB$4:$AB$1226,'FUNDED DEALS 2027'!$Z$4:$Z$1226,$A18,'FUNDED DEALS 2027'!$C$4:$C$1226,"&gt;="&amp;DATE(2027,11,1),'FUNDED DEALS 2027'!$C$4:$C$1226,"&lt;"&amp;DATE(2027,12,1)))</f>
        <v>0</v>
      </c>
      <c r="V18" s="48" t="n">
        <f aca="false">IF($A18="","",SUMIFS('FUNDED DEALS'!$V$4:$V$1226,'FUNDED DEALS'!$T$4:$T$1226,$A18,'FUNDED DEALS'!$C$4:$C$1226,"&gt;="&amp;DATE(2027,12,1),'FUNDED DEALS'!$C$4:$C$1226,"&lt;"&amp;DATE(2028,1,1))+SUMIFS('FUNDED DEALS'!$Y$4:$Y$1226,'FUNDED DEALS'!$W$4:$W$1226,$A18,'FUNDED DEALS'!$C$4:$C$1226,"&gt;="&amp;DATE(2027,12,1),'FUNDED DEALS'!$C$4:$C$1226,"&lt;"&amp;DATE(2028,1,1))+SUMIFS('FUNDED DEALS'!$AB$4:$AB$1226,'FUNDED DEALS'!$Z$4:$Z$1226,$A18,'FUNDED DEALS'!$C$4:$C$1226,"&gt;="&amp;DATE(2027,12,1),'FUNDED DEALS'!$C$4:$C$1226,"&lt;"&amp;DATE(2028,1,1))+SUMIFS('FUNDED DEALS 2027'!$V$4:$V$1226,'FUNDED DEALS 2027'!$T$4:$T$1226,$A18,'FUNDED DEALS 2027'!$C$4:$C$1226,"&gt;="&amp;DATE(2027,12,1),'FUNDED DEALS 2027'!$C$4:$C$1226,"&lt;"&amp;DATE(2028,1,1))+SUMIFS('FUNDED DEALS 2027'!$Y$4:$Y$1226,'FUNDED DEALS 2027'!$W$4:$W$1226,$A18,'FUNDED DEALS 2027'!$C$4:$C$1226,"&gt;="&amp;DATE(2027,12,1),'FUNDED DEALS 2027'!$C$4:$C$1226,"&lt;"&amp;DATE(2028,1,1))+SUMIFS('FUNDED DEALS 2027'!$AB$4:$AB$1226,'FUNDED DEALS 2027'!$Z$4:$Z$1226,$A18,'FUNDED DEALS 2027'!$C$4:$C$1226,"&gt;="&amp;DATE(2027,12,1),'FUNDED DEALS 2027'!$C$4:$C$1226,"&lt;"&amp;DATE(2028,1,1)))</f>
        <v>0</v>
      </c>
      <c r="W18" s="56" t="n">
        <f aca="false">IF($A18="","",SUM(B18:V18))</f>
        <v>0</v>
      </c>
    </row>
    <row r="19" customFormat="false" ht="15" hidden="false" customHeight="false" outlineLevel="0" collapsed="false">
      <c r="A19" s="50" t="str">
        <f aca="false">IF(REPS!A17="","",REPS!A17)</f>
        <v>Samuel Knox</v>
      </c>
      <c r="B19" s="51" t="n">
        <f aca="false">IF($A19="","",SUMIFS('FUNDED DEALS'!$V$4:$V$1226,'FUNDED DEALS'!$T$4:$T$1226,$A19,'FUNDED DEALS'!$C$4:$C$1226,"&gt;="&amp;DATE(2026,4,1),'FUNDED DEALS'!$C$4:$C$1226,"&lt;"&amp;DATE(2026,5,1))+SUMIFS('FUNDED DEALS'!$Y$4:$Y$1226,'FUNDED DEALS'!$W$4:$W$1226,$A19,'FUNDED DEALS'!$C$4:$C$1226,"&gt;="&amp;DATE(2026,4,1),'FUNDED DEALS'!$C$4:$C$1226,"&lt;"&amp;DATE(2026,5,1))+SUMIFS('FUNDED DEALS'!$AB$4:$AB$1226,'FUNDED DEALS'!$Z$4:$Z$1226,$A19,'FUNDED DEALS'!$C$4:$C$1226,"&gt;="&amp;DATE(2026,4,1),'FUNDED DEALS'!$C$4:$C$1226,"&lt;"&amp;DATE(2026,5,1))+SUMIFS('FUNDED DEALS 2027'!$V$4:$V$1226,'FUNDED DEALS 2027'!$T$4:$T$1226,$A19,'FUNDED DEALS 2027'!$C$4:$C$1226,"&gt;="&amp;DATE(2026,4,1),'FUNDED DEALS 2027'!$C$4:$C$1226,"&lt;"&amp;DATE(2026,5,1))+SUMIFS('FUNDED DEALS 2027'!$Y$4:$Y$1226,'FUNDED DEALS 2027'!$W$4:$W$1226,$A19,'FUNDED DEALS 2027'!$C$4:$C$1226,"&gt;="&amp;DATE(2026,4,1),'FUNDED DEALS 2027'!$C$4:$C$1226,"&lt;"&amp;DATE(2026,5,1))+SUMIFS('FUNDED DEALS 2027'!$AB$4:$AB$1226,'FUNDED DEALS 2027'!$Z$4:$Z$1226,$A19,'FUNDED DEALS 2027'!$C$4:$C$1226,"&gt;="&amp;DATE(2026,4,1),'FUNDED DEALS 2027'!$C$4:$C$1226,"&lt;"&amp;DATE(2026,5,1)))</f>
        <v>0</v>
      </c>
      <c r="C19" s="51" t="n">
        <f aca="false">IF($A19="","",SUMIFS('FUNDED DEALS'!$V$4:$V$1226,'FUNDED DEALS'!$T$4:$T$1226,$A19,'FUNDED DEALS'!$C$4:$C$1226,"&gt;="&amp;DATE(2026,5,1),'FUNDED DEALS'!$C$4:$C$1226,"&lt;"&amp;DATE(2026,6,1))+SUMIFS('FUNDED DEALS'!$Y$4:$Y$1226,'FUNDED DEALS'!$W$4:$W$1226,$A19,'FUNDED DEALS'!$C$4:$C$1226,"&gt;="&amp;DATE(2026,5,1),'FUNDED DEALS'!$C$4:$C$1226,"&lt;"&amp;DATE(2026,6,1))+SUMIFS('FUNDED DEALS'!$AB$4:$AB$1226,'FUNDED DEALS'!$Z$4:$Z$1226,$A19,'FUNDED DEALS'!$C$4:$C$1226,"&gt;="&amp;DATE(2026,5,1),'FUNDED DEALS'!$C$4:$C$1226,"&lt;"&amp;DATE(2026,6,1))+SUMIFS('FUNDED DEALS 2027'!$V$4:$V$1226,'FUNDED DEALS 2027'!$T$4:$T$1226,$A19,'FUNDED DEALS 2027'!$C$4:$C$1226,"&gt;="&amp;DATE(2026,5,1),'FUNDED DEALS 2027'!$C$4:$C$1226,"&lt;"&amp;DATE(2026,6,1))+SUMIFS('FUNDED DEALS 2027'!$Y$4:$Y$1226,'FUNDED DEALS 2027'!$W$4:$W$1226,$A19,'FUNDED DEALS 2027'!$C$4:$C$1226,"&gt;="&amp;DATE(2026,5,1),'FUNDED DEALS 2027'!$C$4:$C$1226,"&lt;"&amp;DATE(2026,6,1))+SUMIFS('FUNDED DEALS 2027'!$AB$4:$AB$1226,'FUNDED DEALS 2027'!$Z$4:$Z$1226,$A19,'FUNDED DEALS 2027'!$C$4:$C$1226,"&gt;="&amp;DATE(2026,5,1),'FUNDED DEALS 2027'!$C$4:$C$1226,"&lt;"&amp;DATE(2026,6,1)))</f>
        <v>0</v>
      </c>
      <c r="D19" s="51" t="n">
        <f aca="false">IF($A19="","",SUMIFS('FUNDED DEALS'!$V$4:$V$1226,'FUNDED DEALS'!$T$4:$T$1226,$A19,'FUNDED DEALS'!$C$4:$C$1226,"&gt;="&amp;DATE(2026,6,1),'FUNDED DEALS'!$C$4:$C$1226,"&lt;"&amp;DATE(2026,7,1))+SUMIFS('FUNDED DEALS'!$Y$4:$Y$1226,'FUNDED DEALS'!$W$4:$W$1226,$A19,'FUNDED DEALS'!$C$4:$C$1226,"&gt;="&amp;DATE(2026,6,1),'FUNDED DEALS'!$C$4:$C$1226,"&lt;"&amp;DATE(2026,7,1))+SUMIFS('FUNDED DEALS'!$AB$4:$AB$1226,'FUNDED DEALS'!$Z$4:$Z$1226,$A19,'FUNDED DEALS'!$C$4:$C$1226,"&gt;="&amp;DATE(2026,6,1),'FUNDED DEALS'!$C$4:$C$1226,"&lt;"&amp;DATE(2026,7,1))+SUMIFS('FUNDED DEALS 2027'!$V$4:$V$1226,'FUNDED DEALS 2027'!$T$4:$T$1226,$A19,'FUNDED DEALS 2027'!$C$4:$C$1226,"&gt;="&amp;DATE(2026,6,1),'FUNDED DEALS 2027'!$C$4:$C$1226,"&lt;"&amp;DATE(2026,7,1))+SUMIFS('FUNDED DEALS 2027'!$Y$4:$Y$1226,'FUNDED DEALS 2027'!$W$4:$W$1226,$A19,'FUNDED DEALS 2027'!$C$4:$C$1226,"&gt;="&amp;DATE(2026,6,1),'FUNDED DEALS 2027'!$C$4:$C$1226,"&lt;"&amp;DATE(2026,7,1))+SUMIFS('FUNDED DEALS 2027'!$AB$4:$AB$1226,'FUNDED DEALS 2027'!$Z$4:$Z$1226,$A19,'FUNDED DEALS 2027'!$C$4:$C$1226,"&gt;="&amp;DATE(2026,6,1),'FUNDED DEALS 2027'!$C$4:$C$1226,"&lt;"&amp;DATE(2026,7,1)))</f>
        <v>0</v>
      </c>
      <c r="E19" s="51" t="n">
        <f aca="false">IF($A19="","",SUMIFS('FUNDED DEALS'!$V$4:$V$1226,'FUNDED DEALS'!$T$4:$T$1226,$A19,'FUNDED DEALS'!$C$4:$C$1226,"&gt;="&amp;DATE(2026,7,1),'FUNDED DEALS'!$C$4:$C$1226,"&lt;"&amp;DATE(2026,8,1))+SUMIFS('FUNDED DEALS'!$Y$4:$Y$1226,'FUNDED DEALS'!$W$4:$W$1226,$A19,'FUNDED DEALS'!$C$4:$C$1226,"&gt;="&amp;DATE(2026,7,1),'FUNDED DEALS'!$C$4:$C$1226,"&lt;"&amp;DATE(2026,8,1))+SUMIFS('FUNDED DEALS'!$AB$4:$AB$1226,'FUNDED DEALS'!$Z$4:$Z$1226,$A19,'FUNDED DEALS'!$C$4:$C$1226,"&gt;="&amp;DATE(2026,7,1),'FUNDED DEALS'!$C$4:$C$1226,"&lt;"&amp;DATE(2026,8,1))+SUMIFS('FUNDED DEALS 2027'!$V$4:$V$1226,'FUNDED DEALS 2027'!$T$4:$T$1226,$A19,'FUNDED DEALS 2027'!$C$4:$C$1226,"&gt;="&amp;DATE(2026,7,1),'FUNDED DEALS 2027'!$C$4:$C$1226,"&lt;"&amp;DATE(2026,8,1))+SUMIFS('FUNDED DEALS 2027'!$Y$4:$Y$1226,'FUNDED DEALS 2027'!$W$4:$W$1226,$A19,'FUNDED DEALS 2027'!$C$4:$C$1226,"&gt;="&amp;DATE(2026,7,1),'FUNDED DEALS 2027'!$C$4:$C$1226,"&lt;"&amp;DATE(2026,8,1))+SUMIFS('FUNDED DEALS 2027'!$AB$4:$AB$1226,'FUNDED DEALS 2027'!$Z$4:$Z$1226,$A19,'FUNDED DEALS 2027'!$C$4:$C$1226,"&gt;="&amp;DATE(2026,7,1),'FUNDED DEALS 2027'!$C$4:$C$1226,"&lt;"&amp;DATE(2026,8,1)))</f>
        <v>0</v>
      </c>
      <c r="F19" s="51" t="n">
        <f aca="false">IF($A19="","",SUMIFS('FUNDED DEALS'!$V$4:$V$1226,'FUNDED DEALS'!$T$4:$T$1226,$A19,'FUNDED DEALS'!$C$4:$C$1226,"&gt;="&amp;DATE(2026,8,1),'FUNDED DEALS'!$C$4:$C$1226,"&lt;"&amp;DATE(2026,9,1))+SUMIFS('FUNDED DEALS'!$Y$4:$Y$1226,'FUNDED DEALS'!$W$4:$W$1226,$A19,'FUNDED DEALS'!$C$4:$C$1226,"&gt;="&amp;DATE(2026,8,1),'FUNDED DEALS'!$C$4:$C$1226,"&lt;"&amp;DATE(2026,9,1))+SUMIFS('FUNDED DEALS'!$AB$4:$AB$1226,'FUNDED DEALS'!$Z$4:$Z$1226,$A19,'FUNDED DEALS'!$C$4:$C$1226,"&gt;="&amp;DATE(2026,8,1),'FUNDED DEALS'!$C$4:$C$1226,"&lt;"&amp;DATE(2026,9,1))+SUMIFS('FUNDED DEALS 2027'!$V$4:$V$1226,'FUNDED DEALS 2027'!$T$4:$T$1226,$A19,'FUNDED DEALS 2027'!$C$4:$C$1226,"&gt;="&amp;DATE(2026,8,1),'FUNDED DEALS 2027'!$C$4:$C$1226,"&lt;"&amp;DATE(2026,9,1))+SUMIFS('FUNDED DEALS 2027'!$Y$4:$Y$1226,'FUNDED DEALS 2027'!$W$4:$W$1226,$A19,'FUNDED DEALS 2027'!$C$4:$C$1226,"&gt;="&amp;DATE(2026,8,1),'FUNDED DEALS 2027'!$C$4:$C$1226,"&lt;"&amp;DATE(2026,9,1))+SUMIFS('FUNDED DEALS 2027'!$AB$4:$AB$1226,'FUNDED DEALS 2027'!$Z$4:$Z$1226,$A19,'FUNDED DEALS 2027'!$C$4:$C$1226,"&gt;="&amp;DATE(2026,8,1),'FUNDED DEALS 2027'!$C$4:$C$1226,"&lt;"&amp;DATE(2026,9,1)))</f>
        <v>0</v>
      </c>
      <c r="G19" s="51" t="n">
        <f aca="false">IF($A19="","",SUMIFS('FUNDED DEALS'!$V$4:$V$1226,'FUNDED DEALS'!$T$4:$T$1226,$A19,'FUNDED DEALS'!$C$4:$C$1226,"&gt;="&amp;DATE(2026,9,1),'FUNDED DEALS'!$C$4:$C$1226,"&lt;"&amp;DATE(2026,10,1))+SUMIFS('FUNDED DEALS'!$Y$4:$Y$1226,'FUNDED DEALS'!$W$4:$W$1226,$A19,'FUNDED DEALS'!$C$4:$C$1226,"&gt;="&amp;DATE(2026,9,1),'FUNDED DEALS'!$C$4:$C$1226,"&lt;"&amp;DATE(2026,10,1))+SUMIFS('FUNDED DEALS'!$AB$4:$AB$1226,'FUNDED DEALS'!$Z$4:$Z$1226,$A19,'FUNDED DEALS'!$C$4:$C$1226,"&gt;="&amp;DATE(2026,9,1),'FUNDED DEALS'!$C$4:$C$1226,"&lt;"&amp;DATE(2026,10,1))+SUMIFS('FUNDED DEALS 2027'!$V$4:$V$1226,'FUNDED DEALS 2027'!$T$4:$T$1226,$A19,'FUNDED DEALS 2027'!$C$4:$C$1226,"&gt;="&amp;DATE(2026,9,1),'FUNDED DEALS 2027'!$C$4:$C$1226,"&lt;"&amp;DATE(2026,10,1))+SUMIFS('FUNDED DEALS 2027'!$Y$4:$Y$1226,'FUNDED DEALS 2027'!$W$4:$W$1226,$A19,'FUNDED DEALS 2027'!$C$4:$C$1226,"&gt;="&amp;DATE(2026,9,1),'FUNDED DEALS 2027'!$C$4:$C$1226,"&lt;"&amp;DATE(2026,10,1))+SUMIFS('FUNDED DEALS 2027'!$AB$4:$AB$1226,'FUNDED DEALS 2027'!$Z$4:$Z$1226,$A19,'FUNDED DEALS 2027'!$C$4:$C$1226,"&gt;="&amp;DATE(2026,9,1),'FUNDED DEALS 2027'!$C$4:$C$1226,"&lt;"&amp;DATE(2026,10,1)))</f>
        <v>0</v>
      </c>
      <c r="H19" s="51" t="n">
        <f aca="false">IF($A19="","",SUMIFS('FUNDED DEALS'!$V$4:$V$1226,'FUNDED DEALS'!$T$4:$T$1226,$A19,'FUNDED DEALS'!$C$4:$C$1226,"&gt;="&amp;DATE(2026,10,1),'FUNDED DEALS'!$C$4:$C$1226,"&lt;"&amp;DATE(2026,11,1))+SUMIFS('FUNDED DEALS'!$Y$4:$Y$1226,'FUNDED DEALS'!$W$4:$W$1226,$A19,'FUNDED DEALS'!$C$4:$C$1226,"&gt;="&amp;DATE(2026,10,1),'FUNDED DEALS'!$C$4:$C$1226,"&lt;"&amp;DATE(2026,11,1))+SUMIFS('FUNDED DEALS'!$AB$4:$AB$1226,'FUNDED DEALS'!$Z$4:$Z$1226,$A19,'FUNDED DEALS'!$C$4:$C$1226,"&gt;="&amp;DATE(2026,10,1),'FUNDED DEALS'!$C$4:$C$1226,"&lt;"&amp;DATE(2026,11,1))+SUMIFS('FUNDED DEALS 2027'!$V$4:$V$1226,'FUNDED DEALS 2027'!$T$4:$T$1226,$A19,'FUNDED DEALS 2027'!$C$4:$C$1226,"&gt;="&amp;DATE(2026,10,1),'FUNDED DEALS 2027'!$C$4:$C$1226,"&lt;"&amp;DATE(2026,11,1))+SUMIFS('FUNDED DEALS 2027'!$Y$4:$Y$1226,'FUNDED DEALS 2027'!$W$4:$W$1226,$A19,'FUNDED DEALS 2027'!$C$4:$C$1226,"&gt;="&amp;DATE(2026,10,1),'FUNDED DEALS 2027'!$C$4:$C$1226,"&lt;"&amp;DATE(2026,11,1))+SUMIFS('FUNDED DEALS 2027'!$AB$4:$AB$1226,'FUNDED DEALS 2027'!$Z$4:$Z$1226,$A19,'FUNDED DEALS 2027'!$C$4:$C$1226,"&gt;="&amp;DATE(2026,10,1),'FUNDED DEALS 2027'!$C$4:$C$1226,"&lt;"&amp;DATE(2026,11,1)))</f>
        <v>0</v>
      </c>
      <c r="I19" s="51" t="n">
        <f aca="false">IF($A19="","",SUMIFS('FUNDED DEALS'!$V$4:$V$1226,'FUNDED DEALS'!$T$4:$T$1226,$A19,'FUNDED DEALS'!$C$4:$C$1226,"&gt;="&amp;DATE(2026,11,1),'FUNDED DEALS'!$C$4:$C$1226,"&lt;"&amp;DATE(2026,12,1))+SUMIFS('FUNDED DEALS'!$Y$4:$Y$1226,'FUNDED DEALS'!$W$4:$W$1226,$A19,'FUNDED DEALS'!$C$4:$C$1226,"&gt;="&amp;DATE(2026,11,1),'FUNDED DEALS'!$C$4:$C$1226,"&lt;"&amp;DATE(2026,12,1))+SUMIFS('FUNDED DEALS'!$AB$4:$AB$1226,'FUNDED DEALS'!$Z$4:$Z$1226,$A19,'FUNDED DEALS'!$C$4:$C$1226,"&gt;="&amp;DATE(2026,11,1),'FUNDED DEALS'!$C$4:$C$1226,"&lt;"&amp;DATE(2026,12,1))+SUMIFS('FUNDED DEALS 2027'!$V$4:$V$1226,'FUNDED DEALS 2027'!$T$4:$T$1226,$A19,'FUNDED DEALS 2027'!$C$4:$C$1226,"&gt;="&amp;DATE(2026,11,1),'FUNDED DEALS 2027'!$C$4:$C$1226,"&lt;"&amp;DATE(2026,12,1))+SUMIFS('FUNDED DEALS 2027'!$Y$4:$Y$1226,'FUNDED DEALS 2027'!$W$4:$W$1226,$A19,'FUNDED DEALS 2027'!$C$4:$C$1226,"&gt;="&amp;DATE(2026,11,1),'FUNDED DEALS 2027'!$C$4:$C$1226,"&lt;"&amp;DATE(2026,12,1))+SUMIFS('FUNDED DEALS 2027'!$AB$4:$AB$1226,'FUNDED DEALS 2027'!$Z$4:$Z$1226,$A19,'FUNDED DEALS 2027'!$C$4:$C$1226,"&gt;="&amp;DATE(2026,11,1),'FUNDED DEALS 2027'!$C$4:$C$1226,"&lt;"&amp;DATE(2026,12,1)))</f>
        <v>0</v>
      </c>
      <c r="J19" s="51" t="n">
        <f aca="false">IF($A19="","",SUMIFS('FUNDED DEALS'!$V$4:$V$1226,'FUNDED DEALS'!$T$4:$T$1226,$A19,'FUNDED DEALS'!$C$4:$C$1226,"&gt;="&amp;DATE(2026,12,1),'FUNDED DEALS'!$C$4:$C$1226,"&lt;"&amp;DATE(2027,1,1))+SUMIFS('FUNDED DEALS'!$Y$4:$Y$1226,'FUNDED DEALS'!$W$4:$W$1226,$A19,'FUNDED DEALS'!$C$4:$C$1226,"&gt;="&amp;DATE(2026,12,1),'FUNDED DEALS'!$C$4:$C$1226,"&lt;"&amp;DATE(2027,1,1))+SUMIFS('FUNDED DEALS'!$AB$4:$AB$1226,'FUNDED DEALS'!$Z$4:$Z$1226,$A19,'FUNDED DEALS'!$C$4:$C$1226,"&gt;="&amp;DATE(2026,12,1),'FUNDED DEALS'!$C$4:$C$1226,"&lt;"&amp;DATE(2027,1,1))+SUMIFS('FUNDED DEALS 2027'!$V$4:$V$1226,'FUNDED DEALS 2027'!$T$4:$T$1226,$A19,'FUNDED DEALS 2027'!$C$4:$C$1226,"&gt;="&amp;DATE(2026,12,1),'FUNDED DEALS 2027'!$C$4:$C$1226,"&lt;"&amp;DATE(2027,1,1))+SUMIFS('FUNDED DEALS 2027'!$Y$4:$Y$1226,'FUNDED DEALS 2027'!$W$4:$W$1226,$A19,'FUNDED DEALS 2027'!$C$4:$C$1226,"&gt;="&amp;DATE(2026,12,1),'FUNDED DEALS 2027'!$C$4:$C$1226,"&lt;"&amp;DATE(2027,1,1))+SUMIFS('FUNDED DEALS 2027'!$AB$4:$AB$1226,'FUNDED DEALS 2027'!$Z$4:$Z$1226,$A19,'FUNDED DEALS 2027'!$C$4:$C$1226,"&gt;="&amp;DATE(2026,12,1),'FUNDED DEALS 2027'!$C$4:$C$1226,"&lt;"&amp;DATE(2027,1,1)))</f>
        <v>0</v>
      </c>
      <c r="K19" s="51" t="n">
        <f aca="false">IF($A19="","",SUMIFS('FUNDED DEALS'!$V$4:$V$1226,'FUNDED DEALS'!$T$4:$T$1226,$A19,'FUNDED DEALS'!$C$4:$C$1226,"&gt;="&amp;DATE(2027,1,1),'FUNDED DEALS'!$C$4:$C$1226,"&lt;"&amp;DATE(2027,2,1))+SUMIFS('FUNDED DEALS'!$Y$4:$Y$1226,'FUNDED DEALS'!$W$4:$W$1226,$A19,'FUNDED DEALS'!$C$4:$C$1226,"&gt;="&amp;DATE(2027,1,1),'FUNDED DEALS'!$C$4:$C$1226,"&lt;"&amp;DATE(2027,2,1))+SUMIFS('FUNDED DEALS'!$AB$4:$AB$1226,'FUNDED DEALS'!$Z$4:$Z$1226,$A19,'FUNDED DEALS'!$C$4:$C$1226,"&gt;="&amp;DATE(2027,1,1),'FUNDED DEALS'!$C$4:$C$1226,"&lt;"&amp;DATE(2027,2,1))+SUMIFS('FUNDED DEALS 2027'!$V$4:$V$1226,'FUNDED DEALS 2027'!$T$4:$T$1226,$A19,'FUNDED DEALS 2027'!$C$4:$C$1226,"&gt;="&amp;DATE(2027,1,1),'FUNDED DEALS 2027'!$C$4:$C$1226,"&lt;"&amp;DATE(2027,2,1))+SUMIFS('FUNDED DEALS 2027'!$Y$4:$Y$1226,'FUNDED DEALS 2027'!$W$4:$W$1226,$A19,'FUNDED DEALS 2027'!$C$4:$C$1226,"&gt;="&amp;DATE(2027,1,1),'FUNDED DEALS 2027'!$C$4:$C$1226,"&lt;"&amp;DATE(2027,2,1))+SUMIFS('FUNDED DEALS 2027'!$AB$4:$AB$1226,'FUNDED DEALS 2027'!$Z$4:$Z$1226,$A19,'FUNDED DEALS 2027'!$C$4:$C$1226,"&gt;="&amp;DATE(2027,1,1),'FUNDED DEALS 2027'!$C$4:$C$1226,"&lt;"&amp;DATE(2027,2,1)))</f>
        <v>0</v>
      </c>
      <c r="L19" s="51" t="n">
        <f aca="false">IF($A19="","",SUMIFS('FUNDED DEALS'!$V$4:$V$1226,'FUNDED DEALS'!$T$4:$T$1226,$A19,'FUNDED DEALS'!$C$4:$C$1226,"&gt;="&amp;DATE(2027,2,1),'FUNDED DEALS'!$C$4:$C$1226,"&lt;"&amp;DATE(2027,3,1))+SUMIFS('FUNDED DEALS'!$Y$4:$Y$1226,'FUNDED DEALS'!$W$4:$W$1226,$A19,'FUNDED DEALS'!$C$4:$C$1226,"&gt;="&amp;DATE(2027,2,1),'FUNDED DEALS'!$C$4:$C$1226,"&lt;"&amp;DATE(2027,3,1))+SUMIFS('FUNDED DEALS'!$AB$4:$AB$1226,'FUNDED DEALS'!$Z$4:$Z$1226,$A19,'FUNDED DEALS'!$C$4:$C$1226,"&gt;="&amp;DATE(2027,2,1),'FUNDED DEALS'!$C$4:$C$1226,"&lt;"&amp;DATE(2027,3,1))+SUMIFS('FUNDED DEALS 2027'!$V$4:$V$1226,'FUNDED DEALS 2027'!$T$4:$T$1226,$A19,'FUNDED DEALS 2027'!$C$4:$C$1226,"&gt;="&amp;DATE(2027,2,1),'FUNDED DEALS 2027'!$C$4:$C$1226,"&lt;"&amp;DATE(2027,3,1))+SUMIFS('FUNDED DEALS 2027'!$Y$4:$Y$1226,'FUNDED DEALS 2027'!$W$4:$W$1226,$A19,'FUNDED DEALS 2027'!$C$4:$C$1226,"&gt;="&amp;DATE(2027,2,1),'FUNDED DEALS 2027'!$C$4:$C$1226,"&lt;"&amp;DATE(2027,3,1))+SUMIFS('FUNDED DEALS 2027'!$AB$4:$AB$1226,'FUNDED DEALS 2027'!$Z$4:$Z$1226,$A19,'FUNDED DEALS 2027'!$C$4:$C$1226,"&gt;="&amp;DATE(2027,2,1),'FUNDED DEALS 2027'!$C$4:$C$1226,"&lt;"&amp;DATE(2027,3,1)))</f>
        <v>0</v>
      </c>
      <c r="M19" s="51" t="n">
        <f aca="false">IF($A19="","",SUMIFS('FUNDED DEALS'!$V$4:$V$1226,'FUNDED DEALS'!$T$4:$T$1226,$A19,'FUNDED DEALS'!$C$4:$C$1226,"&gt;="&amp;DATE(2027,3,1),'FUNDED DEALS'!$C$4:$C$1226,"&lt;"&amp;DATE(2027,4,1))+SUMIFS('FUNDED DEALS'!$Y$4:$Y$1226,'FUNDED DEALS'!$W$4:$W$1226,$A19,'FUNDED DEALS'!$C$4:$C$1226,"&gt;="&amp;DATE(2027,3,1),'FUNDED DEALS'!$C$4:$C$1226,"&lt;"&amp;DATE(2027,4,1))+SUMIFS('FUNDED DEALS'!$AB$4:$AB$1226,'FUNDED DEALS'!$Z$4:$Z$1226,$A19,'FUNDED DEALS'!$C$4:$C$1226,"&gt;="&amp;DATE(2027,3,1),'FUNDED DEALS'!$C$4:$C$1226,"&lt;"&amp;DATE(2027,4,1))+SUMIFS('FUNDED DEALS 2027'!$V$4:$V$1226,'FUNDED DEALS 2027'!$T$4:$T$1226,$A19,'FUNDED DEALS 2027'!$C$4:$C$1226,"&gt;="&amp;DATE(2027,3,1),'FUNDED DEALS 2027'!$C$4:$C$1226,"&lt;"&amp;DATE(2027,4,1))+SUMIFS('FUNDED DEALS 2027'!$Y$4:$Y$1226,'FUNDED DEALS 2027'!$W$4:$W$1226,$A19,'FUNDED DEALS 2027'!$C$4:$C$1226,"&gt;="&amp;DATE(2027,3,1),'FUNDED DEALS 2027'!$C$4:$C$1226,"&lt;"&amp;DATE(2027,4,1))+SUMIFS('FUNDED DEALS 2027'!$AB$4:$AB$1226,'FUNDED DEALS 2027'!$Z$4:$Z$1226,$A19,'FUNDED DEALS 2027'!$C$4:$C$1226,"&gt;="&amp;DATE(2027,3,1),'FUNDED DEALS 2027'!$C$4:$C$1226,"&lt;"&amp;DATE(2027,4,1)))</f>
        <v>0</v>
      </c>
      <c r="N19" s="51" t="n">
        <f aca="false">IF($A19="","",SUMIFS('FUNDED DEALS'!$V$4:$V$1226,'FUNDED DEALS'!$T$4:$T$1226,$A19,'FUNDED DEALS'!$C$4:$C$1226,"&gt;="&amp;DATE(2027,4,1),'FUNDED DEALS'!$C$4:$C$1226,"&lt;"&amp;DATE(2027,5,1))+SUMIFS('FUNDED DEALS'!$Y$4:$Y$1226,'FUNDED DEALS'!$W$4:$W$1226,$A19,'FUNDED DEALS'!$C$4:$C$1226,"&gt;="&amp;DATE(2027,4,1),'FUNDED DEALS'!$C$4:$C$1226,"&lt;"&amp;DATE(2027,5,1))+SUMIFS('FUNDED DEALS'!$AB$4:$AB$1226,'FUNDED DEALS'!$Z$4:$Z$1226,$A19,'FUNDED DEALS'!$C$4:$C$1226,"&gt;="&amp;DATE(2027,4,1),'FUNDED DEALS'!$C$4:$C$1226,"&lt;"&amp;DATE(2027,5,1))+SUMIFS('FUNDED DEALS 2027'!$V$4:$V$1226,'FUNDED DEALS 2027'!$T$4:$T$1226,$A19,'FUNDED DEALS 2027'!$C$4:$C$1226,"&gt;="&amp;DATE(2027,4,1),'FUNDED DEALS 2027'!$C$4:$C$1226,"&lt;"&amp;DATE(2027,5,1))+SUMIFS('FUNDED DEALS 2027'!$Y$4:$Y$1226,'FUNDED DEALS 2027'!$W$4:$W$1226,$A19,'FUNDED DEALS 2027'!$C$4:$C$1226,"&gt;="&amp;DATE(2027,4,1),'FUNDED DEALS 2027'!$C$4:$C$1226,"&lt;"&amp;DATE(2027,5,1))+SUMIFS('FUNDED DEALS 2027'!$AB$4:$AB$1226,'FUNDED DEALS 2027'!$Z$4:$Z$1226,$A19,'FUNDED DEALS 2027'!$C$4:$C$1226,"&gt;="&amp;DATE(2027,4,1),'FUNDED DEALS 2027'!$C$4:$C$1226,"&lt;"&amp;DATE(2027,5,1)))</f>
        <v>0</v>
      </c>
      <c r="O19" s="51" t="n">
        <f aca="false">IF($A19="","",SUMIFS('FUNDED DEALS'!$V$4:$V$1226,'FUNDED DEALS'!$T$4:$T$1226,$A19,'FUNDED DEALS'!$C$4:$C$1226,"&gt;="&amp;DATE(2027,5,1),'FUNDED DEALS'!$C$4:$C$1226,"&lt;"&amp;DATE(2027,6,1))+SUMIFS('FUNDED DEALS'!$Y$4:$Y$1226,'FUNDED DEALS'!$W$4:$W$1226,$A19,'FUNDED DEALS'!$C$4:$C$1226,"&gt;="&amp;DATE(2027,5,1),'FUNDED DEALS'!$C$4:$C$1226,"&lt;"&amp;DATE(2027,6,1))+SUMIFS('FUNDED DEALS'!$AB$4:$AB$1226,'FUNDED DEALS'!$Z$4:$Z$1226,$A19,'FUNDED DEALS'!$C$4:$C$1226,"&gt;="&amp;DATE(2027,5,1),'FUNDED DEALS'!$C$4:$C$1226,"&lt;"&amp;DATE(2027,6,1))+SUMIFS('FUNDED DEALS 2027'!$V$4:$V$1226,'FUNDED DEALS 2027'!$T$4:$T$1226,$A19,'FUNDED DEALS 2027'!$C$4:$C$1226,"&gt;="&amp;DATE(2027,5,1),'FUNDED DEALS 2027'!$C$4:$C$1226,"&lt;"&amp;DATE(2027,6,1))+SUMIFS('FUNDED DEALS 2027'!$Y$4:$Y$1226,'FUNDED DEALS 2027'!$W$4:$W$1226,$A19,'FUNDED DEALS 2027'!$C$4:$C$1226,"&gt;="&amp;DATE(2027,5,1),'FUNDED DEALS 2027'!$C$4:$C$1226,"&lt;"&amp;DATE(2027,6,1))+SUMIFS('FUNDED DEALS 2027'!$AB$4:$AB$1226,'FUNDED DEALS 2027'!$Z$4:$Z$1226,$A19,'FUNDED DEALS 2027'!$C$4:$C$1226,"&gt;="&amp;DATE(2027,5,1),'FUNDED DEALS 2027'!$C$4:$C$1226,"&lt;"&amp;DATE(2027,6,1)))</f>
        <v>0</v>
      </c>
      <c r="P19" s="51" t="n">
        <f aca="false">IF($A19="","",SUMIFS('FUNDED DEALS'!$V$4:$V$1226,'FUNDED DEALS'!$T$4:$T$1226,$A19,'FUNDED DEALS'!$C$4:$C$1226,"&gt;="&amp;DATE(2027,6,1),'FUNDED DEALS'!$C$4:$C$1226,"&lt;"&amp;DATE(2027,7,1))+SUMIFS('FUNDED DEALS'!$Y$4:$Y$1226,'FUNDED DEALS'!$W$4:$W$1226,$A19,'FUNDED DEALS'!$C$4:$C$1226,"&gt;="&amp;DATE(2027,6,1),'FUNDED DEALS'!$C$4:$C$1226,"&lt;"&amp;DATE(2027,7,1))+SUMIFS('FUNDED DEALS'!$AB$4:$AB$1226,'FUNDED DEALS'!$Z$4:$Z$1226,$A19,'FUNDED DEALS'!$C$4:$C$1226,"&gt;="&amp;DATE(2027,6,1),'FUNDED DEALS'!$C$4:$C$1226,"&lt;"&amp;DATE(2027,7,1))+SUMIFS('FUNDED DEALS 2027'!$V$4:$V$1226,'FUNDED DEALS 2027'!$T$4:$T$1226,$A19,'FUNDED DEALS 2027'!$C$4:$C$1226,"&gt;="&amp;DATE(2027,6,1),'FUNDED DEALS 2027'!$C$4:$C$1226,"&lt;"&amp;DATE(2027,7,1))+SUMIFS('FUNDED DEALS 2027'!$Y$4:$Y$1226,'FUNDED DEALS 2027'!$W$4:$W$1226,$A19,'FUNDED DEALS 2027'!$C$4:$C$1226,"&gt;="&amp;DATE(2027,6,1),'FUNDED DEALS 2027'!$C$4:$C$1226,"&lt;"&amp;DATE(2027,7,1))+SUMIFS('FUNDED DEALS 2027'!$AB$4:$AB$1226,'FUNDED DEALS 2027'!$Z$4:$Z$1226,$A19,'FUNDED DEALS 2027'!$C$4:$C$1226,"&gt;="&amp;DATE(2027,6,1),'FUNDED DEALS 2027'!$C$4:$C$1226,"&lt;"&amp;DATE(2027,7,1)))</f>
        <v>0</v>
      </c>
      <c r="Q19" s="51" t="n">
        <f aca="false">IF($A19="","",SUMIFS('FUNDED DEALS'!$V$4:$V$1226,'FUNDED DEALS'!$T$4:$T$1226,$A19,'FUNDED DEALS'!$C$4:$C$1226,"&gt;="&amp;DATE(2027,7,1),'FUNDED DEALS'!$C$4:$C$1226,"&lt;"&amp;DATE(2027,8,1))+SUMIFS('FUNDED DEALS'!$Y$4:$Y$1226,'FUNDED DEALS'!$W$4:$W$1226,$A19,'FUNDED DEALS'!$C$4:$C$1226,"&gt;="&amp;DATE(2027,7,1),'FUNDED DEALS'!$C$4:$C$1226,"&lt;"&amp;DATE(2027,8,1))+SUMIFS('FUNDED DEALS'!$AB$4:$AB$1226,'FUNDED DEALS'!$Z$4:$Z$1226,$A19,'FUNDED DEALS'!$C$4:$C$1226,"&gt;="&amp;DATE(2027,7,1),'FUNDED DEALS'!$C$4:$C$1226,"&lt;"&amp;DATE(2027,8,1))+SUMIFS('FUNDED DEALS 2027'!$V$4:$V$1226,'FUNDED DEALS 2027'!$T$4:$T$1226,$A19,'FUNDED DEALS 2027'!$C$4:$C$1226,"&gt;="&amp;DATE(2027,7,1),'FUNDED DEALS 2027'!$C$4:$C$1226,"&lt;"&amp;DATE(2027,8,1))+SUMIFS('FUNDED DEALS 2027'!$Y$4:$Y$1226,'FUNDED DEALS 2027'!$W$4:$W$1226,$A19,'FUNDED DEALS 2027'!$C$4:$C$1226,"&gt;="&amp;DATE(2027,7,1),'FUNDED DEALS 2027'!$C$4:$C$1226,"&lt;"&amp;DATE(2027,8,1))+SUMIFS('FUNDED DEALS 2027'!$AB$4:$AB$1226,'FUNDED DEALS 2027'!$Z$4:$Z$1226,$A19,'FUNDED DEALS 2027'!$C$4:$C$1226,"&gt;="&amp;DATE(2027,7,1),'FUNDED DEALS 2027'!$C$4:$C$1226,"&lt;"&amp;DATE(2027,8,1)))</f>
        <v>0</v>
      </c>
      <c r="R19" s="51" t="n">
        <f aca="false">IF($A19="","",SUMIFS('FUNDED DEALS'!$V$4:$V$1226,'FUNDED DEALS'!$T$4:$T$1226,$A19,'FUNDED DEALS'!$C$4:$C$1226,"&gt;="&amp;DATE(2027,8,1),'FUNDED DEALS'!$C$4:$C$1226,"&lt;"&amp;DATE(2027,9,1))+SUMIFS('FUNDED DEALS'!$Y$4:$Y$1226,'FUNDED DEALS'!$W$4:$W$1226,$A19,'FUNDED DEALS'!$C$4:$C$1226,"&gt;="&amp;DATE(2027,8,1),'FUNDED DEALS'!$C$4:$C$1226,"&lt;"&amp;DATE(2027,9,1))+SUMIFS('FUNDED DEALS'!$AB$4:$AB$1226,'FUNDED DEALS'!$Z$4:$Z$1226,$A19,'FUNDED DEALS'!$C$4:$C$1226,"&gt;="&amp;DATE(2027,8,1),'FUNDED DEALS'!$C$4:$C$1226,"&lt;"&amp;DATE(2027,9,1))+SUMIFS('FUNDED DEALS 2027'!$V$4:$V$1226,'FUNDED DEALS 2027'!$T$4:$T$1226,$A19,'FUNDED DEALS 2027'!$C$4:$C$1226,"&gt;="&amp;DATE(2027,8,1),'FUNDED DEALS 2027'!$C$4:$C$1226,"&lt;"&amp;DATE(2027,9,1))+SUMIFS('FUNDED DEALS 2027'!$Y$4:$Y$1226,'FUNDED DEALS 2027'!$W$4:$W$1226,$A19,'FUNDED DEALS 2027'!$C$4:$C$1226,"&gt;="&amp;DATE(2027,8,1),'FUNDED DEALS 2027'!$C$4:$C$1226,"&lt;"&amp;DATE(2027,9,1))+SUMIFS('FUNDED DEALS 2027'!$AB$4:$AB$1226,'FUNDED DEALS 2027'!$Z$4:$Z$1226,$A19,'FUNDED DEALS 2027'!$C$4:$C$1226,"&gt;="&amp;DATE(2027,8,1),'FUNDED DEALS 2027'!$C$4:$C$1226,"&lt;"&amp;DATE(2027,9,1)))</f>
        <v>0</v>
      </c>
      <c r="S19" s="51" t="n">
        <f aca="false">IF($A19="","",SUMIFS('FUNDED DEALS'!$V$4:$V$1226,'FUNDED DEALS'!$T$4:$T$1226,$A19,'FUNDED DEALS'!$C$4:$C$1226,"&gt;="&amp;DATE(2027,9,1),'FUNDED DEALS'!$C$4:$C$1226,"&lt;"&amp;DATE(2027,10,1))+SUMIFS('FUNDED DEALS'!$Y$4:$Y$1226,'FUNDED DEALS'!$W$4:$W$1226,$A19,'FUNDED DEALS'!$C$4:$C$1226,"&gt;="&amp;DATE(2027,9,1),'FUNDED DEALS'!$C$4:$C$1226,"&lt;"&amp;DATE(2027,10,1))+SUMIFS('FUNDED DEALS'!$AB$4:$AB$1226,'FUNDED DEALS'!$Z$4:$Z$1226,$A19,'FUNDED DEALS'!$C$4:$C$1226,"&gt;="&amp;DATE(2027,9,1),'FUNDED DEALS'!$C$4:$C$1226,"&lt;"&amp;DATE(2027,10,1))+SUMIFS('FUNDED DEALS 2027'!$V$4:$V$1226,'FUNDED DEALS 2027'!$T$4:$T$1226,$A19,'FUNDED DEALS 2027'!$C$4:$C$1226,"&gt;="&amp;DATE(2027,9,1),'FUNDED DEALS 2027'!$C$4:$C$1226,"&lt;"&amp;DATE(2027,10,1))+SUMIFS('FUNDED DEALS 2027'!$Y$4:$Y$1226,'FUNDED DEALS 2027'!$W$4:$W$1226,$A19,'FUNDED DEALS 2027'!$C$4:$C$1226,"&gt;="&amp;DATE(2027,9,1),'FUNDED DEALS 2027'!$C$4:$C$1226,"&lt;"&amp;DATE(2027,10,1))+SUMIFS('FUNDED DEALS 2027'!$AB$4:$AB$1226,'FUNDED DEALS 2027'!$Z$4:$Z$1226,$A19,'FUNDED DEALS 2027'!$C$4:$C$1226,"&gt;="&amp;DATE(2027,9,1),'FUNDED DEALS 2027'!$C$4:$C$1226,"&lt;"&amp;DATE(2027,10,1)))</f>
        <v>0</v>
      </c>
      <c r="T19" s="51" t="n">
        <f aca="false">IF($A19="","",SUMIFS('FUNDED DEALS'!$V$4:$V$1226,'FUNDED DEALS'!$T$4:$T$1226,$A19,'FUNDED DEALS'!$C$4:$C$1226,"&gt;="&amp;DATE(2027,10,1),'FUNDED DEALS'!$C$4:$C$1226,"&lt;"&amp;DATE(2027,11,1))+SUMIFS('FUNDED DEALS'!$Y$4:$Y$1226,'FUNDED DEALS'!$W$4:$W$1226,$A19,'FUNDED DEALS'!$C$4:$C$1226,"&gt;="&amp;DATE(2027,10,1),'FUNDED DEALS'!$C$4:$C$1226,"&lt;"&amp;DATE(2027,11,1))+SUMIFS('FUNDED DEALS'!$AB$4:$AB$1226,'FUNDED DEALS'!$Z$4:$Z$1226,$A19,'FUNDED DEALS'!$C$4:$C$1226,"&gt;="&amp;DATE(2027,10,1),'FUNDED DEALS'!$C$4:$C$1226,"&lt;"&amp;DATE(2027,11,1))+SUMIFS('FUNDED DEALS 2027'!$V$4:$V$1226,'FUNDED DEALS 2027'!$T$4:$T$1226,$A19,'FUNDED DEALS 2027'!$C$4:$C$1226,"&gt;="&amp;DATE(2027,10,1),'FUNDED DEALS 2027'!$C$4:$C$1226,"&lt;"&amp;DATE(2027,11,1))+SUMIFS('FUNDED DEALS 2027'!$Y$4:$Y$1226,'FUNDED DEALS 2027'!$W$4:$W$1226,$A19,'FUNDED DEALS 2027'!$C$4:$C$1226,"&gt;="&amp;DATE(2027,10,1),'FUNDED DEALS 2027'!$C$4:$C$1226,"&lt;"&amp;DATE(2027,11,1))+SUMIFS('FUNDED DEALS 2027'!$AB$4:$AB$1226,'FUNDED DEALS 2027'!$Z$4:$Z$1226,$A19,'FUNDED DEALS 2027'!$C$4:$C$1226,"&gt;="&amp;DATE(2027,10,1),'FUNDED DEALS 2027'!$C$4:$C$1226,"&lt;"&amp;DATE(2027,11,1)))</f>
        <v>0</v>
      </c>
      <c r="U19" s="51" t="n">
        <f aca="false">IF($A19="","",SUMIFS('FUNDED DEALS'!$V$4:$V$1226,'FUNDED DEALS'!$T$4:$T$1226,$A19,'FUNDED DEALS'!$C$4:$C$1226,"&gt;="&amp;DATE(2027,11,1),'FUNDED DEALS'!$C$4:$C$1226,"&lt;"&amp;DATE(2027,12,1))+SUMIFS('FUNDED DEALS'!$Y$4:$Y$1226,'FUNDED DEALS'!$W$4:$W$1226,$A19,'FUNDED DEALS'!$C$4:$C$1226,"&gt;="&amp;DATE(2027,11,1),'FUNDED DEALS'!$C$4:$C$1226,"&lt;"&amp;DATE(2027,12,1))+SUMIFS('FUNDED DEALS'!$AB$4:$AB$1226,'FUNDED DEALS'!$Z$4:$Z$1226,$A19,'FUNDED DEALS'!$C$4:$C$1226,"&gt;="&amp;DATE(2027,11,1),'FUNDED DEALS'!$C$4:$C$1226,"&lt;"&amp;DATE(2027,12,1))+SUMIFS('FUNDED DEALS 2027'!$V$4:$V$1226,'FUNDED DEALS 2027'!$T$4:$T$1226,$A19,'FUNDED DEALS 2027'!$C$4:$C$1226,"&gt;="&amp;DATE(2027,11,1),'FUNDED DEALS 2027'!$C$4:$C$1226,"&lt;"&amp;DATE(2027,12,1))+SUMIFS('FUNDED DEALS 2027'!$Y$4:$Y$1226,'FUNDED DEALS 2027'!$W$4:$W$1226,$A19,'FUNDED DEALS 2027'!$C$4:$C$1226,"&gt;="&amp;DATE(2027,11,1),'FUNDED DEALS 2027'!$C$4:$C$1226,"&lt;"&amp;DATE(2027,12,1))+SUMIFS('FUNDED DEALS 2027'!$AB$4:$AB$1226,'FUNDED DEALS 2027'!$Z$4:$Z$1226,$A19,'FUNDED DEALS 2027'!$C$4:$C$1226,"&gt;="&amp;DATE(2027,11,1),'FUNDED DEALS 2027'!$C$4:$C$1226,"&lt;"&amp;DATE(2027,12,1)))</f>
        <v>0</v>
      </c>
      <c r="V19" s="51" t="n">
        <f aca="false">IF($A19="","",SUMIFS('FUNDED DEALS'!$V$4:$V$1226,'FUNDED DEALS'!$T$4:$T$1226,$A19,'FUNDED DEALS'!$C$4:$C$1226,"&gt;="&amp;DATE(2027,12,1),'FUNDED DEALS'!$C$4:$C$1226,"&lt;"&amp;DATE(2028,1,1))+SUMIFS('FUNDED DEALS'!$Y$4:$Y$1226,'FUNDED DEALS'!$W$4:$W$1226,$A19,'FUNDED DEALS'!$C$4:$C$1226,"&gt;="&amp;DATE(2027,12,1),'FUNDED DEALS'!$C$4:$C$1226,"&lt;"&amp;DATE(2028,1,1))+SUMIFS('FUNDED DEALS'!$AB$4:$AB$1226,'FUNDED DEALS'!$Z$4:$Z$1226,$A19,'FUNDED DEALS'!$C$4:$C$1226,"&gt;="&amp;DATE(2027,12,1),'FUNDED DEALS'!$C$4:$C$1226,"&lt;"&amp;DATE(2028,1,1))+SUMIFS('FUNDED DEALS 2027'!$V$4:$V$1226,'FUNDED DEALS 2027'!$T$4:$T$1226,$A19,'FUNDED DEALS 2027'!$C$4:$C$1226,"&gt;="&amp;DATE(2027,12,1),'FUNDED DEALS 2027'!$C$4:$C$1226,"&lt;"&amp;DATE(2028,1,1))+SUMIFS('FUNDED DEALS 2027'!$Y$4:$Y$1226,'FUNDED DEALS 2027'!$W$4:$W$1226,$A19,'FUNDED DEALS 2027'!$C$4:$C$1226,"&gt;="&amp;DATE(2027,12,1),'FUNDED DEALS 2027'!$C$4:$C$1226,"&lt;"&amp;DATE(2028,1,1))+SUMIFS('FUNDED DEALS 2027'!$AB$4:$AB$1226,'FUNDED DEALS 2027'!$Z$4:$Z$1226,$A19,'FUNDED DEALS 2027'!$C$4:$C$1226,"&gt;="&amp;DATE(2027,12,1),'FUNDED DEALS 2027'!$C$4:$C$1226,"&lt;"&amp;DATE(2028,1,1)))</f>
        <v>0</v>
      </c>
      <c r="W19" s="58" t="n">
        <f aca="false">IF($A19="","",SUM(B19:V19))</f>
        <v>0</v>
      </c>
    </row>
    <row r="20" customFormat="false" ht="15" hidden="false" customHeight="false" outlineLevel="0" collapsed="false">
      <c r="A20" s="47" t="str">
        <f aca="false">IF(REPS!A18="","",REPS!A18)</f>
        <v>Rav Sova</v>
      </c>
      <c r="B20" s="48" t="n">
        <f aca="false">IF($A20="","",SUMIFS('FUNDED DEALS'!$V$4:$V$1226,'FUNDED DEALS'!$T$4:$T$1226,$A20,'FUNDED DEALS'!$C$4:$C$1226,"&gt;="&amp;DATE(2026,4,1),'FUNDED DEALS'!$C$4:$C$1226,"&lt;"&amp;DATE(2026,5,1))+SUMIFS('FUNDED DEALS'!$Y$4:$Y$1226,'FUNDED DEALS'!$W$4:$W$1226,$A20,'FUNDED DEALS'!$C$4:$C$1226,"&gt;="&amp;DATE(2026,4,1),'FUNDED DEALS'!$C$4:$C$1226,"&lt;"&amp;DATE(2026,5,1))+SUMIFS('FUNDED DEALS'!$AB$4:$AB$1226,'FUNDED DEALS'!$Z$4:$Z$1226,$A20,'FUNDED DEALS'!$C$4:$C$1226,"&gt;="&amp;DATE(2026,4,1),'FUNDED DEALS'!$C$4:$C$1226,"&lt;"&amp;DATE(2026,5,1))+SUMIFS('FUNDED DEALS 2027'!$V$4:$V$1226,'FUNDED DEALS 2027'!$T$4:$T$1226,$A20,'FUNDED DEALS 2027'!$C$4:$C$1226,"&gt;="&amp;DATE(2026,4,1),'FUNDED DEALS 2027'!$C$4:$C$1226,"&lt;"&amp;DATE(2026,5,1))+SUMIFS('FUNDED DEALS 2027'!$Y$4:$Y$1226,'FUNDED DEALS 2027'!$W$4:$W$1226,$A20,'FUNDED DEALS 2027'!$C$4:$C$1226,"&gt;="&amp;DATE(2026,4,1),'FUNDED DEALS 2027'!$C$4:$C$1226,"&lt;"&amp;DATE(2026,5,1))+SUMIFS('FUNDED DEALS 2027'!$AB$4:$AB$1226,'FUNDED DEALS 2027'!$Z$4:$Z$1226,$A20,'FUNDED DEALS 2027'!$C$4:$C$1226,"&gt;="&amp;DATE(2026,4,1),'FUNDED DEALS 2027'!$C$4:$C$1226,"&lt;"&amp;DATE(2026,5,1)))</f>
        <v>0</v>
      </c>
      <c r="C20" s="48" t="n">
        <f aca="false">IF($A20="","",SUMIFS('FUNDED DEALS'!$V$4:$V$1226,'FUNDED DEALS'!$T$4:$T$1226,$A20,'FUNDED DEALS'!$C$4:$C$1226,"&gt;="&amp;DATE(2026,5,1),'FUNDED DEALS'!$C$4:$C$1226,"&lt;"&amp;DATE(2026,6,1))+SUMIFS('FUNDED DEALS'!$Y$4:$Y$1226,'FUNDED DEALS'!$W$4:$W$1226,$A20,'FUNDED DEALS'!$C$4:$C$1226,"&gt;="&amp;DATE(2026,5,1),'FUNDED DEALS'!$C$4:$C$1226,"&lt;"&amp;DATE(2026,6,1))+SUMIFS('FUNDED DEALS'!$AB$4:$AB$1226,'FUNDED DEALS'!$Z$4:$Z$1226,$A20,'FUNDED DEALS'!$C$4:$C$1226,"&gt;="&amp;DATE(2026,5,1),'FUNDED DEALS'!$C$4:$C$1226,"&lt;"&amp;DATE(2026,6,1))+SUMIFS('FUNDED DEALS 2027'!$V$4:$V$1226,'FUNDED DEALS 2027'!$T$4:$T$1226,$A20,'FUNDED DEALS 2027'!$C$4:$C$1226,"&gt;="&amp;DATE(2026,5,1),'FUNDED DEALS 2027'!$C$4:$C$1226,"&lt;"&amp;DATE(2026,6,1))+SUMIFS('FUNDED DEALS 2027'!$Y$4:$Y$1226,'FUNDED DEALS 2027'!$W$4:$W$1226,$A20,'FUNDED DEALS 2027'!$C$4:$C$1226,"&gt;="&amp;DATE(2026,5,1),'FUNDED DEALS 2027'!$C$4:$C$1226,"&lt;"&amp;DATE(2026,6,1))+SUMIFS('FUNDED DEALS 2027'!$AB$4:$AB$1226,'FUNDED DEALS 2027'!$Z$4:$Z$1226,$A20,'FUNDED DEALS 2027'!$C$4:$C$1226,"&gt;="&amp;DATE(2026,5,1),'FUNDED DEALS 2027'!$C$4:$C$1226,"&lt;"&amp;DATE(2026,6,1)))</f>
        <v>0</v>
      </c>
      <c r="D20" s="48" t="n">
        <f aca="false">IF($A20="","",SUMIFS('FUNDED DEALS'!$V$4:$V$1226,'FUNDED DEALS'!$T$4:$T$1226,$A20,'FUNDED DEALS'!$C$4:$C$1226,"&gt;="&amp;DATE(2026,6,1),'FUNDED DEALS'!$C$4:$C$1226,"&lt;"&amp;DATE(2026,7,1))+SUMIFS('FUNDED DEALS'!$Y$4:$Y$1226,'FUNDED DEALS'!$W$4:$W$1226,$A20,'FUNDED DEALS'!$C$4:$C$1226,"&gt;="&amp;DATE(2026,6,1),'FUNDED DEALS'!$C$4:$C$1226,"&lt;"&amp;DATE(2026,7,1))+SUMIFS('FUNDED DEALS'!$AB$4:$AB$1226,'FUNDED DEALS'!$Z$4:$Z$1226,$A20,'FUNDED DEALS'!$C$4:$C$1226,"&gt;="&amp;DATE(2026,6,1),'FUNDED DEALS'!$C$4:$C$1226,"&lt;"&amp;DATE(2026,7,1))+SUMIFS('FUNDED DEALS 2027'!$V$4:$V$1226,'FUNDED DEALS 2027'!$T$4:$T$1226,$A20,'FUNDED DEALS 2027'!$C$4:$C$1226,"&gt;="&amp;DATE(2026,6,1),'FUNDED DEALS 2027'!$C$4:$C$1226,"&lt;"&amp;DATE(2026,7,1))+SUMIFS('FUNDED DEALS 2027'!$Y$4:$Y$1226,'FUNDED DEALS 2027'!$W$4:$W$1226,$A20,'FUNDED DEALS 2027'!$C$4:$C$1226,"&gt;="&amp;DATE(2026,6,1),'FUNDED DEALS 2027'!$C$4:$C$1226,"&lt;"&amp;DATE(2026,7,1))+SUMIFS('FUNDED DEALS 2027'!$AB$4:$AB$1226,'FUNDED DEALS 2027'!$Z$4:$Z$1226,$A20,'FUNDED DEALS 2027'!$C$4:$C$1226,"&gt;="&amp;DATE(2026,6,1),'FUNDED DEALS 2027'!$C$4:$C$1226,"&lt;"&amp;DATE(2026,7,1)))</f>
        <v>0</v>
      </c>
      <c r="E20" s="48" t="n">
        <f aca="false">IF($A20="","",SUMIFS('FUNDED DEALS'!$V$4:$V$1226,'FUNDED DEALS'!$T$4:$T$1226,$A20,'FUNDED DEALS'!$C$4:$C$1226,"&gt;="&amp;DATE(2026,7,1),'FUNDED DEALS'!$C$4:$C$1226,"&lt;"&amp;DATE(2026,8,1))+SUMIFS('FUNDED DEALS'!$Y$4:$Y$1226,'FUNDED DEALS'!$W$4:$W$1226,$A20,'FUNDED DEALS'!$C$4:$C$1226,"&gt;="&amp;DATE(2026,7,1),'FUNDED DEALS'!$C$4:$C$1226,"&lt;"&amp;DATE(2026,8,1))+SUMIFS('FUNDED DEALS'!$AB$4:$AB$1226,'FUNDED DEALS'!$Z$4:$Z$1226,$A20,'FUNDED DEALS'!$C$4:$C$1226,"&gt;="&amp;DATE(2026,7,1),'FUNDED DEALS'!$C$4:$C$1226,"&lt;"&amp;DATE(2026,8,1))+SUMIFS('FUNDED DEALS 2027'!$V$4:$V$1226,'FUNDED DEALS 2027'!$T$4:$T$1226,$A20,'FUNDED DEALS 2027'!$C$4:$C$1226,"&gt;="&amp;DATE(2026,7,1),'FUNDED DEALS 2027'!$C$4:$C$1226,"&lt;"&amp;DATE(2026,8,1))+SUMIFS('FUNDED DEALS 2027'!$Y$4:$Y$1226,'FUNDED DEALS 2027'!$W$4:$W$1226,$A20,'FUNDED DEALS 2027'!$C$4:$C$1226,"&gt;="&amp;DATE(2026,7,1),'FUNDED DEALS 2027'!$C$4:$C$1226,"&lt;"&amp;DATE(2026,8,1))+SUMIFS('FUNDED DEALS 2027'!$AB$4:$AB$1226,'FUNDED DEALS 2027'!$Z$4:$Z$1226,$A20,'FUNDED DEALS 2027'!$C$4:$C$1226,"&gt;="&amp;DATE(2026,7,1),'FUNDED DEALS 2027'!$C$4:$C$1226,"&lt;"&amp;DATE(2026,8,1)))</f>
        <v>0</v>
      </c>
      <c r="F20" s="48" t="n">
        <f aca="false">IF($A20="","",SUMIFS('FUNDED DEALS'!$V$4:$V$1226,'FUNDED DEALS'!$T$4:$T$1226,$A20,'FUNDED DEALS'!$C$4:$C$1226,"&gt;="&amp;DATE(2026,8,1),'FUNDED DEALS'!$C$4:$C$1226,"&lt;"&amp;DATE(2026,9,1))+SUMIFS('FUNDED DEALS'!$Y$4:$Y$1226,'FUNDED DEALS'!$W$4:$W$1226,$A20,'FUNDED DEALS'!$C$4:$C$1226,"&gt;="&amp;DATE(2026,8,1),'FUNDED DEALS'!$C$4:$C$1226,"&lt;"&amp;DATE(2026,9,1))+SUMIFS('FUNDED DEALS'!$AB$4:$AB$1226,'FUNDED DEALS'!$Z$4:$Z$1226,$A20,'FUNDED DEALS'!$C$4:$C$1226,"&gt;="&amp;DATE(2026,8,1),'FUNDED DEALS'!$C$4:$C$1226,"&lt;"&amp;DATE(2026,9,1))+SUMIFS('FUNDED DEALS 2027'!$V$4:$V$1226,'FUNDED DEALS 2027'!$T$4:$T$1226,$A20,'FUNDED DEALS 2027'!$C$4:$C$1226,"&gt;="&amp;DATE(2026,8,1),'FUNDED DEALS 2027'!$C$4:$C$1226,"&lt;"&amp;DATE(2026,9,1))+SUMIFS('FUNDED DEALS 2027'!$Y$4:$Y$1226,'FUNDED DEALS 2027'!$W$4:$W$1226,$A20,'FUNDED DEALS 2027'!$C$4:$C$1226,"&gt;="&amp;DATE(2026,8,1),'FUNDED DEALS 2027'!$C$4:$C$1226,"&lt;"&amp;DATE(2026,9,1))+SUMIFS('FUNDED DEALS 2027'!$AB$4:$AB$1226,'FUNDED DEALS 2027'!$Z$4:$Z$1226,$A20,'FUNDED DEALS 2027'!$C$4:$C$1226,"&gt;="&amp;DATE(2026,8,1),'FUNDED DEALS 2027'!$C$4:$C$1226,"&lt;"&amp;DATE(2026,9,1)))</f>
        <v>0</v>
      </c>
      <c r="G20" s="48" t="n">
        <f aca="false">IF($A20="","",SUMIFS('FUNDED DEALS'!$V$4:$V$1226,'FUNDED DEALS'!$T$4:$T$1226,$A20,'FUNDED DEALS'!$C$4:$C$1226,"&gt;="&amp;DATE(2026,9,1),'FUNDED DEALS'!$C$4:$C$1226,"&lt;"&amp;DATE(2026,10,1))+SUMIFS('FUNDED DEALS'!$Y$4:$Y$1226,'FUNDED DEALS'!$W$4:$W$1226,$A20,'FUNDED DEALS'!$C$4:$C$1226,"&gt;="&amp;DATE(2026,9,1),'FUNDED DEALS'!$C$4:$C$1226,"&lt;"&amp;DATE(2026,10,1))+SUMIFS('FUNDED DEALS'!$AB$4:$AB$1226,'FUNDED DEALS'!$Z$4:$Z$1226,$A20,'FUNDED DEALS'!$C$4:$C$1226,"&gt;="&amp;DATE(2026,9,1),'FUNDED DEALS'!$C$4:$C$1226,"&lt;"&amp;DATE(2026,10,1))+SUMIFS('FUNDED DEALS 2027'!$V$4:$V$1226,'FUNDED DEALS 2027'!$T$4:$T$1226,$A20,'FUNDED DEALS 2027'!$C$4:$C$1226,"&gt;="&amp;DATE(2026,9,1),'FUNDED DEALS 2027'!$C$4:$C$1226,"&lt;"&amp;DATE(2026,10,1))+SUMIFS('FUNDED DEALS 2027'!$Y$4:$Y$1226,'FUNDED DEALS 2027'!$W$4:$W$1226,$A20,'FUNDED DEALS 2027'!$C$4:$C$1226,"&gt;="&amp;DATE(2026,9,1),'FUNDED DEALS 2027'!$C$4:$C$1226,"&lt;"&amp;DATE(2026,10,1))+SUMIFS('FUNDED DEALS 2027'!$AB$4:$AB$1226,'FUNDED DEALS 2027'!$Z$4:$Z$1226,$A20,'FUNDED DEALS 2027'!$C$4:$C$1226,"&gt;="&amp;DATE(2026,9,1),'FUNDED DEALS 2027'!$C$4:$C$1226,"&lt;"&amp;DATE(2026,10,1)))</f>
        <v>0</v>
      </c>
      <c r="H20" s="48" t="n">
        <f aca="false">IF($A20="","",SUMIFS('FUNDED DEALS'!$V$4:$V$1226,'FUNDED DEALS'!$T$4:$T$1226,$A20,'FUNDED DEALS'!$C$4:$C$1226,"&gt;="&amp;DATE(2026,10,1),'FUNDED DEALS'!$C$4:$C$1226,"&lt;"&amp;DATE(2026,11,1))+SUMIFS('FUNDED DEALS'!$Y$4:$Y$1226,'FUNDED DEALS'!$W$4:$W$1226,$A20,'FUNDED DEALS'!$C$4:$C$1226,"&gt;="&amp;DATE(2026,10,1),'FUNDED DEALS'!$C$4:$C$1226,"&lt;"&amp;DATE(2026,11,1))+SUMIFS('FUNDED DEALS'!$AB$4:$AB$1226,'FUNDED DEALS'!$Z$4:$Z$1226,$A20,'FUNDED DEALS'!$C$4:$C$1226,"&gt;="&amp;DATE(2026,10,1),'FUNDED DEALS'!$C$4:$C$1226,"&lt;"&amp;DATE(2026,11,1))+SUMIFS('FUNDED DEALS 2027'!$V$4:$V$1226,'FUNDED DEALS 2027'!$T$4:$T$1226,$A20,'FUNDED DEALS 2027'!$C$4:$C$1226,"&gt;="&amp;DATE(2026,10,1),'FUNDED DEALS 2027'!$C$4:$C$1226,"&lt;"&amp;DATE(2026,11,1))+SUMIFS('FUNDED DEALS 2027'!$Y$4:$Y$1226,'FUNDED DEALS 2027'!$W$4:$W$1226,$A20,'FUNDED DEALS 2027'!$C$4:$C$1226,"&gt;="&amp;DATE(2026,10,1),'FUNDED DEALS 2027'!$C$4:$C$1226,"&lt;"&amp;DATE(2026,11,1))+SUMIFS('FUNDED DEALS 2027'!$AB$4:$AB$1226,'FUNDED DEALS 2027'!$Z$4:$Z$1226,$A20,'FUNDED DEALS 2027'!$C$4:$C$1226,"&gt;="&amp;DATE(2026,10,1),'FUNDED DEALS 2027'!$C$4:$C$1226,"&lt;"&amp;DATE(2026,11,1)))</f>
        <v>0</v>
      </c>
      <c r="I20" s="48" t="n">
        <f aca="false">IF($A20="","",SUMIFS('FUNDED DEALS'!$V$4:$V$1226,'FUNDED DEALS'!$T$4:$T$1226,$A20,'FUNDED DEALS'!$C$4:$C$1226,"&gt;="&amp;DATE(2026,11,1),'FUNDED DEALS'!$C$4:$C$1226,"&lt;"&amp;DATE(2026,12,1))+SUMIFS('FUNDED DEALS'!$Y$4:$Y$1226,'FUNDED DEALS'!$W$4:$W$1226,$A20,'FUNDED DEALS'!$C$4:$C$1226,"&gt;="&amp;DATE(2026,11,1),'FUNDED DEALS'!$C$4:$C$1226,"&lt;"&amp;DATE(2026,12,1))+SUMIFS('FUNDED DEALS'!$AB$4:$AB$1226,'FUNDED DEALS'!$Z$4:$Z$1226,$A20,'FUNDED DEALS'!$C$4:$C$1226,"&gt;="&amp;DATE(2026,11,1),'FUNDED DEALS'!$C$4:$C$1226,"&lt;"&amp;DATE(2026,12,1))+SUMIFS('FUNDED DEALS 2027'!$V$4:$V$1226,'FUNDED DEALS 2027'!$T$4:$T$1226,$A20,'FUNDED DEALS 2027'!$C$4:$C$1226,"&gt;="&amp;DATE(2026,11,1),'FUNDED DEALS 2027'!$C$4:$C$1226,"&lt;"&amp;DATE(2026,12,1))+SUMIFS('FUNDED DEALS 2027'!$Y$4:$Y$1226,'FUNDED DEALS 2027'!$W$4:$W$1226,$A20,'FUNDED DEALS 2027'!$C$4:$C$1226,"&gt;="&amp;DATE(2026,11,1),'FUNDED DEALS 2027'!$C$4:$C$1226,"&lt;"&amp;DATE(2026,12,1))+SUMIFS('FUNDED DEALS 2027'!$AB$4:$AB$1226,'FUNDED DEALS 2027'!$Z$4:$Z$1226,$A20,'FUNDED DEALS 2027'!$C$4:$C$1226,"&gt;="&amp;DATE(2026,11,1),'FUNDED DEALS 2027'!$C$4:$C$1226,"&lt;"&amp;DATE(2026,12,1)))</f>
        <v>0</v>
      </c>
      <c r="J20" s="48" t="n">
        <f aca="false">IF($A20="","",SUMIFS('FUNDED DEALS'!$V$4:$V$1226,'FUNDED DEALS'!$T$4:$T$1226,$A20,'FUNDED DEALS'!$C$4:$C$1226,"&gt;="&amp;DATE(2026,12,1),'FUNDED DEALS'!$C$4:$C$1226,"&lt;"&amp;DATE(2027,1,1))+SUMIFS('FUNDED DEALS'!$Y$4:$Y$1226,'FUNDED DEALS'!$W$4:$W$1226,$A20,'FUNDED DEALS'!$C$4:$C$1226,"&gt;="&amp;DATE(2026,12,1),'FUNDED DEALS'!$C$4:$C$1226,"&lt;"&amp;DATE(2027,1,1))+SUMIFS('FUNDED DEALS'!$AB$4:$AB$1226,'FUNDED DEALS'!$Z$4:$Z$1226,$A20,'FUNDED DEALS'!$C$4:$C$1226,"&gt;="&amp;DATE(2026,12,1),'FUNDED DEALS'!$C$4:$C$1226,"&lt;"&amp;DATE(2027,1,1))+SUMIFS('FUNDED DEALS 2027'!$V$4:$V$1226,'FUNDED DEALS 2027'!$T$4:$T$1226,$A20,'FUNDED DEALS 2027'!$C$4:$C$1226,"&gt;="&amp;DATE(2026,12,1),'FUNDED DEALS 2027'!$C$4:$C$1226,"&lt;"&amp;DATE(2027,1,1))+SUMIFS('FUNDED DEALS 2027'!$Y$4:$Y$1226,'FUNDED DEALS 2027'!$W$4:$W$1226,$A20,'FUNDED DEALS 2027'!$C$4:$C$1226,"&gt;="&amp;DATE(2026,12,1),'FUNDED DEALS 2027'!$C$4:$C$1226,"&lt;"&amp;DATE(2027,1,1))+SUMIFS('FUNDED DEALS 2027'!$AB$4:$AB$1226,'FUNDED DEALS 2027'!$Z$4:$Z$1226,$A20,'FUNDED DEALS 2027'!$C$4:$C$1226,"&gt;="&amp;DATE(2026,12,1),'FUNDED DEALS 2027'!$C$4:$C$1226,"&lt;"&amp;DATE(2027,1,1)))</f>
        <v>0</v>
      </c>
      <c r="K20" s="48" t="n">
        <f aca="false">IF($A20="","",SUMIFS('FUNDED DEALS'!$V$4:$V$1226,'FUNDED DEALS'!$T$4:$T$1226,$A20,'FUNDED DEALS'!$C$4:$C$1226,"&gt;="&amp;DATE(2027,1,1),'FUNDED DEALS'!$C$4:$C$1226,"&lt;"&amp;DATE(2027,2,1))+SUMIFS('FUNDED DEALS'!$Y$4:$Y$1226,'FUNDED DEALS'!$W$4:$W$1226,$A20,'FUNDED DEALS'!$C$4:$C$1226,"&gt;="&amp;DATE(2027,1,1),'FUNDED DEALS'!$C$4:$C$1226,"&lt;"&amp;DATE(2027,2,1))+SUMIFS('FUNDED DEALS'!$AB$4:$AB$1226,'FUNDED DEALS'!$Z$4:$Z$1226,$A20,'FUNDED DEALS'!$C$4:$C$1226,"&gt;="&amp;DATE(2027,1,1),'FUNDED DEALS'!$C$4:$C$1226,"&lt;"&amp;DATE(2027,2,1))+SUMIFS('FUNDED DEALS 2027'!$V$4:$V$1226,'FUNDED DEALS 2027'!$T$4:$T$1226,$A20,'FUNDED DEALS 2027'!$C$4:$C$1226,"&gt;="&amp;DATE(2027,1,1),'FUNDED DEALS 2027'!$C$4:$C$1226,"&lt;"&amp;DATE(2027,2,1))+SUMIFS('FUNDED DEALS 2027'!$Y$4:$Y$1226,'FUNDED DEALS 2027'!$W$4:$W$1226,$A20,'FUNDED DEALS 2027'!$C$4:$C$1226,"&gt;="&amp;DATE(2027,1,1),'FUNDED DEALS 2027'!$C$4:$C$1226,"&lt;"&amp;DATE(2027,2,1))+SUMIFS('FUNDED DEALS 2027'!$AB$4:$AB$1226,'FUNDED DEALS 2027'!$Z$4:$Z$1226,$A20,'FUNDED DEALS 2027'!$C$4:$C$1226,"&gt;="&amp;DATE(2027,1,1),'FUNDED DEALS 2027'!$C$4:$C$1226,"&lt;"&amp;DATE(2027,2,1)))</f>
        <v>0</v>
      </c>
      <c r="L20" s="48" t="n">
        <f aca="false">IF($A20="","",SUMIFS('FUNDED DEALS'!$V$4:$V$1226,'FUNDED DEALS'!$T$4:$T$1226,$A20,'FUNDED DEALS'!$C$4:$C$1226,"&gt;="&amp;DATE(2027,2,1),'FUNDED DEALS'!$C$4:$C$1226,"&lt;"&amp;DATE(2027,3,1))+SUMIFS('FUNDED DEALS'!$Y$4:$Y$1226,'FUNDED DEALS'!$W$4:$W$1226,$A20,'FUNDED DEALS'!$C$4:$C$1226,"&gt;="&amp;DATE(2027,2,1),'FUNDED DEALS'!$C$4:$C$1226,"&lt;"&amp;DATE(2027,3,1))+SUMIFS('FUNDED DEALS'!$AB$4:$AB$1226,'FUNDED DEALS'!$Z$4:$Z$1226,$A20,'FUNDED DEALS'!$C$4:$C$1226,"&gt;="&amp;DATE(2027,2,1),'FUNDED DEALS'!$C$4:$C$1226,"&lt;"&amp;DATE(2027,3,1))+SUMIFS('FUNDED DEALS 2027'!$V$4:$V$1226,'FUNDED DEALS 2027'!$T$4:$T$1226,$A20,'FUNDED DEALS 2027'!$C$4:$C$1226,"&gt;="&amp;DATE(2027,2,1),'FUNDED DEALS 2027'!$C$4:$C$1226,"&lt;"&amp;DATE(2027,3,1))+SUMIFS('FUNDED DEALS 2027'!$Y$4:$Y$1226,'FUNDED DEALS 2027'!$W$4:$W$1226,$A20,'FUNDED DEALS 2027'!$C$4:$C$1226,"&gt;="&amp;DATE(2027,2,1),'FUNDED DEALS 2027'!$C$4:$C$1226,"&lt;"&amp;DATE(2027,3,1))+SUMIFS('FUNDED DEALS 2027'!$AB$4:$AB$1226,'FUNDED DEALS 2027'!$Z$4:$Z$1226,$A20,'FUNDED DEALS 2027'!$C$4:$C$1226,"&gt;="&amp;DATE(2027,2,1),'FUNDED DEALS 2027'!$C$4:$C$1226,"&lt;"&amp;DATE(2027,3,1)))</f>
        <v>0</v>
      </c>
      <c r="M20" s="48" t="n">
        <f aca="false">IF($A20="","",SUMIFS('FUNDED DEALS'!$V$4:$V$1226,'FUNDED DEALS'!$T$4:$T$1226,$A20,'FUNDED DEALS'!$C$4:$C$1226,"&gt;="&amp;DATE(2027,3,1),'FUNDED DEALS'!$C$4:$C$1226,"&lt;"&amp;DATE(2027,4,1))+SUMIFS('FUNDED DEALS'!$Y$4:$Y$1226,'FUNDED DEALS'!$W$4:$W$1226,$A20,'FUNDED DEALS'!$C$4:$C$1226,"&gt;="&amp;DATE(2027,3,1),'FUNDED DEALS'!$C$4:$C$1226,"&lt;"&amp;DATE(2027,4,1))+SUMIFS('FUNDED DEALS'!$AB$4:$AB$1226,'FUNDED DEALS'!$Z$4:$Z$1226,$A20,'FUNDED DEALS'!$C$4:$C$1226,"&gt;="&amp;DATE(2027,3,1),'FUNDED DEALS'!$C$4:$C$1226,"&lt;"&amp;DATE(2027,4,1))+SUMIFS('FUNDED DEALS 2027'!$V$4:$V$1226,'FUNDED DEALS 2027'!$T$4:$T$1226,$A20,'FUNDED DEALS 2027'!$C$4:$C$1226,"&gt;="&amp;DATE(2027,3,1),'FUNDED DEALS 2027'!$C$4:$C$1226,"&lt;"&amp;DATE(2027,4,1))+SUMIFS('FUNDED DEALS 2027'!$Y$4:$Y$1226,'FUNDED DEALS 2027'!$W$4:$W$1226,$A20,'FUNDED DEALS 2027'!$C$4:$C$1226,"&gt;="&amp;DATE(2027,3,1),'FUNDED DEALS 2027'!$C$4:$C$1226,"&lt;"&amp;DATE(2027,4,1))+SUMIFS('FUNDED DEALS 2027'!$AB$4:$AB$1226,'FUNDED DEALS 2027'!$Z$4:$Z$1226,$A20,'FUNDED DEALS 2027'!$C$4:$C$1226,"&gt;="&amp;DATE(2027,3,1),'FUNDED DEALS 2027'!$C$4:$C$1226,"&lt;"&amp;DATE(2027,4,1)))</f>
        <v>0</v>
      </c>
      <c r="N20" s="48" t="n">
        <f aca="false">IF($A20="","",SUMIFS('FUNDED DEALS'!$V$4:$V$1226,'FUNDED DEALS'!$T$4:$T$1226,$A20,'FUNDED DEALS'!$C$4:$C$1226,"&gt;="&amp;DATE(2027,4,1),'FUNDED DEALS'!$C$4:$C$1226,"&lt;"&amp;DATE(2027,5,1))+SUMIFS('FUNDED DEALS'!$Y$4:$Y$1226,'FUNDED DEALS'!$W$4:$W$1226,$A20,'FUNDED DEALS'!$C$4:$C$1226,"&gt;="&amp;DATE(2027,4,1),'FUNDED DEALS'!$C$4:$C$1226,"&lt;"&amp;DATE(2027,5,1))+SUMIFS('FUNDED DEALS'!$AB$4:$AB$1226,'FUNDED DEALS'!$Z$4:$Z$1226,$A20,'FUNDED DEALS'!$C$4:$C$1226,"&gt;="&amp;DATE(2027,4,1),'FUNDED DEALS'!$C$4:$C$1226,"&lt;"&amp;DATE(2027,5,1))+SUMIFS('FUNDED DEALS 2027'!$V$4:$V$1226,'FUNDED DEALS 2027'!$T$4:$T$1226,$A20,'FUNDED DEALS 2027'!$C$4:$C$1226,"&gt;="&amp;DATE(2027,4,1),'FUNDED DEALS 2027'!$C$4:$C$1226,"&lt;"&amp;DATE(2027,5,1))+SUMIFS('FUNDED DEALS 2027'!$Y$4:$Y$1226,'FUNDED DEALS 2027'!$W$4:$W$1226,$A20,'FUNDED DEALS 2027'!$C$4:$C$1226,"&gt;="&amp;DATE(2027,4,1),'FUNDED DEALS 2027'!$C$4:$C$1226,"&lt;"&amp;DATE(2027,5,1))+SUMIFS('FUNDED DEALS 2027'!$AB$4:$AB$1226,'FUNDED DEALS 2027'!$Z$4:$Z$1226,$A20,'FUNDED DEALS 2027'!$C$4:$C$1226,"&gt;="&amp;DATE(2027,4,1),'FUNDED DEALS 2027'!$C$4:$C$1226,"&lt;"&amp;DATE(2027,5,1)))</f>
        <v>0</v>
      </c>
      <c r="O20" s="48" t="n">
        <f aca="false">IF($A20="","",SUMIFS('FUNDED DEALS'!$V$4:$V$1226,'FUNDED DEALS'!$T$4:$T$1226,$A20,'FUNDED DEALS'!$C$4:$C$1226,"&gt;="&amp;DATE(2027,5,1),'FUNDED DEALS'!$C$4:$C$1226,"&lt;"&amp;DATE(2027,6,1))+SUMIFS('FUNDED DEALS'!$Y$4:$Y$1226,'FUNDED DEALS'!$W$4:$W$1226,$A20,'FUNDED DEALS'!$C$4:$C$1226,"&gt;="&amp;DATE(2027,5,1),'FUNDED DEALS'!$C$4:$C$1226,"&lt;"&amp;DATE(2027,6,1))+SUMIFS('FUNDED DEALS'!$AB$4:$AB$1226,'FUNDED DEALS'!$Z$4:$Z$1226,$A20,'FUNDED DEALS'!$C$4:$C$1226,"&gt;="&amp;DATE(2027,5,1),'FUNDED DEALS'!$C$4:$C$1226,"&lt;"&amp;DATE(2027,6,1))+SUMIFS('FUNDED DEALS 2027'!$V$4:$V$1226,'FUNDED DEALS 2027'!$T$4:$T$1226,$A20,'FUNDED DEALS 2027'!$C$4:$C$1226,"&gt;="&amp;DATE(2027,5,1),'FUNDED DEALS 2027'!$C$4:$C$1226,"&lt;"&amp;DATE(2027,6,1))+SUMIFS('FUNDED DEALS 2027'!$Y$4:$Y$1226,'FUNDED DEALS 2027'!$W$4:$W$1226,$A20,'FUNDED DEALS 2027'!$C$4:$C$1226,"&gt;="&amp;DATE(2027,5,1),'FUNDED DEALS 2027'!$C$4:$C$1226,"&lt;"&amp;DATE(2027,6,1))+SUMIFS('FUNDED DEALS 2027'!$AB$4:$AB$1226,'FUNDED DEALS 2027'!$Z$4:$Z$1226,$A20,'FUNDED DEALS 2027'!$C$4:$C$1226,"&gt;="&amp;DATE(2027,5,1),'FUNDED DEALS 2027'!$C$4:$C$1226,"&lt;"&amp;DATE(2027,6,1)))</f>
        <v>0</v>
      </c>
      <c r="P20" s="48" t="n">
        <f aca="false">IF($A20="","",SUMIFS('FUNDED DEALS'!$V$4:$V$1226,'FUNDED DEALS'!$T$4:$T$1226,$A20,'FUNDED DEALS'!$C$4:$C$1226,"&gt;="&amp;DATE(2027,6,1),'FUNDED DEALS'!$C$4:$C$1226,"&lt;"&amp;DATE(2027,7,1))+SUMIFS('FUNDED DEALS'!$Y$4:$Y$1226,'FUNDED DEALS'!$W$4:$W$1226,$A20,'FUNDED DEALS'!$C$4:$C$1226,"&gt;="&amp;DATE(2027,6,1),'FUNDED DEALS'!$C$4:$C$1226,"&lt;"&amp;DATE(2027,7,1))+SUMIFS('FUNDED DEALS'!$AB$4:$AB$1226,'FUNDED DEALS'!$Z$4:$Z$1226,$A20,'FUNDED DEALS'!$C$4:$C$1226,"&gt;="&amp;DATE(2027,6,1),'FUNDED DEALS'!$C$4:$C$1226,"&lt;"&amp;DATE(2027,7,1))+SUMIFS('FUNDED DEALS 2027'!$V$4:$V$1226,'FUNDED DEALS 2027'!$T$4:$T$1226,$A20,'FUNDED DEALS 2027'!$C$4:$C$1226,"&gt;="&amp;DATE(2027,6,1),'FUNDED DEALS 2027'!$C$4:$C$1226,"&lt;"&amp;DATE(2027,7,1))+SUMIFS('FUNDED DEALS 2027'!$Y$4:$Y$1226,'FUNDED DEALS 2027'!$W$4:$W$1226,$A20,'FUNDED DEALS 2027'!$C$4:$C$1226,"&gt;="&amp;DATE(2027,6,1),'FUNDED DEALS 2027'!$C$4:$C$1226,"&lt;"&amp;DATE(2027,7,1))+SUMIFS('FUNDED DEALS 2027'!$AB$4:$AB$1226,'FUNDED DEALS 2027'!$Z$4:$Z$1226,$A20,'FUNDED DEALS 2027'!$C$4:$C$1226,"&gt;="&amp;DATE(2027,6,1),'FUNDED DEALS 2027'!$C$4:$C$1226,"&lt;"&amp;DATE(2027,7,1)))</f>
        <v>0</v>
      </c>
      <c r="Q20" s="48" t="n">
        <f aca="false">IF($A20="","",SUMIFS('FUNDED DEALS'!$V$4:$V$1226,'FUNDED DEALS'!$T$4:$T$1226,$A20,'FUNDED DEALS'!$C$4:$C$1226,"&gt;="&amp;DATE(2027,7,1),'FUNDED DEALS'!$C$4:$C$1226,"&lt;"&amp;DATE(2027,8,1))+SUMIFS('FUNDED DEALS'!$Y$4:$Y$1226,'FUNDED DEALS'!$W$4:$W$1226,$A20,'FUNDED DEALS'!$C$4:$C$1226,"&gt;="&amp;DATE(2027,7,1),'FUNDED DEALS'!$C$4:$C$1226,"&lt;"&amp;DATE(2027,8,1))+SUMIFS('FUNDED DEALS'!$AB$4:$AB$1226,'FUNDED DEALS'!$Z$4:$Z$1226,$A20,'FUNDED DEALS'!$C$4:$C$1226,"&gt;="&amp;DATE(2027,7,1),'FUNDED DEALS'!$C$4:$C$1226,"&lt;"&amp;DATE(2027,8,1))+SUMIFS('FUNDED DEALS 2027'!$V$4:$V$1226,'FUNDED DEALS 2027'!$T$4:$T$1226,$A20,'FUNDED DEALS 2027'!$C$4:$C$1226,"&gt;="&amp;DATE(2027,7,1),'FUNDED DEALS 2027'!$C$4:$C$1226,"&lt;"&amp;DATE(2027,8,1))+SUMIFS('FUNDED DEALS 2027'!$Y$4:$Y$1226,'FUNDED DEALS 2027'!$W$4:$W$1226,$A20,'FUNDED DEALS 2027'!$C$4:$C$1226,"&gt;="&amp;DATE(2027,7,1),'FUNDED DEALS 2027'!$C$4:$C$1226,"&lt;"&amp;DATE(2027,8,1))+SUMIFS('FUNDED DEALS 2027'!$AB$4:$AB$1226,'FUNDED DEALS 2027'!$Z$4:$Z$1226,$A20,'FUNDED DEALS 2027'!$C$4:$C$1226,"&gt;="&amp;DATE(2027,7,1),'FUNDED DEALS 2027'!$C$4:$C$1226,"&lt;"&amp;DATE(2027,8,1)))</f>
        <v>0</v>
      </c>
      <c r="R20" s="48" t="n">
        <f aca="false">IF($A20="","",SUMIFS('FUNDED DEALS'!$V$4:$V$1226,'FUNDED DEALS'!$T$4:$T$1226,$A20,'FUNDED DEALS'!$C$4:$C$1226,"&gt;="&amp;DATE(2027,8,1),'FUNDED DEALS'!$C$4:$C$1226,"&lt;"&amp;DATE(2027,9,1))+SUMIFS('FUNDED DEALS'!$Y$4:$Y$1226,'FUNDED DEALS'!$W$4:$W$1226,$A20,'FUNDED DEALS'!$C$4:$C$1226,"&gt;="&amp;DATE(2027,8,1),'FUNDED DEALS'!$C$4:$C$1226,"&lt;"&amp;DATE(2027,9,1))+SUMIFS('FUNDED DEALS'!$AB$4:$AB$1226,'FUNDED DEALS'!$Z$4:$Z$1226,$A20,'FUNDED DEALS'!$C$4:$C$1226,"&gt;="&amp;DATE(2027,8,1),'FUNDED DEALS'!$C$4:$C$1226,"&lt;"&amp;DATE(2027,9,1))+SUMIFS('FUNDED DEALS 2027'!$V$4:$V$1226,'FUNDED DEALS 2027'!$T$4:$T$1226,$A20,'FUNDED DEALS 2027'!$C$4:$C$1226,"&gt;="&amp;DATE(2027,8,1),'FUNDED DEALS 2027'!$C$4:$C$1226,"&lt;"&amp;DATE(2027,9,1))+SUMIFS('FUNDED DEALS 2027'!$Y$4:$Y$1226,'FUNDED DEALS 2027'!$W$4:$W$1226,$A20,'FUNDED DEALS 2027'!$C$4:$C$1226,"&gt;="&amp;DATE(2027,8,1),'FUNDED DEALS 2027'!$C$4:$C$1226,"&lt;"&amp;DATE(2027,9,1))+SUMIFS('FUNDED DEALS 2027'!$AB$4:$AB$1226,'FUNDED DEALS 2027'!$Z$4:$Z$1226,$A20,'FUNDED DEALS 2027'!$C$4:$C$1226,"&gt;="&amp;DATE(2027,8,1),'FUNDED DEALS 2027'!$C$4:$C$1226,"&lt;"&amp;DATE(2027,9,1)))</f>
        <v>0</v>
      </c>
      <c r="S20" s="48" t="n">
        <f aca="false">IF($A20="","",SUMIFS('FUNDED DEALS'!$V$4:$V$1226,'FUNDED DEALS'!$T$4:$T$1226,$A20,'FUNDED DEALS'!$C$4:$C$1226,"&gt;="&amp;DATE(2027,9,1),'FUNDED DEALS'!$C$4:$C$1226,"&lt;"&amp;DATE(2027,10,1))+SUMIFS('FUNDED DEALS'!$Y$4:$Y$1226,'FUNDED DEALS'!$W$4:$W$1226,$A20,'FUNDED DEALS'!$C$4:$C$1226,"&gt;="&amp;DATE(2027,9,1),'FUNDED DEALS'!$C$4:$C$1226,"&lt;"&amp;DATE(2027,10,1))+SUMIFS('FUNDED DEALS'!$AB$4:$AB$1226,'FUNDED DEALS'!$Z$4:$Z$1226,$A20,'FUNDED DEALS'!$C$4:$C$1226,"&gt;="&amp;DATE(2027,9,1),'FUNDED DEALS'!$C$4:$C$1226,"&lt;"&amp;DATE(2027,10,1))+SUMIFS('FUNDED DEALS 2027'!$V$4:$V$1226,'FUNDED DEALS 2027'!$T$4:$T$1226,$A20,'FUNDED DEALS 2027'!$C$4:$C$1226,"&gt;="&amp;DATE(2027,9,1),'FUNDED DEALS 2027'!$C$4:$C$1226,"&lt;"&amp;DATE(2027,10,1))+SUMIFS('FUNDED DEALS 2027'!$Y$4:$Y$1226,'FUNDED DEALS 2027'!$W$4:$W$1226,$A20,'FUNDED DEALS 2027'!$C$4:$C$1226,"&gt;="&amp;DATE(2027,9,1),'FUNDED DEALS 2027'!$C$4:$C$1226,"&lt;"&amp;DATE(2027,10,1))+SUMIFS('FUNDED DEALS 2027'!$AB$4:$AB$1226,'FUNDED DEALS 2027'!$Z$4:$Z$1226,$A20,'FUNDED DEALS 2027'!$C$4:$C$1226,"&gt;="&amp;DATE(2027,9,1),'FUNDED DEALS 2027'!$C$4:$C$1226,"&lt;"&amp;DATE(2027,10,1)))</f>
        <v>0</v>
      </c>
      <c r="T20" s="48" t="n">
        <f aca="false">IF($A20="","",SUMIFS('FUNDED DEALS'!$V$4:$V$1226,'FUNDED DEALS'!$T$4:$T$1226,$A20,'FUNDED DEALS'!$C$4:$C$1226,"&gt;="&amp;DATE(2027,10,1),'FUNDED DEALS'!$C$4:$C$1226,"&lt;"&amp;DATE(2027,11,1))+SUMIFS('FUNDED DEALS'!$Y$4:$Y$1226,'FUNDED DEALS'!$W$4:$W$1226,$A20,'FUNDED DEALS'!$C$4:$C$1226,"&gt;="&amp;DATE(2027,10,1),'FUNDED DEALS'!$C$4:$C$1226,"&lt;"&amp;DATE(2027,11,1))+SUMIFS('FUNDED DEALS'!$AB$4:$AB$1226,'FUNDED DEALS'!$Z$4:$Z$1226,$A20,'FUNDED DEALS'!$C$4:$C$1226,"&gt;="&amp;DATE(2027,10,1),'FUNDED DEALS'!$C$4:$C$1226,"&lt;"&amp;DATE(2027,11,1))+SUMIFS('FUNDED DEALS 2027'!$V$4:$V$1226,'FUNDED DEALS 2027'!$T$4:$T$1226,$A20,'FUNDED DEALS 2027'!$C$4:$C$1226,"&gt;="&amp;DATE(2027,10,1),'FUNDED DEALS 2027'!$C$4:$C$1226,"&lt;"&amp;DATE(2027,11,1))+SUMIFS('FUNDED DEALS 2027'!$Y$4:$Y$1226,'FUNDED DEALS 2027'!$W$4:$W$1226,$A20,'FUNDED DEALS 2027'!$C$4:$C$1226,"&gt;="&amp;DATE(2027,10,1),'FUNDED DEALS 2027'!$C$4:$C$1226,"&lt;"&amp;DATE(2027,11,1))+SUMIFS('FUNDED DEALS 2027'!$AB$4:$AB$1226,'FUNDED DEALS 2027'!$Z$4:$Z$1226,$A20,'FUNDED DEALS 2027'!$C$4:$C$1226,"&gt;="&amp;DATE(2027,10,1),'FUNDED DEALS 2027'!$C$4:$C$1226,"&lt;"&amp;DATE(2027,11,1)))</f>
        <v>0</v>
      </c>
      <c r="U20" s="48" t="n">
        <f aca="false">IF($A20="","",SUMIFS('FUNDED DEALS'!$V$4:$V$1226,'FUNDED DEALS'!$T$4:$T$1226,$A20,'FUNDED DEALS'!$C$4:$C$1226,"&gt;="&amp;DATE(2027,11,1),'FUNDED DEALS'!$C$4:$C$1226,"&lt;"&amp;DATE(2027,12,1))+SUMIFS('FUNDED DEALS'!$Y$4:$Y$1226,'FUNDED DEALS'!$W$4:$W$1226,$A20,'FUNDED DEALS'!$C$4:$C$1226,"&gt;="&amp;DATE(2027,11,1),'FUNDED DEALS'!$C$4:$C$1226,"&lt;"&amp;DATE(2027,12,1))+SUMIFS('FUNDED DEALS'!$AB$4:$AB$1226,'FUNDED DEALS'!$Z$4:$Z$1226,$A20,'FUNDED DEALS'!$C$4:$C$1226,"&gt;="&amp;DATE(2027,11,1),'FUNDED DEALS'!$C$4:$C$1226,"&lt;"&amp;DATE(2027,12,1))+SUMIFS('FUNDED DEALS 2027'!$V$4:$V$1226,'FUNDED DEALS 2027'!$T$4:$T$1226,$A20,'FUNDED DEALS 2027'!$C$4:$C$1226,"&gt;="&amp;DATE(2027,11,1),'FUNDED DEALS 2027'!$C$4:$C$1226,"&lt;"&amp;DATE(2027,12,1))+SUMIFS('FUNDED DEALS 2027'!$Y$4:$Y$1226,'FUNDED DEALS 2027'!$W$4:$W$1226,$A20,'FUNDED DEALS 2027'!$C$4:$C$1226,"&gt;="&amp;DATE(2027,11,1),'FUNDED DEALS 2027'!$C$4:$C$1226,"&lt;"&amp;DATE(2027,12,1))+SUMIFS('FUNDED DEALS 2027'!$AB$4:$AB$1226,'FUNDED DEALS 2027'!$Z$4:$Z$1226,$A20,'FUNDED DEALS 2027'!$C$4:$C$1226,"&gt;="&amp;DATE(2027,11,1),'FUNDED DEALS 2027'!$C$4:$C$1226,"&lt;"&amp;DATE(2027,12,1)))</f>
        <v>0</v>
      </c>
      <c r="V20" s="48" t="n">
        <f aca="false">IF($A20="","",SUMIFS('FUNDED DEALS'!$V$4:$V$1226,'FUNDED DEALS'!$T$4:$T$1226,$A20,'FUNDED DEALS'!$C$4:$C$1226,"&gt;="&amp;DATE(2027,12,1),'FUNDED DEALS'!$C$4:$C$1226,"&lt;"&amp;DATE(2028,1,1))+SUMIFS('FUNDED DEALS'!$Y$4:$Y$1226,'FUNDED DEALS'!$W$4:$W$1226,$A20,'FUNDED DEALS'!$C$4:$C$1226,"&gt;="&amp;DATE(2027,12,1),'FUNDED DEALS'!$C$4:$C$1226,"&lt;"&amp;DATE(2028,1,1))+SUMIFS('FUNDED DEALS'!$AB$4:$AB$1226,'FUNDED DEALS'!$Z$4:$Z$1226,$A20,'FUNDED DEALS'!$C$4:$C$1226,"&gt;="&amp;DATE(2027,12,1),'FUNDED DEALS'!$C$4:$C$1226,"&lt;"&amp;DATE(2028,1,1))+SUMIFS('FUNDED DEALS 2027'!$V$4:$V$1226,'FUNDED DEALS 2027'!$T$4:$T$1226,$A20,'FUNDED DEALS 2027'!$C$4:$C$1226,"&gt;="&amp;DATE(2027,12,1),'FUNDED DEALS 2027'!$C$4:$C$1226,"&lt;"&amp;DATE(2028,1,1))+SUMIFS('FUNDED DEALS 2027'!$Y$4:$Y$1226,'FUNDED DEALS 2027'!$W$4:$W$1226,$A20,'FUNDED DEALS 2027'!$C$4:$C$1226,"&gt;="&amp;DATE(2027,12,1),'FUNDED DEALS 2027'!$C$4:$C$1226,"&lt;"&amp;DATE(2028,1,1))+SUMIFS('FUNDED DEALS 2027'!$AB$4:$AB$1226,'FUNDED DEALS 2027'!$Z$4:$Z$1226,$A20,'FUNDED DEALS 2027'!$C$4:$C$1226,"&gt;="&amp;DATE(2027,12,1),'FUNDED DEALS 2027'!$C$4:$C$1226,"&lt;"&amp;DATE(2028,1,1)))</f>
        <v>0</v>
      </c>
      <c r="W20" s="56" t="n">
        <f aca="false">IF($A20="","",SUM(B20:V20))</f>
        <v>0</v>
      </c>
    </row>
    <row r="21" customFormat="false" ht="15" hidden="false" customHeight="false" outlineLevel="0" collapsed="false">
      <c r="A21" s="50" t="str">
        <f aca="false">IF(REPS!A19="","",REPS!A19)</f>
        <v>Netanel Benjamin</v>
      </c>
      <c r="B21" s="51" t="n">
        <f aca="false">IF($A21="","",SUMIFS('FUNDED DEALS'!$V$4:$V$1226,'FUNDED DEALS'!$T$4:$T$1226,$A21,'FUNDED DEALS'!$C$4:$C$1226,"&gt;="&amp;DATE(2026,4,1),'FUNDED DEALS'!$C$4:$C$1226,"&lt;"&amp;DATE(2026,5,1))+SUMIFS('FUNDED DEALS'!$Y$4:$Y$1226,'FUNDED DEALS'!$W$4:$W$1226,$A21,'FUNDED DEALS'!$C$4:$C$1226,"&gt;="&amp;DATE(2026,4,1),'FUNDED DEALS'!$C$4:$C$1226,"&lt;"&amp;DATE(2026,5,1))+SUMIFS('FUNDED DEALS'!$AB$4:$AB$1226,'FUNDED DEALS'!$Z$4:$Z$1226,$A21,'FUNDED DEALS'!$C$4:$C$1226,"&gt;="&amp;DATE(2026,4,1),'FUNDED DEALS'!$C$4:$C$1226,"&lt;"&amp;DATE(2026,5,1))+SUMIFS('FUNDED DEALS 2027'!$V$4:$V$1226,'FUNDED DEALS 2027'!$T$4:$T$1226,$A21,'FUNDED DEALS 2027'!$C$4:$C$1226,"&gt;="&amp;DATE(2026,4,1),'FUNDED DEALS 2027'!$C$4:$C$1226,"&lt;"&amp;DATE(2026,5,1))+SUMIFS('FUNDED DEALS 2027'!$Y$4:$Y$1226,'FUNDED DEALS 2027'!$W$4:$W$1226,$A21,'FUNDED DEALS 2027'!$C$4:$C$1226,"&gt;="&amp;DATE(2026,4,1),'FUNDED DEALS 2027'!$C$4:$C$1226,"&lt;"&amp;DATE(2026,5,1))+SUMIFS('FUNDED DEALS 2027'!$AB$4:$AB$1226,'FUNDED DEALS 2027'!$Z$4:$Z$1226,$A21,'FUNDED DEALS 2027'!$C$4:$C$1226,"&gt;="&amp;DATE(2026,4,1),'FUNDED DEALS 2027'!$C$4:$C$1226,"&lt;"&amp;DATE(2026,5,1)))</f>
        <v>0</v>
      </c>
      <c r="C21" s="51" t="n">
        <f aca="false">IF($A21="","",SUMIFS('FUNDED DEALS'!$V$4:$V$1226,'FUNDED DEALS'!$T$4:$T$1226,$A21,'FUNDED DEALS'!$C$4:$C$1226,"&gt;="&amp;DATE(2026,5,1),'FUNDED DEALS'!$C$4:$C$1226,"&lt;"&amp;DATE(2026,6,1))+SUMIFS('FUNDED DEALS'!$Y$4:$Y$1226,'FUNDED DEALS'!$W$4:$W$1226,$A21,'FUNDED DEALS'!$C$4:$C$1226,"&gt;="&amp;DATE(2026,5,1),'FUNDED DEALS'!$C$4:$C$1226,"&lt;"&amp;DATE(2026,6,1))+SUMIFS('FUNDED DEALS'!$AB$4:$AB$1226,'FUNDED DEALS'!$Z$4:$Z$1226,$A21,'FUNDED DEALS'!$C$4:$C$1226,"&gt;="&amp;DATE(2026,5,1),'FUNDED DEALS'!$C$4:$C$1226,"&lt;"&amp;DATE(2026,6,1))+SUMIFS('FUNDED DEALS 2027'!$V$4:$V$1226,'FUNDED DEALS 2027'!$T$4:$T$1226,$A21,'FUNDED DEALS 2027'!$C$4:$C$1226,"&gt;="&amp;DATE(2026,5,1),'FUNDED DEALS 2027'!$C$4:$C$1226,"&lt;"&amp;DATE(2026,6,1))+SUMIFS('FUNDED DEALS 2027'!$Y$4:$Y$1226,'FUNDED DEALS 2027'!$W$4:$W$1226,$A21,'FUNDED DEALS 2027'!$C$4:$C$1226,"&gt;="&amp;DATE(2026,5,1),'FUNDED DEALS 2027'!$C$4:$C$1226,"&lt;"&amp;DATE(2026,6,1))+SUMIFS('FUNDED DEALS 2027'!$AB$4:$AB$1226,'FUNDED DEALS 2027'!$Z$4:$Z$1226,$A21,'FUNDED DEALS 2027'!$C$4:$C$1226,"&gt;="&amp;DATE(2026,5,1),'FUNDED DEALS 2027'!$C$4:$C$1226,"&lt;"&amp;DATE(2026,6,1)))</f>
        <v>0</v>
      </c>
      <c r="D21" s="51" t="n">
        <f aca="false">IF($A21="","",SUMIFS('FUNDED DEALS'!$V$4:$V$1226,'FUNDED DEALS'!$T$4:$T$1226,$A21,'FUNDED DEALS'!$C$4:$C$1226,"&gt;="&amp;DATE(2026,6,1),'FUNDED DEALS'!$C$4:$C$1226,"&lt;"&amp;DATE(2026,7,1))+SUMIFS('FUNDED DEALS'!$Y$4:$Y$1226,'FUNDED DEALS'!$W$4:$W$1226,$A21,'FUNDED DEALS'!$C$4:$C$1226,"&gt;="&amp;DATE(2026,6,1),'FUNDED DEALS'!$C$4:$C$1226,"&lt;"&amp;DATE(2026,7,1))+SUMIFS('FUNDED DEALS'!$AB$4:$AB$1226,'FUNDED DEALS'!$Z$4:$Z$1226,$A21,'FUNDED DEALS'!$C$4:$C$1226,"&gt;="&amp;DATE(2026,6,1),'FUNDED DEALS'!$C$4:$C$1226,"&lt;"&amp;DATE(2026,7,1))+SUMIFS('FUNDED DEALS 2027'!$V$4:$V$1226,'FUNDED DEALS 2027'!$T$4:$T$1226,$A21,'FUNDED DEALS 2027'!$C$4:$C$1226,"&gt;="&amp;DATE(2026,6,1),'FUNDED DEALS 2027'!$C$4:$C$1226,"&lt;"&amp;DATE(2026,7,1))+SUMIFS('FUNDED DEALS 2027'!$Y$4:$Y$1226,'FUNDED DEALS 2027'!$W$4:$W$1226,$A21,'FUNDED DEALS 2027'!$C$4:$C$1226,"&gt;="&amp;DATE(2026,6,1),'FUNDED DEALS 2027'!$C$4:$C$1226,"&lt;"&amp;DATE(2026,7,1))+SUMIFS('FUNDED DEALS 2027'!$AB$4:$AB$1226,'FUNDED DEALS 2027'!$Z$4:$Z$1226,$A21,'FUNDED DEALS 2027'!$C$4:$C$1226,"&gt;="&amp;DATE(2026,6,1),'FUNDED DEALS 2027'!$C$4:$C$1226,"&lt;"&amp;DATE(2026,7,1)))</f>
        <v>0</v>
      </c>
      <c r="E21" s="51" t="n">
        <f aca="false">IF($A21="","",SUMIFS('FUNDED DEALS'!$V$4:$V$1226,'FUNDED DEALS'!$T$4:$T$1226,$A21,'FUNDED DEALS'!$C$4:$C$1226,"&gt;="&amp;DATE(2026,7,1),'FUNDED DEALS'!$C$4:$C$1226,"&lt;"&amp;DATE(2026,8,1))+SUMIFS('FUNDED DEALS'!$Y$4:$Y$1226,'FUNDED DEALS'!$W$4:$W$1226,$A21,'FUNDED DEALS'!$C$4:$C$1226,"&gt;="&amp;DATE(2026,7,1),'FUNDED DEALS'!$C$4:$C$1226,"&lt;"&amp;DATE(2026,8,1))+SUMIFS('FUNDED DEALS'!$AB$4:$AB$1226,'FUNDED DEALS'!$Z$4:$Z$1226,$A21,'FUNDED DEALS'!$C$4:$C$1226,"&gt;="&amp;DATE(2026,7,1),'FUNDED DEALS'!$C$4:$C$1226,"&lt;"&amp;DATE(2026,8,1))+SUMIFS('FUNDED DEALS 2027'!$V$4:$V$1226,'FUNDED DEALS 2027'!$T$4:$T$1226,$A21,'FUNDED DEALS 2027'!$C$4:$C$1226,"&gt;="&amp;DATE(2026,7,1),'FUNDED DEALS 2027'!$C$4:$C$1226,"&lt;"&amp;DATE(2026,8,1))+SUMIFS('FUNDED DEALS 2027'!$Y$4:$Y$1226,'FUNDED DEALS 2027'!$W$4:$W$1226,$A21,'FUNDED DEALS 2027'!$C$4:$C$1226,"&gt;="&amp;DATE(2026,7,1),'FUNDED DEALS 2027'!$C$4:$C$1226,"&lt;"&amp;DATE(2026,8,1))+SUMIFS('FUNDED DEALS 2027'!$AB$4:$AB$1226,'FUNDED DEALS 2027'!$Z$4:$Z$1226,$A21,'FUNDED DEALS 2027'!$C$4:$C$1226,"&gt;="&amp;DATE(2026,7,1),'FUNDED DEALS 2027'!$C$4:$C$1226,"&lt;"&amp;DATE(2026,8,1)))</f>
        <v>0</v>
      </c>
      <c r="F21" s="51" t="n">
        <f aca="false">IF($A21="","",SUMIFS('FUNDED DEALS'!$V$4:$V$1226,'FUNDED DEALS'!$T$4:$T$1226,$A21,'FUNDED DEALS'!$C$4:$C$1226,"&gt;="&amp;DATE(2026,8,1),'FUNDED DEALS'!$C$4:$C$1226,"&lt;"&amp;DATE(2026,9,1))+SUMIFS('FUNDED DEALS'!$Y$4:$Y$1226,'FUNDED DEALS'!$W$4:$W$1226,$A21,'FUNDED DEALS'!$C$4:$C$1226,"&gt;="&amp;DATE(2026,8,1),'FUNDED DEALS'!$C$4:$C$1226,"&lt;"&amp;DATE(2026,9,1))+SUMIFS('FUNDED DEALS'!$AB$4:$AB$1226,'FUNDED DEALS'!$Z$4:$Z$1226,$A21,'FUNDED DEALS'!$C$4:$C$1226,"&gt;="&amp;DATE(2026,8,1),'FUNDED DEALS'!$C$4:$C$1226,"&lt;"&amp;DATE(2026,9,1))+SUMIFS('FUNDED DEALS 2027'!$V$4:$V$1226,'FUNDED DEALS 2027'!$T$4:$T$1226,$A21,'FUNDED DEALS 2027'!$C$4:$C$1226,"&gt;="&amp;DATE(2026,8,1),'FUNDED DEALS 2027'!$C$4:$C$1226,"&lt;"&amp;DATE(2026,9,1))+SUMIFS('FUNDED DEALS 2027'!$Y$4:$Y$1226,'FUNDED DEALS 2027'!$W$4:$W$1226,$A21,'FUNDED DEALS 2027'!$C$4:$C$1226,"&gt;="&amp;DATE(2026,8,1),'FUNDED DEALS 2027'!$C$4:$C$1226,"&lt;"&amp;DATE(2026,9,1))+SUMIFS('FUNDED DEALS 2027'!$AB$4:$AB$1226,'FUNDED DEALS 2027'!$Z$4:$Z$1226,$A21,'FUNDED DEALS 2027'!$C$4:$C$1226,"&gt;="&amp;DATE(2026,8,1),'FUNDED DEALS 2027'!$C$4:$C$1226,"&lt;"&amp;DATE(2026,9,1)))</f>
        <v>0</v>
      </c>
      <c r="G21" s="51" t="n">
        <f aca="false">IF($A21="","",SUMIFS('FUNDED DEALS'!$V$4:$V$1226,'FUNDED DEALS'!$T$4:$T$1226,$A21,'FUNDED DEALS'!$C$4:$C$1226,"&gt;="&amp;DATE(2026,9,1),'FUNDED DEALS'!$C$4:$C$1226,"&lt;"&amp;DATE(2026,10,1))+SUMIFS('FUNDED DEALS'!$Y$4:$Y$1226,'FUNDED DEALS'!$W$4:$W$1226,$A21,'FUNDED DEALS'!$C$4:$C$1226,"&gt;="&amp;DATE(2026,9,1),'FUNDED DEALS'!$C$4:$C$1226,"&lt;"&amp;DATE(2026,10,1))+SUMIFS('FUNDED DEALS'!$AB$4:$AB$1226,'FUNDED DEALS'!$Z$4:$Z$1226,$A21,'FUNDED DEALS'!$C$4:$C$1226,"&gt;="&amp;DATE(2026,9,1),'FUNDED DEALS'!$C$4:$C$1226,"&lt;"&amp;DATE(2026,10,1))+SUMIFS('FUNDED DEALS 2027'!$V$4:$V$1226,'FUNDED DEALS 2027'!$T$4:$T$1226,$A21,'FUNDED DEALS 2027'!$C$4:$C$1226,"&gt;="&amp;DATE(2026,9,1),'FUNDED DEALS 2027'!$C$4:$C$1226,"&lt;"&amp;DATE(2026,10,1))+SUMIFS('FUNDED DEALS 2027'!$Y$4:$Y$1226,'FUNDED DEALS 2027'!$W$4:$W$1226,$A21,'FUNDED DEALS 2027'!$C$4:$C$1226,"&gt;="&amp;DATE(2026,9,1),'FUNDED DEALS 2027'!$C$4:$C$1226,"&lt;"&amp;DATE(2026,10,1))+SUMIFS('FUNDED DEALS 2027'!$AB$4:$AB$1226,'FUNDED DEALS 2027'!$Z$4:$Z$1226,$A21,'FUNDED DEALS 2027'!$C$4:$C$1226,"&gt;="&amp;DATE(2026,9,1),'FUNDED DEALS 2027'!$C$4:$C$1226,"&lt;"&amp;DATE(2026,10,1)))</f>
        <v>0</v>
      </c>
      <c r="H21" s="51" t="n">
        <f aca="false">IF($A21="","",SUMIFS('FUNDED DEALS'!$V$4:$V$1226,'FUNDED DEALS'!$T$4:$T$1226,$A21,'FUNDED DEALS'!$C$4:$C$1226,"&gt;="&amp;DATE(2026,10,1),'FUNDED DEALS'!$C$4:$C$1226,"&lt;"&amp;DATE(2026,11,1))+SUMIFS('FUNDED DEALS'!$Y$4:$Y$1226,'FUNDED DEALS'!$W$4:$W$1226,$A21,'FUNDED DEALS'!$C$4:$C$1226,"&gt;="&amp;DATE(2026,10,1),'FUNDED DEALS'!$C$4:$C$1226,"&lt;"&amp;DATE(2026,11,1))+SUMIFS('FUNDED DEALS'!$AB$4:$AB$1226,'FUNDED DEALS'!$Z$4:$Z$1226,$A21,'FUNDED DEALS'!$C$4:$C$1226,"&gt;="&amp;DATE(2026,10,1),'FUNDED DEALS'!$C$4:$C$1226,"&lt;"&amp;DATE(2026,11,1))+SUMIFS('FUNDED DEALS 2027'!$V$4:$V$1226,'FUNDED DEALS 2027'!$T$4:$T$1226,$A21,'FUNDED DEALS 2027'!$C$4:$C$1226,"&gt;="&amp;DATE(2026,10,1),'FUNDED DEALS 2027'!$C$4:$C$1226,"&lt;"&amp;DATE(2026,11,1))+SUMIFS('FUNDED DEALS 2027'!$Y$4:$Y$1226,'FUNDED DEALS 2027'!$W$4:$W$1226,$A21,'FUNDED DEALS 2027'!$C$4:$C$1226,"&gt;="&amp;DATE(2026,10,1),'FUNDED DEALS 2027'!$C$4:$C$1226,"&lt;"&amp;DATE(2026,11,1))+SUMIFS('FUNDED DEALS 2027'!$AB$4:$AB$1226,'FUNDED DEALS 2027'!$Z$4:$Z$1226,$A21,'FUNDED DEALS 2027'!$C$4:$C$1226,"&gt;="&amp;DATE(2026,10,1),'FUNDED DEALS 2027'!$C$4:$C$1226,"&lt;"&amp;DATE(2026,11,1)))</f>
        <v>0</v>
      </c>
      <c r="I21" s="51" t="n">
        <f aca="false">IF($A21="","",SUMIFS('FUNDED DEALS'!$V$4:$V$1226,'FUNDED DEALS'!$T$4:$T$1226,$A21,'FUNDED DEALS'!$C$4:$C$1226,"&gt;="&amp;DATE(2026,11,1),'FUNDED DEALS'!$C$4:$C$1226,"&lt;"&amp;DATE(2026,12,1))+SUMIFS('FUNDED DEALS'!$Y$4:$Y$1226,'FUNDED DEALS'!$W$4:$W$1226,$A21,'FUNDED DEALS'!$C$4:$C$1226,"&gt;="&amp;DATE(2026,11,1),'FUNDED DEALS'!$C$4:$C$1226,"&lt;"&amp;DATE(2026,12,1))+SUMIFS('FUNDED DEALS'!$AB$4:$AB$1226,'FUNDED DEALS'!$Z$4:$Z$1226,$A21,'FUNDED DEALS'!$C$4:$C$1226,"&gt;="&amp;DATE(2026,11,1),'FUNDED DEALS'!$C$4:$C$1226,"&lt;"&amp;DATE(2026,12,1))+SUMIFS('FUNDED DEALS 2027'!$V$4:$V$1226,'FUNDED DEALS 2027'!$T$4:$T$1226,$A21,'FUNDED DEALS 2027'!$C$4:$C$1226,"&gt;="&amp;DATE(2026,11,1),'FUNDED DEALS 2027'!$C$4:$C$1226,"&lt;"&amp;DATE(2026,12,1))+SUMIFS('FUNDED DEALS 2027'!$Y$4:$Y$1226,'FUNDED DEALS 2027'!$W$4:$W$1226,$A21,'FUNDED DEALS 2027'!$C$4:$C$1226,"&gt;="&amp;DATE(2026,11,1),'FUNDED DEALS 2027'!$C$4:$C$1226,"&lt;"&amp;DATE(2026,12,1))+SUMIFS('FUNDED DEALS 2027'!$AB$4:$AB$1226,'FUNDED DEALS 2027'!$Z$4:$Z$1226,$A21,'FUNDED DEALS 2027'!$C$4:$C$1226,"&gt;="&amp;DATE(2026,11,1),'FUNDED DEALS 2027'!$C$4:$C$1226,"&lt;"&amp;DATE(2026,12,1)))</f>
        <v>0</v>
      </c>
      <c r="J21" s="51" t="n">
        <f aca="false">IF($A21="","",SUMIFS('FUNDED DEALS'!$V$4:$V$1226,'FUNDED DEALS'!$T$4:$T$1226,$A21,'FUNDED DEALS'!$C$4:$C$1226,"&gt;="&amp;DATE(2026,12,1),'FUNDED DEALS'!$C$4:$C$1226,"&lt;"&amp;DATE(2027,1,1))+SUMIFS('FUNDED DEALS'!$Y$4:$Y$1226,'FUNDED DEALS'!$W$4:$W$1226,$A21,'FUNDED DEALS'!$C$4:$C$1226,"&gt;="&amp;DATE(2026,12,1),'FUNDED DEALS'!$C$4:$C$1226,"&lt;"&amp;DATE(2027,1,1))+SUMIFS('FUNDED DEALS'!$AB$4:$AB$1226,'FUNDED DEALS'!$Z$4:$Z$1226,$A21,'FUNDED DEALS'!$C$4:$C$1226,"&gt;="&amp;DATE(2026,12,1),'FUNDED DEALS'!$C$4:$C$1226,"&lt;"&amp;DATE(2027,1,1))+SUMIFS('FUNDED DEALS 2027'!$V$4:$V$1226,'FUNDED DEALS 2027'!$T$4:$T$1226,$A21,'FUNDED DEALS 2027'!$C$4:$C$1226,"&gt;="&amp;DATE(2026,12,1),'FUNDED DEALS 2027'!$C$4:$C$1226,"&lt;"&amp;DATE(2027,1,1))+SUMIFS('FUNDED DEALS 2027'!$Y$4:$Y$1226,'FUNDED DEALS 2027'!$W$4:$W$1226,$A21,'FUNDED DEALS 2027'!$C$4:$C$1226,"&gt;="&amp;DATE(2026,12,1),'FUNDED DEALS 2027'!$C$4:$C$1226,"&lt;"&amp;DATE(2027,1,1))+SUMIFS('FUNDED DEALS 2027'!$AB$4:$AB$1226,'FUNDED DEALS 2027'!$Z$4:$Z$1226,$A21,'FUNDED DEALS 2027'!$C$4:$C$1226,"&gt;="&amp;DATE(2026,12,1),'FUNDED DEALS 2027'!$C$4:$C$1226,"&lt;"&amp;DATE(2027,1,1)))</f>
        <v>0</v>
      </c>
      <c r="K21" s="51" t="n">
        <f aca="false">IF($A21="","",SUMIFS('FUNDED DEALS'!$V$4:$V$1226,'FUNDED DEALS'!$T$4:$T$1226,$A21,'FUNDED DEALS'!$C$4:$C$1226,"&gt;="&amp;DATE(2027,1,1),'FUNDED DEALS'!$C$4:$C$1226,"&lt;"&amp;DATE(2027,2,1))+SUMIFS('FUNDED DEALS'!$Y$4:$Y$1226,'FUNDED DEALS'!$W$4:$W$1226,$A21,'FUNDED DEALS'!$C$4:$C$1226,"&gt;="&amp;DATE(2027,1,1),'FUNDED DEALS'!$C$4:$C$1226,"&lt;"&amp;DATE(2027,2,1))+SUMIFS('FUNDED DEALS'!$AB$4:$AB$1226,'FUNDED DEALS'!$Z$4:$Z$1226,$A21,'FUNDED DEALS'!$C$4:$C$1226,"&gt;="&amp;DATE(2027,1,1),'FUNDED DEALS'!$C$4:$C$1226,"&lt;"&amp;DATE(2027,2,1))+SUMIFS('FUNDED DEALS 2027'!$V$4:$V$1226,'FUNDED DEALS 2027'!$T$4:$T$1226,$A21,'FUNDED DEALS 2027'!$C$4:$C$1226,"&gt;="&amp;DATE(2027,1,1),'FUNDED DEALS 2027'!$C$4:$C$1226,"&lt;"&amp;DATE(2027,2,1))+SUMIFS('FUNDED DEALS 2027'!$Y$4:$Y$1226,'FUNDED DEALS 2027'!$W$4:$W$1226,$A21,'FUNDED DEALS 2027'!$C$4:$C$1226,"&gt;="&amp;DATE(2027,1,1),'FUNDED DEALS 2027'!$C$4:$C$1226,"&lt;"&amp;DATE(2027,2,1))+SUMIFS('FUNDED DEALS 2027'!$AB$4:$AB$1226,'FUNDED DEALS 2027'!$Z$4:$Z$1226,$A21,'FUNDED DEALS 2027'!$C$4:$C$1226,"&gt;="&amp;DATE(2027,1,1),'FUNDED DEALS 2027'!$C$4:$C$1226,"&lt;"&amp;DATE(2027,2,1)))</f>
        <v>0</v>
      </c>
      <c r="L21" s="51" t="n">
        <f aca="false">IF($A21="","",SUMIFS('FUNDED DEALS'!$V$4:$V$1226,'FUNDED DEALS'!$T$4:$T$1226,$A21,'FUNDED DEALS'!$C$4:$C$1226,"&gt;="&amp;DATE(2027,2,1),'FUNDED DEALS'!$C$4:$C$1226,"&lt;"&amp;DATE(2027,3,1))+SUMIFS('FUNDED DEALS'!$Y$4:$Y$1226,'FUNDED DEALS'!$W$4:$W$1226,$A21,'FUNDED DEALS'!$C$4:$C$1226,"&gt;="&amp;DATE(2027,2,1),'FUNDED DEALS'!$C$4:$C$1226,"&lt;"&amp;DATE(2027,3,1))+SUMIFS('FUNDED DEALS'!$AB$4:$AB$1226,'FUNDED DEALS'!$Z$4:$Z$1226,$A21,'FUNDED DEALS'!$C$4:$C$1226,"&gt;="&amp;DATE(2027,2,1),'FUNDED DEALS'!$C$4:$C$1226,"&lt;"&amp;DATE(2027,3,1))+SUMIFS('FUNDED DEALS 2027'!$V$4:$V$1226,'FUNDED DEALS 2027'!$T$4:$T$1226,$A21,'FUNDED DEALS 2027'!$C$4:$C$1226,"&gt;="&amp;DATE(2027,2,1),'FUNDED DEALS 2027'!$C$4:$C$1226,"&lt;"&amp;DATE(2027,3,1))+SUMIFS('FUNDED DEALS 2027'!$Y$4:$Y$1226,'FUNDED DEALS 2027'!$W$4:$W$1226,$A21,'FUNDED DEALS 2027'!$C$4:$C$1226,"&gt;="&amp;DATE(2027,2,1),'FUNDED DEALS 2027'!$C$4:$C$1226,"&lt;"&amp;DATE(2027,3,1))+SUMIFS('FUNDED DEALS 2027'!$AB$4:$AB$1226,'FUNDED DEALS 2027'!$Z$4:$Z$1226,$A21,'FUNDED DEALS 2027'!$C$4:$C$1226,"&gt;="&amp;DATE(2027,2,1),'FUNDED DEALS 2027'!$C$4:$C$1226,"&lt;"&amp;DATE(2027,3,1)))</f>
        <v>0</v>
      </c>
      <c r="M21" s="51" t="n">
        <f aca="false">IF($A21="","",SUMIFS('FUNDED DEALS'!$V$4:$V$1226,'FUNDED DEALS'!$T$4:$T$1226,$A21,'FUNDED DEALS'!$C$4:$C$1226,"&gt;="&amp;DATE(2027,3,1),'FUNDED DEALS'!$C$4:$C$1226,"&lt;"&amp;DATE(2027,4,1))+SUMIFS('FUNDED DEALS'!$Y$4:$Y$1226,'FUNDED DEALS'!$W$4:$W$1226,$A21,'FUNDED DEALS'!$C$4:$C$1226,"&gt;="&amp;DATE(2027,3,1),'FUNDED DEALS'!$C$4:$C$1226,"&lt;"&amp;DATE(2027,4,1))+SUMIFS('FUNDED DEALS'!$AB$4:$AB$1226,'FUNDED DEALS'!$Z$4:$Z$1226,$A21,'FUNDED DEALS'!$C$4:$C$1226,"&gt;="&amp;DATE(2027,3,1),'FUNDED DEALS'!$C$4:$C$1226,"&lt;"&amp;DATE(2027,4,1))+SUMIFS('FUNDED DEALS 2027'!$V$4:$V$1226,'FUNDED DEALS 2027'!$T$4:$T$1226,$A21,'FUNDED DEALS 2027'!$C$4:$C$1226,"&gt;="&amp;DATE(2027,3,1),'FUNDED DEALS 2027'!$C$4:$C$1226,"&lt;"&amp;DATE(2027,4,1))+SUMIFS('FUNDED DEALS 2027'!$Y$4:$Y$1226,'FUNDED DEALS 2027'!$W$4:$W$1226,$A21,'FUNDED DEALS 2027'!$C$4:$C$1226,"&gt;="&amp;DATE(2027,3,1),'FUNDED DEALS 2027'!$C$4:$C$1226,"&lt;"&amp;DATE(2027,4,1))+SUMIFS('FUNDED DEALS 2027'!$AB$4:$AB$1226,'FUNDED DEALS 2027'!$Z$4:$Z$1226,$A21,'FUNDED DEALS 2027'!$C$4:$C$1226,"&gt;="&amp;DATE(2027,3,1),'FUNDED DEALS 2027'!$C$4:$C$1226,"&lt;"&amp;DATE(2027,4,1)))</f>
        <v>0</v>
      </c>
      <c r="N21" s="51" t="n">
        <f aca="false">IF($A21="","",SUMIFS('FUNDED DEALS'!$V$4:$V$1226,'FUNDED DEALS'!$T$4:$T$1226,$A21,'FUNDED DEALS'!$C$4:$C$1226,"&gt;="&amp;DATE(2027,4,1),'FUNDED DEALS'!$C$4:$C$1226,"&lt;"&amp;DATE(2027,5,1))+SUMIFS('FUNDED DEALS'!$Y$4:$Y$1226,'FUNDED DEALS'!$W$4:$W$1226,$A21,'FUNDED DEALS'!$C$4:$C$1226,"&gt;="&amp;DATE(2027,4,1),'FUNDED DEALS'!$C$4:$C$1226,"&lt;"&amp;DATE(2027,5,1))+SUMIFS('FUNDED DEALS'!$AB$4:$AB$1226,'FUNDED DEALS'!$Z$4:$Z$1226,$A21,'FUNDED DEALS'!$C$4:$C$1226,"&gt;="&amp;DATE(2027,4,1),'FUNDED DEALS'!$C$4:$C$1226,"&lt;"&amp;DATE(2027,5,1))+SUMIFS('FUNDED DEALS 2027'!$V$4:$V$1226,'FUNDED DEALS 2027'!$T$4:$T$1226,$A21,'FUNDED DEALS 2027'!$C$4:$C$1226,"&gt;="&amp;DATE(2027,4,1),'FUNDED DEALS 2027'!$C$4:$C$1226,"&lt;"&amp;DATE(2027,5,1))+SUMIFS('FUNDED DEALS 2027'!$Y$4:$Y$1226,'FUNDED DEALS 2027'!$W$4:$W$1226,$A21,'FUNDED DEALS 2027'!$C$4:$C$1226,"&gt;="&amp;DATE(2027,4,1),'FUNDED DEALS 2027'!$C$4:$C$1226,"&lt;"&amp;DATE(2027,5,1))+SUMIFS('FUNDED DEALS 2027'!$AB$4:$AB$1226,'FUNDED DEALS 2027'!$Z$4:$Z$1226,$A21,'FUNDED DEALS 2027'!$C$4:$C$1226,"&gt;="&amp;DATE(2027,4,1),'FUNDED DEALS 2027'!$C$4:$C$1226,"&lt;"&amp;DATE(2027,5,1)))</f>
        <v>0</v>
      </c>
      <c r="O21" s="51" t="n">
        <f aca="false">IF($A21="","",SUMIFS('FUNDED DEALS'!$V$4:$V$1226,'FUNDED DEALS'!$T$4:$T$1226,$A21,'FUNDED DEALS'!$C$4:$C$1226,"&gt;="&amp;DATE(2027,5,1),'FUNDED DEALS'!$C$4:$C$1226,"&lt;"&amp;DATE(2027,6,1))+SUMIFS('FUNDED DEALS'!$Y$4:$Y$1226,'FUNDED DEALS'!$W$4:$W$1226,$A21,'FUNDED DEALS'!$C$4:$C$1226,"&gt;="&amp;DATE(2027,5,1),'FUNDED DEALS'!$C$4:$C$1226,"&lt;"&amp;DATE(2027,6,1))+SUMIFS('FUNDED DEALS'!$AB$4:$AB$1226,'FUNDED DEALS'!$Z$4:$Z$1226,$A21,'FUNDED DEALS'!$C$4:$C$1226,"&gt;="&amp;DATE(2027,5,1),'FUNDED DEALS'!$C$4:$C$1226,"&lt;"&amp;DATE(2027,6,1))+SUMIFS('FUNDED DEALS 2027'!$V$4:$V$1226,'FUNDED DEALS 2027'!$T$4:$T$1226,$A21,'FUNDED DEALS 2027'!$C$4:$C$1226,"&gt;="&amp;DATE(2027,5,1),'FUNDED DEALS 2027'!$C$4:$C$1226,"&lt;"&amp;DATE(2027,6,1))+SUMIFS('FUNDED DEALS 2027'!$Y$4:$Y$1226,'FUNDED DEALS 2027'!$W$4:$W$1226,$A21,'FUNDED DEALS 2027'!$C$4:$C$1226,"&gt;="&amp;DATE(2027,5,1),'FUNDED DEALS 2027'!$C$4:$C$1226,"&lt;"&amp;DATE(2027,6,1))+SUMIFS('FUNDED DEALS 2027'!$AB$4:$AB$1226,'FUNDED DEALS 2027'!$Z$4:$Z$1226,$A21,'FUNDED DEALS 2027'!$C$4:$C$1226,"&gt;="&amp;DATE(2027,5,1),'FUNDED DEALS 2027'!$C$4:$C$1226,"&lt;"&amp;DATE(2027,6,1)))</f>
        <v>0</v>
      </c>
      <c r="P21" s="51" t="n">
        <f aca="false">IF($A21="","",SUMIFS('FUNDED DEALS'!$V$4:$V$1226,'FUNDED DEALS'!$T$4:$T$1226,$A21,'FUNDED DEALS'!$C$4:$C$1226,"&gt;="&amp;DATE(2027,6,1),'FUNDED DEALS'!$C$4:$C$1226,"&lt;"&amp;DATE(2027,7,1))+SUMIFS('FUNDED DEALS'!$Y$4:$Y$1226,'FUNDED DEALS'!$W$4:$W$1226,$A21,'FUNDED DEALS'!$C$4:$C$1226,"&gt;="&amp;DATE(2027,6,1),'FUNDED DEALS'!$C$4:$C$1226,"&lt;"&amp;DATE(2027,7,1))+SUMIFS('FUNDED DEALS'!$AB$4:$AB$1226,'FUNDED DEALS'!$Z$4:$Z$1226,$A21,'FUNDED DEALS'!$C$4:$C$1226,"&gt;="&amp;DATE(2027,6,1),'FUNDED DEALS'!$C$4:$C$1226,"&lt;"&amp;DATE(2027,7,1))+SUMIFS('FUNDED DEALS 2027'!$V$4:$V$1226,'FUNDED DEALS 2027'!$T$4:$T$1226,$A21,'FUNDED DEALS 2027'!$C$4:$C$1226,"&gt;="&amp;DATE(2027,6,1),'FUNDED DEALS 2027'!$C$4:$C$1226,"&lt;"&amp;DATE(2027,7,1))+SUMIFS('FUNDED DEALS 2027'!$Y$4:$Y$1226,'FUNDED DEALS 2027'!$W$4:$W$1226,$A21,'FUNDED DEALS 2027'!$C$4:$C$1226,"&gt;="&amp;DATE(2027,6,1),'FUNDED DEALS 2027'!$C$4:$C$1226,"&lt;"&amp;DATE(2027,7,1))+SUMIFS('FUNDED DEALS 2027'!$AB$4:$AB$1226,'FUNDED DEALS 2027'!$Z$4:$Z$1226,$A21,'FUNDED DEALS 2027'!$C$4:$C$1226,"&gt;="&amp;DATE(2027,6,1),'FUNDED DEALS 2027'!$C$4:$C$1226,"&lt;"&amp;DATE(2027,7,1)))</f>
        <v>0</v>
      </c>
      <c r="Q21" s="51" t="n">
        <f aca="false">IF($A21="","",SUMIFS('FUNDED DEALS'!$V$4:$V$1226,'FUNDED DEALS'!$T$4:$T$1226,$A21,'FUNDED DEALS'!$C$4:$C$1226,"&gt;="&amp;DATE(2027,7,1),'FUNDED DEALS'!$C$4:$C$1226,"&lt;"&amp;DATE(2027,8,1))+SUMIFS('FUNDED DEALS'!$Y$4:$Y$1226,'FUNDED DEALS'!$W$4:$W$1226,$A21,'FUNDED DEALS'!$C$4:$C$1226,"&gt;="&amp;DATE(2027,7,1),'FUNDED DEALS'!$C$4:$C$1226,"&lt;"&amp;DATE(2027,8,1))+SUMIFS('FUNDED DEALS'!$AB$4:$AB$1226,'FUNDED DEALS'!$Z$4:$Z$1226,$A21,'FUNDED DEALS'!$C$4:$C$1226,"&gt;="&amp;DATE(2027,7,1),'FUNDED DEALS'!$C$4:$C$1226,"&lt;"&amp;DATE(2027,8,1))+SUMIFS('FUNDED DEALS 2027'!$V$4:$V$1226,'FUNDED DEALS 2027'!$T$4:$T$1226,$A21,'FUNDED DEALS 2027'!$C$4:$C$1226,"&gt;="&amp;DATE(2027,7,1),'FUNDED DEALS 2027'!$C$4:$C$1226,"&lt;"&amp;DATE(2027,8,1))+SUMIFS('FUNDED DEALS 2027'!$Y$4:$Y$1226,'FUNDED DEALS 2027'!$W$4:$W$1226,$A21,'FUNDED DEALS 2027'!$C$4:$C$1226,"&gt;="&amp;DATE(2027,7,1),'FUNDED DEALS 2027'!$C$4:$C$1226,"&lt;"&amp;DATE(2027,8,1))+SUMIFS('FUNDED DEALS 2027'!$AB$4:$AB$1226,'FUNDED DEALS 2027'!$Z$4:$Z$1226,$A21,'FUNDED DEALS 2027'!$C$4:$C$1226,"&gt;="&amp;DATE(2027,7,1),'FUNDED DEALS 2027'!$C$4:$C$1226,"&lt;"&amp;DATE(2027,8,1)))</f>
        <v>0</v>
      </c>
      <c r="R21" s="51" t="n">
        <f aca="false">IF($A21="","",SUMIFS('FUNDED DEALS'!$V$4:$V$1226,'FUNDED DEALS'!$T$4:$T$1226,$A21,'FUNDED DEALS'!$C$4:$C$1226,"&gt;="&amp;DATE(2027,8,1),'FUNDED DEALS'!$C$4:$C$1226,"&lt;"&amp;DATE(2027,9,1))+SUMIFS('FUNDED DEALS'!$Y$4:$Y$1226,'FUNDED DEALS'!$W$4:$W$1226,$A21,'FUNDED DEALS'!$C$4:$C$1226,"&gt;="&amp;DATE(2027,8,1),'FUNDED DEALS'!$C$4:$C$1226,"&lt;"&amp;DATE(2027,9,1))+SUMIFS('FUNDED DEALS'!$AB$4:$AB$1226,'FUNDED DEALS'!$Z$4:$Z$1226,$A21,'FUNDED DEALS'!$C$4:$C$1226,"&gt;="&amp;DATE(2027,8,1),'FUNDED DEALS'!$C$4:$C$1226,"&lt;"&amp;DATE(2027,9,1))+SUMIFS('FUNDED DEALS 2027'!$V$4:$V$1226,'FUNDED DEALS 2027'!$T$4:$T$1226,$A21,'FUNDED DEALS 2027'!$C$4:$C$1226,"&gt;="&amp;DATE(2027,8,1),'FUNDED DEALS 2027'!$C$4:$C$1226,"&lt;"&amp;DATE(2027,9,1))+SUMIFS('FUNDED DEALS 2027'!$Y$4:$Y$1226,'FUNDED DEALS 2027'!$W$4:$W$1226,$A21,'FUNDED DEALS 2027'!$C$4:$C$1226,"&gt;="&amp;DATE(2027,8,1),'FUNDED DEALS 2027'!$C$4:$C$1226,"&lt;"&amp;DATE(2027,9,1))+SUMIFS('FUNDED DEALS 2027'!$AB$4:$AB$1226,'FUNDED DEALS 2027'!$Z$4:$Z$1226,$A21,'FUNDED DEALS 2027'!$C$4:$C$1226,"&gt;="&amp;DATE(2027,8,1),'FUNDED DEALS 2027'!$C$4:$C$1226,"&lt;"&amp;DATE(2027,9,1)))</f>
        <v>0</v>
      </c>
      <c r="S21" s="51" t="n">
        <f aca="false">IF($A21="","",SUMIFS('FUNDED DEALS'!$V$4:$V$1226,'FUNDED DEALS'!$T$4:$T$1226,$A21,'FUNDED DEALS'!$C$4:$C$1226,"&gt;="&amp;DATE(2027,9,1),'FUNDED DEALS'!$C$4:$C$1226,"&lt;"&amp;DATE(2027,10,1))+SUMIFS('FUNDED DEALS'!$Y$4:$Y$1226,'FUNDED DEALS'!$W$4:$W$1226,$A21,'FUNDED DEALS'!$C$4:$C$1226,"&gt;="&amp;DATE(2027,9,1),'FUNDED DEALS'!$C$4:$C$1226,"&lt;"&amp;DATE(2027,10,1))+SUMIFS('FUNDED DEALS'!$AB$4:$AB$1226,'FUNDED DEALS'!$Z$4:$Z$1226,$A21,'FUNDED DEALS'!$C$4:$C$1226,"&gt;="&amp;DATE(2027,9,1),'FUNDED DEALS'!$C$4:$C$1226,"&lt;"&amp;DATE(2027,10,1))+SUMIFS('FUNDED DEALS 2027'!$V$4:$V$1226,'FUNDED DEALS 2027'!$T$4:$T$1226,$A21,'FUNDED DEALS 2027'!$C$4:$C$1226,"&gt;="&amp;DATE(2027,9,1),'FUNDED DEALS 2027'!$C$4:$C$1226,"&lt;"&amp;DATE(2027,10,1))+SUMIFS('FUNDED DEALS 2027'!$Y$4:$Y$1226,'FUNDED DEALS 2027'!$W$4:$W$1226,$A21,'FUNDED DEALS 2027'!$C$4:$C$1226,"&gt;="&amp;DATE(2027,9,1),'FUNDED DEALS 2027'!$C$4:$C$1226,"&lt;"&amp;DATE(2027,10,1))+SUMIFS('FUNDED DEALS 2027'!$AB$4:$AB$1226,'FUNDED DEALS 2027'!$Z$4:$Z$1226,$A21,'FUNDED DEALS 2027'!$C$4:$C$1226,"&gt;="&amp;DATE(2027,9,1),'FUNDED DEALS 2027'!$C$4:$C$1226,"&lt;"&amp;DATE(2027,10,1)))</f>
        <v>0</v>
      </c>
      <c r="T21" s="51" t="n">
        <f aca="false">IF($A21="","",SUMIFS('FUNDED DEALS'!$V$4:$V$1226,'FUNDED DEALS'!$T$4:$T$1226,$A21,'FUNDED DEALS'!$C$4:$C$1226,"&gt;="&amp;DATE(2027,10,1),'FUNDED DEALS'!$C$4:$C$1226,"&lt;"&amp;DATE(2027,11,1))+SUMIFS('FUNDED DEALS'!$Y$4:$Y$1226,'FUNDED DEALS'!$W$4:$W$1226,$A21,'FUNDED DEALS'!$C$4:$C$1226,"&gt;="&amp;DATE(2027,10,1),'FUNDED DEALS'!$C$4:$C$1226,"&lt;"&amp;DATE(2027,11,1))+SUMIFS('FUNDED DEALS'!$AB$4:$AB$1226,'FUNDED DEALS'!$Z$4:$Z$1226,$A21,'FUNDED DEALS'!$C$4:$C$1226,"&gt;="&amp;DATE(2027,10,1),'FUNDED DEALS'!$C$4:$C$1226,"&lt;"&amp;DATE(2027,11,1))+SUMIFS('FUNDED DEALS 2027'!$V$4:$V$1226,'FUNDED DEALS 2027'!$T$4:$T$1226,$A21,'FUNDED DEALS 2027'!$C$4:$C$1226,"&gt;="&amp;DATE(2027,10,1),'FUNDED DEALS 2027'!$C$4:$C$1226,"&lt;"&amp;DATE(2027,11,1))+SUMIFS('FUNDED DEALS 2027'!$Y$4:$Y$1226,'FUNDED DEALS 2027'!$W$4:$W$1226,$A21,'FUNDED DEALS 2027'!$C$4:$C$1226,"&gt;="&amp;DATE(2027,10,1),'FUNDED DEALS 2027'!$C$4:$C$1226,"&lt;"&amp;DATE(2027,11,1))+SUMIFS('FUNDED DEALS 2027'!$AB$4:$AB$1226,'FUNDED DEALS 2027'!$Z$4:$Z$1226,$A21,'FUNDED DEALS 2027'!$C$4:$C$1226,"&gt;="&amp;DATE(2027,10,1),'FUNDED DEALS 2027'!$C$4:$C$1226,"&lt;"&amp;DATE(2027,11,1)))</f>
        <v>0</v>
      </c>
      <c r="U21" s="51" t="n">
        <f aca="false">IF($A21="","",SUMIFS('FUNDED DEALS'!$V$4:$V$1226,'FUNDED DEALS'!$T$4:$T$1226,$A21,'FUNDED DEALS'!$C$4:$C$1226,"&gt;="&amp;DATE(2027,11,1),'FUNDED DEALS'!$C$4:$C$1226,"&lt;"&amp;DATE(2027,12,1))+SUMIFS('FUNDED DEALS'!$Y$4:$Y$1226,'FUNDED DEALS'!$W$4:$W$1226,$A21,'FUNDED DEALS'!$C$4:$C$1226,"&gt;="&amp;DATE(2027,11,1),'FUNDED DEALS'!$C$4:$C$1226,"&lt;"&amp;DATE(2027,12,1))+SUMIFS('FUNDED DEALS'!$AB$4:$AB$1226,'FUNDED DEALS'!$Z$4:$Z$1226,$A21,'FUNDED DEALS'!$C$4:$C$1226,"&gt;="&amp;DATE(2027,11,1),'FUNDED DEALS'!$C$4:$C$1226,"&lt;"&amp;DATE(2027,12,1))+SUMIFS('FUNDED DEALS 2027'!$V$4:$V$1226,'FUNDED DEALS 2027'!$T$4:$T$1226,$A21,'FUNDED DEALS 2027'!$C$4:$C$1226,"&gt;="&amp;DATE(2027,11,1),'FUNDED DEALS 2027'!$C$4:$C$1226,"&lt;"&amp;DATE(2027,12,1))+SUMIFS('FUNDED DEALS 2027'!$Y$4:$Y$1226,'FUNDED DEALS 2027'!$W$4:$W$1226,$A21,'FUNDED DEALS 2027'!$C$4:$C$1226,"&gt;="&amp;DATE(2027,11,1),'FUNDED DEALS 2027'!$C$4:$C$1226,"&lt;"&amp;DATE(2027,12,1))+SUMIFS('FUNDED DEALS 2027'!$AB$4:$AB$1226,'FUNDED DEALS 2027'!$Z$4:$Z$1226,$A21,'FUNDED DEALS 2027'!$C$4:$C$1226,"&gt;="&amp;DATE(2027,11,1),'FUNDED DEALS 2027'!$C$4:$C$1226,"&lt;"&amp;DATE(2027,12,1)))</f>
        <v>0</v>
      </c>
      <c r="V21" s="51" t="n">
        <f aca="false">IF($A21="","",SUMIFS('FUNDED DEALS'!$V$4:$V$1226,'FUNDED DEALS'!$T$4:$T$1226,$A21,'FUNDED DEALS'!$C$4:$C$1226,"&gt;="&amp;DATE(2027,12,1),'FUNDED DEALS'!$C$4:$C$1226,"&lt;"&amp;DATE(2028,1,1))+SUMIFS('FUNDED DEALS'!$Y$4:$Y$1226,'FUNDED DEALS'!$W$4:$W$1226,$A21,'FUNDED DEALS'!$C$4:$C$1226,"&gt;="&amp;DATE(2027,12,1),'FUNDED DEALS'!$C$4:$C$1226,"&lt;"&amp;DATE(2028,1,1))+SUMIFS('FUNDED DEALS'!$AB$4:$AB$1226,'FUNDED DEALS'!$Z$4:$Z$1226,$A21,'FUNDED DEALS'!$C$4:$C$1226,"&gt;="&amp;DATE(2027,12,1),'FUNDED DEALS'!$C$4:$C$1226,"&lt;"&amp;DATE(2028,1,1))+SUMIFS('FUNDED DEALS 2027'!$V$4:$V$1226,'FUNDED DEALS 2027'!$T$4:$T$1226,$A21,'FUNDED DEALS 2027'!$C$4:$C$1226,"&gt;="&amp;DATE(2027,12,1),'FUNDED DEALS 2027'!$C$4:$C$1226,"&lt;"&amp;DATE(2028,1,1))+SUMIFS('FUNDED DEALS 2027'!$Y$4:$Y$1226,'FUNDED DEALS 2027'!$W$4:$W$1226,$A21,'FUNDED DEALS 2027'!$C$4:$C$1226,"&gt;="&amp;DATE(2027,12,1),'FUNDED DEALS 2027'!$C$4:$C$1226,"&lt;"&amp;DATE(2028,1,1))+SUMIFS('FUNDED DEALS 2027'!$AB$4:$AB$1226,'FUNDED DEALS 2027'!$Z$4:$Z$1226,$A21,'FUNDED DEALS 2027'!$C$4:$C$1226,"&gt;="&amp;DATE(2027,12,1),'FUNDED DEALS 2027'!$C$4:$C$1226,"&lt;"&amp;DATE(2028,1,1)))</f>
        <v>0</v>
      </c>
      <c r="W21" s="58" t="n">
        <f aca="false">IF($A21="","",SUM(B21:V21))</f>
        <v>0</v>
      </c>
    </row>
    <row r="22" customFormat="false" ht="15" hidden="false" customHeight="false" outlineLevel="0" collapsed="false">
      <c r="A22" s="47" t="str">
        <f aca="false">IF(REPS!A20="","",REPS!A20)</f>
        <v>Solomon Gold</v>
      </c>
      <c r="B22" s="48" t="n">
        <f aca="false">IF($A22="","",SUMIFS('FUNDED DEALS'!$V$4:$V$1226,'FUNDED DEALS'!$T$4:$T$1226,$A22,'FUNDED DEALS'!$C$4:$C$1226,"&gt;="&amp;DATE(2026,4,1),'FUNDED DEALS'!$C$4:$C$1226,"&lt;"&amp;DATE(2026,5,1))+SUMIFS('FUNDED DEALS'!$Y$4:$Y$1226,'FUNDED DEALS'!$W$4:$W$1226,$A22,'FUNDED DEALS'!$C$4:$C$1226,"&gt;="&amp;DATE(2026,4,1),'FUNDED DEALS'!$C$4:$C$1226,"&lt;"&amp;DATE(2026,5,1))+SUMIFS('FUNDED DEALS'!$AB$4:$AB$1226,'FUNDED DEALS'!$Z$4:$Z$1226,$A22,'FUNDED DEALS'!$C$4:$C$1226,"&gt;="&amp;DATE(2026,4,1),'FUNDED DEALS'!$C$4:$C$1226,"&lt;"&amp;DATE(2026,5,1))+SUMIFS('FUNDED DEALS 2027'!$V$4:$V$1226,'FUNDED DEALS 2027'!$T$4:$T$1226,$A22,'FUNDED DEALS 2027'!$C$4:$C$1226,"&gt;="&amp;DATE(2026,4,1),'FUNDED DEALS 2027'!$C$4:$C$1226,"&lt;"&amp;DATE(2026,5,1))+SUMIFS('FUNDED DEALS 2027'!$Y$4:$Y$1226,'FUNDED DEALS 2027'!$W$4:$W$1226,$A22,'FUNDED DEALS 2027'!$C$4:$C$1226,"&gt;="&amp;DATE(2026,4,1),'FUNDED DEALS 2027'!$C$4:$C$1226,"&lt;"&amp;DATE(2026,5,1))+SUMIFS('FUNDED DEALS 2027'!$AB$4:$AB$1226,'FUNDED DEALS 2027'!$Z$4:$Z$1226,$A22,'FUNDED DEALS 2027'!$C$4:$C$1226,"&gt;="&amp;DATE(2026,4,1),'FUNDED DEALS 2027'!$C$4:$C$1226,"&lt;"&amp;DATE(2026,5,1)))</f>
        <v>0</v>
      </c>
      <c r="C22" s="48" t="n">
        <f aca="false">IF($A22="","",SUMIFS('FUNDED DEALS'!$V$4:$V$1226,'FUNDED DEALS'!$T$4:$T$1226,$A22,'FUNDED DEALS'!$C$4:$C$1226,"&gt;="&amp;DATE(2026,5,1),'FUNDED DEALS'!$C$4:$C$1226,"&lt;"&amp;DATE(2026,6,1))+SUMIFS('FUNDED DEALS'!$Y$4:$Y$1226,'FUNDED DEALS'!$W$4:$W$1226,$A22,'FUNDED DEALS'!$C$4:$C$1226,"&gt;="&amp;DATE(2026,5,1),'FUNDED DEALS'!$C$4:$C$1226,"&lt;"&amp;DATE(2026,6,1))+SUMIFS('FUNDED DEALS'!$AB$4:$AB$1226,'FUNDED DEALS'!$Z$4:$Z$1226,$A22,'FUNDED DEALS'!$C$4:$C$1226,"&gt;="&amp;DATE(2026,5,1),'FUNDED DEALS'!$C$4:$C$1226,"&lt;"&amp;DATE(2026,6,1))+SUMIFS('FUNDED DEALS 2027'!$V$4:$V$1226,'FUNDED DEALS 2027'!$T$4:$T$1226,$A22,'FUNDED DEALS 2027'!$C$4:$C$1226,"&gt;="&amp;DATE(2026,5,1),'FUNDED DEALS 2027'!$C$4:$C$1226,"&lt;"&amp;DATE(2026,6,1))+SUMIFS('FUNDED DEALS 2027'!$Y$4:$Y$1226,'FUNDED DEALS 2027'!$W$4:$W$1226,$A22,'FUNDED DEALS 2027'!$C$4:$C$1226,"&gt;="&amp;DATE(2026,5,1),'FUNDED DEALS 2027'!$C$4:$C$1226,"&lt;"&amp;DATE(2026,6,1))+SUMIFS('FUNDED DEALS 2027'!$AB$4:$AB$1226,'FUNDED DEALS 2027'!$Z$4:$Z$1226,$A22,'FUNDED DEALS 2027'!$C$4:$C$1226,"&gt;="&amp;DATE(2026,5,1),'FUNDED DEALS 2027'!$C$4:$C$1226,"&lt;"&amp;DATE(2026,6,1)))</f>
        <v>0</v>
      </c>
      <c r="D22" s="48" t="n">
        <f aca="false">IF($A22="","",SUMIFS('FUNDED DEALS'!$V$4:$V$1226,'FUNDED DEALS'!$T$4:$T$1226,$A22,'FUNDED DEALS'!$C$4:$C$1226,"&gt;="&amp;DATE(2026,6,1),'FUNDED DEALS'!$C$4:$C$1226,"&lt;"&amp;DATE(2026,7,1))+SUMIFS('FUNDED DEALS'!$Y$4:$Y$1226,'FUNDED DEALS'!$W$4:$W$1226,$A22,'FUNDED DEALS'!$C$4:$C$1226,"&gt;="&amp;DATE(2026,6,1),'FUNDED DEALS'!$C$4:$C$1226,"&lt;"&amp;DATE(2026,7,1))+SUMIFS('FUNDED DEALS'!$AB$4:$AB$1226,'FUNDED DEALS'!$Z$4:$Z$1226,$A22,'FUNDED DEALS'!$C$4:$C$1226,"&gt;="&amp;DATE(2026,6,1),'FUNDED DEALS'!$C$4:$C$1226,"&lt;"&amp;DATE(2026,7,1))+SUMIFS('FUNDED DEALS 2027'!$V$4:$V$1226,'FUNDED DEALS 2027'!$T$4:$T$1226,$A22,'FUNDED DEALS 2027'!$C$4:$C$1226,"&gt;="&amp;DATE(2026,6,1),'FUNDED DEALS 2027'!$C$4:$C$1226,"&lt;"&amp;DATE(2026,7,1))+SUMIFS('FUNDED DEALS 2027'!$Y$4:$Y$1226,'FUNDED DEALS 2027'!$W$4:$W$1226,$A22,'FUNDED DEALS 2027'!$C$4:$C$1226,"&gt;="&amp;DATE(2026,6,1),'FUNDED DEALS 2027'!$C$4:$C$1226,"&lt;"&amp;DATE(2026,7,1))+SUMIFS('FUNDED DEALS 2027'!$AB$4:$AB$1226,'FUNDED DEALS 2027'!$Z$4:$Z$1226,$A22,'FUNDED DEALS 2027'!$C$4:$C$1226,"&gt;="&amp;DATE(2026,6,1),'FUNDED DEALS 2027'!$C$4:$C$1226,"&lt;"&amp;DATE(2026,7,1)))</f>
        <v>0</v>
      </c>
      <c r="E22" s="48" t="n">
        <f aca="false">IF($A22="","",SUMIFS('FUNDED DEALS'!$V$4:$V$1226,'FUNDED DEALS'!$T$4:$T$1226,$A22,'FUNDED DEALS'!$C$4:$C$1226,"&gt;="&amp;DATE(2026,7,1),'FUNDED DEALS'!$C$4:$C$1226,"&lt;"&amp;DATE(2026,8,1))+SUMIFS('FUNDED DEALS'!$Y$4:$Y$1226,'FUNDED DEALS'!$W$4:$W$1226,$A22,'FUNDED DEALS'!$C$4:$C$1226,"&gt;="&amp;DATE(2026,7,1),'FUNDED DEALS'!$C$4:$C$1226,"&lt;"&amp;DATE(2026,8,1))+SUMIFS('FUNDED DEALS'!$AB$4:$AB$1226,'FUNDED DEALS'!$Z$4:$Z$1226,$A22,'FUNDED DEALS'!$C$4:$C$1226,"&gt;="&amp;DATE(2026,7,1),'FUNDED DEALS'!$C$4:$C$1226,"&lt;"&amp;DATE(2026,8,1))+SUMIFS('FUNDED DEALS 2027'!$V$4:$V$1226,'FUNDED DEALS 2027'!$T$4:$T$1226,$A22,'FUNDED DEALS 2027'!$C$4:$C$1226,"&gt;="&amp;DATE(2026,7,1),'FUNDED DEALS 2027'!$C$4:$C$1226,"&lt;"&amp;DATE(2026,8,1))+SUMIFS('FUNDED DEALS 2027'!$Y$4:$Y$1226,'FUNDED DEALS 2027'!$W$4:$W$1226,$A22,'FUNDED DEALS 2027'!$C$4:$C$1226,"&gt;="&amp;DATE(2026,7,1),'FUNDED DEALS 2027'!$C$4:$C$1226,"&lt;"&amp;DATE(2026,8,1))+SUMIFS('FUNDED DEALS 2027'!$AB$4:$AB$1226,'FUNDED DEALS 2027'!$Z$4:$Z$1226,$A22,'FUNDED DEALS 2027'!$C$4:$C$1226,"&gt;="&amp;DATE(2026,7,1),'FUNDED DEALS 2027'!$C$4:$C$1226,"&lt;"&amp;DATE(2026,8,1)))</f>
        <v>0</v>
      </c>
      <c r="F22" s="48" t="n">
        <f aca="false">IF($A22="","",SUMIFS('FUNDED DEALS'!$V$4:$V$1226,'FUNDED DEALS'!$T$4:$T$1226,$A22,'FUNDED DEALS'!$C$4:$C$1226,"&gt;="&amp;DATE(2026,8,1),'FUNDED DEALS'!$C$4:$C$1226,"&lt;"&amp;DATE(2026,9,1))+SUMIFS('FUNDED DEALS'!$Y$4:$Y$1226,'FUNDED DEALS'!$W$4:$W$1226,$A22,'FUNDED DEALS'!$C$4:$C$1226,"&gt;="&amp;DATE(2026,8,1),'FUNDED DEALS'!$C$4:$C$1226,"&lt;"&amp;DATE(2026,9,1))+SUMIFS('FUNDED DEALS'!$AB$4:$AB$1226,'FUNDED DEALS'!$Z$4:$Z$1226,$A22,'FUNDED DEALS'!$C$4:$C$1226,"&gt;="&amp;DATE(2026,8,1),'FUNDED DEALS'!$C$4:$C$1226,"&lt;"&amp;DATE(2026,9,1))+SUMIFS('FUNDED DEALS 2027'!$V$4:$V$1226,'FUNDED DEALS 2027'!$T$4:$T$1226,$A22,'FUNDED DEALS 2027'!$C$4:$C$1226,"&gt;="&amp;DATE(2026,8,1),'FUNDED DEALS 2027'!$C$4:$C$1226,"&lt;"&amp;DATE(2026,9,1))+SUMIFS('FUNDED DEALS 2027'!$Y$4:$Y$1226,'FUNDED DEALS 2027'!$W$4:$W$1226,$A22,'FUNDED DEALS 2027'!$C$4:$C$1226,"&gt;="&amp;DATE(2026,8,1),'FUNDED DEALS 2027'!$C$4:$C$1226,"&lt;"&amp;DATE(2026,9,1))+SUMIFS('FUNDED DEALS 2027'!$AB$4:$AB$1226,'FUNDED DEALS 2027'!$Z$4:$Z$1226,$A22,'FUNDED DEALS 2027'!$C$4:$C$1226,"&gt;="&amp;DATE(2026,8,1),'FUNDED DEALS 2027'!$C$4:$C$1226,"&lt;"&amp;DATE(2026,9,1)))</f>
        <v>0</v>
      </c>
      <c r="G22" s="48" t="n">
        <f aca="false">IF($A22="","",SUMIFS('FUNDED DEALS'!$V$4:$V$1226,'FUNDED DEALS'!$T$4:$T$1226,$A22,'FUNDED DEALS'!$C$4:$C$1226,"&gt;="&amp;DATE(2026,9,1),'FUNDED DEALS'!$C$4:$C$1226,"&lt;"&amp;DATE(2026,10,1))+SUMIFS('FUNDED DEALS'!$Y$4:$Y$1226,'FUNDED DEALS'!$W$4:$W$1226,$A22,'FUNDED DEALS'!$C$4:$C$1226,"&gt;="&amp;DATE(2026,9,1),'FUNDED DEALS'!$C$4:$C$1226,"&lt;"&amp;DATE(2026,10,1))+SUMIFS('FUNDED DEALS'!$AB$4:$AB$1226,'FUNDED DEALS'!$Z$4:$Z$1226,$A22,'FUNDED DEALS'!$C$4:$C$1226,"&gt;="&amp;DATE(2026,9,1),'FUNDED DEALS'!$C$4:$C$1226,"&lt;"&amp;DATE(2026,10,1))+SUMIFS('FUNDED DEALS 2027'!$V$4:$V$1226,'FUNDED DEALS 2027'!$T$4:$T$1226,$A22,'FUNDED DEALS 2027'!$C$4:$C$1226,"&gt;="&amp;DATE(2026,9,1),'FUNDED DEALS 2027'!$C$4:$C$1226,"&lt;"&amp;DATE(2026,10,1))+SUMIFS('FUNDED DEALS 2027'!$Y$4:$Y$1226,'FUNDED DEALS 2027'!$W$4:$W$1226,$A22,'FUNDED DEALS 2027'!$C$4:$C$1226,"&gt;="&amp;DATE(2026,9,1),'FUNDED DEALS 2027'!$C$4:$C$1226,"&lt;"&amp;DATE(2026,10,1))+SUMIFS('FUNDED DEALS 2027'!$AB$4:$AB$1226,'FUNDED DEALS 2027'!$Z$4:$Z$1226,$A22,'FUNDED DEALS 2027'!$C$4:$C$1226,"&gt;="&amp;DATE(2026,9,1),'FUNDED DEALS 2027'!$C$4:$C$1226,"&lt;"&amp;DATE(2026,10,1)))</f>
        <v>0</v>
      </c>
      <c r="H22" s="48" t="n">
        <f aca="false">IF($A22="","",SUMIFS('FUNDED DEALS'!$V$4:$V$1226,'FUNDED DEALS'!$T$4:$T$1226,$A22,'FUNDED DEALS'!$C$4:$C$1226,"&gt;="&amp;DATE(2026,10,1),'FUNDED DEALS'!$C$4:$C$1226,"&lt;"&amp;DATE(2026,11,1))+SUMIFS('FUNDED DEALS'!$Y$4:$Y$1226,'FUNDED DEALS'!$W$4:$W$1226,$A22,'FUNDED DEALS'!$C$4:$C$1226,"&gt;="&amp;DATE(2026,10,1),'FUNDED DEALS'!$C$4:$C$1226,"&lt;"&amp;DATE(2026,11,1))+SUMIFS('FUNDED DEALS'!$AB$4:$AB$1226,'FUNDED DEALS'!$Z$4:$Z$1226,$A22,'FUNDED DEALS'!$C$4:$C$1226,"&gt;="&amp;DATE(2026,10,1),'FUNDED DEALS'!$C$4:$C$1226,"&lt;"&amp;DATE(2026,11,1))+SUMIFS('FUNDED DEALS 2027'!$V$4:$V$1226,'FUNDED DEALS 2027'!$T$4:$T$1226,$A22,'FUNDED DEALS 2027'!$C$4:$C$1226,"&gt;="&amp;DATE(2026,10,1),'FUNDED DEALS 2027'!$C$4:$C$1226,"&lt;"&amp;DATE(2026,11,1))+SUMIFS('FUNDED DEALS 2027'!$Y$4:$Y$1226,'FUNDED DEALS 2027'!$W$4:$W$1226,$A22,'FUNDED DEALS 2027'!$C$4:$C$1226,"&gt;="&amp;DATE(2026,10,1),'FUNDED DEALS 2027'!$C$4:$C$1226,"&lt;"&amp;DATE(2026,11,1))+SUMIFS('FUNDED DEALS 2027'!$AB$4:$AB$1226,'FUNDED DEALS 2027'!$Z$4:$Z$1226,$A22,'FUNDED DEALS 2027'!$C$4:$C$1226,"&gt;="&amp;DATE(2026,10,1),'FUNDED DEALS 2027'!$C$4:$C$1226,"&lt;"&amp;DATE(2026,11,1)))</f>
        <v>0</v>
      </c>
      <c r="I22" s="48" t="n">
        <f aca="false">IF($A22="","",SUMIFS('FUNDED DEALS'!$V$4:$V$1226,'FUNDED DEALS'!$T$4:$T$1226,$A22,'FUNDED DEALS'!$C$4:$C$1226,"&gt;="&amp;DATE(2026,11,1),'FUNDED DEALS'!$C$4:$C$1226,"&lt;"&amp;DATE(2026,12,1))+SUMIFS('FUNDED DEALS'!$Y$4:$Y$1226,'FUNDED DEALS'!$W$4:$W$1226,$A22,'FUNDED DEALS'!$C$4:$C$1226,"&gt;="&amp;DATE(2026,11,1),'FUNDED DEALS'!$C$4:$C$1226,"&lt;"&amp;DATE(2026,12,1))+SUMIFS('FUNDED DEALS'!$AB$4:$AB$1226,'FUNDED DEALS'!$Z$4:$Z$1226,$A22,'FUNDED DEALS'!$C$4:$C$1226,"&gt;="&amp;DATE(2026,11,1),'FUNDED DEALS'!$C$4:$C$1226,"&lt;"&amp;DATE(2026,12,1))+SUMIFS('FUNDED DEALS 2027'!$V$4:$V$1226,'FUNDED DEALS 2027'!$T$4:$T$1226,$A22,'FUNDED DEALS 2027'!$C$4:$C$1226,"&gt;="&amp;DATE(2026,11,1),'FUNDED DEALS 2027'!$C$4:$C$1226,"&lt;"&amp;DATE(2026,12,1))+SUMIFS('FUNDED DEALS 2027'!$Y$4:$Y$1226,'FUNDED DEALS 2027'!$W$4:$W$1226,$A22,'FUNDED DEALS 2027'!$C$4:$C$1226,"&gt;="&amp;DATE(2026,11,1),'FUNDED DEALS 2027'!$C$4:$C$1226,"&lt;"&amp;DATE(2026,12,1))+SUMIFS('FUNDED DEALS 2027'!$AB$4:$AB$1226,'FUNDED DEALS 2027'!$Z$4:$Z$1226,$A22,'FUNDED DEALS 2027'!$C$4:$C$1226,"&gt;="&amp;DATE(2026,11,1),'FUNDED DEALS 2027'!$C$4:$C$1226,"&lt;"&amp;DATE(2026,12,1)))</f>
        <v>0</v>
      </c>
      <c r="J22" s="48" t="n">
        <f aca="false">IF($A22="","",SUMIFS('FUNDED DEALS'!$V$4:$V$1226,'FUNDED DEALS'!$T$4:$T$1226,$A22,'FUNDED DEALS'!$C$4:$C$1226,"&gt;="&amp;DATE(2026,12,1),'FUNDED DEALS'!$C$4:$C$1226,"&lt;"&amp;DATE(2027,1,1))+SUMIFS('FUNDED DEALS'!$Y$4:$Y$1226,'FUNDED DEALS'!$W$4:$W$1226,$A22,'FUNDED DEALS'!$C$4:$C$1226,"&gt;="&amp;DATE(2026,12,1),'FUNDED DEALS'!$C$4:$C$1226,"&lt;"&amp;DATE(2027,1,1))+SUMIFS('FUNDED DEALS'!$AB$4:$AB$1226,'FUNDED DEALS'!$Z$4:$Z$1226,$A22,'FUNDED DEALS'!$C$4:$C$1226,"&gt;="&amp;DATE(2026,12,1),'FUNDED DEALS'!$C$4:$C$1226,"&lt;"&amp;DATE(2027,1,1))+SUMIFS('FUNDED DEALS 2027'!$V$4:$V$1226,'FUNDED DEALS 2027'!$T$4:$T$1226,$A22,'FUNDED DEALS 2027'!$C$4:$C$1226,"&gt;="&amp;DATE(2026,12,1),'FUNDED DEALS 2027'!$C$4:$C$1226,"&lt;"&amp;DATE(2027,1,1))+SUMIFS('FUNDED DEALS 2027'!$Y$4:$Y$1226,'FUNDED DEALS 2027'!$W$4:$W$1226,$A22,'FUNDED DEALS 2027'!$C$4:$C$1226,"&gt;="&amp;DATE(2026,12,1),'FUNDED DEALS 2027'!$C$4:$C$1226,"&lt;"&amp;DATE(2027,1,1))+SUMIFS('FUNDED DEALS 2027'!$AB$4:$AB$1226,'FUNDED DEALS 2027'!$Z$4:$Z$1226,$A22,'FUNDED DEALS 2027'!$C$4:$C$1226,"&gt;="&amp;DATE(2026,12,1),'FUNDED DEALS 2027'!$C$4:$C$1226,"&lt;"&amp;DATE(2027,1,1)))</f>
        <v>0</v>
      </c>
      <c r="K22" s="48" t="n">
        <f aca="false">IF($A22="","",SUMIFS('FUNDED DEALS'!$V$4:$V$1226,'FUNDED DEALS'!$T$4:$T$1226,$A22,'FUNDED DEALS'!$C$4:$C$1226,"&gt;="&amp;DATE(2027,1,1),'FUNDED DEALS'!$C$4:$C$1226,"&lt;"&amp;DATE(2027,2,1))+SUMIFS('FUNDED DEALS'!$Y$4:$Y$1226,'FUNDED DEALS'!$W$4:$W$1226,$A22,'FUNDED DEALS'!$C$4:$C$1226,"&gt;="&amp;DATE(2027,1,1),'FUNDED DEALS'!$C$4:$C$1226,"&lt;"&amp;DATE(2027,2,1))+SUMIFS('FUNDED DEALS'!$AB$4:$AB$1226,'FUNDED DEALS'!$Z$4:$Z$1226,$A22,'FUNDED DEALS'!$C$4:$C$1226,"&gt;="&amp;DATE(2027,1,1),'FUNDED DEALS'!$C$4:$C$1226,"&lt;"&amp;DATE(2027,2,1))+SUMIFS('FUNDED DEALS 2027'!$V$4:$V$1226,'FUNDED DEALS 2027'!$T$4:$T$1226,$A22,'FUNDED DEALS 2027'!$C$4:$C$1226,"&gt;="&amp;DATE(2027,1,1),'FUNDED DEALS 2027'!$C$4:$C$1226,"&lt;"&amp;DATE(2027,2,1))+SUMIFS('FUNDED DEALS 2027'!$Y$4:$Y$1226,'FUNDED DEALS 2027'!$W$4:$W$1226,$A22,'FUNDED DEALS 2027'!$C$4:$C$1226,"&gt;="&amp;DATE(2027,1,1),'FUNDED DEALS 2027'!$C$4:$C$1226,"&lt;"&amp;DATE(2027,2,1))+SUMIFS('FUNDED DEALS 2027'!$AB$4:$AB$1226,'FUNDED DEALS 2027'!$Z$4:$Z$1226,$A22,'FUNDED DEALS 2027'!$C$4:$C$1226,"&gt;="&amp;DATE(2027,1,1),'FUNDED DEALS 2027'!$C$4:$C$1226,"&lt;"&amp;DATE(2027,2,1)))</f>
        <v>0</v>
      </c>
      <c r="L22" s="48" t="n">
        <f aca="false">IF($A22="","",SUMIFS('FUNDED DEALS'!$V$4:$V$1226,'FUNDED DEALS'!$T$4:$T$1226,$A22,'FUNDED DEALS'!$C$4:$C$1226,"&gt;="&amp;DATE(2027,2,1),'FUNDED DEALS'!$C$4:$C$1226,"&lt;"&amp;DATE(2027,3,1))+SUMIFS('FUNDED DEALS'!$Y$4:$Y$1226,'FUNDED DEALS'!$W$4:$W$1226,$A22,'FUNDED DEALS'!$C$4:$C$1226,"&gt;="&amp;DATE(2027,2,1),'FUNDED DEALS'!$C$4:$C$1226,"&lt;"&amp;DATE(2027,3,1))+SUMIFS('FUNDED DEALS'!$AB$4:$AB$1226,'FUNDED DEALS'!$Z$4:$Z$1226,$A22,'FUNDED DEALS'!$C$4:$C$1226,"&gt;="&amp;DATE(2027,2,1),'FUNDED DEALS'!$C$4:$C$1226,"&lt;"&amp;DATE(2027,3,1))+SUMIFS('FUNDED DEALS 2027'!$V$4:$V$1226,'FUNDED DEALS 2027'!$T$4:$T$1226,$A22,'FUNDED DEALS 2027'!$C$4:$C$1226,"&gt;="&amp;DATE(2027,2,1),'FUNDED DEALS 2027'!$C$4:$C$1226,"&lt;"&amp;DATE(2027,3,1))+SUMIFS('FUNDED DEALS 2027'!$Y$4:$Y$1226,'FUNDED DEALS 2027'!$W$4:$W$1226,$A22,'FUNDED DEALS 2027'!$C$4:$C$1226,"&gt;="&amp;DATE(2027,2,1),'FUNDED DEALS 2027'!$C$4:$C$1226,"&lt;"&amp;DATE(2027,3,1))+SUMIFS('FUNDED DEALS 2027'!$AB$4:$AB$1226,'FUNDED DEALS 2027'!$Z$4:$Z$1226,$A22,'FUNDED DEALS 2027'!$C$4:$C$1226,"&gt;="&amp;DATE(2027,2,1),'FUNDED DEALS 2027'!$C$4:$C$1226,"&lt;"&amp;DATE(2027,3,1)))</f>
        <v>0</v>
      </c>
      <c r="M22" s="48" t="n">
        <f aca="false">IF($A22="","",SUMIFS('FUNDED DEALS'!$V$4:$V$1226,'FUNDED DEALS'!$T$4:$T$1226,$A22,'FUNDED DEALS'!$C$4:$C$1226,"&gt;="&amp;DATE(2027,3,1),'FUNDED DEALS'!$C$4:$C$1226,"&lt;"&amp;DATE(2027,4,1))+SUMIFS('FUNDED DEALS'!$Y$4:$Y$1226,'FUNDED DEALS'!$W$4:$W$1226,$A22,'FUNDED DEALS'!$C$4:$C$1226,"&gt;="&amp;DATE(2027,3,1),'FUNDED DEALS'!$C$4:$C$1226,"&lt;"&amp;DATE(2027,4,1))+SUMIFS('FUNDED DEALS'!$AB$4:$AB$1226,'FUNDED DEALS'!$Z$4:$Z$1226,$A22,'FUNDED DEALS'!$C$4:$C$1226,"&gt;="&amp;DATE(2027,3,1),'FUNDED DEALS'!$C$4:$C$1226,"&lt;"&amp;DATE(2027,4,1))+SUMIFS('FUNDED DEALS 2027'!$V$4:$V$1226,'FUNDED DEALS 2027'!$T$4:$T$1226,$A22,'FUNDED DEALS 2027'!$C$4:$C$1226,"&gt;="&amp;DATE(2027,3,1),'FUNDED DEALS 2027'!$C$4:$C$1226,"&lt;"&amp;DATE(2027,4,1))+SUMIFS('FUNDED DEALS 2027'!$Y$4:$Y$1226,'FUNDED DEALS 2027'!$W$4:$W$1226,$A22,'FUNDED DEALS 2027'!$C$4:$C$1226,"&gt;="&amp;DATE(2027,3,1),'FUNDED DEALS 2027'!$C$4:$C$1226,"&lt;"&amp;DATE(2027,4,1))+SUMIFS('FUNDED DEALS 2027'!$AB$4:$AB$1226,'FUNDED DEALS 2027'!$Z$4:$Z$1226,$A22,'FUNDED DEALS 2027'!$C$4:$C$1226,"&gt;="&amp;DATE(2027,3,1),'FUNDED DEALS 2027'!$C$4:$C$1226,"&lt;"&amp;DATE(2027,4,1)))</f>
        <v>0</v>
      </c>
      <c r="N22" s="48" t="n">
        <f aca="false">IF($A22="","",SUMIFS('FUNDED DEALS'!$V$4:$V$1226,'FUNDED DEALS'!$T$4:$T$1226,$A22,'FUNDED DEALS'!$C$4:$C$1226,"&gt;="&amp;DATE(2027,4,1),'FUNDED DEALS'!$C$4:$C$1226,"&lt;"&amp;DATE(2027,5,1))+SUMIFS('FUNDED DEALS'!$Y$4:$Y$1226,'FUNDED DEALS'!$W$4:$W$1226,$A22,'FUNDED DEALS'!$C$4:$C$1226,"&gt;="&amp;DATE(2027,4,1),'FUNDED DEALS'!$C$4:$C$1226,"&lt;"&amp;DATE(2027,5,1))+SUMIFS('FUNDED DEALS'!$AB$4:$AB$1226,'FUNDED DEALS'!$Z$4:$Z$1226,$A22,'FUNDED DEALS'!$C$4:$C$1226,"&gt;="&amp;DATE(2027,4,1),'FUNDED DEALS'!$C$4:$C$1226,"&lt;"&amp;DATE(2027,5,1))+SUMIFS('FUNDED DEALS 2027'!$V$4:$V$1226,'FUNDED DEALS 2027'!$T$4:$T$1226,$A22,'FUNDED DEALS 2027'!$C$4:$C$1226,"&gt;="&amp;DATE(2027,4,1),'FUNDED DEALS 2027'!$C$4:$C$1226,"&lt;"&amp;DATE(2027,5,1))+SUMIFS('FUNDED DEALS 2027'!$Y$4:$Y$1226,'FUNDED DEALS 2027'!$W$4:$W$1226,$A22,'FUNDED DEALS 2027'!$C$4:$C$1226,"&gt;="&amp;DATE(2027,4,1),'FUNDED DEALS 2027'!$C$4:$C$1226,"&lt;"&amp;DATE(2027,5,1))+SUMIFS('FUNDED DEALS 2027'!$AB$4:$AB$1226,'FUNDED DEALS 2027'!$Z$4:$Z$1226,$A22,'FUNDED DEALS 2027'!$C$4:$C$1226,"&gt;="&amp;DATE(2027,4,1),'FUNDED DEALS 2027'!$C$4:$C$1226,"&lt;"&amp;DATE(2027,5,1)))</f>
        <v>0</v>
      </c>
      <c r="O22" s="48" t="n">
        <f aca="false">IF($A22="","",SUMIFS('FUNDED DEALS'!$V$4:$V$1226,'FUNDED DEALS'!$T$4:$T$1226,$A22,'FUNDED DEALS'!$C$4:$C$1226,"&gt;="&amp;DATE(2027,5,1),'FUNDED DEALS'!$C$4:$C$1226,"&lt;"&amp;DATE(2027,6,1))+SUMIFS('FUNDED DEALS'!$Y$4:$Y$1226,'FUNDED DEALS'!$W$4:$W$1226,$A22,'FUNDED DEALS'!$C$4:$C$1226,"&gt;="&amp;DATE(2027,5,1),'FUNDED DEALS'!$C$4:$C$1226,"&lt;"&amp;DATE(2027,6,1))+SUMIFS('FUNDED DEALS'!$AB$4:$AB$1226,'FUNDED DEALS'!$Z$4:$Z$1226,$A22,'FUNDED DEALS'!$C$4:$C$1226,"&gt;="&amp;DATE(2027,5,1),'FUNDED DEALS'!$C$4:$C$1226,"&lt;"&amp;DATE(2027,6,1))+SUMIFS('FUNDED DEALS 2027'!$V$4:$V$1226,'FUNDED DEALS 2027'!$T$4:$T$1226,$A22,'FUNDED DEALS 2027'!$C$4:$C$1226,"&gt;="&amp;DATE(2027,5,1),'FUNDED DEALS 2027'!$C$4:$C$1226,"&lt;"&amp;DATE(2027,6,1))+SUMIFS('FUNDED DEALS 2027'!$Y$4:$Y$1226,'FUNDED DEALS 2027'!$W$4:$W$1226,$A22,'FUNDED DEALS 2027'!$C$4:$C$1226,"&gt;="&amp;DATE(2027,5,1),'FUNDED DEALS 2027'!$C$4:$C$1226,"&lt;"&amp;DATE(2027,6,1))+SUMIFS('FUNDED DEALS 2027'!$AB$4:$AB$1226,'FUNDED DEALS 2027'!$Z$4:$Z$1226,$A22,'FUNDED DEALS 2027'!$C$4:$C$1226,"&gt;="&amp;DATE(2027,5,1),'FUNDED DEALS 2027'!$C$4:$C$1226,"&lt;"&amp;DATE(2027,6,1)))</f>
        <v>0</v>
      </c>
      <c r="P22" s="48" t="n">
        <f aca="false">IF($A22="","",SUMIFS('FUNDED DEALS'!$V$4:$V$1226,'FUNDED DEALS'!$T$4:$T$1226,$A22,'FUNDED DEALS'!$C$4:$C$1226,"&gt;="&amp;DATE(2027,6,1),'FUNDED DEALS'!$C$4:$C$1226,"&lt;"&amp;DATE(2027,7,1))+SUMIFS('FUNDED DEALS'!$Y$4:$Y$1226,'FUNDED DEALS'!$W$4:$W$1226,$A22,'FUNDED DEALS'!$C$4:$C$1226,"&gt;="&amp;DATE(2027,6,1),'FUNDED DEALS'!$C$4:$C$1226,"&lt;"&amp;DATE(2027,7,1))+SUMIFS('FUNDED DEALS'!$AB$4:$AB$1226,'FUNDED DEALS'!$Z$4:$Z$1226,$A22,'FUNDED DEALS'!$C$4:$C$1226,"&gt;="&amp;DATE(2027,6,1),'FUNDED DEALS'!$C$4:$C$1226,"&lt;"&amp;DATE(2027,7,1))+SUMIFS('FUNDED DEALS 2027'!$V$4:$V$1226,'FUNDED DEALS 2027'!$T$4:$T$1226,$A22,'FUNDED DEALS 2027'!$C$4:$C$1226,"&gt;="&amp;DATE(2027,6,1),'FUNDED DEALS 2027'!$C$4:$C$1226,"&lt;"&amp;DATE(2027,7,1))+SUMIFS('FUNDED DEALS 2027'!$Y$4:$Y$1226,'FUNDED DEALS 2027'!$W$4:$W$1226,$A22,'FUNDED DEALS 2027'!$C$4:$C$1226,"&gt;="&amp;DATE(2027,6,1),'FUNDED DEALS 2027'!$C$4:$C$1226,"&lt;"&amp;DATE(2027,7,1))+SUMIFS('FUNDED DEALS 2027'!$AB$4:$AB$1226,'FUNDED DEALS 2027'!$Z$4:$Z$1226,$A22,'FUNDED DEALS 2027'!$C$4:$C$1226,"&gt;="&amp;DATE(2027,6,1),'FUNDED DEALS 2027'!$C$4:$C$1226,"&lt;"&amp;DATE(2027,7,1)))</f>
        <v>0</v>
      </c>
      <c r="Q22" s="48" t="n">
        <f aca="false">IF($A22="","",SUMIFS('FUNDED DEALS'!$V$4:$V$1226,'FUNDED DEALS'!$T$4:$T$1226,$A22,'FUNDED DEALS'!$C$4:$C$1226,"&gt;="&amp;DATE(2027,7,1),'FUNDED DEALS'!$C$4:$C$1226,"&lt;"&amp;DATE(2027,8,1))+SUMIFS('FUNDED DEALS'!$Y$4:$Y$1226,'FUNDED DEALS'!$W$4:$W$1226,$A22,'FUNDED DEALS'!$C$4:$C$1226,"&gt;="&amp;DATE(2027,7,1),'FUNDED DEALS'!$C$4:$C$1226,"&lt;"&amp;DATE(2027,8,1))+SUMIFS('FUNDED DEALS'!$AB$4:$AB$1226,'FUNDED DEALS'!$Z$4:$Z$1226,$A22,'FUNDED DEALS'!$C$4:$C$1226,"&gt;="&amp;DATE(2027,7,1),'FUNDED DEALS'!$C$4:$C$1226,"&lt;"&amp;DATE(2027,8,1))+SUMIFS('FUNDED DEALS 2027'!$V$4:$V$1226,'FUNDED DEALS 2027'!$T$4:$T$1226,$A22,'FUNDED DEALS 2027'!$C$4:$C$1226,"&gt;="&amp;DATE(2027,7,1),'FUNDED DEALS 2027'!$C$4:$C$1226,"&lt;"&amp;DATE(2027,8,1))+SUMIFS('FUNDED DEALS 2027'!$Y$4:$Y$1226,'FUNDED DEALS 2027'!$W$4:$W$1226,$A22,'FUNDED DEALS 2027'!$C$4:$C$1226,"&gt;="&amp;DATE(2027,7,1),'FUNDED DEALS 2027'!$C$4:$C$1226,"&lt;"&amp;DATE(2027,8,1))+SUMIFS('FUNDED DEALS 2027'!$AB$4:$AB$1226,'FUNDED DEALS 2027'!$Z$4:$Z$1226,$A22,'FUNDED DEALS 2027'!$C$4:$C$1226,"&gt;="&amp;DATE(2027,7,1),'FUNDED DEALS 2027'!$C$4:$C$1226,"&lt;"&amp;DATE(2027,8,1)))</f>
        <v>0</v>
      </c>
      <c r="R22" s="48" t="n">
        <f aca="false">IF($A22="","",SUMIFS('FUNDED DEALS'!$V$4:$V$1226,'FUNDED DEALS'!$T$4:$T$1226,$A22,'FUNDED DEALS'!$C$4:$C$1226,"&gt;="&amp;DATE(2027,8,1),'FUNDED DEALS'!$C$4:$C$1226,"&lt;"&amp;DATE(2027,9,1))+SUMIFS('FUNDED DEALS'!$Y$4:$Y$1226,'FUNDED DEALS'!$W$4:$W$1226,$A22,'FUNDED DEALS'!$C$4:$C$1226,"&gt;="&amp;DATE(2027,8,1),'FUNDED DEALS'!$C$4:$C$1226,"&lt;"&amp;DATE(2027,9,1))+SUMIFS('FUNDED DEALS'!$AB$4:$AB$1226,'FUNDED DEALS'!$Z$4:$Z$1226,$A22,'FUNDED DEALS'!$C$4:$C$1226,"&gt;="&amp;DATE(2027,8,1),'FUNDED DEALS'!$C$4:$C$1226,"&lt;"&amp;DATE(2027,9,1))+SUMIFS('FUNDED DEALS 2027'!$V$4:$V$1226,'FUNDED DEALS 2027'!$T$4:$T$1226,$A22,'FUNDED DEALS 2027'!$C$4:$C$1226,"&gt;="&amp;DATE(2027,8,1),'FUNDED DEALS 2027'!$C$4:$C$1226,"&lt;"&amp;DATE(2027,9,1))+SUMIFS('FUNDED DEALS 2027'!$Y$4:$Y$1226,'FUNDED DEALS 2027'!$W$4:$W$1226,$A22,'FUNDED DEALS 2027'!$C$4:$C$1226,"&gt;="&amp;DATE(2027,8,1),'FUNDED DEALS 2027'!$C$4:$C$1226,"&lt;"&amp;DATE(2027,9,1))+SUMIFS('FUNDED DEALS 2027'!$AB$4:$AB$1226,'FUNDED DEALS 2027'!$Z$4:$Z$1226,$A22,'FUNDED DEALS 2027'!$C$4:$C$1226,"&gt;="&amp;DATE(2027,8,1),'FUNDED DEALS 2027'!$C$4:$C$1226,"&lt;"&amp;DATE(2027,9,1)))</f>
        <v>0</v>
      </c>
      <c r="S22" s="48" t="n">
        <f aca="false">IF($A22="","",SUMIFS('FUNDED DEALS'!$V$4:$V$1226,'FUNDED DEALS'!$T$4:$T$1226,$A22,'FUNDED DEALS'!$C$4:$C$1226,"&gt;="&amp;DATE(2027,9,1),'FUNDED DEALS'!$C$4:$C$1226,"&lt;"&amp;DATE(2027,10,1))+SUMIFS('FUNDED DEALS'!$Y$4:$Y$1226,'FUNDED DEALS'!$W$4:$W$1226,$A22,'FUNDED DEALS'!$C$4:$C$1226,"&gt;="&amp;DATE(2027,9,1),'FUNDED DEALS'!$C$4:$C$1226,"&lt;"&amp;DATE(2027,10,1))+SUMIFS('FUNDED DEALS'!$AB$4:$AB$1226,'FUNDED DEALS'!$Z$4:$Z$1226,$A22,'FUNDED DEALS'!$C$4:$C$1226,"&gt;="&amp;DATE(2027,9,1),'FUNDED DEALS'!$C$4:$C$1226,"&lt;"&amp;DATE(2027,10,1))+SUMIFS('FUNDED DEALS 2027'!$V$4:$V$1226,'FUNDED DEALS 2027'!$T$4:$T$1226,$A22,'FUNDED DEALS 2027'!$C$4:$C$1226,"&gt;="&amp;DATE(2027,9,1),'FUNDED DEALS 2027'!$C$4:$C$1226,"&lt;"&amp;DATE(2027,10,1))+SUMIFS('FUNDED DEALS 2027'!$Y$4:$Y$1226,'FUNDED DEALS 2027'!$W$4:$W$1226,$A22,'FUNDED DEALS 2027'!$C$4:$C$1226,"&gt;="&amp;DATE(2027,9,1),'FUNDED DEALS 2027'!$C$4:$C$1226,"&lt;"&amp;DATE(2027,10,1))+SUMIFS('FUNDED DEALS 2027'!$AB$4:$AB$1226,'FUNDED DEALS 2027'!$Z$4:$Z$1226,$A22,'FUNDED DEALS 2027'!$C$4:$C$1226,"&gt;="&amp;DATE(2027,9,1),'FUNDED DEALS 2027'!$C$4:$C$1226,"&lt;"&amp;DATE(2027,10,1)))</f>
        <v>0</v>
      </c>
      <c r="T22" s="48" t="n">
        <f aca="false">IF($A22="","",SUMIFS('FUNDED DEALS'!$V$4:$V$1226,'FUNDED DEALS'!$T$4:$T$1226,$A22,'FUNDED DEALS'!$C$4:$C$1226,"&gt;="&amp;DATE(2027,10,1),'FUNDED DEALS'!$C$4:$C$1226,"&lt;"&amp;DATE(2027,11,1))+SUMIFS('FUNDED DEALS'!$Y$4:$Y$1226,'FUNDED DEALS'!$W$4:$W$1226,$A22,'FUNDED DEALS'!$C$4:$C$1226,"&gt;="&amp;DATE(2027,10,1),'FUNDED DEALS'!$C$4:$C$1226,"&lt;"&amp;DATE(2027,11,1))+SUMIFS('FUNDED DEALS'!$AB$4:$AB$1226,'FUNDED DEALS'!$Z$4:$Z$1226,$A22,'FUNDED DEALS'!$C$4:$C$1226,"&gt;="&amp;DATE(2027,10,1),'FUNDED DEALS'!$C$4:$C$1226,"&lt;"&amp;DATE(2027,11,1))+SUMIFS('FUNDED DEALS 2027'!$V$4:$V$1226,'FUNDED DEALS 2027'!$T$4:$T$1226,$A22,'FUNDED DEALS 2027'!$C$4:$C$1226,"&gt;="&amp;DATE(2027,10,1),'FUNDED DEALS 2027'!$C$4:$C$1226,"&lt;"&amp;DATE(2027,11,1))+SUMIFS('FUNDED DEALS 2027'!$Y$4:$Y$1226,'FUNDED DEALS 2027'!$W$4:$W$1226,$A22,'FUNDED DEALS 2027'!$C$4:$C$1226,"&gt;="&amp;DATE(2027,10,1),'FUNDED DEALS 2027'!$C$4:$C$1226,"&lt;"&amp;DATE(2027,11,1))+SUMIFS('FUNDED DEALS 2027'!$AB$4:$AB$1226,'FUNDED DEALS 2027'!$Z$4:$Z$1226,$A22,'FUNDED DEALS 2027'!$C$4:$C$1226,"&gt;="&amp;DATE(2027,10,1),'FUNDED DEALS 2027'!$C$4:$C$1226,"&lt;"&amp;DATE(2027,11,1)))</f>
        <v>0</v>
      </c>
      <c r="U22" s="48" t="n">
        <f aca="false">IF($A22="","",SUMIFS('FUNDED DEALS'!$V$4:$V$1226,'FUNDED DEALS'!$T$4:$T$1226,$A22,'FUNDED DEALS'!$C$4:$C$1226,"&gt;="&amp;DATE(2027,11,1),'FUNDED DEALS'!$C$4:$C$1226,"&lt;"&amp;DATE(2027,12,1))+SUMIFS('FUNDED DEALS'!$Y$4:$Y$1226,'FUNDED DEALS'!$W$4:$W$1226,$A22,'FUNDED DEALS'!$C$4:$C$1226,"&gt;="&amp;DATE(2027,11,1),'FUNDED DEALS'!$C$4:$C$1226,"&lt;"&amp;DATE(2027,12,1))+SUMIFS('FUNDED DEALS'!$AB$4:$AB$1226,'FUNDED DEALS'!$Z$4:$Z$1226,$A22,'FUNDED DEALS'!$C$4:$C$1226,"&gt;="&amp;DATE(2027,11,1),'FUNDED DEALS'!$C$4:$C$1226,"&lt;"&amp;DATE(2027,12,1))+SUMIFS('FUNDED DEALS 2027'!$V$4:$V$1226,'FUNDED DEALS 2027'!$T$4:$T$1226,$A22,'FUNDED DEALS 2027'!$C$4:$C$1226,"&gt;="&amp;DATE(2027,11,1),'FUNDED DEALS 2027'!$C$4:$C$1226,"&lt;"&amp;DATE(2027,12,1))+SUMIFS('FUNDED DEALS 2027'!$Y$4:$Y$1226,'FUNDED DEALS 2027'!$W$4:$W$1226,$A22,'FUNDED DEALS 2027'!$C$4:$C$1226,"&gt;="&amp;DATE(2027,11,1),'FUNDED DEALS 2027'!$C$4:$C$1226,"&lt;"&amp;DATE(2027,12,1))+SUMIFS('FUNDED DEALS 2027'!$AB$4:$AB$1226,'FUNDED DEALS 2027'!$Z$4:$Z$1226,$A22,'FUNDED DEALS 2027'!$C$4:$C$1226,"&gt;="&amp;DATE(2027,11,1),'FUNDED DEALS 2027'!$C$4:$C$1226,"&lt;"&amp;DATE(2027,12,1)))</f>
        <v>0</v>
      </c>
      <c r="V22" s="48" t="n">
        <f aca="false">IF($A22="","",SUMIFS('FUNDED DEALS'!$V$4:$V$1226,'FUNDED DEALS'!$T$4:$T$1226,$A22,'FUNDED DEALS'!$C$4:$C$1226,"&gt;="&amp;DATE(2027,12,1),'FUNDED DEALS'!$C$4:$C$1226,"&lt;"&amp;DATE(2028,1,1))+SUMIFS('FUNDED DEALS'!$Y$4:$Y$1226,'FUNDED DEALS'!$W$4:$W$1226,$A22,'FUNDED DEALS'!$C$4:$C$1226,"&gt;="&amp;DATE(2027,12,1),'FUNDED DEALS'!$C$4:$C$1226,"&lt;"&amp;DATE(2028,1,1))+SUMIFS('FUNDED DEALS'!$AB$4:$AB$1226,'FUNDED DEALS'!$Z$4:$Z$1226,$A22,'FUNDED DEALS'!$C$4:$C$1226,"&gt;="&amp;DATE(2027,12,1),'FUNDED DEALS'!$C$4:$C$1226,"&lt;"&amp;DATE(2028,1,1))+SUMIFS('FUNDED DEALS 2027'!$V$4:$V$1226,'FUNDED DEALS 2027'!$T$4:$T$1226,$A22,'FUNDED DEALS 2027'!$C$4:$C$1226,"&gt;="&amp;DATE(2027,12,1),'FUNDED DEALS 2027'!$C$4:$C$1226,"&lt;"&amp;DATE(2028,1,1))+SUMIFS('FUNDED DEALS 2027'!$Y$4:$Y$1226,'FUNDED DEALS 2027'!$W$4:$W$1226,$A22,'FUNDED DEALS 2027'!$C$4:$C$1226,"&gt;="&amp;DATE(2027,12,1),'FUNDED DEALS 2027'!$C$4:$C$1226,"&lt;"&amp;DATE(2028,1,1))+SUMIFS('FUNDED DEALS 2027'!$AB$4:$AB$1226,'FUNDED DEALS 2027'!$Z$4:$Z$1226,$A22,'FUNDED DEALS 2027'!$C$4:$C$1226,"&gt;="&amp;DATE(2027,12,1),'FUNDED DEALS 2027'!$C$4:$C$1226,"&lt;"&amp;DATE(2028,1,1)))</f>
        <v>0</v>
      </c>
      <c r="W22" s="56" t="n">
        <f aca="false">IF($A22="","",SUM(B22:V22))</f>
        <v>0</v>
      </c>
    </row>
    <row r="23" customFormat="false" ht="15" hidden="false" customHeight="false" outlineLevel="0" collapsed="false">
      <c r="A23" s="50" t="str">
        <f aca="false">IF(REPS!A21="","",REPS!A21)</f>
        <v>Mark Gold</v>
      </c>
      <c r="B23" s="51" t="n">
        <f aca="false">IF($A23="","",SUMIFS('FUNDED DEALS'!$V$4:$V$1226,'FUNDED DEALS'!$T$4:$T$1226,$A23,'FUNDED DEALS'!$C$4:$C$1226,"&gt;="&amp;DATE(2026,4,1),'FUNDED DEALS'!$C$4:$C$1226,"&lt;"&amp;DATE(2026,5,1))+SUMIFS('FUNDED DEALS'!$Y$4:$Y$1226,'FUNDED DEALS'!$W$4:$W$1226,$A23,'FUNDED DEALS'!$C$4:$C$1226,"&gt;="&amp;DATE(2026,4,1),'FUNDED DEALS'!$C$4:$C$1226,"&lt;"&amp;DATE(2026,5,1))+SUMIFS('FUNDED DEALS'!$AB$4:$AB$1226,'FUNDED DEALS'!$Z$4:$Z$1226,$A23,'FUNDED DEALS'!$C$4:$C$1226,"&gt;="&amp;DATE(2026,4,1),'FUNDED DEALS'!$C$4:$C$1226,"&lt;"&amp;DATE(2026,5,1))+SUMIFS('FUNDED DEALS 2027'!$V$4:$V$1226,'FUNDED DEALS 2027'!$T$4:$T$1226,$A23,'FUNDED DEALS 2027'!$C$4:$C$1226,"&gt;="&amp;DATE(2026,4,1),'FUNDED DEALS 2027'!$C$4:$C$1226,"&lt;"&amp;DATE(2026,5,1))+SUMIFS('FUNDED DEALS 2027'!$Y$4:$Y$1226,'FUNDED DEALS 2027'!$W$4:$W$1226,$A23,'FUNDED DEALS 2027'!$C$4:$C$1226,"&gt;="&amp;DATE(2026,4,1),'FUNDED DEALS 2027'!$C$4:$C$1226,"&lt;"&amp;DATE(2026,5,1))+SUMIFS('FUNDED DEALS 2027'!$AB$4:$AB$1226,'FUNDED DEALS 2027'!$Z$4:$Z$1226,$A23,'FUNDED DEALS 2027'!$C$4:$C$1226,"&gt;="&amp;DATE(2026,4,1),'FUNDED DEALS 2027'!$C$4:$C$1226,"&lt;"&amp;DATE(2026,5,1)))</f>
        <v>0</v>
      </c>
      <c r="C23" s="51" t="n">
        <f aca="false">IF($A23="","",SUMIFS('FUNDED DEALS'!$V$4:$V$1226,'FUNDED DEALS'!$T$4:$T$1226,$A23,'FUNDED DEALS'!$C$4:$C$1226,"&gt;="&amp;DATE(2026,5,1),'FUNDED DEALS'!$C$4:$C$1226,"&lt;"&amp;DATE(2026,6,1))+SUMIFS('FUNDED DEALS'!$Y$4:$Y$1226,'FUNDED DEALS'!$W$4:$W$1226,$A23,'FUNDED DEALS'!$C$4:$C$1226,"&gt;="&amp;DATE(2026,5,1),'FUNDED DEALS'!$C$4:$C$1226,"&lt;"&amp;DATE(2026,6,1))+SUMIFS('FUNDED DEALS'!$AB$4:$AB$1226,'FUNDED DEALS'!$Z$4:$Z$1226,$A23,'FUNDED DEALS'!$C$4:$C$1226,"&gt;="&amp;DATE(2026,5,1),'FUNDED DEALS'!$C$4:$C$1226,"&lt;"&amp;DATE(2026,6,1))+SUMIFS('FUNDED DEALS 2027'!$V$4:$V$1226,'FUNDED DEALS 2027'!$T$4:$T$1226,$A23,'FUNDED DEALS 2027'!$C$4:$C$1226,"&gt;="&amp;DATE(2026,5,1),'FUNDED DEALS 2027'!$C$4:$C$1226,"&lt;"&amp;DATE(2026,6,1))+SUMIFS('FUNDED DEALS 2027'!$Y$4:$Y$1226,'FUNDED DEALS 2027'!$W$4:$W$1226,$A23,'FUNDED DEALS 2027'!$C$4:$C$1226,"&gt;="&amp;DATE(2026,5,1),'FUNDED DEALS 2027'!$C$4:$C$1226,"&lt;"&amp;DATE(2026,6,1))+SUMIFS('FUNDED DEALS 2027'!$AB$4:$AB$1226,'FUNDED DEALS 2027'!$Z$4:$Z$1226,$A23,'FUNDED DEALS 2027'!$C$4:$C$1226,"&gt;="&amp;DATE(2026,5,1),'FUNDED DEALS 2027'!$C$4:$C$1226,"&lt;"&amp;DATE(2026,6,1)))</f>
        <v>0</v>
      </c>
      <c r="D23" s="51" t="n">
        <f aca="false">IF($A23="","",SUMIFS('FUNDED DEALS'!$V$4:$V$1226,'FUNDED DEALS'!$T$4:$T$1226,$A23,'FUNDED DEALS'!$C$4:$C$1226,"&gt;="&amp;DATE(2026,6,1),'FUNDED DEALS'!$C$4:$C$1226,"&lt;"&amp;DATE(2026,7,1))+SUMIFS('FUNDED DEALS'!$Y$4:$Y$1226,'FUNDED DEALS'!$W$4:$W$1226,$A23,'FUNDED DEALS'!$C$4:$C$1226,"&gt;="&amp;DATE(2026,6,1),'FUNDED DEALS'!$C$4:$C$1226,"&lt;"&amp;DATE(2026,7,1))+SUMIFS('FUNDED DEALS'!$AB$4:$AB$1226,'FUNDED DEALS'!$Z$4:$Z$1226,$A23,'FUNDED DEALS'!$C$4:$C$1226,"&gt;="&amp;DATE(2026,6,1),'FUNDED DEALS'!$C$4:$C$1226,"&lt;"&amp;DATE(2026,7,1))+SUMIFS('FUNDED DEALS 2027'!$V$4:$V$1226,'FUNDED DEALS 2027'!$T$4:$T$1226,$A23,'FUNDED DEALS 2027'!$C$4:$C$1226,"&gt;="&amp;DATE(2026,6,1),'FUNDED DEALS 2027'!$C$4:$C$1226,"&lt;"&amp;DATE(2026,7,1))+SUMIFS('FUNDED DEALS 2027'!$Y$4:$Y$1226,'FUNDED DEALS 2027'!$W$4:$W$1226,$A23,'FUNDED DEALS 2027'!$C$4:$C$1226,"&gt;="&amp;DATE(2026,6,1),'FUNDED DEALS 2027'!$C$4:$C$1226,"&lt;"&amp;DATE(2026,7,1))+SUMIFS('FUNDED DEALS 2027'!$AB$4:$AB$1226,'FUNDED DEALS 2027'!$Z$4:$Z$1226,$A23,'FUNDED DEALS 2027'!$C$4:$C$1226,"&gt;="&amp;DATE(2026,6,1),'FUNDED DEALS 2027'!$C$4:$C$1226,"&lt;"&amp;DATE(2026,7,1)))</f>
        <v>0</v>
      </c>
      <c r="E23" s="51" t="n">
        <f aca="false">IF($A23="","",SUMIFS('FUNDED DEALS'!$V$4:$V$1226,'FUNDED DEALS'!$T$4:$T$1226,$A23,'FUNDED DEALS'!$C$4:$C$1226,"&gt;="&amp;DATE(2026,7,1),'FUNDED DEALS'!$C$4:$C$1226,"&lt;"&amp;DATE(2026,8,1))+SUMIFS('FUNDED DEALS'!$Y$4:$Y$1226,'FUNDED DEALS'!$W$4:$W$1226,$A23,'FUNDED DEALS'!$C$4:$C$1226,"&gt;="&amp;DATE(2026,7,1),'FUNDED DEALS'!$C$4:$C$1226,"&lt;"&amp;DATE(2026,8,1))+SUMIFS('FUNDED DEALS'!$AB$4:$AB$1226,'FUNDED DEALS'!$Z$4:$Z$1226,$A23,'FUNDED DEALS'!$C$4:$C$1226,"&gt;="&amp;DATE(2026,7,1),'FUNDED DEALS'!$C$4:$C$1226,"&lt;"&amp;DATE(2026,8,1))+SUMIFS('FUNDED DEALS 2027'!$V$4:$V$1226,'FUNDED DEALS 2027'!$T$4:$T$1226,$A23,'FUNDED DEALS 2027'!$C$4:$C$1226,"&gt;="&amp;DATE(2026,7,1),'FUNDED DEALS 2027'!$C$4:$C$1226,"&lt;"&amp;DATE(2026,8,1))+SUMIFS('FUNDED DEALS 2027'!$Y$4:$Y$1226,'FUNDED DEALS 2027'!$W$4:$W$1226,$A23,'FUNDED DEALS 2027'!$C$4:$C$1226,"&gt;="&amp;DATE(2026,7,1),'FUNDED DEALS 2027'!$C$4:$C$1226,"&lt;"&amp;DATE(2026,8,1))+SUMIFS('FUNDED DEALS 2027'!$AB$4:$AB$1226,'FUNDED DEALS 2027'!$Z$4:$Z$1226,$A23,'FUNDED DEALS 2027'!$C$4:$C$1226,"&gt;="&amp;DATE(2026,7,1),'FUNDED DEALS 2027'!$C$4:$C$1226,"&lt;"&amp;DATE(2026,8,1)))</f>
        <v>0</v>
      </c>
      <c r="F23" s="51" t="n">
        <f aca="false">IF($A23="","",SUMIFS('FUNDED DEALS'!$V$4:$V$1226,'FUNDED DEALS'!$T$4:$T$1226,$A23,'FUNDED DEALS'!$C$4:$C$1226,"&gt;="&amp;DATE(2026,8,1),'FUNDED DEALS'!$C$4:$C$1226,"&lt;"&amp;DATE(2026,9,1))+SUMIFS('FUNDED DEALS'!$Y$4:$Y$1226,'FUNDED DEALS'!$W$4:$W$1226,$A23,'FUNDED DEALS'!$C$4:$C$1226,"&gt;="&amp;DATE(2026,8,1),'FUNDED DEALS'!$C$4:$C$1226,"&lt;"&amp;DATE(2026,9,1))+SUMIFS('FUNDED DEALS'!$AB$4:$AB$1226,'FUNDED DEALS'!$Z$4:$Z$1226,$A23,'FUNDED DEALS'!$C$4:$C$1226,"&gt;="&amp;DATE(2026,8,1),'FUNDED DEALS'!$C$4:$C$1226,"&lt;"&amp;DATE(2026,9,1))+SUMIFS('FUNDED DEALS 2027'!$V$4:$V$1226,'FUNDED DEALS 2027'!$T$4:$T$1226,$A23,'FUNDED DEALS 2027'!$C$4:$C$1226,"&gt;="&amp;DATE(2026,8,1),'FUNDED DEALS 2027'!$C$4:$C$1226,"&lt;"&amp;DATE(2026,9,1))+SUMIFS('FUNDED DEALS 2027'!$Y$4:$Y$1226,'FUNDED DEALS 2027'!$W$4:$W$1226,$A23,'FUNDED DEALS 2027'!$C$4:$C$1226,"&gt;="&amp;DATE(2026,8,1),'FUNDED DEALS 2027'!$C$4:$C$1226,"&lt;"&amp;DATE(2026,9,1))+SUMIFS('FUNDED DEALS 2027'!$AB$4:$AB$1226,'FUNDED DEALS 2027'!$Z$4:$Z$1226,$A23,'FUNDED DEALS 2027'!$C$4:$C$1226,"&gt;="&amp;DATE(2026,8,1),'FUNDED DEALS 2027'!$C$4:$C$1226,"&lt;"&amp;DATE(2026,9,1)))</f>
        <v>0</v>
      </c>
      <c r="G23" s="51" t="n">
        <f aca="false">IF($A23="","",SUMIFS('FUNDED DEALS'!$V$4:$V$1226,'FUNDED DEALS'!$T$4:$T$1226,$A23,'FUNDED DEALS'!$C$4:$C$1226,"&gt;="&amp;DATE(2026,9,1),'FUNDED DEALS'!$C$4:$C$1226,"&lt;"&amp;DATE(2026,10,1))+SUMIFS('FUNDED DEALS'!$Y$4:$Y$1226,'FUNDED DEALS'!$W$4:$W$1226,$A23,'FUNDED DEALS'!$C$4:$C$1226,"&gt;="&amp;DATE(2026,9,1),'FUNDED DEALS'!$C$4:$C$1226,"&lt;"&amp;DATE(2026,10,1))+SUMIFS('FUNDED DEALS'!$AB$4:$AB$1226,'FUNDED DEALS'!$Z$4:$Z$1226,$A23,'FUNDED DEALS'!$C$4:$C$1226,"&gt;="&amp;DATE(2026,9,1),'FUNDED DEALS'!$C$4:$C$1226,"&lt;"&amp;DATE(2026,10,1))+SUMIFS('FUNDED DEALS 2027'!$V$4:$V$1226,'FUNDED DEALS 2027'!$T$4:$T$1226,$A23,'FUNDED DEALS 2027'!$C$4:$C$1226,"&gt;="&amp;DATE(2026,9,1),'FUNDED DEALS 2027'!$C$4:$C$1226,"&lt;"&amp;DATE(2026,10,1))+SUMIFS('FUNDED DEALS 2027'!$Y$4:$Y$1226,'FUNDED DEALS 2027'!$W$4:$W$1226,$A23,'FUNDED DEALS 2027'!$C$4:$C$1226,"&gt;="&amp;DATE(2026,9,1),'FUNDED DEALS 2027'!$C$4:$C$1226,"&lt;"&amp;DATE(2026,10,1))+SUMIFS('FUNDED DEALS 2027'!$AB$4:$AB$1226,'FUNDED DEALS 2027'!$Z$4:$Z$1226,$A23,'FUNDED DEALS 2027'!$C$4:$C$1226,"&gt;="&amp;DATE(2026,9,1),'FUNDED DEALS 2027'!$C$4:$C$1226,"&lt;"&amp;DATE(2026,10,1)))</f>
        <v>0</v>
      </c>
      <c r="H23" s="51" t="n">
        <f aca="false">IF($A23="","",SUMIFS('FUNDED DEALS'!$V$4:$V$1226,'FUNDED DEALS'!$T$4:$T$1226,$A23,'FUNDED DEALS'!$C$4:$C$1226,"&gt;="&amp;DATE(2026,10,1),'FUNDED DEALS'!$C$4:$C$1226,"&lt;"&amp;DATE(2026,11,1))+SUMIFS('FUNDED DEALS'!$Y$4:$Y$1226,'FUNDED DEALS'!$W$4:$W$1226,$A23,'FUNDED DEALS'!$C$4:$C$1226,"&gt;="&amp;DATE(2026,10,1),'FUNDED DEALS'!$C$4:$C$1226,"&lt;"&amp;DATE(2026,11,1))+SUMIFS('FUNDED DEALS'!$AB$4:$AB$1226,'FUNDED DEALS'!$Z$4:$Z$1226,$A23,'FUNDED DEALS'!$C$4:$C$1226,"&gt;="&amp;DATE(2026,10,1),'FUNDED DEALS'!$C$4:$C$1226,"&lt;"&amp;DATE(2026,11,1))+SUMIFS('FUNDED DEALS 2027'!$V$4:$V$1226,'FUNDED DEALS 2027'!$T$4:$T$1226,$A23,'FUNDED DEALS 2027'!$C$4:$C$1226,"&gt;="&amp;DATE(2026,10,1),'FUNDED DEALS 2027'!$C$4:$C$1226,"&lt;"&amp;DATE(2026,11,1))+SUMIFS('FUNDED DEALS 2027'!$Y$4:$Y$1226,'FUNDED DEALS 2027'!$W$4:$W$1226,$A23,'FUNDED DEALS 2027'!$C$4:$C$1226,"&gt;="&amp;DATE(2026,10,1),'FUNDED DEALS 2027'!$C$4:$C$1226,"&lt;"&amp;DATE(2026,11,1))+SUMIFS('FUNDED DEALS 2027'!$AB$4:$AB$1226,'FUNDED DEALS 2027'!$Z$4:$Z$1226,$A23,'FUNDED DEALS 2027'!$C$4:$C$1226,"&gt;="&amp;DATE(2026,10,1),'FUNDED DEALS 2027'!$C$4:$C$1226,"&lt;"&amp;DATE(2026,11,1)))</f>
        <v>0</v>
      </c>
      <c r="I23" s="51" t="n">
        <f aca="false">IF($A23="","",SUMIFS('FUNDED DEALS'!$V$4:$V$1226,'FUNDED DEALS'!$T$4:$T$1226,$A23,'FUNDED DEALS'!$C$4:$C$1226,"&gt;="&amp;DATE(2026,11,1),'FUNDED DEALS'!$C$4:$C$1226,"&lt;"&amp;DATE(2026,12,1))+SUMIFS('FUNDED DEALS'!$Y$4:$Y$1226,'FUNDED DEALS'!$W$4:$W$1226,$A23,'FUNDED DEALS'!$C$4:$C$1226,"&gt;="&amp;DATE(2026,11,1),'FUNDED DEALS'!$C$4:$C$1226,"&lt;"&amp;DATE(2026,12,1))+SUMIFS('FUNDED DEALS'!$AB$4:$AB$1226,'FUNDED DEALS'!$Z$4:$Z$1226,$A23,'FUNDED DEALS'!$C$4:$C$1226,"&gt;="&amp;DATE(2026,11,1),'FUNDED DEALS'!$C$4:$C$1226,"&lt;"&amp;DATE(2026,12,1))+SUMIFS('FUNDED DEALS 2027'!$V$4:$V$1226,'FUNDED DEALS 2027'!$T$4:$T$1226,$A23,'FUNDED DEALS 2027'!$C$4:$C$1226,"&gt;="&amp;DATE(2026,11,1),'FUNDED DEALS 2027'!$C$4:$C$1226,"&lt;"&amp;DATE(2026,12,1))+SUMIFS('FUNDED DEALS 2027'!$Y$4:$Y$1226,'FUNDED DEALS 2027'!$W$4:$W$1226,$A23,'FUNDED DEALS 2027'!$C$4:$C$1226,"&gt;="&amp;DATE(2026,11,1),'FUNDED DEALS 2027'!$C$4:$C$1226,"&lt;"&amp;DATE(2026,12,1))+SUMIFS('FUNDED DEALS 2027'!$AB$4:$AB$1226,'FUNDED DEALS 2027'!$Z$4:$Z$1226,$A23,'FUNDED DEALS 2027'!$C$4:$C$1226,"&gt;="&amp;DATE(2026,11,1),'FUNDED DEALS 2027'!$C$4:$C$1226,"&lt;"&amp;DATE(2026,12,1)))</f>
        <v>0</v>
      </c>
      <c r="J23" s="51" t="n">
        <f aca="false">IF($A23="","",SUMIFS('FUNDED DEALS'!$V$4:$V$1226,'FUNDED DEALS'!$T$4:$T$1226,$A23,'FUNDED DEALS'!$C$4:$C$1226,"&gt;="&amp;DATE(2026,12,1),'FUNDED DEALS'!$C$4:$C$1226,"&lt;"&amp;DATE(2027,1,1))+SUMIFS('FUNDED DEALS'!$Y$4:$Y$1226,'FUNDED DEALS'!$W$4:$W$1226,$A23,'FUNDED DEALS'!$C$4:$C$1226,"&gt;="&amp;DATE(2026,12,1),'FUNDED DEALS'!$C$4:$C$1226,"&lt;"&amp;DATE(2027,1,1))+SUMIFS('FUNDED DEALS'!$AB$4:$AB$1226,'FUNDED DEALS'!$Z$4:$Z$1226,$A23,'FUNDED DEALS'!$C$4:$C$1226,"&gt;="&amp;DATE(2026,12,1),'FUNDED DEALS'!$C$4:$C$1226,"&lt;"&amp;DATE(2027,1,1))+SUMIFS('FUNDED DEALS 2027'!$V$4:$V$1226,'FUNDED DEALS 2027'!$T$4:$T$1226,$A23,'FUNDED DEALS 2027'!$C$4:$C$1226,"&gt;="&amp;DATE(2026,12,1),'FUNDED DEALS 2027'!$C$4:$C$1226,"&lt;"&amp;DATE(2027,1,1))+SUMIFS('FUNDED DEALS 2027'!$Y$4:$Y$1226,'FUNDED DEALS 2027'!$W$4:$W$1226,$A23,'FUNDED DEALS 2027'!$C$4:$C$1226,"&gt;="&amp;DATE(2026,12,1),'FUNDED DEALS 2027'!$C$4:$C$1226,"&lt;"&amp;DATE(2027,1,1))+SUMIFS('FUNDED DEALS 2027'!$AB$4:$AB$1226,'FUNDED DEALS 2027'!$Z$4:$Z$1226,$A23,'FUNDED DEALS 2027'!$C$4:$C$1226,"&gt;="&amp;DATE(2026,12,1),'FUNDED DEALS 2027'!$C$4:$C$1226,"&lt;"&amp;DATE(2027,1,1)))</f>
        <v>0</v>
      </c>
      <c r="K23" s="51" t="n">
        <f aca="false">IF($A23="","",SUMIFS('FUNDED DEALS'!$V$4:$V$1226,'FUNDED DEALS'!$T$4:$T$1226,$A23,'FUNDED DEALS'!$C$4:$C$1226,"&gt;="&amp;DATE(2027,1,1),'FUNDED DEALS'!$C$4:$C$1226,"&lt;"&amp;DATE(2027,2,1))+SUMIFS('FUNDED DEALS'!$Y$4:$Y$1226,'FUNDED DEALS'!$W$4:$W$1226,$A23,'FUNDED DEALS'!$C$4:$C$1226,"&gt;="&amp;DATE(2027,1,1),'FUNDED DEALS'!$C$4:$C$1226,"&lt;"&amp;DATE(2027,2,1))+SUMIFS('FUNDED DEALS'!$AB$4:$AB$1226,'FUNDED DEALS'!$Z$4:$Z$1226,$A23,'FUNDED DEALS'!$C$4:$C$1226,"&gt;="&amp;DATE(2027,1,1),'FUNDED DEALS'!$C$4:$C$1226,"&lt;"&amp;DATE(2027,2,1))+SUMIFS('FUNDED DEALS 2027'!$V$4:$V$1226,'FUNDED DEALS 2027'!$T$4:$T$1226,$A23,'FUNDED DEALS 2027'!$C$4:$C$1226,"&gt;="&amp;DATE(2027,1,1),'FUNDED DEALS 2027'!$C$4:$C$1226,"&lt;"&amp;DATE(2027,2,1))+SUMIFS('FUNDED DEALS 2027'!$Y$4:$Y$1226,'FUNDED DEALS 2027'!$W$4:$W$1226,$A23,'FUNDED DEALS 2027'!$C$4:$C$1226,"&gt;="&amp;DATE(2027,1,1),'FUNDED DEALS 2027'!$C$4:$C$1226,"&lt;"&amp;DATE(2027,2,1))+SUMIFS('FUNDED DEALS 2027'!$AB$4:$AB$1226,'FUNDED DEALS 2027'!$Z$4:$Z$1226,$A23,'FUNDED DEALS 2027'!$C$4:$C$1226,"&gt;="&amp;DATE(2027,1,1),'FUNDED DEALS 2027'!$C$4:$C$1226,"&lt;"&amp;DATE(2027,2,1)))</f>
        <v>0</v>
      </c>
      <c r="L23" s="51" t="n">
        <f aca="false">IF($A23="","",SUMIFS('FUNDED DEALS'!$V$4:$V$1226,'FUNDED DEALS'!$T$4:$T$1226,$A23,'FUNDED DEALS'!$C$4:$C$1226,"&gt;="&amp;DATE(2027,2,1),'FUNDED DEALS'!$C$4:$C$1226,"&lt;"&amp;DATE(2027,3,1))+SUMIFS('FUNDED DEALS'!$Y$4:$Y$1226,'FUNDED DEALS'!$W$4:$W$1226,$A23,'FUNDED DEALS'!$C$4:$C$1226,"&gt;="&amp;DATE(2027,2,1),'FUNDED DEALS'!$C$4:$C$1226,"&lt;"&amp;DATE(2027,3,1))+SUMIFS('FUNDED DEALS'!$AB$4:$AB$1226,'FUNDED DEALS'!$Z$4:$Z$1226,$A23,'FUNDED DEALS'!$C$4:$C$1226,"&gt;="&amp;DATE(2027,2,1),'FUNDED DEALS'!$C$4:$C$1226,"&lt;"&amp;DATE(2027,3,1))+SUMIFS('FUNDED DEALS 2027'!$V$4:$V$1226,'FUNDED DEALS 2027'!$T$4:$T$1226,$A23,'FUNDED DEALS 2027'!$C$4:$C$1226,"&gt;="&amp;DATE(2027,2,1),'FUNDED DEALS 2027'!$C$4:$C$1226,"&lt;"&amp;DATE(2027,3,1))+SUMIFS('FUNDED DEALS 2027'!$Y$4:$Y$1226,'FUNDED DEALS 2027'!$W$4:$W$1226,$A23,'FUNDED DEALS 2027'!$C$4:$C$1226,"&gt;="&amp;DATE(2027,2,1),'FUNDED DEALS 2027'!$C$4:$C$1226,"&lt;"&amp;DATE(2027,3,1))+SUMIFS('FUNDED DEALS 2027'!$AB$4:$AB$1226,'FUNDED DEALS 2027'!$Z$4:$Z$1226,$A23,'FUNDED DEALS 2027'!$C$4:$C$1226,"&gt;="&amp;DATE(2027,2,1),'FUNDED DEALS 2027'!$C$4:$C$1226,"&lt;"&amp;DATE(2027,3,1)))</f>
        <v>0</v>
      </c>
      <c r="M23" s="51" t="n">
        <f aca="false">IF($A23="","",SUMIFS('FUNDED DEALS'!$V$4:$V$1226,'FUNDED DEALS'!$T$4:$T$1226,$A23,'FUNDED DEALS'!$C$4:$C$1226,"&gt;="&amp;DATE(2027,3,1),'FUNDED DEALS'!$C$4:$C$1226,"&lt;"&amp;DATE(2027,4,1))+SUMIFS('FUNDED DEALS'!$Y$4:$Y$1226,'FUNDED DEALS'!$W$4:$W$1226,$A23,'FUNDED DEALS'!$C$4:$C$1226,"&gt;="&amp;DATE(2027,3,1),'FUNDED DEALS'!$C$4:$C$1226,"&lt;"&amp;DATE(2027,4,1))+SUMIFS('FUNDED DEALS'!$AB$4:$AB$1226,'FUNDED DEALS'!$Z$4:$Z$1226,$A23,'FUNDED DEALS'!$C$4:$C$1226,"&gt;="&amp;DATE(2027,3,1),'FUNDED DEALS'!$C$4:$C$1226,"&lt;"&amp;DATE(2027,4,1))+SUMIFS('FUNDED DEALS 2027'!$V$4:$V$1226,'FUNDED DEALS 2027'!$T$4:$T$1226,$A23,'FUNDED DEALS 2027'!$C$4:$C$1226,"&gt;="&amp;DATE(2027,3,1),'FUNDED DEALS 2027'!$C$4:$C$1226,"&lt;"&amp;DATE(2027,4,1))+SUMIFS('FUNDED DEALS 2027'!$Y$4:$Y$1226,'FUNDED DEALS 2027'!$W$4:$W$1226,$A23,'FUNDED DEALS 2027'!$C$4:$C$1226,"&gt;="&amp;DATE(2027,3,1),'FUNDED DEALS 2027'!$C$4:$C$1226,"&lt;"&amp;DATE(2027,4,1))+SUMIFS('FUNDED DEALS 2027'!$AB$4:$AB$1226,'FUNDED DEALS 2027'!$Z$4:$Z$1226,$A23,'FUNDED DEALS 2027'!$C$4:$C$1226,"&gt;="&amp;DATE(2027,3,1),'FUNDED DEALS 2027'!$C$4:$C$1226,"&lt;"&amp;DATE(2027,4,1)))</f>
        <v>0</v>
      </c>
      <c r="N23" s="51" t="n">
        <f aca="false">IF($A23="","",SUMIFS('FUNDED DEALS'!$V$4:$V$1226,'FUNDED DEALS'!$T$4:$T$1226,$A23,'FUNDED DEALS'!$C$4:$C$1226,"&gt;="&amp;DATE(2027,4,1),'FUNDED DEALS'!$C$4:$C$1226,"&lt;"&amp;DATE(2027,5,1))+SUMIFS('FUNDED DEALS'!$Y$4:$Y$1226,'FUNDED DEALS'!$W$4:$W$1226,$A23,'FUNDED DEALS'!$C$4:$C$1226,"&gt;="&amp;DATE(2027,4,1),'FUNDED DEALS'!$C$4:$C$1226,"&lt;"&amp;DATE(2027,5,1))+SUMIFS('FUNDED DEALS'!$AB$4:$AB$1226,'FUNDED DEALS'!$Z$4:$Z$1226,$A23,'FUNDED DEALS'!$C$4:$C$1226,"&gt;="&amp;DATE(2027,4,1),'FUNDED DEALS'!$C$4:$C$1226,"&lt;"&amp;DATE(2027,5,1))+SUMIFS('FUNDED DEALS 2027'!$V$4:$V$1226,'FUNDED DEALS 2027'!$T$4:$T$1226,$A23,'FUNDED DEALS 2027'!$C$4:$C$1226,"&gt;="&amp;DATE(2027,4,1),'FUNDED DEALS 2027'!$C$4:$C$1226,"&lt;"&amp;DATE(2027,5,1))+SUMIFS('FUNDED DEALS 2027'!$Y$4:$Y$1226,'FUNDED DEALS 2027'!$W$4:$W$1226,$A23,'FUNDED DEALS 2027'!$C$4:$C$1226,"&gt;="&amp;DATE(2027,4,1),'FUNDED DEALS 2027'!$C$4:$C$1226,"&lt;"&amp;DATE(2027,5,1))+SUMIFS('FUNDED DEALS 2027'!$AB$4:$AB$1226,'FUNDED DEALS 2027'!$Z$4:$Z$1226,$A23,'FUNDED DEALS 2027'!$C$4:$C$1226,"&gt;="&amp;DATE(2027,4,1),'FUNDED DEALS 2027'!$C$4:$C$1226,"&lt;"&amp;DATE(2027,5,1)))</f>
        <v>0</v>
      </c>
      <c r="O23" s="51" t="n">
        <f aca="false">IF($A23="","",SUMIFS('FUNDED DEALS'!$V$4:$V$1226,'FUNDED DEALS'!$T$4:$T$1226,$A23,'FUNDED DEALS'!$C$4:$C$1226,"&gt;="&amp;DATE(2027,5,1),'FUNDED DEALS'!$C$4:$C$1226,"&lt;"&amp;DATE(2027,6,1))+SUMIFS('FUNDED DEALS'!$Y$4:$Y$1226,'FUNDED DEALS'!$W$4:$W$1226,$A23,'FUNDED DEALS'!$C$4:$C$1226,"&gt;="&amp;DATE(2027,5,1),'FUNDED DEALS'!$C$4:$C$1226,"&lt;"&amp;DATE(2027,6,1))+SUMIFS('FUNDED DEALS'!$AB$4:$AB$1226,'FUNDED DEALS'!$Z$4:$Z$1226,$A23,'FUNDED DEALS'!$C$4:$C$1226,"&gt;="&amp;DATE(2027,5,1),'FUNDED DEALS'!$C$4:$C$1226,"&lt;"&amp;DATE(2027,6,1))+SUMIFS('FUNDED DEALS 2027'!$V$4:$V$1226,'FUNDED DEALS 2027'!$T$4:$T$1226,$A23,'FUNDED DEALS 2027'!$C$4:$C$1226,"&gt;="&amp;DATE(2027,5,1),'FUNDED DEALS 2027'!$C$4:$C$1226,"&lt;"&amp;DATE(2027,6,1))+SUMIFS('FUNDED DEALS 2027'!$Y$4:$Y$1226,'FUNDED DEALS 2027'!$W$4:$W$1226,$A23,'FUNDED DEALS 2027'!$C$4:$C$1226,"&gt;="&amp;DATE(2027,5,1),'FUNDED DEALS 2027'!$C$4:$C$1226,"&lt;"&amp;DATE(2027,6,1))+SUMIFS('FUNDED DEALS 2027'!$AB$4:$AB$1226,'FUNDED DEALS 2027'!$Z$4:$Z$1226,$A23,'FUNDED DEALS 2027'!$C$4:$C$1226,"&gt;="&amp;DATE(2027,5,1),'FUNDED DEALS 2027'!$C$4:$C$1226,"&lt;"&amp;DATE(2027,6,1)))</f>
        <v>0</v>
      </c>
      <c r="P23" s="51" t="n">
        <f aca="false">IF($A23="","",SUMIFS('FUNDED DEALS'!$V$4:$V$1226,'FUNDED DEALS'!$T$4:$T$1226,$A23,'FUNDED DEALS'!$C$4:$C$1226,"&gt;="&amp;DATE(2027,6,1),'FUNDED DEALS'!$C$4:$C$1226,"&lt;"&amp;DATE(2027,7,1))+SUMIFS('FUNDED DEALS'!$Y$4:$Y$1226,'FUNDED DEALS'!$W$4:$W$1226,$A23,'FUNDED DEALS'!$C$4:$C$1226,"&gt;="&amp;DATE(2027,6,1),'FUNDED DEALS'!$C$4:$C$1226,"&lt;"&amp;DATE(2027,7,1))+SUMIFS('FUNDED DEALS'!$AB$4:$AB$1226,'FUNDED DEALS'!$Z$4:$Z$1226,$A23,'FUNDED DEALS'!$C$4:$C$1226,"&gt;="&amp;DATE(2027,6,1),'FUNDED DEALS'!$C$4:$C$1226,"&lt;"&amp;DATE(2027,7,1))+SUMIFS('FUNDED DEALS 2027'!$V$4:$V$1226,'FUNDED DEALS 2027'!$T$4:$T$1226,$A23,'FUNDED DEALS 2027'!$C$4:$C$1226,"&gt;="&amp;DATE(2027,6,1),'FUNDED DEALS 2027'!$C$4:$C$1226,"&lt;"&amp;DATE(2027,7,1))+SUMIFS('FUNDED DEALS 2027'!$Y$4:$Y$1226,'FUNDED DEALS 2027'!$W$4:$W$1226,$A23,'FUNDED DEALS 2027'!$C$4:$C$1226,"&gt;="&amp;DATE(2027,6,1),'FUNDED DEALS 2027'!$C$4:$C$1226,"&lt;"&amp;DATE(2027,7,1))+SUMIFS('FUNDED DEALS 2027'!$AB$4:$AB$1226,'FUNDED DEALS 2027'!$Z$4:$Z$1226,$A23,'FUNDED DEALS 2027'!$C$4:$C$1226,"&gt;="&amp;DATE(2027,6,1),'FUNDED DEALS 2027'!$C$4:$C$1226,"&lt;"&amp;DATE(2027,7,1)))</f>
        <v>0</v>
      </c>
      <c r="Q23" s="51" t="n">
        <f aca="false">IF($A23="","",SUMIFS('FUNDED DEALS'!$V$4:$V$1226,'FUNDED DEALS'!$T$4:$T$1226,$A23,'FUNDED DEALS'!$C$4:$C$1226,"&gt;="&amp;DATE(2027,7,1),'FUNDED DEALS'!$C$4:$C$1226,"&lt;"&amp;DATE(2027,8,1))+SUMIFS('FUNDED DEALS'!$Y$4:$Y$1226,'FUNDED DEALS'!$W$4:$W$1226,$A23,'FUNDED DEALS'!$C$4:$C$1226,"&gt;="&amp;DATE(2027,7,1),'FUNDED DEALS'!$C$4:$C$1226,"&lt;"&amp;DATE(2027,8,1))+SUMIFS('FUNDED DEALS'!$AB$4:$AB$1226,'FUNDED DEALS'!$Z$4:$Z$1226,$A23,'FUNDED DEALS'!$C$4:$C$1226,"&gt;="&amp;DATE(2027,7,1),'FUNDED DEALS'!$C$4:$C$1226,"&lt;"&amp;DATE(2027,8,1))+SUMIFS('FUNDED DEALS 2027'!$V$4:$V$1226,'FUNDED DEALS 2027'!$T$4:$T$1226,$A23,'FUNDED DEALS 2027'!$C$4:$C$1226,"&gt;="&amp;DATE(2027,7,1),'FUNDED DEALS 2027'!$C$4:$C$1226,"&lt;"&amp;DATE(2027,8,1))+SUMIFS('FUNDED DEALS 2027'!$Y$4:$Y$1226,'FUNDED DEALS 2027'!$W$4:$W$1226,$A23,'FUNDED DEALS 2027'!$C$4:$C$1226,"&gt;="&amp;DATE(2027,7,1),'FUNDED DEALS 2027'!$C$4:$C$1226,"&lt;"&amp;DATE(2027,8,1))+SUMIFS('FUNDED DEALS 2027'!$AB$4:$AB$1226,'FUNDED DEALS 2027'!$Z$4:$Z$1226,$A23,'FUNDED DEALS 2027'!$C$4:$C$1226,"&gt;="&amp;DATE(2027,7,1),'FUNDED DEALS 2027'!$C$4:$C$1226,"&lt;"&amp;DATE(2027,8,1)))</f>
        <v>0</v>
      </c>
      <c r="R23" s="51" t="n">
        <f aca="false">IF($A23="","",SUMIFS('FUNDED DEALS'!$V$4:$V$1226,'FUNDED DEALS'!$T$4:$T$1226,$A23,'FUNDED DEALS'!$C$4:$C$1226,"&gt;="&amp;DATE(2027,8,1),'FUNDED DEALS'!$C$4:$C$1226,"&lt;"&amp;DATE(2027,9,1))+SUMIFS('FUNDED DEALS'!$Y$4:$Y$1226,'FUNDED DEALS'!$W$4:$W$1226,$A23,'FUNDED DEALS'!$C$4:$C$1226,"&gt;="&amp;DATE(2027,8,1),'FUNDED DEALS'!$C$4:$C$1226,"&lt;"&amp;DATE(2027,9,1))+SUMIFS('FUNDED DEALS'!$AB$4:$AB$1226,'FUNDED DEALS'!$Z$4:$Z$1226,$A23,'FUNDED DEALS'!$C$4:$C$1226,"&gt;="&amp;DATE(2027,8,1),'FUNDED DEALS'!$C$4:$C$1226,"&lt;"&amp;DATE(2027,9,1))+SUMIFS('FUNDED DEALS 2027'!$V$4:$V$1226,'FUNDED DEALS 2027'!$T$4:$T$1226,$A23,'FUNDED DEALS 2027'!$C$4:$C$1226,"&gt;="&amp;DATE(2027,8,1),'FUNDED DEALS 2027'!$C$4:$C$1226,"&lt;"&amp;DATE(2027,9,1))+SUMIFS('FUNDED DEALS 2027'!$Y$4:$Y$1226,'FUNDED DEALS 2027'!$W$4:$W$1226,$A23,'FUNDED DEALS 2027'!$C$4:$C$1226,"&gt;="&amp;DATE(2027,8,1),'FUNDED DEALS 2027'!$C$4:$C$1226,"&lt;"&amp;DATE(2027,9,1))+SUMIFS('FUNDED DEALS 2027'!$AB$4:$AB$1226,'FUNDED DEALS 2027'!$Z$4:$Z$1226,$A23,'FUNDED DEALS 2027'!$C$4:$C$1226,"&gt;="&amp;DATE(2027,8,1),'FUNDED DEALS 2027'!$C$4:$C$1226,"&lt;"&amp;DATE(2027,9,1)))</f>
        <v>0</v>
      </c>
      <c r="S23" s="51" t="n">
        <f aca="false">IF($A23="","",SUMIFS('FUNDED DEALS'!$V$4:$V$1226,'FUNDED DEALS'!$T$4:$T$1226,$A23,'FUNDED DEALS'!$C$4:$C$1226,"&gt;="&amp;DATE(2027,9,1),'FUNDED DEALS'!$C$4:$C$1226,"&lt;"&amp;DATE(2027,10,1))+SUMIFS('FUNDED DEALS'!$Y$4:$Y$1226,'FUNDED DEALS'!$W$4:$W$1226,$A23,'FUNDED DEALS'!$C$4:$C$1226,"&gt;="&amp;DATE(2027,9,1),'FUNDED DEALS'!$C$4:$C$1226,"&lt;"&amp;DATE(2027,10,1))+SUMIFS('FUNDED DEALS'!$AB$4:$AB$1226,'FUNDED DEALS'!$Z$4:$Z$1226,$A23,'FUNDED DEALS'!$C$4:$C$1226,"&gt;="&amp;DATE(2027,9,1),'FUNDED DEALS'!$C$4:$C$1226,"&lt;"&amp;DATE(2027,10,1))+SUMIFS('FUNDED DEALS 2027'!$V$4:$V$1226,'FUNDED DEALS 2027'!$T$4:$T$1226,$A23,'FUNDED DEALS 2027'!$C$4:$C$1226,"&gt;="&amp;DATE(2027,9,1),'FUNDED DEALS 2027'!$C$4:$C$1226,"&lt;"&amp;DATE(2027,10,1))+SUMIFS('FUNDED DEALS 2027'!$Y$4:$Y$1226,'FUNDED DEALS 2027'!$W$4:$W$1226,$A23,'FUNDED DEALS 2027'!$C$4:$C$1226,"&gt;="&amp;DATE(2027,9,1),'FUNDED DEALS 2027'!$C$4:$C$1226,"&lt;"&amp;DATE(2027,10,1))+SUMIFS('FUNDED DEALS 2027'!$AB$4:$AB$1226,'FUNDED DEALS 2027'!$Z$4:$Z$1226,$A23,'FUNDED DEALS 2027'!$C$4:$C$1226,"&gt;="&amp;DATE(2027,9,1),'FUNDED DEALS 2027'!$C$4:$C$1226,"&lt;"&amp;DATE(2027,10,1)))</f>
        <v>0</v>
      </c>
      <c r="T23" s="51" t="n">
        <f aca="false">IF($A23="","",SUMIFS('FUNDED DEALS'!$V$4:$V$1226,'FUNDED DEALS'!$T$4:$T$1226,$A23,'FUNDED DEALS'!$C$4:$C$1226,"&gt;="&amp;DATE(2027,10,1),'FUNDED DEALS'!$C$4:$C$1226,"&lt;"&amp;DATE(2027,11,1))+SUMIFS('FUNDED DEALS'!$Y$4:$Y$1226,'FUNDED DEALS'!$W$4:$W$1226,$A23,'FUNDED DEALS'!$C$4:$C$1226,"&gt;="&amp;DATE(2027,10,1),'FUNDED DEALS'!$C$4:$C$1226,"&lt;"&amp;DATE(2027,11,1))+SUMIFS('FUNDED DEALS'!$AB$4:$AB$1226,'FUNDED DEALS'!$Z$4:$Z$1226,$A23,'FUNDED DEALS'!$C$4:$C$1226,"&gt;="&amp;DATE(2027,10,1),'FUNDED DEALS'!$C$4:$C$1226,"&lt;"&amp;DATE(2027,11,1))+SUMIFS('FUNDED DEALS 2027'!$V$4:$V$1226,'FUNDED DEALS 2027'!$T$4:$T$1226,$A23,'FUNDED DEALS 2027'!$C$4:$C$1226,"&gt;="&amp;DATE(2027,10,1),'FUNDED DEALS 2027'!$C$4:$C$1226,"&lt;"&amp;DATE(2027,11,1))+SUMIFS('FUNDED DEALS 2027'!$Y$4:$Y$1226,'FUNDED DEALS 2027'!$W$4:$W$1226,$A23,'FUNDED DEALS 2027'!$C$4:$C$1226,"&gt;="&amp;DATE(2027,10,1),'FUNDED DEALS 2027'!$C$4:$C$1226,"&lt;"&amp;DATE(2027,11,1))+SUMIFS('FUNDED DEALS 2027'!$AB$4:$AB$1226,'FUNDED DEALS 2027'!$Z$4:$Z$1226,$A23,'FUNDED DEALS 2027'!$C$4:$C$1226,"&gt;="&amp;DATE(2027,10,1),'FUNDED DEALS 2027'!$C$4:$C$1226,"&lt;"&amp;DATE(2027,11,1)))</f>
        <v>0</v>
      </c>
      <c r="U23" s="51" t="n">
        <f aca="false">IF($A23="","",SUMIFS('FUNDED DEALS'!$V$4:$V$1226,'FUNDED DEALS'!$T$4:$T$1226,$A23,'FUNDED DEALS'!$C$4:$C$1226,"&gt;="&amp;DATE(2027,11,1),'FUNDED DEALS'!$C$4:$C$1226,"&lt;"&amp;DATE(2027,12,1))+SUMIFS('FUNDED DEALS'!$Y$4:$Y$1226,'FUNDED DEALS'!$W$4:$W$1226,$A23,'FUNDED DEALS'!$C$4:$C$1226,"&gt;="&amp;DATE(2027,11,1),'FUNDED DEALS'!$C$4:$C$1226,"&lt;"&amp;DATE(2027,12,1))+SUMIFS('FUNDED DEALS'!$AB$4:$AB$1226,'FUNDED DEALS'!$Z$4:$Z$1226,$A23,'FUNDED DEALS'!$C$4:$C$1226,"&gt;="&amp;DATE(2027,11,1),'FUNDED DEALS'!$C$4:$C$1226,"&lt;"&amp;DATE(2027,12,1))+SUMIFS('FUNDED DEALS 2027'!$V$4:$V$1226,'FUNDED DEALS 2027'!$T$4:$T$1226,$A23,'FUNDED DEALS 2027'!$C$4:$C$1226,"&gt;="&amp;DATE(2027,11,1),'FUNDED DEALS 2027'!$C$4:$C$1226,"&lt;"&amp;DATE(2027,12,1))+SUMIFS('FUNDED DEALS 2027'!$Y$4:$Y$1226,'FUNDED DEALS 2027'!$W$4:$W$1226,$A23,'FUNDED DEALS 2027'!$C$4:$C$1226,"&gt;="&amp;DATE(2027,11,1),'FUNDED DEALS 2027'!$C$4:$C$1226,"&lt;"&amp;DATE(2027,12,1))+SUMIFS('FUNDED DEALS 2027'!$AB$4:$AB$1226,'FUNDED DEALS 2027'!$Z$4:$Z$1226,$A23,'FUNDED DEALS 2027'!$C$4:$C$1226,"&gt;="&amp;DATE(2027,11,1),'FUNDED DEALS 2027'!$C$4:$C$1226,"&lt;"&amp;DATE(2027,12,1)))</f>
        <v>0</v>
      </c>
      <c r="V23" s="51" t="n">
        <f aca="false">IF($A23="","",SUMIFS('FUNDED DEALS'!$V$4:$V$1226,'FUNDED DEALS'!$T$4:$T$1226,$A23,'FUNDED DEALS'!$C$4:$C$1226,"&gt;="&amp;DATE(2027,12,1),'FUNDED DEALS'!$C$4:$C$1226,"&lt;"&amp;DATE(2028,1,1))+SUMIFS('FUNDED DEALS'!$Y$4:$Y$1226,'FUNDED DEALS'!$W$4:$W$1226,$A23,'FUNDED DEALS'!$C$4:$C$1226,"&gt;="&amp;DATE(2027,12,1),'FUNDED DEALS'!$C$4:$C$1226,"&lt;"&amp;DATE(2028,1,1))+SUMIFS('FUNDED DEALS'!$AB$4:$AB$1226,'FUNDED DEALS'!$Z$4:$Z$1226,$A23,'FUNDED DEALS'!$C$4:$C$1226,"&gt;="&amp;DATE(2027,12,1),'FUNDED DEALS'!$C$4:$C$1226,"&lt;"&amp;DATE(2028,1,1))+SUMIFS('FUNDED DEALS 2027'!$V$4:$V$1226,'FUNDED DEALS 2027'!$T$4:$T$1226,$A23,'FUNDED DEALS 2027'!$C$4:$C$1226,"&gt;="&amp;DATE(2027,12,1),'FUNDED DEALS 2027'!$C$4:$C$1226,"&lt;"&amp;DATE(2028,1,1))+SUMIFS('FUNDED DEALS 2027'!$Y$4:$Y$1226,'FUNDED DEALS 2027'!$W$4:$W$1226,$A23,'FUNDED DEALS 2027'!$C$4:$C$1226,"&gt;="&amp;DATE(2027,12,1),'FUNDED DEALS 2027'!$C$4:$C$1226,"&lt;"&amp;DATE(2028,1,1))+SUMIFS('FUNDED DEALS 2027'!$AB$4:$AB$1226,'FUNDED DEALS 2027'!$Z$4:$Z$1226,$A23,'FUNDED DEALS 2027'!$C$4:$C$1226,"&gt;="&amp;DATE(2027,12,1),'FUNDED DEALS 2027'!$C$4:$C$1226,"&lt;"&amp;DATE(2028,1,1)))</f>
        <v>0</v>
      </c>
      <c r="W23" s="58" t="n">
        <f aca="false">IF($A23="","",SUM(B23:V23))</f>
        <v>0</v>
      </c>
    </row>
    <row r="24" customFormat="false" ht="15" hidden="false" customHeight="false" outlineLevel="0" collapsed="false">
      <c r="A24" s="47" t="str">
        <f aca="false">IF(REPS!A22="","",REPS!A22)</f>
        <v>Aaron Dahan</v>
      </c>
      <c r="B24" s="48" t="n">
        <f aca="false">IF($A24="","",SUMIFS('FUNDED DEALS'!$V$4:$V$1226,'FUNDED DEALS'!$T$4:$T$1226,$A24,'FUNDED DEALS'!$C$4:$C$1226,"&gt;="&amp;DATE(2026,4,1),'FUNDED DEALS'!$C$4:$C$1226,"&lt;"&amp;DATE(2026,5,1))+SUMIFS('FUNDED DEALS'!$Y$4:$Y$1226,'FUNDED DEALS'!$W$4:$W$1226,$A24,'FUNDED DEALS'!$C$4:$C$1226,"&gt;="&amp;DATE(2026,4,1),'FUNDED DEALS'!$C$4:$C$1226,"&lt;"&amp;DATE(2026,5,1))+SUMIFS('FUNDED DEALS'!$AB$4:$AB$1226,'FUNDED DEALS'!$Z$4:$Z$1226,$A24,'FUNDED DEALS'!$C$4:$C$1226,"&gt;="&amp;DATE(2026,4,1),'FUNDED DEALS'!$C$4:$C$1226,"&lt;"&amp;DATE(2026,5,1))+SUMIFS('FUNDED DEALS 2027'!$V$4:$V$1226,'FUNDED DEALS 2027'!$T$4:$T$1226,$A24,'FUNDED DEALS 2027'!$C$4:$C$1226,"&gt;="&amp;DATE(2026,4,1),'FUNDED DEALS 2027'!$C$4:$C$1226,"&lt;"&amp;DATE(2026,5,1))+SUMIFS('FUNDED DEALS 2027'!$Y$4:$Y$1226,'FUNDED DEALS 2027'!$W$4:$W$1226,$A24,'FUNDED DEALS 2027'!$C$4:$C$1226,"&gt;="&amp;DATE(2026,4,1),'FUNDED DEALS 2027'!$C$4:$C$1226,"&lt;"&amp;DATE(2026,5,1))+SUMIFS('FUNDED DEALS 2027'!$AB$4:$AB$1226,'FUNDED DEALS 2027'!$Z$4:$Z$1226,$A24,'FUNDED DEALS 2027'!$C$4:$C$1226,"&gt;="&amp;DATE(2026,4,1),'FUNDED DEALS 2027'!$C$4:$C$1226,"&lt;"&amp;DATE(2026,5,1)))</f>
        <v>0</v>
      </c>
      <c r="C24" s="48" t="n">
        <f aca="false">IF($A24="","",SUMIFS('FUNDED DEALS'!$V$4:$V$1226,'FUNDED DEALS'!$T$4:$T$1226,$A24,'FUNDED DEALS'!$C$4:$C$1226,"&gt;="&amp;DATE(2026,5,1),'FUNDED DEALS'!$C$4:$C$1226,"&lt;"&amp;DATE(2026,6,1))+SUMIFS('FUNDED DEALS'!$Y$4:$Y$1226,'FUNDED DEALS'!$W$4:$W$1226,$A24,'FUNDED DEALS'!$C$4:$C$1226,"&gt;="&amp;DATE(2026,5,1),'FUNDED DEALS'!$C$4:$C$1226,"&lt;"&amp;DATE(2026,6,1))+SUMIFS('FUNDED DEALS'!$AB$4:$AB$1226,'FUNDED DEALS'!$Z$4:$Z$1226,$A24,'FUNDED DEALS'!$C$4:$C$1226,"&gt;="&amp;DATE(2026,5,1),'FUNDED DEALS'!$C$4:$C$1226,"&lt;"&amp;DATE(2026,6,1))+SUMIFS('FUNDED DEALS 2027'!$V$4:$V$1226,'FUNDED DEALS 2027'!$T$4:$T$1226,$A24,'FUNDED DEALS 2027'!$C$4:$C$1226,"&gt;="&amp;DATE(2026,5,1),'FUNDED DEALS 2027'!$C$4:$C$1226,"&lt;"&amp;DATE(2026,6,1))+SUMIFS('FUNDED DEALS 2027'!$Y$4:$Y$1226,'FUNDED DEALS 2027'!$W$4:$W$1226,$A24,'FUNDED DEALS 2027'!$C$4:$C$1226,"&gt;="&amp;DATE(2026,5,1),'FUNDED DEALS 2027'!$C$4:$C$1226,"&lt;"&amp;DATE(2026,6,1))+SUMIFS('FUNDED DEALS 2027'!$AB$4:$AB$1226,'FUNDED DEALS 2027'!$Z$4:$Z$1226,$A24,'FUNDED DEALS 2027'!$C$4:$C$1226,"&gt;="&amp;DATE(2026,5,1),'FUNDED DEALS 2027'!$C$4:$C$1226,"&lt;"&amp;DATE(2026,6,1)))</f>
        <v>0</v>
      </c>
      <c r="D24" s="48" t="n">
        <f aca="false">IF($A24="","",SUMIFS('FUNDED DEALS'!$V$4:$V$1226,'FUNDED DEALS'!$T$4:$T$1226,$A24,'FUNDED DEALS'!$C$4:$C$1226,"&gt;="&amp;DATE(2026,6,1),'FUNDED DEALS'!$C$4:$C$1226,"&lt;"&amp;DATE(2026,7,1))+SUMIFS('FUNDED DEALS'!$Y$4:$Y$1226,'FUNDED DEALS'!$W$4:$W$1226,$A24,'FUNDED DEALS'!$C$4:$C$1226,"&gt;="&amp;DATE(2026,6,1),'FUNDED DEALS'!$C$4:$C$1226,"&lt;"&amp;DATE(2026,7,1))+SUMIFS('FUNDED DEALS'!$AB$4:$AB$1226,'FUNDED DEALS'!$Z$4:$Z$1226,$A24,'FUNDED DEALS'!$C$4:$C$1226,"&gt;="&amp;DATE(2026,6,1),'FUNDED DEALS'!$C$4:$C$1226,"&lt;"&amp;DATE(2026,7,1))+SUMIFS('FUNDED DEALS 2027'!$V$4:$V$1226,'FUNDED DEALS 2027'!$T$4:$T$1226,$A24,'FUNDED DEALS 2027'!$C$4:$C$1226,"&gt;="&amp;DATE(2026,6,1),'FUNDED DEALS 2027'!$C$4:$C$1226,"&lt;"&amp;DATE(2026,7,1))+SUMIFS('FUNDED DEALS 2027'!$Y$4:$Y$1226,'FUNDED DEALS 2027'!$W$4:$W$1226,$A24,'FUNDED DEALS 2027'!$C$4:$C$1226,"&gt;="&amp;DATE(2026,6,1),'FUNDED DEALS 2027'!$C$4:$C$1226,"&lt;"&amp;DATE(2026,7,1))+SUMIFS('FUNDED DEALS 2027'!$AB$4:$AB$1226,'FUNDED DEALS 2027'!$Z$4:$Z$1226,$A24,'FUNDED DEALS 2027'!$C$4:$C$1226,"&gt;="&amp;DATE(2026,6,1),'FUNDED DEALS 2027'!$C$4:$C$1226,"&lt;"&amp;DATE(2026,7,1)))</f>
        <v>0</v>
      </c>
      <c r="E24" s="48" t="n">
        <f aca="false">IF($A24="","",SUMIFS('FUNDED DEALS'!$V$4:$V$1226,'FUNDED DEALS'!$T$4:$T$1226,$A24,'FUNDED DEALS'!$C$4:$C$1226,"&gt;="&amp;DATE(2026,7,1),'FUNDED DEALS'!$C$4:$C$1226,"&lt;"&amp;DATE(2026,8,1))+SUMIFS('FUNDED DEALS'!$Y$4:$Y$1226,'FUNDED DEALS'!$W$4:$W$1226,$A24,'FUNDED DEALS'!$C$4:$C$1226,"&gt;="&amp;DATE(2026,7,1),'FUNDED DEALS'!$C$4:$C$1226,"&lt;"&amp;DATE(2026,8,1))+SUMIFS('FUNDED DEALS'!$AB$4:$AB$1226,'FUNDED DEALS'!$Z$4:$Z$1226,$A24,'FUNDED DEALS'!$C$4:$C$1226,"&gt;="&amp;DATE(2026,7,1),'FUNDED DEALS'!$C$4:$C$1226,"&lt;"&amp;DATE(2026,8,1))+SUMIFS('FUNDED DEALS 2027'!$V$4:$V$1226,'FUNDED DEALS 2027'!$T$4:$T$1226,$A24,'FUNDED DEALS 2027'!$C$4:$C$1226,"&gt;="&amp;DATE(2026,7,1),'FUNDED DEALS 2027'!$C$4:$C$1226,"&lt;"&amp;DATE(2026,8,1))+SUMIFS('FUNDED DEALS 2027'!$Y$4:$Y$1226,'FUNDED DEALS 2027'!$W$4:$W$1226,$A24,'FUNDED DEALS 2027'!$C$4:$C$1226,"&gt;="&amp;DATE(2026,7,1),'FUNDED DEALS 2027'!$C$4:$C$1226,"&lt;"&amp;DATE(2026,8,1))+SUMIFS('FUNDED DEALS 2027'!$AB$4:$AB$1226,'FUNDED DEALS 2027'!$Z$4:$Z$1226,$A24,'FUNDED DEALS 2027'!$C$4:$C$1226,"&gt;="&amp;DATE(2026,7,1),'FUNDED DEALS 2027'!$C$4:$C$1226,"&lt;"&amp;DATE(2026,8,1)))</f>
        <v>0</v>
      </c>
      <c r="F24" s="48" t="n">
        <f aca="false">IF($A24="","",SUMIFS('FUNDED DEALS'!$V$4:$V$1226,'FUNDED DEALS'!$T$4:$T$1226,$A24,'FUNDED DEALS'!$C$4:$C$1226,"&gt;="&amp;DATE(2026,8,1),'FUNDED DEALS'!$C$4:$C$1226,"&lt;"&amp;DATE(2026,9,1))+SUMIFS('FUNDED DEALS'!$Y$4:$Y$1226,'FUNDED DEALS'!$W$4:$W$1226,$A24,'FUNDED DEALS'!$C$4:$C$1226,"&gt;="&amp;DATE(2026,8,1),'FUNDED DEALS'!$C$4:$C$1226,"&lt;"&amp;DATE(2026,9,1))+SUMIFS('FUNDED DEALS'!$AB$4:$AB$1226,'FUNDED DEALS'!$Z$4:$Z$1226,$A24,'FUNDED DEALS'!$C$4:$C$1226,"&gt;="&amp;DATE(2026,8,1),'FUNDED DEALS'!$C$4:$C$1226,"&lt;"&amp;DATE(2026,9,1))+SUMIFS('FUNDED DEALS 2027'!$V$4:$V$1226,'FUNDED DEALS 2027'!$T$4:$T$1226,$A24,'FUNDED DEALS 2027'!$C$4:$C$1226,"&gt;="&amp;DATE(2026,8,1),'FUNDED DEALS 2027'!$C$4:$C$1226,"&lt;"&amp;DATE(2026,9,1))+SUMIFS('FUNDED DEALS 2027'!$Y$4:$Y$1226,'FUNDED DEALS 2027'!$W$4:$W$1226,$A24,'FUNDED DEALS 2027'!$C$4:$C$1226,"&gt;="&amp;DATE(2026,8,1),'FUNDED DEALS 2027'!$C$4:$C$1226,"&lt;"&amp;DATE(2026,9,1))+SUMIFS('FUNDED DEALS 2027'!$AB$4:$AB$1226,'FUNDED DEALS 2027'!$Z$4:$Z$1226,$A24,'FUNDED DEALS 2027'!$C$4:$C$1226,"&gt;="&amp;DATE(2026,8,1),'FUNDED DEALS 2027'!$C$4:$C$1226,"&lt;"&amp;DATE(2026,9,1)))</f>
        <v>0</v>
      </c>
      <c r="G24" s="48" t="n">
        <f aca="false">IF($A24="","",SUMIFS('FUNDED DEALS'!$V$4:$V$1226,'FUNDED DEALS'!$T$4:$T$1226,$A24,'FUNDED DEALS'!$C$4:$C$1226,"&gt;="&amp;DATE(2026,9,1),'FUNDED DEALS'!$C$4:$C$1226,"&lt;"&amp;DATE(2026,10,1))+SUMIFS('FUNDED DEALS'!$Y$4:$Y$1226,'FUNDED DEALS'!$W$4:$W$1226,$A24,'FUNDED DEALS'!$C$4:$C$1226,"&gt;="&amp;DATE(2026,9,1),'FUNDED DEALS'!$C$4:$C$1226,"&lt;"&amp;DATE(2026,10,1))+SUMIFS('FUNDED DEALS'!$AB$4:$AB$1226,'FUNDED DEALS'!$Z$4:$Z$1226,$A24,'FUNDED DEALS'!$C$4:$C$1226,"&gt;="&amp;DATE(2026,9,1),'FUNDED DEALS'!$C$4:$C$1226,"&lt;"&amp;DATE(2026,10,1))+SUMIFS('FUNDED DEALS 2027'!$V$4:$V$1226,'FUNDED DEALS 2027'!$T$4:$T$1226,$A24,'FUNDED DEALS 2027'!$C$4:$C$1226,"&gt;="&amp;DATE(2026,9,1),'FUNDED DEALS 2027'!$C$4:$C$1226,"&lt;"&amp;DATE(2026,10,1))+SUMIFS('FUNDED DEALS 2027'!$Y$4:$Y$1226,'FUNDED DEALS 2027'!$W$4:$W$1226,$A24,'FUNDED DEALS 2027'!$C$4:$C$1226,"&gt;="&amp;DATE(2026,9,1),'FUNDED DEALS 2027'!$C$4:$C$1226,"&lt;"&amp;DATE(2026,10,1))+SUMIFS('FUNDED DEALS 2027'!$AB$4:$AB$1226,'FUNDED DEALS 2027'!$Z$4:$Z$1226,$A24,'FUNDED DEALS 2027'!$C$4:$C$1226,"&gt;="&amp;DATE(2026,9,1),'FUNDED DEALS 2027'!$C$4:$C$1226,"&lt;"&amp;DATE(2026,10,1)))</f>
        <v>0</v>
      </c>
      <c r="H24" s="48" t="n">
        <f aca="false">IF($A24="","",SUMIFS('FUNDED DEALS'!$V$4:$V$1226,'FUNDED DEALS'!$T$4:$T$1226,$A24,'FUNDED DEALS'!$C$4:$C$1226,"&gt;="&amp;DATE(2026,10,1),'FUNDED DEALS'!$C$4:$C$1226,"&lt;"&amp;DATE(2026,11,1))+SUMIFS('FUNDED DEALS'!$Y$4:$Y$1226,'FUNDED DEALS'!$W$4:$W$1226,$A24,'FUNDED DEALS'!$C$4:$C$1226,"&gt;="&amp;DATE(2026,10,1),'FUNDED DEALS'!$C$4:$C$1226,"&lt;"&amp;DATE(2026,11,1))+SUMIFS('FUNDED DEALS'!$AB$4:$AB$1226,'FUNDED DEALS'!$Z$4:$Z$1226,$A24,'FUNDED DEALS'!$C$4:$C$1226,"&gt;="&amp;DATE(2026,10,1),'FUNDED DEALS'!$C$4:$C$1226,"&lt;"&amp;DATE(2026,11,1))+SUMIFS('FUNDED DEALS 2027'!$V$4:$V$1226,'FUNDED DEALS 2027'!$T$4:$T$1226,$A24,'FUNDED DEALS 2027'!$C$4:$C$1226,"&gt;="&amp;DATE(2026,10,1),'FUNDED DEALS 2027'!$C$4:$C$1226,"&lt;"&amp;DATE(2026,11,1))+SUMIFS('FUNDED DEALS 2027'!$Y$4:$Y$1226,'FUNDED DEALS 2027'!$W$4:$W$1226,$A24,'FUNDED DEALS 2027'!$C$4:$C$1226,"&gt;="&amp;DATE(2026,10,1),'FUNDED DEALS 2027'!$C$4:$C$1226,"&lt;"&amp;DATE(2026,11,1))+SUMIFS('FUNDED DEALS 2027'!$AB$4:$AB$1226,'FUNDED DEALS 2027'!$Z$4:$Z$1226,$A24,'FUNDED DEALS 2027'!$C$4:$C$1226,"&gt;="&amp;DATE(2026,10,1),'FUNDED DEALS 2027'!$C$4:$C$1226,"&lt;"&amp;DATE(2026,11,1)))</f>
        <v>0</v>
      </c>
      <c r="I24" s="48" t="n">
        <f aca="false">IF($A24="","",SUMIFS('FUNDED DEALS'!$V$4:$V$1226,'FUNDED DEALS'!$T$4:$T$1226,$A24,'FUNDED DEALS'!$C$4:$C$1226,"&gt;="&amp;DATE(2026,11,1),'FUNDED DEALS'!$C$4:$C$1226,"&lt;"&amp;DATE(2026,12,1))+SUMIFS('FUNDED DEALS'!$Y$4:$Y$1226,'FUNDED DEALS'!$W$4:$W$1226,$A24,'FUNDED DEALS'!$C$4:$C$1226,"&gt;="&amp;DATE(2026,11,1),'FUNDED DEALS'!$C$4:$C$1226,"&lt;"&amp;DATE(2026,12,1))+SUMIFS('FUNDED DEALS'!$AB$4:$AB$1226,'FUNDED DEALS'!$Z$4:$Z$1226,$A24,'FUNDED DEALS'!$C$4:$C$1226,"&gt;="&amp;DATE(2026,11,1),'FUNDED DEALS'!$C$4:$C$1226,"&lt;"&amp;DATE(2026,12,1))+SUMIFS('FUNDED DEALS 2027'!$V$4:$V$1226,'FUNDED DEALS 2027'!$T$4:$T$1226,$A24,'FUNDED DEALS 2027'!$C$4:$C$1226,"&gt;="&amp;DATE(2026,11,1),'FUNDED DEALS 2027'!$C$4:$C$1226,"&lt;"&amp;DATE(2026,12,1))+SUMIFS('FUNDED DEALS 2027'!$Y$4:$Y$1226,'FUNDED DEALS 2027'!$W$4:$W$1226,$A24,'FUNDED DEALS 2027'!$C$4:$C$1226,"&gt;="&amp;DATE(2026,11,1),'FUNDED DEALS 2027'!$C$4:$C$1226,"&lt;"&amp;DATE(2026,12,1))+SUMIFS('FUNDED DEALS 2027'!$AB$4:$AB$1226,'FUNDED DEALS 2027'!$Z$4:$Z$1226,$A24,'FUNDED DEALS 2027'!$C$4:$C$1226,"&gt;="&amp;DATE(2026,11,1),'FUNDED DEALS 2027'!$C$4:$C$1226,"&lt;"&amp;DATE(2026,12,1)))</f>
        <v>0</v>
      </c>
      <c r="J24" s="48" t="n">
        <f aca="false">IF($A24="","",SUMIFS('FUNDED DEALS'!$V$4:$V$1226,'FUNDED DEALS'!$T$4:$T$1226,$A24,'FUNDED DEALS'!$C$4:$C$1226,"&gt;="&amp;DATE(2026,12,1),'FUNDED DEALS'!$C$4:$C$1226,"&lt;"&amp;DATE(2027,1,1))+SUMIFS('FUNDED DEALS'!$Y$4:$Y$1226,'FUNDED DEALS'!$W$4:$W$1226,$A24,'FUNDED DEALS'!$C$4:$C$1226,"&gt;="&amp;DATE(2026,12,1),'FUNDED DEALS'!$C$4:$C$1226,"&lt;"&amp;DATE(2027,1,1))+SUMIFS('FUNDED DEALS'!$AB$4:$AB$1226,'FUNDED DEALS'!$Z$4:$Z$1226,$A24,'FUNDED DEALS'!$C$4:$C$1226,"&gt;="&amp;DATE(2026,12,1),'FUNDED DEALS'!$C$4:$C$1226,"&lt;"&amp;DATE(2027,1,1))+SUMIFS('FUNDED DEALS 2027'!$V$4:$V$1226,'FUNDED DEALS 2027'!$T$4:$T$1226,$A24,'FUNDED DEALS 2027'!$C$4:$C$1226,"&gt;="&amp;DATE(2026,12,1),'FUNDED DEALS 2027'!$C$4:$C$1226,"&lt;"&amp;DATE(2027,1,1))+SUMIFS('FUNDED DEALS 2027'!$Y$4:$Y$1226,'FUNDED DEALS 2027'!$W$4:$W$1226,$A24,'FUNDED DEALS 2027'!$C$4:$C$1226,"&gt;="&amp;DATE(2026,12,1),'FUNDED DEALS 2027'!$C$4:$C$1226,"&lt;"&amp;DATE(2027,1,1))+SUMIFS('FUNDED DEALS 2027'!$AB$4:$AB$1226,'FUNDED DEALS 2027'!$Z$4:$Z$1226,$A24,'FUNDED DEALS 2027'!$C$4:$C$1226,"&gt;="&amp;DATE(2026,12,1),'FUNDED DEALS 2027'!$C$4:$C$1226,"&lt;"&amp;DATE(2027,1,1)))</f>
        <v>0</v>
      </c>
      <c r="K24" s="48" t="n">
        <f aca="false">IF($A24="","",SUMIFS('FUNDED DEALS'!$V$4:$V$1226,'FUNDED DEALS'!$T$4:$T$1226,$A24,'FUNDED DEALS'!$C$4:$C$1226,"&gt;="&amp;DATE(2027,1,1),'FUNDED DEALS'!$C$4:$C$1226,"&lt;"&amp;DATE(2027,2,1))+SUMIFS('FUNDED DEALS'!$Y$4:$Y$1226,'FUNDED DEALS'!$W$4:$W$1226,$A24,'FUNDED DEALS'!$C$4:$C$1226,"&gt;="&amp;DATE(2027,1,1),'FUNDED DEALS'!$C$4:$C$1226,"&lt;"&amp;DATE(2027,2,1))+SUMIFS('FUNDED DEALS'!$AB$4:$AB$1226,'FUNDED DEALS'!$Z$4:$Z$1226,$A24,'FUNDED DEALS'!$C$4:$C$1226,"&gt;="&amp;DATE(2027,1,1),'FUNDED DEALS'!$C$4:$C$1226,"&lt;"&amp;DATE(2027,2,1))+SUMIFS('FUNDED DEALS 2027'!$V$4:$V$1226,'FUNDED DEALS 2027'!$T$4:$T$1226,$A24,'FUNDED DEALS 2027'!$C$4:$C$1226,"&gt;="&amp;DATE(2027,1,1),'FUNDED DEALS 2027'!$C$4:$C$1226,"&lt;"&amp;DATE(2027,2,1))+SUMIFS('FUNDED DEALS 2027'!$Y$4:$Y$1226,'FUNDED DEALS 2027'!$W$4:$W$1226,$A24,'FUNDED DEALS 2027'!$C$4:$C$1226,"&gt;="&amp;DATE(2027,1,1),'FUNDED DEALS 2027'!$C$4:$C$1226,"&lt;"&amp;DATE(2027,2,1))+SUMIFS('FUNDED DEALS 2027'!$AB$4:$AB$1226,'FUNDED DEALS 2027'!$Z$4:$Z$1226,$A24,'FUNDED DEALS 2027'!$C$4:$C$1226,"&gt;="&amp;DATE(2027,1,1),'FUNDED DEALS 2027'!$C$4:$C$1226,"&lt;"&amp;DATE(2027,2,1)))</f>
        <v>0</v>
      </c>
      <c r="L24" s="48" t="n">
        <f aca="false">IF($A24="","",SUMIFS('FUNDED DEALS'!$V$4:$V$1226,'FUNDED DEALS'!$T$4:$T$1226,$A24,'FUNDED DEALS'!$C$4:$C$1226,"&gt;="&amp;DATE(2027,2,1),'FUNDED DEALS'!$C$4:$C$1226,"&lt;"&amp;DATE(2027,3,1))+SUMIFS('FUNDED DEALS'!$Y$4:$Y$1226,'FUNDED DEALS'!$W$4:$W$1226,$A24,'FUNDED DEALS'!$C$4:$C$1226,"&gt;="&amp;DATE(2027,2,1),'FUNDED DEALS'!$C$4:$C$1226,"&lt;"&amp;DATE(2027,3,1))+SUMIFS('FUNDED DEALS'!$AB$4:$AB$1226,'FUNDED DEALS'!$Z$4:$Z$1226,$A24,'FUNDED DEALS'!$C$4:$C$1226,"&gt;="&amp;DATE(2027,2,1),'FUNDED DEALS'!$C$4:$C$1226,"&lt;"&amp;DATE(2027,3,1))+SUMIFS('FUNDED DEALS 2027'!$V$4:$V$1226,'FUNDED DEALS 2027'!$T$4:$T$1226,$A24,'FUNDED DEALS 2027'!$C$4:$C$1226,"&gt;="&amp;DATE(2027,2,1),'FUNDED DEALS 2027'!$C$4:$C$1226,"&lt;"&amp;DATE(2027,3,1))+SUMIFS('FUNDED DEALS 2027'!$Y$4:$Y$1226,'FUNDED DEALS 2027'!$W$4:$W$1226,$A24,'FUNDED DEALS 2027'!$C$4:$C$1226,"&gt;="&amp;DATE(2027,2,1),'FUNDED DEALS 2027'!$C$4:$C$1226,"&lt;"&amp;DATE(2027,3,1))+SUMIFS('FUNDED DEALS 2027'!$AB$4:$AB$1226,'FUNDED DEALS 2027'!$Z$4:$Z$1226,$A24,'FUNDED DEALS 2027'!$C$4:$C$1226,"&gt;="&amp;DATE(2027,2,1),'FUNDED DEALS 2027'!$C$4:$C$1226,"&lt;"&amp;DATE(2027,3,1)))</f>
        <v>0</v>
      </c>
      <c r="M24" s="48" t="n">
        <f aca="false">IF($A24="","",SUMIFS('FUNDED DEALS'!$V$4:$V$1226,'FUNDED DEALS'!$T$4:$T$1226,$A24,'FUNDED DEALS'!$C$4:$C$1226,"&gt;="&amp;DATE(2027,3,1),'FUNDED DEALS'!$C$4:$C$1226,"&lt;"&amp;DATE(2027,4,1))+SUMIFS('FUNDED DEALS'!$Y$4:$Y$1226,'FUNDED DEALS'!$W$4:$W$1226,$A24,'FUNDED DEALS'!$C$4:$C$1226,"&gt;="&amp;DATE(2027,3,1),'FUNDED DEALS'!$C$4:$C$1226,"&lt;"&amp;DATE(2027,4,1))+SUMIFS('FUNDED DEALS'!$AB$4:$AB$1226,'FUNDED DEALS'!$Z$4:$Z$1226,$A24,'FUNDED DEALS'!$C$4:$C$1226,"&gt;="&amp;DATE(2027,3,1),'FUNDED DEALS'!$C$4:$C$1226,"&lt;"&amp;DATE(2027,4,1))+SUMIFS('FUNDED DEALS 2027'!$V$4:$V$1226,'FUNDED DEALS 2027'!$T$4:$T$1226,$A24,'FUNDED DEALS 2027'!$C$4:$C$1226,"&gt;="&amp;DATE(2027,3,1),'FUNDED DEALS 2027'!$C$4:$C$1226,"&lt;"&amp;DATE(2027,4,1))+SUMIFS('FUNDED DEALS 2027'!$Y$4:$Y$1226,'FUNDED DEALS 2027'!$W$4:$W$1226,$A24,'FUNDED DEALS 2027'!$C$4:$C$1226,"&gt;="&amp;DATE(2027,3,1),'FUNDED DEALS 2027'!$C$4:$C$1226,"&lt;"&amp;DATE(2027,4,1))+SUMIFS('FUNDED DEALS 2027'!$AB$4:$AB$1226,'FUNDED DEALS 2027'!$Z$4:$Z$1226,$A24,'FUNDED DEALS 2027'!$C$4:$C$1226,"&gt;="&amp;DATE(2027,3,1),'FUNDED DEALS 2027'!$C$4:$C$1226,"&lt;"&amp;DATE(2027,4,1)))</f>
        <v>0</v>
      </c>
      <c r="N24" s="48" t="n">
        <f aca="false">IF($A24="","",SUMIFS('FUNDED DEALS'!$V$4:$V$1226,'FUNDED DEALS'!$T$4:$T$1226,$A24,'FUNDED DEALS'!$C$4:$C$1226,"&gt;="&amp;DATE(2027,4,1),'FUNDED DEALS'!$C$4:$C$1226,"&lt;"&amp;DATE(2027,5,1))+SUMIFS('FUNDED DEALS'!$Y$4:$Y$1226,'FUNDED DEALS'!$W$4:$W$1226,$A24,'FUNDED DEALS'!$C$4:$C$1226,"&gt;="&amp;DATE(2027,4,1),'FUNDED DEALS'!$C$4:$C$1226,"&lt;"&amp;DATE(2027,5,1))+SUMIFS('FUNDED DEALS'!$AB$4:$AB$1226,'FUNDED DEALS'!$Z$4:$Z$1226,$A24,'FUNDED DEALS'!$C$4:$C$1226,"&gt;="&amp;DATE(2027,4,1),'FUNDED DEALS'!$C$4:$C$1226,"&lt;"&amp;DATE(2027,5,1))+SUMIFS('FUNDED DEALS 2027'!$V$4:$V$1226,'FUNDED DEALS 2027'!$T$4:$T$1226,$A24,'FUNDED DEALS 2027'!$C$4:$C$1226,"&gt;="&amp;DATE(2027,4,1),'FUNDED DEALS 2027'!$C$4:$C$1226,"&lt;"&amp;DATE(2027,5,1))+SUMIFS('FUNDED DEALS 2027'!$Y$4:$Y$1226,'FUNDED DEALS 2027'!$W$4:$W$1226,$A24,'FUNDED DEALS 2027'!$C$4:$C$1226,"&gt;="&amp;DATE(2027,4,1),'FUNDED DEALS 2027'!$C$4:$C$1226,"&lt;"&amp;DATE(2027,5,1))+SUMIFS('FUNDED DEALS 2027'!$AB$4:$AB$1226,'FUNDED DEALS 2027'!$Z$4:$Z$1226,$A24,'FUNDED DEALS 2027'!$C$4:$C$1226,"&gt;="&amp;DATE(2027,4,1),'FUNDED DEALS 2027'!$C$4:$C$1226,"&lt;"&amp;DATE(2027,5,1)))</f>
        <v>0</v>
      </c>
      <c r="O24" s="48" t="n">
        <f aca="false">IF($A24="","",SUMIFS('FUNDED DEALS'!$V$4:$V$1226,'FUNDED DEALS'!$T$4:$T$1226,$A24,'FUNDED DEALS'!$C$4:$C$1226,"&gt;="&amp;DATE(2027,5,1),'FUNDED DEALS'!$C$4:$C$1226,"&lt;"&amp;DATE(2027,6,1))+SUMIFS('FUNDED DEALS'!$Y$4:$Y$1226,'FUNDED DEALS'!$W$4:$W$1226,$A24,'FUNDED DEALS'!$C$4:$C$1226,"&gt;="&amp;DATE(2027,5,1),'FUNDED DEALS'!$C$4:$C$1226,"&lt;"&amp;DATE(2027,6,1))+SUMIFS('FUNDED DEALS'!$AB$4:$AB$1226,'FUNDED DEALS'!$Z$4:$Z$1226,$A24,'FUNDED DEALS'!$C$4:$C$1226,"&gt;="&amp;DATE(2027,5,1),'FUNDED DEALS'!$C$4:$C$1226,"&lt;"&amp;DATE(2027,6,1))+SUMIFS('FUNDED DEALS 2027'!$V$4:$V$1226,'FUNDED DEALS 2027'!$T$4:$T$1226,$A24,'FUNDED DEALS 2027'!$C$4:$C$1226,"&gt;="&amp;DATE(2027,5,1),'FUNDED DEALS 2027'!$C$4:$C$1226,"&lt;"&amp;DATE(2027,6,1))+SUMIFS('FUNDED DEALS 2027'!$Y$4:$Y$1226,'FUNDED DEALS 2027'!$W$4:$W$1226,$A24,'FUNDED DEALS 2027'!$C$4:$C$1226,"&gt;="&amp;DATE(2027,5,1),'FUNDED DEALS 2027'!$C$4:$C$1226,"&lt;"&amp;DATE(2027,6,1))+SUMIFS('FUNDED DEALS 2027'!$AB$4:$AB$1226,'FUNDED DEALS 2027'!$Z$4:$Z$1226,$A24,'FUNDED DEALS 2027'!$C$4:$C$1226,"&gt;="&amp;DATE(2027,5,1),'FUNDED DEALS 2027'!$C$4:$C$1226,"&lt;"&amp;DATE(2027,6,1)))</f>
        <v>0</v>
      </c>
      <c r="P24" s="48" t="n">
        <f aca="false">IF($A24="","",SUMIFS('FUNDED DEALS'!$V$4:$V$1226,'FUNDED DEALS'!$T$4:$T$1226,$A24,'FUNDED DEALS'!$C$4:$C$1226,"&gt;="&amp;DATE(2027,6,1),'FUNDED DEALS'!$C$4:$C$1226,"&lt;"&amp;DATE(2027,7,1))+SUMIFS('FUNDED DEALS'!$Y$4:$Y$1226,'FUNDED DEALS'!$W$4:$W$1226,$A24,'FUNDED DEALS'!$C$4:$C$1226,"&gt;="&amp;DATE(2027,6,1),'FUNDED DEALS'!$C$4:$C$1226,"&lt;"&amp;DATE(2027,7,1))+SUMIFS('FUNDED DEALS'!$AB$4:$AB$1226,'FUNDED DEALS'!$Z$4:$Z$1226,$A24,'FUNDED DEALS'!$C$4:$C$1226,"&gt;="&amp;DATE(2027,6,1),'FUNDED DEALS'!$C$4:$C$1226,"&lt;"&amp;DATE(2027,7,1))+SUMIFS('FUNDED DEALS 2027'!$V$4:$V$1226,'FUNDED DEALS 2027'!$T$4:$T$1226,$A24,'FUNDED DEALS 2027'!$C$4:$C$1226,"&gt;="&amp;DATE(2027,6,1),'FUNDED DEALS 2027'!$C$4:$C$1226,"&lt;"&amp;DATE(2027,7,1))+SUMIFS('FUNDED DEALS 2027'!$Y$4:$Y$1226,'FUNDED DEALS 2027'!$W$4:$W$1226,$A24,'FUNDED DEALS 2027'!$C$4:$C$1226,"&gt;="&amp;DATE(2027,6,1),'FUNDED DEALS 2027'!$C$4:$C$1226,"&lt;"&amp;DATE(2027,7,1))+SUMIFS('FUNDED DEALS 2027'!$AB$4:$AB$1226,'FUNDED DEALS 2027'!$Z$4:$Z$1226,$A24,'FUNDED DEALS 2027'!$C$4:$C$1226,"&gt;="&amp;DATE(2027,6,1),'FUNDED DEALS 2027'!$C$4:$C$1226,"&lt;"&amp;DATE(2027,7,1)))</f>
        <v>0</v>
      </c>
      <c r="Q24" s="48" t="n">
        <f aca="false">IF($A24="","",SUMIFS('FUNDED DEALS'!$V$4:$V$1226,'FUNDED DEALS'!$T$4:$T$1226,$A24,'FUNDED DEALS'!$C$4:$C$1226,"&gt;="&amp;DATE(2027,7,1),'FUNDED DEALS'!$C$4:$C$1226,"&lt;"&amp;DATE(2027,8,1))+SUMIFS('FUNDED DEALS'!$Y$4:$Y$1226,'FUNDED DEALS'!$W$4:$W$1226,$A24,'FUNDED DEALS'!$C$4:$C$1226,"&gt;="&amp;DATE(2027,7,1),'FUNDED DEALS'!$C$4:$C$1226,"&lt;"&amp;DATE(2027,8,1))+SUMIFS('FUNDED DEALS'!$AB$4:$AB$1226,'FUNDED DEALS'!$Z$4:$Z$1226,$A24,'FUNDED DEALS'!$C$4:$C$1226,"&gt;="&amp;DATE(2027,7,1),'FUNDED DEALS'!$C$4:$C$1226,"&lt;"&amp;DATE(2027,8,1))+SUMIFS('FUNDED DEALS 2027'!$V$4:$V$1226,'FUNDED DEALS 2027'!$T$4:$T$1226,$A24,'FUNDED DEALS 2027'!$C$4:$C$1226,"&gt;="&amp;DATE(2027,7,1),'FUNDED DEALS 2027'!$C$4:$C$1226,"&lt;"&amp;DATE(2027,8,1))+SUMIFS('FUNDED DEALS 2027'!$Y$4:$Y$1226,'FUNDED DEALS 2027'!$W$4:$W$1226,$A24,'FUNDED DEALS 2027'!$C$4:$C$1226,"&gt;="&amp;DATE(2027,7,1),'FUNDED DEALS 2027'!$C$4:$C$1226,"&lt;"&amp;DATE(2027,8,1))+SUMIFS('FUNDED DEALS 2027'!$AB$4:$AB$1226,'FUNDED DEALS 2027'!$Z$4:$Z$1226,$A24,'FUNDED DEALS 2027'!$C$4:$C$1226,"&gt;="&amp;DATE(2027,7,1),'FUNDED DEALS 2027'!$C$4:$C$1226,"&lt;"&amp;DATE(2027,8,1)))</f>
        <v>0</v>
      </c>
      <c r="R24" s="48" t="n">
        <f aca="false">IF($A24="","",SUMIFS('FUNDED DEALS'!$V$4:$V$1226,'FUNDED DEALS'!$T$4:$T$1226,$A24,'FUNDED DEALS'!$C$4:$C$1226,"&gt;="&amp;DATE(2027,8,1),'FUNDED DEALS'!$C$4:$C$1226,"&lt;"&amp;DATE(2027,9,1))+SUMIFS('FUNDED DEALS'!$Y$4:$Y$1226,'FUNDED DEALS'!$W$4:$W$1226,$A24,'FUNDED DEALS'!$C$4:$C$1226,"&gt;="&amp;DATE(2027,8,1),'FUNDED DEALS'!$C$4:$C$1226,"&lt;"&amp;DATE(2027,9,1))+SUMIFS('FUNDED DEALS'!$AB$4:$AB$1226,'FUNDED DEALS'!$Z$4:$Z$1226,$A24,'FUNDED DEALS'!$C$4:$C$1226,"&gt;="&amp;DATE(2027,8,1),'FUNDED DEALS'!$C$4:$C$1226,"&lt;"&amp;DATE(2027,9,1))+SUMIFS('FUNDED DEALS 2027'!$V$4:$V$1226,'FUNDED DEALS 2027'!$T$4:$T$1226,$A24,'FUNDED DEALS 2027'!$C$4:$C$1226,"&gt;="&amp;DATE(2027,8,1),'FUNDED DEALS 2027'!$C$4:$C$1226,"&lt;"&amp;DATE(2027,9,1))+SUMIFS('FUNDED DEALS 2027'!$Y$4:$Y$1226,'FUNDED DEALS 2027'!$W$4:$W$1226,$A24,'FUNDED DEALS 2027'!$C$4:$C$1226,"&gt;="&amp;DATE(2027,8,1),'FUNDED DEALS 2027'!$C$4:$C$1226,"&lt;"&amp;DATE(2027,9,1))+SUMIFS('FUNDED DEALS 2027'!$AB$4:$AB$1226,'FUNDED DEALS 2027'!$Z$4:$Z$1226,$A24,'FUNDED DEALS 2027'!$C$4:$C$1226,"&gt;="&amp;DATE(2027,8,1),'FUNDED DEALS 2027'!$C$4:$C$1226,"&lt;"&amp;DATE(2027,9,1)))</f>
        <v>0</v>
      </c>
      <c r="S24" s="48" t="n">
        <f aca="false">IF($A24="","",SUMIFS('FUNDED DEALS'!$V$4:$V$1226,'FUNDED DEALS'!$T$4:$T$1226,$A24,'FUNDED DEALS'!$C$4:$C$1226,"&gt;="&amp;DATE(2027,9,1),'FUNDED DEALS'!$C$4:$C$1226,"&lt;"&amp;DATE(2027,10,1))+SUMIFS('FUNDED DEALS'!$Y$4:$Y$1226,'FUNDED DEALS'!$W$4:$W$1226,$A24,'FUNDED DEALS'!$C$4:$C$1226,"&gt;="&amp;DATE(2027,9,1),'FUNDED DEALS'!$C$4:$C$1226,"&lt;"&amp;DATE(2027,10,1))+SUMIFS('FUNDED DEALS'!$AB$4:$AB$1226,'FUNDED DEALS'!$Z$4:$Z$1226,$A24,'FUNDED DEALS'!$C$4:$C$1226,"&gt;="&amp;DATE(2027,9,1),'FUNDED DEALS'!$C$4:$C$1226,"&lt;"&amp;DATE(2027,10,1))+SUMIFS('FUNDED DEALS 2027'!$V$4:$V$1226,'FUNDED DEALS 2027'!$T$4:$T$1226,$A24,'FUNDED DEALS 2027'!$C$4:$C$1226,"&gt;="&amp;DATE(2027,9,1),'FUNDED DEALS 2027'!$C$4:$C$1226,"&lt;"&amp;DATE(2027,10,1))+SUMIFS('FUNDED DEALS 2027'!$Y$4:$Y$1226,'FUNDED DEALS 2027'!$W$4:$W$1226,$A24,'FUNDED DEALS 2027'!$C$4:$C$1226,"&gt;="&amp;DATE(2027,9,1),'FUNDED DEALS 2027'!$C$4:$C$1226,"&lt;"&amp;DATE(2027,10,1))+SUMIFS('FUNDED DEALS 2027'!$AB$4:$AB$1226,'FUNDED DEALS 2027'!$Z$4:$Z$1226,$A24,'FUNDED DEALS 2027'!$C$4:$C$1226,"&gt;="&amp;DATE(2027,9,1),'FUNDED DEALS 2027'!$C$4:$C$1226,"&lt;"&amp;DATE(2027,10,1)))</f>
        <v>0</v>
      </c>
      <c r="T24" s="48" t="n">
        <f aca="false">IF($A24="","",SUMIFS('FUNDED DEALS'!$V$4:$V$1226,'FUNDED DEALS'!$T$4:$T$1226,$A24,'FUNDED DEALS'!$C$4:$C$1226,"&gt;="&amp;DATE(2027,10,1),'FUNDED DEALS'!$C$4:$C$1226,"&lt;"&amp;DATE(2027,11,1))+SUMIFS('FUNDED DEALS'!$Y$4:$Y$1226,'FUNDED DEALS'!$W$4:$W$1226,$A24,'FUNDED DEALS'!$C$4:$C$1226,"&gt;="&amp;DATE(2027,10,1),'FUNDED DEALS'!$C$4:$C$1226,"&lt;"&amp;DATE(2027,11,1))+SUMIFS('FUNDED DEALS'!$AB$4:$AB$1226,'FUNDED DEALS'!$Z$4:$Z$1226,$A24,'FUNDED DEALS'!$C$4:$C$1226,"&gt;="&amp;DATE(2027,10,1),'FUNDED DEALS'!$C$4:$C$1226,"&lt;"&amp;DATE(2027,11,1))+SUMIFS('FUNDED DEALS 2027'!$V$4:$V$1226,'FUNDED DEALS 2027'!$T$4:$T$1226,$A24,'FUNDED DEALS 2027'!$C$4:$C$1226,"&gt;="&amp;DATE(2027,10,1),'FUNDED DEALS 2027'!$C$4:$C$1226,"&lt;"&amp;DATE(2027,11,1))+SUMIFS('FUNDED DEALS 2027'!$Y$4:$Y$1226,'FUNDED DEALS 2027'!$W$4:$W$1226,$A24,'FUNDED DEALS 2027'!$C$4:$C$1226,"&gt;="&amp;DATE(2027,10,1),'FUNDED DEALS 2027'!$C$4:$C$1226,"&lt;"&amp;DATE(2027,11,1))+SUMIFS('FUNDED DEALS 2027'!$AB$4:$AB$1226,'FUNDED DEALS 2027'!$Z$4:$Z$1226,$A24,'FUNDED DEALS 2027'!$C$4:$C$1226,"&gt;="&amp;DATE(2027,10,1),'FUNDED DEALS 2027'!$C$4:$C$1226,"&lt;"&amp;DATE(2027,11,1)))</f>
        <v>0</v>
      </c>
      <c r="U24" s="48" t="n">
        <f aca="false">IF($A24="","",SUMIFS('FUNDED DEALS'!$V$4:$V$1226,'FUNDED DEALS'!$T$4:$T$1226,$A24,'FUNDED DEALS'!$C$4:$C$1226,"&gt;="&amp;DATE(2027,11,1),'FUNDED DEALS'!$C$4:$C$1226,"&lt;"&amp;DATE(2027,12,1))+SUMIFS('FUNDED DEALS'!$Y$4:$Y$1226,'FUNDED DEALS'!$W$4:$W$1226,$A24,'FUNDED DEALS'!$C$4:$C$1226,"&gt;="&amp;DATE(2027,11,1),'FUNDED DEALS'!$C$4:$C$1226,"&lt;"&amp;DATE(2027,12,1))+SUMIFS('FUNDED DEALS'!$AB$4:$AB$1226,'FUNDED DEALS'!$Z$4:$Z$1226,$A24,'FUNDED DEALS'!$C$4:$C$1226,"&gt;="&amp;DATE(2027,11,1),'FUNDED DEALS'!$C$4:$C$1226,"&lt;"&amp;DATE(2027,12,1))+SUMIFS('FUNDED DEALS 2027'!$V$4:$V$1226,'FUNDED DEALS 2027'!$T$4:$T$1226,$A24,'FUNDED DEALS 2027'!$C$4:$C$1226,"&gt;="&amp;DATE(2027,11,1),'FUNDED DEALS 2027'!$C$4:$C$1226,"&lt;"&amp;DATE(2027,12,1))+SUMIFS('FUNDED DEALS 2027'!$Y$4:$Y$1226,'FUNDED DEALS 2027'!$W$4:$W$1226,$A24,'FUNDED DEALS 2027'!$C$4:$C$1226,"&gt;="&amp;DATE(2027,11,1),'FUNDED DEALS 2027'!$C$4:$C$1226,"&lt;"&amp;DATE(2027,12,1))+SUMIFS('FUNDED DEALS 2027'!$AB$4:$AB$1226,'FUNDED DEALS 2027'!$Z$4:$Z$1226,$A24,'FUNDED DEALS 2027'!$C$4:$C$1226,"&gt;="&amp;DATE(2027,11,1),'FUNDED DEALS 2027'!$C$4:$C$1226,"&lt;"&amp;DATE(2027,12,1)))</f>
        <v>0</v>
      </c>
      <c r="V24" s="48" t="n">
        <f aca="false">IF($A24="","",SUMIFS('FUNDED DEALS'!$V$4:$V$1226,'FUNDED DEALS'!$T$4:$T$1226,$A24,'FUNDED DEALS'!$C$4:$C$1226,"&gt;="&amp;DATE(2027,12,1),'FUNDED DEALS'!$C$4:$C$1226,"&lt;"&amp;DATE(2028,1,1))+SUMIFS('FUNDED DEALS'!$Y$4:$Y$1226,'FUNDED DEALS'!$W$4:$W$1226,$A24,'FUNDED DEALS'!$C$4:$C$1226,"&gt;="&amp;DATE(2027,12,1),'FUNDED DEALS'!$C$4:$C$1226,"&lt;"&amp;DATE(2028,1,1))+SUMIFS('FUNDED DEALS'!$AB$4:$AB$1226,'FUNDED DEALS'!$Z$4:$Z$1226,$A24,'FUNDED DEALS'!$C$4:$C$1226,"&gt;="&amp;DATE(2027,12,1),'FUNDED DEALS'!$C$4:$C$1226,"&lt;"&amp;DATE(2028,1,1))+SUMIFS('FUNDED DEALS 2027'!$V$4:$V$1226,'FUNDED DEALS 2027'!$T$4:$T$1226,$A24,'FUNDED DEALS 2027'!$C$4:$C$1226,"&gt;="&amp;DATE(2027,12,1),'FUNDED DEALS 2027'!$C$4:$C$1226,"&lt;"&amp;DATE(2028,1,1))+SUMIFS('FUNDED DEALS 2027'!$Y$4:$Y$1226,'FUNDED DEALS 2027'!$W$4:$W$1226,$A24,'FUNDED DEALS 2027'!$C$4:$C$1226,"&gt;="&amp;DATE(2027,12,1),'FUNDED DEALS 2027'!$C$4:$C$1226,"&lt;"&amp;DATE(2028,1,1))+SUMIFS('FUNDED DEALS 2027'!$AB$4:$AB$1226,'FUNDED DEALS 2027'!$Z$4:$Z$1226,$A24,'FUNDED DEALS 2027'!$C$4:$C$1226,"&gt;="&amp;DATE(2027,12,1),'FUNDED DEALS 2027'!$C$4:$C$1226,"&lt;"&amp;DATE(2028,1,1)))</f>
        <v>0</v>
      </c>
      <c r="W24" s="56" t="n">
        <f aca="false">IF($A24="","",SUM(B24:V24))</f>
        <v>0</v>
      </c>
    </row>
    <row r="25" customFormat="false" ht="15" hidden="false" customHeight="false" outlineLevel="0" collapsed="false">
      <c r="A25" s="50" t="str">
        <f aca="false">IF(REPS!A23="","",REPS!A23)</f>
        <v>Darren Wolf</v>
      </c>
      <c r="B25" s="51" t="n">
        <f aca="false">IF($A25="","",SUMIFS('FUNDED DEALS'!$V$4:$V$1226,'FUNDED DEALS'!$T$4:$T$1226,$A25,'FUNDED DEALS'!$C$4:$C$1226,"&gt;="&amp;DATE(2026,4,1),'FUNDED DEALS'!$C$4:$C$1226,"&lt;"&amp;DATE(2026,5,1))+SUMIFS('FUNDED DEALS'!$Y$4:$Y$1226,'FUNDED DEALS'!$W$4:$W$1226,$A25,'FUNDED DEALS'!$C$4:$C$1226,"&gt;="&amp;DATE(2026,4,1),'FUNDED DEALS'!$C$4:$C$1226,"&lt;"&amp;DATE(2026,5,1))+SUMIFS('FUNDED DEALS'!$AB$4:$AB$1226,'FUNDED DEALS'!$Z$4:$Z$1226,$A25,'FUNDED DEALS'!$C$4:$C$1226,"&gt;="&amp;DATE(2026,4,1),'FUNDED DEALS'!$C$4:$C$1226,"&lt;"&amp;DATE(2026,5,1))+SUMIFS('FUNDED DEALS 2027'!$V$4:$V$1226,'FUNDED DEALS 2027'!$T$4:$T$1226,$A25,'FUNDED DEALS 2027'!$C$4:$C$1226,"&gt;="&amp;DATE(2026,4,1),'FUNDED DEALS 2027'!$C$4:$C$1226,"&lt;"&amp;DATE(2026,5,1))+SUMIFS('FUNDED DEALS 2027'!$Y$4:$Y$1226,'FUNDED DEALS 2027'!$W$4:$W$1226,$A25,'FUNDED DEALS 2027'!$C$4:$C$1226,"&gt;="&amp;DATE(2026,4,1),'FUNDED DEALS 2027'!$C$4:$C$1226,"&lt;"&amp;DATE(2026,5,1))+SUMIFS('FUNDED DEALS 2027'!$AB$4:$AB$1226,'FUNDED DEALS 2027'!$Z$4:$Z$1226,$A25,'FUNDED DEALS 2027'!$C$4:$C$1226,"&gt;="&amp;DATE(2026,4,1),'FUNDED DEALS 2027'!$C$4:$C$1226,"&lt;"&amp;DATE(2026,5,1)))</f>
        <v>0</v>
      </c>
      <c r="C25" s="51" t="n">
        <f aca="false">IF($A25="","",SUMIFS('FUNDED DEALS'!$V$4:$V$1226,'FUNDED DEALS'!$T$4:$T$1226,$A25,'FUNDED DEALS'!$C$4:$C$1226,"&gt;="&amp;DATE(2026,5,1),'FUNDED DEALS'!$C$4:$C$1226,"&lt;"&amp;DATE(2026,6,1))+SUMIFS('FUNDED DEALS'!$Y$4:$Y$1226,'FUNDED DEALS'!$W$4:$W$1226,$A25,'FUNDED DEALS'!$C$4:$C$1226,"&gt;="&amp;DATE(2026,5,1),'FUNDED DEALS'!$C$4:$C$1226,"&lt;"&amp;DATE(2026,6,1))+SUMIFS('FUNDED DEALS'!$AB$4:$AB$1226,'FUNDED DEALS'!$Z$4:$Z$1226,$A25,'FUNDED DEALS'!$C$4:$C$1226,"&gt;="&amp;DATE(2026,5,1),'FUNDED DEALS'!$C$4:$C$1226,"&lt;"&amp;DATE(2026,6,1))+SUMIFS('FUNDED DEALS 2027'!$V$4:$V$1226,'FUNDED DEALS 2027'!$T$4:$T$1226,$A25,'FUNDED DEALS 2027'!$C$4:$C$1226,"&gt;="&amp;DATE(2026,5,1),'FUNDED DEALS 2027'!$C$4:$C$1226,"&lt;"&amp;DATE(2026,6,1))+SUMIFS('FUNDED DEALS 2027'!$Y$4:$Y$1226,'FUNDED DEALS 2027'!$W$4:$W$1226,$A25,'FUNDED DEALS 2027'!$C$4:$C$1226,"&gt;="&amp;DATE(2026,5,1),'FUNDED DEALS 2027'!$C$4:$C$1226,"&lt;"&amp;DATE(2026,6,1))+SUMIFS('FUNDED DEALS 2027'!$AB$4:$AB$1226,'FUNDED DEALS 2027'!$Z$4:$Z$1226,$A25,'FUNDED DEALS 2027'!$C$4:$C$1226,"&gt;="&amp;DATE(2026,5,1),'FUNDED DEALS 2027'!$C$4:$C$1226,"&lt;"&amp;DATE(2026,6,1)))</f>
        <v>0</v>
      </c>
      <c r="D25" s="51" t="n">
        <f aca="false">IF($A25="","",SUMIFS('FUNDED DEALS'!$V$4:$V$1226,'FUNDED DEALS'!$T$4:$T$1226,$A25,'FUNDED DEALS'!$C$4:$C$1226,"&gt;="&amp;DATE(2026,6,1),'FUNDED DEALS'!$C$4:$C$1226,"&lt;"&amp;DATE(2026,7,1))+SUMIFS('FUNDED DEALS'!$Y$4:$Y$1226,'FUNDED DEALS'!$W$4:$W$1226,$A25,'FUNDED DEALS'!$C$4:$C$1226,"&gt;="&amp;DATE(2026,6,1),'FUNDED DEALS'!$C$4:$C$1226,"&lt;"&amp;DATE(2026,7,1))+SUMIFS('FUNDED DEALS'!$AB$4:$AB$1226,'FUNDED DEALS'!$Z$4:$Z$1226,$A25,'FUNDED DEALS'!$C$4:$C$1226,"&gt;="&amp;DATE(2026,6,1),'FUNDED DEALS'!$C$4:$C$1226,"&lt;"&amp;DATE(2026,7,1))+SUMIFS('FUNDED DEALS 2027'!$V$4:$V$1226,'FUNDED DEALS 2027'!$T$4:$T$1226,$A25,'FUNDED DEALS 2027'!$C$4:$C$1226,"&gt;="&amp;DATE(2026,6,1),'FUNDED DEALS 2027'!$C$4:$C$1226,"&lt;"&amp;DATE(2026,7,1))+SUMIFS('FUNDED DEALS 2027'!$Y$4:$Y$1226,'FUNDED DEALS 2027'!$W$4:$W$1226,$A25,'FUNDED DEALS 2027'!$C$4:$C$1226,"&gt;="&amp;DATE(2026,6,1),'FUNDED DEALS 2027'!$C$4:$C$1226,"&lt;"&amp;DATE(2026,7,1))+SUMIFS('FUNDED DEALS 2027'!$AB$4:$AB$1226,'FUNDED DEALS 2027'!$Z$4:$Z$1226,$A25,'FUNDED DEALS 2027'!$C$4:$C$1226,"&gt;="&amp;DATE(2026,6,1),'FUNDED DEALS 2027'!$C$4:$C$1226,"&lt;"&amp;DATE(2026,7,1)))</f>
        <v>0</v>
      </c>
      <c r="E25" s="51" t="n">
        <f aca="false">IF($A25="","",SUMIFS('FUNDED DEALS'!$V$4:$V$1226,'FUNDED DEALS'!$T$4:$T$1226,$A25,'FUNDED DEALS'!$C$4:$C$1226,"&gt;="&amp;DATE(2026,7,1),'FUNDED DEALS'!$C$4:$C$1226,"&lt;"&amp;DATE(2026,8,1))+SUMIFS('FUNDED DEALS'!$Y$4:$Y$1226,'FUNDED DEALS'!$W$4:$W$1226,$A25,'FUNDED DEALS'!$C$4:$C$1226,"&gt;="&amp;DATE(2026,7,1),'FUNDED DEALS'!$C$4:$C$1226,"&lt;"&amp;DATE(2026,8,1))+SUMIFS('FUNDED DEALS'!$AB$4:$AB$1226,'FUNDED DEALS'!$Z$4:$Z$1226,$A25,'FUNDED DEALS'!$C$4:$C$1226,"&gt;="&amp;DATE(2026,7,1),'FUNDED DEALS'!$C$4:$C$1226,"&lt;"&amp;DATE(2026,8,1))+SUMIFS('FUNDED DEALS 2027'!$V$4:$V$1226,'FUNDED DEALS 2027'!$T$4:$T$1226,$A25,'FUNDED DEALS 2027'!$C$4:$C$1226,"&gt;="&amp;DATE(2026,7,1),'FUNDED DEALS 2027'!$C$4:$C$1226,"&lt;"&amp;DATE(2026,8,1))+SUMIFS('FUNDED DEALS 2027'!$Y$4:$Y$1226,'FUNDED DEALS 2027'!$W$4:$W$1226,$A25,'FUNDED DEALS 2027'!$C$4:$C$1226,"&gt;="&amp;DATE(2026,7,1),'FUNDED DEALS 2027'!$C$4:$C$1226,"&lt;"&amp;DATE(2026,8,1))+SUMIFS('FUNDED DEALS 2027'!$AB$4:$AB$1226,'FUNDED DEALS 2027'!$Z$4:$Z$1226,$A25,'FUNDED DEALS 2027'!$C$4:$C$1226,"&gt;="&amp;DATE(2026,7,1),'FUNDED DEALS 2027'!$C$4:$C$1226,"&lt;"&amp;DATE(2026,8,1)))</f>
        <v>0</v>
      </c>
      <c r="F25" s="51" t="n">
        <f aca="false">IF($A25="","",SUMIFS('FUNDED DEALS'!$V$4:$V$1226,'FUNDED DEALS'!$T$4:$T$1226,$A25,'FUNDED DEALS'!$C$4:$C$1226,"&gt;="&amp;DATE(2026,8,1),'FUNDED DEALS'!$C$4:$C$1226,"&lt;"&amp;DATE(2026,9,1))+SUMIFS('FUNDED DEALS'!$Y$4:$Y$1226,'FUNDED DEALS'!$W$4:$W$1226,$A25,'FUNDED DEALS'!$C$4:$C$1226,"&gt;="&amp;DATE(2026,8,1),'FUNDED DEALS'!$C$4:$C$1226,"&lt;"&amp;DATE(2026,9,1))+SUMIFS('FUNDED DEALS'!$AB$4:$AB$1226,'FUNDED DEALS'!$Z$4:$Z$1226,$A25,'FUNDED DEALS'!$C$4:$C$1226,"&gt;="&amp;DATE(2026,8,1),'FUNDED DEALS'!$C$4:$C$1226,"&lt;"&amp;DATE(2026,9,1))+SUMIFS('FUNDED DEALS 2027'!$V$4:$V$1226,'FUNDED DEALS 2027'!$T$4:$T$1226,$A25,'FUNDED DEALS 2027'!$C$4:$C$1226,"&gt;="&amp;DATE(2026,8,1),'FUNDED DEALS 2027'!$C$4:$C$1226,"&lt;"&amp;DATE(2026,9,1))+SUMIFS('FUNDED DEALS 2027'!$Y$4:$Y$1226,'FUNDED DEALS 2027'!$W$4:$W$1226,$A25,'FUNDED DEALS 2027'!$C$4:$C$1226,"&gt;="&amp;DATE(2026,8,1),'FUNDED DEALS 2027'!$C$4:$C$1226,"&lt;"&amp;DATE(2026,9,1))+SUMIFS('FUNDED DEALS 2027'!$AB$4:$AB$1226,'FUNDED DEALS 2027'!$Z$4:$Z$1226,$A25,'FUNDED DEALS 2027'!$C$4:$C$1226,"&gt;="&amp;DATE(2026,8,1),'FUNDED DEALS 2027'!$C$4:$C$1226,"&lt;"&amp;DATE(2026,9,1)))</f>
        <v>0</v>
      </c>
      <c r="G25" s="51" t="n">
        <f aca="false">IF($A25="","",SUMIFS('FUNDED DEALS'!$V$4:$V$1226,'FUNDED DEALS'!$T$4:$T$1226,$A25,'FUNDED DEALS'!$C$4:$C$1226,"&gt;="&amp;DATE(2026,9,1),'FUNDED DEALS'!$C$4:$C$1226,"&lt;"&amp;DATE(2026,10,1))+SUMIFS('FUNDED DEALS'!$Y$4:$Y$1226,'FUNDED DEALS'!$W$4:$W$1226,$A25,'FUNDED DEALS'!$C$4:$C$1226,"&gt;="&amp;DATE(2026,9,1),'FUNDED DEALS'!$C$4:$C$1226,"&lt;"&amp;DATE(2026,10,1))+SUMIFS('FUNDED DEALS'!$AB$4:$AB$1226,'FUNDED DEALS'!$Z$4:$Z$1226,$A25,'FUNDED DEALS'!$C$4:$C$1226,"&gt;="&amp;DATE(2026,9,1),'FUNDED DEALS'!$C$4:$C$1226,"&lt;"&amp;DATE(2026,10,1))+SUMIFS('FUNDED DEALS 2027'!$V$4:$V$1226,'FUNDED DEALS 2027'!$T$4:$T$1226,$A25,'FUNDED DEALS 2027'!$C$4:$C$1226,"&gt;="&amp;DATE(2026,9,1),'FUNDED DEALS 2027'!$C$4:$C$1226,"&lt;"&amp;DATE(2026,10,1))+SUMIFS('FUNDED DEALS 2027'!$Y$4:$Y$1226,'FUNDED DEALS 2027'!$W$4:$W$1226,$A25,'FUNDED DEALS 2027'!$C$4:$C$1226,"&gt;="&amp;DATE(2026,9,1),'FUNDED DEALS 2027'!$C$4:$C$1226,"&lt;"&amp;DATE(2026,10,1))+SUMIFS('FUNDED DEALS 2027'!$AB$4:$AB$1226,'FUNDED DEALS 2027'!$Z$4:$Z$1226,$A25,'FUNDED DEALS 2027'!$C$4:$C$1226,"&gt;="&amp;DATE(2026,9,1),'FUNDED DEALS 2027'!$C$4:$C$1226,"&lt;"&amp;DATE(2026,10,1)))</f>
        <v>0</v>
      </c>
      <c r="H25" s="51" t="n">
        <f aca="false">IF($A25="","",SUMIFS('FUNDED DEALS'!$V$4:$V$1226,'FUNDED DEALS'!$T$4:$T$1226,$A25,'FUNDED DEALS'!$C$4:$C$1226,"&gt;="&amp;DATE(2026,10,1),'FUNDED DEALS'!$C$4:$C$1226,"&lt;"&amp;DATE(2026,11,1))+SUMIFS('FUNDED DEALS'!$Y$4:$Y$1226,'FUNDED DEALS'!$W$4:$W$1226,$A25,'FUNDED DEALS'!$C$4:$C$1226,"&gt;="&amp;DATE(2026,10,1),'FUNDED DEALS'!$C$4:$C$1226,"&lt;"&amp;DATE(2026,11,1))+SUMIFS('FUNDED DEALS'!$AB$4:$AB$1226,'FUNDED DEALS'!$Z$4:$Z$1226,$A25,'FUNDED DEALS'!$C$4:$C$1226,"&gt;="&amp;DATE(2026,10,1),'FUNDED DEALS'!$C$4:$C$1226,"&lt;"&amp;DATE(2026,11,1))+SUMIFS('FUNDED DEALS 2027'!$V$4:$V$1226,'FUNDED DEALS 2027'!$T$4:$T$1226,$A25,'FUNDED DEALS 2027'!$C$4:$C$1226,"&gt;="&amp;DATE(2026,10,1),'FUNDED DEALS 2027'!$C$4:$C$1226,"&lt;"&amp;DATE(2026,11,1))+SUMIFS('FUNDED DEALS 2027'!$Y$4:$Y$1226,'FUNDED DEALS 2027'!$W$4:$W$1226,$A25,'FUNDED DEALS 2027'!$C$4:$C$1226,"&gt;="&amp;DATE(2026,10,1),'FUNDED DEALS 2027'!$C$4:$C$1226,"&lt;"&amp;DATE(2026,11,1))+SUMIFS('FUNDED DEALS 2027'!$AB$4:$AB$1226,'FUNDED DEALS 2027'!$Z$4:$Z$1226,$A25,'FUNDED DEALS 2027'!$C$4:$C$1226,"&gt;="&amp;DATE(2026,10,1),'FUNDED DEALS 2027'!$C$4:$C$1226,"&lt;"&amp;DATE(2026,11,1)))</f>
        <v>0</v>
      </c>
      <c r="I25" s="51" t="n">
        <f aca="false">IF($A25="","",SUMIFS('FUNDED DEALS'!$V$4:$V$1226,'FUNDED DEALS'!$T$4:$T$1226,$A25,'FUNDED DEALS'!$C$4:$C$1226,"&gt;="&amp;DATE(2026,11,1),'FUNDED DEALS'!$C$4:$C$1226,"&lt;"&amp;DATE(2026,12,1))+SUMIFS('FUNDED DEALS'!$Y$4:$Y$1226,'FUNDED DEALS'!$W$4:$W$1226,$A25,'FUNDED DEALS'!$C$4:$C$1226,"&gt;="&amp;DATE(2026,11,1),'FUNDED DEALS'!$C$4:$C$1226,"&lt;"&amp;DATE(2026,12,1))+SUMIFS('FUNDED DEALS'!$AB$4:$AB$1226,'FUNDED DEALS'!$Z$4:$Z$1226,$A25,'FUNDED DEALS'!$C$4:$C$1226,"&gt;="&amp;DATE(2026,11,1),'FUNDED DEALS'!$C$4:$C$1226,"&lt;"&amp;DATE(2026,12,1))+SUMIFS('FUNDED DEALS 2027'!$V$4:$V$1226,'FUNDED DEALS 2027'!$T$4:$T$1226,$A25,'FUNDED DEALS 2027'!$C$4:$C$1226,"&gt;="&amp;DATE(2026,11,1),'FUNDED DEALS 2027'!$C$4:$C$1226,"&lt;"&amp;DATE(2026,12,1))+SUMIFS('FUNDED DEALS 2027'!$Y$4:$Y$1226,'FUNDED DEALS 2027'!$W$4:$W$1226,$A25,'FUNDED DEALS 2027'!$C$4:$C$1226,"&gt;="&amp;DATE(2026,11,1),'FUNDED DEALS 2027'!$C$4:$C$1226,"&lt;"&amp;DATE(2026,12,1))+SUMIFS('FUNDED DEALS 2027'!$AB$4:$AB$1226,'FUNDED DEALS 2027'!$Z$4:$Z$1226,$A25,'FUNDED DEALS 2027'!$C$4:$C$1226,"&gt;="&amp;DATE(2026,11,1),'FUNDED DEALS 2027'!$C$4:$C$1226,"&lt;"&amp;DATE(2026,12,1)))</f>
        <v>0</v>
      </c>
      <c r="J25" s="51" t="n">
        <f aca="false">IF($A25="","",SUMIFS('FUNDED DEALS'!$V$4:$V$1226,'FUNDED DEALS'!$T$4:$T$1226,$A25,'FUNDED DEALS'!$C$4:$C$1226,"&gt;="&amp;DATE(2026,12,1),'FUNDED DEALS'!$C$4:$C$1226,"&lt;"&amp;DATE(2027,1,1))+SUMIFS('FUNDED DEALS'!$Y$4:$Y$1226,'FUNDED DEALS'!$W$4:$W$1226,$A25,'FUNDED DEALS'!$C$4:$C$1226,"&gt;="&amp;DATE(2026,12,1),'FUNDED DEALS'!$C$4:$C$1226,"&lt;"&amp;DATE(2027,1,1))+SUMIFS('FUNDED DEALS'!$AB$4:$AB$1226,'FUNDED DEALS'!$Z$4:$Z$1226,$A25,'FUNDED DEALS'!$C$4:$C$1226,"&gt;="&amp;DATE(2026,12,1),'FUNDED DEALS'!$C$4:$C$1226,"&lt;"&amp;DATE(2027,1,1))+SUMIFS('FUNDED DEALS 2027'!$V$4:$V$1226,'FUNDED DEALS 2027'!$T$4:$T$1226,$A25,'FUNDED DEALS 2027'!$C$4:$C$1226,"&gt;="&amp;DATE(2026,12,1),'FUNDED DEALS 2027'!$C$4:$C$1226,"&lt;"&amp;DATE(2027,1,1))+SUMIFS('FUNDED DEALS 2027'!$Y$4:$Y$1226,'FUNDED DEALS 2027'!$W$4:$W$1226,$A25,'FUNDED DEALS 2027'!$C$4:$C$1226,"&gt;="&amp;DATE(2026,12,1),'FUNDED DEALS 2027'!$C$4:$C$1226,"&lt;"&amp;DATE(2027,1,1))+SUMIFS('FUNDED DEALS 2027'!$AB$4:$AB$1226,'FUNDED DEALS 2027'!$Z$4:$Z$1226,$A25,'FUNDED DEALS 2027'!$C$4:$C$1226,"&gt;="&amp;DATE(2026,12,1),'FUNDED DEALS 2027'!$C$4:$C$1226,"&lt;"&amp;DATE(2027,1,1)))</f>
        <v>0</v>
      </c>
      <c r="K25" s="51" t="n">
        <f aca="false">IF($A25="","",SUMIFS('FUNDED DEALS'!$V$4:$V$1226,'FUNDED DEALS'!$T$4:$T$1226,$A25,'FUNDED DEALS'!$C$4:$C$1226,"&gt;="&amp;DATE(2027,1,1),'FUNDED DEALS'!$C$4:$C$1226,"&lt;"&amp;DATE(2027,2,1))+SUMIFS('FUNDED DEALS'!$Y$4:$Y$1226,'FUNDED DEALS'!$W$4:$W$1226,$A25,'FUNDED DEALS'!$C$4:$C$1226,"&gt;="&amp;DATE(2027,1,1),'FUNDED DEALS'!$C$4:$C$1226,"&lt;"&amp;DATE(2027,2,1))+SUMIFS('FUNDED DEALS'!$AB$4:$AB$1226,'FUNDED DEALS'!$Z$4:$Z$1226,$A25,'FUNDED DEALS'!$C$4:$C$1226,"&gt;="&amp;DATE(2027,1,1),'FUNDED DEALS'!$C$4:$C$1226,"&lt;"&amp;DATE(2027,2,1))+SUMIFS('FUNDED DEALS 2027'!$V$4:$V$1226,'FUNDED DEALS 2027'!$T$4:$T$1226,$A25,'FUNDED DEALS 2027'!$C$4:$C$1226,"&gt;="&amp;DATE(2027,1,1),'FUNDED DEALS 2027'!$C$4:$C$1226,"&lt;"&amp;DATE(2027,2,1))+SUMIFS('FUNDED DEALS 2027'!$Y$4:$Y$1226,'FUNDED DEALS 2027'!$W$4:$W$1226,$A25,'FUNDED DEALS 2027'!$C$4:$C$1226,"&gt;="&amp;DATE(2027,1,1),'FUNDED DEALS 2027'!$C$4:$C$1226,"&lt;"&amp;DATE(2027,2,1))+SUMIFS('FUNDED DEALS 2027'!$AB$4:$AB$1226,'FUNDED DEALS 2027'!$Z$4:$Z$1226,$A25,'FUNDED DEALS 2027'!$C$4:$C$1226,"&gt;="&amp;DATE(2027,1,1),'FUNDED DEALS 2027'!$C$4:$C$1226,"&lt;"&amp;DATE(2027,2,1)))</f>
        <v>0</v>
      </c>
      <c r="L25" s="51" t="n">
        <f aca="false">IF($A25="","",SUMIFS('FUNDED DEALS'!$V$4:$V$1226,'FUNDED DEALS'!$T$4:$T$1226,$A25,'FUNDED DEALS'!$C$4:$C$1226,"&gt;="&amp;DATE(2027,2,1),'FUNDED DEALS'!$C$4:$C$1226,"&lt;"&amp;DATE(2027,3,1))+SUMIFS('FUNDED DEALS'!$Y$4:$Y$1226,'FUNDED DEALS'!$W$4:$W$1226,$A25,'FUNDED DEALS'!$C$4:$C$1226,"&gt;="&amp;DATE(2027,2,1),'FUNDED DEALS'!$C$4:$C$1226,"&lt;"&amp;DATE(2027,3,1))+SUMIFS('FUNDED DEALS'!$AB$4:$AB$1226,'FUNDED DEALS'!$Z$4:$Z$1226,$A25,'FUNDED DEALS'!$C$4:$C$1226,"&gt;="&amp;DATE(2027,2,1),'FUNDED DEALS'!$C$4:$C$1226,"&lt;"&amp;DATE(2027,3,1))+SUMIFS('FUNDED DEALS 2027'!$V$4:$V$1226,'FUNDED DEALS 2027'!$T$4:$T$1226,$A25,'FUNDED DEALS 2027'!$C$4:$C$1226,"&gt;="&amp;DATE(2027,2,1),'FUNDED DEALS 2027'!$C$4:$C$1226,"&lt;"&amp;DATE(2027,3,1))+SUMIFS('FUNDED DEALS 2027'!$Y$4:$Y$1226,'FUNDED DEALS 2027'!$W$4:$W$1226,$A25,'FUNDED DEALS 2027'!$C$4:$C$1226,"&gt;="&amp;DATE(2027,2,1),'FUNDED DEALS 2027'!$C$4:$C$1226,"&lt;"&amp;DATE(2027,3,1))+SUMIFS('FUNDED DEALS 2027'!$AB$4:$AB$1226,'FUNDED DEALS 2027'!$Z$4:$Z$1226,$A25,'FUNDED DEALS 2027'!$C$4:$C$1226,"&gt;="&amp;DATE(2027,2,1),'FUNDED DEALS 2027'!$C$4:$C$1226,"&lt;"&amp;DATE(2027,3,1)))</f>
        <v>0</v>
      </c>
      <c r="M25" s="51" t="n">
        <f aca="false">IF($A25="","",SUMIFS('FUNDED DEALS'!$V$4:$V$1226,'FUNDED DEALS'!$T$4:$T$1226,$A25,'FUNDED DEALS'!$C$4:$C$1226,"&gt;="&amp;DATE(2027,3,1),'FUNDED DEALS'!$C$4:$C$1226,"&lt;"&amp;DATE(2027,4,1))+SUMIFS('FUNDED DEALS'!$Y$4:$Y$1226,'FUNDED DEALS'!$W$4:$W$1226,$A25,'FUNDED DEALS'!$C$4:$C$1226,"&gt;="&amp;DATE(2027,3,1),'FUNDED DEALS'!$C$4:$C$1226,"&lt;"&amp;DATE(2027,4,1))+SUMIFS('FUNDED DEALS'!$AB$4:$AB$1226,'FUNDED DEALS'!$Z$4:$Z$1226,$A25,'FUNDED DEALS'!$C$4:$C$1226,"&gt;="&amp;DATE(2027,3,1),'FUNDED DEALS'!$C$4:$C$1226,"&lt;"&amp;DATE(2027,4,1))+SUMIFS('FUNDED DEALS 2027'!$V$4:$V$1226,'FUNDED DEALS 2027'!$T$4:$T$1226,$A25,'FUNDED DEALS 2027'!$C$4:$C$1226,"&gt;="&amp;DATE(2027,3,1),'FUNDED DEALS 2027'!$C$4:$C$1226,"&lt;"&amp;DATE(2027,4,1))+SUMIFS('FUNDED DEALS 2027'!$Y$4:$Y$1226,'FUNDED DEALS 2027'!$W$4:$W$1226,$A25,'FUNDED DEALS 2027'!$C$4:$C$1226,"&gt;="&amp;DATE(2027,3,1),'FUNDED DEALS 2027'!$C$4:$C$1226,"&lt;"&amp;DATE(2027,4,1))+SUMIFS('FUNDED DEALS 2027'!$AB$4:$AB$1226,'FUNDED DEALS 2027'!$Z$4:$Z$1226,$A25,'FUNDED DEALS 2027'!$C$4:$C$1226,"&gt;="&amp;DATE(2027,3,1),'FUNDED DEALS 2027'!$C$4:$C$1226,"&lt;"&amp;DATE(2027,4,1)))</f>
        <v>0</v>
      </c>
      <c r="N25" s="51" t="n">
        <f aca="false">IF($A25="","",SUMIFS('FUNDED DEALS'!$V$4:$V$1226,'FUNDED DEALS'!$T$4:$T$1226,$A25,'FUNDED DEALS'!$C$4:$C$1226,"&gt;="&amp;DATE(2027,4,1),'FUNDED DEALS'!$C$4:$C$1226,"&lt;"&amp;DATE(2027,5,1))+SUMIFS('FUNDED DEALS'!$Y$4:$Y$1226,'FUNDED DEALS'!$W$4:$W$1226,$A25,'FUNDED DEALS'!$C$4:$C$1226,"&gt;="&amp;DATE(2027,4,1),'FUNDED DEALS'!$C$4:$C$1226,"&lt;"&amp;DATE(2027,5,1))+SUMIFS('FUNDED DEALS'!$AB$4:$AB$1226,'FUNDED DEALS'!$Z$4:$Z$1226,$A25,'FUNDED DEALS'!$C$4:$C$1226,"&gt;="&amp;DATE(2027,4,1),'FUNDED DEALS'!$C$4:$C$1226,"&lt;"&amp;DATE(2027,5,1))+SUMIFS('FUNDED DEALS 2027'!$V$4:$V$1226,'FUNDED DEALS 2027'!$T$4:$T$1226,$A25,'FUNDED DEALS 2027'!$C$4:$C$1226,"&gt;="&amp;DATE(2027,4,1),'FUNDED DEALS 2027'!$C$4:$C$1226,"&lt;"&amp;DATE(2027,5,1))+SUMIFS('FUNDED DEALS 2027'!$Y$4:$Y$1226,'FUNDED DEALS 2027'!$W$4:$W$1226,$A25,'FUNDED DEALS 2027'!$C$4:$C$1226,"&gt;="&amp;DATE(2027,4,1),'FUNDED DEALS 2027'!$C$4:$C$1226,"&lt;"&amp;DATE(2027,5,1))+SUMIFS('FUNDED DEALS 2027'!$AB$4:$AB$1226,'FUNDED DEALS 2027'!$Z$4:$Z$1226,$A25,'FUNDED DEALS 2027'!$C$4:$C$1226,"&gt;="&amp;DATE(2027,4,1),'FUNDED DEALS 2027'!$C$4:$C$1226,"&lt;"&amp;DATE(2027,5,1)))</f>
        <v>0</v>
      </c>
      <c r="O25" s="51" t="n">
        <f aca="false">IF($A25="","",SUMIFS('FUNDED DEALS'!$V$4:$V$1226,'FUNDED DEALS'!$T$4:$T$1226,$A25,'FUNDED DEALS'!$C$4:$C$1226,"&gt;="&amp;DATE(2027,5,1),'FUNDED DEALS'!$C$4:$C$1226,"&lt;"&amp;DATE(2027,6,1))+SUMIFS('FUNDED DEALS'!$Y$4:$Y$1226,'FUNDED DEALS'!$W$4:$W$1226,$A25,'FUNDED DEALS'!$C$4:$C$1226,"&gt;="&amp;DATE(2027,5,1),'FUNDED DEALS'!$C$4:$C$1226,"&lt;"&amp;DATE(2027,6,1))+SUMIFS('FUNDED DEALS'!$AB$4:$AB$1226,'FUNDED DEALS'!$Z$4:$Z$1226,$A25,'FUNDED DEALS'!$C$4:$C$1226,"&gt;="&amp;DATE(2027,5,1),'FUNDED DEALS'!$C$4:$C$1226,"&lt;"&amp;DATE(2027,6,1))+SUMIFS('FUNDED DEALS 2027'!$V$4:$V$1226,'FUNDED DEALS 2027'!$T$4:$T$1226,$A25,'FUNDED DEALS 2027'!$C$4:$C$1226,"&gt;="&amp;DATE(2027,5,1),'FUNDED DEALS 2027'!$C$4:$C$1226,"&lt;"&amp;DATE(2027,6,1))+SUMIFS('FUNDED DEALS 2027'!$Y$4:$Y$1226,'FUNDED DEALS 2027'!$W$4:$W$1226,$A25,'FUNDED DEALS 2027'!$C$4:$C$1226,"&gt;="&amp;DATE(2027,5,1),'FUNDED DEALS 2027'!$C$4:$C$1226,"&lt;"&amp;DATE(2027,6,1))+SUMIFS('FUNDED DEALS 2027'!$AB$4:$AB$1226,'FUNDED DEALS 2027'!$Z$4:$Z$1226,$A25,'FUNDED DEALS 2027'!$C$4:$C$1226,"&gt;="&amp;DATE(2027,5,1),'FUNDED DEALS 2027'!$C$4:$C$1226,"&lt;"&amp;DATE(2027,6,1)))</f>
        <v>0</v>
      </c>
      <c r="P25" s="51" t="n">
        <f aca="false">IF($A25="","",SUMIFS('FUNDED DEALS'!$V$4:$V$1226,'FUNDED DEALS'!$T$4:$T$1226,$A25,'FUNDED DEALS'!$C$4:$C$1226,"&gt;="&amp;DATE(2027,6,1),'FUNDED DEALS'!$C$4:$C$1226,"&lt;"&amp;DATE(2027,7,1))+SUMIFS('FUNDED DEALS'!$Y$4:$Y$1226,'FUNDED DEALS'!$W$4:$W$1226,$A25,'FUNDED DEALS'!$C$4:$C$1226,"&gt;="&amp;DATE(2027,6,1),'FUNDED DEALS'!$C$4:$C$1226,"&lt;"&amp;DATE(2027,7,1))+SUMIFS('FUNDED DEALS'!$AB$4:$AB$1226,'FUNDED DEALS'!$Z$4:$Z$1226,$A25,'FUNDED DEALS'!$C$4:$C$1226,"&gt;="&amp;DATE(2027,6,1),'FUNDED DEALS'!$C$4:$C$1226,"&lt;"&amp;DATE(2027,7,1))+SUMIFS('FUNDED DEALS 2027'!$V$4:$V$1226,'FUNDED DEALS 2027'!$T$4:$T$1226,$A25,'FUNDED DEALS 2027'!$C$4:$C$1226,"&gt;="&amp;DATE(2027,6,1),'FUNDED DEALS 2027'!$C$4:$C$1226,"&lt;"&amp;DATE(2027,7,1))+SUMIFS('FUNDED DEALS 2027'!$Y$4:$Y$1226,'FUNDED DEALS 2027'!$W$4:$W$1226,$A25,'FUNDED DEALS 2027'!$C$4:$C$1226,"&gt;="&amp;DATE(2027,6,1),'FUNDED DEALS 2027'!$C$4:$C$1226,"&lt;"&amp;DATE(2027,7,1))+SUMIFS('FUNDED DEALS 2027'!$AB$4:$AB$1226,'FUNDED DEALS 2027'!$Z$4:$Z$1226,$A25,'FUNDED DEALS 2027'!$C$4:$C$1226,"&gt;="&amp;DATE(2027,6,1),'FUNDED DEALS 2027'!$C$4:$C$1226,"&lt;"&amp;DATE(2027,7,1)))</f>
        <v>0</v>
      </c>
      <c r="Q25" s="51" t="n">
        <f aca="false">IF($A25="","",SUMIFS('FUNDED DEALS'!$V$4:$V$1226,'FUNDED DEALS'!$T$4:$T$1226,$A25,'FUNDED DEALS'!$C$4:$C$1226,"&gt;="&amp;DATE(2027,7,1),'FUNDED DEALS'!$C$4:$C$1226,"&lt;"&amp;DATE(2027,8,1))+SUMIFS('FUNDED DEALS'!$Y$4:$Y$1226,'FUNDED DEALS'!$W$4:$W$1226,$A25,'FUNDED DEALS'!$C$4:$C$1226,"&gt;="&amp;DATE(2027,7,1),'FUNDED DEALS'!$C$4:$C$1226,"&lt;"&amp;DATE(2027,8,1))+SUMIFS('FUNDED DEALS'!$AB$4:$AB$1226,'FUNDED DEALS'!$Z$4:$Z$1226,$A25,'FUNDED DEALS'!$C$4:$C$1226,"&gt;="&amp;DATE(2027,7,1),'FUNDED DEALS'!$C$4:$C$1226,"&lt;"&amp;DATE(2027,8,1))+SUMIFS('FUNDED DEALS 2027'!$V$4:$V$1226,'FUNDED DEALS 2027'!$T$4:$T$1226,$A25,'FUNDED DEALS 2027'!$C$4:$C$1226,"&gt;="&amp;DATE(2027,7,1),'FUNDED DEALS 2027'!$C$4:$C$1226,"&lt;"&amp;DATE(2027,8,1))+SUMIFS('FUNDED DEALS 2027'!$Y$4:$Y$1226,'FUNDED DEALS 2027'!$W$4:$W$1226,$A25,'FUNDED DEALS 2027'!$C$4:$C$1226,"&gt;="&amp;DATE(2027,7,1),'FUNDED DEALS 2027'!$C$4:$C$1226,"&lt;"&amp;DATE(2027,8,1))+SUMIFS('FUNDED DEALS 2027'!$AB$4:$AB$1226,'FUNDED DEALS 2027'!$Z$4:$Z$1226,$A25,'FUNDED DEALS 2027'!$C$4:$C$1226,"&gt;="&amp;DATE(2027,7,1),'FUNDED DEALS 2027'!$C$4:$C$1226,"&lt;"&amp;DATE(2027,8,1)))</f>
        <v>0</v>
      </c>
      <c r="R25" s="51" t="n">
        <f aca="false">IF($A25="","",SUMIFS('FUNDED DEALS'!$V$4:$V$1226,'FUNDED DEALS'!$T$4:$T$1226,$A25,'FUNDED DEALS'!$C$4:$C$1226,"&gt;="&amp;DATE(2027,8,1),'FUNDED DEALS'!$C$4:$C$1226,"&lt;"&amp;DATE(2027,9,1))+SUMIFS('FUNDED DEALS'!$Y$4:$Y$1226,'FUNDED DEALS'!$W$4:$W$1226,$A25,'FUNDED DEALS'!$C$4:$C$1226,"&gt;="&amp;DATE(2027,8,1),'FUNDED DEALS'!$C$4:$C$1226,"&lt;"&amp;DATE(2027,9,1))+SUMIFS('FUNDED DEALS'!$AB$4:$AB$1226,'FUNDED DEALS'!$Z$4:$Z$1226,$A25,'FUNDED DEALS'!$C$4:$C$1226,"&gt;="&amp;DATE(2027,8,1),'FUNDED DEALS'!$C$4:$C$1226,"&lt;"&amp;DATE(2027,9,1))+SUMIFS('FUNDED DEALS 2027'!$V$4:$V$1226,'FUNDED DEALS 2027'!$T$4:$T$1226,$A25,'FUNDED DEALS 2027'!$C$4:$C$1226,"&gt;="&amp;DATE(2027,8,1),'FUNDED DEALS 2027'!$C$4:$C$1226,"&lt;"&amp;DATE(2027,9,1))+SUMIFS('FUNDED DEALS 2027'!$Y$4:$Y$1226,'FUNDED DEALS 2027'!$W$4:$W$1226,$A25,'FUNDED DEALS 2027'!$C$4:$C$1226,"&gt;="&amp;DATE(2027,8,1),'FUNDED DEALS 2027'!$C$4:$C$1226,"&lt;"&amp;DATE(2027,9,1))+SUMIFS('FUNDED DEALS 2027'!$AB$4:$AB$1226,'FUNDED DEALS 2027'!$Z$4:$Z$1226,$A25,'FUNDED DEALS 2027'!$C$4:$C$1226,"&gt;="&amp;DATE(2027,8,1),'FUNDED DEALS 2027'!$C$4:$C$1226,"&lt;"&amp;DATE(2027,9,1)))</f>
        <v>0</v>
      </c>
      <c r="S25" s="51" t="n">
        <f aca="false">IF($A25="","",SUMIFS('FUNDED DEALS'!$V$4:$V$1226,'FUNDED DEALS'!$T$4:$T$1226,$A25,'FUNDED DEALS'!$C$4:$C$1226,"&gt;="&amp;DATE(2027,9,1),'FUNDED DEALS'!$C$4:$C$1226,"&lt;"&amp;DATE(2027,10,1))+SUMIFS('FUNDED DEALS'!$Y$4:$Y$1226,'FUNDED DEALS'!$W$4:$W$1226,$A25,'FUNDED DEALS'!$C$4:$C$1226,"&gt;="&amp;DATE(2027,9,1),'FUNDED DEALS'!$C$4:$C$1226,"&lt;"&amp;DATE(2027,10,1))+SUMIFS('FUNDED DEALS'!$AB$4:$AB$1226,'FUNDED DEALS'!$Z$4:$Z$1226,$A25,'FUNDED DEALS'!$C$4:$C$1226,"&gt;="&amp;DATE(2027,9,1),'FUNDED DEALS'!$C$4:$C$1226,"&lt;"&amp;DATE(2027,10,1))+SUMIFS('FUNDED DEALS 2027'!$V$4:$V$1226,'FUNDED DEALS 2027'!$T$4:$T$1226,$A25,'FUNDED DEALS 2027'!$C$4:$C$1226,"&gt;="&amp;DATE(2027,9,1),'FUNDED DEALS 2027'!$C$4:$C$1226,"&lt;"&amp;DATE(2027,10,1))+SUMIFS('FUNDED DEALS 2027'!$Y$4:$Y$1226,'FUNDED DEALS 2027'!$W$4:$W$1226,$A25,'FUNDED DEALS 2027'!$C$4:$C$1226,"&gt;="&amp;DATE(2027,9,1),'FUNDED DEALS 2027'!$C$4:$C$1226,"&lt;"&amp;DATE(2027,10,1))+SUMIFS('FUNDED DEALS 2027'!$AB$4:$AB$1226,'FUNDED DEALS 2027'!$Z$4:$Z$1226,$A25,'FUNDED DEALS 2027'!$C$4:$C$1226,"&gt;="&amp;DATE(2027,9,1),'FUNDED DEALS 2027'!$C$4:$C$1226,"&lt;"&amp;DATE(2027,10,1)))</f>
        <v>0</v>
      </c>
      <c r="T25" s="51" t="n">
        <f aca="false">IF($A25="","",SUMIFS('FUNDED DEALS'!$V$4:$V$1226,'FUNDED DEALS'!$T$4:$T$1226,$A25,'FUNDED DEALS'!$C$4:$C$1226,"&gt;="&amp;DATE(2027,10,1),'FUNDED DEALS'!$C$4:$C$1226,"&lt;"&amp;DATE(2027,11,1))+SUMIFS('FUNDED DEALS'!$Y$4:$Y$1226,'FUNDED DEALS'!$W$4:$W$1226,$A25,'FUNDED DEALS'!$C$4:$C$1226,"&gt;="&amp;DATE(2027,10,1),'FUNDED DEALS'!$C$4:$C$1226,"&lt;"&amp;DATE(2027,11,1))+SUMIFS('FUNDED DEALS'!$AB$4:$AB$1226,'FUNDED DEALS'!$Z$4:$Z$1226,$A25,'FUNDED DEALS'!$C$4:$C$1226,"&gt;="&amp;DATE(2027,10,1),'FUNDED DEALS'!$C$4:$C$1226,"&lt;"&amp;DATE(2027,11,1))+SUMIFS('FUNDED DEALS 2027'!$V$4:$V$1226,'FUNDED DEALS 2027'!$T$4:$T$1226,$A25,'FUNDED DEALS 2027'!$C$4:$C$1226,"&gt;="&amp;DATE(2027,10,1),'FUNDED DEALS 2027'!$C$4:$C$1226,"&lt;"&amp;DATE(2027,11,1))+SUMIFS('FUNDED DEALS 2027'!$Y$4:$Y$1226,'FUNDED DEALS 2027'!$W$4:$W$1226,$A25,'FUNDED DEALS 2027'!$C$4:$C$1226,"&gt;="&amp;DATE(2027,10,1),'FUNDED DEALS 2027'!$C$4:$C$1226,"&lt;"&amp;DATE(2027,11,1))+SUMIFS('FUNDED DEALS 2027'!$AB$4:$AB$1226,'FUNDED DEALS 2027'!$Z$4:$Z$1226,$A25,'FUNDED DEALS 2027'!$C$4:$C$1226,"&gt;="&amp;DATE(2027,10,1),'FUNDED DEALS 2027'!$C$4:$C$1226,"&lt;"&amp;DATE(2027,11,1)))</f>
        <v>0</v>
      </c>
      <c r="U25" s="51" t="n">
        <f aca="false">IF($A25="","",SUMIFS('FUNDED DEALS'!$V$4:$V$1226,'FUNDED DEALS'!$T$4:$T$1226,$A25,'FUNDED DEALS'!$C$4:$C$1226,"&gt;="&amp;DATE(2027,11,1),'FUNDED DEALS'!$C$4:$C$1226,"&lt;"&amp;DATE(2027,12,1))+SUMIFS('FUNDED DEALS'!$Y$4:$Y$1226,'FUNDED DEALS'!$W$4:$W$1226,$A25,'FUNDED DEALS'!$C$4:$C$1226,"&gt;="&amp;DATE(2027,11,1),'FUNDED DEALS'!$C$4:$C$1226,"&lt;"&amp;DATE(2027,12,1))+SUMIFS('FUNDED DEALS'!$AB$4:$AB$1226,'FUNDED DEALS'!$Z$4:$Z$1226,$A25,'FUNDED DEALS'!$C$4:$C$1226,"&gt;="&amp;DATE(2027,11,1),'FUNDED DEALS'!$C$4:$C$1226,"&lt;"&amp;DATE(2027,12,1))+SUMIFS('FUNDED DEALS 2027'!$V$4:$V$1226,'FUNDED DEALS 2027'!$T$4:$T$1226,$A25,'FUNDED DEALS 2027'!$C$4:$C$1226,"&gt;="&amp;DATE(2027,11,1),'FUNDED DEALS 2027'!$C$4:$C$1226,"&lt;"&amp;DATE(2027,12,1))+SUMIFS('FUNDED DEALS 2027'!$Y$4:$Y$1226,'FUNDED DEALS 2027'!$W$4:$W$1226,$A25,'FUNDED DEALS 2027'!$C$4:$C$1226,"&gt;="&amp;DATE(2027,11,1),'FUNDED DEALS 2027'!$C$4:$C$1226,"&lt;"&amp;DATE(2027,12,1))+SUMIFS('FUNDED DEALS 2027'!$AB$4:$AB$1226,'FUNDED DEALS 2027'!$Z$4:$Z$1226,$A25,'FUNDED DEALS 2027'!$C$4:$C$1226,"&gt;="&amp;DATE(2027,11,1),'FUNDED DEALS 2027'!$C$4:$C$1226,"&lt;"&amp;DATE(2027,12,1)))</f>
        <v>0</v>
      </c>
      <c r="V25" s="51" t="n">
        <f aca="false">IF($A25="","",SUMIFS('FUNDED DEALS'!$V$4:$V$1226,'FUNDED DEALS'!$T$4:$T$1226,$A25,'FUNDED DEALS'!$C$4:$C$1226,"&gt;="&amp;DATE(2027,12,1),'FUNDED DEALS'!$C$4:$C$1226,"&lt;"&amp;DATE(2028,1,1))+SUMIFS('FUNDED DEALS'!$Y$4:$Y$1226,'FUNDED DEALS'!$W$4:$W$1226,$A25,'FUNDED DEALS'!$C$4:$C$1226,"&gt;="&amp;DATE(2027,12,1),'FUNDED DEALS'!$C$4:$C$1226,"&lt;"&amp;DATE(2028,1,1))+SUMIFS('FUNDED DEALS'!$AB$4:$AB$1226,'FUNDED DEALS'!$Z$4:$Z$1226,$A25,'FUNDED DEALS'!$C$4:$C$1226,"&gt;="&amp;DATE(2027,12,1),'FUNDED DEALS'!$C$4:$C$1226,"&lt;"&amp;DATE(2028,1,1))+SUMIFS('FUNDED DEALS 2027'!$V$4:$V$1226,'FUNDED DEALS 2027'!$T$4:$T$1226,$A25,'FUNDED DEALS 2027'!$C$4:$C$1226,"&gt;="&amp;DATE(2027,12,1),'FUNDED DEALS 2027'!$C$4:$C$1226,"&lt;"&amp;DATE(2028,1,1))+SUMIFS('FUNDED DEALS 2027'!$Y$4:$Y$1226,'FUNDED DEALS 2027'!$W$4:$W$1226,$A25,'FUNDED DEALS 2027'!$C$4:$C$1226,"&gt;="&amp;DATE(2027,12,1),'FUNDED DEALS 2027'!$C$4:$C$1226,"&lt;"&amp;DATE(2028,1,1))+SUMIFS('FUNDED DEALS 2027'!$AB$4:$AB$1226,'FUNDED DEALS 2027'!$Z$4:$Z$1226,$A25,'FUNDED DEALS 2027'!$C$4:$C$1226,"&gt;="&amp;DATE(2027,12,1),'FUNDED DEALS 2027'!$C$4:$C$1226,"&lt;"&amp;DATE(2028,1,1)))</f>
        <v>0</v>
      </c>
      <c r="W25" s="58" t="n">
        <f aca="false">IF($A25="","",SUM(B25:V25))</f>
        <v>0</v>
      </c>
    </row>
    <row r="26" customFormat="false" ht="15" hidden="false" customHeight="false" outlineLevel="0" collapsed="false">
      <c r="A26" s="47" t="str">
        <f aca="false">IF(REPS!A24="","",REPS!A24)</f>
        <v>David Silvers</v>
      </c>
      <c r="B26" s="48" t="n">
        <f aca="false">IF($A26="","",SUMIFS('FUNDED DEALS'!$V$4:$V$1226,'FUNDED DEALS'!$T$4:$T$1226,$A26,'FUNDED DEALS'!$C$4:$C$1226,"&gt;="&amp;DATE(2026,4,1),'FUNDED DEALS'!$C$4:$C$1226,"&lt;"&amp;DATE(2026,5,1))+SUMIFS('FUNDED DEALS'!$Y$4:$Y$1226,'FUNDED DEALS'!$W$4:$W$1226,$A26,'FUNDED DEALS'!$C$4:$C$1226,"&gt;="&amp;DATE(2026,4,1),'FUNDED DEALS'!$C$4:$C$1226,"&lt;"&amp;DATE(2026,5,1))+SUMIFS('FUNDED DEALS'!$AB$4:$AB$1226,'FUNDED DEALS'!$Z$4:$Z$1226,$A26,'FUNDED DEALS'!$C$4:$C$1226,"&gt;="&amp;DATE(2026,4,1),'FUNDED DEALS'!$C$4:$C$1226,"&lt;"&amp;DATE(2026,5,1))+SUMIFS('FUNDED DEALS 2027'!$V$4:$V$1226,'FUNDED DEALS 2027'!$T$4:$T$1226,$A26,'FUNDED DEALS 2027'!$C$4:$C$1226,"&gt;="&amp;DATE(2026,4,1),'FUNDED DEALS 2027'!$C$4:$C$1226,"&lt;"&amp;DATE(2026,5,1))+SUMIFS('FUNDED DEALS 2027'!$Y$4:$Y$1226,'FUNDED DEALS 2027'!$W$4:$W$1226,$A26,'FUNDED DEALS 2027'!$C$4:$C$1226,"&gt;="&amp;DATE(2026,4,1),'FUNDED DEALS 2027'!$C$4:$C$1226,"&lt;"&amp;DATE(2026,5,1))+SUMIFS('FUNDED DEALS 2027'!$AB$4:$AB$1226,'FUNDED DEALS 2027'!$Z$4:$Z$1226,$A26,'FUNDED DEALS 2027'!$C$4:$C$1226,"&gt;="&amp;DATE(2026,4,1),'FUNDED DEALS 2027'!$C$4:$C$1226,"&lt;"&amp;DATE(2026,5,1)))</f>
        <v>0</v>
      </c>
      <c r="C26" s="48" t="n">
        <f aca="false">IF($A26="","",SUMIFS('FUNDED DEALS'!$V$4:$V$1226,'FUNDED DEALS'!$T$4:$T$1226,$A26,'FUNDED DEALS'!$C$4:$C$1226,"&gt;="&amp;DATE(2026,5,1),'FUNDED DEALS'!$C$4:$C$1226,"&lt;"&amp;DATE(2026,6,1))+SUMIFS('FUNDED DEALS'!$Y$4:$Y$1226,'FUNDED DEALS'!$W$4:$W$1226,$A26,'FUNDED DEALS'!$C$4:$C$1226,"&gt;="&amp;DATE(2026,5,1),'FUNDED DEALS'!$C$4:$C$1226,"&lt;"&amp;DATE(2026,6,1))+SUMIFS('FUNDED DEALS'!$AB$4:$AB$1226,'FUNDED DEALS'!$Z$4:$Z$1226,$A26,'FUNDED DEALS'!$C$4:$C$1226,"&gt;="&amp;DATE(2026,5,1),'FUNDED DEALS'!$C$4:$C$1226,"&lt;"&amp;DATE(2026,6,1))+SUMIFS('FUNDED DEALS 2027'!$V$4:$V$1226,'FUNDED DEALS 2027'!$T$4:$T$1226,$A26,'FUNDED DEALS 2027'!$C$4:$C$1226,"&gt;="&amp;DATE(2026,5,1),'FUNDED DEALS 2027'!$C$4:$C$1226,"&lt;"&amp;DATE(2026,6,1))+SUMIFS('FUNDED DEALS 2027'!$Y$4:$Y$1226,'FUNDED DEALS 2027'!$W$4:$W$1226,$A26,'FUNDED DEALS 2027'!$C$4:$C$1226,"&gt;="&amp;DATE(2026,5,1),'FUNDED DEALS 2027'!$C$4:$C$1226,"&lt;"&amp;DATE(2026,6,1))+SUMIFS('FUNDED DEALS 2027'!$AB$4:$AB$1226,'FUNDED DEALS 2027'!$Z$4:$Z$1226,$A26,'FUNDED DEALS 2027'!$C$4:$C$1226,"&gt;="&amp;DATE(2026,5,1),'FUNDED DEALS 2027'!$C$4:$C$1226,"&lt;"&amp;DATE(2026,6,1)))</f>
        <v>0</v>
      </c>
      <c r="D26" s="48" t="n">
        <f aca="false">IF($A26="","",SUMIFS('FUNDED DEALS'!$V$4:$V$1226,'FUNDED DEALS'!$T$4:$T$1226,$A26,'FUNDED DEALS'!$C$4:$C$1226,"&gt;="&amp;DATE(2026,6,1),'FUNDED DEALS'!$C$4:$C$1226,"&lt;"&amp;DATE(2026,7,1))+SUMIFS('FUNDED DEALS'!$Y$4:$Y$1226,'FUNDED DEALS'!$W$4:$W$1226,$A26,'FUNDED DEALS'!$C$4:$C$1226,"&gt;="&amp;DATE(2026,6,1),'FUNDED DEALS'!$C$4:$C$1226,"&lt;"&amp;DATE(2026,7,1))+SUMIFS('FUNDED DEALS'!$AB$4:$AB$1226,'FUNDED DEALS'!$Z$4:$Z$1226,$A26,'FUNDED DEALS'!$C$4:$C$1226,"&gt;="&amp;DATE(2026,6,1),'FUNDED DEALS'!$C$4:$C$1226,"&lt;"&amp;DATE(2026,7,1))+SUMIFS('FUNDED DEALS 2027'!$V$4:$V$1226,'FUNDED DEALS 2027'!$T$4:$T$1226,$A26,'FUNDED DEALS 2027'!$C$4:$C$1226,"&gt;="&amp;DATE(2026,6,1),'FUNDED DEALS 2027'!$C$4:$C$1226,"&lt;"&amp;DATE(2026,7,1))+SUMIFS('FUNDED DEALS 2027'!$Y$4:$Y$1226,'FUNDED DEALS 2027'!$W$4:$W$1226,$A26,'FUNDED DEALS 2027'!$C$4:$C$1226,"&gt;="&amp;DATE(2026,6,1),'FUNDED DEALS 2027'!$C$4:$C$1226,"&lt;"&amp;DATE(2026,7,1))+SUMIFS('FUNDED DEALS 2027'!$AB$4:$AB$1226,'FUNDED DEALS 2027'!$Z$4:$Z$1226,$A26,'FUNDED DEALS 2027'!$C$4:$C$1226,"&gt;="&amp;DATE(2026,6,1),'FUNDED DEALS 2027'!$C$4:$C$1226,"&lt;"&amp;DATE(2026,7,1)))</f>
        <v>0</v>
      </c>
      <c r="E26" s="48" t="n">
        <f aca="false">IF($A26="","",SUMIFS('FUNDED DEALS'!$V$4:$V$1226,'FUNDED DEALS'!$T$4:$T$1226,$A26,'FUNDED DEALS'!$C$4:$C$1226,"&gt;="&amp;DATE(2026,7,1),'FUNDED DEALS'!$C$4:$C$1226,"&lt;"&amp;DATE(2026,8,1))+SUMIFS('FUNDED DEALS'!$Y$4:$Y$1226,'FUNDED DEALS'!$W$4:$W$1226,$A26,'FUNDED DEALS'!$C$4:$C$1226,"&gt;="&amp;DATE(2026,7,1),'FUNDED DEALS'!$C$4:$C$1226,"&lt;"&amp;DATE(2026,8,1))+SUMIFS('FUNDED DEALS'!$AB$4:$AB$1226,'FUNDED DEALS'!$Z$4:$Z$1226,$A26,'FUNDED DEALS'!$C$4:$C$1226,"&gt;="&amp;DATE(2026,7,1),'FUNDED DEALS'!$C$4:$C$1226,"&lt;"&amp;DATE(2026,8,1))+SUMIFS('FUNDED DEALS 2027'!$V$4:$V$1226,'FUNDED DEALS 2027'!$T$4:$T$1226,$A26,'FUNDED DEALS 2027'!$C$4:$C$1226,"&gt;="&amp;DATE(2026,7,1),'FUNDED DEALS 2027'!$C$4:$C$1226,"&lt;"&amp;DATE(2026,8,1))+SUMIFS('FUNDED DEALS 2027'!$Y$4:$Y$1226,'FUNDED DEALS 2027'!$W$4:$W$1226,$A26,'FUNDED DEALS 2027'!$C$4:$C$1226,"&gt;="&amp;DATE(2026,7,1),'FUNDED DEALS 2027'!$C$4:$C$1226,"&lt;"&amp;DATE(2026,8,1))+SUMIFS('FUNDED DEALS 2027'!$AB$4:$AB$1226,'FUNDED DEALS 2027'!$Z$4:$Z$1226,$A26,'FUNDED DEALS 2027'!$C$4:$C$1226,"&gt;="&amp;DATE(2026,7,1),'FUNDED DEALS 2027'!$C$4:$C$1226,"&lt;"&amp;DATE(2026,8,1)))</f>
        <v>0</v>
      </c>
      <c r="F26" s="48" t="n">
        <f aca="false">IF($A26="","",SUMIFS('FUNDED DEALS'!$V$4:$V$1226,'FUNDED DEALS'!$T$4:$T$1226,$A26,'FUNDED DEALS'!$C$4:$C$1226,"&gt;="&amp;DATE(2026,8,1),'FUNDED DEALS'!$C$4:$C$1226,"&lt;"&amp;DATE(2026,9,1))+SUMIFS('FUNDED DEALS'!$Y$4:$Y$1226,'FUNDED DEALS'!$W$4:$W$1226,$A26,'FUNDED DEALS'!$C$4:$C$1226,"&gt;="&amp;DATE(2026,8,1),'FUNDED DEALS'!$C$4:$C$1226,"&lt;"&amp;DATE(2026,9,1))+SUMIFS('FUNDED DEALS'!$AB$4:$AB$1226,'FUNDED DEALS'!$Z$4:$Z$1226,$A26,'FUNDED DEALS'!$C$4:$C$1226,"&gt;="&amp;DATE(2026,8,1),'FUNDED DEALS'!$C$4:$C$1226,"&lt;"&amp;DATE(2026,9,1))+SUMIFS('FUNDED DEALS 2027'!$V$4:$V$1226,'FUNDED DEALS 2027'!$T$4:$T$1226,$A26,'FUNDED DEALS 2027'!$C$4:$C$1226,"&gt;="&amp;DATE(2026,8,1),'FUNDED DEALS 2027'!$C$4:$C$1226,"&lt;"&amp;DATE(2026,9,1))+SUMIFS('FUNDED DEALS 2027'!$Y$4:$Y$1226,'FUNDED DEALS 2027'!$W$4:$W$1226,$A26,'FUNDED DEALS 2027'!$C$4:$C$1226,"&gt;="&amp;DATE(2026,8,1),'FUNDED DEALS 2027'!$C$4:$C$1226,"&lt;"&amp;DATE(2026,9,1))+SUMIFS('FUNDED DEALS 2027'!$AB$4:$AB$1226,'FUNDED DEALS 2027'!$Z$4:$Z$1226,$A26,'FUNDED DEALS 2027'!$C$4:$C$1226,"&gt;="&amp;DATE(2026,8,1),'FUNDED DEALS 2027'!$C$4:$C$1226,"&lt;"&amp;DATE(2026,9,1)))</f>
        <v>0</v>
      </c>
      <c r="G26" s="48" t="n">
        <f aca="false">IF($A26="","",SUMIFS('FUNDED DEALS'!$V$4:$V$1226,'FUNDED DEALS'!$T$4:$T$1226,$A26,'FUNDED DEALS'!$C$4:$C$1226,"&gt;="&amp;DATE(2026,9,1),'FUNDED DEALS'!$C$4:$C$1226,"&lt;"&amp;DATE(2026,10,1))+SUMIFS('FUNDED DEALS'!$Y$4:$Y$1226,'FUNDED DEALS'!$W$4:$W$1226,$A26,'FUNDED DEALS'!$C$4:$C$1226,"&gt;="&amp;DATE(2026,9,1),'FUNDED DEALS'!$C$4:$C$1226,"&lt;"&amp;DATE(2026,10,1))+SUMIFS('FUNDED DEALS'!$AB$4:$AB$1226,'FUNDED DEALS'!$Z$4:$Z$1226,$A26,'FUNDED DEALS'!$C$4:$C$1226,"&gt;="&amp;DATE(2026,9,1),'FUNDED DEALS'!$C$4:$C$1226,"&lt;"&amp;DATE(2026,10,1))+SUMIFS('FUNDED DEALS 2027'!$V$4:$V$1226,'FUNDED DEALS 2027'!$T$4:$T$1226,$A26,'FUNDED DEALS 2027'!$C$4:$C$1226,"&gt;="&amp;DATE(2026,9,1),'FUNDED DEALS 2027'!$C$4:$C$1226,"&lt;"&amp;DATE(2026,10,1))+SUMIFS('FUNDED DEALS 2027'!$Y$4:$Y$1226,'FUNDED DEALS 2027'!$W$4:$W$1226,$A26,'FUNDED DEALS 2027'!$C$4:$C$1226,"&gt;="&amp;DATE(2026,9,1),'FUNDED DEALS 2027'!$C$4:$C$1226,"&lt;"&amp;DATE(2026,10,1))+SUMIFS('FUNDED DEALS 2027'!$AB$4:$AB$1226,'FUNDED DEALS 2027'!$Z$4:$Z$1226,$A26,'FUNDED DEALS 2027'!$C$4:$C$1226,"&gt;="&amp;DATE(2026,9,1),'FUNDED DEALS 2027'!$C$4:$C$1226,"&lt;"&amp;DATE(2026,10,1)))</f>
        <v>0</v>
      </c>
      <c r="H26" s="48" t="n">
        <f aca="false">IF($A26="","",SUMIFS('FUNDED DEALS'!$V$4:$V$1226,'FUNDED DEALS'!$T$4:$T$1226,$A26,'FUNDED DEALS'!$C$4:$C$1226,"&gt;="&amp;DATE(2026,10,1),'FUNDED DEALS'!$C$4:$C$1226,"&lt;"&amp;DATE(2026,11,1))+SUMIFS('FUNDED DEALS'!$Y$4:$Y$1226,'FUNDED DEALS'!$W$4:$W$1226,$A26,'FUNDED DEALS'!$C$4:$C$1226,"&gt;="&amp;DATE(2026,10,1),'FUNDED DEALS'!$C$4:$C$1226,"&lt;"&amp;DATE(2026,11,1))+SUMIFS('FUNDED DEALS'!$AB$4:$AB$1226,'FUNDED DEALS'!$Z$4:$Z$1226,$A26,'FUNDED DEALS'!$C$4:$C$1226,"&gt;="&amp;DATE(2026,10,1),'FUNDED DEALS'!$C$4:$C$1226,"&lt;"&amp;DATE(2026,11,1))+SUMIFS('FUNDED DEALS 2027'!$V$4:$V$1226,'FUNDED DEALS 2027'!$T$4:$T$1226,$A26,'FUNDED DEALS 2027'!$C$4:$C$1226,"&gt;="&amp;DATE(2026,10,1),'FUNDED DEALS 2027'!$C$4:$C$1226,"&lt;"&amp;DATE(2026,11,1))+SUMIFS('FUNDED DEALS 2027'!$Y$4:$Y$1226,'FUNDED DEALS 2027'!$W$4:$W$1226,$A26,'FUNDED DEALS 2027'!$C$4:$C$1226,"&gt;="&amp;DATE(2026,10,1),'FUNDED DEALS 2027'!$C$4:$C$1226,"&lt;"&amp;DATE(2026,11,1))+SUMIFS('FUNDED DEALS 2027'!$AB$4:$AB$1226,'FUNDED DEALS 2027'!$Z$4:$Z$1226,$A26,'FUNDED DEALS 2027'!$C$4:$C$1226,"&gt;="&amp;DATE(2026,10,1),'FUNDED DEALS 2027'!$C$4:$C$1226,"&lt;"&amp;DATE(2026,11,1)))</f>
        <v>0</v>
      </c>
      <c r="I26" s="48" t="n">
        <f aca="false">IF($A26="","",SUMIFS('FUNDED DEALS'!$V$4:$V$1226,'FUNDED DEALS'!$T$4:$T$1226,$A26,'FUNDED DEALS'!$C$4:$C$1226,"&gt;="&amp;DATE(2026,11,1),'FUNDED DEALS'!$C$4:$C$1226,"&lt;"&amp;DATE(2026,12,1))+SUMIFS('FUNDED DEALS'!$Y$4:$Y$1226,'FUNDED DEALS'!$W$4:$W$1226,$A26,'FUNDED DEALS'!$C$4:$C$1226,"&gt;="&amp;DATE(2026,11,1),'FUNDED DEALS'!$C$4:$C$1226,"&lt;"&amp;DATE(2026,12,1))+SUMIFS('FUNDED DEALS'!$AB$4:$AB$1226,'FUNDED DEALS'!$Z$4:$Z$1226,$A26,'FUNDED DEALS'!$C$4:$C$1226,"&gt;="&amp;DATE(2026,11,1),'FUNDED DEALS'!$C$4:$C$1226,"&lt;"&amp;DATE(2026,12,1))+SUMIFS('FUNDED DEALS 2027'!$V$4:$V$1226,'FUNDED DEALS 2027'!$T$4:$T$1226,$A26,'FUNDED DEALS 2027'!$C$4:$C$1226,"&gt;="&amp;DATE(2026,11,1),'FUNDED DEALS 2027'!$C$4:$C$1226,"&lt;"&amp;DATE(2026,12,1))+SUMIFS('FUNDED DEALS 2027'!$Y$4:$Y$1226,'FUNDED DEALS 2027'!$W$4:$W$1226,$A26,'FUNDED DEALS 2027'!$C$4:$C$1226,"&gt;="&amp;DATE(2026,11,1),'FUNDED DEALS 2027'!$C$4:$C$1226,"&lt;"&amp;DATE(2026,12,1))+SUMIFS('FUNDED DEALS 2027'!$AB$4:$AB$1226,'FUNDED DEALS 2027'!$Z$4:$Z$1226,$A26,'FUNDED DEALS 2027'!$C$4:$C$1226,"&gt;="&amp;DATE(2026,11,1),'FUNDED DEALS 2027'!$C$4:$C$1226,"&lt;"&amp;DATE(2026,12,1)))</f>
        <v>0</v>
      </c>
      <c r="J26" s="48" t="n">
        <f aca="false">IF($A26="","",SUMIFS('FUNDED DEALS'!$V$4:$V$1226,'FUNDED DEALS'!$T$4:$T$1226,$A26,'FUNDED DEALS'!$C$4:$C$1226,"&gt;="&amp;DATE(2026,12,1),'FUNDED DEALS'!$C$4:$C$1226,"&lt;"&amp;DATE(2027,1,1))+SUMIFS('FUNDED DEALS'!$Y$4:$Y$1226,'FUNDED DEALS'!$W$4:$W$1226,$A26,'FUNDED DEALS'!$C$4:$C$1226,"&gt;="&amp;DATE(2026,12,1),'FUNDED DEALS'!$C$4:$C$1226,"&lt;"&amp;DATE(2027,1,1))+SUMIFS('FUNDED DEALS'!$AB$4:$AB$1226,'FUNDED DEALS'!$Z$4:$Z$1226,$A26,'FUNDED DEALS'!$C$4:$C$1226,"&gt;="&amp;DATE(2026,12,1),'FUNDED DEALS'!$C$4:$C$1226,"&lt;"&amp;DATE(2027,1,1))+SUMIFS('FUNDED DEALS 2027'!$V$4:$V$1226,'FUNDED DEALS 2027'!$T$4:$T$1226,$A26,'FUNDED DEALS 2027'!$C$4:$C$1226,"&gt;="&amp;DATE(2026,12,1),'FUNDED DEALS 2027'!$C$4:$C$1226,"&lt;"&amp;DATE(2027,1,1))+SUMIFS('FUNDED DEALS 2027'!$Y$4:$Y$1226,'FUNDED DEALS 2027'!$W$4:$W$1226,$A26,'FUNDED DEALS 2027'!$C$4:$C$1226,"&gt;="&amp;DATE(2026,12,1),'FUNDED DEALS 2027'!$C$4:$C$1226,"&lt;"&amp;DATE(2027,1,1))+SUMIFS('FUNDED DEALS 2027'!$AB$4:$AB$1226,'FUNDED DEALS 2027'!$Z$4:$Z$1226,$A26,'FUNDED DEALS 2027'!$C$4:$C$1226,"&gt;="&amp;DATE(2026,12,1),'FUNDED DEALS 2027'!$C$4:$C$1226,"&lt;"&amp;DATE(2027,1,1)))</f>
        <v>0</v>
      </c>
      <c r="K26" s="48" t="n">
        <f aca="false">IF($A26="","",SUMIFS('FUNDED DEALS'!$V$4:$V$1226,'FUNDED DEALS'!$T$4:$T$1226,$A26,'FUNDED DEALS'!$C$4:$C$1226,"&gt;="&amp;DATE(2027,1,1),'FUNDED DEALS'!$C$4:$C$1226,"&lt;"&amp;DATE(2027,2,1))+SUMIFS('FUNDED DEALS'!$Y$4:$Y$1226,'FUNDED DEALS'!$W$4:$W$1226,$A26,'FUNDED DEALS'!$C$4:$C$1226,"&gt;="&amp;DATE(2027,1,1),'FUNDED DEALS'!$C$4:$C$1226,"&lt;"&amp;DATE(2027,2,1))+SUMIFS('FUNDED DEALS'!$AB$4:$AB$1226,'FUNDED DEALS'!$Z$4:$Z$1226,$A26,'FUNDED DEALS'!$C$4:$C$1226,"&gt;="&amp;DATE(2027,1,1),'FUNDED DEALS'!$C$4:$C$1226,"&lt;"&amp;DATE(2027,2,1))+SUMIFS('FUNDED DEALS 2027'!$V$4:$V$1226,'FUNDED DEALS 2027'!$T$4:$T$1226,$A26,'FUNDED DEALS 2027'!$C$4:$C$1226,"&gt;="&amp;DATE(2027,1,1),'FUNDED DEALS 2027'!$C$4:$C$1226,"&lt;"&amp;DATE(2027,2,1))+SUMIFS('FUNDED DEALS 2027'!$Y$4:$Y$1226,'FUNDED DEALS 2027'!$W$4:$W$1226,$A26,'FUNDED DEALS 2027'!$C$4:$C$1226,"&gt;="&amp;DATE(2027,1,1),'FUNDED DEALS 2027'!$C$4:$C$1226,"&lt;"&amp;DATE(2027,2,1))+SUMIFS('FUNDED DEALS 2027'!$AB$4:$AB$1226,'FUNDED DEALS 2027'!$Z$4:$Z$1226,$A26,'FUNDED DEALS 2027'!$C$4:$C$1226,"&gt;="&amp;DATE(2027,1,1),'FUNDED DEALS 2027'!$C$4:$C$1226,"&lt;"&amp;DATE(2027,2,1)))</f>
        <v>0</v>
      </c>
      <c r="L26" s="48" t="n">
        <f aca="false">IF($A26="","",SUMIFS('FUNDED DEALS'!$V$4:$V$1226,'FUNDED DEALS'!$T$4:$T$1226,$A26,'FUNDED DEALS'!$C$4:$C$1226,"&gt;="&amp;DATE(2027,2,1),'FUNDED DEALS'!$C$4:$C$1226,"&lt;"&amp;DATE(2027,3,1))+SUMIFS('FUNDED DEALS'!$Y$4:$Y$1226,'FUNDED DEALS'!$W$4:$W$1226,$A26,'FUNDED DEALS'!$C$4:$C$1226,"&gt;="&amp;DATE(2027,2,1),'FUNDED DEALS'!$C$4:$C$1226,"&lt;"&amp;DATE(2027,3,1))+SUMIFS('FUNDED DEALS'!$AB$4:$AB$1226,'FUNDED DEALS'!$Z$4:$Z$1226,$A26,'FUNDED DEALS'!$C$4:$C$1226,"&gt;="&amp;DATE(2027,2,1),'FUNDED DEALS'!$C$4:$C$1226,"&lt;"&amp;DATE(2027,3,1))+SUMIFS('FUNDED DEALS 2027'!$V$4:$V$1226,'FUNDED DEALS 2027'!$T$4:$T$1226,$A26,'FUNDED DEALS 2027'!$C$4:$C$1226,"&gt;="&amp;DATE(2027,2,1),'FUNDED DEALS 2027'!$C$4:$C$1226,"&lt;"&amp;DATE(2027,3,1))+SUMIFS('FUNDED DEALS 2027'!$Y$4:$Y$1226,'FUNDED DEALS 2027'!$W$4:$W$1226,$A26,'FUNDED DEALS 2027'!$C$4:$C$1226,"&gt;="&amp;DATE(2027,2,1),'FUNDED DEALS 2027'!$C$4:$C$1226,"&lt;"&amp;DATE(2027,3,1))+SUMIFS('FUNDED DEALS 2027'!$AB$4:$AB$1226,'FUNDED DEALS 2027'!$Z$4:$Z$1226,$A26,'FUNDED DEALS 2027'!$C$4:$C$1226,"&gt;="&amp;DATE(2027,2,1),'FUNDED DEALS 2027'!$C$4:$C$1226,"&lt;"&amp;DATE(2027,3,1)))</f>
        <v>0</v>
      </c>
      <c r="M26" s="48" t="n">
        <f aca="false">IF($A26="","",SUMIFS('FUNDED DEALS'!$V$4:$V$1226,'FUNDED DEALS'!$T$4:$T$1226,$A26,'FUNDED DEALS'!$C$4:$C$1226,"&gt;="&amp;DATE(2027,3,1),'FUNDED DEALS'!$C$4:$C$1226,"&lt;"&amp;DATE(2027,4,1))+SUMIFS('FUNDED DEALS'!$Y$4:$Y$1226,'FUNDED DEALS'!$W$4:$W$1226,$A26,'FUNDED DEALS'!$C$4:$C$1226,"&gt;="&amp;DATE(2027,3,1),'FUNDED DEALS'!$C$4:$C$1226,"&lt;"&amp;DATE(2027,4,1))+SUMIFS('FUNDED DEALS'!$AB$4:$AB$1226,'FUNDED DEALS'!$Z$4:$Z$1226,$A26,'FUNDED DEALS'!$C$4:$C$1226,"&gt;="&amp;DATE(2027,3,1),'FUNDED DEALS'!$C$4:$C$1226,"&lt;"&amp;DATE(2027,4,1))+SUMIFS('FUNDED DEALS 2027'!$V$4:$V$1226,'FUNDED DEALS 2027'!$T$4:$T$1226,$A26,'FUNDED DEALS 2027'!$C$4:$C$1226,"&gt;="&amp;DATE(2027,3,1),'FUNDED DEALS 2027'!$C$4:$C$1226,"&lt;"&amp;DATE(2027,4,1))+SUMIFS('FUNDED DEALS 2027'!$Y$4:$Y$1226,'FUNDED DEALS 2027'!$W$4:$W$1226,$A26,'FUNDED DEALS 2027'!$C$4:$C$1226,"&gt;="&amp;DATE(2027,3,1),'FUNDED DEALS 2027'!$C$4:$C$1226,"&lt;"&amp;DATE(2027,4,1))+SUMIFS('FUNDED DEALS 2027'!$AB$4:$AB$1226,'FUNDED DEALS 2027'!$Z$4:$Z$1226,$A26,'FUNDED DEALS 2027'!$C$4:$C$1226,"&gt;="&amp;DATE(2027,3,1),'FUNDED DEALS 2027'!$C$4:$C$1226,"&lt;"&amp;DATE(2027,4,1)))</f>
        <v>0</v>
      </c>
      <c r="N26" s="48" t="n">
        <f aca="false">IF($A26="","",SUMIFS('FUNDED DEALS'!$V$4:$V$1226,'FUNDED DEALS'!$T$4:$T$1226,$A26,'FUNDED DEALS'!$C$4:$C$1226,"&gt;="&amp;DATE(2027,4,1),'FUNDED DEALS'!$C$4:$C$1226,"&lt;"&amp;DATE(2027,5,1))+SUMIFS('FUNDED DEALS'!$Y$4:$Y$1226,'FUNDED DEALS'!$W$4:$W$1226,$A26,'FUNDED DEALS'!$C$4:$C$1226,"&gt;="&amp;DATE(2027,4,1),'FUNDED DEALS'!$C$4:$C$1226,"&lt;"&amp;DATE(2027,5,1))+SUMIFS('FUNDED DEALS'!$AB$4:$AB$1226,'FUNDED DEALS'!$Z$4:$Z$1226,$A26,'FUNDED DEALS'!$C$4:$C$1226,"&gt;="&amp;DATE(2027,4,1),'FUNDED DEALS'!$C$4:$C$1226,"&lt;"&amp;DATE(2027,5,1))+SUMIFS('FUNDED DEALS 2027'!$V$4:$V$1226,'FUNDED DEALS 2027'!$T$4:$T$1226,$A26,'FUNDED DEALS 2027'!$C$4:$C$1226,"&gt;="&amp;DATE(2027,4,1),'FUNDED DEALS 2027'!$C$4:$C$1226,"&lt;"&amp;DATE(2027,5,1))+SUMIFS('FUNDED DEALS 2027'!$Y$4:$Y$1226,'FUNDED DEALS 2027'!$W$4:$W$1226,$A26,'FUNDED DEALS 2027'!$C$4:$C$1226,"&gt;="&amp;DATE(2027,4,1),'FUNDED DEALS 2027'!$C$4:$C$1226,"&lt;"&amp;DATE(2027,5,1))+SUMIFS('FUNDED DEALS 2027'!$AB$4:$AB$1226,'FUNDED DEALS 2027'!$Z$4:$Z$1226,$A26,'FUNDED DEALS 2027'!$C$4:$C$1226,"&gt;="&amp;DATE(2027,4,1),'FUNDED DEALS 2027'!$C$4:$C$1226,"&lt;"&amp;DATE(2027,5,1)))</f>
        <v>0</v>
      </c>
      <c r="O26" s="48" t="n">
        <f aca="false">IF($A26="","",SUMIFS('FUNDED DEALS'!$V$4:$V$1226,'FUNDED DEALS'!$T$4:$T$1226,$A26,'FUNDED DEALS'!$C$4:$C$1226,"&gt;="&amp;DATE(2027,5,1),'FUNDED DEALS'!$C$4:$C$1226,"&lt;"&amp;DATE(2027,6,1))+SUMIFS('FUNDED DEALS'!$Y$4:$Y$1226,'FUNDED DEALS'!$W$4:$W$1226,$A26,'FUNDED DEALS'!$C$4:$C$1226,"&gt;="&amp;DATE(2027,5,1),'FUNDED DEALS'!$C$4:$C$1226,"&lt;"&amp;DATE(2027,6,1))+SUMIFS('FUNDED DEALS'!$AB$4:$AB$1226,'FUNDED DEALS'!$Z$4:$Z$1226,$A26,'FUNDED DEALS'!$C$4:$C$1226,"&gt;="&amp;DATE(2027,5,1),'FUNDED DEALS'!$C$4:$C$1226,"&lt;"&amp;DATE(2027,6,1))+SUMIFS('FUNDED DEALS 2027'!$V$4:$V$1226,'FUNDED DEALS 2027'!$T$4:$T$1226,$A26,'FUNDED DEALS 2027'!$C$4:$C$1226,"&gt;="&amp;DATE(2027,5,1),'FUNDED DEALS 2027'!$C$4:$C$1226,"&lt;"&amp;DATE(2027,6,1))+SUMIFS('FUNDED DEALS 2027'!$Y$4:$Y$1226,'FUNDED DEALS 2027'!$W$4:$W$1226,$A26,'FUNDED DEALS 2027'!$C$4:$C$1226,"&gt;="&amp;DATE(2027,5,1),'FUNDED DEALS 2027'!$C$4:$C$1226,"&lt;"&amp;DATE(2027,6,1))+SUMIFS('FUNDED DEALS 2027'!$AB$4:$AB$1226,'FUNDED DEALS 2027'!$Z$4:$Z$1226,$A26,'FUNDED DEALS 2027'!$C$4:$C$1226,"&gt;="&amp;DATE(2027,5,1),'FUNDED DEALS 2027'!$C$4:$C$1226,"&lt;"&amp;DATE(2027,6,1)))</f>
        <v>0</v>
      </c>
      <c r="P26" s="48" t="n">
        <f aca="false">IF($A26="","",SUMIFS('FUNDED DEALS'!$V$4:$V$1226,'FUNDED DEALS'!$T$4:$T$1226,$A26,'FUNDED DEALS'!$C$4:$C$1226,"&gt;="&amp;DATE(2027,6,1),'FUNDED DEALS'!$C$4:$C$1226,"&lt;"&amp;DATE(2027,7,1))+SUMIFS('FUNDED DEALS'!$Y$4:$Y$1226,'FUNDED DEALS'!$W$4:$W$1226,$A26,'FUNDED DEALS'!$C$4:$C$1226,"&gt;="&amp;DATE(2027,6,1),'FUNDED DEALS'!$C$4:$C$1226,"&lt;"&amp;DATE(2027,7,1))+SUMIFS('FUNDED DEALS'!$AB$4:$AB$1226,'FUNDED DEALS'!$Z$4:$Z$1226,$A26,'FUNDED DEALS'!$C$4:$C$1226,"&gt;="&amp;DATE(2027,6,1),'FUNDED DEALS'!$C$4:$C$1226,"&lt;"&amp;DATE(2027,7,1))+SUMIFS('FUNDED DEALS 2027'!$V$4:$V$1226,'FUNDED DEALS 2027'!$T$4:$T$1226,$A26,'FUNDED DEALS 2027'!$C$4:$C$1226,"&gt;="&amp;DATE(2027,6,1),'FUNDED DEALS 2027'!$C$4:$C$1226,"&lt;"&amp;DATE(2027,7,1))+SUMIFS('FUNDED DEALS 2027'!$Y$4:$Y$1226,'FUNDED DEALS 2027'!$W$4:$W$1226,$A26,'FUNDED DEALS 2027'!$C$4:$C$1226,"&gt;="&amp;DATE(2027,6,1),'FUNDED DEALS 2027'!$C$4:$C$1226,"&lt;"&amp;DATE(2027,7,1))+SUMIFS('FUNDED DEALS 2027'!$AB$4:$AB$1226,'FUNDED DEALS 2027'!$Z$4:$Z$1226,$A26,'FUNDED DEALS 2027'!$C$4:$C$1226,"&gt;="&amp;DATE(2027,6,1),'FUNDED DEALS 2027'!$C$4:$C$1226,"&lt;"&amp;DATE(2027,7,1)))</f>
        <v>0</v>
      </c>
      <c r="Q26" s="48" t="n">
        <f aca="false">IF($A26="","",SUMIFS('FUNDED DEALS'!$V$4:$V$1226,'FUNDED DEALS'!$T$4:$T$1226,$A26,'FUNDED DEALS'!$C$4:$C$1226,"&gt;="&amp;DATE(2027,7,1),'FUNDED DEALS'!$C$4:$C$1226,"&lt;"&amp;DATE(2027,8,1))+SUMIFS('FUNDED DEALS'!$Y$4:$Y$1226,'FUNDED DEALS'!$W$4:$W$1226,$A26,'FUNDED DEALS'!$C$4:$C$1226,"&gt;="&amp;DATE(2027,7,1),'FUNDED DEALS'!$C$4:$C$1226,"&lt;"&amp;DATE(2027,8,1))+SUMIFS('FUNDED DEALS'!$AB$4:$AB$1226,'FUNDED DEALS'!$Z$4:$Z$1226,$A26,'FUNDED DEALS'!$C$4:$C$1226,"&gt;="&amp;DATE(2027,7,1),'FUNDED DEALS'!$C$4:$C$1226,"&lt;"&amp;DATE(2027,8,1))+SUMIFS('FUNDED DEALS 2027'!$V$4:$V$1226,'FUNDED DEALS 2027'!$T$4:$T$1226,$A26,'FUNDED DEALS 2027'!$C$4:$C$1226,"&gt;="&amp;DATE(2027,7,1),'FUNDED DEALS 2027'!$C$4:$C$1226,"&lt;"&amp;DATE(2027,8,1))+SUMIFS('FUNDED DEALS 2027'!$Y$4:$Y$1226,'FUNDED DEALS 2027'!$W$4:$W$1226,$A26,'FUNDED DEALS 2027'!$C$4:$C$1226,"&gt;="&amp;DATE(2027,7,1),'FUNDED DEALS 2027'!$C$4:$C$1226,"&lt;"&amp;DATE(2027,8,1))+SUMIFS('FUNDED DEALS 2027'!$AB$4:$AB$1226,'FUNDED DEALS 2027'!$Z$4:$Z$1226,$A26,'FUNDED DEALS 2027'!$C$4:$C$1226,"&gt;="&amp;DATE(2027,7,1),'FUNDED DEALS 2027'!$C$4:$C$1226,"&lt;"&amp;DATE(2027,8,1)))</f>
        <v>0</v>
      </c>
      <c r="R26" s="48" t="n">
        <f aca="false">IF($A26="","",SUMIFS('FUNDED DEALS'!$V$4:$V$1226,'FUNDED DEALS'!$T$4:$T$1226,$A26,'FUNDED DEALS'!$C$4:$C$1226,"&gt;="&amp;DATE(2027,8,1),'FUNDED DEALS'!$C$4:$C$1226,"&lt;"&amp;DATE(2027,9,1))+SUMIFS('FUNDED DEALS'!$Y$4:$Y$1226,'FUNDED DEALS'!$W$4:$W$1226,$A26,'FUNDED DEALS'!$C$4:$C$1226,"&gt;="&amp;DATE(2027,8,1),'FUNDED DEALS'!$C$4:$C$1226,"&lt;"&amp;DATE(2027,9,1))+SUMIFS('FUNDED DEALS'!$AB$4:$AB$1226,'FUNDED DEALS'!$Z$4:$Z$1226,$A26,'FUNDED DEALS'!$C$4:$C$1226,"&gt;="&amp;DATE(2027,8,1),'FUNDED DEALS'!$C$4:$C$1226,"&lt;"&amp;DATE(2027,9,1))+SUMIFS('FUNDED DEALS 2027'!$V$4:$V$1226,'FUNDED DEALS 2027'!$T$4:$T$1226,$A26,'FUNDED DEALS 2027'!$C$4:$C$1226,"&gt;="&amp;DATE(2027,8,1),'FUNDED DEALS 2027'!$C$4:$C$1226,"&lt;"&amp;DATE(2027,9,1))+SUMIFS('FUNDED DEALS 2027'!$Y$4:$Y$1226,'FUNDED DEALS 2027'!$W$4:$W$1226,$A26,'FUNDED DEALS 2027'!$C$4:$C$1226,"&gt;="&amp;DATE(2027,8,1),'FUNDED DEALS 2027'!$C$4:$C$1226,"&lt;"&amp;DATE(2027,9,1))+SUMIFS('FUNDED DEALS 2027'!$AB$4:$AB$1226,'FUNDED DEALS 2027'!$Z$4:$Z$1226,$A26,'FUNDED DEALS 2027'!$C$4:$C$1226,"&gt;="&amp;DATE(2027,8,1),'FUNDED DEALS 2027'!$C$4:$C$1226,"&lt;"&amp;DATE(2027,9,1)))</f>
        <v>0</v>
      </c>
      <c r="S26" s="48" t="n">
        <f aca="false">IF($A26="","",SUMIFS('FUNDED DEALS'!$V$4:$V$1226,'FUNDED DEALS'!$T$4:$T$1226,$A26,'FUNDED DEALS'!$C$4:$C$1226,"&gt;="&amp;DATE(2027,9,1),'FUNDED DEALS'!$C$4:$C$1226,"&lt;"&amp;DATE(2027,10,1))+SUMIFS('FUNDED DEALS'!$Y$4:$Y$1226,'FUNDED DEALS'!$W$4:$W$1226,$A26,'FUNDED DEALS'!$C$4:$C$1226,"&gt;="&amp;DATE(2027,9,1),'FUNDED DEALS'!$C$4:$C$1226,"&lt;"&amp;DATE(2027,10,1))+SUMIFS('FUNDED DEALS'!$AB$4:$AB$1226,'FUNDED DEALS'!$Z$4:$Z$1226,$A26,'FUNDED DEALS'!$C$4:$C$1226,"&gt;="&amp;DATE(2027,9,1),'FUNDED DEALS'!$C$4:$C$1226,"&lt;"&amp;DATE(2027,10,1))+SUMIFS('FUNDED DEALS 2027'!$V$4:$V$1226,'FUNDED DEALS 2027'!$T$4:$T$1226,$A26,'FUNDED DEALS 2027'!$C$4:$C$1226,"&gt;="&amp;DATE(2027,9,1),'FUNDED DEALS 2027'!$C$4:$C$1226,"&lt;"&amp;DATE(2027,10,1))+SUMIFS('FUNDED DEALS 2027'!$Y$4:$Y$1226,'FUNDED DEALS 2027'!$W$4:$W$1226,$A26,'FUNDED DEALS 2027'!$C$4:$C$1226,"&gt;="&amp;DATE(2027,9,1),'FUNDED DEALS 2027'!$C$4:$C$1226,"&lt;"&amp;DATE(2027,10,1))+SUMIFS('FUNDED DEALS 2027'!$AB$4:$AB$1226,'FUNDED DEALS 2027'!$Z$4:$Z$1226,$A26,'FUNDED DEALS 2027'!$C$4:$C$1226,"&gt;="&amp;DATE(2027,9,1),'FUNDED DEALS 2027'!$C$4:$C$1226,"&lt;"&amp;DATE(2027,10,1)))</f>
        <v>0</v>
      </c>
      <c r="T26" s="48" t="n">
        <f aca="false">IF($A26="","",SUMIFS('FUNDED DEALS'!$V$4:$V$1226,'FUNDED DEALS'!$T$4:$T$1226,$A26,'FUNDED DEALS'!$C$4:$C$1226,"&gt;="&amp;DATE(2027,10,1),'FUNDED DEALS'!$C$4:$C$1226,"&lt;"&amp;DATE(2027,11,1))+SUMIFS('FUNDED DEALS'!$Y$4:$Y$1226,'FUNDED DEALS'!$W$4:$W$1226,$A26,'FUNDED DEALS'!$C$4:$C$1226,"&gt;="&amp;DATE(2027,10,1),'FUNDED DEALS'!$C$4:$C$1226,"&lt;"&amp;DATE(2027,11,1))+SUMIFS('FUNDED DEALS'!$AB$4:$AB$1226,'FUNDED DEALS'!$Z$4:$Z$1226,$A26,'FUNDED DEALS'!$C$4:$C$1226,"&gt;="&amp;DATE(2027,10,1),'FUNDED DEALS'!$C$4:$C$1226,"&lt;"&amp;DATE(2027,11,1))+SUMIFS('FUNDED DEALS 2027'!$V$4:$V$1226,'FUNDED DEALS 2027'!$T$4:$T$1226,$A26,'FUNDED DEALS 2027'!$C$4:$C$1226,"&gt;="&amp;DATE(2027,10,1),'FUNDED DEALS 2027'!$C$4:$C$1226,"&lt;"&amp;DATE(2027,11,1))+SUMIFS('FUNDED DEALS 2027'!$Y$4:$Y$1226,'FUNDED DEALS 2027'!$W$4:$W$1226,$A26,'FUNDED DEALS 2027'!$C$4:$C$1226,"&gt;="&amp;DATE(2027,10,1),'FUNDED DEALS 2027'!$C$4:$C$1226,"&lt;"&amp;DATE(2027,11,1))+SUMIFS('FUNDED DEALS 2027'!$AB$4:$AB$1226,'FUNDED DEALS 2027'!$Z$4:$Z$1226,$A26,'FUNDED DEALS 2027'!$C$4:$C$1226,"&gt;="&amp;DATE(2027,10,1),'FUNDED DEALS 2027'!$C$4:$C$1226,"&lt;"&amp;DATE(2027,11,1)))</f>
        <v>0</v>
      </c>
      <c r="U26" s="48" t="n">
        <f aca="false">IF($A26="","",SUMIFS('FUNDED DEALS'!$V$4:$V$1226,'FUNDED DEALS'!$T$4:$T$1226,$A26,'FUNDED DEALS'!$C$4:$C$1226,"&gt;="&amp;DATE(2027,11,1),'FUNDED DEALS'!$C$4:$C$1226,"&lt;"&amp;DATE(2027,12,1))+SUMIFS('FUNDED DEALS'!$Y$4:$Y$1226,'FUNDED DEALS'!$W$4:$W$1226,$A26,'FUNDED DEALS'!$C$4:$C$1226,"&gt;="&amp;DATE(2027,11,1),'FUNDED DEALS'!$C$4:$C$1226,"&lt;"&amp;DATE(2027,12,1))+SUMIFS('FUNDED DEALS'!$AB$4:$AB$1226,'FUNDED DEALS'!$Z$4:$Z$1226,$A26,'FUNDED DEALS'!$C$4:$C$1226,"&gt;="&amp;DATE(2027,11,1),'FUNDED DEALS'!$C$4:$C$1226,"&lt;"&amp;DATE(2027,12,1))+SUMIFS('FUNDED DEALS 2027'!$V$4:$V$1226,'FUNDED DEALS 2027'!$T$4:$T$1226,$A26,'FUNDED DEALS 2027'!$C$4:$C$1226,"&gt;="&amp;DATE(2027,11,1),'FUNDED DEALS 2027'!$C$4:$C$1226,"&lt;"&amp;DATE(2027,12,1))+SUMIFS('FUNDED DEALS 2027'!$Y$4:$Y$1226,'FUNDED DEALS 2027'!$W$4:$W$1226,$A26,'FUNDED DEALS 2027'!$C$4:$C$1226,"&gt;="&amp;DATE(2027,11,1),'FUNDED DEALS 2027'!$C$4:$C$1226,"&lt;"&amp;DATE(2027,12,1))+SUMIFS('FUNDED DEALS 2027'!$AB$4:$AB$1226,'FUNDED DEALS 2027'!$Z$4:$Z$1226,$A26,'FUNDED DEALS 2027'!$C$4:$C$1226,"&gt;="&amp;DATE(2027,11,1),'FUNDED DEALS 2027'!$C$4:$C$1226,"&lt;"&amp;DATE(2027,12,1)))</f>
        <v>0</v>
      </c>
      <c r="V26" s="48" t="n">
        <f aca="false">IF($A26="","",SUMIFS('FUNDED DEALS'!$V$4:$V$1226,'FUNDED DEALS'!$T$4:$T$1226,$A26,'FUNDED DEALS'!$C$4:$C$1226,"&gt;="&amp;DATE(2027,12,1),'FUNDED DEALS'!$C$4:$C$1226,"&lt;"&amp;DATE(2028,1,1))+SUMIFS('FUNDED DEALS'!$Y$4:$Y$1226,'FUNDED DEALS'!$W$4:$W$1226,$A26,'FUNDED DEALS'!$C$4:$C$1226,"&gt;="&amp;DATE(2027,12,1),'FUNDED DEALS'!$C$4:$C$1226,"&lt;"&amp;DATE(2028,1,1))+SUMIFS('FUNDED DEALS'!$AB$4:$AB$1226,'FUNDED DEALS'!$Z$4:$Z$1226,$A26,'FUNDED DEALS'!$C$4:$C$1226,"&gt;="&amp;DATE(2027,12,1),'FUNDED DEALS'!$C$4:$C$1226,"&lt;"&amp;DATE(2028,1,1))+SUMIFS('FUNDED DEALS 2027'!$V$4:$V$1226,'FUNDED DEALS 2027'!$T$4:$T$1226,$A26,'FUNDED DEALS 2027'!$C$4:$C$1226,"&gt;="&amp;DATE(2027,12,1),'FUNDED DEALS 2027'!$C$4:$C$1226,"&lt;"&amp;DATE(2028,1,1))+SUMIFS('FUNDED DEALS 2027'!$Y$4:$Y$1226,'FUNDED DEALS 2027'!$W$4:$W$1226,$A26,'FUNDED DEALS 2027'!$C$4:$C$1226,"&gt;="&amp;DATE(2027,12,1),'FUNDED DEALS 2027'!$C$4:$C$1226,"&lt;"&amp;DATE(2028,1,1))+SUMIFS('FUNDED DEALS 2027'!$AB$4:$AB$1226,'FUNDED DEALS 2027'!$Z$4:$Z$1226,$A26,'FUNDED DEALS 2027'!$C$4:$C$1226,"&gt;="&amp;DATE(2027,12,1),'FUNDED DEALS 2027'!$C$4:$C$1226,"&lt;"&amp;DATE(2028,1,1)))</f>
        <v>0</v>
      </c>
      <c r="W26" s="56" t="n">
        <f aca="false">IF($A26="","",SUM(B26:V26))</f>
        <v>0</v>
      </c>
    </row>
    <row r="27" customFormat="false" ht="15" hidden="false" customHeight="false" outlineLevel="0" collapsed="false">
      <c r="A27" s="50" t="str">
        <f aca="false">IF(REPS!A25="","",REPS!A25)</f>
        <v>Jason Reed</v>
      </c>
      <c r="B27" s="51" t="n">
        <f aca="false">IF($A27="","",SUMIFS('FUNDED DEALS'!$V$4:$V$1226,'FUNDED DEALS'!$T$4:$T$1226,$A27,'FUNDED DEALS'!$C$4:$C$1226,"&gt;="&amp;DATE(2026,4,1),'FUNDED DEALS'!$C$4:$C$1226,"&lt;"&amp;DATE(2026,5,1))+SUMIFS('FUNDED DEALS'!$Y$4:$Y$1226,'FUNDED DEALS'!$W$4:$W$1226,$A27,'FUNDED DEALS'!$C$4:$C$1226,"&gt;="&amp;DATE(2026,4,1),'FUNDED DEALS'!$C$4:$C$1226,"&lt;"&amp;DATE(2026,5,1))+SUMIFS('FUNDED DEALS'!$AB$4:$AB$1226,'FUNDED DEALS'!$Z$4:$Z$1226,$A27,'FUNDED DEALS'!$C$4:$C$1226,"&gt;="&amp;DATE(2026,4,1),'FUNDED DEALS'!$C$4:$C$1226,"&lt;"&amp;DATE(2026,5,1))+SUMIFS('FUNDED DEALS 2027'!$V$4:$V$1226,'FUNDED DEALS 2027'!$T$4:$T$1226,$A27,'FUNDED DEALS 2027'!$C$4:$C$1226,"&gt;="&amp;DATE(2026,4,1),'FUNDED DEALS 2027'!$C$4:$C$1226,"&lt;"&amp;DATE(2026,5,1))+SUMIFS('FUNDED DEALS 2027'!$Y$4:$Y$1226,'FUNDED DEALS 2027'!$W$4:$W$1226,$A27,'FUNDED DEALS 2027'!$C$4:$C$1226,"&gt;="&amp;DATE(2026,4,1),'FUNDED DEALS 2027'!$C$4:$C$1226,"&lt;"&amp;DATE(2026,5,1))+SUMIFS('FUNDED DEALS 2027'!$AB$4:$AB$1226,'FUNDED DEALS 2027'!$Z$4:$Z$1226,$A27,'FUNDED DEALS 2027'!$C$4:$C$1226,"&gt;="&amp;DATE(2026,4,1),'FUNDED DEALS 2027'!$C$4:$C$1226,"&lt;"&amp;DATE(2026,5,1)))</f>
        <v>0</v>
      </c>
      <c r="C27" s="51" t="n">
        <f aca="false">IF($A27="","",SUMIFS('FUNDED DEALS'!$V$4:$V$1226,'FUNDED DEALS'!$T$4:$T$1226,$A27,'FUNDED DEALS'!$C$4:$C$1226,"&gt;="&amp;DATE(2026,5,1),'FUNDED DEALS'!$C$4:$C$1226,"&lt;"&amp;DATE(2026,6,1))+SUMIFS('FUNDED DEALS'!$Y$4:$Y$1226,'FUNDED DEALS'!$W$4:$W$1226,$A27,'FUNDED DEALS'!$C$4:$C$1226,"&gt;="&amp;DATE(2026,5,1),'FUNDED DEALS'!$C$4:$C$1226,"&lt;"&amp;DATE(2026,6,1))+SUMIFS('FUNDED DEALS'!$AB$4:$AB$1226,'FUNDED DEALS'!$Z$4:$Z$1226,$A27,'FUNDED DEALS'!$C$4:$C$1226,"&gt;="&amp;DATE(2026,5,1),'FUNDED DEALS'!$C$4:$C$1226,"&lt;"&amp;DATE(2026,6,1))+SUMIFS('FUNDED DEALS 2027'!$V$4:$V$1226,'FUNDED DEALS 2027'!$T$4:$T$1226,$A27,'FUNDED DEALS 2027'!$C$4:$C$1226,"&gt;="&amp;DATE(2026,5,1),'FUNDED DEALS 2027'!$C$4:$C$1226,"&lt;"&amp;DATE(2026,6,1))+SUMIFS('FUNDED DEALS 2027'!$Y$4:$Y$1226,'FUNDED DEALS 2027'!$W$4:$W$1226,$A27,'FUNDED DEALS 2027'!$C$4:$C$1226,"&gt;="&amp;DATE(2026,5,1),'FUNDED DEALS 2027'!$C$4:$C$1226,"&lt;"&amp;DATE(2026,6,1))+SUMIFS('FUNDED DEALS 2027'!$AB$4:$AB$1226,'FUNDED DEALS 2027'!$Z$4:$Z$1226,$A27,'FUNDED DEALS 2027'!$C$4:$C$1226,"&gt;="&amp;DATE(2026,5,1),'FUNDED DEALS 2027'!$C$4:$C$1226,"&lt;"&amp;DATE(2026,6,1)))</f>
        <v>0</v>
      </c>
      <c r="D27" s="51" t="n">
        <f aca="false">IF($A27="","",SUMIFS('FUNDED DEALS'!$V$4:$V$1226,'FUNDED DEALS'!$T$4:$T$1226,$A27,'FUNDED DEALS'!$C$4:$C$1226,"&gt;="&amp;DATE(2026,6,1),'FUNDED DEALS'!$C$4:$C$1226,"&lt;"&amp;DATE(2026,7,1))+SUMIFS('FUNDED DEALS'!$Y$4:$Y$1226,'FUNDED DEALS'!$W$4:$W$1226,$A27,'FUNDED DEALS'!$C$4:$C$1226,"&gt;="&amp;DATE(2026,6,1),'FUNDED DEALS'!$C$4:$C$1226,"&lt;"&amp;DATE(2026,7,1))+SUMIFS('FUNDED DEALS'!$AB$4:$AB$1226,'FUNDED DEALS'!$Z$4:$Z$1226,$A27,'FUNDED DEALS'!$C$4:$C$1226,"&gt;="&amp;DATE(2026,6,1),'FUNDED DEALS'!$C$4:$C$1226,"&lt;"&amp;DATE(2026,7,1))+SUMIFS('FUNDED DEALS 2027'!$V$4:$V$1226,'FUNDED DEALS 2027'!$T$4:$T$1226,$A27,'FUNDED DEALS 2027'!$C$4:$C$1226,"&gt;="&amp;DATE(2026,6,1),'FUNDED DEALS 2027'!$C$4:$C$1226,"&lt;"&amp;DATE(2026,7,1))+SUMIFS('FUNDED DEALS 2027'!$Y$4:$Y$1226,'FUNDED DEALS 2027'!$W$4:$W$1226,$A27,'FUNDED DEALS 2027'!$C$4:$C$1226,"&gt;="&amp;DATE(2026,6,1),'FUNDED DEALS 2027'!$C$4:$C$1226,"&lt;"&amp;DATE(2026,7,1))+SUMIFS('FUNDED DEALS 2027'!$AB$4:$AB$1226,'FUNDED DEALS 2027'!$Z$4:$Z$1226,$A27,'FUNDED DEALS 2027'!$C$4:$C$1226,"&gt;="&amp;DATE(2026,6,1),'FUNDED DEALS 2027'!$C$4:$C$1226,"&lt;"&amp;DATE(2026,7,1)))</f>
        <v>0</v>
      </c>
      <c r="E27" s="51" t="n">
        <f aca="false">IF($A27="","",SUMIFS('FUNDED DEALS'!$V$4:$V$1226,'FUNDED DEALS'!$T$4:$T$1226,$A27,'FUNDED DEALS'!$C$4:$C$1226,"&gt;="&amp;DATE(2026,7,1),'FUNDED DEALS'!$C$4:$C$1226,"&lt;"&amp;DATE(2026,8,1))+SUMIFS('FUNDED DEALS'!$Y$4:$Y$1226,'FUNDED DEALS'!$W$4:$W$1226,$A27,'FUNDED DEALS'!$C$4:$C$1226,"&gt;="&amp;DATE(2026,7,1),'FUNDED DEALS'!$C$4:$C$1226,"&lt;"&amp;DATE(2026,8,1))+SUMIFS('FUNDED DEALS'!$AB$4:$AB$1226,'FUNDED DEALS'!$Z$4:$Z$1226,$A27,'FUNDED DEALS'!$C$4:$C$1226,"&gt;="&amp;DATE(2026,7,1),'FUNDED DEALS'!$C$4:$C$1226,"&lt;"&amp;DATE(2026,8,1))+SUMIFS('FUNDED DEALS 2027'!$V$4:$V$1226,'FUNDED DEALS 2027'!$T$4:$T$1226,$A27,'FUNDED DEALS 2027'!$C$4:$C$1226,"&gt;="&amp;DATE(2026,7,1),'FUNDED DEALS 2027'!$C$4:$C$1226,"&lt;"&amp;DATE(2026,8,1))+SUMIFS('FUNDED DEALS 2027'!$Y$4:$Y$1226,'FUNDED DEALS 2027'!$W$4:$W$1226,$A27,'FUNDED DEALS 2027'!$C$4:$C$1226,"&gt;="&amp;DATE(2026,7,1),'FUNDED DEALS 2027'!$C$4:$C$1226,"&lt;"&amp;DATE(2026,8,1))+SUMIFS('FUNDED DEALS 2027'!$AB$4:$AB$1226,'FUNDED DEALS 2027'!$Z$4:$Z$1226,$A27,'FUNDED DEALS 2027'!$C$4:$C$1226,"&gt;="&amp;DATE(2026,7,1),'FUNDED DEALS 2027'!$C$4:$C$1226,"&lt;"&amp;DATE(2026,8,1)))</f>
        <v>0</v>
      </c>
      <c r="F27" s="51" t="n">
        <f aca="false">IF($A27="","",SUMIFS('FUNDED DEALS'!$V$4:$V$1226,'FUNDED DEALS'!$T$4:$T$1226,$A27,'FUNDED DEALS'!$C$4:$C$1226,"&gt;="&amp;DATE(2026,8,1),'FUNDED DEALS'!$C$4:$C$1226,"&lt;"&amp;DATE(2026,9,1))+SUMIFS('FUNDED DEALS'!$Y$4:$Y$1226,'FUNDED DEALS'!$W$4:$W$1226,$A27,'FUNDED DEALS'!$C$4:$C$1226,"&gt;="&amp;DATE(2026,8,1),'FUNDED DEALS'!$C$4:$C$1226,"&lt;"&amp;DATE(2026,9,1))+SUMIFS('FUNDED DEALS'!$AB$4:$AB$1226,'FUNDED DEALS'!$Z$4:$Z$1226,$A27,'FUNDED DEALS'!$C$4:$C$1226,"&gt;="&amp;DATE(2026,8,1),'FUNDED DEALS'!$C$4:$C$1226,"&lt;"&amp;DATE(2026,9,1))+SUMIFS('FUNDED DEALS 2027'!$V$4:$V$1226,'FUNDED DEALS 2027'!$T$4:$T$1226,$A27,'FUNDED DEALS 2027'!$C$4:$C$1226,"&gt;="&amp;DATE(2026,8,1),'FUNDED DEALS 2027'!$C$4:$C$1226,"&lt;"&amp;DATE(2026,9,1))+SUMIFS('FUNDED DEALS 2027'!$Y$4:$Y$1226,'FUNDED DEALS 2027'!$W$4:$W$1226,$A27,'FUNDED DEALS 2027'!$C$4:$C$1226,"&gt;="&amp;DATE(2026,8,1),'FUNDED DEALS 2027'!$C$4:$C$1226,"&lt;"&amp;DATE(2026,9,1))+SUMIFS('FUNDED DEALS 2027'!$AB$4:$AB$1226,'FUNDED DEALS 2027'!$Z$4:$Z$1226,$A27,'FUNDED DEALS 2027'!$C$4:$C$1226,"&gt;="&amp;DATE(2026,8,1),'FUNDED DEALS 2027'!$C$4:$C$1226,"&lt;"&amp;DATE(2026,9,1)))</f>
        <v>0</v>
      </c>
      <c r="G27" s="51" t="n">
        <f aca="false">IF($A27="","",SUMIFS('FUNDED DEALS'!$V$4:$V$1226,'FUNDED DEALS'!$T$4:$T$1226,$A27,'FUNDED DEALS'!$C$4:$C$1226,"&gt;="&amp;DATE(2026,9,1),'FUNDED DEALS'!$C$4:$C$1226,"&lt;"&amp;DATE(2026,10,1))+SUMIFS('FUNDED DEALS'!$Y$4:$Y$1226,'FUNDED DEALS'!$W$4:$W$1226,$A27,'FUNDED DEALS'!$C$4:$C$1226,"&gt;="&amp;DATE(2026,9,1),'FUNDED DEALS'!$C$4:$C$1226,"&lt;"&amp;DATE(2026,10,1))+SUMIFS('FUNDED DEALS'!$AB$4:$AB$1226,'FUNDED DEALS'!$Z$4:$Z$1226,$A27,'FUNDED DEALS'!$C$4:$C$1226,"&gt;="&amp;DATE(2026,9,1),'FUNDED DEALS'!$C$4:$C$1226,"&lt;"&amp;DATE(2026,10,1))+SUMIFS('FUNDED DEALS 2027'!$V$4:$V$1226,'FUNDED DEALS 2027'!$T$4:$T$1226,$A27,'FUNDED DEALS 2027'!$C$4:$C$1226,"&gt;="&amp;DATE(2026,9,1),'FUNDED DEALS 2027'!$C$4:$C$1226,"&lt;"&amp;DATE(2026,10,1))+SUMIFS('FUNDED DEALS 2027'!$Y$4:$Y$1226,'FUNDED DEALS 2027'!$W$4:$W$1226,$A27,'FUNDED DEALS 2027'!$C$4:$C$1226,"&gt;="&amp;DATE(2026,9,1),'FUNDED DEALS 2027'!$C$4:$C$1226,"&lt;"&amp;DATE(2026,10,1))+SUMIFS('FUNDED DEALS 2027'!$AB$4:$AB$1226,'FUNDED DEALS 2027'!$Z$4:$Z$1226,$A27,'FUNDED DEALS 2027'!$C$4:$C$1226,"&gt;="&amp;DATE(2026,9,1),'FUNDED DEALS 2027'!$C$4:$C$1226,"&lt;"&amp;DATE(2026,10,1)))</f>
        <v>0</v>
      </c>
      <c r="H27" s="51" t="n">
        <f aca="false">IF($A27="","",SUMIFS('FUNDED DEALS'!$V$4:$V$1226,'FUNDED DEALS'!$T$4:$T$1226,$A27,'FUNDED DEALS'!$C$4:$C$1226,"&gt;="&amp;DATE(2026,10,1),'FUNDED DEALS'!$C$4:$C$1226,"&lt;"&amp;DATE(2026,11,1))+SUMIFS('FUNDED DEALS'!$Y$4:$Y$1226,'FUNDED DEALS'!$W$4:$W$1226,$A27,'FUNDED DEALS'!$C$4:$C$1226,"&gt;="&amp;DATE(2026,10,1),'FUNDED DEALS'!$C$4:$C$1226,"&lt;"&amp;DATE(2026,11,1))+SUMIFS('FUNDED DEALS'!$AB$4:$AB$1226,'FUNDED DEALS'!$Z$4:$Z$1226,$A27,'FUNDED DEALS'!$C$4:$C$1226,"&gt;="&amp;DATE(2026,10,1),'FUNDED DEALS'!$C$4:$C$1226,"&lt;"&amp;DATE(2026,11,1))+SUMIFS('FUNDED DEALS 2027'!$V$4:$V$1226,'FUNDED DEALS 2027'!$T$4:$T$1226,$A27,'FUNDED DEALS 2027'!$C$4:$C$1226,"&gt;="&amp;DATE(2026,10,1),'FUNDED DEALS 2027'!$C$4:$C$1226,"&lt;"&amp;DATE(2026,11,1))+SUMIFS('FUNDED DEALS 2027'!$Y$4:$Y$1226,'FUNDED DEALS 2027'!$W$4:$W$1226,$A27,'FUNDED DEALS 2027'!$C$4:$C$1226,"&gt;="&amp;DATE(2026,10,1),'FUNDED DEALS 2027'!$C$4:$C$1226,"&lt;"&amp;DATE(2026,11,1))+SUMIFS('FUNDED DEALS 2027'!$AB$4:$AB$1226,'FUNDED DEALS 2027'!$Z$4:$Z$1226,$A27,'FUNDED DEALS 2027'!$C$4:$C$1226,"&gt;="&amp;DATE(2026,10,1),'FUNDED DEALS 2027'!$C$4:$C$1226,"&lt;"&amp;DATE(2026,11,1)))</f>
        <v>0</v>
      </c>
      <c r="I27" s="51" t="n">
        <f aca="false">IF($A27="","",SUMIFS('FUNDED DEALS'!$V$4:$V$1226,'FUNDED DEALS'!$T$4:$T$1226,$A27,'FUNDED DEALS'!$C$4:$C$1226,"&gt;="&amp;DATE(2026,11,1),'FUNDED DEALS'!$C$4:$C$1226,"&lt;"&amp;DATE(2026,12,1))+SUMIFS('FUNDED DEALS'!$Y$4:$Y$1226,'FUNDED DEALS'!$W$4:$W$1226,$A27,'FUNDED DEALS'!$C$4:$C$1226,"&gt;="&amp;DATE(2026,11,1),'FUNDED DEALS'!$C$4:$C$1226,"&lt;"&amp;DATE(2026,12,1))+SUMIFS('FUNDED DEALS'!$AB$4:$AB$1226,'FUNDED DEALS'!$Z$4:$Z$1226,$A27,'FUNDED DEALS'!$C$4:$C$1226,"&gt;="&amp;DATE(2026,11,1),'FUNDED DEALS'!$C$4:$C$1226,"&lt;"&amp;DATE(2026,12,1))+SUMIFS('FUNDED DEALS 2027'!$V$4:$V$1226,'FUNDED DEALS 2027'!$T$4:$T$1226,$A27,'FUNDED DEALS 2027'!$C$4:$C$1226,"&gt;="&amp;DATE(2026,11,1),'FUNDED DEALS 2027'!$C$4:$C$1226,"&lt;"&amp;DATE(2026,12,1))+SUMIFS('FUNDED DEALS 2027'!$Y$4:$Y$1226,'FUNDED DEALS 2027'!$W$4:$W$1226,$A27,'FUNDED DEALS 2027'!$C$4:$C$1226,"&gt;="&amp;DATE(2026,11,1),'FUNDED DEALS 2027'!$C$4:$C$1226,"&lt;"&amp;DATE(2026,12,1))+SUMIFS('FUNDED DEALS 2027'!$AB$4:$AB$1226,'FUNDED DEALS 2027'!$Z$4:$Z$1226,$A27,'FUNDED DEALS 2027'!$C$4:$C$1226,"&gt;="&amp;DATE(2026,11,1),'FUNDED DEALS 2027'!$C$4:$C$1226,"&lt;"&amp;DATE(2026,12,1)))</f>
        <v>0</v>
      </c>
      <c r="J27" s="51" t="n">
        <f aca="false">IF($A27="","",SUMIFS('FUNDED DEALS'!$V$4:$V$1226,'FUNDED DEALS'!$T$4:$T$1226,$A27,'FUNDED DEALS'!$C$4:$C$1226,"&gt;="&amp;DATE(2026,12,1),'FUNDED DEALS'!$C$4:$C$1226,"&lt;"&amp;DATE(2027,1,1))+SUMIFS('FUNDED DEALS'!$Y$4:$Y$1226,'FUNDED DEALS'!$W$4:$W$1226,$A27,'FUNDED DEALS'!$C$4:$C$1226,"&gt;="&amp;DATE(2026,12,1),'FUNDED DEALS'!$C$4:$C$1226,"&lt;"&amp;DATE(2027,1,1))+SUMIFS('FUNDED DEALS'!$AB$4:$AB$1226,'FUNDED DEALS'!$Z$4:$Z$1226,$A27,'FUNDED DEALS'!$C$4:$C$1226,"&gt;="&amp;DATE(2026,12,1),'FUNDED DEALS'!$C$4:$C$1226,"&lt;"&amp;DATE(2027,1,1))+SUMIFS('FUNDED DEALS 2027'!$V$4:$V$1226,'FUNDED DEALS 2027'!$T$4:$T$1226,$A27,'FUNDED DEALS 2027'!$C$4:$C$1226,"&gt;="&amp;DATE(2026,12,1),'FUNDED DEALS 2027'!$C$4:$C$1226,"&lt;"&amp;DATE(2027,1,1))+SUMIFS('FUNDED DEALS 2027'!$Y$4:$Y$1226,'FUNDED DEALS 2027'!$W$4:$W$1226,$A27,'FUNDED DEALS 2027'!$C$4:$C$1226,"&gt;="&amp;DATE(2026,12,1),'FUNDED DEALS 2027'!$C$4:$C$1226,"&lt;"&amp;DATE(2027,1,1))+SUMIFS('FUNDED DEALS 2027'!$AB$4:$AB$1226,'FUNDED DEALS 2027'!$Z$4:$Z$1226,$A27,'FUNDED DEALS 2027'!$C$4:$C$1226,"&gt;="&amp;DATE(2026,12,1),'FUNDED DEALS 2027'!$C$4:$C$1226,"&lt;"&amp;DATE(2027,1,1)))</f>
        <v>0</v>
      </c>
      <c r="K27" s="51" t="n">
        <f aca="false">IF($A27="","",SUMIFS('FUNDED DEALS'!$V$4:$V$1226,'FUNDED DEALS'!$T$4:$T$1226,$A27,'FUNDED DEALS'!$C$4:$C$1226,"&gt;="&amp;DATE(2027,1,1),'FUNDED DEALS'!$C$4:$C$1226,"&lt;"&amp;DATE(2027,2,1))+SUMIFS('FUNDED DEALS'!$Y$4:$Y$1226,'FUNDED DEALS'!$W$4:$W$1226,$A27,'FUNDED DEALS'!$C$4:$C$1226,"&gt;="&amp;DATE(2027,1,1),'FUNDED DEALS'!$C$4:$C$1226,"&lt;"&amp;DATE(2027,2,1))+SUMIFS('FUNDED DEALS'!$AB$4:$AB$1226,'FUNDED DEALS'!$Z$4:$Z$1226,$A27,'FUNDED DEALS'!$C$4:$C$1226,"&gt;="&amp;DATE(2027,1,1),'FUNDED DEALS'!$C$4:$C$1226,"&lt;"&amp;DATE(2027,2,1))+SUMIFS('FUNDED DEALS 2027'!$V$4:$V$1226,'FUNDED DEALS 2027'!$T$4:$T$1226,$A27,'FUNDED DEALS 2027'!$C$4:$C$1226,"&gt;="&amp;DATE(2027,1,1),'FUNDED DEALS 2027'!$C$4:$C$1226,"&lt;"&amp;DATE(2027,2,1))+SUMIFS('FUNDED DEALS 2027'!$Y$4:$Y$1226,'FUNDED DEALS 2027'!$W$4:$W$1226,$A27,'FUNDED DEALS 2027'!$C$4:$C$1226,"&gt;="&amp;DATE(2027,1,1),'FUNDED DEALS 2027'!$C$4:$C$1226,"&lt;"&amp;DATE(2027,2,1))+SUMIFS('FUNDED DEALS 2027'!$AB$4:$AB$1226,'FUNDED DEALS 2027'!$Z$4:$Z$1226,$A27,'FUNDED DEALS 2027'!$C$4:$C$1226,"&gt;="&amp;DATE(2027,1,1),'FUNDED DEALS 2027'!$C$4:$C$1226,"&lt;"&amp;DATE(2027,2,1)))</f>
        <v>0</v>
      </c>
      <c r="L27" s="51" t="n">
        <f aca="false">IF($A27="","",SUMIFS('FUNDED DEALS'!$V$4:$V$1226,'FUNDED DEALS'!$T$4:$T$1226,$A27,'FUNDED DEALS'!$C$4:$C$1226,"&gt;="&amp;DATE(2027,2,1),'FUNDED DEALS'!$C$4:$C$1226,"&lt;"&amp;DATE(2027,3,1))+SUMIFS('FUNDED DEALS'!$Y$4:$Y$1226,'FUNDED DEALS'!$W$4:$W$1226,$A27,'FUNDED DEALS'!$C$4:$C$1226,"&gt;="&amp;DATE(2027,2,1),'FUNDED DEALS'!$C$4:$C$1226,"&lt;"&amp;DATE(2027,3,1))+SUMIFS('FUNDED DEALS'!$AB$4:$AB$1226,'FUNDED DEALS'!$Z$4:$Z$1226,$A27,'FUNDED DEALS'!$C$4:$C$1226,"&gt;="&amp;DATE(2027,2,1),'FUNDED DEALS'!$C$4:$C$1226,"&lt;"&amp;DATE(2027,3,1))+SUMIFS('FUNDED DEALS 2027'!$V$4:$V$1226,'FUNDED DEALS 2027'!$T$4:$T$1226,$A27,'FUNDED DEALS 2027'!$C$4:$C$1226,"&gt;="&amp;DATE(2027,2,1),'FUNDED DEALS 2027'!$C$4:$C$1226,"&lt;"&amp;DATE(2027,3,1))+SUMIFS('FUNDED DEALS 2027'!$Y$4:$Y$1226,'FUNDED DEALS 2027'!$W$4:$W$1226,$A27,'FUNDED DEALS 2027'!$C$4:$C$1226,"&gt;="&amp;DATE(2027,2,1),'FUNDED DEALS 2027'!$C$4:$C$1226,"&lt;"&amp;DATE(2027,3,1))+SUMIFS('FUNDED DEALS 2027'!$AB$4:$AB$1226,'FUNDED DEALS 2027'!$Z$4:$Z$1226,$A27,'FUNDED DEALS 2027'!$C$4:$C$1226,"&gt;="&amp;DATE(2027,2,1),'FUNDED DEALS 2027'!$C$4:$C$1226,"&lt;"&amp;DATE(2027,3,1)))</f>
        <v>0</v>
      </c>
      <c r="M27" s="51" t="n">
        <f aca="false">IF($A27="","",SUMIFS('FUNDED DEALS'!$V$4:$V$1226,'FUNDED DEALS'!$T$4:$T$1226,$A27,'FUNDED DEALS'!$C$4:$C$1226,"&gt;="&amp;DATE(2027,3,1),'FUNDED DEALS'!$C$4:$C$1226,"&lt;"&amp;DATE(2027,4,1))+SUMIFS('FUNDED DEALS'!$Y$4:$Y$1226,'FUNDED DEALS'!$W$4:$W$1226,$A27,'FUNDED DEALS'!$C$4:$C$1226,"&gt;="&amp;DATE(2027,3,1),'FUNDED DEALS'!$C$4:$C$1226,"&lt;"&amp;DATE(2027,4,1))+SUMIFS('FUNDED DEALS'!$AB$4:$AB$1226,'FUNDED DEALS'!$Z$4:$Z$1226,$A27,'FUNDED DEALS'!$C$4:$C$1226,"&gt;="&amp;DATE(2027,3,1),'FUNDED DEALS'!$C$4:$C$1226,"&lt;"&amp;DATE(2027,4,1))+SUMIFS('FUNDED DEALS 2027'!$V$4:$V$1226,'FUNDED DEALS 2027'!$T$4:$T$1226,$A27,'FUNDED DEALS 2027'!$C$4:$C$1226,"&gt;="&amp;DATE(2027,3,1),'FUNDED DEALS 2027'!$C$4:$C$1226,"&lt;"&amp;DATE(2027,4,1))+SUMIFS('FUNDED DEALS 2027'!$Y$4:$Y$1226,'FUNDED DEALS 2027'!$W$4:$W$1226,$A27,'FUNDED DEALS 2027'!$C$4:$C$1226,"&gt;="&amp;DATE(2027,3,1),'FUNDED DEALS 2027'!$C$4:$C$1226,"&lt;"&amp;DATE(2027,4,1))+SUMIFS('FUNDED DEALS 2027'!$AB$4:$AB$1226,'FUNDED DEALS 2027'!$Z$4:$Z$1226,$A27,'FUNDED DEALS 2027'!$C$4:$C$1226,"&gt;="&amp;DATE(2027,3,1),'FUNDED DEALS 2027'!$C$4:$C$1226,"&lt;"&amp;DATE(2027,4,1)))</f>
        <v>0</v>
      </c>
      <c r="N27" s="51" t="n">
        <f aca="false">IF($A27="","",SUMIFS('FUNDED DEALS'!$V$4:$V$1226,'FUNDED DEALS'!$T$4:$T$1226,$A27,'FUNDED DEALS'!$C$4:$C$1226,"&gt;="&amp;DATE(2027,4,1),'FUNDED DEALS'!$C$4:$C$1226,"&lt;"&amp;DATE(2027,5,1))+SUMIFS('FUNDED DEALS'!$Y$4:$Y$1226,'FUNDED DEALS'!$W$4:$W$1226,$A27,'FUNDED DEALS'!$C$4:$C$1226,"&gt;="&amp;DATE(2027,4,1),'FUNDED DEALS'!$C$4:$C$1226,"&lt;"&amp;DATE(2027,5,1))+SUMIFS('FUNDED DEALS'!$AB$4:$AB$1226,'FUNDED DEALS'!$Z$4:$Z$1226,$A27,'FUNDED DEALS'!$C$4:$C$1226,"&gt;="&amp;DATE(2027,4,1),'FUNDED DEALS'!$C$4:$C$1226,"&lt;"&amp;DATE(2027,5,1))+SUMIFS('FUNDED DEALS 2027'!$V$4:$V$1226,'FUNDED DEALS 2027'!$T$4:$T$1226,$A27,'FUNDED DEALS 2027'!$C$4:$C$1226,"&gt;="&amp;DATE(2027,4,1),'FUNDED DEALS 2027'!$C$4:$C$1226,"&lt;"&amp;DATE(2027,5,1))+SUMIFS('FUNDED DEALS 2027'!$Y$4:$Y$1226,'FUNDED DEALS 2027'!$W$4:$W$1226,$A27,'FUNDED DEALS 2027'!$C$4:$C$1226,"&gt;="&amp;DATE(2027,4,1),'FUNDED DEALS 2027'!$C$4:$C$1226,"&lt;"&amp;DATE(2027,5,1))+SUMIFS('FUNDED DEALS 2027'!$AB$4:$AB$1226,'FUNDED DEALS 2027'!$Z$4:$Z$1226,$A27,'FUNDED DEALS 2027'!$C$4:$C$1226,"&gt;="&amp;DATE(2027,4,1),'FUNDED DEALS 2027'!$C$4:$C$1226,"&lt;"&amp;DATE(2027,5,1)))</f>
        <v>0</v>
      </c>
      <c r="O27" s="51" t="n">
        <f aca="false">IF($A27="","",SUMIFS('FUNDED DEALS'!$V$4:$V$1226,'FUNDED DEALS'!$T$4:$T$1226,$A27,'FUNDED DEALS'!$C$4:$C$1226,"&gt;="&amp;DATE(2027,5,1),'FUNDED DEALS'!$C$4:$C$1226,"&lt;"&amp;DATE(2027,6,1))+SUMIFS('FUNDED DEALS'!$Y$4:$Y$1226,'FUNDED DEALS'!$W$4:$W$1226,$A27,'FUNDED DEALS'!$C$4:$C$1226,"&gt;="&amp;DATE(2027,5,1),'FUNDED DEALS'!$C$4:$C$1226,"&lt;"&amp;DATE(2027,6,1))+SUMIFS('FUNDED DEALS'!$AB$4:$AB$1226,'FUNDED DEALS'!$Z$4:$Z$1226,$A27,'FUNDED DEALS'!$C$4:$C$1226,"&gt;="&amp;DATE(2027,5,1),'FUNDED DEALS'!$C$4:$C$1226,"&lt;"&amp;DATE(2027,6,1))+SUMIFS('FUNDED DEALS 2027'!$V$4:$V$1226,'FUNDED DEALS 2027'!$T$4:$T$1226,$A27,'FUNDED DEALS 2027'!$C$4:$C$1226,"&gt;="&amp;DATE(2027,5,1),'FUNDED DEALS 2027'!$C$4:$C$1226,"&lt;"&amp;DATE(2027,6,1))+SUMIFS('FUNDED DEALS 2027'!$Y$4:$Y$1226,'FUNDED DEALS 2027'!$W$4:$W$1226,$A27,'FUNDED DEALS 2027'!$C$4:$C$1226,"&gt;="&amp;DATE(2027,5,1),'FUNDED DEALS 2027'!$C$4:$C$1226,"&lt;"&amp;DATE(2027,6,1))+SUMIFS('FUNDED DEALS 2027'!$AB$4:$AB$1226,'FUNDED DEALS 2027'!$Z$4:$Z$1226,$A27,'FUNDED DEALS 2027'!$C$4:$C$1226,"&gt;="&amp;DATE(2027,5,1),'FUNDED DEALS 2027'!$C$4:$C$1226,"&lt;"&amp;DATE(2027,6,1)))</f>
        <v>0</v>
      </c>
      <c r="P27" s="51" t="n">
        <f aca="false">IF($A27="","",SUMIFS('FUNDED DEALS'!$V$4:$V$1226,'FUNDED DEALS'!$T$4:$T$1226,$A27,'FUNDED DEALS'!$C$4:$C$1226,"&gt;="&amp;DATE(2027,6,1),'FUNDED DEALS'!$C$4:$C$1226,"&lt;"&amp;DATE(2027,7,1))+SUMIFS('FUNDED DEALS'!$Y$4:$Y$1226,'FUNDED DEALS'!$W$4:$W$1226,$A27,'FUNDED DEALS'!$C$4:$C$1226,"&gt;="&amp;DATE(2027,6,1),'FUNDED DEALS'!$C$4:$C$1226,"&lt;"&amp;DATE(2027,7,1))+SUMIFS('FUNDED DEALS'!$AB$4:$AB$1226,'FUNDED DEALS'!$Z$4:$Z$1226,$A27,'FUNDED DEALS'!$C$4:$C$1226,"&gt;="&amp;DATE(2027,6,1),'FUNDED DEALS'!$C$4:$C$1226,"&lt;"&amp;DATE(2027,7,1))+SUMIFS('FUNDED DEALS 2027'!$V$4:$V$1226,'FUNDED DEALS 2027'!$T$4:$T$1226,$A27,'FUNDED DEALS 2027'!$C$4:$C$1226,"&gt;="&amp;DATE(2027,6,1),'FUNDED DEALS 2027'!$C$4:$C$1226,"&lt;"&amp;DATE(2027,7,1))+SUMIFS('FUNDED DEALS 2027'!$Y$4:$Y$1226,'FUNDED DEALS 2027'!$W$4:$W$1226,$A27,'FUNDED DEALS 2027'!$C$4:$C$1226,"&gt;="&amp;DATE(2027,6,1),'FUNDED DEALS 2027'!$C$4:$C$1226,"&lt;"&amp;DATE(2027,7,1))+SUMIFS('FUNDED DEALS 2027'!$AB$4:$AB$1226,'FUNDED DEALS 2027'!$Z$4:$Z$1226,$A27,'FUNDED DEALS 2027'!$C$4:$C$1226,"&gt;="&amp;DATE(2027,6,1),'FUNDED DEALS 2027'!$C$4:$C$1226,"&lt;"&amp;DATE(2027,7,1)))</f>
        <v>0</v>
      </c>
      <c r="Q27" s="51" t="n">
        <f aca="false">IF($A27="","",SUMIFS('FUNDED DEALS'!$V$4:$V$1226,'FUNDED DEALS'!$T$4:$T$1226,$A27,'FUNDED DEALS'!$C$4:$C$1226,"&gt;="&amp;DATE(2027,7,1),'FUNDED DEALS'!$C$4:$C$1226,"&lt;"&amp;DATE(2027,8,1))+SUMIFS('FUNDED DEALS'!$Y$4:$Y$1226,'FUNDED DEALS'!$W$4:$W$1226,$A27,'FUNDED DEALS'!$C$4:$C$1226,"&gt;="&amp;DATE(2027,7,1),'FUNDED DEALS'!$C$4:$C$1226,"&lt;"&amp;DATE(2027,8,1))+SUMIFS('FUNDED DEALS'!$AB$4:$AB$1226,'FUNDED DEALS'!$Z$4:$Z$1226,$A27,'FUNDED DEALS'!$C$4:$C$1226,"&gt;="&amp;DATE(2027,7,1),'FUNDED DEALS'!$C$4:$C$1226,"&lt;"&amp;DATE(2027,8,1))+SUMIFS('FUNDED DEALS 2027'!$V$4:$V$1226,'FUNDED DEALS 2027'!$T$4:$T$1226,$A27,'FUNDED DEALS 2027'!$C$4:$C$1226,"&gt;="&amp;DATE(2027,7,1),'FUNDED DEALS 2027'!$C$4:$C$1226,"&lt;"&amp;DATE(2027,8,1))+SUMIFS('FUNDED DEALS 2027'!$Y$4:$Y$1226,'FUNDED DEALS 2027'!$W$4:$W$1226,$A27,'FUNDED DEALS 2027'!$C$4:$C$1226,"&gt;="&amp;DATE(2027,7,1),'FUNDED DEALS 2027'!$C$4:$C$1226,"&lt;"&amp;DATE(2027,8,1))+SUMIFS('FUNDED DEALS 2027'!$AB$4:$AB$1226,'FUNDED DEALS 2027'!$Z$4:$Z$1226,$A27,'FUNDED DEALS 2027'!$C$4:$C$1226,"&gt;="&amp;DATE(2027,7,1),'FUNDED DEALS 2027'!$C$4:$C$1226,"&lt;"&amp;DATE(2027,8,1)))</f>
        <v>0</v>
      </c>
      <c r="R27" s="51" t="n">
        <f aca="false">IF($A27="","",SUMIFS('FUNDED DEALS'!$V$4:$V$1226,'FUNDED DEALS'!$T$4:$T$1226,$A27,'FUNDED DEALS'!$C$4:$C$1226,"&gt;="&amp;DATE(2027,8,1),'FUNDED DEALS'!$C$4:$C$1226,"&lt;"&amp;DATE(2027,9,1))+SUMIFS('FUNDED DEALS'!$Y$4:$Y$1226,'FUNDED DEALS'!$W$4:$W$1226,$A27,'FUNDED DEALS'!$C$4:$C$1226,"&gt;="&amp;DATE(2027,8,1),'FUNDED DEALS'!$C$4:$C$1226,"&lt;"&amp;DATE(2027,9,1))+SUMIFS('FUNDED DEALS'!$AB$4:$AB$1226,'FUNDED DEALS'!$Z$4:$Z$1226,$A27,'FUNDED DEALS'!$C$4:$C$1226,"&gt;="&amp;DATE(2027,8,1),'FUNDED DEALS'!$C$4:$C$1226,"&lt;"&amp;DATE(2027,9,1))+SUMIFS('FUNDED DEALS 2027'!$V$4:$V$1226,'FUNDED DEALS 2027'!$T$4:$T$1226,$A27,'FUNDED DEALS 2027'!$C$4:$C$1226,"&gt;="&amp;DATE(2027,8,1),'FUNDED DEALS 2027'!$C$4:$C$1226,"&lt;"&amp;DATE(2027,9,1))+SUMIFS('FUNDED DEALS 2027'!$Y$4:$Y$1226,'FUNDED DEALS 2027'!$W$4:$W$1226,$A27,'FUNDED DEALS 2027'!$C$4:$C$1226,"&gt;="&amp;DATE(2027,8,1),'FUNDED DEALS 2027'!$C$4:$C$1226,"&lt;"&amp;DATE(2027,9,1))+SUMIFS('FUNDED DEALS 2027'!$AB$4:$AB$1226,'FUNDED DEALS 2027'!$Z$4:$Z$1226,$A27,'FUNDED DEALS 2027'!$C$4:$C$1226,"&gt;="&amp;DATE(2027,8,1),'FUNDED DEALS 2027'!$C$4:$C$1226,"&lt;"&amp;DATE(2027,9,1)))</f>
        <v>0</v>
      </c>
      <c r="S27" s="51" t="n">
        <f aca="false">IF($A27="","",SUMIFS('FUNDED DEALS'!$V$4:$V$1226,'FUNDED DEALS'!$T$4:$T$1226,$A27,'FUNDED DEALS'!$C$4:$C$1226,"&gt;="&amp;DATE(2027,9,1),'FUNDED DEALS'!$C$4:$C$1226,"&lt;"&amp;DATE(2027,10,1))+SUMIFS('FUNDED DEALS'!$Y$4:$Y$1226,'FUNDED DEALS'!$W$4:$W$1226,$A27,'FUNDED DEALS'!$C$4:$C$1226,"&gt;="&amp;DATE(2027,9,1),'FUNDED DEALS'!$C$4:$C$1226,"&lt;"&amp;DATE(2027,10,1))+SUMIFS('FUNDED DEALS'!$AB$4:$AB$1226,'FUNDED DEALS'!$Z$4:$Z$1226,$A27,'FUNDED DEALS'!$C$4:$C$1226,"&gt;="&amp;DATE(2027,9,1),'FUNDED DEALS'!$C$4:$C$1226,"&lt;"&amp;DATE(2027,10,1))+SUMIFS('FUNDED DEALS 2027'!$V$4:$V$1226,'FUNDED DEALS 2027'!$T$4:$T$1226,$A27,'FUNDED DEALS 2027'!$C$4:$C$1226,"&gt;="&amp;DATE(2027,9,1),'FUNDED DEALS 2027'!$C$4:$C$1226,"&lt;"&amp;DATE(2027,10,1))+SUMIFS('FUNDED DEALS 2027'!$Y$4:$Y$1226,'FUNDED DEALS 2027'!$W$4:$W$1226,$A27,'FUNDED DEALS 2027'!$C$4:$C$1226,"&gt;="&amp;DATE(2027,9,1),'FUNDED DEALS 2027'!$C$4:$C$1226,"&lt;"&amp;DATE(2027,10,1))+SUMIFS('FUNDED DEALS 2027'!$AB$4:$AB$1226,'FUNDED DEALS 2027'!$Z$4:$Z$1226,$A27,'FUNDED DEALS 2027'!$C$4:$C$1226,"&gt;="&amp;DATE(2027,9,1),'FUNDED DEALS 2027'!$C$4:$C$1226,"&lt;"&amp;DATE(2027,10,1)))</f>
        <v>0</v>
      </c>
      <c r="T27" s="51" t="n">
        <f aca="false">IF($A27="","",SUMIFS('FUNDED DEALS'!$V$4:$V$1226,'FUNDED DEALS'!$T$4:$T$1226,$A27,'FUNDED DEALS'!$C$4:$C$1226,"&gt;="&amp;DATE(2027,10,1),'FUNDED DEALS'!$C$4:$C$1226,"&lt;"&amp;DATE(2027,11,1))+SUMIFS('FUNDED DEALS'!$Y$4:$Y$1226,'FUNDED DEALS'!$W$4:$W$1226,$A27,'FUNDED DEALS'!$C$4:$C$1226,"&gt;="&amp;DATE(2027,10,1),'FUNDED DEALS'!$C$4:$C$1226,"&lt;"&amp;DATE(2027,11,1))+SUMIFS('FUNDED DEALS'!$AB$4:$AB$1226,'FUNDED DEALS'!$Z$4:$Z$1226,$A27,'FUNDED DEALS'!$C$4:$C$1226,"&gt;="&amp;DATE(2027,10,1),'FUNDED DEALS'!$C$4:$C$1226,"&lt;"&amp;DATE(2027,11,1))+SUMIFS('FUNDED DEALS 2027'!$V$4:$V$1226,'FUNDED DEALS 2027'!$T$4:$T$1226,$A27,'FUNDED DEALS 2027'!$C$4:$C$1226,"&gt;="&amp;DATE(2027,10,1),'FUNDED DEALS 2027'!$C$4:$C$1226,"&lt;"&amp;DATE(2027,11,1))+SUMIFS('FUNDED DEALS 2027'!$Y$4:$Y$1226,'FUNDED DEALS 2027'!$W$4:$W$1226,$A27,'FUNDED DEALS 2027'!$C$4:$C$1226,"&gt;="&amp;DATE(2027,10,1),'FUNDED DEALS 2027'!$C$4:$C$1226,"&lt;"&amp;DATE(2027,11,1))+SUMIFS('FUNDED DEALS 2027'!$AB$4:$AB$1226,'FUNDED DEALS 2027'!$Z$4:$Z$1226,$A27,'FUNDED DEALS 2027'!$C$4:$C$1226,"&gt;="&amp;DATE(2027,10,1),'FUNDED DEALS 2027'!$C$4:$C$1226,"&lt;"&amp;DATE(2027,11,1)))</f>
        <v>0</v>
      </c>
      <c r="U27" s="51" t="n">
        <f aca="false">IF($A27="","",SUMIFS('FUNDED DEALS'!$V$4:$V$1226,'FUNDED DEALS'!$T$4:$T$1226,$A27,'FUNDED DEALS'!$C$4:$C$1226,"&gt;="&amp;DATE(2027,11,1),'FUNDED DEALS'!$C$4:$C$1226,"&lt;"&amp;DATE(2027,12,1))+SUMIFS('FUNDED DEALS'!$Y$4:$Y$1226,'FUNDED DEALS'!$W$4:$W$1226,$A27,'FUNDED DEALS'!$C$4:$C$1226,"&gt;="&amp;DATE(2027,11,1),'FUNDED DEALS'!$C$4:$C$1226,"&lt;"&amp;DATE(2027,12,1))+SUMIFS('FUNDED DEALS'!$AB$4:$AB$1226,'FUNDED DEALS'!$Z$4:$Z$1226,$A27,'FUNDED DEALS'!$C$4:$C$1226,"&gt;="&amp;DATE(2027,11,1),'FUNDED DEALS'!$C$4:$C$1226,"&lt;"&amp;DATE(2027,12,1))+SUMIFS('FUNDED DEALS 2027'!$V$4:$V$1226,'FUNDED DEALS 2027'!$T$4:$T$1226,$A27,'FUNDED DEALS 2027'!$C$4:$C$1226,"&gt;="&amp;DATE(2027,11,1),'FUNDED DEALS 2027'!$C$4:$C$1226,"&lt;"&amp;DATE(2027,12,1))+SUMIFS('FUNDED DEALS 2027'!$Y$4:$Y$1226,'FUNDED DEALS 2027'!$W$4:$W$1226,$A27,'FUNDED DEALS 2027'!$C$4:$C$1226,"&gt;="&amp;DATE(2027,11,1),'FUNDED DEALS 2027'!$C$4:$C$1226,"&lt;"&amp;DATE(2027,12,1))+SUMIFS('FUNDED DEALS 2027'!$AB$4:$AB$1226,'FUNDED DEALS 2027'!$Z$4:$Z$1226,$A27,'FUNDED DEALS 2027'!$C$4:$C$1226,"&gt;="&amp;DATE(2027,11,1),'FUNDED DEALS 2027'!$C$4:$C$1226,"&lt;"&amp;DATE(2027,12,1)))</f>
        <v>0</v>
      </c>
      <c r="V27" s="51" t="n">
        <f aca="false">IF($A27="","",SUMIFS('FUNDED DEALS'!$V$4:$V$1226,'FUNDED DEALS'!$T$4:$T$1226,$A27,'FUNDED DEALS'!$C$4:$C$1226,"&gt;="&amp;DATE(2027,12,1),'FUNDED DEALS'!$C$4:$C$1226,"&lt;"&amp;DATE(2028,1,1))+SUMIFS('FUNDED DEALS'!$Y$4:$Y$1226,'FUNDED DEALS'!$W$4:$W$1226,$A27,'FUNDED DEALS'!$C$4:$C$1226,"&gt;="&amp;DATE(2027,12,1),'FUNDED DEALS'!$C$4:$C$1226,"&lt;"&amp;DATE(2028,1,1))+SUMIFS('FUNDED DEALS'!$AB$4:$AB$1226,'FUNDED DEALS'!$Z$4:$Z$1226,$A27,'FUNDED DEALS'!$C$4:$C$1226,"&gt;="&amp;DATE(2027,12,1),'FUNDED DEALS'!$C$4:$C$1226,"&lt;"&amp;DATE(2028,1,1))+SUMIFS('FUNDED DEALS 2027'!$V$4:$V$1226,'FUNDED DEALS 2027'!$T$4:$T$1226,$A27,'FUNDED DEALS 2027'!$C$4:$C$1226,"&gt;="&amp;DATE(2027,12,1),'FUNDED DEALS 2027'!$C$4:$C$1226,"&lt;"&amp;DATE(2028,1,1))+SUMIFS('FUNDED DEALS 2027'!$Y$4:$Y$1226,'FUNDED DEALS 2027'!$W$4:$W$1226,$A27,'FUNDED DEALS 2027'!$C$4:$C$1226,"&gt;="&amp;DATE(2027,12,1),'FUNDED DEALS 2027'!$C$4:$C$1226,"&lt;"&amp;DATE(2028,1,1))+SUMIFS('FUNDED DEALS 2027'!$AB$4:$AB$1226,'FUNDED DEALS 2027'!$Z$4:$Z$1226,$A27,'FUNDED DEALS 2027'!$C$4:$C$1226,"&gt;="&amp;DATE(2027,12,1),'FUNDED DEALS 2027'!$C$4:$C$1226,"&lt;"&amp;DATE(2028,1,1)))</f>
        <v>0</v>
      </c>
      <c r="W27" s="58" t="n">
        <f aca="false">IF($A27="","",SUM(B27:V27))</f>
        <v>0</v>
      </c>
    </row>
    <row r="28" customFormat="false" ht="15" hidden="false" customHeight="false" outlineLevel="0" collapsed="false">
      <c r="A28" s="47" t="str">
        <f aca="false">IF(REPS!A26="","",REPS!A26)</f>
        <v>Levi Forgash</v>
      </c>
      <c r="B28" s="48" t="n">
        <f aca="false">IF($A28="","",SUMIFS('FUNDED DEALS'!$V$4:$V$1226,'FUNDED DEALS'!$T$4:$T$1226,$A28,'FUNDED DEALS'!$C$4:$C$1226,"&gt;="&amp;DATE(2026,4,1),'FUNDED DEALS'!$C$4:$C$1226,"&lt;"&amp;DATE(2026,5,1))+SUMIFS('FUNDED DEALS'!$Y$4:$Y$1226,'FUNDED DEALS'!$W$4:$W$1226,$A28,'FUNDED DEALS'!$C$4:$C$1226,"&gt;="&amp;DATE(2026,4,1),'FUNDED DEALS'!$C$4:$C$1226,"&lt;"&amp;DATE(2026,5,1))+SUMIFS('FUNDED DEALS'!$AB$4:$AB$1226,'FUNDED DEALS'!$Z$4:$Z$1226,$A28,'FUNDED DEALS'!$C$4:$C$1226,"&gt;="&amp;DATE(2026,4,1),'FUNDED DEALS'!$C$4:$C$1226,"&lt;"&amp;DATE(2026,5,1))+SUMIFS('FUNDED DEALS 2027'!$V$4:$V$1226,'FUNDED DEALS 2027'!$T$4:$T$1226,$A28,'FUNDED DEALS 2027'!$C$4:$C$1226,"&gt;="&amp;DATE(2026,4,1),'FUNDED DEALS 2027'!$C$4:$C$1226,"&lt;"&amp;DATE(2026,5,1))+SUMIFS('FUNDED DEALS 2027'!$Y$4:$Y$1226,'FUNDED DEALS 2027'!$W$4:$W$1226,$A28,'FUNDED DEALS 2027'!$C$4:$C$1226,"&gt;="&amp;DATE(2026,4,1),'FUNDED DEALS 2027'!$C$4:$C$1226,"&lt;"&amp;DATE(2026,5,1))+SUMIFS('FUNDED DEALS 2027'!$AB$4:$AB$1226,'FUNDED DEALS 2027'!$Z$4:$Z$1226,$A28,'FUNDED DEALS 2027'!$C$4:$C$1226,"&gt;="&amp;DATE(2026,4,1),'FUNDED DEALS 2027'!$C$4:$C$1226,"&lt;"&amp;DATE(2026,5,1)))</f>
        <v>0</v>
      </c>
      <c r="C28" s="48" t="n">
        <f aca="false">IF($A28="","",SUMIFS('FUNDED DEALS'!$V$4:$V$1226,'FUNDED DEALS'!$T$4:$T$1226,$A28,'FUNDED DEALS'!$C$4:$C$1226,"&gt;="&amp;DATE(2026,5,1),'FUNDED DEALS'!$C$4:$C$1226,"&lt;"&amp;DATE(2026,6,1))+SUMIFS('FUNDED DEALS'!$Y$4:$Y$1226,'FUNDED DEALS'!$W$4:$W$1226,$A28,'FUNDED DEALS'!$C$4:$C$1226,"&gt;="&amp;DATE(2026,5,1),'FUNDED DEALS'!$C$4:$C$1226,"&lt;"&amp;DATE(2026,6,1))+SUMIFS('FUNDED DEALS'!$AB$4:$AB$1226,'FUNDED DEALS'!$Z$4:$Z$1226,$A28,'FUNDED DEALS'!$C$4:$C$1226,"&gt;="&amp;DATE(2026,5,1),'FUNDED DEALS'!$C$4:$C$1226,"&lt;"&amp;DATE(2026,6,1))+SUMIFS('FUNDED DEALS 2027'!$V$4:$V$1226,'FUNDED DEALS 2027'!$T$4:$T$1226,$A28,'FUNDED DEALS 2027'!$C$4:$C$1226,"&gt;="&amp;DATE(2026,5,1),'FUNDED DEALS 2027'!$C$4:$C$1226,"&lt;"&amp;DATE(2026,6,1))+SUMIFS('FUNDED DEALS 2027'!$Y$4:$Y$1226,'FUNDED DEALS 2027'!$W$4:$W$1226,$A28,'FUNDED DEALS 2027'!$C$4:$C$1226,"&gt;="&amp;DATE(2026,5,1),'FUNDED DEALS 2027'!$C$4:$C$1226,"&lt;"&amp;DATE(2026,6,1))+SUMIFS('FUNDED DEALS 2027'!$AB$4:$AB$1226,'FUNDED DEALS 2027'!$Z$4:$Z$1226,$A28,'FUNDED DEALS 2027'!$C$4:$C$1226,"&gt;="&amp;DATE(2026,5,1),'FUNDED DEALS 2027'!$C$4:$C$1226,"&lt;"&amp;DATE(2026,6,1)))</f>
        <v>0</v>
      </c>
      <c r="D28" s="48" t="n">
        <f aca="false">IF($A28="","",SUMIFS('FUNDED DEALS'!$V$4:$V$1226,'FUNDED DEALS'!$T$4:$T$1226,$A28,'FUNDED DEALS'!$C$4:$C$1226,"&gt;="&amp;DATE(2026,6,1),'FUNDED DEALS'!$C$4:$C$1226,"&lt;"&amp;DATE(2026,7,1))+SUMIFS('FUNDED DEALS'!$Y$4:$Y$1226,'FUNDED DEALS'!$W$4:$W$1226,$A28,'FUNDED DEALS'!$C$4:$C$1226,"&gt;="&amp;DATE(2026,6,1),'FUNDED DEALS'!$C$4:$C$1226,"&lt;"&amp;DATE(2026,7,1))+SUMIFS('FUNDED DEALS'!$AB$4:$AB$1226,'FUNDED DEALS'!$Z$4:$Z$1226,$A28,'FUNDED DEALS'!$C$4:$C$1226,"&gt;="&amp;DATE(2026,6,1),'FUNDED DEALS'!$C$4:$C$1226,"&lt;"&amp;DATE(2026,7,1))+SUMIFS('FUNDED DEALS 2027'!$V$4:$V$1226,'FUNDED DEALS 2027'!$T$4:$T$1226,$A28,'FUNDED DEALS 2027'!$C$4:$C$1226,"&gt;="&amp;DATE(2026,6,1),'FUNDED DEALS 2027'!$C$4:$C$1226,"&lt;"&amp;DATE(2026,7,1))+SUMIFS('FUNDED DEALS 2027'!$Y$4:$Y$1226,'FUNDED DEALS 2027'!$W$4:$W$1226,$A28,'FUNDED DEALS 2027'!$C$4:$C$1226,"&gt;="&amp;DATE(2026,6,1),'FUNDED DEALS 2027'!$C$4:$C$1226,"&lt;"&amp;DATE(2026,7,1))+SUMIFS('FUNDED DEALS 2027'!$AB$4:$AB$1226,'FUNDED DEALS 2027'!$Z$4:$Z$1226,$A28,'FUNDED DEALS 2027'!$C$4:$C$1226,"&gt;="&amp;DATE(2026,6,1),'FUNDED DEALS 2027'!$C$4:$C$1226,"&lt;"&amp;DATE(2026,7,1)))</f>
        <v>0</v>
      </c>
      <c r="E28" s="48" t="n">
        <f aca="false">IF($A28="","",SUMIFS('FUNDED DEALS'!$V$4:$V$1226,'FUNDED DEALS'!$T$4:$T$1226,$A28,'FUNDED DEALS'!$C$4:$C$1226,"&gt;="&amp;DATE(2026,7,1),'FUNDED DEALS'!$C$4:$C$1226,"&lt;"&amp;DATE(2026,8,1))+SUMIFS('FUNDED DEALS'!$Y$4:$Y$1226,'FUNDED DEALS'!$W$4:$W$1226,$A28,'FUNDED DEALS'!$C$4:$C$1226,"&gt;="&amp;DATE(2026,7,1),'FUNDED DEALS'!$C$4:$C$1226,"&lt;"&amp;DATE(2026,8,1))+SUMIFS('FUNDED DEALS'!$AB$4:$AB$1226,'FUNDED DEALS'!$Z$4:$Z$1226,$A28,'FUNDED DEALS'!$C$4:$C$1226,"&gt;="&amp;DATE(2026,7,1),'FUNDED DEALS'!$C$4:$C$1226,"&lt;"&amp;DATE(2026,8,1))+SUMIFS('FUNDED DEALS 2027'!$V$4:$V$1226,'FUNDED DEALS 2027'!$T$4:$T$1226,$A28,'FUNDED DEALS 2027'!$C$4:$C$1226,"&gt;="&amp;DATE(2026,7,1),'FUNDED DEALS 2027'!$C$4:$C$1226,"&lt;"&amp;DATE(2026,8,1))+SUMIFS('FUNDED DEALS 2027'!$Y$4:$Y$1226,'FUNDED DEALS 2027'!$W$4:$W$1226,$A28,'FUNDED DEALS 2027'!$C$4:$C$1226,"&gt;="&amp;DATE(2026,7,1),'FUNDED DEALS 2027'!$C$4:$C$1226,"&lt;"&amp;DATE(2026,8,1))+SUMIFS('FUNDED DEALS 2027'!$AB$4:$AB$1226,'FUNDED DEALS 2027'!$Z$4:$Z$1226,$A28,'FUNDED DEALS 2027'!$C$4:$C$1226,"&gt;="&amp;DATE(2026,7,1),'FUNDED DEALS 2027'!$C$4:$C$1226,"&lt;"&amp;DATE(2026,8,1)))</f>
        <v>0</v>
      </c>
      <c r="F28" s="48" t="n">
        <f aca="false">IF($A28="","",SUMIFS('FUNDED DEALS'!$V$4:$V$1226,'FUNDED DEALS'!$T$4:$T$1226,$A28,'FUNDED DEALS'!$C$4:$C$1226,"&gt;="&amp;DATE(2026,8,1),'FUNDED DEALS'!$C$4:$C$1226,"&lt;"&amp;DATE(2026,9,1))+SUMIFS('FUNDED DEALS'!$Y$4:$Y$1226,'FUNDED DEALS'!$W$4:$W$1226,$A28,'FUNDED DEALS'!$C$4:$C$1226,"&gt;="&amp;DATE(2026,8,1),'FUNDED DEALS'!$C$4:$C$1226,"&lt;"&amp;DATE(2026,9,1))+SUMIFS('FUNDED DEALS'!$AB$4:$AB$1226,'FUNDED DEALS'!$Z$4:$Z$1226,$A28,'FUNDED DEALS'!$C$4:$C$1226,"&gt;="&amp;DATE(2026,8,1),'FUNDED DEALS'!$C$4:$C$1226,"&lt;"&amp;DATE(2026,9,1))+SUMIFS('FUNDED DEALS 2027'!$V$4:$V$1226,'FUNDED DEALS 2027'!$T$4:$T$1226,$A28,'FUNDED DEALS 2027'!$C$4:$C$1226,"&gt;="&amp;DATE(2026,8,1),'FUNDED DEALS 2027'!$C$4:$C$1226,"&lt;"&amp;DATE(2026,9,1))+SUMIFS('FUNDED DEALS 2027'!$Y$4:$Y$1226,'FUNDED DEALS 2027'!$W$4:$W$1226,$A28,'FUNDED DEALS 2027'!$C$4:$C$1226,"&gt;="&amp;DATE(2026,8,1),'FUNDED DEALS 2027'!$C$4:$C$1226,"&lt;"&amp;DATE(2026,9,1))+SUMIFS('FUNDED DEALS 2027'!$AB$4:$AB$1226,'FUNDED DEALS 2027'!$Z$4:$Z$1226,$A28,'FUNDED DEALS 2027'!$C$4:$C$1226,"&gt;="&amp;DATE(2026,8,1),'FUNDED DEALS 2027'!$C$4:$C$1226,"&lt;"&amp;DATE(2026,9,1)))</f>
        <v>0</v>
      </c>
      <c r="G28" s="48" t="n">
        <f aca="false">IF($A28="","",SUMIFS('FUNDED DEALS'!$V$4:$V$1226,'FUNDED DEALS'!$T$4:$T$1226,$A28,'FUNDED DEALS'!$C$4:$C$1226,"&gt;="&amp;DATE(2026,9,1),'FUNDED DEALS'!$C$4:$C$1226,"&lt;"&amp;DATE(2026,10,1))+SUMIFS('FUNDED DEALS'!$Y$4:$Y$1226,'FUNDED DEALS'!$W$4:$W$1226,$A28,'FUNDED DEALS'!$C$4:$C$1226,"&gt;="&amp;DATE(2026,9,1),'FUNDED DEALS'!$C$4:$C$1226,"&lt;"&amp;DATE(2026,10,1))+SUMIFS('FUNDED DEALS'!$AB$4:$AB$1226,'FUNDED DEALS'!$Z$4:$Z$1226,$A28,'FUNDED DEALS'!$C$4:$C$1226,"&gt;="&amp;DATE(2026,9,1),'FUNDED DEALS'!$C$4:$C$1226,"&lt;"&amp;DATE(2026,10,1))+SUMIFS('FUNDED DEALS 2027'!$V$4:$V$1226,'FUNDED DEALS 2027'!$T$4:$T$1226,$A28,'FUNDED DEALS 2027'!$C$4:$C$1226,"&gt;="&amp;DATE(2026,9,1),'FUNDED DEALS 2027'!$C$4:$C$1226,"&lt;"&amp;DATE(2026,10,1))+SUMIFS('FUNDED DEALS 2027'!$Y$4:$Y$1226,'FUNDED DEALS 2027'!$W$4:$W$1226,$A28,'FUNDED DEALS 2027'!$C$4:$C$1226,"&gt;="&amp;DATE(2026,9,1),'FUNDED DEALS 2027'!$C$4:$C$1226,"&lt;"&amp;DATE(2026,10,1))+SUMIFS('FUNDED DEALS 2027'!$AB$4:$AB$1226,'FUNDED DEALS 2027'!$Z$4:$Z$1226,$A28,'FUNDED DEALS 2027'!$C$4:$C$1226,"&gt;="&amp;DATE(2026,9,1),'FUNDED DEALS 2027'!$C$4:$C$1226,"&lt;"&amp;DATE(2026,10,1)))</f>
        <v>0</v>
      </c>
      <c r="H28" s="48" t="n">
        <f aca="false">IF($A28="","",SUMIFS('FUNDED DEALS'!$V$4:$V$1226,'FUNDED DEALS'!$T$4:$T$1226,$A28,'FUNDED DEALS'!$C$4:$C$1226,"&gt;="&amp;DATE(2026,10,1),'FUNDED DEALS'!$C$4:$C$1226,"&lt;"&amp;DATE(2026,11,1))+SUMIFS('FUNDED DEALS'!$Y$4:$Y$1226,'FUNDED DEALS'!$W$4:$W$1226,$A28,'FUNDED DEALS'!$C$4:$C$1226,"&gt;="&amp;DATE(2026,10,1),'FUNDED DEALS'!$C$4:$C$1226,"&lt;"&amp;DATE(2026,11,1))+SUMIFS('FUNDED DEALS'!$AB$4:$AB$1226,'FUNDED DEALS'!$Z$4:$Z$1226,$A28,'FUNDED DEALS'!$C$4:$C$1226,"&gt;="&amp;DATE(2026,10,1),'FUNDED DEALS'!$C$4:$C$1226,"&lt;"&amp;DATE(2026,11,1))+SUMIFS('FUNDED DEALS 2027'!$V$4:$V$1226,'FUNDED DEALS 2027'!$T$4:$T$1226,$A28,'FUNDED DEALS 2027'!$C$4:$C$1226,"&gt;="&amp;DATE(2026,10,1),'FUNDED DEALS 2027'!$C$4:$C$1226,"&lt;"&amp;DATE(2026,11,1))+SUMIFS('FUNDED DEALS 2027'!$Y$4:$Y$1226,'FUNDED DEALS 2027'!$W$4:$W$1226,$A28,'FUNDED DEALS 2027'!$C$4:$C$1226,"&gt;="&amp;DATE(2026,10,1),'FUNDED DEALS 2027'!$C$4:$C$1226,"&lt;"&amp;DATE(2026,11,1))+SUMIFS('FUNDED DEALS 2027'!$AB$4:$AB$1226,'FUNDED DEALS 2027'!$Z$4:$Z$1226,$A28,'FUNDED DEALS 2027'!$C$4:$C$1226,"&gt;="&amp;DATE(2026,10,1),'FUNDED DEALS 2027'!$C$4:$C$1226,"&lt;"&amp;DATE(2026,11,1)))</f>
        <v>0</v>
      </c>
      <c r="I28" s="48" t="n">
        <f aca="false">IF($A28="","",SUMIFS('FUNDED DEALS'!$V$4:$V$1226,'FUNDED DEALS'!$T$4:$T$1226,$A28,'FUNDED DEALS'!$C$4:$C$1226,"&gt;="&amp;DATE(2026,11,1),'FUNDED DEALS'!$C$4:$C$1226,"&lt;"&amp;DATE(2026,12,1))+SUMIFS('FUNDED DEALS'!$Y$4:$Y$1226,'FUNDED DEALS'!$W$4:$W$1226,$A28,'FUNDED DEALS'!$C$4:$C$1226,"&gt;="&amp;DATE(2026,11,1),'FUNDED DEALS'!$C$4:$C$1226,"&lt;"&amp;DATE(2026,12,1))+SUMIFS('FUNDED DEALS'!$AB$4:$AB$1226,'FUNDED DEALS'!$Z$4:$Z$1226,$A28,'FUNDED DEALS'!$C$4:$C$1226,"&gt;="&amp;DATE(2026,11,1),'FUNDED DEALS'!$C$4:$C$1226,"&lt;"&amp;DATE(2026,12,1))+SUMIFS('FUNDED DEALS 2027'!$V$4:$V$1226,'FUNDED DEALS 2027'!$T$4:$T$1226,$A28,'FUNDED DEALS 2027'!$C$4:$C$1226,"&gt;="&amp;DATE(2026,11,1),'FUNDED DEALS 2027'!$C$4:$C$1226,"&lt;"&amp;DATE(2026,12,1))+SUMIFS('FUNDED DEALS 2027'!$Y$4:$Y$1226,'FUNDED DEALS 2027'!$W$4:$W$1226,$A28,'FUNDED DEALS 2027'!$C$4:$C$1226,"&gt;="&amp;DATE(2026,11,1),'FUNDED DEALS 2027'!$C$4:$C$1226,"&lt;"&amp;DATE(2026,12,1))+SUMIFS('FUNDED DEALS 2027'!$AB$4:$AB$1226,'FUNDED DEALS 2027'!$Z$4:$Z$1226,$A28,'FUNDED DEALS 2027'!$C$4:$C$1226,"&gt;="&amp;DATE(2026,11,1),'FUNDED DEALS 2027'!$C$4:$C$1226,"&lt;"&amp;DATE(2026,12,1)))</f>
        <v>0</v>
      </c>
      <c r="J28" s="48" t="n">
        <f aca="false">IF($A28="","",SUMIFS('FUNDED DEALS'!$V$4:$V$1226,'FUNDED DEALS'!$T$4:$T$1226,$A28,'FUNDED DEALS'!$C$4:$C$1226,"&gt;="&amp;DATE(2026,12,1),'FUNDED DEALS'!$C$4:$C$1226,"&lt;"&amp;DATE(2027,1,1))+SUMIFS('FUNDED DEALS'!$Y$4:$Y$1226,'FUNDED DEALS'!$W$4:$W$1226,$A28,'FUNDED DEALS'!$C$4:$C$1226,"&gt;="&amp;DATE(2026,12,1),'FUNDED DEALS'!$C$4:$C$1226,"&lt;"&amp;DATE(2027,1,1))+SUMIFS('FUNDED DEALS'!$AB$4:$AB$1226,'FUNDED DEALS'!$Z$4:$Z$1226,$A28,'FUNDED DEALS'!$C$4:$C$1226,"&gt;="&amp;DATE(2026,12,1),'FUNDED DEALS'!$C$4:$C$1226,"&lt;"&amp;DATE(2027,1,1))+SUMIFS('FUNDED DEALS 2027'!$V$4:$V$1226,'FUNDED DEALS 2027'!$T$4:$T$1226,$A28,'FUNDED DEALS 2027'!$C$4:$C$1226,"&gt;="&amp;DATE(2026,12,1),'FUNDED DEALS 2027'!$C$4:$C$1226,"&lt;"&amp;DATE(2027,1,1))+SUMIFS('FUNDED DEALS 2027'!$Y$4:$Y$1226,'FUNDED DEALS 2027'!$W$4:$W$1226,$A28,'FUNDED DEALS 2027'!$C$4:$C$1226,"&gt;="&amp;DATE(2026,12,1),'FUNDED DEALS 2027'!$C$4:$C$1226,"&lt;"&amp;DATE(2027,1,1))+SUMIFS('FUNDED DEALS 2027'!$AB$4:$AB$1226,'FUNDED DEALS 2027'!$Z$4:$Z$1226,$A28,'FUNDED DEALS 2027'!$C$4:$C$1226,"&gt;="&amp;DATE(2026,12,1),'FUNDED DEALS 2027'!$C$4:$C$1226,"&lt;"&amp;DATE(2027,1,1)))</f>
        <v>0</v>
      </c>
      <c r="K28" s="48" t="n">
        <f aca="false">IF($A28="","",SUMIFS('FUNDED DEALS'!$V$4:$V$1226,'FUNDED DEALS'!$T$4:$T$1226,$A28,'FUNDED DEALS'!$C$4:$C$1226,"&gt;="&amp;DATE(2027,1,1),'FUNDED DEALS'!$C$4:$C$1226,"&lt;"&amp;DATE(2027,2,1))+SUMIFS('FUNDED DEALS'!$Y$4:$Y$1226,'FUNDED DEALS'!$W$4:$W$1226,$A28,'FUNDED DEALS'!$C$4:$C$1226,"&gt;="&amp;DATE(2027,1,1),'FUNDED DEALS'!$C$4:$C$1226,"&lt;"&amp;DATE(2027,2,1))+SUMIFS('FUNDED DEALS'!$AB$4:$AB$1226,'FUNDED DEALS'!$Z$4:$Z$1226,$A28,'FUNDED DEALS'!$C$4:$C$1226,"&gt;="&amp;DATE(2027,1,1),'FUNDED DEALS'!$C$4:$C$1226,"&lt;"&amp;DATE(2027,2,1))+SUMIFS('FUNDED DEALS 2027'!$V$4:$V$1226,'FUNDED DEALS 2027'!$T$4:$T$1226,$A28,'FUNDED DEALS 2027'!$C$4:$C$1226,"&gt;="&amp;DATE(2027,1,1),'FUNDED DEALS 2027'!$C$4:$C$1226,"&lt;"&amp;DATE(2027,2,1))+SUMIFS('FUNDED DEALS 2027'!$Y$4:$Y$1226,'FUNDED DEALS 2027'!$W$4:$W$1226,$A28,'FUNDED DEALS 2027'!$C$4:$C$1226,"&gt;="&amp;DATE(2027,1,1),'FUNDED DEALS 2027'!$C$4:$C$1226,"&lt;"&amp;DATE(2027,2,1))+SUMIFS('FUNDED DEALS 2027'!$AB$4:$AB$1226,'FUNDED DEALS 2027'!$Z$4:$Z$1226,$A28,'FUNDED DEALS 2027'!$C$4:$C$1226,"&gt;="&amp;DATE(2027,1,1),'FUNDED DEALS 2027'!$C$4:$C$1226,"&lt;"&amp;DATE(2027,2,1)))</f>
        <v>0</v>
      </c>
      <c r="L28" s="48" t="n">
        <f aca="false">IF($A28="","",SUMIFS('FUNDED DEALS'!$V$4:$V$1226,'FUNDED DEALS'!$T$4:$T$1226,$A28,'FUNDED DEALS'!$C$4:$C$1226,"&gt;="&amp;DATE(2027,2,1),'FUNDED DEALS'!$C$4:$C$1226,"&lt;"&amp;DATE(2027,3,1))+SUMIFS('FUNDED DEALS'!$Y$4:$Y$1226,'FUNDED DEALS'!$W$4:$W$1226,$A28,'FUNDED DEALS'!$C$4:$C$1226,"&gt;="&amp;DATE(2027,2,1),'FUNDED DEALS'!$C$4:$C$1226,"&lt;"&amp;DATE(2027,3,1))+SUMIFS('FUNDED DEALS'!$AB$4:$AB$1226,'FUNDED DEALS'!$Z$4:$Z$1226,$A28,'FUNDED DEALS'!$C$4:$C$1226,"&gt;="&amp;DATE(2027,2,1),'FUNDED DEALS'!$C$4:$C$1226,"&lt;"&amp;DATE(2027,3,1))+SUMIFS('FUNDED DEALS 2027'!$V$4:$V$1226,'FUNDED DEALS 2027'!$T$4:$T$1226,$A28,'FUNDED DEALS 2027'!$C$4:$C$1226,"&gt;="&amp;DATE(2027,2,1),'FUNDED DEALS 2027'!$C$4:$C$1226,"&lt;"&amp;DATE(2027,3,1))+SUMIFS('FUNDED DEALS 2027'!$Y$4:$Y$1226,'FUNDED DEALS 2027'!$W$4:$W$1226,$A28,'FUNDED DEALS 2027'!$C$4:$C$1226,"&gt;="&amp;DATE(2027,2,1),'FUNDED DEALS 2027'!$C$4:$C$1226,"&lt;"&amp;DATE(2027,3,1))+SUMIFS('FUNDED DEALS 2027'!$AB$4:$AB$1226,'FUNDED DEALS 2027'!$Z$4:$Z$1226,$A28,'FUNDED DEALS 2027'!$C$4:$C$1226,"&gt;="&amp;DATE(2027,2,1),'FUNDED DEALS 2027'!$C$4:$C$1226,"&lt;"&amp;DATE(2027,3,1)))</f>
        <v>0</v>
      </c>
      <c r="M28" s="48" t="n">
        <f aca="false">IF($A28="","",SUMIFS('FUNDED DEALS'!$V$4:$V$1226,'FUNDED DEALS'!$T$4:$T$1226,$A28,'FUNDED DEALS'!$C$4:$C$1226,"&gt;="&amp;DATE(2027,3,1),'FUNDED DEALS'!$C$4:$C$1226,"&lt;"&amp;DATE(2027,4,1))+SUMIFS('FUNDED DEALS'!$Y$4:$Y$1226,'FUNDED DEALS'!$W$4:$W$1226,$A28,'FUNDED DEALS'!$C$4:$C$1226,"&gt;="&amp;DATE(2027,3,1),'FUNDED DEALS'!$C$4:$C$1226,"&lt;"&amp;DATE(2027,4,1))+SUMIFS('FUNDED DEALS'!$AB$4:$AB$1226,'FUNDED DEALS'!$Z$4:$Z$1226,$A28,'FUNDED DEALS'!$C$4:$C$1226,"&gt;="&amp;DATE(2027,3,1),'FUNDED DEALS'!$C$4:$C$1226,"&lt;"&amp;DATE(2027,4,1))+SUMIFS('FUNDED DEALS 2027'!$V$4:$V$1226,'FUNDED DEALS 2027'!$T$4:$T$1226,$A28,'FUNDED DEALS 2027'!$C$4:$C$1226,"&gt;="&amp;DATE(2027,3,1),'FUNDED DEALS 2027'!$C$4:$C$1226,"&lt;"&amp;DATE(2027,4,1))+SUMIFS('FUNDED DEALS 2027'!$Y$4:$Y$1226,'FUNDED DEALS 2027'!$W$4:$W$1226,$A28,'FUNDED DEALS 2027'!$C$4:$C$1226,"&gt;="&amp;DATE(2027,3,1),'FUNDED DEALS 2027'!$C$4:$C$1226,"&lt;"&amp;DATE(2027,4,1))+SUMIFS('FUNDED DEALS 2027'!$AB$4:$AB$1226,'FUNDED DEALS 2027'!$Z$4:$Z$1226,$A28,'FUNDED DEALS 2027'!$C$4:$C$1226,"&gt;="&amp;DATE(2027,3,1),'FUNDED DEALS 2027'!$C$4:$C$1226,"&lt;"&amp;DATE(2027,4,1)))</f>
        <v>0</v>
      </c>
      <c r="N28" s="48" t="n">
        <f aca="false">IF($A28="","",SUMIFS('FUNDED DEALS'!$V$4:$V$1226,'FUNDED DEALS'!$T$4:$T$1226,$A28,'FUNDED DEALS'!$C$4:$C$1226,"&gt;="&amp;DATE(2027,4,1),'FUNDED DEALS'!$C$4:$C$1226,"&lt;"&amp;DATE(2027,5,1))+SUMIFS('FUNDED DEALS'!$Y$4:$Y$1226,'FUNDED DEALS'!$W$4:$W$1226,$A28,'FUNDED DEALS'!$C$4:$C$1226,"&gt;="&amp;DATE(2027,4,1),'FUNDED DEALS'!$C$4:$C$1226,"&lt;"&amp;DATE(2027,5,1))+SUMIFS('FUNDED DEALS'!$AB$4:$AB$1226,'FUNDED DEALS'!$Z$4:$Z$1226,$A28,'FUNDED DEALS'!$C$4:$C$1226,"&gt;="&amp;DATE(2027,4,1),'FUNDED DEALS'!$C$4:$C$1226,"&lt;"&amp;DATE(2027,5,1))+SUMIFS('FUNDED DEALS 2027'!$V$4:$V$1226,'FUNDED DEALS 2027'!$T$4:$T$1226,$A28,'FUNDED DEALS 2027'!$C$4:$C$1226,"&gt;="&amp;DATE(2027,4,1),'FUNDED DEALS 2027'!$C$4:$C$1226,"&lt;"&amp;DATE(2027,5,1))+SUMIFS('FUNDED DEALS 2027'!$Y$4:$Y$1226,'FUNDED DEALS 2027'!$W$4:$W$1226,$A28,'FUNDED DEALS 2027'!$C$4:$C$1226,"&gt;="&amp;DATE(2027,4,1),'FUNDED DEALS 2027'!$C$4:$C$1226,"&lt;"&amp;DATE(2027,5,1))+SUMIFS('FUNDED DEALS 2027'!$AB$4:$AB$1226,'FUNDED DEALS 2027'!$Z$4:$Z$1226,$A28,'FUNDED DEALS 2027'!$C$4:$C$1226,"&gt;="&amp;DATE(2027,4,1),'FUNDED DEALS 2027'!$C$4:$C$1226,"&lt;"&amp;DATE(2027,5,1)))</f>
        <v>0</v>
      </c>
      <c r="O28" s="48" t="n">
        <f aca="false">IF($A28="","",SUMIFS('FUNDED DEALS'!$V$4:$V$1226,'FUNDED DEALS'!$T$4:$T$1226,$A28,'FUNDED DEALS'!$C$4:$C$1226,"&gt;="&amp;DATE(2027,5,1),'FUNDED DEALS'!$C$4:$C$1226,"&lt;"&amp;DATE(2027,6,1))+SUMIFS('FUNDED DEALS'!$Y$4:$Y$1226,'FUNDED DEALS'!$W$4:$W$1226,$A28,'FUNDED DEALS'!$C$4:$C$1226,"&gt;="&amp;DATE(2027,5,1),'FUNDED DEALS'!$C$4:$C$1226,"&lt;"&amp;DATE(2027,6,1))+SUMIFS('FUNDED DEALS'!$AB$4:$AB$1226,'FUNDED DEALS'!$Z$4:$Z$1226,$A28,'FUNDED DEALS'!$C$4:$C$1226,"&gt;="&amp;DATE(2027,5,1),'FUNDED DEALS'!$C$4:$C$1226,"&lt;"&amp;DATE(2027,6,1))+SUMIFS('FUNDED DEALS 2027'!$V$4:$V$1226,'FUNDED DEALS 2027'!$T$4:$T$1226,$A28,'FUNDED DEALS 2027'!$C$4:$C$1226,"&gt;="&amp;DATE(2027,5,1),'FUNDED DEALS 2027'!$C$4:$C$1226,"&lt;"&amp;DATE(2027,6,1))+SUMIFS('FUNDED DEALS 2027'!$Y$4:$Y$1226,'FUNDED DEALS 2027'!$W$4:$W$1226,$A28,'FUNDED DEALS 2027'!$C$4:$C$1226,"&gt;="&amp;DATE(2027,5,1),'FUNDED DEALS 2027'!$C$4:$C$1226,"&lt;"&amp;DATE(2027,6,1))+SUMIFS('FUNDED DEALS 2027'!$AB$4:$AB$1226,'FUNDED DEALS 2027'!$Z$4:$Z$1226,$A28,'FUNDED DEALS 2027'!$C$4:$C$1226,"&gt;="&amp;DATE(2027,5,1),'FUNDED DEALS 2027'!$C$4:$C$1226,"&lt;"&amp;DATE(2027,6,1)))</f>
        <v>0</v>
      </c>
      <c r="P28" s="48" t="n">
        <f aca="false">IF($A28="","",SUMIFS('FUNDED DEALS'!$V$4:$V$1226,'FUNDED DEALS'!$T$4:$T$1226,$A28,'FUNDED DEALS'!$C$4:$C$1226,"&gt;="&amp;DATE(2027,6,1),'FUNDED DEALS'!$C$4:$C$1226,"&lt;"&amp;DATE(2027,7,1))+SUMIFS('FUNDED DEALS'!$Y$4:$Y$1226,'FUNDED DEALS'!$W$4:$W$1226,$A28,'FUNDED DEALS'!$C$4:$C$1226,"&gt;="&amp;DATE(2027,6,1),'FUNDED DEALS'!$C$4:$C$1226,"&lt;"&amp;DATE(2027,7,1))+SUMIFS('FUNDED DEALS'!$AB$4:$AB$1226,'FUNDED DEALS'!$Z$4:$Z$1226,$A28,'FUNDED DEALS'!$C$4:$C$1226,"&gt;="&amp;DATE(2027,6,1),'FUNDED DEALS'!$C$4:$C$1226,"&lt;"&amp;DATE(2027,7,1))+SUMIFS('FUNDED DEALS 2027'!$V$4:$V$1226,'FUNDED DEALS 2027'!$T$4:$T$1226,$A28,'FUNDED DEALS 2027'!$C$4:$C$1226,"&gt;="&amp;DATE(2027,6,1),'FUNDED DEALS 2027'!$C$4:$C$1226,"&lt;"&amp;DATE(2027,7,1))+SUMIFS('FUNDED DEALS 2027'!$Y$4:$Y$1226,'FUNDED DEALS 2027'!$W$4:$W$1226,$A28,'FUNDED DEALS 2027'!$C$4:$C$1226,"&gt;="&amp;DATE(2027,6,1),'FUNDED DEALS 2027'!$C$4:$C$1226,"&lt;"&amp;DATE(2027,7,1))+SUMIFS('FUNDED DEALS 2027'!$AB$4:$AB$1226,'FUNDED DEALS 2027'!$Z$4:$Z$1226,$A28,'FUNDED DEALS 2027'!$C$4:$C$1226,"&gt;="&amp;DATE(2027,6,1),'FUNDED DEALS 2027'!$C$4:$C$1226,"&lt;"&amp;DATE(2027,7,1)))</f>
        <v>0</v>
      </c>
      <c r="Q28" s="48" t="n">
        <f aca="false">IF($A28="","",SUMIFS('FUNDED DEALS'!$V$4:$V$1226,'FUNDED DEALS'!$T$4:$T$1226,$A28,'FUNDED DEALS'!$C$4:$C$1226,"&gt;="&amp;DATE(2027,7,1),'FUNDED DEALS'!$C$4:$C$1226,"&lt;"&amp;DATE(2027,8,1))+SUMIFS('FUNDED DEALS'!$Y$4:$Y$1226,'FUNDED DEALS'!$W$4:$W$1226,$A28,'FUNDED DEALS'!$C$4:$C$1226,"&gt;="&amp;DATE(2027,7,1),'FUNDED DEALS'!$C$4:$C$1226,"&lt;"&amp;DATE(2027,8,1))+SUMIFS('FUNDED DEALS'!$AB$4:$AB$1226,'FUNDED DEALS'!$Z$4:$Z$1226,$A28,'FUNDED DEALS'!$C$4:$C$1226,"&gt;="&amp;DATE(2027,7,1),'FUNDED DEALS'!$C$4:$C$1226,"&lt;"&amp;DATE(2027,8,1))+SUMIFS('FUNDED DEALS 2027'!$V$4:$V$1226,'FUNDED DEALS 2027'!$T$4:$T$1226,$A28,'FUNDED DEALS 2027'!$C$4:$C$1226,"&gt;="&amp;DATE(2027,7,1),'FUNDED DEALS 2027'!$C$4:$C$1226,"&lt;"&amp;DATE(2027,8,1))+SUMIFS('FUNDED DEALS 2027'!$Y$4:$Y$1226,'FUNDED DEALS 2027'!$W$4:$W$1226,$A28,'FUNDED DEALS 2027'!$C$4:$C$1226,"&gt;="&amp;DATE(2027,7,1),'FUNDED DEALS 2027'!$C$4:$C$1226,"&lt;"&amp;DATE(2027,8,1))+SUMIFS('FUNDED DEALS 2027'!$AB$4:$AB$1226,'FUNDED DEALS 2027'!$Z$4:$Z$1226,$A28,'FUNDED DEALS 2027'!$C$4:$C$1226,"&gt;="&amp;DATE(2027,7,1),'FUNDED DEALS 2027'!$C$4:$C$1226,"&lt;"&amp;DATE(2027,8,1)))</f>
        <v>0</v>
      </c>
      <c r="R28" s="48" t="n">
        <f aca="false">IF($A28="","",SUMIFS('FUNDED DEALS'!$V$4:$V$1226,'FUNDED DEALS'!$T$4:$T$1226,$A28,'FUNDED DEALS'!$C$4:$C$1226,"&gt;="&amp;DATE(2027,8,1),'FUNDED DEALS'!$C$4:$C$1226,"&lt;"&amp;DATE(2027,9,1))+SUMIFS('FUNDED DEALS'!$Y$4:$Y$1226,'FUNDED DEALS'!$W$4:$W$1226,$A28,'FUNDED DEALS'!$C$4:$C$1226,"&gt;="&amp;DATE(2027,8,1),'FUNDED DEALS'!$C$4:$C$1226,"&lt;"&amp;DATE(2027,9,1))+SUMIFS('FUNDED DEALS'!$AB$4:$AB$1226,'FUNDED DEALS'!$Z$4:$Z$1226,$A28,'FUNDED DEALS'!$C$4:$C$1226,"&gt;="&amp;DATE(2027,8,1),'FUNDED DEALS'!$C$4:$C$1226,"&lt;"&amp;DATE(2027,9,1))+SUMIFS('FUNDED DEALS 2027'!$V$4:$V$1226,'FUNDED DEALS 2027'!$T$4:$T$1226,$A28,'FUNDED DEALS 2027'!$C$4:$C$1226,"&gt;="&amp;DATE(2027,8,1),'FUNDED DEALS 2027'!$C$4:$C$1226,"&lt;"&amp;DATE(2027,9,1))+SUMIFS('FUNDED DEALS 2027'!$Y$4:$Y$1226,'FUNDED DEALS 2027'!$W$4:$W$1226,$A28,'FUNDED DEALS 2027'!$C$4:$C$1226,"&gt;="&amp;DATE(2027,8,1),'FUNDED DEALS 2027'!$C$4:$C$1226,"&lt;"&amp;DATE(2027,9,1))+SUMIFS('FUNDED DEALS 2027'!$AB$4:$AB$1226,'FUNDED DEALS 2027'!$Z$4:$Z$1226,$A28,'FUNDED DEALS 2027'!$C$4:$C$1226,"&gt;="&amp;DATE(2027,8,1),'FUNDED DEALS 2027'!$C$4:$C$1226,"&lt;"&amp;DATE(2027,9,1)))</f>
        <v>0</v>
      </c>
      <c r="S28" s="48" t="n">
        <f aca="false">IF($A28="","",SUMIFS('FUNDED DEALS'!$V$4:$V$1226,'FUNDED DEALS'!$T$4:$T$1226,$A28,'FUNDED DEALS'!$C$4:$C$1226,"&gt;="&amp;DATE(2027,9,1),'FUNDED DEALS'!$C$4:$C$1226,"&lt;"&amp;DATE(2027,10,1))+SUMIFS('FUNDED DEALS'!$Y$4:$Y$1226,'FUNDED DEALS'!$W$4:$W$1226,$A28,'FUNDED DEALS'!$C$4:$C$1226,"&gt;="&amp;DATE(2027,9,1),'FUNDED DEALS'!$C$4:$C$1226,"&lt;"&amp;DATE(2027,10,1))+SUMIFS('FUNDED DEALS'!$AB$4:$AB$1226,'FUNDED DEALS'!$Z$4:$Z$1226,$A28,'FUNDED DEALS'!$C$4:$C$1226,"&gt;="&amp;DATE(2027,9,1),'FUNDED DEALS'!$C$4:$C$1226,"&lt;"&amp;DATE(2027,10,1))+SUMIFS('FUNDED DEALS 2027'!$V$4:$V$1226,'FUNDED DEALS 2027'!$T$4:$T$1226,$A28,'FUNDED DEALS 2027'!$C$4:$C$1226,"&gt;="&amp;DATE(2027,9,1),'FUNDED DEALS 2027'!$C$4:$C$1226,"&lt;"&amp;DATE(2027,10,1))+SUMIFS('FUNDED DEALS 2027'!$Y$4:$Y$1226,'FUNDED DEALS 2027'!$W$4:$W$1226,$A28,'FUNDED DEALS 2027'!$C$4:$C$1226,"&gt;="&amp;DATE(2027,9,1),'FUNDED DEALS 2027'!$C$4:$C$1226,"&lt;"&amp;DATE(2027,10,1))+SUMIFS('FUNDED DEALS 2027'!$AB$4:$AB$1226,'FUNDED DEALS 2027'!$Z$4:$Z$1226,$A28,'FUNDED DEALS 2027'!$C$4:$C$1226,"&gt;="&amp;DATE(2027,9,1),'FUNDED DEALS 2027'!$C$4:$C$1226,"&lt;"&amp;DATE(2027,10,1)))</f>
        <v>0</v>
      </c>
      <c r="T28" s="48" t="n">
        <f aca="false">IF($A28="","",SUMIFS('FUNDED DEALS'!$V$4:$V$1226,'FUNDED DEALS'!$T$4:$T$1226,$A28,'FUNDED DEALS'!$C$4:$C$1226,"&gt;="&amp;DATE(2027,10,1),'FUNDED DEALS'!$C$4:$C$1226,"&lt;"&amp;DATE(2027,11,1))+SUMIFS('FUNDED DEALS'!$Y$4:$Y$1226,'FUNDED DEALS'!$W$4:$W$1226,$A28,'FUNDED DEALS'!$C$4:$C$1226,"&gt;="&amp;DATE(2027,10,1),'FUNDED DEALS'!$C$4:$C$1226,"&lt;"&amp;DATE(2027,11,1))+SUMIFS('FUNDED DEALS'!$AB$4:$AB$1226,'FUNDED DEALS'!$Z$4:$Z$1226,$A28,'FUNDED DEALS'!$C$4:$C$1226,"&gt;="&amp;DATE(2027,10,1),'FUNDED DEALS'!$C$4:$C$1226,"&lt;"&amp;DATE(2027,11,1))+SUMIFS('FUNDED DEALS 2027'!$V$4:$V$1226,'FUNDED DEALS 2027'!$T$4:$T$1226,$A28,'FUNDED DEALS 2027'!$C$4:$C$1226,"&gt;="&amp;DATE(2027,10,1),'FUNDED DEALS 2027'!$C$4:$C$1226,"&lt;"&amp;DATE(2027,11,1))+SUMIFS('FUNDED DEALS 2027'!$Y$4:$Y$1226,'FUNDED DEALS 2027'!$W$4:$W$1226,$A28,'FUNDED DEALS 2027'!$C$4:$C$1226,"&gt;="&amp;DATE(2027,10,1),'FUNDED DEALS 2027'!$C$4:$C$1226,"&lt;"&amp;DATE(2027,11,1))+SUMIFS('FUNDED DEALS 2027'!$AB$4:$AB$1226,'FUNDED DEALS 2027'!$Z$4:$Z$1226,$A28,'FUNDED DEALS 2027'!$C$4:$C$1226,"&gt;="&amp;DATE(2027,10,1),'FUNDED DEALS 2027'!$C$4:$C$1226,"&lt;"&amp;DATE(2027,11,1)))</f>
        <v>0</v>
      </c>
      <c r="U28" s="48" t="n">
        <f aca="false">IF($A28="","",SUMIFS('FUNDED DEALS'!$V$4:$V$1226,'FUNDED DEALS'!$T$4:$T$1226,$A28,'FUNDED DEALS'!$C$4:$C$1226,"&gt;="&amp;DATE(2027,11,1),'FUNDED DEALS'!$C$4:$C$1226,"&lt;"&amp;DATE(2027,12,1))+SUMIFS('FUNDED DEALS'!$Y$4:$Y$1226,'FUNDED DEALS'!$W$4:$W$1226,$A28,'FUNDED DEALS'!$C$4:$C$1226,"&gt;="&amp;DATE(2027,11,1),'FUNDED DEALS'!$C$4:$C$1226,"&lt;"&amp;DATE(2027,12,1))+SUMIFS('FUNDED DEALS'!$AB$4:$AB$1226,'FUNDED DEALS'!$Z$4:$Z$1226,$A28,'FUNDED DEALS'!$C$4:$C$1226,"&gt;="&amp;DATE(2027,11,1),'FUNDED DEALS'!$C$4:$C$1226,"&lt;"&amp;DATE(2027,12,1))+SUMIFS('FUNDED DEALS 2027'!$V$4:$V$1226,'FUNDED DEALS 2027'!$T$4:$T$1226,$A28,'FUNDED DEALS 2027'!$C$4:$C$1226,"&gt;="&amp;DATE(2027,11,1),'FUNDED DEALS 2027'!$C$4:$C$1226,"&lt;"&amp;DATE(2027,12,1))+SUMIFS('FUNDED DEALS 2027'!$Y$4:$Y$1226,'FUNDED DEALS 2027'!$W$4:$W$1226,$A28,'FUNDED DEALS 2027'!$C$4:$C$1226,"&gt;="&amp;DATE(2027,11,1),'FUNDED DEALS 2027'!$C$4:$C$1226,"&lt;"&amp;DATE(2027,12,1))+SUMIFS('FUNDED DEALS 2027'!$AB$4:$AB$1226,'FUNDED DEALS 2027'!$Z$4:$Z$1226,$A28,'FUNDED DEALS 2027'!$C$4:$C$1226,"&gt;="&amp;DATE(2027,11,1),'FUNDED DEALS 2027'!$C$4:$C$1226,"&lt;"&amp;DATE(2027,12,1)))</f>
        <v>0</v>
      </c>
      <c r="V28" s="48" t="n">
        <f aca="false">IF($A28="","",SUMIFS('FUNDED DEALS'!$V$4:$V$1226,'FUNDED DEALS'!$T$4:$T$1226,$A28,'FUNDED DEALS'!$C$4:$C$1226,"&gt;="&amp;DATE(2027,12,1),'FUNDED DEALS'!$C$4:$C$1226,"&lt;"&amp;DATE(2028,1,1))+SUMIFS('FUNDED DEALS'!$Y$4:$Y$1226,'FUNDED DEALS'!$W$4:$W$1226,$A28,'FUNDED DEALS'!$C$4:$C$1226,"&gt;="&amp;DATE(2027,12,1),'FUNDED DEALS'!$C$4:$C$1226,"&lt;"&amp;DATE(2028,1,1))+SUMIFS('FUNDED DEALS'!$AB$4:$AB$1226,'FUNDED DEALS'!$Z$4:$Z$1226,$A28,'FUNDED DEALS'!$C$4:$C$1226,"&gt;="&amp;DATE(2027,12,1),'FUNDED DEALS'!$C$4:$C$1226,"&lt;"&amp;DATE(2028,1,1))+SUMIFS('FUNDED DEALS 2027'!$V$4:$V$1226,'FUNDED DEALS 2027'!$T$4:$T$1226,$A28,'FUNDED DEALS 2027'!$C$4:$C$1226,"&gt;="&amp;DATE(2027,12,1),'FUNDED DEALS 2027'!$C$4:$C$1226,"&lt;"&amp;DATE(2028,1,1))+SUMIFS('FUNDED DEALS 2027'!$Y$4:$Y$1226,'FUNDED DEALS 2027'!$W$4:$W$1226,$A28,'FUNDED DEALS 2027'!$C$4:$C$1226,"&gt;="&amp;DATE(2027,12,1),'FUNDED DEALS 2027'!$C$4:$C$1226,"&lt;"&amp;DATE(2028,1,1))+SUMIFS('FUNDED DEALS 2027'!$AB$4:$AB$1226,'FUNDED DEALS 2027'!$Z$4:$Z$1226,$A28,'FUNDED DEALS 2027'!$C$4:$C$1226,"&gt;="&amp;DATE(2027,12,1),'FUNDED DEALS 2027'!$C$4:$C$1226,"&lt;"&amp;DATE(2028,1,1)))</f>
        <v>0</v>
      </c>
      <c r="W28" s="56" t="n">
        <f aca="false">IF($A28="","",SUM(B28:V28))</f>
        <v>0</v>
      </c>
    </row>
    <row r="29" customFormat="false" ht="15" hidden="false" customHeight="false" outlineLevel="0" collapsed="false">
      <c r="A29" s="63" t="s">
        <v>98</v>
      </c>
      <c r="B29" s="64" t="n">
        <f aca="false">SUM(B4:B28)</f>
        <v>0</v>
      </c>
      <c r="C29" s="64" t="n">
        <f aca="false">SUM(C4:C28)</f>
        <v>0</v>
      </c>
      <c r="D29" s="64" t="n">
        <f aca="false">SUM(D4:D28)</f>
        <v>0</v>
      </c>
      <c r="E29" s="64" t="n">
        <f aca="false">SUM(E4:E28)</f>
        <v>0</v>
      </c>
      <c r="F29" s="64" t="n">
        <f aca="false">SUM(F4:F28)</f>
        <v>0</v>
      </c>
      <c r="G29" s="64" t="n">
        <f aca="false">SUM(G4:G28)</f>
        <v>0</v>
      </c>
      <c r="H29" s="64" t="n">
        <f aca="false">SUM(H4:H28)</f>
        <v>0</v>
      </c>
      <c r="I29" s="64" t="n">
        <f aca="false">SUM(I4:I28)</f>
        <v>0</v>
      </c>
      <c r="J29" s="64" t="n">
        <f aca="false">SUM(J4:J28)</f>
        <v>0</v>
      </c>
      <c r="K29" s="64" t="n">
        <f aca="false">SUM(K4:K28)</f>
        <v>0</v>
      </c>
      <c r="L29" s="64" t="n">
        <f aca="false">SUM(L4:L28)</f>
        <v>0</v>
      </c>
      <c r="M29" s="64" t="n">
        <f aca="false">SUM(M4:M28)</f>
        <v>0</v>
      </c>
      <c r="N29" s="64" t="n">
        <f aca="false">SUM(N4:N28)</f>
        <v>0</v>
      </c>
      <c r="O29" s="64" t="n">
        <f aca="false">SUM(O4:O28)</f>
        <v>0</v>
      </c>
      <c r="P29" s="64" t="n">
        <f aca="false">SUM(P4:P28)</f>
        <v>0</v>
      </c>
      <c r="Q29" s="64" t="n">
        <f aca="false">SUM(Q4:Q28)</f>
        <v>0</v>
      </c>
      <c r="R29" s="64" t="n">
        <f aca="false">SUM(R4:R28)</f>
        <v>0</v>
      </c>
      <c r="S29" s="64" t="n">
        <f aca="false">SUM(S4:S28)</f>
        <v>0</v>
      </c>
      <c r="T29" s="64" t="n">
        <f aca="false">SUM(T4:T28)</f>
        <v>0</v>
      </c>
      <c r="U29" s="64" t="n">
        <f aca="false">SUM(U4:U28)</f>
        <v>0</v>
      </c>
      <c r="V29" s="64" t="n">
        <f aca="false">SUM(V4:V28)</f>
        <v>0</v>
      </c>
      <c r="W29" s="64" t="n">
        <f aca="false">SUM(W4:W28)</f>
        <v>0</v>
      </c>
    </row>
  </sheetData>
  <sheetProtection sheet="true"/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11" min="7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73" t="s">
        <v>149</v>
      </c>
    </row>
    <row r="2" customFormat="false" ht="15" hidden="false" customHeight="false" outlineLevel="0" collapsed="false">
      <c r="A2" s="41" t="s">
        <v>150</v>
      </c>
    </row>
    <row r="4" customFormat="false" ht="37.5" hidden="false" customHeight="true" outlineLevel="0" collapsed="false">
      <c r="A4" s="5" t="s">
        <v>1</v>
      </c>
      <c r="B4" s="5" t="s">
        <v>4</v>
      </c>
      <c r="C4" s="5" t="s">
        <v>5</v>
      </c>
      <c r="D4" s="5" t="s">
        <v>6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  <c r="J4" s="5" t="s">
        <v>156</v>
      </c>
      <c r="K4" s="5" t="s">
        <v>97</v>
      </c>
      <c r="L4" s="5" t="s">
        <v>31</v>
      </c>
      <c r="M4" s="5" t="s">
        <v>157</v>
      </c>
    </row>
    <row r="5" customFormat="false" ht="15" hidden="false" customHeight="false" outlineLevel="0" collapsed="false">
      <c r="A5" s="74" t="str">
        <f aca="false">IFERROR(IF(1&lt;='FUNDED DEALS'!$AX$920,INDEX('FUNDED DEALS'!$A:$A,MATCH(1,'FUNDED DEALS'!$AX$3:$AX$920,0)+2),INDEX('FUNDED DEALS 2027'!$A:$A,MATCH(1-'FUNDED DEALS'!$AX$920,'FUNDED DEALS 2027'!$AX$3:$AX$1226,0)+2)),"")</f>
        <v/>
      </c>
      <c r="B5" s="57" t="str">
        <f aca="false">IF($A5="","",IFERROR(INDEX('FUNDED DEALS'!$D$4:$D$1226,MATCH($A5,'FUNDED DEALS'!$A$4:$A$1226,0)),IFERROR(INDEX('FUNDED DEALS 2027'!$D$4:$D$1226,MATCH($A5,'FUNDED DEALS 2027'!$A$4:$A$1226,0)),"not found")))</f>
        <v/>
      </c>
      <c r="C5" s="57" t="str">
        <f aca="false">IF($A5="","",IFERROR(INDEX('FUNDED DEALS'!$E$4:$E$1226,MATCH($A5,'FUNDED DEALS'!$A$4:$A$1226,0)),IFERROR(INDEX('FUNDED DEALS 2027'!$E$4:$E$1226,MATCH($A5,'FUNDED DEALS 2027'!$A$4:$A$1226,0)),"not found")))</f>
        <v/>
      </c>
      <c r="D5" s="57" t="str">
        <f aca="false">IF($A5="","",IFERROR(INDEX('FUNDED DEALS'!$F$4:$F$1226,MATCH($A5,'FUNDED DEALS'!$A$4:$A$1226,0)),IFERROR(INDEX('FUNDED DEALS 2027'!$F$4:$F$1226,MATCH($A5,'FUNDED DEALS 2027'!$A$4:$A$1226,0)),"not found")))</f>
        <v/>
      </c>
      <c r="E5" s="75" t="str">
        <f aca="false">IF($A5="","",COUNTIFS('FUNDED DEALS'!$B$4:$B$1226,$A5,'FUNDED DEALS'!$A$4:$A$1226,"&lt;&gt;"&amp;$A5)+COUNTIFS('FUNDED DEALS 2027'!$B$4:$B$1226,$A5,'FUNDED DEALS 2027'!$A$4:$A$1226,"&lt;&gt;"&amp;$A5))</f>
        <v/>
      </c>
      <c r="F5" s="76" t="str">
        <f aca="false">IF($A5="","",SUMIF('FUNDED DEALS'!$A$4:$A$1226,$A5,'FUNDED DEALS'!$G$4:$G$1226)+SUMIFS('FUNDED DEALS'!$G$4:$G$1226,'FUNDED DEALS'!$B$4:$B$1226,$A5,'FUNDED DEALS'!$A$4:$A$1226,"&lt;&gt;"&amp;$A5)+SUMIF('FUNDED DEALS 2027'!$A$4:$A$1226,$A5,'FUNDED DEALS 2027'!$G$4:$G$1226)+SUMIFS('FUNDED DEALS 2027'!$G$4:$G$1226,'FUNDED DEALS 2027'!$B$4:$B$1226,$A5,'FUNDED DEALS 2027'!$A$4:$A$1226,"&lt;&gt;"&amp;$A5))</f>
        <v/>
      </c>
      <c r="G5" s="76" t="str">
        <f aca="false">IF($A5="","",SUMIF('FUNDED DEALS'!$A$4:$A$1226,$A5,'FUNDED DEALS'!$O$4:$O$1226)+SUMIFS('FUNDED DEALS'!$O$4:$O$1226,'FUNDED DEALS'!$B$4:$B$1226,$A5,'FUNDED DEALS'!$A$4:$A$1226,"&lt;&gt;"&amp;$A5)+SUMIF('FUNDED DEALS 2027'!$A$4:$A$1226,$A5,'FUNDED DEALS 2027'!$O$4:$O$1226)+SUMIFS('FUNDED DEALS 2027'!$O$4:$O$1226,'FUNDED DEALS 2027'!$B$4:$B$1226,$A5,'FUNDED DEALS 2027'!$A$4:$A$1226,"&lt;&gt;"&amp;$A5))</f>
        <v/>
      </c>
      <c r="H5" s="76" t="str">
        <f aca="false">IF($A5="","",SUMIF('FUNDED DEALS'!$A$4:$A$1226,$A5,'FUNDED DEALS'!$AC$4:$AC$1226)+SUMIFS('FUNDED DEALS'!$AC$4:$AC$1226,'FUNDED DEALS'!$B$4:$B$1226,$A5,'FUNDED DEALS'!$A$4:$A$1226,"&lt;&gt;"&amp;$A5)+SUMIF('FUNDED DEALS 2027'!$A$4:$A$1226,$A5,'FUNDED DEALS 2027'!$AC$4:$AC$1226)+SUMIFS('FUNDED DEALS 2027'!$AC$4:$AC$1226,'FUNDED DEALS 2027'!$B$4:$B$1226,$A5,'FUNDED DEALS 2027'!$A$4:$A$1226,"&lt;&gt;"&amp;$A5))</f>
        <v/>
      </c>
      <c r="I5" s="76" t="str">
        <f aca="false">IF($A5="","",SUMIF('FUNDED DEALS'!$A$4:$A$1226,$A5,'FUNDED DEALS'!$AD$4:$AD$1226)+SUMIFS('FUNDED DEALS'!$AD$4:$AD$1226,'FUNDED DEALS'!$B$4:$B$1226,$A5,'FUNDED DEALS'!$A$4:$A$1226,"&lt;&gt;"&amp;$A5)+SUMIF('FUNDED DEALS 2027'!$A$4:$A$1226,$A5,'FUNDED DEALS 2027'!$AD$4:$AD$1226)+SUMIFS('FUNDED DEALS 2027'!$AD$4:$AD$1226,'FUNDED DEALS 2027'!$B$4:$B$1226,$A5,'FUNDED DEALS 2027'!$A$4:$A$1226,"&lt;&gt;"&amp;$A5))</f>
        <v/>
      </c>
      <c r="J5" s="76" t="str">
        <f aca="false">IF($A5="","",SUMIFS('FUNDED DEALS'!$O$4:$O$1226,'FUNDED DEALS'!$A$4:$A$1226,$A5,'FUNDED DEALS'!$AM$4:$AM$1226,"YES - Paid In Full")+SUMIFS('FUNDED DEALS'!$O$4:$O$1226,'FUNDED DEALS'!$B$4:$B$1226,$A5,'FUNDED DEALS'!$AM$4:$AM$1226,"YES - Paid In Full",'FUNDED DEALS'!$A$4:$A$1226,"&lt;&gt;"&amp;$A5)+SUMIFS('FUNDED DEALS 2027'!$O$4:$O$1226,'FUNDED DEALS 2027'!$A$4:$A$1226,$A5,'FUNDED DEALS 2027'!$AM$4:$AM$1226,"YES - Paid In Full")+SUMIFS('FUNDED DEALS 2027'!$O$4:$O$1226,'FUNDED DEALS 2027'!$B$4:$B$1226,$A5,'FUNDED DEALS 2027'!$AM$4:$AM$1226,"YES - Paid In Full",'FUNDED DEALS 2027'!$A$4:$A$1226,"&lt;&gt;"&amp;$A5))</f>
        <v/>
      </c>
      <c r="K5" s="76" t="str">
        <f aca="false">IF($A5="","",G5-J5-L5)</f>
        <v/>
      </c>
      <c r="L5" s="76" t="str">
        <f aca="false">IF($A5="","",SUMIF('FUNDED DEALS'!$A$4:$A$1226,$A5,'FUNDED DEALS'!$AE$4:$AE$1226)+SUMIFS('FUNDED DEALS'!$AE$4:$AE$1226,'FUNDED DEALS'!$B$4:$B$1226,$A5,'FUNDED DEALS'!$A$4:$A$1226,"&lt;&gt;"&amp;$A5)+SUMIF('FUNDED DEALS 2027'!$A$4:$A$1226,$A5,'FUNDED DEALS 2027'!$AE$4:$AE$1226)+SUMIFS('FUNDED DEALS 2027'!$AE$4:$AE$1226,'FUNDED DEALS 2027'!$B$4:$B$1226,$A5,'FUNDED DEALS 2027'!$A$4:$A$1226,"&lt;&gt;"&amp;$A5))</f>
        <v/>
      </c>
      <c r="M5" s="76" t="str">
        <f aca="false">IF($A5="","",SUMIF('FUNDED DEALS'!$A$4:$A$1226,$A5,'FUNDED DEALS'!$AL$4:$AL$1226)+SUMIFS('FUNDED DEALS'!$AL$4:$AL$1226,'FUNDED DEALS'!$B$4:$B$1226,$A5,'FUNDED DEALS'!$A$4:$A$1226,"&lt;&gt;"&amp;$A5)+SUMIF('FUNDED DEALS 2027'!$A$4:$A$1226,$A5,'FUNDED DEALS 2027'!$AL$4:$AL$1226)+SUMIFS('FUNDED DEALS 2027'!$AL$4:$AL$1226,'FUNDED DEALS 2027'!$B$4:$B$1226,$A5,'FUNDED DEALS 2027'!$A$4:$A$1226,"&lt;&gt;"&amp;$A5))</f>
        <v/>
      </c>
    </row>
    <row r="6" customFormat="false" ht="15" hidden="false" customHeight="false" outlineLevel="0" collapsed="false">
      <c r="A6" s="77" t="str">
        <f aca="false">IFERROR(IF(2&lt;='FUNDED DEALS'!$AX$920,INDEX('FUNDED DEALS'!$A:$A,MATCH(2,'FUNDED DEALS'!$AX$3:$AX$920,0)+2),INDEX('FUNDED DEALS 2027'!$A:$A,MATCH(2-'FUNDED DEALS'!$AX$920,'FUNDED DEALS 2027'!$AX$3:$AX$1226,0)+2)),"")</f>
        <v/>
      </c>
      <c r="B6" s="55" t="str">
        <f aca="false">IF($A6="","",IFERROR(INDEX('FUNDED DEALS'!$D$4:$D$1226,MATCH($A6,'FUNDED DEALS'!$A$4:$A$1226,0)),IFERROR(INDEX('FUNDED DEALS 2027'!$D$4:$D$1226,MATCH($A6,'FUNDED DEALS 2027'!$A$4:$A$1226,0)),"not found")))</f>
        <v/>
      </c>
      <c r="C6" s="55" t="str">
        <f aca="false">IF($A6="","",IFERROR(INDEX('FUNDED DEALS'!$E$4:$E$1226,MATCH($A6,'FUNDED DEALS'!$A$4:$A$1226,0)),IFERROR(INDEX('FUNDED DEALS 2027'!$E$4:$E$1226,MATCH($A6,'FUNDED DEALS 2027'!$A$4:$A$1226,0)),"not found")))</f>
        <v/>
      </c>
      <c r="D6" s="55" t="str">
        <f aca="false">IF($A6="","",IFERROR(INDEX('FUNDED DEALS'!$F$4:$F$1226,MATCH($A6,'FUNDED DEALS'!$A$4:$A$1226,0)),IFERROR(INDEX('FUNDED DEALS 2027'!$F$4:$F$1226,MATCH($A6,'FUNDED DEALS 2027'!$A$4:$A$1226,0)),"not found")))</f>
        <v/>
      </c>
      <c r="E6" s="78" t="str">
        <f aca="false">IF($A6="","",COUNTIFS('FUNDED DEALS'!$B$4:$B$1226,$A6,'FUNDED DEALS'!$A$4:$A$1226,"&lt;&gt;"&amp;$A6)+COUNTIFS('FUNDED DEALS 2027'!$B$4:$B$1226,$A6,'FUNDED DEALS 2027'!$A$4:$A$1226,"&lt;&gt;"&amp;$A6))</f>
        <v/>
      </c>
      <c r="F6" s="79" t="str">
        <f aca="false">IF($A6="","",SUMIF('FUNDED DEALS'!$A$4:$A$1226,$A6,'FUNDED DEALS'!$G$4:$G$1226)+SUMIFS('FUNDED DEALS'!$G$4:$G$1226,'FUNDED DEALS'!$B$4:$B$1226,$A6,'FUNDED DEALS'!$A$4:$A$1226,"&lt;&gt;"&amp;$A6)+SUMIF('FUNDED DEALS 2027'!$A$4:$A$1226,$A6,'FUNDED DEALS 2027'!$G$4:$G$1226)+SUMIFS('FUNDED DEALS 2027'!$G$4:$G$1226,'FUNDED DEALS 2027'!$B$4:$B$1226,$A6,'FUNDED DEALS 2027'!$A$4:$A$1226,"&lt;&gt;"&amp;$A6))</f>
        <v/>
      </c>
      <c r="G6" s="79" t="str">
        <f aca="false">IF($A6="","",SUMIF('FUNDED DEALS'!$A$4:$A$1226,$A6,'FUNDED DEALS'!$O$4:$O$1226)+SUMIFS('FUNDED DEALS'!$O$4:$O$1226,'FUNDED DEALS'!$B$4:$B$1226,$A6,'FUNDED DEALS'!$A$4:$A$1226,"&lt;&gt;"&amp;$A6)+SUMIF('FUNDED DEALS 2027'!$A$4:$A$1226,$A6,'FUNDED DEALS 2027'!$O$4:$O$1226)+SUMIFS('FUNDED DEALS 2027'!$O$4:$O$1226,'FUNDED DEALS 2027'!$B$4:$B$1226,$A6,'FUNDED DEALS 2027'!$A$4:$A$1226,"&lt;&gt;"&amp;$A6))</f>
        <v/>
      </c>
      <c r="H6" s="79" t="str">
        <f aca="false">IF($A6="","",SUMIF('FUNDED DEALS'!$A$4:$A$1226,$A6,'FUNDED DEALS'!$AC$4:$AC$1226)+SUMIFS('FUNDED DEALS'!$AC$4:$AC$1226,'FUNDED DEALS'!$B$4:$B$1226,$A6,'FUNDED DEALS'!$A$4:$A$1226,"&lt;&gt;"&amp;$A6)+SUMIF('FUNDED DEALS 2027'!$A$4:$A$1226,$A6,'FUNDED DEALS 2027'!$AC$4:$AC$1226)+SUMIFS('FUNDED DEALS 2027'!$AC$4:$AC$1226,'FUNDED DEALS 2027'!$B$4:$B$1226,$A6,'FUNDED DEALS 2027'!$A$4:$A$1226,"&lt;&gt;"&amp;$A6))</f>
        <v/>
      </c>
      <c r="I6" s="79" t="str">
        <f aca="false">IF($A6="","",SUMIF('FUNDED DEALS'!$A$4:$A$1226,$A6,'FUNDED DEALS'!$AD$4:$AD$1226)+SUMIFS('FUNDED DEALS'!$AD$4:$AD$1226,'FUNDED DEALS'!$B$4:$B$1226,$A6,'FUNDED DEALS'!$A$4:$A$1226,"&lt;&gt;"&amp;$A6)+SUMIF('FUNDED DEALS 2027'!$A$4:$A$1226,$A6,'FUNDED DEALS 2027'!$AD$4:$AD$1226)+SUMIFS('FUNDED DEALS 2027'!$AD$4:$AD$1226,'FUNDED DEALS 2027'!$B$4:$B$1226,$A6,'FUNDED DEALS 2027'!$A$4:$A$1226,"&lt;&gt;"&amp;$A6))</f>
        <v/>
      </c>
      <c r="J6" s="79" t="str">
        <f aca="false">IF($A6="","",SUMIFS('FUNDED DEALS'!$O$4:$O$1226,'FUNDED DEALS'!$A$4:$A$1226,$A6,'FUNDED DEALS'!$AM$4:$AM$1226,"YES - Paid In Full")+SUMIFS('FUNDED DEALS'!$O$4:$O$1226,'FUNDED DEALS'!$B$4:$B$1226,$A6,'FUNDED DEALS'!$AM$4:$AM$1226,"YES - Paid In Full",'FUNDED DEALS'!$A$4:$A$1226,"&lt;&gt;"&amp;$A6)+SUMIFS('FUNDED DEALS 2027'!$O$4:$O$1226,'FUNDED DEALS 2027'!$A$4:$A$1226,$A6,'FUNDED DEALS 2027'!$AM$4:$AM$1226,"YES - Paid In Full")+SUMIFS('FUNDED DEALS 2027'!$O$4:$O$1226,'FUNDED DEALS 2027'!$B$4:$B$1226,$A6,'FUNDED DEALS 2027'!$AM$4:$AM$1226,"YES - Paid In Full",'FUNDED DEALS 2027'!$A$4:$A$1226,"&lt;&gt;"&amp;$A6))</f>
        <v/>
      </c>
      <c r="K6" s="79" t="str">
        <f aca="false">IF($A6="","",G6-J6-L6)</f>
        <v/>
      </c>
      <c r="L6" s="79" t="str">
        <f aca="false">IF($A6="","",SUMIF('FUNDED DEALS'!$A$4:$A$1226,$A6,'FUNDED DEALS'!$AE$4:$AE$1226)+SUMIFS('FUNDED DEALS'!$AE$4:$AE$1226,'FUNDED DEALS'!$B$4:$B$1226,$A6,'FUNDED DEALS'!$A$4:$A$1226,"&lt;&gt;"&amp;$A6)+SUMIF('FUNDED DEALS 2027'!$A$4:$A$1226,$A6,'FUNDED DEALS 2027'!$AE$4:$AE$1226)+SUMIFS('FUNDED DEALS 2027'!$AE$4:$AE$1226,'FUNDED DEALS 2027'!$B$4:$B$1226,$A6,'FUNDED DEALS 2027'!$A$4:$A$1226,"&lt;&gt;"&amp;$A6))</f>
        <v/>
      </c>
      <c r="M6" s="79" t="str">
        <f aca="false">IF($A6="","",SUMIF('FUNDED DEALS'!$A$4:$A$1226,$A6,'FUNDED DEALS'!$AL$4:$AL$1226)+SUMIFS('FUNDED DEALS'!$AL$4:$AL$1226,'FUNDED DEALS'!$B$4:$B$1226,$A6,'FUNDED DEALS'!$A$4:$A$1226,"&lt;&gt;"&amp;$A6)+SUMIF('FUNDED DEALS 2027'!$A$4:$A$1226,$A6,'FUNDED DEALS 2027'!$AL$4:$AL$1226)+SUMIFS('FUNDED DEALS 2027'!$AL$4:$AL$1226,'FUNDED DEALS 2027'!$B$4:$B$1226,$A6,'FUNDED DEALS 2027'!$A$4:$A$1226,"&lt;&gt;"&amp;$A6))</f>
        <v/>
      </c>
    </row>
    <row r="7" customFormat="false" ht="15" hidden="false" customHeight="false" outlineLevel="0" collapsed="false">
      <c r="A7" s="74" t="str">
        <f aca="false">IFERROR(IF(3&lt;='FUNDED DEALS'!$AX$920,INDEX('FUNDED DEALS'!$A:$A,MATCH(3,'FUNDED DEALS'!$AX$3:$AX$920,0)+2),INDEX('FUNDED DEALS 2027'!$A:$A,MATCH(3-'FUNDED DEALS'!$AX$920,'FUNDED DEALS 2027'!$AX$3:$AX$1226,0)+2)),"")</f>
        <v/>
      </c>
      <c r="B7" s="57" t="str">
        <f aca="false">IF($A7="","",IFERROR(INDEX('FUNDED DEALS'!$D$4:$D$1226,MATCH($A7,'FUNDED DEALS'!$A$4:$A$1226,0)),IFERROR(INDEX('FUNDED DEALS 2027'!$D$4:$D$1226,MATCH($A7,'FUNDED DEALS 2027'!$A$4:$A$1226,0)),"not found")))</f>
        <v/>
      </c>
      <c r="C7" s="57" t="str">
        <f aca="false">IF($A7="","",IFERROR(INDEX('FUNDED DEALS'!$E$4:$E$1226,MATCH($A7,'FUNDED DEALS'!$A$4:$A$1226,0)),IFERROR(INDEX('FUNDED DEALS 2027'!$E$4:$E$1226,MATCH($A7,'FUNDED DEALS 2027'!$A$4:$A$1226,0)),"not found")))</f>
        <v/>
      </c>
      <c r="D7" s="57" t="str">
        <f aca="false">IF($A7="","",IFERROR(INDEX('FUNDED DEALS'!$F$4:$F$1226,MATCH($A7,'FUNDED DEALS'!$A$4:$A$1226,0)),IFERROR(INDEX('FUNDED DEALS 2027'!$F$4:$F$1226,MATCH($A7,'FUNDED DEALS 2027'!$A$4:$A$1226,0)),"not found")))</f>
        <v/>
      </c>
      <c r="E7" s="75" t="str">
        <f aca="false">IF($A7="","",COUNTIFS('FUNDED DEALS'!$B$4:$B$1226,$A7,'FUNDED DEALS'!$A$4:$A$1226,"&lt;&gt;"&amp;$A7)+COUNTIFS('FUNDED DEALS 2027'!$B$4:$B$1226,$A7,'FUNDED DEALS 2027'!$A$4:$A$1226,"&lt;&gt;"&amp;$A7))</f>
        <v/>
      </c>
      <c r="F7" s="76" t="str">
        <f aca="false">IF($A7="","",SUMIF('FUNDED DEALS'!$A$4:$A$1226,$A7,'FUNDED DEALS'!$G$4:$G$1226)+SUMIFS('FUNDED DEALS'!$G$4:$G$1226,'FUNDED DEALS'!$B$4:$B$1226,$A7,'FUNDED DEALS'!$A$4:$A$1226,"&lt;&gt;"&amp;$A7)+SUMIF('FUNDED DEALS 2027'!$A$4:$A$1226,$A7,'FUNDED DEALS 2027'!$G$4:$G$1226)+SUMIFS('FUNDED DEALS 2027'!$G$4:$G$1226,'FUNDED DEALS 2027'!$B$4:$B$1226,$A7,'FUNDED DEALS 2027'!$A$4:$A$1226,"&lt;&gt;"&amp;$A7))</f>
        <v/>
      </c>
      <c r="G7" s="76" t="str">
        <f aca="false">IF($A7="","",SUMIF('FUNDED DEALS'!$A$4:$A$1226,$A7,'FUNDED DEALS'!$O$4:$O$1226)+SUMIFS('FUNDED DEALS'!$O$4:$O$1226,'FUNDED DEALS'!$B$4:$B$1226,$A7,'FUNDED DEALS'!$A$4:$A$1226,"&lt;&gt;"&amp;$A7)+SUMIF('FUNDED DEALS 2027'!$A$4:$A$1226,$A7,'FUNDED DEALS 2027'!$O$4:$O$1226)+SUMIFS('FUNDED DEALS 2027'!$O$4:$O$1226,'FUNDED DEALS 2027'!$B$4:$B$1226,$A7,'FUNDED DEALS 2027'!$A$4:$A$1226,"&lt;&gt;"&amp;$A7))</f>
        <v/>
      </c>
      <c r="H7" s="76" t="str">
        <f aca="false">IF($A7="","",SUMIF('FUNDED DEALS'!$A$4:$A$1226,$A7,'FUNDED DEALS'!$AC$4:$AC$1226)+SUMIFS('FUNDED DEALS'!$AC$4:$AC$1226,'FUNDED DEALS'!$B$4:$B$1226,$A7,'FUNDED DEALS'!$A$4:$A$1226,"&lt;&gt;"&amp;$A7)+SUMIF('FUNDED DEALS 2027'!$A$4:$A$1226,$A7,'FUNDED DEALS 2027'!$AC$4:$AC$1226)+SUMIFS('FUNDED DEALS 2027'!$AC$4:$AC$1226,'FUNDED DEALS 2027'!$B$4:$B$1226,$A7,'FUNDED DEALS 2027'!$A$4:$A$1226,"&lt;&gt;"&amp;$A7))</f>
        <v/>
      </c>
      <c r="I7" s="76" t="str">
        <f aca="false">IF($A7="","",SUMIF('FUNDED DEALS'!$A$4:$A$1226,$A7,'FUNDED DEALS'!$AD$4:$AD$1226)+SUMIFS('FUNDED DEALS'!$AD$4:$AD$1226,'FUNDED DEALS'!$B$4:$B$1226,$A7,'FUNDED DEALS'!$A$4:$A$1226,"&lt;&gt;"&amp;$A7)+SUMIF('FUNDED DEALS 2027'!$A$4:$A$1226,$A7,'FUNDED DEALS 2027'!$AD$4:$AD$1226)+SUMIFS('FUNDED DEALS 2027'!$AD$4:$AD$1226,'FUNDED DEALS 2027'!$B$4:$B$1226,$A7,'FUNDED DEALS 2027'!$A$4:$A$1226,"&lt;&gt;"&amp;$A7))</f>
        <v/>
      </c>
      <c r="J7" s="76" t="str">
        <f aca="false">IF($A7="","",SUMIFS('FUNDED DEALS'!$O$4:$O$1226,'FUNDED DEALS'!$A$4:$A$1226,$A7,'FUNDED DEALS'!$AM$4:$AM$1226,"YES - Paid In Full")+SUMIFS('FUNDED DEALS'!$O$4:$O$1226,'FUNDED DEALS'!$B$4:$B$1226,$A7,'FUNDED DEALS'!$AM$4:$AM$1226,"YES - Paid In Full",'FUNDED DEALS'!$A$4:$A$1226,"&lt;&gt;"&amp;$A7)+SUMIFS('FUNDED DEALS 2027'!$O$4:$O$1226,'FUNDED DEALS 2027'!$A$4:$A$1226,$A7,'FUNDED DEALS 2027'!$AM$4:$AM$1226,"YES - Paid In Full")+SUMIFS('FUNDED DEALS 2027'!$O$4:$O$1226,'FUNDED DEALS 2027'!$B$4:$B$1226,$A7,'FUNDED DEALS 2027'!$AM$4:$AM$1226,"YES - Paid In Full",'FUNDED DEALS 2027'!$A$4:$A$1226,"&lt;&gt;"&amp;$A7))</f>
        <v/>
      </c>
      <c r="K7" s="76" t="str">
        <f aca="false">IF($A7="","",G7-J7-L7)</f>
        <v/>
      </c>
      <c r="L7" s="76" t="str">
        <f aca="false">IF($A7="","",SUMIF('FUNDED DEALS'!$A$4:$A$1226,$A7,'FUNDED DEALS'!$AE$4:$AE$1226)+SUMIFS('FUNDED DEALS'!$AE$4:$AE$1226,'FUNDED DEALS'!$B$4:$B$1226,$A7,'FUNDED DEALS'!$A$4:$A$1226,"&lt;&gt;"&amp;$A7)+SUMIF('FUNDED DEALS 2027'!$A$4:$A$1226,$A7,'FUNDED DEALS 2027'!$AE$4:$AE$1226)+SUMIFS('FUNDED DEALS 2027'!$AE$4:$AE$1226,'FUNDED DEALS 2027'!$B$4:$B$1226,$A7,'FUNDED DEALS 2027'!$A$4:$A$1226,"&lt;&gt;"&amp;$A7))</f>
        <v/>
      </c>
      <c r="M7" s="76" t="str">
        <f aca="false">IF($A7="","",SUMIF('FUNDED DEALS'!$A$4:$A$1226,$A7,'FUNDED DEALS'!$AL$4:$AL$1226)+SUMIFS('FUNDED DEALS'!$AL$4:$AL$1226,'FUNDED DEALS'!$B$4:$B$1226,$A7,'FUNDED DEALS'!$A$4:$A$1226,"&lt;&gt;"&amp;$A7)+SUMIF('FUNDED DEALS 2027'!$A$4:$A$1226,$A7,'FUNDED DEALS 2027'!$AL$4:$AL$1226)+SUMIFS('FUNDED DEALS 2027'!$AL$4:$AL$1226,'FUNDED DEALS 2027'!$B$4:$B$1226,$A7,'FUNDED DEALS 2027'!$A$4:$A$1226,"&lt;&gt;"&amp;$A7))</f>
        <v/>
      </c>
    </row>
    <row r="8" customFormat="false" ht="15" hidden="false" customHeight="false" outlineLevel="0" collapsed="false">
      <c r="A8" s="77" t="str">
        <f aca="false">IFERROR(IF(4&lt;='FUNDED DEALS'!$AX$920,INDEX('FUNDED DEALS'!$A:$A,MATCH(4,'FUNDED DEALS'!$AX$3:$AX$920,0)+2),INDEX('FUNDED DEALS 2027'!$A:$A,MATCH(4-'FUNDED DEALS'!$AX$920,'FUNDED DEALS 2027'!$AX$3:$AX$1226,0)+2)),"")</f>
        <v/>
      </c>
      <c r="B8" s="55" t="str">
        <f aca="false">IF($A8="","",IFERROR(INDEX('FUNDED DEALS'!$D$4:$D$1226,MATCH($A8,'FUNDED DEALS'!$A$4:$A$1226,0)),IFERROR(INDEX('FUNDED DEALS 2027'!$D$4:$D$1226,MATCH($A8,'FUNDED DEALS 2027'!$A$4:$A$1226,0)),"not found")))</f>
        <v/>
      </c>
      <c r="C8" s="55" t="str">
        <f aca="false">IF($A8="","",IFERROR(INDEX('FUNDED DEALS'!$E$4:$E$1226,MATCH($A8,'FUNDED DEALS'!$A$4:$A$1226,0)),IFERROR(INDEX('FUNDED DEALS 2027'!$E$4:$E$1226,MATCH($A8,'FUNDED DEALS 2027'!$A$4:$A$1226,0)),"not found")))</f>
        <v/>
      </c>
      <c r="D8" s="55" t="str">
        <f aca="false">IF($A8="","",IFERROR(INDEX('FUNDED DEALS'!$F$4:$F$1226,MATCH($A8,'FUNDED DEALS'!$A$4:$A$1226,0)),IFERROR(INDEX('FUNDED DEALS 2027'!$F$4:$F$1226,MATCH($A8,'FUNDED DEALS 2027'!$A$4:$A$1226,0)),"not found")))</f>
        <v/>
      </c>
      <c r="E8" s="78" t="str">
        <f aca="false">IF($A8="","",COUNTIFS('FUNDED DEALS'!$B$4:$B$1226,$A8,'FUNDED DEALS'!$A$4:$A$1226,"&lt;&gt;"&amp;$A8)+COUNTIFS('FUNDED DEALS 2027'!$B$4:$B$1226,$A8,'FUNDED DEALS 2027'!$A$4:$A$1226,"&lt;&gt;"&amp;$A8))</f>
        <v/>
      </c>
      <c r="F8" s="79" t="str">
        <f aca="false">IF($A8="","",SUMIF('FUNDED DEALS'!$A$4:$A$1226,$A8,'FUNDED DEALS'!$G$4:$G$1226)+SUMIFS('FUNDED DEALS'!$G$4:$G$1226,'FUNDED DEALS'!$B$4:$B$1226,$A8,'FUNDED DEALS'!$A$4:$A$1226,"&lt;&gt;"&amp;$A8)+SUMIF('FUNDED DEALS 2027'!$A$4:$A$1226,$A8,'FUNDED DEALS 2027'!$G$4:$G$1226)+SUMIFS('FUNDED DEALS 2027'!$G$4:$G$1226,'FUNDED DEALS 2027'!$B$4:$B$1226,$A8,'FUNDED DEALS 2027'!$A$4:$A$1226,"&lt;&gt;"&amp;$A8))</f>
        <v/>
      </c>
      <c r="G8" s="79" t="str">
        <f aca="false">IF($A8="","",SUMIF('FUNDED DEALS'!$A$4:$A$1226,$A8,'FUNDED DEALS'!$O$4:$O$1226)+SUMIFS('FUNDED DEALS'!$O$4:$O$1226,'FUNDED DEALS'!$B$4:$B$1226,$A8,'FUNDED DEALS'!$A$4:$A$1226,"&lt;&gt;"&amp;$A8)+SUMIF('FUNDED DEALS 2027'!$A$4:$A$1226,$A8,'FUNDED DEALS 2027'!$O$4:$O$1226)+SUMIFS('FUNDED DEALS 2027'!$O$4:$O$1226,'FUNDED DEALS 2027'!$B$4:$B$1226,$A8,'FUNDED DEALS 2027'!$A$4:$A$1226,"&lt;&gt;"&amp;$A8))</f>
        <v/>
      </c>
      <c r="H8" s="79" t="str">
        <f aca="false">IF($A8="","",SUMIF('FUNDED DEALS'!$A$4:$A$1226,$A8,'FUNDED DEALS'!$AC$4:$AC$1226)+SUMIFS('FUNDED DEALS'!$AC$4:$AC$1226,'FUNDED DEALS'!$B$4:$B$1226,$A8,'FUNDED DEALS'!$A$4:$A$1226,"&lt;&gt;"&amp;$A8)+SUMIF('FUNDED DEALS 2027'!$A$4:$A$1226,$A8,'FUNDED DEALS 2027'!$AC$4:$AC$1226)+SUMIFS('FUNDED DEALS 2027'!$AC$4:$AC$1226,'FUNDED DEALS 2027'!$B$4:$B$1226,$A8,'FUNDED DEALS 2027'!$A$4:$A$1226,"&lt;&gt;"&amp;$A8))</f>
        <v/>
      </c>
      <c r="I8" s="79" t="str">
        <f aca="false">IF($A8="","",SUMIF('FUNDED DEALS'!$A$4:$A$1226,$A8,'FUNDED DEALS'!$AD$4:$AD$1226)+SUMIFS('FUNDED DEALS'!$AD$4:$AD$1226,'FUNDED DEALS'!$B$4:$B$1226,$A8,'FUNDED DEALS'!$A$4:$A$1226,"&lt;&gt;"&amp;$A8)+SUMIF('FUNDED DEALS 2027'!$A$4:$A$1226,$A8,'FUNDED DEALS 2027'!$AD$4:$AD$1226)+SUMIFS('FUNDED DEALS 2027'!$AD$4:$AD$1226,'FUNDED DEALS 2027'!$B$4:$B$1226,$A8,'FUNDED DEALS 2027'!$A$4:$A$1226,"&lt;&gt;"&amp;$A8))</f>
        <v/>
      </c>
      <c r="J8" s="79" t="str">
        <f aca="false">IF($A8="","",SUMIFS('FUNDED DEALS'!$O$4:$O$1226,'FUNDED DEALS'!$A$4:$A$1226,$A8,'FUNDED DEALS'!$AM$4:$AM$1226,"YES - Paid In Full")+SUMIFS('FUNDED DEALS'!$O$4:$O$1226,'FUNDED DEALS'!$B$4:$B$1226,$A8,'FUNDED DEALS'!$AM$4:$AM$1226,"YES - Paid In Full",'FUNDED DEALS'!$A$4:$A$1226,"&lt;&gt;"&amp;$A8)+SUMIFS('FUNDED DEALS 2027'!$O$4:$O$1226,'FUNDED DEALS 2027'!$A$4:$A$1226,$A8,'FUNDED DEALS 2027'!$AM$4:$AM$1226,"YES - Paid In Full")+SUMIFS('FUNDED DEALS 2027'!$O$4:$O$1226,'FUNDED DEALS 2027'!$B$4:$B$1226,$A8,'FUNDED DEALS 2027'!$AM$4:$AM$1226,"YES - Paid In Full",'FUNDED DEALS 2027'!$A$4:$A$1226,"&lt;&gt;"&amp;$A8))</f>
        <v/>
      </c>
      <c r="K8" s="79" t="str">
        <f aca="false">IF($A8="","",G8-J8-L8)</f>
        <v/>
      </c>
      <c r="L8" s="79" t="str">
        <f aca="false">IF($A8="","",SUMIF('FUNDED DEALS'!$A$4:$A$1226,$A8,'FUNDED DEALS'!$AE$4:$AE$1226)+SUMIFS('FUNDED DEALS'!$AE$4:$AE$1226,'FUNDED DEALS'!$B$4:$B$1226,$A8,'FUNDED DEALS'!$A$4:$A$1226,"&lt;&gt;"&amp;$A8)+SUMIF('FUNDED DEALS 2027'!$A$4:$A$1226,$A8,'FUNDED DEALS 2027'!$AE$4:$AE$1226)+SUMIFS('FUNDED DEALS 2027'!$AE$4:$AE$1226,'FUNDED DEALS 2027'!$B$4:$B$1226,$A8,'FUNDED DEALS 2027'!$A$4:$A$1226,"&lt;&gt;"&amp;$A8))</f>
        <v/>
      </c>
      <c r="M8" s="79" t="str">
        <f aca="false">IF($A8="","",SUMIF('FUNDED DEALS'!$A$4:$A$1226,$A8,'FUNDED DEALS'!$AL$4:$AL$1226)+SUMIFS('FUNDED DEALS'!$AL$4:$AL$1226,'FUNDED DEALS'!$B$4:$B$1226,$A8,'FUNDED DEALS'!$A$4:$A$1226,"&lt;&gt;"&amp;$A8)+SUMIF('FUNDED DEALS 2027'!$A$4:$A$1226,$A8,'FUNDED DEALS 2027'!$AL$4:$AL$1226)+SUMIFS('FUNDED DEALS 2027'!$AL$4:$AL$1226,'FUNDED DEALS 2027'!$B$4:$B$1226,$A8,'FUNDED DEALS 2027'!$A$4:$A$1226,"&lt;&gt;"&amp;$A8))</f>
        <v/>
      </c>
    </row>
    <row r="9" customFormat="false" ht="15" hidden="false" customHeight="false" outlineLevel="0" collapsed="false">
      <c r="A9" s="74" t="str">
        <f aca="false">IFERROR(IF(5&lt;='FUNDED DEALS'!$AX$920,INDEX('FUNDED DEALS'!$A:$A,MATCH(5,'FUNDED DEALS'!$AX$3:$AX$920,0)+2),INDEX('FUNDED DEALS 2027'!$A:$A,MATCH(5-'FUNDED DEALS'!$AX$920,'FUNDED DEALS 2027'!$AX$3:$AX$1226,0)+2)),"")</f>
        <v/>
      </c>
      <c r="B9" s="57" t="str">
        <f aca="false">IF($A9="","",IFERROR(INDEX('FUNDED DEALS'!$D$4:$D$1226,MATCH($A9,'FUNDED DEALS'!$A$4:$A$1226,0)),IFERROR(INDEX('FUNDED DEALS 2027'!$D$4:$D$1226,MATCH($A9,'FUNDED DEALS 2027'!$A$4:$A$1226,0)),"not found")))</f>
        <v/>
      </c>
      <c r="C9" s="57" t="str">
        <f aca="false">IF($A9="","",IFERROR(INDEX('FUNDED DEALS'!$E$4:$E$1226,MATCH($A9,'FUNDED DEALS'!$A$4:$A$1226,0)),IFERROR(INDEX('FUNDED DEALS 2027'!$E$4:$E$1226,MATCH($A9,'FUNDED DEALS 2027'!$A$4:$A$1226,0)),"not found")))</f>
        <v/>
      </c>
      <c r="D9" s="57" t="str">
        <f aca="false">IF($A9="","",IFERROR(INDEX('FUNDED DEALS'!$F$4:$F$1226,MATCH($A9,'FUNDED DEALS'!$A$4:$A$1226,0)),IFERROR(INDEX('FUNDED DEALS 2027'!$F$4:$F$1226,MATCH($A9,'FUNDED DEALS 2027'!$A$4:$A$1226,0)),"not found")))</f>
        <v/>
      </c>
      <c r="E9" s="75" t="str">
        <f aca="false">IF($A9="","",COUNTIFS('FUNDED DEALS'!$B$4:$B$1226,$A9,'FUNDED DEALS'!$A$4:$A$1226,"&lt;&gt;"&amp;$A9)+COUNTIFS('FUNDED DEALS 2027'!$B$4:$B$1226,$A9,'FUNDED DEALS 2027'!$A$4:$A$1226,"&lt;&gt;"&amp;$A9))</f>
        <v/>
      </c>
      <c r="F9" s="76" t="str">
        <f aca="false">IF($A9="","",SUMIF('FUNDED DEALS'!$A$4:$A$1226,$A9,'FUNDED DEALS'!$G$4:$G$1226)+SUMIFS('FUNDED DEALS'!$G$4:$G$1226,'FUNDED DEALS'!$B$4:$B$1226,$A9,'FUNDED DEALS'!$A$4:$A$1226,"&lt;&gt;"&amp;$A9)+SUMIF('FUNDED DEALS 2027'!$A$4:$A$1226,$A9,'FUNDED DEALS 2027'!$G$4:$G$1226)+SUMIFS('FUNDED DEALS 2027'!$G$4:$G$1226,'FUNDED DEALS 2027'!$B$4:$B$1226,$A9,'FUNDED DEALS 2027'!$A$4:$A$1226,"&lt;&gt;"&amp;$A9))</f>
        <v/>
      </c>
      <c r="G9" s="76" t="str">
        <f aca="false">IF($A9="","",SUMIF('FUNDED DEALS'!$A$4:$A$1226,$A9,'FUNDED DEALS'!$O$4:$O$1226)+SUMIFS('FUNDED DEALS'!$O$4:$O$1226,'FUNDED DEALS'!$B$4:$B$1226,$A9,'FUNDED DEALS'!$A$4:$A$1226,"&lt;&gt;"&amp;$A9)+SUMIF('FUNDED DEALS 2027'!$A$4:$A$1226,$A9,'FUNDED DEALS 2027'!$O$4:$O$1226)+SUMIFS('FUNDED DEALS 2027'!$O$4:$O$1226,'FUNDED DEALS 2027'!$B$4:$B$1226,$A9,'FUNDED DEALS 2027'!$A$4:$A$1226,"&lt;&gt;"&amp;$A9))</f>
        <v/>
      </c>
      <c r="H9" s="76" t="str">
        <f aca="false">IF($A9="","",SUMIF('FUNDED DEALS'!$A$4:$A$1226,$A9,'FUNDED DEALS'!$AC$4:$AC$1226)+SUMIFS('FUNDED DEALS'!$AC$4:$AC$1226,'FUNDED DEALS'!$B$4:$B$1226,$A9,'FUNDED DEALS'!$A$4:$A$1226,"&lt;&gt;"&amp;$A9)+SUMIF('FUNDED DEALS 2027'!$A$4:$A$1226,$A9,'FUNDED DEALS 2027'!$AC$4:$AC$1226)+SUMIFS('FUNDED DEALS 2027'!$AC$4:$AC$1226,'FUNDED DEALS 2027'!$B$4:$B$1226,$A9,'FUNDED DEALS 2027'!$A$4:$A$1226,"&lt;&gt;"&amp;$A9))</f>
        <v/>
      </c>
      <c r="I9" s="76" t="str">
        <f aca="false">IF($A9="","",SUMIF('FUNDED DEALS'!$A$4:$A$1226,$A9,'FUNDED DEALS'!$AD$4:$AD$1226)+SUMIFS('FUNDED DEALS'!$AD$4:$AD$1226,'FUNDED DEALS'!$B$4:$B$1226,$A9,'FUNDED DEALS'!$A$4:$A$1226,"&lt;&gt;"&amp;$A9)+SUMIF('FUNDED DEALS 2027'!$A$4:$A$1226,$A9,'FUNDED DEALS 2027'!$AD$4:$AD$1226)+SUMIFS('FUNDED DEALS 2027'!$AD$4:$AD$1226,'FUNDED DEALS 2027'!$B$4:$B$1226,$A9,'FUNDED DEALS 2027'!$A$4:$A$1226,"&lt;&gt;"&amp;$A9))</f>
        <v/>
      </c>
      <c r="J9" s="76" t="str">
        <f aca="false">IF($A9="","",SUMIFS('FUNDED DEALS'!$O$4:$O$1226,'FUNDED DEALS'!$A$4:$A$1226,$A9,'FUNDED DEALS'!$AM$4:$AM$1226,"YES - Paid In Full")+SUMIFS('FUNDED DEALS'!$O$4:$O$1226,'FUNDED DEALS'!$B$4:$B$1226,$A9,'FUNDED DEALS'!$AM$4:$AM$1226,"YES - Paid In Full",'FUNDED DEALS'!$A$4:$A$1226,"&lt;&gt;"&amp;$A9)+SUMIFS('FUNDED DEALS 2027'!$O$4:$O$1226,'FUNDED DEALS 2027'!$A$4:$A$1226,$A9,'FUNDED DEALS 2027'!$AM$4:$AM$1226,"YES - Paid In Full")+SUMIFS('FUNDED DEALS 2027'!$O$4:$O$1226,'FUNDED DEALS 2027'!$B$4:$B$1226,$A9,'FUNDED DEALS 2027'!$AM$4:$AM$1226,"YES - Paid In Full",'FUNDED DEALS 2027'!$A$4:$A$1226,"&lt;&gt;"&amp;$A9))</f>
        <v/>
      </c>
      <c r="K9" s="76" t="str">
        <f aca="false">IF($A9="","",G9-J9-L9)</f>
        <v/>
      </c>
      <c r="L9" s="76" t="str">
        <f aca="false">IF($A9="","",SUMIF('FUNDED DEALS'!$A$4:$A$1226,$A9,'FUNDED DEALS'!$AE$4:$AE$1226)+SUMIFS('FUNDED DEALS'!$AE$4:$AE$1226,'FUNDED DEALS'!$B$4:$B$1226,$A9,'FUNDED DEALS'!$A$4:$A$1226,"&lt;&gt;"&amp;$A9)+SUMIF('FUNDED DEALS 2027'!$A$4:$A$1226,$A9,'FUNDED DEALS 2027'!$AE$4:$AE$1226)+SUMIFS('FUNDED DEALS 2027'!$AE$4:$AE$1226,'FUNDED DEALS 2027'!$B$4:$B$1226,$A9,'FUNDED DEALS 2027'!$A$4:$A$1226,"&lt;&gt;"&amp;$A9))</f>
        <v/>
      </c>
      <c r="M9" s="76" t="str">
        <f aca="false">IF($A9="","",SUMIF('FUNDED DEALS'!$A$4:$A$1226,$A9,'FUNDED DEALS'!$AL$4:$AL$1226)+SUMIFS('FUNDED DEALS'!$AL$4:$AL$1226,'FUNDED DEALS'!$B$4:$B$1226,$A9,'FUNDED DEALS'!$A$4:$A$1226,"&lt;&gt;"&amp;$A9)+SUMIF('FUNDED DEALS 2027'!$A$4:$A$1226,$A9,'FUNDED DEALS 2027'!$AL$4:$AL$1226)+SUMIFS('FUNDED DEALS 2027'!$AL$4:$AL$1226,'FUNDED DEALS 2027'!$B$4:$B$1226,$A9,'FUNDED DEALS 2027'!$A$4:$A$1226,"&lt;&gt;"&amp;$A9))</f>
        <v/>
      </c>
    </row>
    <row r="10" customFormat="false" ht="15" hidden="false" customHeight="false" outlineLevel="0" collapsed="false">
      <c r="A10" s="77" t="str">
        <f aca="false">IFERROR(IF(6&lt;='FUNDED DEALS'!$AX$920,INDEX('FUNDED DEALS'!$A:$A,MATCH(6,'FUNDED DEALS'!$AX$3:$AX$920,0)+2),INDEX('FUNDED DEALS 2027'!$A:$A,MATCH(6-'FUNDED DEALS'!$AX$920,'FUNDED DEALS 2027'!$AX$3:$AX$1226,0)+2)),"")</f>
        <v/>
      </c>
      <c r="B10" s="55" t="str">
        <f aca="false">IF($A10="","",IFERROR(INDEX('FUNDED DEALS'!$D$4:$D$1226,MATCH($A10,'FUNDED DEALS'!$A$4:$A$1226,0)),IFERROR(INDEX('FUNDED DEALS 2027'!$D$4:$D$1226,MATCH($A10,'FUNDED DEALS 2027'!$A$4:$A$1226,0)),"not found")))</f>
        <v/>
      </c>
      <c r="C10" s="55" t="str">
        <f aca="false">IF($A10="","",IFERROR(INDEX('FUNDED DEALS'!$E$4:$E$1226,MATCH($A10,'FUNDED DEALS'!$A$4:$A$1226,0)),IFERROR(INDEX('FUNDED DEALS 2027'!$E$4:$E$1226,MATCH($A10,'FUNDED DEALS 2027'!$A$4:$A$1226,0)),"not found")))</f>
        <v/>
      </c>
      <c r="D10" s="55" t="str">
        <f aca="false">IF($A10="","",IFERROR(INDEX('FUNDED DEALS'!$F$4:$F$1226,MATCH($A10,'FUNDED DEALS'!$A$4:$A$1226,0)),IFERROR(INDEX('FUNDED DEALS 2027'!$F$4:$F$1226,MATCH($A10,'FUNDED DEALS 2027'!$A$4:$A$1226,0)),"not found")))</f>
        <v/>
      </c>
      <c r="E10" s="78" t="str">
        <f aca="false">IF($A10="","",COUNTIFS('FUNDED DEALS'!$B$4:$B$1226,$A10,'FUNDED DEALS'!$A$4:$A$1226,"&lt;&gt;"&amp;$A10)+COUNTIFS('FUNDED DEALS 2027'!$B$4:$B$1226,$A10,'FUNDED DEALS 2027'!$A$4:$A$1226,"&lt;&gt;"&amp;$A10))</f>
        <v/>
      </c>
      <c r="F10" s="79" t="str">
        <f aca="false">IF($A10="","",SUMIF('FUNDED DEALS'!$A$4:$A$1226,$A10,'FUNDED DEALS'!$G$4:$G$1226)+SUMIFS('FUNDED DEALS'!$G$4:$G$1226,'FUNDED DEALS'!$B$4:$B$1226,$A10,'FUNDED DEALS'!$A$4:$A$1226,"&lt;&gt;"&amp;$A10)+SUMIF('FUNDED DEALS 2027'!$A$4:$A$1226,$A10,'FUNDED DEALS 2027'!$G$4:$G$1226)+SUMIFS('FUNDED DEALS 2027'!$G$4:$G$1226,'FUNDED DEALS 2027'!$B$4:$B$1226,$A10,'FUNDED DEALS 2027'!$A$4:$A$1226,"&lt;&gt;"&amp;$A10))</f>
        <v/>
      </c>
      <c r="G10" s="79" t="str">
        <f aca="false">IF($A10="","",SUMIF('FUNDED DEALS'!$A$4:$A$1226,$A10,'FUNDED DEALS'!$O$4:$O$1226)+SUMIFS('FUNDED DEALS'!$O$4:$O$1226,'FUNDED DEALS'!$B$4:$B$1226,$A10,'FUNDED DEALS'!$A$4:$A$1226,"&lt;&gt;"&amp;$A10)+SUMIF('FUNDED DEALS 2027'!$A$4:$A$1226,$A10,'FUNDED DEALS 2027'!$O$4:$O$1226)+SUMIFS('FUNDED DEALS 2027'!$O$4:$O$1226,'FUNDED DEALS 2027'!$B$4:$B$1226,$A10,'FUNDED DEALS 2027'!$A$4:$A$1226,"&lt;&gt;"&amp;$A10))</f>
        <v/>
      </c>
      <c r="H10" s="79" t="str">
        <f aca="false">IF($A10="","",SUMIF('FUNDED DEALS'!$A$4:$A$1226,$A10,'FUNDED DEALS'!$AC$4:$AC$1226)+SUMIFS('FUNDED DEALS'!$AC$4:$AC$1226,'FUNDED DEALS'!$B$4:$B$1226,$A10,'FUNDED DEALS'!$A$4:$A$1226,"&lt;&gt;"&amp;$A10)+SUMIF('FUNDED DEALS 2027'!$A$4:$A$1226,$A10,'FUNDED DEALS 2027'!$AC$4:$AC$1226)+SUMIFS('FUNDED DEALS 2027'!$AC$4:$AC$1226,'FUNDED DEALS 2027'!$B$4:$B$1226,$A10,'FUNDED DEALS 2027'!$A$4:$A$1226,"&lt;&gt;"&amp;$A10))</f>
        <v/>
      </c>
      <c r="I10" s="79" t="str">
        <f aca="false">IF($A10="","",SUMIF('FUNDED DEALS'!$A$4:$A$1226,$A10,'FUNDED DEALS'!$AD$4:$AD$1226)+SUMIFS('FUNDED DEALS'!$AD$4:$AD$1226,'FUNDED DEALS'!$B$4:$B$1226,$A10,'FUNDED DEALS'!$A$4:$A$1226,"&lt;&gt;"&amp;$A10)+SUMIF('FUNDED DEALS 2027'!$A$4:$A$1226,$A10,'FUNDED DEALS 2027'!$AD$4:$AD$1226)+SUMIFS('FUNDED DEALS 2027'!$AD$4:$AD$1226,'FUNDED DEALS 2027'!$B$4:$B$1226,$A10,'FUNDED DEALS 2027'!$A$4:$A$1226,"&lt;&gt;"&amp;$A10))</f>
        <v/>
      </c>
      <c r="J10" s="79" t="str">
        <f aca="false">IF($A10="","",SUMIFS('FUNDED DEALS'!$O$4:$O$1226,'FUNDED DEALS'!$A$4:$A$1226,$A10,'FUNDED DEALS'!$AM$4:$AM$1226,"YES - Paid In Full")+SUMIFS('FUNDED DEALS'!$O$4:$O$1226,'FUNDED DEALS'!$B$4:$B$1226,$A10,'FUNDED DEALS'!$AM$4:$AM$1226,"YES - Paid In Full",'FUNDED DEALS'!$A$4:$A$1226,"&lt;&gt;"&amp;$A10)+SUMIFS('FUNDED DEALS 2027'!$O$4:$O$1226,'FUNDED DEALS 2027'!$A$4:$A$1226,$A10,'FUNDED DEALS 2027'!$AM$4:$AM$1226,"YES - Paid In Full")+SUMIFS('FUNDED DEALS 2027'!$O$4:$O$1226,'FUNDED DEALS 2027'!$B$4:$B$1226,$A10,'FUNDED DEALS 2027'!$AM$4:$AM$1226,"YES - Paid In Full",'FUNDED DEALS 2027'!$A$4:$A$1226,"&lt;&gt;"&amp;$A10))</f>
        <v/>
      </c>
      <c r="K10" s="79" t="str">
        <f aca="false">IF($A10="","",G10-J10-L10)</f>
        <v/>
      </c>
      <c r="L10" s="79" t="str">
        <f aca="false">IF($A10="","",SUMIF('FUNDED DEALS'!$A$4:$A$1226,$A10,'FUNDED DEALS'!$AE$4:$AE$1226)+SUMIFS('FUNDED DEALS'!$AE$4:$AE$1226,'FUNDED DEALS'!$B$4:$B$1226,$A10,'FUNDED DEALS'!$A$4:$A$1226,"&lt;&gt;"&amp;$A10)+SUMIF('FUNDED DEALS 2027'!$A$4:$A$1226,$A10,'FUNDED DEALS 2027'!$AE$4:$AE$1226)+SUMIFS('FUNDED DEALS 2027'!$AE$4:$AE$1226,'FUNDED DEALS 2027'!$B$4:$B$1226,$A10,'FUNDED DEALS 2027'!$A$4:$A$1226,"&lt;&gt;"&amp;$A10))</f>
        <v/>
      </c>
      <c r="M10" s="79" t="str">
        <f aca="false">IF($A10="","",SUMIF('FUNDED DEALS'!$A$4:$A$1226,$A10,'FUNDED DEALS'!$AL$4:$AL$1226)+SUMIFS('FUNDED DEALS'!$AL$4:$AL$1226,'FUNDED DEALS'!$B$4:$B$1226,$A10,'FUNDED DEALS'!$A$4:$A$1226,"&lt;&gt;"&amp;$A10)+SUMIF('FUNDED DEALS 2027'!$A$4:$A$1226,$A10,'FUNDED DEALS 2027'!$AL$4:$AL$1226)+SUMIFS('FUNDED DEALS 2027'!$AL$4:$AL$1226,'FUNDED DEALS 2027'!$B$4:$B$1226,$A10,'FUNDED DEALS 2027'!$A$4:$A$1226,"&lt;&gt;"&amp;$A10))</f>
        <v/>
      </c>
    </row>
    <row r="11" customFormat="false" ht="15" hidden="false" customHeight="false" outlineLevel="0" collapsed="false">
      <c r="A11" s="74" t="str">
        <f aca="false">IFERROR(IF(7&lt;='FUNDED DEALS'!$AX$920,INDEX('FUNDED DEALS'!$A:$A,MATCH(7,'FUNDED DEALS'!$AX$3:$AX$920,0)+2),INDEX('FUNDED DEALS 2027'!$A:$A,MATCH(7-'FUNDED DEALS'!$AX$920,'FUNDED DEALS 2027'!$AX$3:$AX$1226,0)+2)),"")</f>
        <v/>
      </c>
      <c r="B11" s="57" t="str">
        <f aca="false">IF($A11="","",IFERROR(INDEX('FUNDED DEALS'!$D$4:$D$1226,MATCH($A11,'FUNDED DEALS'!$A$4:$A$1226,0)),IFERROR(INDEX('FUNDED DEALS 2027'!$D$4:$D$1226,MATCH($A11,'FUNDED DEALS 2027'!$A$4:$A$1226,0)),"not found")))</f>
        <v/>
      </c>
      <c r="C11" s="57" t="str">
        <f aca="false">IF($A11="","",IFERROR(INDEX('FUNDED DEALS'!$E$4:$E$1226,MATCH($A11,'FUNDED DEALS'!$A$4:$A$1226,0)),IFERROR(INDEX('FUNDED DEALS 2027'!$E$4:$E$1226,MATCH($A11,'FUNDED DEALS 2027'!$A$4:$A$1226,0)),"not found")))</f>
        <v/>
      </c>
      <c r="D11" s="57" t="str">
        <f aca="false">IF($A11="","",IFERROR(INDEX('FUNDED DEALS'!$F$4:$F$1226,MATCH($A11,'FUNDED DEALS'!$A$4:$A$1226,0)),IFERROR(INDEX('FUNDED DEALS 2027'!$F$4:$F$1226,MATCH($A11,'FUNDED DEALS 2027'!$A$4:$A$1226,0)),"not found")))</f>
        <v/>
      </c>
      <c r="E11" s="75" t="str">
        <f aca="false">IF($A11="","",COUNTIFS('FUNDED DEALS'!$B$4:$B$1226,$A11,'FUNDED DEALS'!$A$4:$A$1226,"&lt;&gt;"&amp;$A11)+COUNTIFS('FUNDED DEALS 2027'!$B$4:$B$1226,$A11,'FUNDED DEALS 2027'!$A$4:$A$1226,"&lt;&gt;"&amp;$A11))</f>
        <v/>
      </c>
      <c r="F11" s="76" t="str">
        <f aca="false">IF($A11="","",SUMIF('FUNDED DEALS'!$A$4:$A$1226,$A11,'FUNDED DEALS'!$G$4:$G$1226)+SUMIFS('FUNDED DEALS'!$G$4:$G$1226,'FUNDED DEALS'!$B$4:$B$1226,$A11,'FUNDED DEALS'!$A$4:$A$1226,"&lt;&gt;"&amp;$A11)+SUMIF('FUNDED DEALS 2027'!$A$4:$A$1226,$A11,'FUNDED DEALS 2027'!$G$4:$G$1226)+SUMIFS('FUNDED DEALS 2027'!$G$4:$G$1226,'FUNDED DEALS 2027'!$B$4:$B$1226,$A11,'FUNDED DEALS 2027'!$A$4:$A$1226,"&lt;&gt;"&amp;$A11))</f>
        <v/>
      </c>
      <c r="G11" s="76" t="str">
        <f aca="false">IF($A11="","",SUMIF('FUNDED DEALS'!$A$4:$A$1226,$A11,'FUNDED DEALS'!$O$4:$O$1226)+SUMIFS('FUNDED DEALS'!$O$4:$O$1226,'FUNDED DEALS'!$B$4:$B$1226,$A11,'FUNDED DEALS'!$A$4:$A$1226,"&lt;&gt;"&amp;$A11)+SUMIF('FUNDED DEALS 2027'!$A$4:$A$1226,$A11,'FUNDED DEALS 2027'!$O$4:$O$1226)+SUMIFS('FUNDED DEALS 2027'!$O$4:$O$1226,'FUNDED DEALS 2027'!$B$4:$B$1226,$A11,'FUNDED DEALS 2027'!$A$4:$A$1226,"&lt;&gt;"&amp;$A11))</f>
        <v/>
      </c>
      <c r="H11" s="76" t="str">
        <f aca="false">IF($A11="","",SUMIF('FUNDED DEALS'!$A$4:$A$1226,$A11,'FUNDED DEALS'!$AC$4:$AC$1226)+SUMIFS('FUNDED DEALS'!$AC$4:$AC$1226,'FUNDED DEALS'!$B$4:$B$1226,$A11,'FUNDED DEALS'!$A$4:$A$1226,"&lt;&gt;"&amp;$A11)+SUMIF('FUNDED DEALS 2027'!$A$4:$A$1226,$A11,'FUNDED DEALS 2027'!$AC$4:$AC$1226)+SUMIFS('FUNDED DEALS 2027'!$AC$4:$AC$1226,'FUNDED DEALS 2027'!$B$4:$B$1226,$A11,'FUNDED DEALS 2027'!$A$4:$A$1226,"&lt;&gt;"&amp;$A11))</f>
        <v/>
      </c>
      <c r="I11" s="76" t="str">
        <f aca="false">IF($A11="","",SUMIF('FUNDED DEALS'!$A$4:$A$1226,$A11,'FUNDED DEALS'!$AD$4:$AD$1226)+SUMIFS('FUNDED DEALS'!$AD$4:$AD$1226,'FUNDED DEALS'!$B$4:$B$1226,$A11,'FUNDED DEALS'!$A$4:$A$1226,"&lt;&gt;"&amp;$A11)+SUMIF('FUNDED DEALS 2027'!$A$4:$A$1226,$A11,'FUNDED DEALS 2027'!$AD$4:$AD$1226)+SUMIFS('FUNDED DEALS 2027'!$AD$4:$AD$1226,'FUNDED DEALS 2027'!$B$4:$B$1226,$A11,'FUNDED DEALS 2027'!$A$4:$A$1226,"&lt;&gt;"&amp;$A11))</f>
        <v/>
      </c>
      <c r="J11" s="76" t="str">
        <f aca="false">IF($A11="","",SUMIFS('FUNDED DEALS'!$O$4:$O$1226,'FUNDED DEALS'!$A$4:$A$1226,$A11,'FUNDED DEALS'!$AM$4:$AM$1226,"YES - Paid In Full")+SUMIFS('FUNDED DEALS'!$O$4:$O$1226,'FUNDED DEALS'!$B$4:$B$1226,$A11,'FUNDED DEALS'!$AM$4:$AM$1226,"YES - Paid In Full",'FUNDED DEALS'!$A$4:$A$1226,"&lt;&gt;"&amp;$A11)+SUMIFS('FUNDED DEALS 2027'!$O$4:$O$1226,'FUNDED DEALS 2027'!$A$4:$A$1226,$A11,'FUNDED DEALS 2027'!$AM$4:$AM$1226,"YES - Paid In Full")+SUMIFS('FUNDED DEALS 2027'!$O$4:$O$1226,'FUNDED DEALS 2027'!$B$4:$B$1226,$A11,'FUNDED DEALS 2027'!$AM$4:$AM$1226,"YES - Paid In Full",'FUNDED DEALS 2027'!$A$4:$A$1226,"&lt;&gt;"&amp;$A11))</f>
        <v/>
      </c>
      <c r="K11" s="76" t="str">
        <f aca="false">IF($A11="","",G11-J11-L11)</f>
        <v/>
      </c>
      <c r="L11" s="76" t="str">
        <f aca="false">IF($A11="","",SUMIF('FUNDED DEALS'!$A$4:$A$1226,$A11,'FUNDED DEALS'!$AE$4:$AE$1226)+SUMIFS('FUNDED DEALS'!$AE$4:$AE$1226,'FUNDED DEALS'!$B$4:$B$1226,$A11,'FUNDED DEALS'!$A$4:$A$1226,"&lt;&gt;"&amp;$A11)+SUMIF('FUNDED DEALS 2027'!$A$4:$A$1226,$A11,'FUNDED DEALS 2027'!$AE$4:$AE$1226)+SUMIFS('FUNDED DEALS 2027'!$AE$4:$AE$1226,'FUNDED DEALS 2027'!$B$4:$B$1226,$A11,'FUNDED DEALS 2027'!$A$4:$A$1226,"&lt;&gt;"&amp;$A11))</f>
        <v/>
      </c>
      <c r="M11" s="76" t="str">
        <f aca="false">IF($A11="","",SUMIF('FUNDED DEALS'!$A$4:$A$1226,$A11,'FUNDED DEALS'!$AL$4:$AL$1226)+SUMIFS('FUNDED DEALS'!$AL$4:$AL$1226,'FUNDED DEALS'!$B$4:$B$1226,$A11,'FUNDED DEALS'!$A$4:$A$1226,"&lt;&gt;"&amp;$A11)+SUMIF('FUNDED DEALS 2027'!$A$4:$A$1226,$A11,'FUNDED DEALS 2027'!$AL$4:$AL$1226)+SUMIFS('FUNDED DEALS 2027'!$AL$4:$AL$1226,'FUNDED DEALS 2027'!$B$4:$B$1226,$A11,'FUNDED DEALS 2027'!$A$4:$A$1226,"&lt;&gt;"&amp;$A11))</f>
        <v/>
      </c>
    </row>
    <row r="12" customFormat="false" ht="15" hidden="false" customHeight="false" outlineLevel="0" collapsed="false">
      <c r="A12" s="77" t="str">
        <f aca="false">IFERROR(IF(8&lt;='FUNDED DEALS'!$AX$920,INDEX('FUNDED DEALS'!$A:$A,MATCH(8,'FUNDED DEALS'!$AX$3:$AX$920,0)+2),INDEX('FUNDED DEALS 2027'!$A:$A,MATCH(8-'FUNDED DEALS'!$AX$920,'FUNDED DEALS 2027'!$AX$3:$AX$1226,0)+2)),"")</f>
        <v/>
      </c>
      <c r="B12" s="55" t="str">
        <f aca="false">IF($A12="","",IFERROR(INDEX('FUNDED DEALS'!$D$4:$D$1226,MATCH($A12,'FUNDED DEALS'!$A$4:$A$1226,0)),IFERROR(INDEX('FUNDED DEALS 2027'!$D$4:$D$1226,MATCH($A12,'FUNDED DEALS 2027'!$A$4:$A$1226,0)),"not found")))</f>
        <v/>
      </c>
      <c r="C12" s="55" t="str">
        <f aca="false">IF($A12="","",IFERROR(INDEX('FUNDED DEALS'!$E$4:$E$1226,MATCH($A12,'FUNDED DEALS'!$A$4:$A$1226,0)),IFERROR(INDEX('FUNDED DEALS 2027'!$E$4:$E$1226,MATCH($A12,'FUNDED DEALS 2027'!$A$4:$A$1226,0)),"not found")))</f>
        <v/>
      </c>
      <c r="D12" s="55" t="str">
        <f aca="false">IF($A12="","",IFERROR(INDEX('FUNDED DEALS'!$F$4:$F$1226,MATCH($A12,'FUNDED DEALS'!$A$4:$A$1226,0)),IFERROR(INDEX('FUNDED DEALS 2027'!$F$4:$F$1226,MATCH($A12,'FUNDED DEALS 2027'!$A$4:$A$1226,0)),"not found")))</f>
        <v/>
      </c>
      <c r="E12" s="78" t="str">
        <f aca="false">IF($A12="","",COUNTIFS('FUNDED DEALS'!$B$4:$B$1226,$A12,'FUNDED DEALS'!$A$4:$A$1226,"&lt;&gt;"&amp;$A12)+COUNTIFS('FUNDED DEALS 2027'!$B$4:$B$1226,$A12,'FUNDED DEALS 2027'!$A$4:$A$1226,"&lt;&gt;"&amp;$A12))</f>
        <v/>
      </c>
      <c r="F12" s="79" t="str">
        <f aca="false">IF($A12="","",SUMIF('FUNDED DEALS'!$A$4:$A$1226,$A12,'FUNDED DEALS'!$G$4:$G$1226)+SUMIFS('FUNDED DEALS'!$G$4:$G$1226,'FUNDED DEALS'!$B$4:$B$1226,$A12,'FUNDED DEALS'!$A$4:$A$1226,"&lt;&gt;"&amp;$A12)+SUMIF('FUNDED DEALS 2027'!$A$4:$A$1226,$A12,'FUNDED DEALS 2027'!$G$4:$G$1226)+SUMIFS('FUNDED DEALS 2027'!$G$4:$G$1226,'FUNDED DEALS 2027'!$B$4:$B$1226,$A12,'FUNDED DEALS 2027'!$A$4:$A$1226,"&lt;&gt;"&amp;$A12))</f>
        <v/>
      </c>
      <c r="G12" s="79" t="str">
        <f aca="false">IF($A12="","",SUMIF('FUNDED DEALS'!$A$4:$A$1226,$A12,'FUNDED DEALS'!$O$4:$O$1226)+SUMIFS('FUNDED DEALS'!$O$4:$O$1226,'FUNDED DEALS'!$B$4:$B$1226,$A12,'FUNDED DEALS'!$A$4:$A$1226,"&lt;&gt;"&amp;$A12)+SUMIF('FUNDED DEALS 2027'!$A$4:$A$1226,$A12,'FUNDED DEALS 2027'!$O$4:$O$1226)+SUMIFS('FUNDED DEALS 2027'!$O$4:$O$1226,'FUNDED DEALS 2027'!$B$4:$B$1226,$A12,'FUNDED DEALS 2027'!$A$4:$A$1226,"&lt;&gt;"&amp;$A12))</f>
        <v/>
      </c>
      <c r="H12" s="79" t="str">
        <f aca="false">IF($A12="","",SUMIF('FUNDED DEALS'!$A$4:$A$1226,$A12,'FUNDED DEALS'!$AC$4:$AC$1226)+SUMIFS('FUNDED DEALS'!$AC$4:$AC$1226,'FUNDED DEALS'!$B$4:$B$1226,$A12,'FUNDED DEALS'!$A$4:$A$1226,"&lt;&gt;"&amp;$A12)+SUMIF('FUNDED DEALS 2027'!$A$4:$A$1226,$A12,'FUNDED DEALS 2027'!$AC$4:$AC$1226)+SUMIFS('FUNDED DEALS 2027'!$AC$4:$AC$1226,'FUNDED DEALS 2027'!$B$4:$B$1226,$A12,'FUNDED DEALS 2027'!$A$4:$A$1226,"&lt;&gt;"&amp;$A12))</f>
        <v/>
      </c>
      <c r="I12" s="79" t="str">
        <f aca="false">IF($A12="","",SUMIF('FUNDED DEALS'!$A$4:$A$1226,$A12,'FUNDED DEALS'!$AD$4:$AD$1226)+SUMIFS('FUNDED DEALS'!$AD$4:$AD$1226,'FUNDED DEALS'!$B$4:$B$1226,$A12,'FUNDED DEALS'!$A$4:$A$1226,"&lt;&gt;"&amp;$A12)+SUMIF('FUNDED DEALS 2027'!$A$4:$A$1226,$A12,'FUNDED DEALS 2027'!$AD$4:$AD$1226)+SUMIFS('FUNDED DEALS 2027'!$AD$4:$AD$1226,'FUNDED DEALS 2027'!$B$4:$B$1226,$A12,'FUNDED DEALS 2027'!$A$4:$A$1226,"&lt;&gt;"&amp;$A12))</f>
        <v/>
      </c>
      <c r="J12" s="79" t="str">
        <f aca="false">IF($A12="","",SUMIFS('FUNDED DEALS'!$O$4:$O$1226,'FUNDED DEALS'!$A$4:$A$1226,$A12,'FUNDED DEALS'!$AM$4:$AM$1226,"YES - Paid In Full")+SUMIFS('FUNDED DEALS'!$O$4:$O$1226,'FUNDED DEALS'!$B$4:$B$1226,$A12,'FUNDED DEALS'!$AM$4:$AM$1226,"YES - Paid In Full",'FUNDED DEALS'!$A$4:$A$1226,"&lt;&gt;"&amp;$A12)+SUMIFS('FUNDED DEALS 2027'!$O$4:$O$1226,'FUNDED DEALS 2027'!$A$4:$A$1226,$A12,'FUNDED DEALS 2027'!$AM$4:$AM$1226,"YES - Paid In Full")+SUMIFS('FUNDED DEALS 2027'!$O$4:$O$1226,'FUNDED DEALS 2027'!$B$4:$B$1226,$A12,'FUNDED DEALS 2027'!$AM$4:$AM$1226,"YES - Paid In Full",'FUNDED DEALS 2027'!$A$4:$A$1226,"&lt;&gt;"&amp;$A12))</f>
        <v/>
      </c>
      <c r="K12" s="79" t="str">
        <f aca="false">IF($A12="","",G12-J12-L12)</f>
        <v/>
      </c>
      <c r="L12" s="79" t="str">
        <f aca="false">IF($A12="","",SUMIF('FUNDED DEALS'!$A$4:$A$1226,$A12,'FUNDED DEALS'!$AE$4:$AE$1226)+SUMIFS('FUNDED DEALS'!$AE$4:$AE$1226,'FUNDED DEALS'!$B$4:$B$1226,$A12,'FUNDED DEALS'!$A$4:$A$1226,"&lt;&gt;"&amp;$A12)+SUMIF('FUNDED DEALS 2027'!$A$4:$A$1226,$A12,'FUNDED DEALS 2027'!$AE$4:$AE$1226)+SUMIFS('FUNDED DEALS 2027'!$AE$4:$AE$1226,'FUNDED DEALS 2027'!$B$4:$B$1226,$A12,'FUNDED DEALS 2027'!$A$4:$A$1226,"&lt;&gt;"&amp;$A12))</f>
        <v/>
      </c>
      <c r="M12" s="79" t="str">
        <f aca="false">IF($A12="","",SUMIF('FUNDED DEALS'!$A$4:$A$1226,$A12,'FUNDED DEALS'!$AL$4:$AL$1226)+SUMIFS('FUNDED DEALS'!$AL$4:$AL$1226,'FUNDED DEALS'!$B$4:$B$1226,$A12,'FUNDED DEALS'!$A$4:$A$1226,"&lt;&gt;"&amp;$A12)+SUMIF('FUNDED DEALS 2027'!$A$4:$A$1226,$A12,'FUNDED DEALS 2027'!$AL$4:$AL$1226)+SUMIFS('FUNDED DEALS 2027'!$AL$4:$AL$1226,'FUNDED DEALS 2027'!$B$4:$B$1226,$A12,'FUNDED DEALS 2027'!$A$4:$A$1226,"&lt;&gt;"&amp;$A12))</f>
        <v/>
      </c>
    </row>
    <row r="13" customFormat="false" ht="15" hidden="false" customHeight="false" outlineLevel="0" collapsed="false">
      <c r="A13" s="74" t="str">
        <f aca="false">IFERROR(IF(9&lt;='FUNDED DEALS'!$AX$920,INDEX('FUNDED DEALS'!$A:$A,MATCH(9,'FUNDED DEALS'!$AX$3:$AX$920,0)+2),INDEX('FUNDED DEALS 2027'!$A:$A,MATCH(9-'FUNDED DEALS'!$AX$920,'FUNDED DEALS 2027'!$AX$3:$AX$1226,0)+2)),"")</f>
        <v/>
      </c>
      <c r="B13" s="57" t="str">
        <f aca="false">IF($A13="","",IFERROR(INDEX('FUNDED DEALS'!$D$4:$D$1226,MATCH($A13,'FUNDED DEALS'!$A$4:$A$1226,0)),IFERROR(INDEX('FUNDED DEALS 2027'!$D$4:$D$1226,MATCH($A13,'FUNDED DEALS 2027'!$A$4:$A$1226,0)),"not found")))</f>
        <v/>
      </c>
      <c r="C13" s="57" t="str">
        <f aca="false">IF($A13="","",IFERROR(INDEX('FUNDED DEALS'!$E$4:$E$1226,MATCH($A13,'FUNDED DEALS'!$A$4:$A$1226,0)),IFERROR(INDEX('FUNDED DEALS 2027'!$E$4:$E$1226,MATCH($A13,'FUNDED DEALS 2027'!$A$4:$A$1226,0)),"not found")))</f>
        <v/>
      </c>
      <c r="D13" s="57" t="str">
        <f aca="false">IF($A13="","",IFERROR(INDEX('FUNDED DEALS'!$F$4:$F$1226,MATCH($A13,'FUNDED DEALS'!$A$4:$A$1226,0)),IFERROR(INDEX('FUNDED DEALS 2027'!$F$4:$F$1226,MATCH($A13,'FUNDED DEALS 2027'!$A$4:$A$1226,0)),"not found")))</f>
        <v/>
      </c>
      <c r="E13" s="75" t="str">
        <f aca="false">IF($A13="","",COUNTIFS('FUNDED DEALS'!$B$4:$B$1226,$A13,'FUNDED DEALS'!$A$4:$A$1226,"&lt;&gt;"&amp;$A13)+COUNTIFS('FUNDED DEALS 2027'!$B$4:$B$1226,$A13,'FUNDED DEALS 2027'!$A$4:$A$1226,"&lt;&gt;"&amp;$A13))</f>
        <v/>
      </c>
      <c r="F13" s="76" t="str">
        <f aca="false">IF($A13="","",SUMIF('FUNDED DEALS'!$A$4:$A$1226,$A13,'FUNDED DEALS'!$G$4:$G$1226)+SUMIFS('FUNDED DEALS'!$G$4:$G$1226,'FUNDED DEALS'!$B$4:$B$1226,$A13,'FUNDED DEALS'!$A$4:$A$1226,"&lt;&gt;"&amp;$A13)+SUMIF('FUNDED DEALS 2027'!$A$4:$A$1226,$A13,'FUNDED DEALS 2027'!$G$4:$G$1226)+SUMIFS('FUNDED DEALS 2027'!$G$4:$G$1226,'FUNDED DEALS 2027'!$B$4:$B$1226,$A13,'FUNDED DEALS 2027'!$A$4:$A$1226,"&lt;&gt;"&amp;$A13))</f>
        <v/>
      </c>
      <c r="G13" s="76" t="str">
        <f aca="false">IF($A13="","",SUMIF('FUNDED DEALS'!$A$4:$A$1226,$A13,'FUNDED DEALS'!$O$4:$O$1226)+SUMIFS('FUNDED DEALS'!$O$4:$O$1226,'FUNDED DEALS'!$B$4:$B$1226,$A13,'FUNDED DEALS'!$A$4:$A$1226,"&lt;&gt;"&amp;$A13)+SUMIF('FUNDED DEALS 2027'!$A$4:$A$1226,$A13,'FUNDED DEALS 2027'!$O$4:$O$1226)+SUMIFS('FUNDED DEALS 2027'!$O$4:$O$1226,'FUNDED DEALS 2027'!$B$4:$B$1226,$A13,'FUNDED DEALS 2027'!$A$4:$A$1226,"&lt;&gt;"&amp;$A13))</f>
        <v/>
      </c>
      <c r="H13" s="76" t="str">
        <f aca="false">IF($A13="","",SUMIF('FUNDED DEALS'!$A$4:$A$1226,$A13,'FUNDED DEALS'!$AC$4:$AC$1226)+SUMIFS('FUNDED DEALS'!$AC$4:$AC$1226,'FUNDED DEALS'!$B$4:$B$1226,$A13,'FUNDED DEALS'!$A$4:$A$1226,"&lt;&gt;"&amp;$A13)+SUMIF('FUNDED DEALS 2027'!$A$4:$A$1226,$A13,'FUNDED DEALS 2027'!$AC$4:$AC$1226)+SUMIFS('FUNDED DEALS 2027'!$AC$4:$AC$1226,'FUNDED DEALS 2027'!$B$4:$B$1226,$A13,'FUNDED DEALS 2027'!$A$4:$A$1226,"&lt;&gt;"&amp;$A13))</f>
        <v/>
      </c>
      <c r="I13" s="76" t="str">
        <f aca="false">IF($A13="","",SUMIF('FUNDED DEALS'!$A$4:$A$1226,$A13,'FUNDED DEALS'!$AD$4:$AD$1226)+SUMIFS('FUNDED DEALS'!$AD$4:$AD$1226,'FUNDED DEALS'!$B$4:$B$1226,$A13,'FUNDED DEALS'!$A$4:$A$1226,"&lt;&gt;"&amp;$A13)+SUMIF('FUNDED DEALS 2027'!$A$4:$A$1226,$A13,'FUNDED DEALS 2027'!$AD$4:$AD$1226)+SUMIFS('FUNDED DEALS 2027'!$AD$4:$AD$1226,'FUNDED DEALS 2027'!$B$4:$B$1226,$A13,'FUNDED DEALS 2027'!$A$4:$A$1226,"&lt;&gt;"&amp;$A13))</f>
        <v/>
      </c>
      <c r="J13" s="76" t="str">
        <f aca="false">IF($A13="","",SUMIFS('FUNDED DEALS'!$O$4:$O$1226,'FUNDED DEALS'!$A$4:$A$1226,$A13,'FUNDED DEALS'!$AM$4:$AM$1226,"YES - Paid In Full")+SUMIFS('FUNDED DEALS'!$O$4:$O$1226,'FUNDED DEALS'!$B$4:$B$1226,$A13,'FUNDED DEALS'!$AM$4:$AM$1226,"YES - Paid In Full",'FUNDED DEALS'!$A$4:$A$1226,"&lt;&gt;"&amp;$A13)+SUMIFS('FUNDED DEALS 2027'!$O$4:$O$1226,'FUNDED DEALS 2027'!$A$4:$A$1226,$A13,'FUNDED DEALS 2027'!$AM$4:$AM$1226,"YES - Paid In Full")+SUMIFS('FUNDED DEALS 2027'!$O$4:$O$1226,'FUNDED DEALS 2027'!$B$4:$B$1226,$A13,'FUNDED DEALS 2027'!$AM$4:$AM$1226,"YES - Paid In Full",'FUNDED DEALS 2027'!$A$4:$A$1226,"&lt;&gt;"&amp;$A13))</f>
        <v/>
      </c>
      <c r="K13" s="76" t="str">
        <f aca="false">IF($A13="","",G13-J13-L13)</f>
        <v/>
      </c>
      <c r="L13" s="76" t="str">
        <f aca="false">IF($A13="","",SUMIF('FUNDED DEALS'!$A$4:$A$1226,$A13,'FUNDED DEALS'!$AE$4:$AE$1226)+SUMIFS('FUNDED DEALS'!$AE$4:$AE$1226,'FUNDED DEALS'!$B$4:$B$1226,$A13,'FUNDED DEALS'!$A$4:$A$1226,"&lt;&gt;"&amp;$A13)+SUMIF('FUNDED DEALS 2027'!$A$4:$A$1226,$A13,'FUNDED DEALS 2027'!$AE$4:$AE$1226)+SUMIFS('FUNDED DEALS 2027'!$AE$4:$AE$1226,'FUNDED DEALS 2027'!$B$4:$B$1226,$A13,'FUNDED DEALS 2027'!$A$4:$A$1226,"&lt;&gt;"&amp;$A13))</f>
        <v/>
      </c>
      <c r="M13" s="76" t="str">
        <f aca="false">IF($A13="","",SUMIF('FUNDED DEALS'!$A$4:$A$1226,$A13,'FUNDED DEALS'!$AL$4:$AL$1226)+SUMIFS('FUNDED DEALS'!$AL$4:$AL$1226,'FUNDED DEALS'!$B$4:$B$1226,$A13,'FUNDED DEALS'!$A$4:$A$1226,"&lt;&gt;"&amp;$A13)+SUMIF('FUNDED DEALS 2027'!$A$4:$A$1226,$A13,'FUNDED DEALS 2027'!$AL$4:$AL$1226)+SUMIFS('FUNDED DEALS 2027'!$AL$4:$AL$1226,'FUNDED DEALS 2027'!$B$4:$B$1226,$A13,'FUNDED DEALS 2027'!$A$4:$A$1226,"&lt;&gt;"&amp;$A13))</f>
        <v/>
      </c>
    </row>
    <row r="14" customFormat="false" ht="15" hidden="false" customHeight="false" outlineLevel="0" collapsed="false">
      <c r="A14" s="77" t="str">
        <f aca="false">IFERROR(IF(10&lt;='FUNDED DEALS'!$AX$920,INDEX('FUNDED DEALS'!$A:$A,MATCH(10,'FUNDED DEALS'!$AX$3:$AX$920,0)+2),INDEX('FUNDED DEALS 2027'!$A:$A,MATCH(10-'FUNDED DEALS'!$AX$920,'FUNDED DEALS 2027'!$AX$3:$AX$1226,0)+2)),"")</f>
        <v/>
      </c>
      <c r="B14" s="55" t="str">
        <f aca="false">IF($A14="","",IFERROR(INDEX('FUNDED DEALS'!$D$4:$D$1226,MATCH($A14,'FUNDED DEALS'!$A$4:$A$1226,0)),IFERROR(INDEX('FUNDED DEALS 2027'!$D$4:$D$1226,MATCH($A14,'FUNDED DEALS 2027'!$A$4:$A$1226,0)),"not found")))</f>
        <v/>
      </c>
      <c r="C14" s="55" t="str">
        <f aca="false">IF($A14="","",IFERROR(INDEX('FUNDED DEALS'!$E$4:$E$1226,MATCH($A14,'FUNDED DEALS'!$A$4:$A$1226,0)),IFERROR(INDEX('FUNDED DEALS 2027'!$E$4:$E$1226,MATCH($A14,'FUNDED DEALS 2027'!$A$4:$A$1226,0)),"not found")))</f>
        <v/>
      </c>
      <c r="D14" s="55" t="str">
        <f aca="false">IF($A14="","",IFERROR(INDEX('FUNDED DEALS'!$F$4:$F$1226,MATCH($A14,'FUNDED DEALS'!$A$4:$A$1226,0)),IFERROR(INDEX('FUNDED DEALS 2027'!$F$4:$F$1226,MATCH($A14,'FUNDED DEALS 2027'!$A$4:$A$1226,0)),"not found")))</f>
        <v/>
      </c>
      <c r="E14" s="78" t="str">
        <f aca="false">IF($A14="","",COUNTIFS('FUNDED DEALS'!$B$4:$B$1226,$A14,'FUNDED DEALS'!$A$4:$A$1226,"&lt;&gt;"&amp;$A14)+COUNTIFS('FUNDED DEALS 2027'!$B$4:$B$1226,$A14,'FUNDED DEALS 2027'!$A$4:$A$1226,"&lt;&gt;"&amp;$A14))</f>
        <v/>
      </c>
      <c r="F14" s="79" t="str">
        <f aca="false">IF($A14="","",SUMIF('FUNDED DEALS'!$A$4:$A$1226,$A14,'FUNDED DEALS'!$G$4:$G$1226)+SUMIFS('FUNDED DEALS'!$G$4:$G$1226,'FUNDED DEALS'!$B$4:$B$1226,$A14,'FUNDED DEALS'!$A$4:$A$1226,"&lt;&gt;"&amp;$A14)+SUMIF('FUNDED DEALS 2027'!$A$4:$A$1226,$A14,'FUNDED DEALS 2027'!$G$4:$G$1226)+SUMIFS('FUNDED DEALS 2027'!$G$4:$G$1226,'FUNDED DEALS 2027'!$B$4:$B$1226,$A14,'FUNDED DEALS 2027'!$A$4:$A$1226,"&lt;&gt;"&amp;$A14))</f>
        <v/>
      </c>
      <c r="G14" s="79" t="str">
        <f aca="false">IF($A14="","",SUMIF('FUNDED DEALS'!$A$4:$A$1226,$A14,'FUNDED DEALS'!$O$4:$O$1226)+SUMIFS('FUNDED DEALS'!$O$4:$O$1226,'FUNDED DEALS'!$B$4:$B$1226,$A14,'FUNDED DEALS'!$A$4:$A$1226,"&lt;&gt;"&amp;$A14)+SUMIF('FUNDED DEALS 2027'!$A$4:$A$1226,$A14,'FUNDED DEALS 2027'!$O$4:$O$1226)+SUMIFS('FUNDED DEALS 2027'!$O$4:$O$1226,'FUNDED DEALS 2027'!$B$4:$B$1226,$A14,'FUNDED DEALS 2027'!$A$4:$A$1226,"&lt;&gt;"&amp;$A14))</f>
        <v/>
      </c>
      <c r="H14" s="79" t="str">
        <f aca="false">IF($A14="","",SUMIF('FUNDED DEALS'!$A$4:$A$1226,$A14,'FUNDED DEALS'!$AC$4:$AC$1226)+SUMIFS('FUNDED DEALS'!$AC$4:$AC$1226,'FUNDED DEALS'!$B$4:$B$1226,$A14,'FUNDED DEALS'!$A$4:$A$1226,"&lt;&gt;"&amp;$A14)+SUMIF('FUNDED DEALS 2027'!$A$4:$A$1226,$A14,'FUNDED DEALS 2027'!$AC$4:$AC$1226)+SUMIFS('FUNDED DEALS 2027'!$AC$4:$AC$1226,'FUNDED DEALS 2027'!$B$4:$B$1226,$A14,'FUNDED DEALS 2027'!$A$4:$A$1226,"&lt;&gt;"&amp;$A14))</f>
        <v/>
      </c>
      <c r="I14" s="79" t="str">
        <f aca="false">IF($A14="","",SUMIF('FUNDED DEALS'!$A$4:$A$1226,$A14,'FUNDED DEALS'!$AD$4:$AD$1226)+SUMIFS('FUNDED DEALS'!$AD$4:$AD$1226,'FUNDED DEALS'!$B$4:$B$1226,$A14,'FUNDED DEALS'!$A$4:$A$1226,"&lt;&gt;"&amp;$A14)+SUMIF('FUNDED DEALS 2027'!$A$4:$A$1226,$A14,'FUNDED DEALS 2027'!$AD$4:$AD$1226)+SUMIFS('FUNDED DEALS 2027'!$AD$4:$AD$1226,'FUNDED DEALS 2027'!$B$4:$B$1226,$A14,'FUNDED DEALS 2027'!$A$4:$A$1226,"&lt;&gt;"&amp;$A14))</f>
        <v/>
      </c>
      <c r="J14" s="79" t="str">
        <f aca="false">IF($A14="","",SUMIFS('FUNDED DEALS'!$O$4:$O$1226,'FUNDED DEALS'!$A$4:$A$1226,$A14,'FUNDED DEALS'!$AM$4:$AM$1226,"YES - Paid In Full")+SUMIFS('FUNDED DEALS'!$O$4:$O$1226,'FUNDED DEALS'!$B$4:$B$1226,$A14,'FUNDED DEALS'!$AM$4:$AM$1226,"YES - Paid In Full",'FUNDED DEALS'!$A$4:$A$1226,"&lt;&gt;"&amp;$A14)+SUMIFS('FUNDED DEALS 2027'!$O$4:$O$1226,'FUNDED DEALS 2027'!$A$4:$A$1226,$A14,'FUNDED DEALS 2027'!$AM$4:$AM$1226,"YES - Paid In Full")+SUMIFS('FUNDED DEALS 2027'!$O$4:$O$1226,'FUNDED DEALS 2027'!$B$4:$B$1226,$A14,'FUNDED DEALS 2027'!$AM$4:$AM$1226,"YES - Paid In Full",'FUNDED DEALS 2027'!$A$4:$A$1226,"&lt;&gt;"&amp;$A14))</f>
        <v/>
      </c>
      <c r="K14" s="79" t="str">
        <f aca="false">IF($A14="","",G14-J14-L14)</f>
        <v/>
      </c>
      <c r="L14" s="79" t="str">
        <f aca="false">IF($A14="","",SUMIF('FUNDED DEALS'!$A$4:$A$1226,$A14,'FUNDED DEALS'!$AE$4:$AE$1226)+SUMIFS('FUNDED DEALS'!$AE$4:$AE$1226,'FUNDED DEALS'!$B$4:$B$1226,$A14,'FUNDED DEALS'!$A$4:$A$1226,"&lt;&gt;"&amp;$A14)+SUMIF('FUNDED DEALS 2027'!$A$4:$A$1226,$A14,'FUNDED DEALS 2027'!$AE$4:$AE$1226)+SUMIFS('FUNDED DEALS 2027'!$AE$4:$AE$1226,'FUNDED DEALS 2027'!$B$4:$B$1226,$A14,'FUNDED DEALS 2027'!$A$4:$A$1226,"&lt;&gt;"&amp;$A14))</f>
        <v/>
      </c>
      <c r="M14" s="79" t="str">
        <f aca="false">IF($A14="","",SUMIF('FUNDED DEALS'!$A$4:$A$1226,$A14,'FUNDED DEALS'!$AL$4:$AL$1226)+SUMIFS('FUNDED DEALS'!$AL$4:$AL$1226,'FUNDED DEALS'!$B$4:$B$1226,$A14,'FUNDED DEALS'!$A$4:$A$1226,"&lt;&gt;"&amp;$A14)+SUMIF('FUNDED DEALS 2027'!$A$4:$A$1226,$A14,'FUNDED DEALS 2027'!$AL$4:$AL$1226)+SUMIFS('FUNDED DEALS 2027'!$AL$4:$AL$1226,'FUNDED DEALS 2027'!$B$4:$B$1226,$A14,'FUNDED DEALS 2027'!$A$4:$A$1226,"&lt;&gt;"&amp;$A14))</f>
        <v/>
      </c>
    </row>
    <row r="15" customFormat="false" ht="15" hidden="false" customHeight="false" outlineLevel="0" collapsed="false">
      <c r="A15" s="74" t="str">
        <f aca="false">IFERROR(IF(11&lt;='FUNDED DEALS'!$AX$920,INDEX('FUNDED DEALS'!$A:$A,MATCH(11,'FUNDED DEALS'!$AX$3:$AX$920,0)+2),INDEX('FUNDED DEALS 2027'!$A:$A,MATCH(11-'FUNDED DEALS'!$AX$920,'FUNDED DEALS 2027'!$AX$3:$AX$1226,0)+2)),"")</f>
        <v/>
      </c>
      <c r="B15" s="57" t="str">
        <f aca="false">IF($A15="","",IFERROR(INDEX('FUNDED DEALS'!$D$4:$D$1226,MATCH($A15,'FUNDED DEALS'!$A$4:$A$1226,0)),IFERROR(INDEX('FUNDED DEALS 2027'!$D$4:$D$1226,MATCH($A15,'FUNDED DEALS 2027'!$A$4:$A$1226,0)),"not found")))</f>
        <v/>
      </c>
      <c r="C15" s="57" t="str">
        <f aca="false">IF($A15="","",IFERROR(INDEX('FUNDED DEALS'!$E$4:$E$1226,MATCH($A15,'FUNDED DEALS'!$A$4:$A$1226,0)),IFERROR(INDEX('FUNDED DEALS 2027'!$E$4:$E$1226,MATCH($A15,'FUNDED DEALS 2027'!$A$4:$A$1226,0)),"not found")))</f>
        <v/>
      </c>
      <c r="D15" s="57" t="str">
        <f aca="false">IF($A15="","",IFERROR(INDEX('FUNDED DEALS'!$F$4:$F$1226,MATCH($A15,'FUNDED DEALS'!$A$4:$A$1226,0)),IFERROR(INDEX('FUNDED DEALS 2027'!$F$4:$F$1226,MATCH($A15,'FUNDED DEALS 2027'!$A$4:$A$1226,0)),"not found")))</f>
        <v/>
      </c>
      <c r="E15" s="75" t="str">
        <f aca="false">IF($A15="","",COUNTIFS('FUNDED DEALS'!$B$4:$B$1226,$A15,'FUNDED DEALS'!$A$4:$A$1226,"&lt;&gt;"&amp;$A15)+COUNTIFS('FUNDED DEALS 2027'!$B$4:$B$1226,$A15,'FUNDED DEALS 2027'!$A$4:$A$1226,"&lt;&gt;"&amp;$A15))</f>
        <v/>
      </c>
      <c r="F15" s="76" t="str">
        <f aca="false">IF($A15="","",SUMIF('FUNDED DEALS'!$A$4:$A$1226,$A15,'FUNDED DEALS'!$G$4:$G$1226)+SUMIFS('FUNDED DEALS'!$G$4:$G$1226,'FUNDED DEALS'!$B$4:$B$1226,$A15,'FUNDED DEALS'!$A$4:$A$1226,"&lt;&gt;"&amp;$A15)+SUMIF('FUNDED DEALS 2027'!$A$4:$A$1226,$A15,'FUNDED DEALS 2027'!$G$4:$G$1226)+SUMIFS('FUNDED DEALS 2027'!$G$4:$G$1226,'FUNDED DEALS 2027'!$B$4:$B$1226,$A15,'FUNDED DEALS 2027'!$A$4:$A$1226,"&lt;&gt;"&amp;$A15))</f>
        <v/>
      </c>
      <c r="G15" s="76" t="str">
        <f aca="false">IF($A15="","",SUMIF('FUNDED DEALS'!$A$4:$A$1226,$A15,'FUNDED DEALS'!$O$4:$O$1226)+SUMIFS('FUNDED DEALS'!$O$4:$O$1226,'FUNDED DEALS'!$B$4:$B$1226,$A15,'FUNDED DEALS'!$A$4:$A$1226,"&lt;&gt;"&amp;$A15)+SUMIF('FUNDED DEALS 2027'!$A$4:$A$1226,$A15,'FUNDED DEALS 2027'!$O$4:$O$1226)+SUMIFS('FUNDED DEALS 2027'!$O$4:$O$1226,'FUNDED DEALS 2027'!$B$4:$B$1226,$A15,'FUNDED DEALS 2027'!$A$4:$A$1226,"&lt;&gt;"&amp;$A15))</f>
        <v/>
      </c>
      <c r="H15" s="76" t="str">
        <f aca="false">IF($A15="","",SUMIF('FUNDED DEALS'!$A$4:$A$1226,$A15,'FUNDED DEALS'!$AC$4:$AC$1226)+SUMIFS('FUNDED DEALS'!$AC$4:$AC$1226,'FUNDED DEALS'!$B$4:$B$1226,$A15,'FUNDED DEALS'!$A$4:$A$1226,"&lt;&gt;"&amp;$A15)+SUMIF('FUNDED DEALS 2027'!$A$4:$A$1226,$A15,'FUNDED DEALS 2027'!$AC$4:$AC$1226)+SUMIFS('FUNDED DEALS 2027'!$AC$4:$AC$1226,'FUNDED DEALS 2027'!$B$4:$B$1226,$A15,'FUNDED DEALS 2027'!$A$4:$A$1226,"&lt;&gt;"&amp;$A15))</f>
        <v/>
      </c>
      <c r="I15" s="76" t="str">
        <f aca="false">IF($A15="","",SUMIF('FUNDED DEALS'!$A$4:$A$1226,$A15,'FUNDED DEALS'!$AD$4:$AD$1226)+SUMIFS('FUNDED DEALS'!$AD$4:$AD$1226,'FUNDED DEALS'!$B$4:$B$1226,$A15,'FUNDED DEALS'!$A$4:$A$1226,"&lt;&gt;"&amp;$A15)+SUMIF('FUNDED DEALS 2027'!$A$4:$A$1226,$A15,'FUNDED DEALS 2027'!$AD$4:$AD$1226)+SUMIFS('FUNDED DEALS 2027'!$AD$4:$AD$1226,'FUNDED DEALS 2027'!$B$4:$B$1226,$A15,'FUNDED DEALS 2027'!$A$4:$A$1226,"&lt;&gt;"&amp;$A15))</f>
        <v/>
      </c>
      <c r="J15" s="76" t="str">
        <f aca="false">IF($A15="","",SUMIFS('FUNDED DEALS'!$O$4:$O$1226,'FUNDED DEALS'!$A$4:$A$1226,$A15,'FUNDED DEALS'!$AM$4:$AM$1226,"YES - Paid In Full")+SUMIFS('FUNDED DEALS'!$O$4:$O$1226,'FUNDED DEALS'!$B$4:$B$1226,$A15,'FUNDED DEALS'!$AM$4:$AM$1226,"YES - Paid In Full",'FUNDED DEALS'!$A$4:$A$1226,"&lt;&gt;"&amp;$A15)+SUMIFS('FUNDED DEALS 2027'!$O$4:$O$1226,'FUNDED DEALS 2027'!$A$4:$A$1226,$A15,'FUNDED DEALS 2027'!$AM$4:$AM$1226,"YES - Paid In Full")+SUMIFS('FUNDED DEALS 2027'!$O$4:$O$1226,'FUNDED DEALS 2027'!$B$4:$B$1226,$A15,'FUNDED DEALS 2027'!$AM$4:$AM$1226,"YES - Paid In Full",'FUNDED DEALS 2027'!$A$4:$A$1226,"&lt;&gt;"&amp;$A15))</f>
        <v/>
      </c>
      <c r="K15" s="76" t="str">
        <f aca="false">IF($A15="","",G15-J15-L15)</f>
        <v/>
      </c>
      <c r="L15" s="76" t="str">
        <f aca="false">IF($A15="","",SUMIF('FUNDED DEALS'!$A$4:$A$1226,$A15,'FUNDED DEALS'!$AE$4:$AE$1226)+SUMIFS('FUNDED DEALS'!$AE$4:$AE$1226,'FUNDED DEALS'!$B$4:$B$1226,$A15,'FUNDED DEALS'!$A$4:$A$1226,"&lt;&gt;"&amp;$A15)+SUMIF('FUNDED DEALS 2027'!$A$4:$A$1226,$A15,'FUNDED DEALS 2027'!$AE$4:$AE$1226)+SUMIFS('FUNDED DEALS 2027'!$AE$4:$AE$1226,'FUNDED DEALS 2027'!$B$4:$B$1226,$A15,'FUNDED DEALS 2027'!$A$4:$A$1226,"&lt;&gt;"&amp;$A15))</f>
        <v/>
      </c>
      <c r="M15" s="76" t="str">
        <f aca="false">IF($A15="","",SUMIF('FUNDED DEALS'!$A$4:$A$1226,$A15,'FUNDED DEALS'!$AL$4:$AL$1226)+SUMIFS('FUNDED DEALS'!$AL$4:$AL$1226,'FUNDED DEALS'!$B$4:$B$1226,$A15,'FUNDED DEALS'!$A$4:$A$1226,"&lt;&gt;"&amp;$A15)+SUMIF('FUNDED DEALS 2027'!$A$4:$A$1226,$A15,'FUNDED DEALS 2027'!$AL$4:$AL$1226)+SUMIFS('FUNDED DEALS 2027'!$AL$4:$AL$1226,'FUNDED DEALS 2027'!$B$4:$B$1226,$A15,'FUNDED DEALS 2027'!$A$4:$A$1226,"&lt;&gt;"&amp;$A15))</f>
        <v/>
      </c>
    </row>
    <row r="16" customFormat="false" ht="15" hidden="false" customHeight="false" outlineLevel="0" collapsed="false">
      <c r="A16" s="77" t="str">
        <f aca="false">IFERROR(IF(12&lt;='FUNDED DEALS'!$AX$920,INDEX('FUNDED DEALS'!$A:$A,MATCH(12,'FUNDED DEALS'!$AX$3:$AX$920,0)+2),INDEX('FUNDED DEALS 2027'!$A:$A,MATCH(12-'FUNDED DEALS'!$AX$920,'FUNDED DEALS 2027'!$AX$3:$AX$1226,0)+2)),"")</f>
        <v/>
      </c>
      <c r="B16" s="55" t="str">
        <f aca="false">IF($A16="","",IFERROR(INDEX('FUNDED DEALS'!$D$4:$D$1226,MATCH($A16,'FUNDED DEALS'!$A$4:$A$1226,0)),IFERROR(INDEX('FUNDED DEALS 2027'!$D$4:$D$1226,MATCH($A16,'FUNDED DEALS 2027'!$A$4:$A$1226,0)),"not found")))</f>
        <v/>
      </c>
      <c r="C16" s="55" t="str">
        <f aca="false">IF($A16="","",IFERROR(INDEX('FUNDED DEALS'!$E$4:$E$1226,MATCH($A16,'FUNDED DEALS'!$A$4:$A$1226,0)),IFERROR(INDEX('FUNDED DEALS 2027'!$E$4:$E$1226,MATCH($A16,'FUNDED DEALS 2027'!$A$4:$A$1226,0)),"not found")))</f>
        <v/>
      </c>
      <c r="D16" s="55" t="str">
        <f aca="false">IF($A16="","",IFERROR(INDEX('FUNDED DEALS'!$F$4:$F$1226,MATCH($A16,'FUNDED DEALS'!$A$4:$A$1226,0)),IFERROR(INDEX('FUNDED DEALS 2027'!$F$4:$F$1226,MATCH($A16,'FUNDED DEALS 2027'!$A$4:$A$1226,0)),"not found")))</f>
        <v/>
      </c>
      <c r="E16" s="78" t="str">
        <f aca="false">IF($A16="","",COUNTIFS('FUNDED DEALS'!$B$4:$B$1226,$A16,'FUNDED DEALS'!$A$4:$A$1226,"&lt;&gt;"&amp;$A16)+COUNTIFS('FUNDED DEALS 2027'!$B$4:$B$1226,$A16,'FUNDED DEALS 2027'!$A$4:$A$1226,"&lt;&gt;"&amp;$A16))</f>
        <v/>
      </c>
      <c r="F16" s="79" t="str">
        <f aca="false">IF($A16="","",SUMIF('FUNDED DEALS'!$A$4:$A$1226,$A16,'FUNDED DEALS'!$G$4:$G$1226)+SUMIFS('FUNDED DEALS'!$G$4:$G$1226,'FUNDED DEALS'!$B$4:$B$1226,$A16,'FUNDED DEALS'!$A$4:$A$1226,"&lt;&gt;"&amp;$A16)+SUMIF('FUNDED DEALS 2027'!$A$4:$A$1226,$A16,'FUNDED DEALS 2027'!$G$4:$G$1226)+SUMIFS('FUNDED DEALS 2027'!$G$4:$G$1226,'FUNDED DEALS 2027'!$B$4:$B$1226,$A16,'FUNDED DEALS 2027'!$A$4:$A$1226,"&lt;&gt;"&amp;$A16))</f>
        <v/>
      </c>
      <c r="G16" s="79" t="str">
        <f aca="false">IF($A16="","",SUMIF('FUNDED DEALS'!$A$4:$A$1226,$A16,'FUNDED DEALS'!$O$4:$O$1226)+SUMIFS('FUNDED DEALS'!$O$4:$O$1226,'FUNDED DEALS'!$B$4:$B$1226,$A16,'FUNDED DEALS'!$A$4:$A$1226,"&lt;&gt;"&amp;$A16)+SUMIF('FUNDED DEALS 2027'!$A$4:$A$1226,$A16,'FUNDED DEALS 2027'!$O$4:$O$1226)+SUMIFS('FUNDED DEALS 2027'!$O$4:$O$1226,'FUNDED DEALS 2027'!$B$4:$B$1226,$A16,'FUNDED DEALS 2027'!$A$4:$A$1226,"&lt;&gt;"&amp;$A16))</f>
        <v/>
      </c>
      <c r="H16" s="79" t="str">
        <f aca="false">IF($A16="","",SUMIF('FUNDED DEALS'!$A$4:$A$1226,$A16,'FUNDED DEALS'!$AC$4:$AC$1226)+SUMIFS('FUNDED DEALS'!$AC$4:$AC$1226,'FUNDED DEALS'!$B$4:$B$1226,$A16,'FUNDED DEALS'!$A$4:$A$1226,"&lt;&gt;"&amp;$A16)+SUMIF('FUNDED DEALS 2027'!$A$4:$A$1226,$A16,'FUNDED DEALS 2027'!$AC$4:$AC$1226)+SUMIFS('FUNDED DEALS 2027'!$AC$4:$AC$1226,'FUNDED DEALS 2027'!$B$4:$B$1226,$A16,'FUNDED DEALS 2027'!$A$4:$A$1226,"&lt;&gt;"&amp;$A16))</f>
        <v/>
      </c>
      <c r="I16" s="79" t="str">
        <f aca="false">IF($A16="","",SUMIF('FUNDED DEALS'!$A$4:$A$1226,$A16,'FUNDED DEALS'!$AD$4:$AD$1226)+SUMIFS('FUNDED DEALS'!$AD$4:$AD$1226,'FUNDED DEALS'!$B$4:$B$1226,$A16,'FUNDED DEALS'!$A$4:$A$1226,"&lt;&gt;"&amp;$A16)+SUMIF('FUNDED DEALS 2027'!$A$4:$A$1226,$A16,'FUNDED DEALS 2027'!$AD$4:$AD$1226)+SUMIFS('FUNDED DEALS 2027'!$AD$4:$AD$1226,'FUNDED DEALS 2027'!$B$4:$B$1226,$A16,'FUNDED DEALS 2027'!$A$4:$A$1226,"&lt;&gt;"&amp;$A16))</f>
        <v/>
      </c>
      <c r="J16" s="79" t="str">
        <f aca="false">IF($A16="","",SUMIFS('FUNDED DEALS'!$O$4:$O$1226,'FUNDED DEALS'!$A$4:$A$1226,$A16,'FUNDED DEALS'!$AM$4:$AM$1226,"YES - Paid In Full")+SUMIFS('FUNDED DEALS'!$O$4:$O$1226,'FUNDED DEALS'!$B$4:$B$1226,$A16,'FUNDED DEALS'!$AM$4:$AM$1226,"YES - Paid In Full",'FUNDED DEALS'!$A$4:$A$1226,"&lt;&gt;"&amp;$A16)+SUMIFS('FUNDED DEALS 2027'!$O$4:$O$1226,'FUNDED DEALS 2027'!$A$4:$A$1226,$A16,'FUNDED DEALS 2027'!$AM$4:$AM$1226,"YES - Paid In Full")+SUMIFS('FUNDED DEALS 2027'!$O$4:$O$1226,'FUNDED DEALS 2027'!$B$4:$B$1226,$A16,'FUNDED DEALS 2027'!$AM$4:$AM$1226,"YES - Paid In Full",'FUNDED DEALS 2027'!$A$4:$A$1226,"&lt;&gt;"&amp;$A16))</f>
        <v/>
      </c>
      <c r="K16" s="79" t="str">
        <f aca="false">IF($A16="","",G16-J16-L16)</f>
        <v/>
      </c>
      <c r="L16" s="79" t="str">
        <f aca="false">IF($A16="","",SUMIF('FUNDED DEALS'!$A$4:$A$1226,$A16,'FUNDED DEALS'!$AE$4:$AE$1226)+SUMIFS('FUNDED DEALS'!$AE$4:$AE$1226,'FUNDED DEALS'!$B$4:$B$1226,$A16,'FUNDED DEALS'!$A$4:$A$1226,"&lt;&gt;"&amp;$A16)+SUMIF('FUNDED DEALS 2027'!$A$4:$A$1226,$A16,'FUNDED DEALS 2027'!$AE$4:$AE$1226)+SUMIFS('FUNDED DEALS 2027'!$AE$4:$AE$1226,'FUNDED DEALS 2027'!$B$4:$B$1226,$A16,'FUNDED DEALS 2027'!$A$4:$A$1226,"&lt;&gt;"&amp;$A16))</f>
        <v/>
      </c>
      <c r="M16" s="79" t="str">
        <f aca="false">IF($A16="","",SUMIF('FUNDED DEALS'!$A$4:$A$1226,$A16,'FUNDED DEALS'!$AL$4:$AL$1226)+SUMIFS('FUNDED DEALS'!$AL$4:$AL$1226,'FUNDED DEALS'!$B$4:$B$1226,$A16,'FUNDED DEALS'!$A$4:$A$1226,"&lt;&gt;"&amp;$A16)+SUMIF('FUNDED DEALS 2027'!$A$4:$A$1226,$A16,'FUNDED DEALS 2027'!$AL$4:$AL$1226)+SUMIFS('FUNDED DEALS 2027'!$AL$4:$AL$1226,'FUNDED DEALS 2027'!$B$4:$B$1226,$A16,'FUNDED DEALS 2027'!$A$4:$A$1226,"&lt;&gt;"&amp;$A16))</f>
        <v/>
      </c>
    </row>
    <row r="17" customFormat="false" ht="15" hidden="false" customHeight="false" outlineLevel="0" collapsed="false">
      <c r="A17" s="74" t="str">
        <f aca="false">IFERROR(IF(13&lt;='FUNDED DEALS'!$AX$920,INDEX('FUNDED DEALS'!$A:$A,MATCH(13,'FUNDED DEALS'!$AX$3:$AX$920,0)+2),INDEX('FUNDED DEALS 2027'!$A:$A,MATCH(13-'FUNDED DEALS'!$AX$920,'FUNDED DEALS 2027'!$AX$3:$AX$1226,0)+2)),"")</f>
        <v/>
      </c>
      <c r="B17" s="57" t="str">
        <f aca="false">IF($A17="","",IFERROR(INDEX('FUNDED DEALS'!$D$4:$D$1226,MATCH($A17,'FUNDED DEALS'!$A$4:$A$1226,0)),IFERROR(INDEX('FUNDED DEALS 2027'!$D$4:$D$1226,MATCH($A17,'FUNDED DEALS 2027'!$A$4:$A$1226,0)),"not found")))</f>
        <v/>
      </c>
      <c r="C17" s="57" t="str">
        <f aca="false">IF($A17="","",IFERROR(INDEX('FUNDED DEALS'!$E$4:$E$1226,MATCH($A17,'FUNDED DEALS'!$A$4:$A$1226,0)),IFERROR(INDEX('FUNDED DEALS 2027'!$E$4:$E$1226,MATCH($A17,'FUNDED DEALS 2027'!$A$4:$A$1226,0)),"not found")))</f>
        <v/>
      </c>
      <c r="D17" s="57" t="str">
        <f aca="false">IF($A17="","",IFERROR(INDEX('FUNDED DEALS'!$F$4:$F$1226,MATCH($A17,'FUNDED DEALS'!$A$4:$A$1226,0)),IFERROR(INDEX('FUNDED DEALS 2027'!$F$4:$F$1226,MATCH($A17,'FUNDED DEALS 2027'!$A$4:$A$1226,0)),"not found")))</f>
        <v/>
      </c>
      <c r="E17" s="75" t="str">
        <f aca="false">IF($A17="","",COUNTIFS('FUNDED DEALS'!$B$4:$B$1226,$A17,'FUNDED DEALS'!$A$4:$A$1226,"&lt;&gt;"&amp;$A17)+COUNTIFS('FUNDED DEALS 2027'!$B$4:$B$1226,$A17,'FUNDED DEALS 2027'!$A$4:$A$1226,"&lt;&gt;"&amp;$A17))</f>
        <v/>
      </c>
      <c r="F17" s="76" t="str">
        <f aca="false">IF($A17="","",SUMIF('FUNDED DEALS'!$A$4:$A$1226,$A17,'FUNDED DEALS'!$G$4:$G$1226)+SUMIFS('FUNDED DEALS'!$G$4:$G$1226,'FUNDED DEALS'!$B$4:$B$1226,$A17,'FUNDED DEALS'!$A$4:$A$1226,"&lt;&gt;"&amp;$A17)+SUMIF('FUNDED DEALS 2027'!$A$4:$A$1226,$A17,'FUNDED DEALS 2027'!$G$4:$G$1226)+SUMIFS('FUNDED DEALS 2027'!$G$4:$G$1226,'FUNDED DEALS 2027'!$B$4:$B$1226,$A17,'FUNDED DEALS 2027'!$A$4:$A$1226,"&lt;&gt;"&amp;$A17))</f>
        <v/>
      </c>
      <c r="G17" s="76" t="str">
        <f aca="false">IF($A17="","",SUMIF('FUNDED DEALS'!$A$4:$A$1226,$A17,'FUNDED DEALS'!$O$4:$O$1226)+SUMIFS('FUNDED DEALS'!$O$4:$O$1226,'FUNDED DEALS'!$B$4:$B$1226,$A17,'FUNDED DEALS'!$A$4:$A$1226,"&lt;&gt;"&amp;$A17)+SUMIF('FUNDED DEALS 2027'!$A$4:$A$1226,$A17,'FUNDED DEALS 2027'!$O$4:$O$1226)+SUMIFS('FUNDED DEALS 2027'!$O$4:$O$1226,'FUNDED DEALS 2027'!$B$4:$B$1226,$A17,'FUNDED DEALS 2027'!$A$4:$A$1226,"&lt;&gt;"&amp;$A17))</f>
        <v/>
      </c>
      <c r="H17" s="76" t="str">
        <f aca="false">IF($A17="","",SUMIF('FUNDED DEALS'!$A$4:$A$1226,$A17,'FUNDED DEALS'!$AC$4:$AC$1226)+SUMIFS('FUNDED DEALS'!$AC$4:$AC$1226,'FUNDED DEALS'!$B$4:$B$1226,$A17,'FUNDED DEALS'!$A$4:$A$1226,"&lt;&gt;"&amp;$A17)+SUMIF('FUNDED DEALS 2027'!$A$4:$A$1226,$A17,'FUNDED DEALS 2027'!$AC$4:$AC$1226)+SUMIFS('FUNDED DEALS 2027'!$AC$4:$AC$1226,'FUNDED DEALS 2027'!$B$4:$B$1226,$A17,'FUNDED DEALS 2027'!$A$4:$A$1226,"&lt;&gt;"&amp;$A17))</f>
        <v/>
      </c>
      <c r="I17" s="76" t="str">
        <f aca="false">IF($A17="","",SUMIF('FUNDED DEALS'!$A$4:$A$1226,$A17,'FUNDED DEALS'!$AD$4:$AD$1226)+SUMIFS('FUNDED DEALS'!$AD$4:$AD$1226,'FUNDED DEALS'!$B$4:$B$1226,$A17,'FUNDED DEALS'!$A$4:$A$1226,"&lt;&gt;"&amp;$A17)+SUMIF('FUNDED DEALS 2027'!$A$4:$A$1226,$A17,'FUNDED DEALS 2027'!$AD$4:$AD$1226)+SUMIFS('FUNDED DEALS 2027'!$AD$4:$AD$1226,'FUNDED DEALS 2027'!$B$4:$B$1226,$A17,'FUNDED DEALS 2027'!$A$4:$A$1226,"&lt;&gt;"&amp;$A17))</f>
        <v/>
      </c>
      <c r="J17" s="76" t="str">
        <f aca="false">IF($A17="","",SUMIFS('FUNDED DEALS'!$O$4:$O$1226,'FUNDED DEALS'!$A$4:$A$1226,$A17,'FUNDED DEALS'!$AM$4:$AM$1226,"YES - Paid In Full")+SUMIFS('FUNDED DEALS'!$O$4:$O$1226,'FUNDED DEALS'!$B$4:$B$1226,$A17,'FUNDED DEALS'!$AM$4:$AM$1226,"YES - Paid In Full",'FUNDED DEALS'!$A$4:$A$1226,"&lt;&gt;"&amp;$A17)+SUMIFS('FUNDED DEALS 2027'!$O$4:$O$1226,'FUNDED DEALS 2027'!$A$4:$A$1226,$A17,'FUNDED DEALS 2027'!$AM$4:$AM$1226,"YES - Paid In Full")+SUMIFS('FUNDED DEALS 2027'!$O$4:$O$1226,'FUNDED DEALS 2027'!$B$4:$B$1226,$A17,'FUNDED DEALS 2027'!$AM$4:$AM$1226,"YES - Paid In Full",'FUNDED DEALS 2027'!$A$4:$A$1226,"&lt;&gt;"&amp;$A17))</f>
        <v/>
      </c>
      <c r="K17" s="76" t="str">
        <f aca="false">IF($A17="","",G17-J17-L17)</f>
        <v/>
      </c>
      <c r="L17" s="76" t="str">
        <f aca="false">IF($A17="","",SUMIF('FUNDED DEALS'!$A$4:$A$1226,$A17,'FUNDED DEALS'!$AE$4:$AE$1226)+SUMIFS('FUNDED DEALS'!$AE$4:$AE$1226,'FUNDED DEALS'!$B$4:$B$1226,$A17,'FUNDED DEALS'!$A$4:$A$1226,"&lt;&gt;"&amp;$A17)+SUMIF('FUNDED DEALS 2027'!$A$4:$A$1226,$A17,'FUNDED DEALS 2027'!$AE$4:$AE$1226)+SUMIFS('FUNDED DEALS 2027'!$AE$4:$AE$1226,'FUNDED DEALS 2027'!$B$4:$B$1226,$A17,'FUNDED DEALS 2027'!$A$4:$A$1226,"&lt;&gt;"&amp;$A17))</f>
        <v/>
      </c>
      <c r="M17" s="76" t="str">
        <f aca="false">IF($A17="","",SUMIF('FUNDED DEALS'!$A$4:$A$1226,$A17,'FUNDED DEALS'!$AL$4:$AL$1226)+SUMIFS('FUNDED DEALS'!$AL$4:$AL$1226,'FUNDED DEALS'!$B$4:$B$1226,$A17,'FUNDED DEALS'!$A$4:$A$1226,"&lt;&gt;"&amp;$A17)+SUMIF('FUNDED DEALS 2027'!$A$4:$A$1226,$A17,'FUNDED DEALS 2027'!$AL$4:$AL$1226)+SUMIFS('FUNDED DEALS 2027'!$AL$4:$AL$1226,'FUNDED DEALS 2027'!$B$4:$B$1226,$A17,'FUNDED DEALS 2027'!$A$4:$A$1226,"&lt;&gt;"&amp;$A17))</f>
        <v/>
      </c>
    </row>
    <row r="18" customFormat="false" ht="15" hidden="false" customHeight="false" outlineLevel="0" collapsed="false">
      <c r="A18" s="77" t="str">
        <f aca="false">IFERROR(IF(14&lt;='FUNDED DEALS'!$AX$920,INDEX('FUNDED DEALS'!$A:$A,MATCH(14,'FUNDED DEALS'!$AX$3:$AX$920,0)+2),INDEX('FUNDED DEALS 2027'!$A:$A,MATCH(14-'FUNDED DEALS'!$AX$920,'FUNDED DEALS 2027'!$AX$3:$AX$1226,0)+2)),"")</f>
        <v/>
      </c>
      <c r="B18" s="55" t="str">
        <f aca="false">IF($A18="","",IFERROR(INDEX('FUNDED DEALS'!$D$4:$D$1226,MATCH($A18,'FUNDED DEALS'!$A$4:$A$1226,0)),IFERROR(INDEX('FUNDED DEALS 2027'!$D$4:$D$1226,MATCH($A18,'FUNDED DEALS 2027'!$A$4:$A$1226,0)),"not found")))</f>
        <v/>
      </c>
      <c r="C18" s="55" t="str">
        <f aca="false">IF($A18="","",IFERROR(INDEX('FUNDED DEALS'!$E$4:$E$1226,MATCH($A18,'FUNDED DEALS'!$A$4:$A$1226,0)),IFERROR(INDEX('FUNDED DEALS 2027'!$E$4:$E$1226,MATCH($A18,'FUNDED DEALS 2027'!$A$4:$A$1226,0)),"not found")))</f>
        <v/>
      </c>
      <c r="D18" s="55" t="str">
        <f aca="false">IF($A18="","",IFERROR(INDEX('FUNDED DEALS'!$F$4:$F$1226,MATCH($A18,'FUNDED DEALS'!$A$4:$A$1226,0)),IFERROR(INDEX('FUNDED DEALS 2027'!$F$4:$F$1226,MATCH($A18,'FUNDED DEALS 2027'!$A$4:$A$1226,0)),"not found")))</f>
        <v/>
      </c>
      <c r="E18" s="78" t="str">
        <f aca="false">IF($A18="","",COUNTIFS('FUNDED DEALS'!$B$4:$B$1226,$A18,'FUNDED DEALS'!$A$4:$A$1226,"&lt;&gt;"&amp;$A18)+COUNTIFS('FUNDED DEALS 2027'!$B$4:$B$1226,$A18,'FUNDED DEALS 2027'!$A$4:$A$1226,"&lt;&gt;"&amp;$A18))</f>
        <v/>
      </c>
      <c r="F18" s="79" t="str">
        <f aca="false">IF($A18="","",SUMIF('FUNDED DEALS'!$A$4:$A$1226,$A18,'FUNDED DEALS'!$G$4:$G$1226)+SUMIFS('FUNDED DEALS'!$G$4:$G$1226,'FUNDED DEALS'!$B$4:$B$1226,$A18,'FUNDED DEALS'!$A$4:$A$1226,"&lt;&gt;"&amp;$A18)+SUMIF('FUNDED DEALS 2027'!$A$4:$A$1226,$A18,'FUNDED DEALS 2027'!$G$4:$G$1226)+SUMIFS('FUNDED DEALS 2027'!$G$4:$G$1226,'FUNDED DEALS 2027'!$B$4:$B$1226,$A18,'FUNDED DEALS 2027'!$A$4:$A$1226,"&lt;&gt;"&amp;$A18))</f>
        <v/>
      </c>
      <c r="G18" s="79" t="str">
        <f aca="false">IF($A18="","",SUMIF('FUNDED DEALS'!$A$4:$A$1226,$A18,'FUNDED DEALS'!$O$4:$O$1226)+SUMIFS('FUNDED DEALS'!$O$4:$O$1226,'FUNDED DEALS'!$B$4:$B$1226,$A18,'FUNDED DEALS'!$A$4:$A$1226,"&lt;&gt;"&amp;$A18)+SUMIF('FUNDED DEALS 2027'!$A$4:$A$1226,$A18,'FUNDED DEALS 2027'!$O$4:$O$1226)+SUMIFS('FUNDED DEALS 2027'!$O$4:$O$1226,'FUNDED DEALS 2027'!$B$4:$B$1226,$A18,'FUNDED DEALS 2027'!$A$4:$A$1226,"&lt;&gt;"&amp;$A18))</f>
        <v/>
      </c>
      <c r="H18" s="79" t="str">
        <f aca="false">IF($A18="","",SUMIF('FUNDED DEALS'!$A$4:$A$1226,$A18,'FUNDED DEALS'!$AC$4:$AC$1226)+SUMIFS('FUNDED DEALS'!$AC$4:$AC$1226,'FUNDED DEALS'!$B$4:$B$1226,$A18,'FUNDED DEALS'!$A$4:$A$1226,"&lt;&gt;"&amp;$A18)+SUMIF('FUNDED DEALS 2027'!$A$4:$A$1226,$A18,'FUNDED DEALS 2027'!$AC$4:$AC$1226)+SUMIFS('FUNDED DEALS 2027'!$AC$4:$AC$1226,'FUNDED DEALS 2027'!$B$4:$B$1226,$A18,'FUNDED DEALS 2027'!$A$4:$A$1226,"&lt;&gt;"&amp;$A18))</f>
        <v/>
      </c>
      <c r="I18" s="79" t="str">
        <f aca="false">IF($A18="","",SUMIF('FUNDED DEALS'!$A$4:$A$1226,$A18,'FUNDED DEALS'!$AD$4:$AD$1226)+SUMIFS('FUNDED DEALS'!$AD$4:$AD$1226,'FUNDED DEALS'!$B$4:$B$1226,$A18,'FUNDED DEALS'!$A$4:$A$1226,"&lt;&gt;"&amp;$A18)+SUMIF('FUNDED DEALS 2027'!$A$4:$A$1226,$A18,'FUNDED DEALS 2027'!$AD$4:$AD$1226)+SUMIFS('FUNDED DEALS 2027'!$AD$4:$AD$1226,'FUNDED DEALS 2027'!$B$4:$B$1226,$A18,'FUNDED DEALS 2027'!$A$4:$A$1226,"&lt;&gt;"&amp;$A18))</f>
        <v/>
      </c>
      <c r="J18" s="79" t="str">
        <f aca="false">IF($A18="","",SUMIFS('FUNDED DEALS'!$O$4:$O$1226,'FUNDED DEALS'!$A$4:$A$1226,$A18,'FUNDED DEALS'!$AM$4:$AM$1226,"YES - Paid In Full")+SUMIFS('FUNDED DEALS'!$O$4:$O$1226,'FUNDED DEALS'!$B$4:$B$1226,$A18,'FUNDED DEALS'!$AM$4:$AM$1226,"YES - Paid In Full",'FUNDED DEALS'!$A$4:$A$1226,"&lt;&gt;"&amp;$A18)+SUMIFS('FUNDED DEALS 2027'!$O$4:$O$1226,'FUNDED DEALS 2027'!$A$4:$A$1226,$A18,'FUNDED DEALS 2027'!$AM$4:$AM$1226,"YES - Paid In Full")+SUMIFS('FUNDED DEALS 2027'!$O$4:$O$1226,'FUNDED DEALS 2027'!$B$4:$B$1226,$A18,'FUNDED DEALS 2027'!$AM$4:$AM$1226,"YES - Paid In Full",'FUNDED DEALS 2027'!$A$4:$A$1226,"&lt;&gt;"&amp;$A18))</f>
        <v/>
      </c>
      <c r="K18" s="79" t="str">
        <f aca="false">IF($A18="","",G18-J18-L18)</f>
        <v/>
      </c>
      <c r="L18" s="79" t="str">
        <f aca="false">IF($A18="","",SUMIF('FUNDED DEALS'!$A$4:$A$1226,$A18,'FUNDED DEALS'!$AE$4:$AE$1226)+SUMIFS('FUNDED DEALS'!$AE$4:$AE$1226,'FUNDED DEALS'!$B$4:$B$1226,$A18,'FUNDED DEALS'!$A$4:$A$1226,"&lt;&gt;"&amp;$A18)+SUMIF('FUNDED DEALS 2027'!$A$4:$A$1226,$A18,'FUNDED DEALS 2027'!$AE$4:$AE$1226)+SUMIFS('FUNDED DEALS 2027'!$AE$4:$AE$1226,'FUNDED DEALS 2027'!$B$4:$B$1226,$A18,'FUNDED DEALS 2027'!$A$4:$A$1226,"&lt;&gt;"&amp;$A18))</f>
        <v/>
      </c>
      <c r="M18" s="79" t="str">
        <f aca="false">IF($A18="","",SUMIF('FUNDED DEALS'!$A$4:$A$1226,$A18,'FUNDED DEALS'!$AL$4:$AL$1226)+SUMIFS('FUNDED DEALS'!$AL$4:$AL$1226,'FUNDED DEALS'!$B$4:$B$1226,$A18,'FUNDED DEALS'!$A$4:$A$1226,"&lt;&gt;"&amp;$A18)+SUMIF('FUNDED DEALS 2027'!$A$4:$A$1226,$A18,'FUNDED DEALS 2027'!$AL$4:$AL$1226)+SUMIFS('FUNDED DEALS 2027'!$AL$4:$AL$1226,'FUNDED DEALS 2027'!$B$4:$B$1226,$A18,'FUNDED DEALS 2027'!$A$4:$A$1226,"&lt;&gt;"&amp;$A18))</f>
        <v/>
      </c>
    </row>
    <row r="19" customFormat="false" ht="15" hidden="false" customHeight="false" outlineLevel="0" collapsed="false">
      <c r="A19" s="74" t="str">
        <f aca="false">IFERROR(IF(15&lt;='FUNDED DEALS'!$AX$920,INDEX('FUNDED DEALS'!$A:$A,MATCH(15,'FUNDED DEALS'!$AX$3:$AX$920,0)+2),INDEX('FUNDED DEALS 2027'!$A:$A,MATCH(15-'FUNDED DEALS'!$AX$920,'FUNDED DEALS 2027'!$AX$3:$AX$1226,0)+2)),"")</f>
        <v/>
      </c>
      <c r="B19" s="57" t="str">
        <f aca="false">IF($A19="","",IFERROR(INDEX('FUNDED DEALS'!$D$4:$D$1226,MATCH($A19,'FUNDED DEALS'!$A$4:$A$1226,0)),IFERROR(INDEX('FUNDED DEALS 2027'!$D$4:$D$1226,MATCH($A19,'FUNDED DEALS 2027'!$A$4:$A$1226,0)),"not found")))</f>
        <v/>
      </c>
      <c r="C19" s="57" t="str">
        <f aca="false">IF($A19="","",IFERROR(INDEX('FUNDED DEALS'!$E$4:$E$1226,MATCH($A19,'FUNDED DEALS'!$A$4:$A$1226,0)),IFERROR(INDEX('FUNDED DEALS 2027'!$E$4:$E$1226,MATCH($A19,'FUNDED DEALS 2027'!$A$4:$A$1226,0)),"not found")))</f>
        <v/>
      </c>
      <c r="D19" s="57" t="str">
        <f aca="false">IF($A19="","",IFERROR(INDEX('FUNDED DEALS'!$F$4:$F$1226,MATCH($A19,'FUNDED DEALS'!$A$4:$A$1226,0)),IFERROR(INDEX('FUNDED DEALS 2027'!$F$4:$F$1226,MATCH($A19,'FUNDED DEALS 2027'!$A$4:$A$1226,0)),"not found")))</f>
        <v/>
      </c>
      <c r="E19" s="75" t="str">
        <f aca="false">IF($A19="","",COUNTIFS('FUNDED DEALS'!$B$4:$B$1226,$A19,'FUNDED DEALS'!$A$4:$A$1226,"&lt;&gt;"&amp;$A19)+COUNTIFS('FUNDED DEALS 2027'!$B$4:$B$1226,$A19,'FUNDED DEALS 2027'!$A$4:$A$1226,"&lt;&gt;"&amp;$A19))</f>
        <v/>
      </c>
      <c r="F19" s="76" t="str">
        <f aca="false">IF($A19="","",SUMIF('FUNDED DEALS'!$A$4:$A$1226,$A19,'FUNDED DEALS'!$G$4:$G$1226)+SUMIFS('FUNDED DEALS'!$G$4:$G$1226,'FUNDED DEALS'!$B$4:$B$1226,$A19,'FUNDED DEALS'!$A$4:$A$1226,"&lt;&gt;"&amp;$A19)+SUMIF('FUNDED DEALS 2027'!$A$4:$A$1226,$A19,'FUNDED DEALS 2027'!$G$4:$G$1226)+SUMIFS('FUNDED DEALS 2027'!$G$4:$G$1226,'FUNDED DEALS 2027'!$B$4:$B$1226,$A19,'FUNDED DEALS 2027'!$A$4:$A$1226,"&lt;&gt;"&amp;$A19))</f>
        <v/>
      </c>
      <c r="G19" s="76" t="str">
        <f aca="false">IF($A19="","",SUMIF('FUNDED DEALS'!$A$4:$A$1226,$A19,'FUNDED DEALS'!$O$4:$O$1226)+SUMIFS('FUNDED DEALS'!$O$4:$O$1226,'FUNDED DEALS'!$B$4:$B$1226,$A19,'FUNDED DEALS'!$A$4:$A$1226,"&lt;&gt;"&amp;$A19)+SUMIF('FUNDED DEALS 2027'!$A$4:$A$1226,$A19,'FUNDED DEALS 2027'!$O$4:$O$1226)+SUMIFS('FUNDED DEALS 2027'!$O$4:$O$1226,'FUNDED DEALS 2027'!$B$4:$B$1226,$A19,'FUNDED DEALS 2027'!$A$4:$A$1226,"&lt;&gt;"&amp;$A19))</f>
        <v/>
      </c>
      <c r="H19" s="76" t="str">
        <f aca="false">IF($A19="","",SUMIF('FUNDED DEALS'!$A$4:$A$1226,$A19,'FUNDED DEALS'!$AC$4:$AC$1226)+SUMIFS('FUNDED DEALS'!$AC$4:$AC$1226,'FUNDED DEALS'!$B$4:$B$1226,$A19,'FUNDED DEALS'!$A$4:$A$1226,"&lt;&gt;"&amp;$A19)+SUMIF('FUNDED DEALS 2027'!$A$4:$A$1226,$A19,'FUNDED DEALS 2027'!$AC$4:$AC$1226)+SUMIFS('FUNDED DEALS 2027'!$AC$4:$AC$1226,'FUNDED DEALS 2027'!$B$4:$B$1226,$A19,'FUNDED DEALS 2027'!$A$4:$A$1226,"&lt;&gt;"&amp;$A19))</f>
        <v/>
      </c>
      <c r="I19" s="76" t="str">
        <f aca="false">IF($A19="","",SUMIF('FUNDED DEALS'!$A$4:$A$1226,$A19,'FUNDED DEALS'!$AD$4:$AD$1226)+SUMIFS('FUNDED DEALS'!$AD$4:$AD$1226,'FUNDED DEALS'!$B$4:$B$1226,$A19,'FUNDED DEALS'!$A$4:$A$1226,"&lt;&gt;"&amp;$A19)+SUMIF('FUNDED DEALS 2027'!$A$4:$A$1226,$A19,'FUNDED DEALS 2027'!$AD$4:$AD$1226)+SUMIFS('FUNDED DEALS 2027'!$AD$4:$AD$1226,'FUNDED DEALS 2027'!$B$4:$B$1226,$A19,'FUNDED DEALS 2027'!$A$4:$A$1226,"&lt;&gt;"&amp;$A19))</f>
        <v/>
      </c>
      <c r="J19" s="76" t="str">
        <f aca="false">IF($A19="","",SUMIFS('FUNDED DEALS'!$O$4:$O$1226,'FUNDED DEALS'!$A$4:$A$1226,$A19,'FUNDED DEALS'!$AM$4:$AM$1226,"YES - Paid In Full")+SUMIFS('FUNDED DEALS'!$O$4:$O$1226,'FUNDED DEALS'!$B$4:$B$1226,$A19,'FUNDED DEALS'!$AM$4:$AM$1226,"YES - Paid In Full",'FUNDED DEALS'!$A$4:$A$1226,"&lt;&gt;"&amp;$A19)+SUMIFS('FUNDED DEALS 2027'!$O$4:$O$1226,'FUNDED DEALS 2027'!$A$4:$A$1226,$A19,'FUNDED DEALS 2027'!$AM$4:$AM$1226,"YES - Paid In Full")+SUMIFS('FUNDED DEALS 2027'!$O$4:$O$1226,'FUNDED DEALS 2027'!$B$4:$B$1226,$A19,'FUNDED DEALS 2027'!$AM$4:$AM$1226,"YES - Paid In Full",'FUNDED DEALS 2027'!$A$4:$A$1226,"&lt;&gt;"&amp;$A19))</f>
        <v/>
      </c>
      <c r="K19" s="76" t="str">
        <f aca="false">IF($A19="","",G19-J19-L19)</f>
        <v/>
      </c>
      <c r="L19" s="76" t="str">
        <f aca="false">IF($A19="","",SUMIF('FUNDED DEALS'!$A$4:$A$1226,$A19,'FUNDED DEALS'!$AE$4:$AE$1226)+SUMIFS('FUNDED DEALS'!$AE$4:$AE$1226,'FUNDED DEALS'!$B$4:$B$1226,$A19,'FUNDED DEALS'!$A$4:$A$1226,"&lt;&gt;"&amp;$A19)+SUMIF('FUNDED DEALS 2027'!$A$4:$A$1226,$A19,'FUNDED DEALS 2027'!$AE$4:$AE$1226)+SUMIFS('FUNDED DEALS 2027'!$AE$4:$AE$1226,'FUNDED DEALS 2027'!$B$4:$B$1226,$A19,'FUNDED DEALS 2027'!$A$4:$A$1226,"&lt;&gt;"&amp;$A19))</f>
        <v/>
      </c>
      <c r="M19" s="76" t="str">
        <f aca="false">IF($A19="","",SUMIF('FUNDED DEALS'!$A$4:$A$1226,$A19,'FUNDED DEALS'!$AL$4:$AL$1226)+SUMIFS('FUNDED DEALS'!$AL$4:$AL$1226,'FUNDED DEALS'!$B$4:$B$1226,$A19,'FUNDED DEALS'!$A$4:$A$1226,"&lt;&gt;"&amp;$A19)+SUMIF('FUNDED DEALS 2027'!$A$4:$A$1226,$A19,'FUNDED DEALS 2027'!$AL$4:$AL$1226)+SUMIFS('FUNDED DEALS 2027'!$AL$4:$AL$1226,'FUNDED DEALS 2027'!$B$4:$B$1226,$A19,'FUNDED DEALS 2027'!$A$4:$A$1226,"&lt;&gt;"&amp;$A19))</f>
        <v/>
      </c>
    </row>
    <row r="20" customFormat="false" ht="15" hidden="false" customHeight="false" outlineLevel="0" collapsed="false">
      <c r="A20" s="77" t="str">
        <f aca="false">IFERROR(IF(16&lt;='FUNDED DEALS'!$AX$920,INDEX('FUNDED DEALS'!$A:$A,MATCH(16,'FUNDED DEALS'!$AX$3:$AX$920,0)+2),INDEX('FUNDED DEALS 2027'!$A:$A,MATCH(16-'FUNDED DEALS'!$AX$920,'FUNDED DEALS 2027'!$AX$3:$AX$1226,0)+2)),"")</f>
        <v/>
      </c>
      <c r="B20" s="55" t="str">
        <f aca="false">IF($A20="","",IFERROR(INDEX('FUNDED DEALS'!$D$4:$D$1226,MATCH($A20,'FUNDED DEALS'!$A$4:$A$1226,0)),IFERROR(INDEX('FUNDED DEALS 2027'!$D$4:$D$1226,MATCH($A20,'FUNDED DEALS 2027'!$A$4:$A$1226,0)),"not found")))</f>
        <v/>
      </c>
      <c r="C20" s="55" t="str">
        <f aca="false">IF($A20="","",IFERROR(INDEX('FUNDED DEALS'!$E$4:$E$1226,MATCH($A20,'FUNDED DEALS'!$A$4:$A$1226,0)),IFERROR(INDEX('FUNDED DEALS 2027'!$E$4:$E$1226,MATCH($A20,'FUNDED DEALS 2027'!$A$4:$A$1226,0)),"not found")))</f>
        <v/>
      </c>
      <c r="D20" s="55" t="str">
        <f aca="false">IF($A20="","",IFERROR(INDEX('FUNDED DEALS'!$F$4:$F$1226,MATCH($A20,'FUNDED DEALS'!$A$4:$A$1226,0)),IFERROR(INDEX('FUNDED DEALS 2027'!$F$4:$F$1226,MATCH($A20,'FUNDED DEALS 2027'!$A$4:$A$1226,0)),"not found")))</f>
        <v/>
      </c>
      <c r="E20" s="78" t="str">
        <f aca="false">IF($A20="","",COUNTIFS('FUNDED DEALS'!$B$4:$B$1226,$A20,'FUNDED DEALS'!$A$4:$A$1226,"&lt;&gt;"&amp;$A20)+COUNTIFS('FUNDED DEALS 2027'!$B$4:$B$1226,$A20,'FUNDED DEALS 2027'!$A$4:$A$1226,"&lt;&gt;"&amp;$A20))</f>
        <v/>
      </c>
      <c r="F20" s="79" t="str">
        <f aca="false">IF($A20="","",SUMIF('FUNDED DEALS'!$A$4:$A$1226,$A20,'FUNDED DEALS'!$G$4:$G$1226)+SUMIFS('FUNDED DEALS'!$G$4:$G$1226,'FUNDED DEALS'!$B$4:$B$1226,$A20,'FUNDED DEALS'!$A$4:$A$1226,"&lt;&gt;"&amp;$A20)+SUMIF('FUNDED DEALS 2027'!$A$4:$A$1226,$A20,'FUNDED DEALS 2027'!$G$4:$G$1226)+SUMIFS('FUNDED DEALS 2027'!$G$4:$G$1226,'FUNDED DEALS 2027'!$B$4:$B$1226,$A20,'FUNDED DEALS 2027'!$A$4:$A$1226,"&lt;&gt;"&amp;$A20))</f>
        <v/>
      </c>
      <c r="G20" s="79" t="str">
        <f aca="false">IF($A20="","",SUMIF('FUNDED DEALS'!$A$4:$A$1226,$A20,'FUNDED DEALS'!$O$4:$O$1226)+SUMIFS('FUNDED DEALS'!$O$4:$O$1226,'FUNDED DEALS'!$B$4:$B$1226,$A20,'FUNDED DEALS'!$A$4:$A$1226,"&lt;&gt;"&amp;$A20)+SUMIF('FUNDED DEALS 2027'!$A$4:$A$1226,$A20,'FUNDED DEALS 2027'!$O$4:$O$1226)+SUMIFS('FUNDED DEALS 2027'!$O$4:$O$1226,'FUNDED DEALS 2027'!$B$4:$B$1226,$A20,'FUNDED DEALS 2027'!$A$4:$A$1226,"&lt;&gt;"&amp;$A20))</f>
        <v/>
      </c>
      <c r="H20" s="79" t="str">
        <f aca="false">IF($A20="","",SUMIF('FUNDED DEALS'!$A$4:$A$1226,$A20,'FUNDED DEALS'!$AC$4:$AC$1226)+SUMIFS('FUNDED DEALS'!$AC$4:$AC$1226,'FUNDED DEALS'!$B$4:$B$1226,$A20,'FUNDED DEALS'!$A$4:$A$1226,"&lt;&gt;"&amp;$A20)+SUMIF('FUNDED DEALS 2027'!$A$4:$A$1226,$A20,'FUNDED DEALS 2027'!$AC$4:$AC$1226)+SUMIFS('FUNDED DEALS 2027'!$AC$4:$AC$1226,'FUNDED DEALS 2027'!$B$4:$B$1226,$A20,'FUNDED DEALS 2027'!$A$4:$A$1226,"&lt;&gt;"&amp;$A20))</f>
        <v/>
      </c>
      <c r="I20" s="79" t="str">
        <f aca="false">IF($A20="","",SUMIF('FUNDED DEALS'!$A$4:$A$1226,$A20,'FUNDED DEALS'!$AD$4:$AD$1226)+SUMIFS('FUNDED DEALS'!$AD$4:$AD$1226,'FUNDED DEALS'!$B$4:$B$1226,$A20,'FUNDED DEALS'!$A$4:$A$1226,"&lt;&gt;"&amp;$A20)+SUMIF('FUNDED DEALS 2027'!$A$4:$A$1226,$A20,'FUNDED DEALS 2027'!$AD$4:$AD$1226)+SUMIFS('FUNDED DEALS 2027'!$AD$4:$AD$1226,'FUNDED DEALS 2027'!$B$4:$B$1226,$A20,'FUNDED DEALS 2027'!$A$4:$A$1226,"&lt;&gt;"&amp;$A20))</f>
        <v/>
      </c>
      <c r="J20" s="79" t="str">
        <f aca="false">IF($A20="","",SUMIFS('FUNDED DEALS'!$O$4:$O$1226,'FUNDED DEALS'!$A$4:$A$1226,$A20,'FUNDED DEALS'!$AM$4:$AM$1226,"YES - Paid In Full")+SUMIFS('FUNDED DEALS'!$O$4:$O$1226,'FUNDED DEALS'!$B$4:$B$1226,$A20,'FUNDED DEALS'!$AM$4:$AM$1226,"YES - Paid In Full",'FUNDED DEALS'!$A$4:$A$1226,"&lt;&gt;"&amp;$A20)+SUMIFS('FUNDED DEALS 2027'!$O$4:$O$1226,'FUNDED DEALS 2027'!$A$4:$A$1226,$A20,'FUNDED DEALS 2027'!$AM$4:$AM$1226,"YES - Paid In Full")+SUMIFS('FUNDED DEALS 2027'!$O$4:$O$1226,'FUNDED DEALS 2027'!$B$4:$B$1226,$A20,'FUNDED DEALS 2027'!$AM$4:$AM$1226,"YES - Paid In Full",'FUNDED DEALS 2027'!$A$4:$A$1226,"&lt;&gt;"&amp;$A20))</f>
        <v/>
      </c>
      <c r="K20" s="79" t="str">
        <f aca="false">IF($A20="","",G20-J20-L20)</f>
        <v/>
      </c>
      <c r="L20" s="79" t="str">
        <f aca="false">IF($A20="","",SUMIF('FUNDED DEALS'!$A$4:$A$1226,$A20,'FUNDED DEALS'!$AE$4:$AE$1226)+SUMIFS('FUNDED DEALS'!$AE$4:$AE$1226,'FUNDED DEALS'!$B$4:$B$1226,$A20,'FUNDED DEALS'!$A$4:$A$1226,"&lt;&gt;"&amp;$A20)+SUMIF('FUNDED DEALS 2027'!$A$4:$A$1226,$A20,'FUNDED DEALS 2027'!$AE$4:$AE$1226)+SUMIFS('FUNDED DEALS 2027'!$AE$4:$AE$1226,'FUNDED DEALS 2027'!$B$4:$B$1226,$A20,'FUNDED DEALS 2027'!$A$4:$A$1226,"&lt;&gt;"&amp;$A20))</f>
        <v/>
      </c>
      <c r="M20" s="79" t="str">
        <f aca="false">IF($A20="","",SUMIF('FUNDED DEALS'!$A$4:$A$1226,$A20,'FUNDED DEALS'!$AL$4:$AL$1226)+SUMIFS('FUNDED DEALS'!$AL$4:$AL$1226,'FUNDED DEALS'!$B$4:$B$1226,$A20,'FUNDED DEALS'!$A$4:$A$1226,"&lt;&gt;"&amp;$A20)+SUMIF('FUNDED DEALS 2027'!$A$4:$A$1226,$A20,'FUNDED DEALS 2027'!$AL$4:$AL$1226)+SUMIFS('FUNDED DEALS 2027'!$AL$4:$AL$1226,'FUNDED DEALS 2027'!$B$4:$B$1226,$A20,'FUNDED DEALS 2027'!$A$4:$A$1226,"&lt;&gt;"&amp;$A20))</f>
        <v/>
      </c>
    </row>
    <row r="21" customFormat="false" ht="15" hidden="false" customHeight="false" outlineLevel="0" collapsed="false">
      <c r="A21" s="74" t="str">
        <f aca="false">IFERROR(IF(17&lt;='FUNDED DEALS'!$AX$920,INDEX('FUNDED DEALS'!$A:$A,MATCH(17,'FUNDED DEALS'!$AX$3:$AX$920,0)+2),INDEX('FUNDED DEALS 2027'!$A:$A,MATCH(17-'FUNDED DEALS'!$AX$920,'FUNDED DEALS 2027'!$AX$3:$AX$1226,0)+2)),"")</f>
        <v/>
      </c>
      <c r="B21" s="57" t="str">
        <f aca="false">IF($A21="","",IFERROR(INDEX('FUNDED DEALS'!$D$4:$D$1226,MATCH($A21,'FUNDED DEALS'!$A$4:$A$1226,0)),IFERROR(INDEX('FUNDED DEALS 2027'!$D$4:$D$1226,MATCH($A21,'FUNDED DEALS 2027'!$A$4:$A$1226,0)),"not found")))</f>
        <v/>
      </c>
      <c r="C21" s="57" t="str">
        <f aca="false">IF($A21="","",IFERROR(INDEX('FUNDED DEALS'!$E$4:$E$1226,MATCH($A21,'FUNDED DEALS'!$A$4:$A$1226,0)),IFERROR(INDEX('FUNDED DEALS 2027'!$E$4:$E$1226,MATCH($A21,'FUNDED DEALS 2027'!$A$4:$A$1226,0)),"not found")))</f>
        <v/>
      </c>
      <c r="D21" s="57" t="str">
        <f aca="false">IF($A21="","",IFERROR(INDEX('FUNDED DEALS'!$F$4:$F$1226,MATCH($A21,'FUNDED DEALS'!$A$4:$A$1226,0)),IFERROR(INDEX('FUNDED DEALS 2027'!$F$4:$F$1226,MATCH($A21,'FUNDED DEALS 2027'!$A$4:$A$1226,0)),"not found")))</f>
        <v/>
      </c>
      <c r="E21" s="75" t="str">
        <f aca="false">IF($A21="","",COUNTIFS('FUNDED DEALS'!$B$4:$B$1226,$A21,'FUNDED DEALS'!$A$4:$A$1226,"&lt;&gt;"&amp;$A21)+COUNTIFS('FUNDED DEALS 2027'!$B$4:$B$1226,$A21,'FUNDED DEALS 2027'!$A$4:$A$1226,"&lt;&gt;"&amp;$A21))</f>
        <v/>
      </c>
      <c r="F21" s="76" t="str">
        <f aca="false">IF($A21="","",SUMIF('FUNDED DEALS'!$A$4:$A$1226,$A21,'FUNDED DEALS'!$G$4:$G$1226)+SUMIFS('FUNDED DEALS'!$G$4:$G$1226,'FUNDED DEALS'!$B$4:$B$1226,$A21,'FUNDED DEALS'!$A$4:$A$1226,"&lt;&gt;"&amp;$A21)+SUMIF('FUNDED DEALS 2027'!$A$4:$A$1226,$A21,'FUNDED DEALS 2027'!$G$4:$G$1226)+SUMIFS('FUNDED DEALS 2027'!$G$4:$G$1226,'FUNDED DEALS 2027'!$B$4:$B$1226,$A21,'FUNDED DEALS 2027'!$A$4:$A$1226,"&lt;&gt;"&amp;$A21))</f>
        <v/>
      </c>
      <c r="G21" s="76" t="str">
        <f aca="false">IF($A21="","",SUMIF('FUNDED DEALS'!$A$4:$A$1226,$A21,'FUNDED DEALS'!$O$4:$O$1226)+SUMIFS('FUNDED DEALS'!$O$4:$O$1226,'FUNDED DEALS'!$B$4:$B$1226,$A21,'FUNDED DEALS'!$A$4:$A$1226,"&lt;&gt;"&amp;$A21)+SUMIF('FUNDED DEALS 2027'!$A$4:$A$1226,$A21,'FUNDED DEALS 2027'!$O$4:$O$1226)+SUMIFS('FUNDED DEALS 2027'!$O$4:$O$1226,'FUNDED DEALS 2027'!$B$4:$B$1226,$A21,'FUNDED DEALS 2027'!$A$4:$A$1226,"&lt;&gt;"&amp;$A21))</f>
        <v/>
      </c>
      <c r="H21" s="76" t="str">
        <f aca="false">IF($A21="","",SUMIF('FUNDED DEALS'!$A$4:$A$1226,$A21,'FUNDED DEALS'!$AC$4:$AC$1226)+SUMIFS('FUNDED DEALS'!$AC$4:$AC$1226,'FUNDED DEALS'!$B$4:$B$1226,$A21,'FUNDED DEALS'!$A$4:$A$1226,"&lt;&gt;"&amp;$A21)+SUMIF('FUNDED DEALS 2027'!$A$4:$A$1226,$A21,'FUNDED DEALS 2027'!$AC$4:$AC$1226)+SUMIFS('FUNDED DEALS 2027'!$AC$4:$AC$1226,'FUNDED DEALS 2027'!$B$4:$B$1226,$A21,'FUNDED DEALS 2027'!$A$4:$A$1226,"&lt;&gt;"&amp;$A21))</f>
        <v/>
      </c>
      <c r="I21" s="76" t="str">
        <f aca="false">IF($A21="","",SUMIF('FUNDED DEALS'!$A$4:$A$1226,$A21,'FUNDED DEALS'!$AD$4:$AD$1226)+SUMIFS('FUNDED DEALS'!$AD$4:$AD$1226,'FUNDED DEALS'!$B$4:$B$1226,$A21,'FUNDED DEALS'!$A$4:$A$1226,"&lt;&gt;"&amp;$A21)+SUMIF('FUNDED DEALS 2027'!$A$4:$A$1226,$A21,'FUNDED DEALS 2027'!$AD$4:$AD$1226)+SUMIFS('FUNDED DEALS 2027'!$AD$4:$AD$1226,'FUNDED DEALS 2027'!$B$4:$B$1226,$A21,'FUNDED DEALS 2027'!$A$4:$A$1226,"&lt;&gt;"&amp;$A21))</f>
        <v/>
      </c>
      <c r="J21" s="76" t="str">
        <f aca="false">IF($A21="","",SUMIFS('FUNDED DEALS'!$O$4:$O$1226,'FUNDED DEALS'!$A$4:$A$1226,$A21,'FUNDED DEALS'!$AM$4:$AM$1226,"YES - Paid In Full")+SUMIFS('FUNDED DEALS'!$O$4:$O$1226,'FUNDED DEALS'!$B$4:$B$1226,$A21,'FUNDED DEALS'!$AM$4:$AM$1226,"YES - Paid In Full",'FUNDED DEALS'!$A$4:$A$1226,"&lt;&gt;"&amp;$A21)+SUMIFS('FUNDED DEALS 2027'!$O$4:$O$1226,'FUNDED DEALS 2027'!$A$4:$A$1226,$A21,'FUNDED DEALS 2027'!$AM$4:$AM$1226,"YES - Paid In Full")+SUMIFS('FUNDED DEALS 2027'!$O$4:$O$1226,'FUNDED DEALS 2027'!$B$4:$B$1226,$A21,'FUNDED DEALS 2027'!$AM$4:$AM$1226,"YES - Paid In Full",'FUNDED DEALS 2027'!$A$4:$A$1226,"&lt;&gt;"&amp;$A21))</f>
        <v/>
      </c>
      <c r="K21" s="76" t="str">
        <f aca="false">IF($A21="","",G21-J21-L21)</f>
        <v/>
      </c>
      <c r="L21" s="76" t="str">
        <f aca="false">IF($A21="","",SUMIF('FUNDED DEALS'!$A$4:$A$1226,$A21,'FUNDED DEALS'!$AE$4:$AE$1226)+SUMIFS('FUNDED DEALS'!$AE$4:$AE$1226,'FUNDED DEALS'!$B$4:$B$1226,$A21,'FUNDED DEALS'!$A$4:$A$1226,"&lt;&gt;"&amp;$A21)+SUMIF('FUNDED DEALS 2027'!$A$4:$A$1226,$A21,'FUNDED DEALS 2027'!$AE$4:$AE$1226)+SUMIFS('FUNDED DEALS 2027'!$AE$4:$AE$1226,'FUNDED DEALS 2027'!$B$4:$B$1226,$A21,'FUNDED DEALS 2027'!$A$4:$A$1226,"&lt;&gt;"&amp;$A21))</f>
        <v/>
      </c>
      <c r="M21" s="76" t="str">
        <f aca="false">IF($A21="","",SUMIF('FUNDED DEALS'!$A$4:$A$1226,$A21,'FUNDED DEALS'!$AL$4:$AL$1226)+SUMIFS('FUNDED DEALS'!$AL$4:$AL$1226,'FUNDED DEALS'!$B$4:$B$1226,$A21,'FUNDED DEALS'!$A$4:$A$1226,"&lt;&gt;"&amp;$A21)+SUMIF('FUNDED DEALS 2027'!$A$4:$A$1226,$A21,'FUNDED DEALS 2027'!$AL$4:$AL$1226)+SUMIFS('FUNDED DEALS 2027'!$AL$4:$AL$1226,'FUNDED DEALS 2027'!$B$4:$B$1226,$A21,'FUNDED DEALS 2027'!$A$4:$A$1226,"&lt;&gt;"&amp;$A21))</f>
        <v/>
      </c>
    </row>
    <row r="22" customFormat="false" ht="15" hidden="false" customHeight="false" outlineLevel="0" collapsed="false">
      <c r="A22" s="77" t="str">
        <f aca="false">IFERROR(IF(18&lt;='FUNDED DEALS'!$AX$920,INDEX('FUNDED DEALS'!$A:$A,MATCH(18,'FUNDED DEALS'!$AX$3:$AX$920,0)+2),INDEX('FUNDED DEALS 2027'!$A:$A,MATCH(18-'FUNDED DEALS'!$AX$920,'FUNDED DEALS 2027'!$AX$3:$AX$1226,0)+2)),"")</f>
        <v/>
      </c>
      <c r="B22" s="55" t="str">
        <f aca="false">IF($A22="","",IFERROR(INDEX('FUNDED DEALS'!$D$4:$D$1226,MATCH($A22,'FUNDED DEALS'!$A$4:$A$1226,0)),IFERROR(INDEX('FUNDED DEALS 2027'!$D$4:$D$1226,MATCH($A22,'FUNDED DEALS 2027'!$A$4:$A$1226,0)),"not found")))</f>
        <v/>
      </c>
      <c r="C22" s="55" t="str">
        <f aca="false">IF($A22="","",IFERROR(INDEX('FUNDED DEALS'!$E$4:$E$1226,MATCH($A22,'FUNDED DEALS'!$A$4:$A$1226,0)),IFERROR(INDEX('FUNDED DEALS 2027'!$E$4:$E$1226,MATCH($A22,'FUNDED DEALS 2027'!$A$4:$A$1226,0)),"not found")))</f>
        <v/>
      </c>
      <c r="D22" s="55" t="str">
        <f aca="false">IF($A22="","",IFERROR(INDEX('FUNDED DEALS'!$F$4:$F$1226,MATCH($A22,'FUNDED DEALS'!$A$4:$A$1226,0)),IFERROR(INDEX('FUNDED DEALS 2027'!$F$4:$F$1226,MATCH($A22,'FUNDED DEALS 2027'!$A$4:$A$1226,0)),"not found")))</f>
        <v/>
      </c>
      <c r="E22" s="78" t="str">
        <f aca="false">IF($A22="","",COUNTIFS('FUNDED DEALS'!$B$4:$B$1226,$A22,'FUNDED DEALS'!$A$4:$A$1226,"&lt;&gt;"&amp;$A22)+COUNTIFS('FUNDED DEALS 2027'!$B$4:$B$1226,$A22,'FUNDED DEALS 2027'!$A$4:$A$1226,"&lt;&gt;"&amp;$A22))</f>
        <v/>
      </c>
      <c r="F22" s="79" t="str">
        <f aca="false">IF($A22="","",SUMIF('FUNDED DEALS'!$A$4:$A$1226,$A22,'FUNDED DEALS'!$G$4:$G$1226)+SUMIFS('FUNDED DEALS'!$G$4:$G$1226,'FUNDED DEALS'!$B$4:$B$1226,$A22,'FUNDED DEALS'!$A$4:$A$1226,"&lt;&gt;"&amp;$A22)+SUMIF('FUNDED DEALS 2027'!$A$4:$A$1226,$A22,'FUNDED DEALS 2027'!$G$4:$G$1226)+SUMIFS('FUNDED DEALS 2027'!$G$4:$G$1226,'FUNDED DEALS 2027'!$B$4:$B$1226,$A22,'FUNDED DEALS 2027'!$A$4:$A$1226,"&lt;&gt;"&amp;$A22))</f>
        <v/>
      </c>
      <c r="G22" s="79" t="str">
        <f aca="false">IF($A22="","",SUMIF('FUNDED DEALS'!$A$4:$A$1226,$A22,'FUNDED DEALS'!$O$4:$O$1226)+SUMIFS('FUNDED DEALS'!$O$4:$O$1226,'FUNDED DEALS'!$B$4:$B$1226,$A22,'FUNDED DEALS'!$A$4:$A$1226,"&lt;&gt;"&amp;$A22)+SUMIF('FUNDED DEALS 2027'!$A$4:$A$1226,$A22,'FUNDED DEALS 2027'!$O$4:$O$1226)+SUMIFS('FUNDED DEALS 2027'!$O$4:$O$1226,'FUNDED DEALS 2027'!$B$4:$B$1226,$A22,'FUNDED DEALS 2027'!$A$4:$A$1226,"&lt;&gt;"&amp;$A22))</f>
        <v/>
      </c>
      <c r="H22" s="79" t="str">
        <f aca="false">IF($A22="","",SUMIF('FUNDED DEALS'!$A$4:$A$1226,$A22,'FUNDED DEALS'!$AC$4:$AC$1226)+SUMIFS('FUNDED DEALS'!$AC$4:$AC$1226,'FUNDED DEALS'!$B$4:$B$1226,$A22,'FUNDED DEALS'!$A$4:$A$1226,"&lt;&gt;"&amp;$A22)+SUMIF('FUNDED DEALS 2027'!$A$4:$A$1226,$A22,'FUNDED DEALS 2027'!$AC$4:$AC$1226)+SUMIFS('FUNDED DEALS 2027'!$AC$4:$AC$1226,'FUNDED DEALS 2027'!$B$4:$B$1226,$A22,'FUNDED DEALS 2027'!$A$4:$A$1226,"&lt;&gt;"&amp;$A22))</f>
        <v/>
      </c>
      <c r="I22" s="79" t="str">
        <f aca="false">IF($A22="","",SUMIF('FUNDED DEALS'!$A$4:$A$1226,$A22,'FUNDED DEALS'!$AD$4:$AD$1226)+SUMIFS('FUNDED DEALS'!$AD$4:$AD$1226,'FUNDED DEALS'!$B$4:$B$1226,$A22,'FUNDED DEALS'!$A$4:$A$1226,"&lt;&gt;"&amp;$A22)+SUMIF('FUNDED DEALS 2027'!$A$4:$A$1226,$A22,'FUNDED DEALS 2027'!$AD$4:$AD$1226)+SUMIFS('FUNDED DEALS 2027'!$AD$4:$AD$1226,'FUNDED DEALS 2027'!$B$4:$B$1226,$A22,'FUNDED DEALS 2027'!$A$4:$A$1226,"&lt;&gt;"&amp;$A22))</f>
        <v/>
      </c>
      <c r="J22" s="79" t="str">
        <f aca="false">IF($A22="","",SUMIFS('FUNDED DEALS'!$O$4:$O$1226,'FUNDED DEALS'!$A$4:$A$1226,$A22,'FUNDED DEALS'!$AM$4:$AM$1226,"YES - Paid In Full")+SUMIFS('FUNDED DEALS'!$O$4:$O$1226,'FUNDED DEALS'!$B$4:$B$1226,$A22,'FUNDED DEALS'!$AM$4:$AM$1226,"YES - Paid In Full",'FUNDED DEALS'!$A$4:$A$1226,"&lt;&gt;"&amp;$A22)+SUMIFS('FUNDED DEALS 2027'!$O$4:$O$1226,'FUNDED DEALS 2027'!$A$4:$A$1226,$A22,'FUNDED DEALS 2027'!$AM$4:$AM$1226,"YES - Paid In Full")+SUMIFS('FUNDED DEALS 2027'!$O$4:$O$1226,'FUNDED DEALS 2027'!$B$4:$B$1226,$A22,'FUNDED DEALS 2027'!$AM$4:$AM$1226,"YES - Paid In Full",'FUNDED DEALS 2027'!$A$4:$A$1226,"&lt;&gt;"&amp;$A22))</f>
        <v/>
      </c>
      <c r="K22" s="79" t="str">
        <f aca="false">IF($A22="","",G22-J22-L22)</f>
        <v/>
      </c>
      <c r="L22" s="79" t="str">
        <f aca="false">IF($A22="","",SUMIF('FUNDED DEALS'!$A$4:$A$1226,$A22,'FUNDED DEALS'!$AE$4:$AE$1226)+SUMIFS('FUNDED DEALS'!$AE$4:$AE$1226,'FUNDED DEALS'!$B$4:$B$1226,$A22,'FUNDED DEALS'!$A$4:$A$1226,"&lt;&gt;"&amp;$A22)+SUMIF('FUNDED DEALS 2027'!$A$4:$A$1226,$A22,'FUNDED DEALS 2027'!$AE$4:$AE$1226)+SUMIFS('FUNDED DEALS 2027'!$AE$4:$AE$1226,'FUNDED DEALS 2027'!$B$4:$B$1226,$A22,'FUNDED DEALS 2027'!$A$4:$A$1226,"&lt;&gt;"&amp;$A22))</f>
        <v/>
      </c>
      <c r="M22" s="79" t="str">
        <f aca="false">IF($A22="","",SUMIF('FUNDED DEALS'!$A$4:$A$1226,$A22,'FUNDED DEALS'!$AL$4:$AL$1226)+SUMIFS('FUNDED DEALS'!$AL$4:$AL$1226,'FUNDED DEALS'!$B$4:$B$1226,$A22,'FUNDED DEALS'!$A$4:$A$1226,"&lt;&gt;"&amp;$A22)+SUMIF('FUNDED DEALS 2027'!$A$4:$A$1226,$A22,'FUNDED DEALS 2027'!$AL$4:$AL$1226)+SUMIFS('FUNDED DEALS 2027'!$AL$4:$AL$1226,'FUNDED DEALS 2027'!$B$4:$B$1226,$A22,'FUNDED DEALS 2027'!$A$4:$A$1226,"&lt;&gt;"&amp;$A22))</f>
        <v/>
      </c>
    </row>
    <row r="23" customFormat="false" ht="15" hidden="false" customHeight="false" outlineLevel="0" collapsed="false">
      <c r="A23" s="74" t="str">
        <f aca="false">IFERROR(IF(19&lt;='FUNDED DEALS'!$AX$920,INDEX('FUNDED DEALS'!$A:$A,MATCH(19,'FUNDED DEALS'!$AX$3:$AX$920,0)+2),INDEX('FUNDED DEALS 2027'!$A:$A,MATCH(19-'FUNDED DEALS'!$AX$920,'FUNDED DEALS 2027'!$AX$3:$AX$1226,0)+2)),"")</f>
        <v/>
      </c>
      <c r="B23" s="57" t="str">
        <f aca="false">IF($A23="","",IFERROR(INDEX('FUNDED DEALS'!$D$4:$D$1226,MATCH($A23,'FUNDED DEALS'!$A$4:$A$1226,0)),IFERROR(INDEX('FUNDED DEALS 2027'!$D$4:$D$1226,MATCH($A23,'FUNDED DEALS 2027'!$A$4:$A$1226,0)),"not found")))</f>
        <v/>
      </c>
      <c r="C23" s="57" t="str">
        <f aca="false">IF($A23="","",IFERROR(INDEX('FUNDED DEALS'!$E$4:$E$1226,MATCH($A23,'FUNDED DEALS'!$A$4:$A$1226,0)),IFERROR(INDEX('FUNDED DEALS 2027'!$E$4:$E$1226,MATCH($A23,'FUNDED DEALS 2027'!$A$4:$A$1226,0)),"not found")))</f>
        <v/>
      </c>
      <c r="D23" s="57" t="str">
        <f aca="false">IF($A23="","",IFERROR(INDEX('FUNDED DEALS'!$F$4:$F$1226,MATCH($A23,'FUNDED DEALS'!$A$4:$A$1226,0)),IFERROR(INDEX('FUNDED DEALS 2027'!$F$4:$F$1226,MATCH($A23,'FUNDED DEALS 2027'!$A$4:$A$1226,0)),"not found")))</f>
        <v/>
      </c>
      <c r="E23" s="75" t="str">
        <f aca="false">IF($A23="","",COUNTIFS('FUNDED DEALS'!$B$4:$B$1226,$A23,'FUNDED DEALS'!$A$4:$A$1226,"&lt;&gt;"&amp;$A23)+COUNTIFS('FUNDED DEALS 2027'!$B$4:$B$1226,$A23,'FUNDED DEALS 2027'!$A$4:$A$1226,"&lt;&gt;"&amp;$A23))</f>
        <v/>
      </c>
      <c r="F23" s="76" t="str">
        <f aca="false">IF($A23="","",SUMIF('FUNDED DEALS'!$A$4:$A$1226,$A23,'FUNDED DEALS'!$G$4:$G$1226)+SUMIFS('FUNDED DEALS'!$G$4:$G$1226,'FUNDED DEALS'!$B$4:$B$1226,$A23,'FUNDED DEALS'!$A$4:$A$1226,"&lt;&gt;"&amp;$A23)+SUMIF('FUNDED DEALS 2027'!$A$4:$A$1226,$A23,'FUNDED DEALS 2027'!$G$4:$G$1226)+SUMIFS('FUNDED DEALS 2027'!$G$4:$G$1226,'FUNDED DEALS 2027'!$B$4:$B$1226,$A23,'FUNDED DEALS 2027'!$A$4:$A$1226,"&lt;&gt;"&amp;$A23))</f>
        <v/>
      </c>
      <c r="G23" s="76" t="str">
        <f aca="false">IF($A23="","",SUMIF('FUNDED DEALS'!$A$4:$A$1226,$A23,'FUNDED DEALS'!$O$4:$O$1226)+SUMIFS('FUNDED DEALS'!$O$4:$O$1226,'FUNDED DEALS'!$B$4:$B$1226,$A23,'FUNDED DEALS'!$A$4:$A$1226,"&lt;&gt;"&amp;$A23)+SUMIF('FUNDED DEALS 2027'!$A$4:$A$1226,$A23,'FUNDED DEALS 2027'!$O$4:$O$1226)+SUMIFS('FUNDED DEALS 2027'!$O$4:$O$1226,'FUNDED DEALS 2027'!$B$4:$B$1226,$A23,'FUNDED DEALS 2027'!$A$4:$A$1226,"&lt;&gt;"&amp;$A23))</f>
        <v/>
      </c>
      <c r="H23" s="76" t="str">
        <f aca="false">IF($A23="","",SUMIF('FUNDED DEALS'!$A$4:$A$1226,$A23,'FUNDED DEALS'!$AC$4:$AC$1226)+SUMIFS('FUNDED DEALS'!$AC$4:$AC$1226,'FUNDED DEALS'!$B$4:$B$1226,$A23,'FUNDED DEALS'!$A$4:$A$1226,"&lt;&gt;"&amp;$A23)+SUMIF('FUNDED DEALS 2027'!$A$4:$A$1226,$A23,'FUNDED DEALS 2027'!$AC$4:$AC$1226)+SUMIFS('FUNDED DEALS 2027'!$AC$4:$AC$1226,'FUNDED DEALS 2027'!$B$4:$B$1226,$A23,'FUNDED DEALS 2027'!$A$4:$A$1226,"&lt;&gt;"&amp;$A23))</f>
        <v/>
      </c>
      <c r="I23" s="76" t="str">
        <f aca="false">IF($A23="","",SUMIF('FUNDED DEALS'!$A$4:$A$1226,$A23,'FUNDED DEALS'!$AD$4:$AD$1226)+SUMIFS('FUNDED DEALS'!$AD$4:$AD$1226,'FUNDED DEALS'!$B$4:$B$1226,$A23,'FUNDED DEALS'!$A$4:$A$1226,"&lt;&gt;"&amp;$A23)+SUMIF('FUNDED DEALS 2027'!$A$4:$A$1226,$A23,'FUNDED DEALS 2027'!$AD$4:$AD$1226)+SUMIFS('FUNDED DEALS 2027'!$AD$4:$AD$1226,'FUNDED DEALS 2027'!$B$4:$B$1226,$A23,'FUNDED DEALS 2027'!$A$4:$A$1226,"&lt;&gt;"&amp;$A23))</f>
        <v/>
      </c>
      <c r="J23" s="76" t="str">
        <f aca="false">IF($A23="","",SUMIFS('FUNDED DEALS'!$O$4:$O$1226,'FUNDED DEALS'!$A$4:$A$1226,$A23,'FUNDED DEALS'!$AM$4:$AM$1226,"YES - Paid In Full")+SUMIFS('FUNDED DEALS'!$O$4:$O$1226,'FUNDED DEALS'!$B$4:$B$1226,$A23,'FUNDED DEALS'!$AM$4:$AM$1226,"YES - Paid In Full",'FUNDED DEALS'!$A$4:$A$1226,"&lt;&gt;"&amp;$A23)+SUMIFS('FUNDED DEALS 2027'!$O$4:$O$1226,'FUNDED DEALS 2027'!$A$4:$A$1226,$A23,'FUNDED DEALS 2027'!$AM$4:$AM$1226,"YES - Paid In Full")+SUMIFS('FUNDED DEALS 2027'!$O$4:$O$1226,'FUNDED DEALS 2027'!$B$4:$B$1226,$A23,'FUNDED DEALS 2027'!$AM$4:$AM$1226,"YES - Paid In Full",'FUNDED DEALS 2027'!$A$4:$A$1226,"&lt;&gt;"&amp;$A23))</f>
        <v/>
      </c>
      <c r="K23" s="76" t="str">
        <f aca="false">IF($A23="","",G23-J23-L23)</f>
        <v/>
      </c>
      <c r="L23" s="76" t="str">
        <f aca="false">IF($A23="","",SUMIF('FUNDED DEALS'!$A$4:$A$1226,$A23,'FUNDED DEALS'!$AE$4:$AE$1226)+SUMIFS('FUNDED DEALS'!$AE$4:$AE$1226,'FUNDED DEALS'!$B$4:$B$1226,$A23,'FUNDED DEALS'!$A$4:$A$1226,"&lt;&gt;"&amp;$A23)+SUMIF('FUNDED DEALS 2027'!$A$4:$A$1226,$A23,'FUNDED DEALS 2027'!$AE$4:$AE$1226)+SUMIFS('FUNDED DEALS 2027'!$AE$4:$AE$1226,'FUNDED DEALS 2027'!$B$4:$B$1226,$A23,'FUNDED DEALS 2027'!$A$4:$A$1226,"&lt;&gt;"&amp;$A23))</f>
        <v/>
      </c>
      <c r="M23" s="76" t="str">
        <f aca="false">IF($A23="","",SUMIF('FUNDED DEALS'!$A$4:$A$1226,$A23,'FUNDED DEALS'!$AL$4:$AL$1226)+SUMIFS('FUNDED DEALS'!$AL$4:$AL$1226,'FUNDED DEALS'!$B$4:$B$1226,$A23,'FUNDED DEALS'!$A$4:$A$1226,"&lt;&gt;"&amp;$A23)+SUMIF('FUNDED DEALS 2027'!$A$4:$A$1226,$A23,'FUNDED DEALS 2027'!$AL$4:$AL$1226)+SUMIFS('FUNDED DEALS 2027'!$AL$4:$AL$1226,'FUNDED DEALS 2027'!$B$4:$B$1226,$A23,'FUNDED DEALS 2027'!$A$4:$A$1226,"&lt;&gt;"&amp;$A23))</f>
        <v/>
      </c>
    </row>
    <row r="24" customFormat="false" ht="15" hidden="false" customHeight="false" outlineLevel="0" collapsed="false">
      <c r="A24" s="77" t="str">
        <f aca="false">IFERROR(IF(20&lt;='FUNDED DEALS'!$AX$920,INDEX('FUNDED DEALS'!$A:$A,MATCH(20,'FUNDED DEALS'!$AX$3:$AX$920,0)+2),INDEX('FUNDED DEALS 2027'!$A:$A,MATCH(20-'FUNDED DEALS'!$AX$920,'FUNDED DEALS 2027'!$AX$3:$AX$1226,0)+2)),"")</f>
        <v/>
      </c>
      <c r="B24" s="55" t="str">
        <f aca="false">IF($A24="","",IFERROR(INDEX('FUNDED DEALS'!$D$4:$D$1226,MATCH($A24,'FUNDED DEALS'!$A$4:$A$1226,0)),IFERROR(INDEX('FUNDED DEALS 2027'!$D$4:$D$1226,MATCH($A24,'FUNDED DEALS 2027'!$A$4:$A$1226,0)),"not found")))</f>
        <v/>
      </c>
      <c r="C24" s="55" t="str">
        <f aca="false">IF($A24="","",IFERROR(INDEX('FUNDED DEALS'!$E$4:$E$1226,MATCH($A24,'FUNDED DEALS'!$A$4:$A$1226,0)),IFERROR(INDEX('FUNDED DEALS 2027'!$E$4:$E$1226,MATCH($A24,'FUNDED DEALS 2027'!$A$4:$A$1226,0)),"not found")))</f>
        <v/>
      </c>
      <c r="D24" s="55" t="str">
        <f aca="false">IF($A24="","",IFERROR(INDEX('FUNDED DEALS'!$F$4:$F$1226,MATCH($A24,'FUNDED DEALS'!$A$4:$A$1226,0)),IFERROR(INDEX('FUNDED DEALS 2027'!$F$4:$F$1226,MATCH($A24,'FUNDED DEALS 2027'!$A$4:$A$1226,0)),"not found")))</f>
        <v/>
      </c>
      <c r="E24" s="78" t="str">
        <f aca="false">IF($A24="","",COUNTIFS('FUNDED DEALS'!$B$4:$B$1226,$A24,'FUNDED DEALS'!$A$4:$A$1226,"&lt;&gt;"&amp;$A24)+COUNTIFS('FUNDED DEALS 2027'!$B$4:$B$1226,$A24,'FUNDED DEALS 2027'!$A$4:$A$1226,"&lt;&gt;"&amp;$A24))</f>
        <v/>
      </c>
      <c r="F24" s="79" t="str">
        <f aca="false">IF($A24="","",SUMIF('FUNDED DEALS'!$A$4:$A$1226,$A24,'FUNDED DEALS'!$G$4:$G$1226)+SUMIFS('FUNDED DEALS'!$G$4:$G$1226,'FUNDED DEALS'!$B$4:$B$1226,$A24,'FUNDED DEALS'!$A$4:$A$1226,"&lt;&gt;"&amp;$A24)+SUMIF('FUNDED DEALS 2027'!$A$4:$A$1226,$A24,'FUNDED DEALS 2027'!$G$4:$G$1226)+SUMIFS('FUNDED DEALS 2027'!$G$4:$G$1226,'FUNDED DEALS 2027'!$B$4:$B$1226,$A24,'FUNDED DEALS 2027'!$A$4:$A$1226,"&lt;&gt;"&amp;$A24))</f>
        <v/>
      </c>
      <c r="G24" s="79" t="str">
        <f aca="false">IF($A24="","",SUMIF('FUNDED DEALS'!$A$4:$A$1226,$A24,'FUNDED DEALS'!$O$4:$O$1226)+SUMIFS('FUNDED DEALS'!$O$4:$O$1226,'FUNDED DEALS'!$B$4:$B$1226,$A24,'FUNDED DEALS'!$A$4:$A$1226,"&lt;&gt;"&amp;$A24)+SUMIF('FUNDED DEALS 2027'!$A$4:$A$1226,$A24,'FUNDED DEALS 2027'!$O$4:$O$1226)+SUMIFS('FUNDED DEALS 2027'!$O$4:$O$1226,'FUNDED DEALS 2027'!$B$4:$B$1226,$A24,'FUNDED DEALS 2027'!$A$4:$A$1226,"&lt;&gt;"&amp;$A24))</f>
        <v/>
      </c>
      <c r="H24" s="79" t="str">
        <f aca="false">IF($A24="","",SUMIF('FUNDED DEALS'!$A$4:$A$1226,$A24,'FUNDED DEALS'!$AC$4:$AC$1226)+SUMIFS('FUNDED DEALS'!$AC$4:$AC$1226,'FUNDED DEALS'!$B$4:$B$1226,$A24,'FUNDED DEALS'!$A$4:$A$1226,"&lt;&gt;"&amp;$A24)+SUMIF('FUNDED DEALS 2027'!$A$4:$A$1226,$A24,'FUNDED DEALS 2027'!$AC$4:$AC$1226)+SUMIFS('FUNDED DEALS 2027'!$AC$4:$AC$1226,'FUNDED DEALS 2027'!$B$4:$B$1226,$A24,'FUNDED DEALS 2027'!$A$4:$A$1226,"&lt;&gt;"&amp;$A24))</f>
        <v/>
      </c>
      <c r="I24" s="79" t="str">
        <f aca="false">IF($A24="","",SUMIF('FUNDED DEALS'!$A$4:$A$1226,$A24,'FUNDED DEALS'!$AD$4:$AD$1226)+SUMIFS('FUNDED DEALS'!$AD$4:$AD$1226,'FUNDED DEALS'!$B$4:$B$1226,$A24,'FUNDED DEALS'!$A$4:$A$1226,"&lt;&gt;"&amp;$A24)+SUMIF('FUNDED DEALS 2027'!$A$4:$A$1226,$A24,'FUNDED DEALS 2027'!$AD$4:$AD$1226)+SUMIFS('FUNDED DEALS 2027'!$AD$4:$AD$1226,'FUNDED DEALS 2027'!$B$4:$B$1226,$A24,'FUNDED DEALS 2027'!$A$4:$A$1226,"&lt;&gt;"&amp;$A24))</f>
        <v/>
      </c>
      <c r="J24" s="79" t="str">
        <f aca="false">IF($A24="","",SUMIFS('FUNDED DEALS'!$O$4:$O$1226,'FUNDED DEALS'!$A$4:$A$1226,$A24,'FUNDED DEALS'!$AM$4:$AM$1226,"YES - Paid In Full")+SUMIFS('FUNDED DEALS'!$O$4:$O$1226,'FUNDED DEALS'!$B$4:$B$1226,$A24,'FUNDED DEALS'!$AM$4:$AM$1226,"YES - Paid In Full",'FUNDED DEALS'!$A$4:$A$1226,"&lt;&gt;"&amp;$A24)+SUMIFS('FUNDED DEALS 2027'!$O$4:$O$1226,'FUNDED DEALS 2027'!$A$4:$A$1226,$A24,'FUNDED DEALS 2027'!$AM$4:$AM$1226,"YES - Paid In Full")+SUMIFS('FUNDED DEALS 2027'!$O$4:$O$1226,'FUNDED DEALS 2027'!$B$4:$B$1226,$A24,'FUNDED DEALS 2027'!$AM$4:$AM$1226,"YES - Paid In Full",'FUNDED DEALS 2027'!$A$4:$A$1226,"&lt;&gt;"&amp;$A24))</f>
        <v/>
      </c>
      <c r="K24" s="79" t="str">
        <f aca="false">IF($A24="","",G24-J24-L24)</f>
        <v/>
      </c>
      <c r="L24" s="79" t="str">
        <f aca="false">IF($A24="","",SUMIF('FUNDED DEALS'!$A$4:$A$1226,$A24,'FUNDED DEALS'!$AE$4:$AE$1226)+SUMIFS('FUNDED DEALS'!$AE$4:$AE$1226,'FUNDED DEALS'!$B$4:$B$1226,$A24,'FUNDED DEALS'!$A$4:$A$1226,"&lt;&gt;"&amp;$A24)+SUMIF('FUNDED DEALS 2027'!$A$4:$A$1226,$A24,'FUNDED DEALS 2027'!$AE$4:$AE$1226)+SUMIFS('FUNDED DEALS 2027'!$AE$4:$AE$1226,'FUNDED DEALS 2027'!$B$4:$B$1226,$A24,'FUNDED DEALS 2027'!$A$4:$A$1226,"&lt;&gt;"&amp;$A24))</f>
        <v/>
      </c>
      <c r="M24" s="79" t="str">
        <f aca="false">IF($A24="","",SUMIF('FUNDED DEALS'!$A$4:$A$1226,$A24,'FUNDED DEALS'!$AL$4:$AL$1226)+SUMIFS('FUNDED DEALS'!$AL$4:$AL$1226,'FUNDED DEALS'!$B$4:$B$1226,$A24,'FUNDED DEALS'!$A$4:$A$1226,"&lt;&gt;"&amp;$A24)+SUMIF('FUNDED DEALS 2027'!$A$4:$A$1226,$A24,'FUNDED DEALS 2027'!$AL$4:$AL$1226)+SUMIFS('FUNDED DEALS 2027'!$AL$4:$AL$1226,'FUNDED DEALS 2027'!$B$4:$B$1226,$A24,'FUNDED DEALS 2027'!$A$4:$A$1226,"&lt;&gt;"&amp;$A24))</f>
        <v/>
      </c>
    </row>
    <row r="25" customFormat="false" ht="15" hidden="false" customHeight="false" outlineLevel="0" collapsed="false">
      <c r="A25" s="74" t="str">
        <f aca="false">IFERROR(IF(21&lt;='FUNDED DEALS'!$AX$920,INDEX('FUNDED DEALS'!$A:$A,MATCH(21,'FUNDED DEALS'!$AX$3:$AX$920,0)+2),INDEX('FUNDED DEALS 2027'!$A:$A,MATCH(21-'FUNDED DEALS'!$AX$920,'FUNDED DEALS 2027'!$AX$3:$AX$1226,0)+2)),"")</f>
        <v/>
      </c>
      <c r="B25" s="57" t="str">
        <f aca="false">IF($A25="","",IFERROR(INDEX('FUNDED DEALS'!$D$4:$D$1226,MATCH($A25,'FUNDED DEALS'!$A$4:$A$1226,0)),IFERROR(INDEX('FUNDED DEALS 2027'!$D$4:$D$1226,MATCH($A25,'FUNDED DEALS 2027'!$A$4:$A$1226,0)),"not found")))</f>
        <v/>
      </c>
      <c r="C25" s="57" t="str">
        <f aca="false">IF($A25="","",IFERROR(INDEX('FUNDED DEALS'!$E$4:$E$1226,MATCH($A25,'FUNDED DEALS'!$A$4:$A$1226,0)),IFERROR(INDEX('FUNDED DEALS 2027'!$E$4:$E$1226,MATCH($A25,'FUNDED DEALS 2027'!$A$4:$A$1226,0)),"not found")))</f>
        <v/>
      </c>
      <c r="D25" s="57" t="str">
        <f aca="false">IF($A25="","",IFERROR(INDEX('FUNDED DEALS'!$F$4:$F$1226,MATCH($A25,'FUNDED DEALS'!$A$4:$A$1226,0)),IFERROR(INDEX('FUNDED DEALS 2027'!$F$4:$F$1226,MATCH($A25,'FUNDED DEALS 2027'!$A$4:$A$1226,0)),"not found")))</f>
        <v/>
      </c>
      <c r="E25" s="75" t="str">
        <f aca="false">IF($A25="","",COUNTIFS('FUNDED DEALS'!$B$4:$B$1226,$A25,'FUNDED DEALS'!$A$4:$A$1226,"&lt;&gt;"&amp;$A25)+COUNTIFS('FUNDED DEALS 2027'!$B$4:$B$1226,$A25,'FUNDED DEALS 2027'!$A$4:$A$1226,"&lt;&gt;"&amp;$A25))</f>
        <v/>
      </c>
      <c r="F25" s="76" t="str">
        <f aca="false">IF($A25="","",SUMIF('FUNDED DEALS'!$A$4:$A$1226,$A25,'FUNDED DEALS'!$G$4:$G$1226)+SUMIFS('FUNDED DEALS'!$G$4:$G$1226,'FUNDED DEALS'!$B$4:$B$1226,$A25,'FUNDED DEALS'!$A$4:$A$1226,"&lt;&gt;"&amp;$A25)+SUMIF('FUNDED DEALS 2027'!$A$4:$A$1226,$A25,'FUNDED DEALS 2027'!$G$4:$G$1226)+SUMIFS('FUNDED DEALS 2027'!$G$4:$G$1226,'FUNDED DEALS 2027'!$B$4:$B$1226,$A25,'FUNDED DEALS 2027'!$A$4:$A$1226,"&lt;&gt;"&amp;$A25))</f>
        <v/>
      </c>
      <c r="G25" s="76" t="str">
        <f aca="false">IF($A25="","",SUMIF('FUNDED DEALS'!$A$4:$A$1226,$A25,'FUNDED DEALS'!$O$4:$O$1226)+SUMIFS('FUNDED DEALS'!$O$4:$O$1226,'FUNDED DEALS'!$B$4:$B$1226,$A25,'FUNDED DEALS'!$A$4:$A$1226,"&lt;&gt;"&amp;$A25)+SUMIF('FUNDED DEALS 2027'!$A$4:$A$1226,$A25,'FUNDED DEALS 2027'!$O$4:$O$1226)+SUMIFS('FUNDED DEALS 2027'!$O$4:$O$1226,'FUNDED DEALS 2027'!$B$4:$B$1226,$A25,'FUNDED DEALS 2027'!$A$4:$A$1226,"&lt;&gt;"&amp;$A25))</f>
        <v/>
      </c>
      <c r="H25" s="76" t="str">
        <f aca="false">IF($A25="","",SUMIF('FUNDED DEALS'!$A$4:$A$1226,$A25,'FUNDED DEALS'!$AC$4:$AC$1226)+SUMIFS('FUNDED DEALS'!$AC$4:$AC$1226,'FUNDED DEALS'!$B$4:$B$1226,$A25,'FUNDED DEALS'!$A$4:$A$1226,"&lt;&gt;"&amp;$A25)+SUMIF('FUNDED DEALS 2027'!$A$4:$A$1226,$A25,'FUNDED DEALS 2027'!$AC$4:$AC$1226)+SUMIFS('FUNDED DEALS 2027'!$AC$4:$AC$1226,'FUNDED DEALS 2027'!$B$4:$B$1226,$A25,'FUNDED DEALS 2027'!$A$4:$A$1226,"&lt;&gt;"&amp;$A25))</f>
        <v/>
      </c>
      <c r="I25" s="76" t="str">
        <f aca="false">IF($A25="","",SUMIF('FUNDED DEALS'!$A$4:$A$1226,$A25,'FUNDED DEALS'!$AD$4:$AD$1226)+SUMIFS('FUNDED DEALS'!$AD$4:$AD$1226,'FUNDED DEALS'!$B$4:$B$1226,$A25,'FUNDED DEALS'!$A$4:$A$1226,"&lt;&gt;"&amp;$A25)+SUMIF('FUNDED DEALS 2027'!$A$4:$A$1226,$A25,'FUNDED DEALS 2027'!$AD$4:$AD$1226)+SUMIFS('FUNDED DEALS 2027'!$AD$4:$AD$1226,'FUNDED DEALS 2027'!$B$4:$B$1226,$A25,'FUNDED DEALS 2027'!$A$4:$A$1226,"&lt;&gt;"&amp;$A25))</f>
        <v/>
      </c>
      <c r="J25" s="76" t="str">
        <f aca="false">IF($A25="","",SUMIFS('FUNDED DEALS'!$O$4:$O$1226,'FUNDED DEALS'!$A$4:$A$1226,$A25,'FUNDED DEALS'!$AM$4:$AM$1226,"YES - Paid In Full")+SUMIFS('FUNDED DEALS'!$O$4:$O$1226,'FUNDED DEALS'!$B$4:$B$1226,$A25,'FUNDED DEALS'!$AM$4:$AM$1226,"YES - Paid In Full",'FUNDED DEALS'!$A$4:$A$1226,"&lt;&gt;"&amp;$A25)+SUMIFS('FUNDED DEALS 2027'!$O$4:$O$1226,'FUNDED DEALS 2027'!$A$4:$A$1226,$A25,'FUNDED DEALS 2027'!$AM$4:$AM$1226,"YES - Paid In Full")+SUMIFS('FUNDED DEALS 2027'!$O$4:$O$1226,'FUNDED DEALS 2027'!$B$4:$B$1226,$A25,'FUNDED DEALS 2027'!$AM$4:$AM$1226,"YES - Paid In Full",'FUNDED DEALS 2027'!$A$4:$A$1226,"&lt;&gt;"&amp;$A25))</f>
        <v/>
      </c>
      <c r="K25" s="76" t="str">
        <f aca="false">IF($A25="","",G25-J25-L25)</f>
        <v/>
      </c>
      <c r="L25" s="76" t="str">
        <f aca="false">IF($A25="","",SUMIF('FUNDED DEALS'!$A$4:$A$1226,$A25,'FUNDED DEALS'!$AE$4:$AE$1226)+SUMIFS('FUNDED DEALS'!$AE$4:$AE$1226,'FUNDED DEALS'!$B$4:$B$1226,$A25,'FUNDED DEALS'!$A$4:$A$1226,"&lt;&gt;"&amp;$A25)+SUMIF('FUNDED DEALS 2027'!$A$4:$A$1226,$A25,'FUNDED DEALS 2027'!$AE$4:$AE$1226)+SUMIFS('FUNDED DEALS 2027'!$AE$4:$AE$1226,'FUNDED DEALS 2027'!$B$4:$B$1226,$A25,'FUNDED DEALS 2027'!$A$4:$A$1226,"&lt;&gt;"&amp;$A25))</f>
        <v/>
      </c>
      <c r="M25" s="76" t="str">
        <f aca="false">IF($A25="","",SUMIF('FUNDED DEALS'!$A$4:$A$1226,$A25,'FUNDED DEALS'!$AL$4:$AL$1226)+SUMIFS('FUNDED DEALS'!$AL$4:$AL$1226,'FUNDED DEALS'!$B$4:$B$1226,$A25,'FUNDED DEALS'!$A$4:$A$1226,"&lt;&gt;"&amp;$A25)+SUMIF('FUNDED DEALS 2027'!$A$4:$A$1226,$A25,'FUNDED DEALS 2027'!$AL$4:$AL$1226)+SUMIFS('FUNDED DEALS 2027'!$AL$4:$AL$1226,'FUNDED DEALS 2027'!$B$4:$B$1226,$A25,'FUNDED DEALS 2027'!$A$4:$A$1226,"&lt;&gt;"&amp;$A25))</f>
        <v/>
      </c>
    </row>
    <row r="26" customFormat="false" ht="15" hidden="false" customHeight="false" outlineLevel="0" collapsed="false">
      <c r="A26" s="77" t="str">
        <f aca="false">IFERROR(IF(22&lt;='FUNDED DEALS'!$AX$920,INDEX('FUNDED DEALS'!$A:$A,MATCH(22,'FUNDED DEALS'!$AX$3:$AX$920,0)+2),INDEX('FUNDED DEALS 2027'!$A:$A,MATCH(22-'FUNDED DEALS'!$AX$920,'FUNDED DEALS 2027'!$AX$3:$AX$1226,0)+2)),"")</f>
        <v/>
      </c>
      <c r="B26" s="55" t="str">
        <f aca="false">IF($A26="","",IFERROR(INDEX('FUNDED DEALS'!$D$4:$D$1226,MATCH($A26,'FUNDED DEALS'!$A$4:$A$1226,0)),IFERROR(INDEX('FUNDED DEALS 2027'!$D$4:$D$1226,MATCH($A26,'FUNDED DEALS 2027'!$A$4:$A$1226,0)),"not found")))</f>
        <v/>
      </c>
      <c r="C26" s="55" t="str">
        <f aca="false">IF($A26="","",IFERROR(INDEX('FUNDED DEALS'!$E$4:$E$1226,MATCH($A26,'FUNDED DEALS'!$A$4:$A$1226,0)),IFERROR(INDEX('FUNDED DEALS 2027'!$E$4:$E$1226,MATCH($A26,'FUNDED DEALS 2027'!$A$4:$A$1226,0)),"not found")))</f>
        <v/>
      </c>
      <c r="D26" s="55" t="str">
        <f aca="false">IF($A26="","",IFERROR(INDEX('FUNDED DEALS'!$F$4:$F$1226,MATCH($A26,'FUNDED DEALS'!$A$4:$A$1226,0)),IFERROR(INDEX('FUNDED DEALS 2027'!$F$4:$F$1226,MATCH($A26,'FUNDED DEALS 2027'!$A$4:$A$1226,0)),"not found")))</f>
        <v/>
      </c>
      <c r="E26" s="78" t="str">
        <f aca="false">IF($A26="","",COUNTIFS('FUNDED DEALS'!$B$4:$B$1226,$A26,'FUNDED DEALS'!$A$4:$A$1226,"&lt;&gt;"&amp;$A26)+COUNTIFS('FUNDED DEALS 2027'!$B$4:$B$1226,$A26,'FUNDED DEALS 2027'!$A$4:$A$1226,"&lt;&gt;"&amp;$A26))</f>
        <v/>
      </c>
      <c r="F26" s="79" t="str">
        <f aca="false">IF($A26="","",SUMIF('FUNDED DEALS'!$A$4:$A$1226,$A26,'FUNDED DEALS'!$G$4:$G$1226)+SUMIFS('FUNDED DEALS'!$G$4:$G$1226,'FUNDED DEALS'!$B$4:$B$1226,$A26,'FUNDED DEALS'!$A$4:$A$1226,"&lt;&gt;"&amp;$A26)+SUMIF('FUNDED DEALS 2027'!$A$4:$A$1226,$A26,'FUNDED DEALS 2027'!$G$4:$G$1226)+SUMIFS('FUNDED DEALS 2027'!$G$4:$G$1226,'FUNDED DEALS 2027'!$B$4:$B$1226,$A26,'FUNDED DEALS 2027'!$A$4:$A$1226,"&lt;&gt;"&amp;$A26))</f>
        <v/>
      </c>
      <c r="G26" s="79" t="str">
        <f aca="false">IF($A26="","",SUMIF('FUNDED DEALS'!$A$4:$A$1226,$A26,'FUNDED DEALS'!$O$4:$O$1226)+SUMIFS('FUNDED DEALS'!$O$4:$O$1226,'FUNDED DEALS'!$B$4:$B$1226,$A26,'FUNDED DEALS'!$A$4:$A$1226,"&lt;&gt;"&amp;$A26)+SUMIF('FUNDED DEALS 2027'!$A$4:$A$1226,$A26,'FUNDED DEALS 2027'!$O$4:$O$1226)+SUMIFS('FUNDED DEALS 2027'!$O$4:$O$1226,'FUNDED DEALS 2027'!$B$4:$B$1226,$A26,'FUNDED DEALS 2027'!$A$4:$A$1226,"&lt;&gt;"&amp;$A26))</f>
        <v/>
      </c>
      <c r="H26" s="79" t="str">
        <f aca="false">IF($A26="","",SUMIF('FUNDED DEALS'!$A$4:$A$1226,$A26,'FUNDED DEALS'!$AC$4:$AC$1226)+SUMIFS('FUNDED DEALS'!$AC$4:$AC$1226,'FUNDED DEALS'!$B$4:$B$1226,$A26,'FUNDED DEALS'!$A$4:$A$1226,"&lt;&gt;"&amp;$A26)+SUMIF('FUNDED DEALS 2027'!$A$4:$A$1226,$A26,'FUNDED DEALS 2027'!$AC$4:$AC$1226)+SUMIFS('FUNDED DEALS 2027'!$AC$4:$AC$1226,'FUNDED DEALS 2027'!$B$4:$B$1226,$A26,'FUNDED DEALS 2027'!$A$4:$A$1226,"&lt;&gt;"&amp;$A26))</f>
        <v/>
      </c>
      <c r="I26" s="79" t="str">
        <f aca="false">IF($A26="","",SUMIF('FUNDED DEALS'!$A$4:$A$1226,$A26,'FUNDED DEALS'!$AD$4:$AD$1226)+SUMIFS('FUNDED DEALS'!$AD$4:$AD$1226,'FUNDED DEALS'!$B$4:$B$1226,$A26,'FUNDED DEALS'!$A$4:$A$1226,"&lt;&gt;"&amp;$A26)+SUMIF('FUNDED DEALS 2027'!$A$4:$A$1226,$A26,'FUNDED DEALS 2027'!$AD$4:$AD$1226)+SUMIFS('FUNDED DEALS 2027'!$AD$4:$AD$1226,'FUNDED DEALS 2027'!$B$4:$B$1226,$A26,'FUNDED DEALS 2027'!$A$4:$A$1226,"&lt;&gt;"&amp;$A26))</f>
        <v/>
      </c>
      <c r="J26" s="79" t="str">
        <f aca="false">IF($A26="","",SUMIFS('FUNDED DEALS'!$O$4:$O$1226,'FUNDED DEALS'!$A$4:$A$1226,$A26,'FUNDED DEALS'!$AM$4:$AM$1226,"YES - Paid In Full")+SUMIFS('FUNDED DEALS'!$O$4:$O$1226,'FUNDED DEALS'!$B$4:$B$1226,$A26,'FUNDED DEALS'!$AM$4:$AM$1226,"YES - Paid In Full",'FUNDED DEALS'!$A$4:$A$1226,"&lt;&gt;"&amp;$A26)+SUMIFS('FUNDED DEALS 2027'!$O$4:$O$1226,'FUNDED DEALS 2027'!$A$4:$A$1226,$A26,'FUNDED DEALS 2027'!$AM$4:$AM$1226,"YES - Paid In Full")+SUMIFS('FUNDED DEALS 2027'!$O$4:$O$1226,'FUNDED DEALS 2027'!$B$4:$B$1226,$A26,'FUNDED DEALS 2027'!$AM$4:$AM$1226,"YES - Paid In Full",'FUNDED DEALS 2027'!$A$4:$A$1226,"&lt;&gt;"&amp;$A26))</f>
        <v/>
      </c>
      <c r="K26" s="79" t="str">
        <f aca="false">IF($A26="","",G26-J26-L26)</f>
        <v/>
      </c>
      <c r="L26" s="79" t="str">
        <f aca="false">IF($A26="","",SUMIF('FUNDED DEALS'!$A$4:$A$1226,$A26,'FUNDED DEALS'!$AE$4:$AE$1226)+SUMIFS('FUNDED DEALS'!$AE$4:$AE$1226,'FUNDED DEALS'!$B$4:$B$1226,$A26,'FUNDED DEALS'!$A$4:$A$1226,"&lt;&gt;"&amp;$A26)+SUMIF('FUNDED DEALS 2027'!$A$4:$A$1226,$A26,'FUNDED DEALS 2027'!$AE$4:$AE$1226)+SUMIFS('FUNDED DEALS 2027'!$AE$4:$AE$1226,'FUNDED DEALS 2027'!$B$4:$B$1226,$A26,'FUNDED DEALS 2027'!$A$4:$A$1226,"&lt;&gt;"&amp;$A26))</f>
        <v/>
      </c>
      <c r="M26" s="79" t="str">
        <f aca="false">IF($A26="","",SUMIF('FUNDED DEALS'!$A$4:$A$1226,$A26,'FUNDED DEALS'!$AL$4:$AL$1226)+SUMIFS('FUNDED DEALS'!$AL$4:$AL$1226,'FUNDED DEALS'!$B$4:$B$1226,$A26,'FUNDED DEALS'!$A$4:$A$1226,"&lt;&gt;"&amp;$A26)+SUMIF('FUNDED DEALS 2027'!$A$4:$A$1226,$A26,'FUNDED DEALS 2027'!$AL$4:$AL$1226)+SUMIFS('FUNDED DEALS 2027'!$AL$4:$AL$1226,'FUNDED DEALS 2027'!$B$4:$B$1226,$A26,'FUNDED DEALS 2027'!$A$4:$A$1226,"&lt;&gt;"&amp;$A26))</f>
        <v/>
      </c>
    </row>
    <row r="27" customFormat="false" ht="15" hidden="false" customHeight="false" outlineLevel="0" collapsed="false">
      <c r="A27" s="74" t="str">
        <f aca="false">IFERROR(IF(23&lt;='FUNDED DEALS'!$AX$920,INDEX('FUNDED DEALS'!$A:$A,MATCH(23,'FUNDED DEALS'!$AX$3:$AX$920,0)+2),INDEX('FUNDED DEALS 2027'!$A:$A,MATCH(23-'FUNDED DEALS'!$AX$920,'FUNDED DEALS 2027'!$AX$3:$AX$1226,0)+2)),"")</f>
        <v/>
      </c>
      <c r="B27" s="57" t="str">
        <f aca="false">IF($A27="","",IFERROR(INDEX('FUNDED DEALS'!$D$4:$D$1226,MATCH($A27,'FUNDED DEALS'!$A$4:$A$1226,0)),IFERROR(INDEX('FUNDED DEALS 2027'!$D$4:$D$1226,MATCH($A27,'FUNDED DEALS 2027'!$A$4:$A$1226,0)),"not found")))</f>
        <v/>
      </c>
      <c r="C27" s="57" t="str">
        <f aca="false">IF($A27="","",IFERROR(INDEX('FUNDED DEALS'!$E$4:$E$1226,MATCH($A27,'FUNDED DEALS'!$A$4:$A$1226,0)),IFERROR(INDEX('FUNDED DEALS 2027'!$E$4:$E$1226,MATCH($A27,'FUNDED DEALS 2027'!$A$4:$A$1226,0)),"not found")))</f>
        <v/>
      </c>
      <c r="D27" s="57" t="str">
        <f aca="false">IF($A27="","",IFERROR(INDEX('FUNDED DEALS'!$F$4:$F$1226,MATCH($A27,'FUNDED DEALS'!$A$4:$A$1226,0)),IFERROR(INDEX('FUNDED DEALS 2027'!$F$4:$F$1226,MATCH($A27,'FUNDED DEALS 2027'!$A$4:$A$1226,0)),"not found")))</f>
        <v/>
      </c>
      <c r="E27" s="75" t="str">
        <f aca="false">IF($A27="","",COUNTIFS('FUNDED DEALS'!$B$4:$B$1226,$A27,'FUNDED DEALS'!$A$4:$A$1226,"&lt;&gt;"&amp;$A27)+COUNTIFS('FUNDED DEALS 2027'!$B$4:$B$1226,$A27,'FUNDED DEALS 2027'!$A$4:$A$1226,"&lt;&gt;"&amp;$A27))</f>
        <v/>
      </c>
      <c r="F27" s="76" t="str">
        <f aca="false">IF($A27="","",SUMIF('FUNDED DEALS'!$A$4:$A$1226,$A27,'FUNDED DEALS'!$G$4:$G$1226)+SUMIFS('FUNDED DEALS'!$G$4:$G$1226,'FUNDED DEALS'!$B$4:$B$1226,$A27,'FUNDED DEALS'!$A$4:$A$1226,"&lt;&gt;"&amp;$A27)+SUMIF('FUNDED DEALS 2027'!$A$4:$A$1226,$A27,'FUNDED DEALS 2027'!$G$4:$G$1226)+SUMIFS('FUNDED DEALS 2027'!$G$4:$G$1226,'FUNDED DEALS 2027'!$B$4:$B$1226,$A27,'FUNDED DEALS 2027'!$A$4:$A$1226,"&lt;&gt;"&amp;$A27))</f>
        <v/>
      </c>
      <c r="G27" s="76" t="str">
        <f aca="false">IF($A27="","",SUMIF('FUNDED DEALS'!$A$4:$A$1226,$A27,'FUNDED DEALS'!$O$4:$O$1226)+SUMIFS('FUNDED DEALS'!$O$4:$O$1226,'FUNDED DEALS'!$B$4:$B$1226,$A27,'FUNDED DEALS'!$A$4:$A$1226,"&lt;&gt;"&amp;$A27)+SUMIF('FUNDED DEALS 2027'!$A$4:$A$1226,$A27,'FUNDED DEALS 2027'!$O$4:$O$1226)+SUMIFS('FUNDED DEALS 2027'!$O$4:$O$1226,'FUNDED DEALS 2027'!$B$4:$B$1226,$A27,'FUNDED DEALS 2027'!$A$4:$A$1226,"&lt;&gt;"&amp;$A27))</f>
        <v/>
      </c>
      <c r="H27" s="76" t="str">
        <f aca="false">IF($A27="","",SUMIF('FUNDED DEALS'!$A$4:$A$1226,$A27,'FUNDED DEALS'!$AC$4:$AC$1226)+SUMIFS('FUNDED DEALS'!$AC$4:$AC$1226,'FUNDED DEALS'!$B$4:$B$1226,$A27,'FUNDED DEALS'!$A$4:$A$1226,"&lt;&gt;"&amp;$A27)+SUMIF('FUNDED DEALS 2027'!$A$4:$A$1226,$A27,'FUNDED DEALS 2027'!$AC$4:$AC$1226)+SUMIFS('FUNDED DEALS 2027'!$AC$4:$AC$1226,'FUNDED DEALS 2027'!$B$4:$B$1226,$A27,'FUNDED DEALS 2027'!$A$4:$A$1226,"&lt;&gt;"&amp;$A27))</f>
        <v/>
      </c>
      <c r="I27" s="76" t="str">
        <f aca="false">IF($A27="","",SUMIF('FUNDED DEALS'!$A$4:$A$1226,$A27,'FUNDED DEALS'!$AD$4:$AD$1226)+SUMIFS('FUNDED DEALS'!$AD$4:$AD$1226,'FUNDED DEALS'!$B$4:$B$1226,$A27,'FUNDED DEALS'!$A$4:$A$1226,"&lt;&gt;"&amp;$A27)+SUMIF('FUNDED DEALS 2027'!$A$4:$A$1226,$A27,'FUNDED DEALS 2027'!$AD$4:$AD$1226)+SUMIFS('FUNDED DEALS 2027'!$AD$4:$AD$1226,'FUNDED DEALS 2027'!$B$4:$B$1226,$A27,'FUNDED DEALS 2027'!$A$4:$A$1226,"&lt;&gt;"&amp;$A27))</f>
        <v/>
      </c>
      <c r="J27" s="76" t="str">
        <f aca="false">IF($A27="","",SUMIFS('FUNDED DEALS'!$O$4:$O$1226,'FUNDED DEALS'!$A$4:$A$1226,$A27,'FUNDED DEALS'!$AM$4:$AM$1226,"YES - Paid In Full")+SUMIFS('FUNDED DEALS'!$O$4:$O$1226,'FUNDED DEALS'!$B$4:$B$1226,$A27,'FUNDED DEALS'!$AM$4:$AM$1226,"YES - Paid In Full",'FUNDED DEALS'!$A$4:$A$1226,"&lt;&gt;"&amp;$A27)+SUMIFS('FUNDED DEALS 2027'!$O$4:$O$1226,'FUNDED DEALS 2027'!$A$4:$A$1226,$A27,'FUNDED DEALS 2027'!$AM$4:$AM$1226,"YES - Paid In Full")+SUMIFS('FUNDED DEALS 2027'!$O$4:$O$1226,'FUNDED DEALS 2027'!$B$4:$B$1226,$A27,'FUNDED DEALS 2027'!$AM$4:$AM$1226,"YES - Paid In Full",'FUNDED DEALS 2027'!$A$4:$A$1226,"&lt;&gt;"&amp;$A27))</f>
        <v/>
      </c>
      <c r="K27" s="76" t="str">
        <f aca="false">IF($A27="","",G27-J27-L27)</f>
        <v/>
      </c>
      <c r="L27" s="76" t="str">
        <f aca="false">IF($A27="","",SUMIF('FUNDED DEALS'!$A$4:$A$1226,$A27,'FUNDED DEALS'!$AE$4:$AE$1226)+SUMIFS('FUNDED DEALS'!$AE$4:$AE$1226,'FUNDED DEALS'!$B$4:$B$1226,$A27,'FUNDED DEALS'!$A$4:$A$1226,"&lt;&gt;"&amp;$A27)+SUMIF('FUNDED DEALS 2027'!$A$4:$A$1226,$A27,'FUNDED DEALS 2027'!$AE$4:$AE$1226)+SUMIFS('FUNDED DEALS 2027'!$AE$4:$AE$1226,'FUNDED DEALS 2027'!$B$4:$B$1226,$A27,'FUNDED DEALS 2027'!$A$4:$A$1226,"&lt;&gt;"&amp;$A27))</f>
        <v/>
      </c>
      <c r="M27" s="76" t="str">
        <f aca="false">IF($A27="","",SUMIF('FUNDED DEALS'!$A$4:$A$1226,$A27,'FUNDED DEALS'!$AL$4:$AL$1226)+SUMIFS('FUNDED DEALS'!$AL$4:$AL$1226,'FUNDED DEALS'!$B$4:$B$1226,$A27,'FUNDED DEALS'!$A$4:$A$1226,"&lt;&gt;"&amp;$A27)+SUMIF('FUNDED DEALS 2027'!$A$4:$A$1226,$A27,'FUNDED DEALS 2027'!$AL$4:$AL$1226)+SUMIFS('FUNDED DEALS 2027'!$AL$4:$AL$1226,'FUNDED DEALS 2027'!$B$4:$B$1226,$A27,'FUNDED DEALS 2027'!$A$4:$A$1226,"&lt;&gt;"&amp;$A27))</f>
        <v/>
      </c>
    </row>
    <row r="28" customFormat="false" ht="15" hidden="false" customHeight="false" outlineLevel="0" collapsed="false">
      <c r="A28" s="77" t="str">
        <f aca="false">IFERROR(IF(24&lt;='FUNDED DEALS'!$AX$920,INDEX('FUNDED DEALS'!$A:$A,MATCH(24,'FUNDED DEALS'!$AX$3:$AX$920,0)+2),INDEX('FUNDED DEALS 2027'!$A:$A,MATCH(24-'FUNDED DEALS'!$AX$920,'FUNDED DEALS 2027'!$AX$3:$AX$1226,0)+2)),"")</f>
        <v/>
      </c>
      <c r="B28" s="55" t="str">
        <f aca="false">IF($A28="","",IFERROR(INDEX('FUNDED DEALS'!$D$4:$D$1226,MATCH($A28,'FUNDED DEALS'!$A$4:$A$1226,0)),IFERROR(INDEX('FUNDED DEALS 2027'!$D$4:$D$1226,MATCH($A28,'FUNDED DEALS 2027'!$A$4:$A$1226,0)),"not found")))</f>
        <v/>
      </c>
      <c r="C28" s="55" t="str">
        <f aca="false">IF($A28="","",IFERROR(INDEX('FUNDED DEALS'!$E$4:$E$1226,MATCH($A28,'FUNDED DEALS'!$A$4:$A$1226,0)),IFERROR(INDEX('FUNDED DEALS 2027'!$E$4:$E$1226,MATCH($A28,'FUNDED DEALS 2027'!$A$4:$A$1226,0)),"not found")))</f>
        <v/>
      </c>
      <c r="D28" s="55" t="str">
        <f aca="false">IF($A28="","",IFERROR(INDEX('FUNDED DEALS'!$F$4:$F$1226,MATCH($A28,'FUNDED DEALS'!$A$4:$A$1226,0)),IFERROR(INDEX('FUNDED DEALS 2027'!$F$4:$F$1226,MATCH($A28,'FUNDED DEALS 2027'!$A$4:$A$1226,0)),"not found")))</f>
        <v/>
      </c>
      <c r="E28" s="78" t="str">
        <f aca="false">IF($A28="","",COUNTIFS('FUNDED DEALS'!$B$4:$B$1226,$A28,'FUNDED DEALS'!$A$4:$A$1226,"&lt;&gt;"&amp;$A28)+COUNTIFS('FUNDED DEALS 2027'!$B$4:$B$1226,$A28,'FUNDED DEALS 2027'!$A$4:$A$1226,"&lt;&gt;"&amp;$A28))</f>
        <v/>
      </c>
      <c r="F28" s="79" t="str">
        <f aca="false">IF($A28="","",SUMIF('FUNDED DEALS'!$A$4:$A$1226,$A28,'FUNDED DEALS'!$G$4:$G$1226)+SUMIFS('FUNDED DEALS'!$G$4:$G$1226,'FUNDED DEALS'!$B$4:$B$1226,$A28,'FUNDED DEALS'!$A$4:$A$1226,"&lt;&gt;"&amp;$A28)+SUMIF('FUNDED DEALS 2027'!$A$4:$A$1226,$A28,'FUNDED DEALS 2027'!$G$4:$G$1226)+SUMIFS('FUNDED DEALS 2027'!$G$4:$G$1226,'FUNDED DEALS 2027'!$B$4:$B$1226,$A28,'FUNDED DEALS 2027'!$A$4:$A$1226,"&lt;&gt;"&amp;$A28))</f>
        <v/>
      </c>
      <c r="G28" s="79" t="str">
        <f aca="false">IF($A28="","",SUMIF('FUNDED DEALS'!$A$4:$A$1226,$A28,'FUNDED DEALS'!$O$4:$O$1226)+SUMIFS('FUNDED DEALS'!$O$4:$O$1226,'FUNDED DEALS'!$B$4:$B$1226,$A28,'FUNDED DEALS'!$A$4:$A$1226,"&lt;&gt;"&amp;$A28)+SUMIF('FUNDED DEALS 2027'!$A$4:$A$1226,$A28,'FUNDED DEALS 2027'!$O$4:$O$1226)+SUMIFS('FUNDED DEALS 2027'!$O$4:$O$1226,'FUNDED DEALS 2027'!$B$4:$B$1226,$A28,'FUNDED DEALS 2027'!$A$4:$A$1226,"&lt;&gt;"&amp;$A28))</f>
        <v/>
      </c>
      <c r="H28" s="79" t="str">
        <f aca="false">IF($A28="","",SUMIF('FUNDED DEALS'!$A$4:$A$1226,$A28,'FUNDED DEALS'!$AC$4:$AC$1226)+SUMIFS('FUNDED DEALS'!$AC$4:$AC$1226,'FUNDED DEALS'!$B$4:$B$1226,$A28,'FUNDED DEALS'!$A$4:$A$1226,"&lt;&gt;"&amp;$A28)+SUMIF('FUNDED DEALS 2027'!$A$4:$A$1226,$A28,'FUNDED DEALS 2027'!$AC$4:$AC$1226)+SUMIFS('FUNDED DEALS 2027'!$AC$4:$AC$1226,'FUNDED DEALS 2027'!$B$4:$B$1226,$A28,'FUNDED DEALS 2027'!$A$4:$A$1226,"&lt;&gt;"&amp;$A28))</f>
        <v/>
      </c>
      <c r="I28" s="79" t="str">
        <f aca="false">IF($A28="","",SUMIF('FUNDED DEALS'!$A$4:$A$1226,$A28,'FUNDED DEALS'!$AD$4:$AD$1226)+SUMIFS('FUNDED DEALS'!$AD$4:$AD$1226,'FUNDED DEALS'!$B$4:$B$1226,$A28,'FUNDED DEALS'!$A$4:$A$1226,"&lt;&gt;"&amp;$A28)+SUMIF('FUNDED DEALS 2027'!$A$4:$A$1226,$A28,'FUNDED DEALS 2027'!$AD$4:$AD$1226)+SUMIFS('FUNDED DEALS 2027'!$AD$4:$AD$1226,'FUNDED DEALS 2027'!$B$4:$B$1226,$A28,'FUNDED DEALS 2027'!$A$4:$A$1226,"&lt;&gt;"&amp;$A28))</f>
        <v/>
      </c>
      <c r="J28" s="79" t="str">
        <f aca="false">IF($A28="","",SUMIFS('FUNDED DEALS'!$O$4:$O$1226,'FUNDED DEALS'!$A$4:$A$1226,$A28,'FUNDED DEALS'!$AM$4:$AM$1226,"YES - Paid In Full")+SUMIFS('FUNDED DEALS'!$O$4:$O$1226,'FUNDED DEALS'!$B$4:$B$1226,$A28,'FUNDED DEALS'!$AM$4:$AM$1226,"YES - Paid In Full",'FUNDED DEALS'!$A$4:$A$1226,"&lt;&gt;"&amp;$A28)+SUMIFS('FUNDED DEALS 2027'!$O$4:$O$1226,'FUNDED DEALS 2027'!$A$4:$A$1226,$A28,'FUNDED DEALS 2027'!$AM$4:$AM$1226,"YES - Paid In Full")+SUMIFS('FUNDED DEALS 2027'!$O$4:$O$1226,'FUNDED DEALS 2027'!$B$4:$B$1226,$A28,'FUNDED DEALS 2027'!$AM$4:$AM$1226,"YES - Paid In Full",'FUNDED DEALS 2027'!$A$4:$A$1226,"&lt;&gt;"&amp;$A28))</f>
        <v/>
      </c>
      <c r="K28" s="79" t="str">
        <f aca="false">IF($A28="","",G28-J28-L28)</f>
        <v/>
      </c>
      <c r="L28" s="79" t="str">
        <f aca="false">IF($A28="","",SUMIF('FUNDED DEALS'!$A$4:$A$1226,$A28,'FUNDED DEALS'!$AE$4:$AE$1226)+SUMIFS('FUNDED DEALS'!$AE$4:$AE$1226,'FUNDED DEALS'!$B$4:$B$1226,$A28,'FUNDED DEALS'!$A$4:$A$1226,"&lt;&gt;"&amp;$A28)+SUMIF('FUNDED DEALS 2027'!$A$4:$A$1226,$A28,'FUNDED DEALS 2027'!$AE$4:$AE$1226)+SUMIFS('FUNDED DEALS 2027'!$AE$4:$AE$1226,'FUNDED DEALS 2027'!$B$4:$B$1226,$A28,'FUNDED DEALS 2027'!$A$4:$A$1226,"&lt;&gt;"&amp;$A28))</f>
        <v/>
      </c>
      <c r="M28" s="79" t="str">
        <f aca="false">IF($A28="","",SUMIF('FUNDED DEALS'!$A$4:$A$1226,$A28,'FUNDED DEALS'!$AL$4:$AL$1226)+SUMIFS('FUNDED DEALS'!$AL$4:$AL$1226,'FUNDED DEALS'!$B$4:$B$1226,$A28,'FUNDED DEALS'!$A$4:$A$1226,"&lt;&gt;"&amp;$A28)+SUMIF('FUNDED DEALS 2027'!$A$4:$A$1226,$A28,'FUNDED DEALS 2027'!$AL$4:$AL$1226)+SUMIFS('FUNDED DEALS 2027'!$AL$4:$AL$1226,'FUNDED DEALS 2027'!$B$4:$B$1226,$A28,'FUNDED DEALS 2027'!$A$4:$A$1226,"&lt;&gt;"&amp;$A28))</f>
        <v/>
      </c>
    </row>
    <row r="29" customFormat="false" ht="15" hidden="false" customHeight="false" outlineLevel="0" collapsed="false">
      <c r="A29" s="74" t="str">
        <f aca="false">IFERROR(IF(25&lt;='FUNDED DEALS'!$AX$920,INDEX('FUNDED DEALS'!$A:$A,MATCH(25,'FUNDED DEALS'!$AX$3:$AX$920,0)+2),INDEX('FUNDED DEALS 2027'!$A:$A,MATCH(25-'FUNDED DEALS'!$AX$920,'FUNDED DEALS 2027'!$AX$3:$AX$1226,0)+2)),"")</f>
        <v/>
      </c>
      <c r="B29" s="57" t="str">
        <f aca="false">IF($A29="","",IFERROR(INDEX('FUNDED DEALS'!$D$4:$D$1226,MATCH($A29,'FUNDED DEALS'!$A$4:$A$1226,0)),IFERROR(INDEX('FUNDED DEALS 2027'!$D$4:$D$1226,MATCH($A29,'FUNDED DEALS 2027'!$A$4:$A$1226,0)),"not found")))</f>
        <v/>
      </c>
      <c r="C29" s="57" t="str">
        <f aca="false">IF($A29="","",IFERROR(INDEX('FUNDED DEALS'!$E$4:$E$1226,MATCH($A29,'FUNDED DEALS'!$A$4:$A$1226,0)),IFERROR(INDEX('FUNDED DEALS 2027'!$E$4:$E$1226,MATCH($A29,'FUNDED DEALS 2027'!$A$4:$A$1226,0)),"not found")))</f>
        <v/>
      </c>
      <c r="D29" s="57" t="str">
        <f aca="false">IF($A29="","",IFERROR(INDEX('FUNDED DEALS'!$F$4:$F$1226,MATCH($A29,'FUNDED DEALS'!$A$4:$A$1226,0)),IFERROR(INDEX('FUNDED DEALS 2027'!$F$4:$F$1226,MATCH($A29,'FUNDED DEALS 2027'!$A$4:$A$1226,0)),"not found")))</f>
        <v/>
      </c>
      <c r="E29" s="75" t="str">
        <f aca="false">IF($A29="","",COUNTIFS('FUNDED DEALS'!$B$4:$B$1226,$A29,'FUNDED DEALS'!$A$4:$A$1226,"&lt;&gt;"&amp;$A29)+COUNTIFS('FUNDED DEALS 2027'!$B$4:$B$1226,$A29,'FUNDED DEALS 2027'!$A$4:$A$1226,"&lt;&gt;"&amp;$A29))</f>
        <v/>
      </c>
      <c r="F29" s="76" t="str">
        <f aca="false">IF($A29="","",SUMIF('FUNDED DEALS'!$A$4:$A$1226,$A29,'FUNDED DEALS'!$G$4:$G$1226)+SUMIFS('FUNDED DEALS'!$G$4:$G$1226,'FUNDED DEALS'!$B$4:$B$1226,$A29,'FUNDED DEALS'!$A$4:$A$1226,"&lt;&gt;"&amp;$A29)+SUMIF('FUNDED DEALS 2027'!$A$4:$A$1226,$A29,'FUNDED DEALS 2027'!$G$4:$G$1226)+SUMIFS('FUNDED DEALS 2027'!$G$4:$G$1226,'FUNDED DEALS 2027'!$B$4:$B$1226,$A29,'FUNDED DEALS 2027'!$A$4:$A$1226,"&lt;&gt;"&amp;$A29))</f>
        <v/>
      </c>
      <c r="G29" s="76" t="str">
        <f aca="false">IF($A29="","",SUMIF('FUNDED DEALS'!$A$4:$A$1226,$A29,'FUNDED DEALS'!$O$4:$O$1226)+SUMIFS('FUNDED DEALS'!$O$4:$O$1226,'FUNDED DEALS'!$B$4:$B$1226,$A29,'FUNDED DEALS'!$A$4:$A$1226,"&lt;&gt;"&amp;$A29)+SUMIF('FUNDED DEALS 2027'!$A$4:$A$1226,$A29,'FUNDED DEALS 2027'!$O$4:$O$1226)+SUMIFS('FUNDED DEALS 2027'!$O$4:$O$1226,'FUNDED DEALS 2027'!$B$4:$B$1226,$A29,'FUNDED DEALS 2027'!$A$4:$A$1226,"&lt;&gt;"&amp;$A29))</f>
        <v/>
      </c>
      <c r="H29" s="76" t="str">
        <f aca="false">IF($A29="","",SUMIF('FUNDED DEALS'!$A$4:$A$1226,$A29,'FUNDED DEALS'!$AC$4:$AC$1226)+SUMIFS('FUNDED DEALS'!$AC$4:$AC$1226,'FUNDED DEALS'!$B$4:$B$1226,$A29,'FUNDED DEALS'!$A$4:$A$1226,"&lt;&gt;"&amp;$A29)+SUMIF('FUNDED DEALS 2027'!$A$4:$A$1226,$A29,'FUNDED DEALS 2027'!$AC$4:$AC$1226)+SUMIFS('FUNDED DEALS 2027'!$AC$4:$AC$1226,'FUNDED DEALS 2027'!$B$4:$B$1226,$A29,'FUNDED DEALS 2027'!$A$4:$A$1226,"&lt;&gt;"&amp;$A29))</f>
        <v/>
      </c>
      <c r="I29" s="76" t="str">
        <f aca="false">IF($A29="","",SUMIF('FUNDED DEALS'!$A$4:$A$1226,$A29,'FUNDED DEALS'!$AD$4:$AD$1226)+SUMIFS('FUNDED DEALS'!$AD$4:$AD$1226,'FUNDED DEALS'!$B$4:$B$1226,$A29,'FUNDED DEALS'!$A$4:$A$1226,"&lt;&gt;"&amp;$A29)+SUMIF('FUNDED DEALS 2027'!$A$4:$A$1226,$A29,'FUNDED DEALS 2027'!$AD$4:$AD$1226)+SUMIFS('FUNDED DEALS 2027'!$AD$4:$AD$1226,'FUNDED DEALS 2027'!$B$4:$B$1226,$A29,'FUNDED DEALS 2027'!$A$4:$A$1226,"&lt;&gt;"&amp;$A29))</f>
        <v/>
      </c>
      <c r="J29" s="76" t="str">
        <f aca="false">IF($A29="","",SUMIFS('FUNDED DEALS'!$O$4:$O$1226,'FUNDED DEALS'!$A$4:$A$1226,$A29,'FUNDED DEALS'!$AM$4:$AM$1226,"YES - Paid In Full")+SUMIFS('FUNDED DEALS'!$O$4:$O$1226,'FUNDED DEALS'!$B$4:$B$1226,$A29,'FUNDED DEALS'!$AM$4:$AM$1226,"YES - Paid In Full",'FUNDED DEALS'!$A$4:$A$1226,"&lt;&gt;"&amp;$A29)+SUMIFS('FUNDED DEALS 2027'!$O$4:$O$1226,'FUNDED DEALS 2027'!$A$4:$A$1226,$A29,'FUNDED DEALS 2027'!$AM$4:$AM$1226,"YES - Paid In Full")+SUMIFS('FUNDED DEALS 2027'!$O$4:$O$1226,'FUNDED DEALS 2027'!$B$4:$B$1226,$A29,'FUNDED DEALS 2027'!$AM$4:$AM$1226,"YES - Paid In Full",'FUNDED DEALS 2027'!$A$4:$A$1226,"&lt;&gt;"&amp;$A29))</f>
        <v/>
      </c>
      <c r="K29" s="76" t="str">
        <f aca="false">IF($A29="","",G29-J29-L29)</f>
        <v/>
      </c>
      <c r="L29" s="76" t="str">
        <f aca="false">IF($A29="","",SUMIF('FUNDED DEALS'!$A$4:$A$1226,$A29,'FUNDED DEALS'!$AE$4:$AE$1226)+SUMIFS('FUNDED DEALS'!$AE$4:$AE$1226,'FUNDED DEALS'!$B$4:$B$1226,$A29,'FUNDED DEALS'!$A$4:$A$1226,"&lt;&gt;"&amp;$A29)+SUMIF('FUNDED DEALS 2027'!$A$4:$A$1226,$A29,'FUNDED DEALS 2027'!$AE$4:$AE$1226)+SUMIFS('FUNDED DEALS 2027'!$AE$4:$AE$1226,'FUNDED DEALS 2027'!$B$4:$B$1226,$A29,'FUNDED DEALS 2027'!$A$4:$A$1226,"&lt;&gt;"&amp;$A29))</f>
        <v/>
      </c>
      <c r="M29" s="76" t="str">
        <f aca="false">IF($A29="","",SUMIF('FUNDED DEALS'!$A$4:$A$1226,$A29,'FUNDED DEALS'!$AL$4:$AL$1226)+SUMIFS('FUNDED DEALS'!$AL$4:$AL$1226,'FUNDED DEALS'!$B$4:$B$1226,$A29,'FUNDED DEALS'!$A$4:$A$1226,"&lt;&gt;"&amp;$A29)+SUMIF('FUNDED DEALS 2027'!$A$4:$A$1226,$A29,'FUNDED DEALS 2027'!$AL$4:$AL$1226)+SUMIFS('FUNDED DEALS 2027'!$AL$4:$AL$1226,'FUNDED DEALS 2027'!$B$4:$B$1226,$A29,'FUNDED DEALS 2027'!$A$4:$A$1226,"&lt;&gt;"&amp;$A29))</f>
        <v/>
      </c>
    </row>
    <row r="30" customFormat="false" ht="15" hidden="false" customHeight="false" outlineLevel="0" collapsed="false">
      <c r="A30" s="77" t="str">
        <f aca="false">IFERROR(IF(26&lt;='FUNDED DEALS'!$AX$920,INDEX('FUNDED DEALS'!$A:$A,MATCH(26,'FUNDED DEALS'!$AX$3:$AX$920,0)+2),INDEX('FUNDED DEALS 2027'!$A:$A,MATCH(26-'FUNDED DEALS'!$AX$920,'FUNDED DEALS 2027'!$AX$3:$AX$1226,0)+2)),"")</f>
        <v/>
      </c>
      <c r="B30" s="55" t="str">
        <f aca="false">IF($A30="","",IFERROR(INDEX('FUNDED DEALS'!$D$4:$D$1226,MATCH($A30,'FUNDED DEALS'!$A$4:$A$1226,0)),IFERROR(INDEX('FUNDED DEALS 2027'!$D$4:$D$1226,MATCH($A30,'FUNDED DEALS 2027'!$A$4:$A$1226,0)),"not found")))</f>
        <v/>
      </c>
      <c r="C30" s="55" t="str">
        <f aca="false">IF($A30="","",IFERROR(INDEX('FUNDED DEALS'!$E$4:$E$1226,MATCH($A30,'FUNDED DEALS'!$A$4:$A$1226,0)),IFERROR(INDEX('FUNDED DEALS 2027'!$E$4:$E$1226,MATCH($A30,'FUNDED DEALS 2027'!$A$4:$A$1226,0)),"not found")))</f>
        <v/>
      </c>
      <c r="D30" s="55" t="str">
        <f aca="false">IF($A30="","",IFERROR(INDEX('FUNDED DEALS'!$F$4:$F$1226,MATCH($A30,'FUNDED DEALS'!$A$4:$A$1226,0)),IFERROR(INDEX('FUNDED DEALS 2027'!$F$4:$F$1226,MATCH($A30,'FUNDED DEALS 2027'!$A$4:$A$1226,0)),"not found")))</f>
        <v/>
      </c>
      <c r="E30" s="78" t="str">
        <f aca="false">IF($A30="","",COUNTIFS('FUNDED DEALS'!$B$4:$B$1226,$A30,'FUNDED DEALS'!$A$4:$A$1226,"&lt;&gt;"&amp;$A30)+COUNTIFS('FUNDED DEALS 2027'!$B$4:$B$1226,$A30,'FUNDED DEALS 2027'!$A$4:$A$1226,"&lt;&gt;"&amp;$A30))</f>
        <v/>
      </c>
      <c r="F30" s="79" t="str">
        <f aca="false">IF($A30="","",SUMIF('FUNDED DEALS'!$A$4:$A$1226,$A30,'FUNDED DEALS'!$G$4:$G$1226)+SUMIFS('FUNDED DEALS'!$G$4:$G$1226,'FUNDED DEALS'!$B$4:$B$1226,$A30,'FUNDED DEALS'!$A$4:$A$1226,"&lt;&gt;"&amp;$A30)+SUMIF('FUNDED DEALS 2027'!$A$4:$A$1226,$A30,'FUNDED DEALS 2027'!$G$4:$G$1226)+SUMIFS('FUNDED DEALS 2027'!$G$4:$G$1226,'FUNDED DEALS 2027'!$B$4:$B$1226,$A30,'FUNDED DEALS 2027'!$A$4:$A$1226,"&lt;&gt;"&amp;$A30))</f>
        <v/>
      </c>
      <c r="G30" s="79" t="str">
        <f aca="false">IF($A30="","",SUMIF('FUNDED DEALS'!$A$4:$A$1226,$A30,'FUNDED DEALS'!$O$4:$O$1226)+SUMIFS('FUNDED DEALS'!$O$4:$O$1226,'FUNDED DEALS'!$B$4:$B$1226,$A30,'FUNDED DEALS'!$A$4:$A$1226,"&lt;&gt;"&amp;$A30)+SUMIF('FUNDED DEALS 2027'!$A$4:$A$1226,$A30,'FUNDED DEALS 2027'!$O$4:$O$1226)+SUMIFS('FUNDED DEALS 2027'!$O$4:$O$1226,'FUNDED DEALS 2027'!$B$4:$B$1226,$A30,'FUNDED DEALS 2027'!$A$4:$A$1226,"&lt;&gt;"&amp;$A30))</f>
        <v/>
      </c>
      <c r="H30" s="79" t="str">
        <f aca="false">IF($A30="","",SUMIF('FUNDED DEALS'!$A$4:$A$1226,$A30,'FUNDED DEALS'!$AC$4:$AC$1226)+SUMIFS('FUNDED DEALS'!$AC$4:$AC$1226,'FUNDED DEALS'!$B$4:$B$1226,$A30,'FUNDED DEALS'!$A$4:$A$1226,"&lt;&gt;"&amp;$A30)+SUMIF('FUNDED DEALS 2027'!$A$4:$A$1226,$A30,'FUNDED DEALS 2027'!$AC$4:$AC$1226)+SUMIFS('FUNDED DEALS 2027'!$AC$4:$AC$1226,'FUNDED DEALS 2027'!$B$4:$B$1226,$A30,'FUNDED DEALS 2027'!$A$4:$A$1226,"&lt;&gt;"&amp;$A30))</f>
        <v/>
      </c>
      <c r="I30" s="79" t="str">
        <f aca="false">IF($A30="","",SUMIF('FUNDED DEALS'!$A$4:$A$1226,$A30,'FUNDED DEALS'!$AD$4:$AD$1226)+SUMIFS('FUNDED DEALS'!$AD$4:$AD$1226,'FUNDED DEALS'!$B$4:$B$1226,$A30,'FUNDED DEALS'!$A$4:$A$1226,"&lt;&gt;"&amp;$A30)+SUMIF('FUNDED DEALS 2027'!$A$4:$A$1226,$A30,'FUNDED DEALS 2027'!$AD$4:$AD$1226)+SUMIFS('FUNDED DEALS 2027'!$AD$4:$AD$1226,'FUNDED DEALS 2027'!$B$4:$B$1226,$A30,'FUNDED DEALS 2027'!$A$4:$A$1226,"&lt;&gt;"&amp;$A30))</f>
        <v/>
      </c>
      <c r="J30" s="79" t="str">
        <f aca="false">IF($A30="","",SUMIFS('FUNDED DEALS'!$O$4:$O$1226,'FUNDED DEALS'!$A$4:$A$1226,$A30,'FUNDED DEALS'!$AM$4:$AM$1226,"YES - Paid In Full")+SUMIFS('FUNDED DEALS'!$O$4:$O$1226,'FUNDED DEALS'!$B$4:$B$1226,$A30,'FUNDED DEALS'!$AM$4:$AM$1226,"YES - Paid In Full",'FUNDED DEALS'!$A$4:$A$1226,"&lt;&gt;"&amp;$A30)+SUMIFS('FUNDED DEALS 2027'!$O$4:$O$1226,'FUNDED DEALS 2027'!$A$4:$A$1226,$A30,'FUNDED DEALS 2027'!$AM$4:$AM$1226,"YES - Paid In Full")+SUMIFS('FUNDED DEALS 2027'!$O$4:$O$1226,'FUNDED DEALS 2027'!$B$4:$B$1226,$A30,'FUNDED DEALS 2027'!$AM$4:$AM$1226,"YES - Paid In Full",'FUNDED DEALS 2027'!$A$4:$A$1226,"&lt;&gt;"&amp;$A30))</f>
        <v/>
      </c>
      <c r="K30" s="79" t="str">
        <f aca="false">IF($A30="","",G30-J30-L30)</f>
        <v/>
      </c>
      <c r="L30" s="79" t="str">
        <f aca="false">IF($A30="","",SUMIF('FUNDED DEALS'!$A$4:$A$1226,$A30,'FUNDED DEALS'!$AE$4:$AE$1226)+SUMIFS('FUNDED DEALS'!$AE$4:$AE$1226,'FUNDED DEALS'!$B$4:$B$1226,$A30,'FUNDED DEALS'!$A$4:$A$1226,"&lt;&gt;"&amp;$A30)+SUMIF('FUNDED DEALS 2027'!$A$4:$A$1226,$A30,'FUNDED DEALS 2027'!$AE$4:$AE$1226)+SUMIFS('FUNDED DEALS 2027'!$AE$4:$AE$1226,'FUNDED DEALS 2027'!$B$4:$B$1226,$A30,'FUNDED DEALS 2027'!$A$4:$A$1226,"&lt;&gt;"&amp;$A30))</f>
        <v/>
      </c>
      <c r="M30" s="79" t="str">
        <f aca="false">IF($A30="","",SUMIF('FUNDED DEALS'!$A$4:$A$1226,$A30,'FUNDED DEALS'!$AL$4:$AL$1226)+SUMIFS('FUNDED DEALS'!$AL$4:$AL$1226,'FUNDED DEALS'!$B$4:$B$1226,$A30,'FUNDED DEALS'!$A$4:$A$1226,"&lt;&gt;"&amp;$A30)+SUMIF('FUNDED DEALS 2027'!$A$4:$A$1226,$A30,'FUNDED DEALS 2027'!$AL$4:$AL$1226)+SUMIFS('FUNDED DEALS 2027'!$AL$4:$AL$1226,'FUNDED DEALS 2027'!$B$4:$B$1226,$A30,'FUNDED DEALS 2027'!$A$4:$A$1226,"&lt;&gt;"&amp;$A30))</f>
        <v/>
      </c>
    </row>
    <row r="31" customFormat="false" ht="15" hidden="false" customHeight="false" outlineLevel="0" collapsed="false">
      <c r="A31" s="74" t="str">
        <f aca="false">IFERROR(IF(27&lt;='FUNDED DEALS'!$AX$920,INDEX('FUNDED DEALS'!$A:$A,MATCH(27,'FUNDED DEALS'!$AX$3:$AX$920,0)+2),INDEX('FUNDED DEALS 2027'!$A:$A,MATCH(27-'FUNDED DEALS'!$AX$920,'FUNDED DEALS 2027'!$AX$3:$AX$1226,0)+2)),"")</f>
        <v/>
      </c>
      <c r="B31" s="57" t="str">
        <f aca="false">IF($A31="","",IFERROR(INDEX('FUNDED DEALS'!$D$4:$D$1226,MATCH($A31,'FUNDED DEALS'!$A$4:$A$1226,0)),IFERROR(INDEX('FUNDED DEALS 2027'!$D$4:$D$1226,MATCH($A31,'FUNDED DEALS 2027'!$A$4:$A$1226,0)),"not found")))</f>
        <v/>
      </c>
      <c r="C31" s="57" t="str">
        <f aca="false">IF($A31="","",IFERROR(INDEX('FUNDED DEALS'!$E$4:$E$1226,MATCH($A31,'FUNDED DEALS'!$A$4:$A$1226,0)),IFERROR(INDEX('FUNDED DEALS 2027'!$E$4:$E$1226,MATCH($A31,'FUNDED DEALS 2027'!$A$4:$A$1226,0)),"not found")))</f>
        <v/>
      </c>
      <c r="D31" s="57" t="str">
        <f aca="false">IF($A31="","",IFERROR(INDEX('FUNDED DEALS'!$F$4:$F$1226,MATCH($A31,'FUNDED DEALS'!$A$4:$A$1226,0)),IFERROR(INDEX('FUNDED DEALS 2027'!$F$4:$F$1226,MATCH($A31,'FUNDED DEALS 2027'!$A$4:$A$1226,0)),"not found")))</f>
        <v/>
      </c>
      <c r="E31" s="75" t="str">
        <f aca="false">IF($A31="","",COUNTIFS('FUNDED DEALS'!$B$4:$B$1226,$A31,'FUNDED DEALS'!$A$4:$A$1226,"&lt;&gt;"&amp;$A31)+COUNTIFS('FUNDED DEALS 2027'!$B$4:$B$1226,$A31,'FUNDED DEALS 2027'!$A$4:$A$1226,"&lt;&gt;"&amp;$A31))</f>
        <v/>
      </c>
      <c r="F31" s="76" t="str">
        <f aca="false">IF($A31="","",SUMIF('FUNDED DEALS'!$A$4:$A$1226,$A31,'FUNDED DEALS'!$G$4:$G$1226)+SUMIFS('FUNDED DEALS'!$G$4:$G$1226,'FUNDED DEALS'!$B$4:$B$1226,$A31,'FUNDED DEALS'!$A$4:$A$1226,"&lt;&gt;"&amp;$A31)+SUMIF('FUNDED DEALS 2027'!$A$4:$A$1226,$A31,'FUNDED DEALS 2027'!$G$4:$G$1226)+SUMIFS('FUNDED DEALS 2027'!$G$4:$G$1226,'FUNDED DEALS 2027'!$B$4:$B$1226,$A31,'FUNDED DEALS 2027'!$A$4:$A$1226,"&lt;&gt;"&amp;$A31))</f>
        <v/>
      </c>
      <c r="G31" s="76" t="str">
        <f aca="false">IF($A31="","",SUMIF('FUNDED DEALS'!$A$4:$A$1226,$A31,'FUNDED DEALS'!$O$4:$O$1226)+SUMIFS('FUNDED DEALS'!$O$4:$O$1226,'FUNDED DEALS'!$B$4:$B$1226,$A31,'FUNDED DEALS'!$A$4:$A$1226,"&lt;&gt;"&amp;$A31)+SUMIF('FUNDED DEALS 2027'!$A$4:$A$1226,$A31,'FUNDED DEALS 2027'!$O$4:$O$1226)+SUMIFS('FUNDED DEALS 2027'!$O$4:$O$1226,'FUNDED DEALS 2027'!$B$4:$B$1226,$A31,'FUNDED DEALS 2027'!$A$4:$A$1226,"&lt;&gt;"&amp;$A31))</f>
        <v/>
      </c>
      <c r="H31" s="76" t="str">
        <f aca="false">IF($A31="","",SUMIF('FUNDED DEALS'!$A$4:$A$1226,$A31,'FUNDED DEALS'!$AC$4:$AC$1226)+SUMIFS('FUNDED DEALS'!$AC$4:$AC$1226,'FUNDED DEALS'!$B$4:$B$1226,$A31,'FUNDED DEALS'!$A$4:$A$1226,"&lt;&gt;"&amp;$A31)+SUMIF('FUNDED DEALS 2027'!$A$4:$A$1226,$A31,'FUNDED DEALS 2027'!$AC$4:$AC$1226)+SUMIFS('FUNDED DEALS 2027'!$AC$4:$AC$1226,'FUNDED DEALS 2027'!$B$4:$B$1226,$A31,'FUNDED DEALS 2027'!$A$4:$A$1226,"&lt;&gt;"&amp;$A31))</f>
        <v/>
      </c>
      <c r="I31" s="76" t="str">
        <f aca="false">IF($A31="","",SUMIF('FUNDED DEALS'!$A$4:$A$1226,$A31,'FUNDED DEALS'!$AD$4:$AD$1226)+SUMIFS('FUNDED DEALS'!$AD$4:$AD$1226,'FUNDED DEALS'!$B$4:$B$1226,$A31,'FUNDED DEALS'!$A$4:$A$1226,"&lt;&gt;"&amp;$A31)+SUMIF('FUNDED DEALS 2027'!$A$4:$A$1226,$A31,'FUNDED DEALS 2027'!$AD$4:$AD$1226)+SUMIFS('FUNDED DEALS 2027'!$AD$4:$AD$1226,'FUNDED DEALS 2027'!$B$4:$B$1226,$A31,'FUNDED DEALS 2027'!$A$4:$A$1226,"&lt;&gt;"&amp;$A31))</f>
        <v/>
      </c>
      <c r="J31" s="76" t="str">
        <f aca="false">IF($A31="","",SUMIFS('FUNDED DEALS'!$O$4:$O$1226,'FUNDED DEALS'!$A$4:$A$1226,$A31,'FUNDED DEALS'!$AM$4:$AM$1226,"YES - Paid In Full")+SUMIFS('FUNDED DEALS'!$O$4:$O$1226,'FUNDED DEALS'!$B$4:$B$1226,$A31,'FUNDED DEALS'!$AM$4:$AM$1226,"YES - Paid In Full",'FUNDED DEALS'!$A$4:$A$1226,"&lt;&gt;"&amp;$A31)+SUMIFS('FUNDED DEALS 2027'!$O$4:$O$1226,'FUNDED DEALS 2027'!$A$4:$A$1226,$A31,'FUNDED DEALS 2027'!$AM$4:$AM$1226,"YES - Paid In Full")+SUMIFS('FUNDED DEALS 2027'!$O$4:$O$1226,'FUNDED DEALS 2027'!$B$4:$B$1226,$A31,'FUNDED DEALS 2027'!$AM$4:$AM$1226,"YES - Paid In Full",'FUNDED DEALS 2027'!$A$4:$A$1226,"&lt;&gt;"&amp;$A31))</f>
        <v/>
      </c>
      <c r="K31" s="76" t="str">
        <f aca="false">IF($A31="","",G31-J31-L31)</f>
        <v/>
      </c>
      <c r="L31" s="76" t="str">
        <f aca="false">IF($A31="","",SUMIF('FUNDED DEALS'!$A$4:$A$1226,$A31,'FUNDED DEALS'!$AE$4:$AE$1226)+SUMIFS('FUNDED DEALS'!$AE$4:$AE$1226,'FUNDED DEALS'!$B$4:$B$1226,$A31,'FUNDED DEALS'!$A$4:$A$1226,"&lt;&gt;"&amp;$A31)+SUMIF('FUNDED DEALS 2027'!$A$4:$A$1226,$A31,'FUNDED DEALS 2027'!$AE$4:$AE$1226)+SUMIFS('FUNDED DEALS 2027'!$AE$4:$AE$1226,'FUNDED DEALS 2027'!$B$4:$B$1226,$A31,'FUNDED DEALS 2027'!$A$4:$A$1226,"&lt;&gt;"&amp;$A31))</f>
        <v/>
      </c>
      <c r="M31" s="76" t="str">
        <f aca="false">IF($A31="","",SUMIF('FUNDED DEALS'!$A$4:$A$1226,$A31,'FUNDED DEALS'!$AL$4:$AL$1226)+SUMIFS('FUNDED DEALS'!$AL$4:$AL$1226,'FUNDED DEALS'!$B$4:$B$1226,$A31,'FUNDED DEALS'!$A$4:$A$1226,"&lt;&gt;"&amp;$A31)+SUMIF('FUNDED DEALS 2027'!$A$4:$A$1226,$A31,'FUNDED DEALS 2027'!$AL$4:$AL$1226)+SUMIFS('FUNDED DEALS 2027'!$AL$4:$AL$1226,'FUNDED DEALS 2027'!$B$4:$B$1226,$A31,'FUNDED DEALS 2027'!$A$4:$A$1226,"&lt;&gt;"&amp;$A31))</f>
        <v/>
      </c>
    </row>
    <row r="32" customFormat="false" ht="15" hidden="false" customHeight="false" outlineLevel="0" collapsed="false">
      <c r="A32" s="77" t="str">
        <f aca="false">IFERROR(IF(28&lt;='FUNDED DEALS'!$AX$920,INDEX('FUNDED DEALS'!$A:$A,MATCH(28,'FUNDED DEALS'!$AX$3:$AX$920,0)+2),INDEX('FUNDED DEALS 2027'!$A:$A,MATCH(28-'FUNDED DEALS'!$AX$920,'FUNDED DEALS 2027'!$AX$3:$AX$1226,0)+2)),"")</f>
        <v/>
      </c>
      <c r="B32" s="55" t="str">
        <f aca="false">IF($A32="","",IFERROR(INDEX('FUNDED DEALS'!$D$4:$D$1226,MATCH($A32,'FUNDED DEALS'!$A$4:$A$1226,0)),IFERROR(INDEX('FUNDED DEALS 2027'!$D$4:$D$1226,MATCH($A32,'FUNDED DEALS 2027'!$A$4:$A$1226,0)),"not found")))</f>
        <v/>
      </c>
      <c r="C32" s="55" t="str">
        <f aca="false">IF($A32="","",IFERROR(INDEX('FUNDED DEALS'!$E$4:$E$1226,MATCH($A32,'FUNDED DEALS'!$A$4:$A$1226,0)),IFERROR(INDEX('FUNDED DEALS 2027'!$E$4:$E$1226,MATCH($A32,'FUNDED DEALS 2027'!$A$4:$A$1226,0)),"not found")))</f>
        <v/>
      </c>
      <c r="D32" s="55" t="str">
        <f aca="false">IF($A32="","",IFERROR(INDEX('FUNDED DEALS'!$F$4:$F$1226,MATCH($A32,'FUNDED DEALS'!$A$4:$A$1226,0)),IFERROR(INDEX('FUNDED DEALS 2027'!$F$4:$F$1226,MATCH($A32,'FUNDED DEALS 2027'!$A$4:$A$1226,0)),"not found")))</f>
        <v/>
      </c>
      <c r="E32" s="78" t="str">
        <f aca="false">IF($A32="","",COUNTIFS('FUNDED DEALS'!$B$4:$B$1226,$A32,'FUNDED DEALS'!$A$4:$A$1226,"&lt;&gt;"&amp;$A32)+COUNTIFS('FUNDED DEALS 2027'!$B$4:$B$1226,$A32,'FUNDED DEALS 2027'!$A$4:$A$1226,"&lt;&gt;"&amp;$A32))</f>
        <v/>
      </c>
      <c r="F32" s="79" t="str">
        <f aca="false">IF($A32="","",SUMIF('FUNDED DEALS'!$A$4:$A$1226,$A32,'FUNDED DEALS'!$G$4:$G$1226)+SUMIFS('FUNDED DEALS'!$G$4:$G$1226,'FUNDED DEALS'!$B$4:$B$1226,$A32,'FUNDED DEALS'!$A$4:$A$1226,"&lt;&gt;"&amp;$A32)+SUMIF('FUNDED DEALS 2027'!$A$4:$A$1226,$A32,'FUNDED DEALS 2027'!$G$4:$G$1226)+SUMIFS('FUNDED DEALS 2027'!$G$4:$G$1226,'FUNDED DEALS 2027'!$B$4:$B$1226,$A32,'FUNDED DEALS 2027'!$A$4:$A$1226,"&lt;&gt;"&amp;$A32))</f>
        <v/>
      </c>
      <c r="G32" s="79" t="str">
        <f aca="false">IF($A32="","",SUMIF('FUNDED DEALS'!$A$4:$A$1226,$A32,'FUNDED DEALS'!$O$4:$O$1226)+SUMIFS('FUNDED DEALS'!$O$4:$O$1226,'FUNDED DEALS'!$B$4:$B$1226,$A32,'FUNDED DEALS'!$A$4:$A$1226,"&lt;&gt;"&amp;$A32)+SUMIF('FUNDED DEALS 2027'!$A$4:$A$1226,$A32,'FUNDED DEALS 2027'!$O$4:$O$1226)+SUMIFS('FUNDED DEALS 2027'!$O$4:$O$1226,'FUNDED DEALS 2027'!$B$4:$B$1226,$A32,'FUNDED DEALS 2027'!$A$4:$A$1226,"&lt;&gt;"&amp;$A32))</f>
        <v/>
      </c>
      <c r="H32" s="79" t="str">
        <f aca="false">IF($A32="","",SUMIF('FUNDED DEALS'!$A$4:$A$1226,$A32,'FUNDED DEALS'!$AC$4:$AC$1226)+SUMIFS('FUNDED DEALS'!$AC$4:$AC$1226,'FUNDED DEALS'!$B$4:$B$1226,$A32,'FUNDED DEALS'!$A$4:$A$1226,"&lt;&gt;"&amp;$A32)+SUMIF('FUNDED DEALS 2027'!$A$4:$A$1226,$A32,'FUNDED DEALS 2027'!$AC$4:$AC$1226)+SUMIFS('FUNDED DEALS 2027'!$AC$4:$AC$1226,'FUNDED DEALS 2027'!$B$4:$B$1226,$A32,'FUNDED DEALS 2027'!$A$4:$A$1226,"&lt;&gt;"&amp;$A32))</f>
        <v/>
      </c>
      <c r="I32" s="79" t="str">
        <f aca="false">IF($A32="","",SUMIF('FUNDED DEALS'!$A$4:$A$1226,$A32,'FUNDED DEALS'!$AD$4:$AD$1226)+SUMIFS('FUNDED DEALS'!$AD$4:$AD$1226,'FUNDED DEALS'!$B$4:$B$1226,$A32,'FUNDED DEALS'!$A$4:$A$1226,"&lt;&gt;"&amp;$A32)+SUMIF('FUNDED DEALS 2027'!$A$4:$A$1226,$A32,'FUNDED DEALS 2027'!$AD$4:$AD$1226)+SUMIFS('FUNDED DEALS 2027'!$AD$4:$AD$1226,'FUNDED DEALS 2027'!$B$4:$B$1226,$A32,'FUNDED DEALS 2027'!$A$4:$A$1226,"&lt;&gt;"&amp;$A32))</f>
        <v/>
      </c>
      <c r="J32" s="79" t="str">
        <f aca="false">IF($A32="","",SUMIFS('FUNDED DEALS'!$O$4:$O$1226,'FUNDED DEALS'!$A$4:$A$1226,$A32,'FUNDED DEALS'!$AM$4:$AM$1226,"YES - Paid In Full")+SUMIFS('FUNDED DEALS'!$O$4:$O$1226,'FUNDED DEALS'!$B$4:$B$1226,$A32,'FUNDED DEALS'!$AM$4:$AM$1226,"YES - Paid In Full",'FUNDED DEALS'!$A$4:$A$1226,"&lt;&gt;"&amp;$A32)+SUMIFS('FUNDED DEALS 2027'!$O$4:$O$1226,'FUNDED DEALS 2027'!$A$4:$A$1226,$A32,'FUNDED DEALS 2027'!$AM$4:$AM$1226,"YES - Paid In Full")+SUMIFS('FUNDED DEALS 2027'!$O$4:$O$1226,'FUNDED DEALS 2027'!$B$4:$B$1226,$A32,'FUNDED DEALS 2027'!$AM$4:$AM$1226,"YES - Paid In Full",'FUNDED DEALS 2027'!$A$4:$A$1226,"&lt;&gt;"&amp;$A32))</f>
        <v/>
      </c>
      <c r="K32" s="79" t="str">
        <f aca="false">IF($A32="","",G32-J32-L32)</f>
        <v/>
      </c>
      <c r="L32" s="79" t="str">
        <f aca="false">IF($A32="","",SUMIF('FUNDED DEALS'!$A$4:$A$1226,$A32,'FUNDED DEALS'!$AE$4:$AE$1226)+SUMIFS('FUNDED DEALS'!$AE$4:$AE$1226,'FUNDED DEALS'!$B$4:$B$1226,$A32,'FUNDED DEALS'!$A$4:$A$1226,"&lt;&gt;"&amp;$A32)+SUMIF('FUNDED DEALS 2027'!$A$4:$A$1226,$A32,'FUNDED DEALS 2027'!$AE$4:$AE$1226)+SUMIFS('FUNDED DEALS 2027'!$AE$4:$AE$1226,'FUNDED DEALS 2027'!$B$4:$B$1226,$A32,'FUNDED DEALS 2027'!$A$4:$A$1226,"&lt;&gt;"&amp;$A32))</f>
        <v/>
      </c>
      <c r="M32" s="79" t="str">
        <f aca="false">IF($A32="","",SUMIF('FUNDED DEALS'!$A$4:$A$1226,$A32,'FUNDED DEALS'!$AL$4:$AL$1226)+SUMIFS('FUNDED DEALS'!$AL$4:$AL$1226,'FUNDED DEALS'!$B$4:$B$1226,$A32,'FUNDED DEALS'!$A$4:$A$1226,"&lt;&gt;"&amp;$A32)+SUMIF('FUNDED DEALS 2027'!$A$4:$A$1226,$A32,'FUNDED DEALS 2027'!$AL$4:$AL$1226)+SUMIFS('FUNDED DEALS 2027'!$AL$4:$AL$1226,'FUNDED DEALS 2027'!$B$4:$B$1226,$A32,'FUNDED DEALS 2027'!$A$4:$A$1226,"&lt;&gt;"&amp;$A32))</f>
        <v/>
      </c>
    </row>
    <row r="33" customFormat="false" ht="15" hidden="false" customHeight="false" outlineLevel="0" collapsed="false">
      <c r="A33" s="74" t="str">
        <f aca="false">IFERROR(IF(29&lt;='FUNDED DEALS'!$AX$920,INDEX('FUNDED DEALS'!$A:$A,MATCH(29,'FUNDED DEALS'!$AX$3:$AX$920,0)+2),INDEX('FUNDED DEALS 2027'!$A:$A,MATCH(29-'FUNDED DEALS'!$AX$920,'FUNDED DEALS 2027'!$AX$3:$AX$1226,0)+2)),"")</f>
        <v/>
      </c>
      <c r="B33" s="57" t="str">
        <f aca="false">IF($A33="","",IFERROR(INDEX('FUNDED DEALS'!$D$4:$D$1226,MATCH($A33,'FUNDED DEALS'!$A$4:$A$1226,0)),IFERROR(INDEX('FUNDED DEALS 2027'!$D$4:$D$1226,MATCH($A33,'FUNDED DEALS 2027'!$A$4:$A$1226,0)),"not found")))</f>
        <v/>
      </c>
      <c r="C33" s="57" t="str">
        <f aca="false">IF($A33="","",IFERROR(INDEX('FUNDED DEALS'!$E$4:$E$1226,MATCH($A33,'FUNDED DEALS'!$A$4:$A$1226,0)),IFERROR(INDEX('FUNDED DEALS 2027'!$E$4:$E$1226,MATCH($A33,'FUNDED DEALS 2027'!$A$4:$A$1226,0)),"not found")))</f>
        <v/>
      </c>
      <c r="D33" s="57" t="str">
        <f aca="false">IF($A33="","",IFERROR(INDEX('FUNDED DEALS'!$F$4:$F$1226,MATCH($A33,'FUNDED DEALS'!$A$4:$A$1226,0)),IFERROR(INDEX('FUNDED DEALS 2027'!$F$4:$F$1226,MATCH($A33,'FUNDED DEALS 2027'!$A$4:$A$1226,0)),"not found")))</f>
        <v/>
      </c>
      <c r="E33" s="75" t="str">
        <f aca="false">IF($A33="","",COUNTIFS('FUNDED DEALS'!$B$4:$B$1226,$A33,'FUNDED DEALS'!$A$4:$A$1226,"&lt;&gt;"&amp;$A33)+COUNTIFS('FUNDED DEALS 2027'!$B$4:$B$1226,$A33,'FUNDED DEALS 2027'!$A$4:$A$1226,"&lt;&gt;"&amp;$A33))</f>
        <v/>
      </c>
      <c r="F33" s="76" t="str">
        <f aca="false">IF($A33="","",SUMIF('FUNDED DEALS'!$A$4:$A$1226,$A33,'FUNDED DEALS'!$G$4:$G$1226)+SUMIFS('FUNDED DEALS'!$G$4:$G$1226,'FUNDED DEALS'!$B$4:$B$1226,$A33,'FUNDED DEALS'!$A$4:$A$1226,"&lt;&gt;"&amp;$A33)+SUMIF('FUNDED DEALS 2027'!$A$4:$A$1226,$A33,'FUNDED DEALS 2027'!$G$4:$G$1226)+SUMIFS('FUNDED DEALS 2027'!$G$4:$G$1226,'FUNDED DEALS 2027'!$B$4:$B$1226,$A33,'FUNDED DEALS 2027'!$A$4:$A$1226,"&lt;&gt;"&amp;$A33))</f>
        <v/>
      </c>
      <c r="G33" s="76" t="str">
        <f aca="false">IF($A33="","",SUMIF('FUNDED DEALS'!$A$4:$A$1226,$A33,'FUNDED DEALS'!$O$4:$O$1226)+SUMIFS('FUNDED DEALS'!$O$4:$O$1226,'FUNDED DEALS'!$B$4:$B$1226,$A33,'FUNDED DEALS'!$A$4:$A$1226,"&lt;&gt;"&amp;$A33)+SUMIF('FUNDED DEALS 2027'!$A$4:$A$1226,$A33,'FUNDED DEALS 2027'!$O$4:$O$1226)+SUMIFS('FUNDED DEALS 2027'!$O$4:$O$1226,'FUNDED DEALS 2027'!$B$4:$B$1226,$A33,'FUNDED DEALS 2027'!$A$4:$A$1226,"&lt;&gt;"&amp;$A33))</f>
        <v/>
      </c>
      <c r="H33" s="76" t="str">
        <f aca="false">IF($A33="","",SUMIF('FUNDED DEALS'!$A$4:$A$1226,$A33,'FUNDED DEALS'!$AC$4:$AC$1226)+SUMIFS('FUNDED DEALS'!$AC$4:$AC$1226,'FUNDED DEALS'!$B$4:$B$1226,$A33,'FUNDED DEALS'!$A$4:$A$1226,"&lt;&gt;"&amp;$A33)+SUMIF('FUNDED DEALS 2027'!$A$4:$A$1226,$A33,'FUNDED DEALS 2027'!$AC$4:$AC$1226)+SUMIFS('FUNDED DEALS 2027'!$AC$4:$AC$1226,'FUNDED DEALS 2027'!$B$4:$B$1226,$A33,'FUNDED DEALS 2027'!$A$4:$A$1226,"&lt;&gt;"&amp;$A33))</f>
        <v/>
      </c>
      <c r="I33" s="76" t="str">
        <f aca="false">IF($A33="","",SUMIF('FUNDED DEALS'!$A$4:$A$1226,$A33,'FUNDED DEALS'!$AD$4:$AD$1226)+SUMIFS('FUNDED DEALS'!$AD$4:$AD$1226,'FUNDED DEALS'!$B$4:$B$1226,$A33,'FUNDED DEALS'!$A$4:$A$1226,"&lt;&gt;"&amp;$A33)+SUMIF('FUNDED DEALS 2027'!$A$4:$A$1226,$A33,'FUNDED DEALS 2027'!$AD$4:$AD$1226)+SUMIFS('FUNDED DEALS 2027'!$AD$4:$AD$1226,'FUNDED DEALS 2027'!$B$4:$B$1226,$A33,'FUNDED DEALS 2027'!$A$4:$A$1226,"&lt;&gt;"&amp;$A33))</f>
        <v/>
      </c>
      <c r="J33" s="76" t="str">
        <f aca="false">IF($A33="","",SUMIFS('FUNDED DEALS'!$O$4:$O$1226,'FUNDED DEALS'!$A$4:$A$1226,$A33,'FUNDED DEALS'!$AM$4:$AM$1226,"YES - Paid In Full")+SUMIFS('FUNDED DEALS'!$O$4:$O$1226,'FUNDED DEALS'!$B$4:$B$1226,$A33,'FUNDED DEALS'!$AM$4:$AM$1226,"YES - Paid In Full",'FUNDED DEALS'!$A$4:$A$1226,"&lt;&gt;"&amp;$A33)+SUMIFS('FUNDED DEALS 2027'!$O$4:$O$1226,'FUNDED DEALS 2027'!$A$4:$A$1226,$A33,'FUNDED DEALS 2027'!$AM$4:$AM$1226,"YES - Paid In Full")+SUMIFS('FUNDED DEALS 2027'!$O$4:$O$1226,'FUNDED DEALS 2027'!$B$4:$B$1226,$A33,'FUNDED DEALS 2027'!$AM$4:$AM$1226,"YES - Paid In Full",'FUNDED DEALS 2027'!$A$4:$A$1226,"&lt;&gt;"&amp;$A33))</f>
        <v/>
      </c>
      <c r="K33" s="76" t="str">
        <f aca="false">IF($A33="","",G33-J33-L33)</f>
        <v/>
      </c>
      <c r="L33" s="76" t="str">
        <f aca="false">IF($A33="","",SUMIF('FUNDED DEALS'!$A$4:$A$1226,$A33,'FUNDED DEALS'!$AE$4:$AE$1226)+SUMIFS('FUNDED DEALS'!$AE$4:$AE$1226,'FUNDED DEALS'!$B$4:$B$1226,$A33,'FUNDED DEALS'!$A$4:$A$1226,"&lt;&gt;"&amp;$A33)+SUMIF('FUNDED DEALS 2027'!$A$4:$A$1226,$A33,'FUNDED DEALS 2027'!$AE$4:$AE$1226)+SUMIFS('FUNDED DEALS 2027'!$AE$4:$AE$1226,'FUNDED DEALS 2027'!$B$4:$B$1226,$A33,'FUNDED DEALS 2027'!$A$4:$A$1226,"&lt;&gt;"&amp;$A33))</f>
        <v/>
      </c>
      <c r="M33" s="76" t="str">
        <f aca="false">IF($A33="","",SUMIF('FUNDED DEALS'!$A$4:$A$1226,$A33,'FUNDED DEALS'!$AL$4:$AL$1226)+SUMIFS('FUNDED DEALS'!$AL$4:$AL$1226,'FUNDED DEALS'!$B$4:$B$1226,$A33,'FUNDED DEALS'!$A$4:$A$1226,"&lt;&gt;"&amp;$A33)+SUMIF('FUNDED DEALS 2027'!$A$4:$A$1226,$A33,'FUNDED DEALS 2027'!$AL$4:$AL$1226)+SUMIFS('FUNDED DEALS 2027'!$AL$4:$AL$1226,'FUNDED DEALS 2027'!$B$4:$B$1226,$A33,'FUNDED DEALS 2027'!$A$4:$A$1226,"&lt;&gt;"&amp;$A33))</f>
        <v/>
      </c>
    </row>
    <row r="34" customFormat="false" ht="15" hidden="false" customHeight="false" outlineLevel="0" collapsed="false">
      <c r="A34" s="77" t="str">
        <f aca="false">IFERROR(IF(30&lt;='FUNDED DEALS'!$AX$920,INDEX('FUNDED DEALS'!$A:$A,MATCH(30,'FUNDED DEALS'!$AX$3:$AX$920,0)+2),INDEX('FUNDED DEALS 2027'!$A:$A,MATCH(30-'FUNDED DEALS'!$AX$920,'FUNDED DEALS 2027'!$AX$3:$AX$1226,0)+2)),"")</f>
        <v/>
      </c>
      <c r="B34" s="55" t="str">
        <f aca="false">IF($A34="","",IFERROR(INDEX('FUNDED DEALS'!$D$4:$D$1226,MATCH($A34,'FUNDED DEALS'!$A$4:$A$1226,0)),IFERROR(INDEX('FUNDED DEALS 2027'!$D$4:$D$1226,MATCH($A34,'FUNDED DEALS 2027'!$A$4:$A$1226,0)),"not found")))</f>
        <v/>
      </c>
      <c r="C34" s="55" t="str">
        <f aca="false">IF($A34="","",IFERROR(INDEX('FUNDED DEALS'!$E$4:$E$1226,MATCH($A34,'FUNDED DEALS'!$A$4:$A$1226,0)),IFERROR(INDEX('FUNDED DEALS 2027'!$E$4:$E$1226,MATCH($A34,'FUNDED DEALS 2027'!$A$4:$A$1226,0)),"not found")))</f>
        <v/>
      </c>
      <c r="D34" s="55" t="str">
        <f aca="false">IF($A34="","",IFERROR(INDEX('FUNDED DEALS'!$F$4:$F$1226,MATCH($A34,'FUNDED DEALS'!$A$4:$A$1226,0)),IFERROR(INDEX('FUNDED DEALS 2027'!$F$4:$F$1226,MATCH($A34,'FUNDED DEALS 2027'!$A$4:$A$1226,0)),"not found")))</f>
        <v/>
      </c>
      <c r="E34" s="78" t="str">
        <f aca="false">IF($A34="","",COUNTIFS('FUNDED DEALS'!$B$4:$B$1226,$A34,'FUNDED DEALS'!$A$4:$A$1226,"&lt;&gt;"&amp;$A34)+COUNTIFS('FUNDED DEALS 2027'!$B$4:$B$1226,$A34,'FUNDED DEALS 2027'!$A$4:$A$1226,"&lt;&gt;"&amp;$A34))</f>
        <v/>
      </c>
      <c r="F34" s="79" t="str">
        <f aca="false">IF($A34="","",SUMIF('FUNDED DEALS'!$A$4:$A$1226,$A34,'FUNDED DEALS'!$G$4:$G$1226)+SUMIFS('FUNDED DEALS'!$G$4:$G$1226,'FUNDED DEALS'!$B$4:$B$1226,$A34,'FUNDED DEALS'!$A$4:$A$1226,"&lt;&gt;"&amp;$A34)+SUMIF('FUNDED DEALS 2027'!$A$4:$A$1226,$A34,'FUNDED DEALS 2027'!$G$4:$G$1226)+SUMIFS('FUNDED DEALS 2027'!$G$4:$G$1226,'FUNDED DEALS 2027'!$B$4:$B$1226,$A34,'FUNDED DEALS 2027'!$A$4:$A$1226,"&lt;&gt;"&amp;$A34))</f>
        <v/>
      </c>
      <c r="G34" s="79" t="str">
        <f aca="false">IF($A34="","",SUMIF('FUNDED DEALS'!$A$4:$A$1226,$A34,'FUNDED DEALS'!$O$4:$O$1226)+SUMIFS('FUNDED DEALS'!$O$4:$O$1226,'FUNDED DEALS'!$B$4:$B$1226,$A34,'FUNDED DEALS'!$A$4:$A$1226,"&lt;&gt;"&amp;$A34)+SUMIF('FUNDED DEALS 2027'!$A$4:$A$1226,$A34,'FUNDED DEALS 2027'!$O$4:$O$1226)+SUMIFS('FUNDED DEALS 2027'!$O$4:$O$1226,'FUNDED DEALS 2027'!$B$4:$B$1226,$A34,'FUNDED DEALS 2027'!$A$4:$A$1226,"&lt;&gt;"&amp;$A34))</f>
        <v/>
      </c>
      <c r="H34" s="79" t="str">
        <f aca="false">IF($A34="","",SUMIF('FUNDED DEALS'!$A$4:$A$1226,$A34,'FUNDED DEALS'!$AC$4:$AC$1226)+SUMIFS('FUNDED DEALS'!$AC$4:$AC$1226,'FUNDED DEALS'!$B$4:$B$1226,$A34,'FUNDED DEALS'!$A$4:$A$1226,"&lt;&gt;"&amp;$A34)+SUMIF('FUNDED DEALS 2027'!$A$4:$A$1226,$A34,'FUNDED DEALS 2027'!$AC$4:$AC$1226)+SUMIFS('FUNDED DEALS 2027'!$AC$4:$AC$1226,'FUNDED DEALS 2027'!$B$4:$B$1226,$A34,'FUNDED DEALS 2027'!$A$4:$A$1226,"&lt;&gt;"&amp;$A34))</f>
        <v/>
      </c>
      <c r="I34" s="79" t="str">
        <f aca="false">IF($A34="","",SUMIF('FUNDED DEALS'!$A$4:$A$1226,$A34,'FUNDED DEALS'!$AD$4:$AD$1226)+SUMIFS('FUNDED DEALS'!$AD$4:$AD$1226,'FUNDED DEALS'!$B$4:$B$1226,$A34,'FUNDED DEALS'!$A$4:$A$1226,"&lt;&gt;"&amp;$A34)+SUMIF('FUNDED DEALS 2027'!$A$4:$A$1226,$A34,'FUNDED DEALS 2027'!$AD$4:$AD$1226)+SUMIFS('FUNDED DEALS 2027'!$AD$4:$AD$1226,'FUNDED DEALS 2027'!$B$4:$B$1226,$A34,'FUNDED DEALS 2027'!$A$4:$A$1226,"&lt;&gt;"&amp;$A34))</f>
        <v/>
      </c>
      <c r="J34" s="79" t="str">
        <f aca="false">IF($A34="","",SUMIFS('FUNDED DEALS'!$O$4:$O$1226,'FUNDED DEALS'!$A$4:$A$1226,$A34,'FUNDED DEALS'!$AM$4:$AM$1226,"YES - Paid In Full")+SUMIFS('FUNDED DEALS'!$O$4:$O$1226,'FUNDED DEALS'!$B$4:$B$1226,$A34,'FUNDED DEALS'!$AM$4:$AM$1226,"YES - Paid In Full",'FUNDED DEALS'!$A$4:$A$1226,"&lt;&gt;"&amp;$A34)+SUMIFS('FUNDED DEALS 2027'!$O$4:$O$1226,'FUNDED DEALS 2027'!$A$4:$A$1226,$A34,'FUNDED DEALS 2027'!$AM$4:$AM$1226,"YES - Paid In Full")+SUMIFS('FUNDED DEALS 2027'!$O$4:$O$1226,'FUNDED DEALS 2027'!$B$4:$B$1226,$A34,'FUNDED DEALS 2027'!$AM$4:$AM$1226,"YES - Paid In Full",'FUNDED DEALS 2027'!$A$4:$A$1226,"&lt;&gt;"&amp;$A34))</f>
        <v/>
      </c>
      <c r="K34" s="79" t="str">
        <f aca="false">IF($A34="","",G34-J34-L34)</f>
        <v/>
      </c>
      <c r="L34" s="79" t="str">
        <f aca="false">IF($A34="","",SUMIF('FUNDED DEALS'!$A$4:$A$1226,$A34,'FUNDED DEALS'!$AE$4:$AE$1226)+SUMIFS('FUNDED DEALS'!$AE$4:$AE$1226,'FUNDED DEALS'!$B$4:$B$1226,$A34,'FUNDED DEALS'!$A$4:$A$1226,"&lt;&gt;"&amp;$A34)+SUMIF('FUNDED DEALS 2027'!$A$4:$A$1226,$A34,'FUNDED DEALS 2027'!$AE$4:$AE$1226)+SUMIFS('FUNDED DEALS 2027'!$AE$4:$AE$1226,'FUNDED DEALS 2027'!$B$4:$B$1226,$A34,'FUNDED DEALS 2027'!$A$4:$A$1226,"&lt;&gt;"&amp;$A34))</f>
        <v/>
      </c>
      <c r="M34" s="79" t="str">
        <f aca="false">IF($A34="","",SUMIF('FUNDED DEALS'!$A$4:$A$1226,$A34,'FUNDED DEALS'!$AL$4:$AL$1226)+SUMIFS('FUNDED DEALS'!$AL$4:$AL$1226,'FUNDED DEALS'!$B$4:$B$1226,$A34,'FUNDED DEALS'!$A$4:$A$1226,"&lt;&gt;"&amp;$A34)+SUMIF('FUNDED DEALS 2027'!$A$4:$A$1226,$A34,'FUNDED DEALS 2027'!$AL$4:$AL$1226)+SUMIFS('FUNDED DEALS 2027'!$AL$4:$AL$1226,'FUNDED DEALS 2027'!$B$4:$B$1226,$A34,'FUNDED DEALS 2027'!$A$4:$A$1226,"&lt;&gt;"&amp;$A34))</f>
        <v/>
      </c>
    </row>
    <row r="35" customFormat="false" ht="15" hidden="false" customHeight="false" outlineLevel="0" collapsed="false">
      <c r="A35" s="74" t="str">
        <f aca="false">IFERROR(IF(31&lt;='FUNDED DEALS'!$AX$920,INDEX('FUNDED DEALS'!$A:$A,MATCH(31,'FUNDED DEALS'!$AX$3:$AX$920,0)+2),INDEX('FUNDED DEALS 2027'!$A:$A,MATCH(31-'FUNDED DEALS'!$AX$920,'FUNDED DEALS 2027'!$AX$3:$AX$1226,0)+2)),"")</f>
        <v/>
      </c>
      <c r="B35" s="57" t="str">
        <f aca="false">IF($A35="","",IFERROR(INDEX('FUNDED DEALS'!$D$4:$D$1226,MATCH($A35,'FUNDED DEALS'!$A$4:$A$1226,0)),IFERROR(INDEX('FUNDED DEALS 2027'!$D$4:$D$1226,MATCH($A35,'FUNDED DEALS 2027'!$A$4:$A$1226,0)),"not found")))</f>
        <v/>
      </c>
      <c r="C35" s="57" t="str">
        <f aca="false">IF($A35="","",IFERROR(INDEX('FUNDED DEALS'!$E$4:$E$1226,MATCH($A35,'FUNDED DEALS'!$A$4:$A$1226,0)),IFERROR(INDEX('FUNDED DEALS 2027'!$E$4:$E$1226,MATCH($A35,'FUNDED DEALS 2027'!$A$4:$A$1226,0)),"not found")))</f>
        <v/>
      </c>
      <c r="D35" s="57" t="str">
        <f aca="false">IF($A35="","",IFERROR(INDEX('FUNDED DEALS'!$F$4:$F$1226,MATCH($A35,'FUNDED DEALS'!$A$4:$A$1226,0)),IFERROR(INDEX('FUNDED DEALS 2027'!$F$4:$F$1226,MATCH($A35,'FUNDED DEALS 2027'!$A$4:$A$1226,0)),"not found")))</f>
        <v/>
      </c>
      <c r="E35" s="75" t="str">
        <f aca="false">IF($A35="","",COUNTIFS('FUNDED DEALS'!$B$4:$B$1226,$A35,'FUNDED DEALS'!$A$4:$A$1226,"&lt;&gt;"&amp;$A35)+COUNTIFS('FUNDED DEALS 2027'!$B$4:$B$1226,$A35,'FUNDED DEALS 2027'!$A$4:$A$1226,"&lt;&gt;"&amp;$A35))</f>
        <v/>
      </c>
      <c r="F35" s="76" t="str">
        <f aca="false">IF($A35="","",SUMIF('FUNDED DEALS'!$A$4:$A$1226,$A35,'FUNDED DEALS'!$G$4:$G$1226)+SUMIFS('FUNDED DEALS'!$G$4:$G$1226,'FUNDED DEALS'!$B$4:$B$1226,$A35,'FUNDED DEALS'!$A$4:$A$1226,"&lt;&gt;"&amp;$A35)+SUMIF('FUNDED DEALS 2027'!$A$4:$A$1226,$A35,'FUNDED DEALS 2027'!$G$4:$G$1226)+SUMIFS('FUNDED DEALS 2027'!$G$4:$G$1226,'FUNDED DEALS 2027'!$B$4:$B$1226,$A35,'FUNDED DEALS 2027'!$A$4:$A$1226,"&lt;&gt;"&amp;$A35))</f>
        <v/>
      </c>
      <c r="G35" s="76" t="str">
        <f aca="false">IF($A35="","",SUMIF('FUNDED DEALS'!$A$4:$A$1226,$A35,'FUNDED DEALS'!$O$4:$O$1226)+SUMIFS('FUNDED DEALS'!$O$4:$O$1226,'FUNDED DEALS'!$B$4:$B$1226,$A35,'FUNDED DEALS'!$A$4:$A$1226,"&lt;&gt;"&amp;$A35)+SUMIF('FUNDED DEALS 2027'!$A$4:$A$1226,$A35,'FUNDED DEALS 2027'!$O$4:$O$1226)+SUMIFS('FUNDED DEALS 2027'!$O$4:$O$1226,'FUNDED DEALS 2027'!$B$4:$B$1226,$A35,'FUNDED DEALS 2027'!$A$4:$A$1226,"&lt;&gt;"&amp;$A35))</f>
        <v/>
      </c>
      <c r="H35" s="76" t="str">
        <f aca="false">IF($A35="","",SUMIF('FUNDED DEALS'!$A$4:$A$1226,$A35,'FUNDED DEALS'!$AC$4:$AC$1226)+SUMIFS('FUNDED DEALS'!$AC$4:$AC$1226,'FUNDED DEALS'!$B$4:$B$1226,$A35,'FUNDED DEALS'!$A$4:$A$1226,"&lt;&gt;"&amp;$A35)+SUMIF('FUNDED DEALS 2027'!$A$4:$A$1226,$A35,'FUNDED DEALS 2027'!$AC$4:$AC$1226)+SUMIFS('FUNDED DEALS 2027'!$AC$4:$AC$1226,'FUNDED DEALS 2027'!$B$4:$B$1226,$A35,'FUNDED DEALS 2027'!$A$4:$A$1226,"&lt;&gt;"&amp;$A35))</f>
        <v/>
      </c>
      <c r="I35" s="76" t="str">
        <f aca="false">IF($A35="","",SUMIF('FUNDED DEALS'!$A$4:$A$1226,$A35,'FUNDED DEALS'!$AD$4:$AD$1226)+SUMIFS('FUNDED DEALS'!$AD$4:$AD$1226,'FUNDED DEALS'!$B$4:$B$1226,$A35,'FUNDED DEALS'!$A$4:$A$1226,"&lt;&gt;"&amp;$A35)+SUMIF('FUNDED DEALS 2027'!$A$4:$A$1226,$A35,'FUNDED DEALS 2027'!$AD$4:$AD$1226)+SUMIFS('FUNDED DEALS 2027'!$AD$4:$AD$1226,'FUNDED DEALS 2027'!$B$4:$B$1226,$A35,'FUNDED DEALS 2027'!$A$4:$A$1226,"&lt;&gt;"&amp;$A35))</f>
        <v/>
      </c>
      <c r="J35" s="76" t="str">
        <f aca="false">IF($A35="","",SUMIFS('FUNDED DEALS'!$O$4:$O$1226,'FUNDED DEALS'!$A$4:$A$1226,$A35,'FUNDED DEALS'!$AM$4:$AM$1226,"YES - Paid In Full")+SUMIFS('FUNDED DEALS'!$O$4:$O$1226,'FUNDED DEALS'!$B$4:$B$1226,$A35,'FUNDED DEALS'!$AM$4:$AM$1226,"YES - Paid In Full",'FUNDED DEALS'!$A$4:$A$1226,"&lt;&gt;"&amp;$A35)+SUMIFS('FUNDED DEALS 2027'!$O$4:$O$1226,'FUNDED DEALS 2027'!$A$4:$A$1226,$A35,'FUNDED DEALS 2027'!$AM$4:$AM$1226,"YES - Paid In Full")+SUMIFS('FUNDED DEALS 2027'!$O$4:$O$1226,'FUNDED DEALS 2027'!$B$4:$B$1226,$A35,'FUNDED DEALS 2027'!$AM$4:$AM$1226,"YES - Paid In Full",'FUNDED DEALS 2027'!$A$4:$A$1226,"&lt;&gt;"&amp;$A35))</f>
        <v/>
      </c>
      <c r="K35" s="76" t="str">
        <f aca="false">IF($A35="","",G35-J35-L35)</f>
        <v/>
      </c>
      <c r="L35" s="76" t="str">
        <f aca="false">IF($A35="","",SUMIF('FUNDED DEALS'!$A$4:$A$1226,$A35,'FUNDED DEALS'!$AE$4:$AE$1226)+SUMIFS('FUNDED DEALS'!$AE$4:$AE$1226,'FUNDED DEALS'!$B$4:$B$1226,$A35,'FUNDED DEALS'!$A$4:$A$1226,"&lt;&gt;"&amp;$A35)+SUMIF('FUNDED DEALS 2027'!$A$4:$A$1226,$A35,'FUNDED DEALS 2027'!$AE$4:$AE$1226)+SUMIFS('FUNDED DEALS 2027'!$AE$4:$AE$1226,'FUNDED DEALS 2027'!$B$4:$B$1226,$A35,'FUNDED DEALS 2027'!$A$4:$A$1226,"&lt;&gt;"&amp;$A35))</f>
        <v/>
      </c>
      <c r="M35" s="76" t="str">
        <f aca="false">IF($A35="","",SUMIF('FUNDED DEALS'!$A$4:$A$1226,$A35,'FUNDED DEALS'!$AL$4:$AL$1226)+SUMIFS('FUNDED DEALS'!$AL$4:$AL$1226,'FUNDED DEALS'!$B$4:$B$1226,$A35,'FUNDED DEALS'!$A$4:$A$1226,"&lt;&gt;"&amp;$A35)+SUMIF('FUNDED DEALS 2027'!$A$4:$A$1226,$A35,'FUNDED DEALS 2027'!$AL$4:$AL$1226)+SUMIFS('FUNDED DEALS 2027'!$AL$4:$AL$1226,'FUNDED DEALS 2027'!$B$4:$B$1226,$A35,'FUNDED DEALS 2027'!$A$4:$A$1226,"&lt;&gt;"&amp;$A35))</f>
        <v/>
      </c>
    </row>
    <row r="36" customFormat="false" ht="15" hidden="false" customHeight="false" outlineLevel="0" collapsed="false">
      <c r="A36" s="77" t="str">
        <f aca="false">IFERROR(IF(32&lt;='FUNDED DEALS'!$AX$920,INDEX('FUNDED DEALS'!$A:$A,MATCH(32,'FUNDED DEALS'!$AX$3:$AX$920,0)+2),INDEX('FUNDED DEALS 2027'!$A:$A,MATCH(32-'FUNDED DEALS'!$AX$920,'FUNDED DEALS 2027'!$AX$3:$AX$1226,0)+2)),"")</f>
        <v/>
      </c>
      <c r="B36" s="55" t="str">
        <f aca="false">IF($A36="","",IFERROR(INDEX('FUNDED DEALS'!$D$4:$D$1226,MATCH($A36,'FUNDED DEALS'!$A$4:$A$1226,0)),IFERROR(INDEX('FUNDED DEALS 2027'!$D$4:$D$1226,MATCH($A36,'FUNDED DEALS 2027'!$A$4:$A$1226,0)),"not found")))</f>
        <v/>
      </c>
      <c r="C36" s="55" t="str">
        <f aca="false">IF($A36="","",IFERROR(INDEX('FUNDED DEALS'!$E$4:$E$1226,MATCH($A36,'FUNDED DEALS'!$A$4:$A$1226,0)),IFERROR(INDEX('FUNDED DEALS 2027'!$E$4:$E$1226,MATCH($A36,'FUNDED DEALS 2027'!$A$4:$A$1226,0)),"not found")))</f>
        <v/>
      </c>
      <c r="D36" s="55" t="str">
        <f aca="false">IF($A36="","",IFERROR(INDEX('FUNDED DEALS'!$F$4:$F$1226,MATCH($A36,'FUNDED DEALS'!$A$4:$A$1226,0)),IFERROR(INDEX('FUNDED DEALS 2027'!$F$4:$F$1226,MATCH($A36,'FUNDED DEALS 2027'!$A$4:$A$1226,0)),"not found")))</f>
        <v/>
      </c>
      <c r="E36" s="78" t="str">
        <f aca="false">IF($A36="","",COUNTIFS('FUNDED DEALS'!$B$4:$B$1226,$A36,'FUNDED DEALS'!$A$4:$A$1226,"&lt;&gt;"&amp;$A36)+COUNTIFS('FUNDED DEALS 2027'!$B$4:$B$1226,$A36,'FUNDED DEALS 2027'!$A$4:$A$1226,"&lt;&gt;"&amp;$A36))</f>
        <v/>
      </c>
      <c r="F36" s="79" t="str">
        <f aca="false">IF($A36="","",SUMIF('FUNDED DEALS'!$A$4:$A$1226,$A36,'FUNDED DEALS'!$G$4:$G$1226)+SUMIFS('FUNDED DEALS'!$G$4:$G$1226,'FUNDED DEALS'!$B$4:$B$1226,$A36,'FUNDED DEALS'!$A$4:$A$1226,"&lt;&gt;"&amp;$A36)+SUMIF('FUNDED DEALS 2027'!$A$4:$A$1226,$A36,'FUNDED DEALS 2027'!$G$4:$G$1226)+SUMIFS('FUNDED DEALS 2027'!$G$4:$G$1226,'FUNDED DEALS 2027'!$B$4:$B$1226,$A36,'FUNDED DEALS 2027'!$A$4:$A$1226,"&lt;&gt;"&amp;$A36))</f>
        <v/>
      </c>
      <c r="G36" s="79" t="str">
        <f aca="false">IF($A36="","",SUMIF('FUNDED DEALS'!$A$4:$A$1226,$A36,'FUNDED DEALS'!$O$4:$O$1226)+SUMIFS('FUNDED DEALS'!$O$4:$O$1226,'FUNDED DEALS'!$B$4:$B$1226,$A36,'FUNDED DEALS'!$A$4:$A$1226,"&lt;&gt;"&amp;$A36)+SUMIF('FUNDED DEALS 2027'!$A$4:$A$1226,$A36,'FUNDED DEALS 2027'!$O$4:$O$1226)+SUMIFS('FUNDED DEALS 2027'!$O$4:$O$1226,'FUNDED DEALS 2027'!$B$4:$B$1226,$A36,'FUNDED DEALS 2027'!$A$4:$A$1226,"&lt;&gt;"&amp;$A36))</f>
        <v/>
      </c>
      <c r="H36" s="79" t="str">
        <f aca="false">IF($A36="","",SUMIF('FUNDED DEALS'!$A$4:$A$1226,$A36,'FUNDED DEALS'!$AC$4:$AC$1226)+SUMIFS('FUNDED DEALS'!$AC$4:$AC$1226,'FUNDED DEALS'!$B$4:$B$1226,$A36,'FUNDED DEALS'!$A$4:$A$1226,"&lt;&gt;"&amp;$A36)+SUMIF('FUNDED DEALS 2027'!$A$4:$A$1226,$A36,'FUNDED DEALS 2027'!$AC$4:$AC$1226)+SUMIFS('FUNDED DEALS 2027'!$AC$4:$AC$1226,'FUNDED DEALS 2027'!$B$4:$B$1226,$A36,'FUNDED DEALS 2027'!$A$4:$A$1226,"&lt;&gt;"&amp;$A36))</f>
        <v/>
      </c>
      <c r="I36" s="79" t="str">
        <f aca="false">IF($A36="","",SUMIF('FUNDED DEALS'!$A$4:$A$1226,$A36,'FUNDED DEALS'!$AD$4:$AD$1226)+SUMIFS('FUNDED DEALS'!$AD$4:$AD$1226,'FUNDED DEALS'!$B$4:$B$1226,$A36,'FUNDED DEALS'!$A$4:$A$1226,"&lt;&gt;"&amp;$A36)+SUMIF('FUNDED DEALS 2027'!$A$4:$A$1226,$A36,'FUNDED DEALS 2027'!$AD$4:$AD$1226)+SUMIFS('FUNDED DEALS 2027'!$AD$4:$AD$1226,'FUNDED DEALS 2027'!$B$4:$B$1226,$A36,'FUNDED DEALS 2027'!$A$4:$A$1226,"&lt;&gt;"&amp;$A36))</f>
        <v/>
      </c>
      <c r="J36" s="79" t="str">
        <f aca="false">IF($A36="","",SUMIFS('FUNDED DEALS'!$O$4:$O$1226,'FUNDED DEALS'!$A$4:$A$1226,$A36,'FUNDED DEALS'!$AM$4:$AM$1226,"YES - Paid In Full")+SUMIFS('FUNDED DEALS'!$O$4:$O$1226,'FUNDED DEALS'!$B$4:$B$1226,$A36,'FUNDED DEALS'!$AM$4:$AM$1226,"YES - Paid In Full",'FUNDED DEALS'!$A$4:$A$1226,"&lt;&gt;"&amp;$A36)+SUMIFS('FUNDED DEALS 2027'!$O$4:$O$1226,'FUNDED DEALS 2027'!$A$4:$A$1226,$A36,'FUNDED DEALS 2027'!$AM$4:$AM$1226,"YES - Paid In Full")+SUMIFS('FUNDED DEALS 2027'!$O$4:$O$1226,'FUNDED DEALS 2027'!$B$4:$B$1226,$A36,'FUNDED DEALS 2027'!$AM$4:$AM$1226,"YES - Paid In Full",'FUNDED DEALS 2027'!$A$4:$A$1226,"&lt;&gt;"&amp;$A36))</f>
        <v/>
      </c>
      <c r="K36" s="79" t="str">
        <f aca="false">IF($A36="","",G36-J36-L36)</f>
        <v/>
      </c>
      <c r="L36" s="79" t="str">
        <f aca="false">IF($A36="","",SUMIF('FUNDED DEALS'!$A$4:$A$1226,$A36,'FUNDED DEALS'!$AE$4:$AE$1226)+SUMIFS('FUNDED DEALS'!$AE$4:$AE$1226,'FUNDED DEALS'!$B$4:$B$1226,$A36,'FUNDED DEALS'!$A$4:$A$1226,"&lt;&gt;"&amp;$A36)+SUMIF('FUNDED DEALS 2027'!$A$4:$A$1226,$A36,'FUNDED DEALS 2027'!$AE$4:$AE$1226)+SUMIFS('FUNDED DEALS 2027'!$AE$4:$AE$1226,'FUNDED DEALS 2027'!$B$4:$B$1226,$A36,'FUNDED DEALS 2027'!$A$4:$A$1226,"&lt;&gt;"&amp;$A36))</f>
        <v/>
      </c>
      <c r="M36" s="79" t="str">
        <f aca="false">IF($A36="","",SUMIF('FUNDED DEALS'!$A$4:$A$1226,$A36,'FUNDED DEALS'!$AL$4:$AL$1226)+SUMIFS('FUNDED DEALS'!$AL$4:$AL$1226,'FUNDED DEALS'!$B$4:$B$1226,$A36,'FUNDED DEALS'!$A$4:$A$1226,"&lt;&gt;"&amp;$A36)+SUMIF('FUNDED DEALS 2027'!$A$4:$A$1226,$A36,'FUNDED DEALS 2027'!$AL$4:$AL$1226)+SUMIFS('FUNDED DEALS 2027'!$AL$4:$AL$1226,'FUNDED DEALS 2027'!$B$4:$B$1226,$A36,'FUNDED DEALS 2027'!$A$4:$A$1226,"&lt;&gt;"&amp;$A36))</f>
        <v/>
      </c>
    </row>
    <row r="37" customFormat="false" ht="15" hidden="false" customHeight="false" outlineLevel="0" collapsed="false">
      <c r="A37" s="74" t="str">
        <f aca="false">IFERROR(IF(33&lt;='FUNDED DEALS'!$AX$920,INDEX('FUNDED DEALS'!$A:$A,MATCH(33,'FUNDED DEALS'!$AX$3:$AX$920,0)+2),INDEX('FUNDED DEALS 2027'!$A:$A,MATCH(33-'FUNDED DEALS'!$AX$920,'FUNDED DEALS 2027'!$AX$3:$AX$1226,0)+2)),"")</f>
        <v/>
      </c>
      <c r="B37" s="57" t="str">
        <f aca="false">IF($A37="","",IFERROR(INDEX('FUNDED DEALS'!$D$4:$D$1226,MATCH($A37,'FUNDED DEALS'!$A$4:$A$1226,0)),IFERROR(INDEX('FUNDED DEALS 2027'!$D$4:$D$1226,MATCH($A37,'FUNDED DEALS 2027'!$A$4:$A$1226,0)),"not found")))</f>
        <v/>
      </c>
      <c r="C37" s="57" t="str">
        <f aca="false">IF($A37="","",IFERROR(INDEX('FUNDED DEALS'!$E$4:$E$1226,MATCH($A37,'FUNDED DEALS'!$A$4:$A$1226,0)),IFERROR(INDEX('FUNDED DEALS 2027'!$E$4:$E$1226,MATCH($A37,'FUNDED DEALS 2027'!$A$4:$A$1226,0)),"not found")))</f>
        <v/>
      </c>
      <c r="D37" s="57" t="str">
        <f aca="false">IF($A37="","",IFERROR(INDEX('FUNDED DEALS'!$F$4:$F$1226,MATCH($A37,'FUNDED DEALS'!$A$4:$A$1226,0)),IFERROR(INDEX('FUNDED DEALS 2027'!$F$4:$F$1226,MATCH($A37,'FUNDED DEALS 2027'!$A$4:$A$1226,0)),"not found")))</f>
        <v/>
      </c>
      <c r="E37" s="75" t="str">
        <f aca="false">IF($A37="","",COUNTIFS('FUNDED DEALS'!$B$4:$B$1226,$A37,'FUNDED DEALS'!$A$4:$A$1226,"&lt;&gt;"&amp;$A37)+COUNTIFS('FUNDED DEALS 2027'!$B$4:$B$1226,$A37,'FUNDED DEALS 2027'!$A$4:$A$1226,"&lt;&gt;"&amp;$A37))</f>
        <v/>
      </c>
      <c r="F37" s="76" t="str">
        <f aca="false">IF($A37="","",SUMIF('FUNDED DEALS'!$A$4:$A$1226,$A37,'FUNDED DEALS'!$G$4:$G$1226)+SUMIFS('FUNDED DEALS'!$G$4:$G$1226,'FUNDED DEALS'!$B$4:$B$1226,$A37,'FUNDED DEALS'!$A$4:$A$1226,"&lt;&gt;"&amp;$A37)+SUMIF('FUNDED DEALS 2027'!$A$4:$A$1226,$A37,'FUNDED DEALS 2027'!$G$4:$G$1226)+SUMIFS('FUNDED DEALS 2027'!$G$4:$G$1226,'FUNDED DEALS 2027'!$B$4:$B$1226,$A37,'FUNDED DEALS 2027'!$A$4:$A$1226,"&lt;&gt;"&amp;$A37))</f>
        <v/>
      </c>
      <c r="G37" s="76" t="str">
        <f aca="false">IF($A37="","",SUMIF('FUNDED DEALS'!$A$4:$A$1226,$A37,'FUNDED DEALS'!$O$4:$O$1226)+SUMIFS('FUNDED DEALS'!$O$4:$O$1226,'FUNDED DEALS'!$B$4:$B$1226,$A37,'FUNDED DEALS'!$A$4:$A$1226,"&lt;&gt;"&amp;$A37)+SUMIF('FUNDED DEALS 2027'!$A$4:$A$1226,$A37,'FUNDED DEALS 2027'!$O$4:$O$1226)+SUMIFS('FUNDED DEALS 2027'!$O$4:$O$1226,'FUNDED DEALS 2027'!$B$4:$B$1226,$A37,'FUNDED DEALS 2027'!$A$4:$A$1226,"&lt;&gt;"&amp;$A37))</f>
        <v/>
      </c>
      <c r="H37" s="76" t="str">
        <f aca="false">IF($A37="","",SUMIF('FUNDED DEALS'!$A$4:$A$1226,$A37,'FUNDED DEALS'!$AC$4:$AC$1226)+SUMIFS('FUNDED DEALS'!$AC$4:$AC$1226,'FUNDED DEALS'!$B$4:$B$1226,$A37,'FUNDED DEALS'!$A$4:$A$1226,"&lt;&gt;"&amp;$A37)+SUMIF('FUNDED DEALS 2027'!$A$4:$A$1226,$A37,'FUNDED DEALS 2027'!$AC$4:$AC$1226)+SUMIFS('FUNDED DEALS 2027'!$AC$4:$AC$1226,'FUNDED DEALS 2027'!$B$4:$B$1226,$A37,'FUNDED DEALS 2027'!$A$4:$A$1226,"&lt;&gt;"&amp;$A37))</f>
        <v/>
      </c>
      <c r="I37" s="76" t="str">
        <f aca="false">IF($A37="","",SUMIF('FUNDED DEALS'!$A$4:$A$1226,$A37,'FUNDED DEALS'!$AD$4:$AD$1226)+SUMIFS('FUNDED DEALS'!$AD$4:$AD$1226,'FUNDED DEALS'!$B$4:$B$1226,$A37,'FUNDED DEALS'!$A$4:$A$1226,"&lt;&gt;"&amp;$A37)+SUMIF('FUNDED DEALS 2027'!$A$4:$A$1226,$A37,'FUNDED DEALS 2027'!$AD$4:$AD$1226)+SUMIFS('FUNDED DEALS 2027'!$AD$4:$AD$1226,'FUNDED DEALS 2027'!$B$4:$B$1226,$A37,'FUNDED DEALS 2027'!$A$4:$A$1226,"&lt;&gt;"&amp;$A37))</f>
        <v/>
      </c>
      <c r="J37" s="76" t="str">
        <f aca="false">IF($A37="","",SUMIFS('FUNDED DEALS'!$O$4:$O$1226,'FUNDED DEALS'!$A$4:$A$1226,$A37,'FUNDED DEALS'!$AM$4:$AM$1226,"YES - Paid In Full")+SUMIFS('FUNDED DEALS'!$O$4:$O$1226,'FUNDED DEALS'!$B$4:$B$1226,$A37,'FUNDED DEALS'!$AM$4:$AM$1226,"YES - Paid In Full",'FUNDED DEALS'!$A$4:$A$1226,"&lt;&gt;"&amp;$A37)+SUMIFS('FUNDED DEALS 2027'!$O$4:$O$1226,'FUNDED DEALS 2027'!$A$4:$A$1226,$A37,'FUNDED DEALS 2027'!$AM$4:$AM$1226,"YES - Paid In Full")+SUMIFS('FUNDED DEALS 2027'!$O$4:$O$1226,'FUNDED DEALS 2027'!$B$4:$B$1226,$A37,'FUNDED DEALS 2027'!$AM$4:$AM$1226,"YES - Paid In Full",'FUNDED DEALS 2027'!$A$4:$A$1226,"&lt;&gt;"&amp;$A37))</f>
        <v/>
      </c>
      <c r="K37" s="76" t="str">
        <f aca="false">IF($A37="","",G37-J37-L37)</f>
        <v/>
      </c>
      <c r="L37" s="76" t="str">
        <f aca="false">IF($A37="","",SUMIF('FUNDED DEALS'!$A$4:$A$1226,$A37,'FUNDED DEALS'!$AE$4:$AE$1226)+SUMIFS('FUNDED DEALS'!$AE$4:$AE$1226,'FUNDED DEALS'!$B$4:$B$1226,$A37,'FUNDED DEALS'!$A$4:$A$1226,"&lt;&gt;"&amp;$A37)+SUMIF('FUNDED DEALS 2027'!$A$4:$A$1226,$A37,'FUNDED DEALS 2027'!$AE$4:$AE$1226)+SUMIFS('FUNDED DEALS 2027'!$AE$4:$AE$1226,'FUNDED DEALS 2027'!$B$4:$B$1226,$A37,'FUNDED DEALS 2027'!$A$4:$A$1226,"&lt;&gt;"&amp;$A37))</f>
        <v/>
      </c>
      <c r="M37" s="76" t="str">
        <f aca="false">IF($A37="","",SUMIF('FUNDED DEALS'!$A$4:$A$1226,$A37,'FUNDED DEALS'!$AL$4:$AL$1226)+SUMIFS('FUNDED DEALS'!$AL$4:$AL$1226,'FUNDED DEALS'!$B$4:$B$1226,$A37,'FUNDED DEALS'!$A$4:$A$1226,"&lt;&gt;"&amp;$A37)+SUMIF('FUNDED DEALS 2027'!$A$4:$A$1226,$A37,'FUNDED DEALS 2027'!$AL$4:$AL$1226)+SUMIFS('FUNDED DEALS 2027'!$AL$4:$AL$1226,'FUNDED DEALS 2027'!$B$4:$B$1226,$A37,'FUNDED DEALS 2027'!$A$4:$A$1226,"&lt;&gt;"&amp;$A37))</f>
        <v/>
      </c>
    </row>
    <row r="38" customFormat="false" ht="15" hidden="false" customHeight="false" outlineLevel="0" collapsed="false">
      <c r="A38" s="77" t="str">
        <f aca="false">IFERROR(IF(34&lt;='FUNDED DEALS'!$AX$920,INDEX('FUNDED DEALS'!$A:$A,MATCH(34,'FUNDED DEALS'!$AX$3:$AX$920,0)+2),INDEX('FUNDED DEALS 2027'!$A:$A,MATCH(34-'FUNDED DEALS'!$AX$920,'FUNDED DEALS 2027'!$AX$3:$AX$1226,0)+2)),"")</f>
        <v/>
      </c>
      <c r="B38" s="55" t="str">
        <f aca="false">IF($A38="","",IFERROR(INDEX('FUNDED DEALS'!$D$4:$D$1226,MATCH($A38,'FUNDED DEALS'!$A$4:$A$1226,0)),IFERROR(INDEX('FUNDED DEALS 2027'!$D$4:$D$1226,MATCH($A38,'FUNDED DEALS 2027'!$A$4:$A$1226,0)),"not found")))</f>
        <v/>
      </c>
      <c r="C38" s="55" t="str">
        <f aca="false">IF($A38="","",IFERROR(INDEX('FUNDED DEALS'!$E$4:$E$1226,MATCH($A38,'FUNDED DEALS'!$A$4:$A$1226,0)),IFERROR(INDEX('FUNDED DEALS 2027'!$E$4:$E$1226,MATCH($A38,'FUNDED DEALS 2027'!$A$4:$A$1226,0)),"not found")))</f>
        <v/>
      </c>
      <c r="D38" s="55" t="str">
        <f aca="false">IF($A38="","",IFERROR(INDEX('FUNDED DEALS'!$F$4:$F$1226,MATCH($A38,'FUNDED DEALS'!$A$4:$A$1226,0)),IFERROR(INDEX('FUNDED DEALS 2027'!$F$4:$F$1226,MATCH($A38,'FUNDED DEALS 2027'!$A$4:$A$1226,0)),"not found")))</f>
        <v/>
      </c>
      <c r="E38" s="78" t="str">
        <f aca="false">IF($A38="","",COUNTIFS('FUNDED DEALS'!$B$4:$B$1226,$A38,'FUNDED DEALS'!$A$4:$A$1226,"&lt;&gt;"&amp;$A38)+COUNTIFS('FUNDED DEALS 2027'!$B$4:$B$1226,$A38,'FUNDED DEALS 2027'!$A$4:$A$1226,"&lt;&gt;"&amp;$A38))</f>
        <v/>
      </c>
      <c r="F38" s="79" t="str">
        <f aca="false">IF($A38="","",SUMIF('FUNDED DEALS'!$A$4:$A$1226,$A38,'FUNDED DEALS'!$G$4:$G$1226)+SUMIFS('FUNDED DEALS'!$G$4:$G$1226,'FUNDED DEALS'!$B$4:$B$1226,$A38,'FUNDED DEALS'!$A$4:$A$1226,"&lt;&gt;"&amp;$A38)+SUMIF('FUNDED DEALS 2027'!$A$4:$A$1226,$A38,'FUNDED DEALS 2027'!$G$4:$G$1226)+SUMIFS('FUNDED DEALS 2027'!$G$4:$G$1226,'FUNDED DEALS 2027'!$B$4:$B$1226,$A38,'FUNDED DEALS 2027'!$A$4:$A$1226,"&lt;&gt;"&amp;$A38))</f>
        <v/>
      </c>
      <c r="G38" s="79" t="str">
        <f aca="false">IF($A38="","",SUMIF('FUNDED DEALS'!$A$4:$A$1226,$A38,'FUNDED DEALS'!$O$4:$O$1226)+SUMIFS('FUNDED DEALS'!$O$4:$O$1226,'FUNDED DEALS'!$B$4:$B$1226,$A38,'FUNDED DEALS'!$A$4:$A$1226,"&lt;&gt;"&amp;$A38)+SUMIF('FUNDED DEALS 2027'!$A$4:$A$1226,$A38,'FUNDED DEALS 2027'!$O$4:$O$1226)+SUMIFS('FUNDED DEALS 2027'!$O$4:$O$1226,'FUNDED DEALS 2027'!$B$4:$B$1226,$A38,'FUNDED DEALS 2027'!$A$4:$A$1226,"&lt;&gt;"&amp;$A38))</f>
        <v/>
      </c>
      <c r="H38" s="79" t="str">
        <f aca="false">IF($A38="","",SUMIF('FUNDED DEALS'!$A$4:$A$1226,$A38,'FUNDED DEALS'!$AC$4:$AC$1226)+SUMIFS('FUNDED DEALS'!$AC$4:$AC$1226,'FUNDED DEALS'!$B$4:$B$1226,$A38,'FUNDED DEALS'!$A$4:$A$1226,"&lt;&gt;"&amp;$A38)+SUMIF('FUNDED DEALS 2027'!$A$4:$A$1226,$A38,'FUNDED DEALS 2027'!$AC$4:$AC$1226)+SUMIFS('FUNDED DEALS 2027'!$AC$4:$AC$1226,'FUNDED DEALS 2027'!$B$4:$B$1226,$A38,'FUNDED DEALS 2027'!$A$4:$A$1226,"&lt;&gt;"&amp;$A38))</f>
        <v/>
      </c>
      <c r="I38" s="79" t="str">
        <f aca="false">IF($A38="","",SUMIF('FUNDED DEALS'!$A$4:$A$1226,$A38,'FUNDED DEALS'!$AD$4:$AD$1226)+SUMIFS('FUNDED DEALS'!$AD$4:$AD$1226,'FUNDED DEALS'!$B$4:$B$1226,$A38,'FUNDED DEALS'!$A$4:$A$1226,"&lt;&gt;"&amp;$A38)+SUMIF('FUNDED DEALS 2027'!$A$4:$A$1226,$A38,'FUNDED DEALS 2027'!$AD$4:$AD$1226)+SUMIFS('FUNDED DEALS 2027'!$AD$4:$AD$1226,'FUNDED DEALS 2027'!$B$4:$B$1226,$A38,'FUNDED DEALS 2027'!$A$4:$A$1226,"&lt;&gt;"&amp;$A38))</f>
        <v/>
      </c>
      <c r="J38" s="79" t="str">
        <f aca="false">IF($A38="","",SUMIFS('FUNDED DEALS'!$O$4:$O$1226,'FUNDED DEALS'!$A$4:$A$1226,$A38,'FUNDED DEALS'!$AM$4:$AM$1226,"YES - Paid In Full")+SUMIFS('FUNDED DEALS'!$O$4:$O$1226,'FUNDED DEALS'!$B$4:$B$1226,$A38,'FUNDED DEALS'!$AM$4:$AM$1226,"YES - Paid In Full",'FUNDED DEALS'!$A$4:$A$1226,"&lt;&gt;"&amp;$A38)+SUMIFS('FUNDED DEALS 2027'!$O$4:$O$1226,'FUNDED DEALS 2027'!$A$4:$A$1226,$A38,'FUNDED DEALS 2027'!$AM$4:$AM$1226,"YES - Paid In Full")+SUMIFS('FUNDED DEALS 2027'!$O$4:$O$1226,'FUNDED DEALS 2027'!$B$4:$B$1226,$A38,'FUNDED DEALS 2027'!$AM$4:$AM$1226,"YES - Paid In Full",'FUNDED DEALS 2027'!$A$4:$A$1226,"&lt;&gt;"&amp;$A38))</f>
        <v/>
      </c>
      <c r="K38" s="79" t="str">
        <f aca="false">IF($A38="","",G38-J38-L38)</f>
        <v/>
      </c>
      <c r="L38" s="79" t="str">
        <f aca="false">IF($A38="","",SUMIF('FUNDED DEALS'!$A$4:$A$1226,$A38,'FUNDED DEALS'!$AE$4:$AE$1226)+SUMIFS('FUNDED DEALS'!$AE$4:$AE$1226,'FUNDED DEALS'!$B$4:$B$1226,$A38,'FUNDED DEALS'!$A$4:$A$1226,"&lt;&gt;"&amp;$A38)+SUMIF('FUNDED DEALS 2027'!$A$4:$A$1226,$A38,'FUNDED DEALS 2027'!$AE$4:$AE$1226)+SUMIFS('FUNDED DEALS 2027'!$AE$4:$AE$1226,'FUNDED DEALS 2027'!$B$4:$B$1226,$A38,'FUNDED DEALS 2027'!$A$4:$A$1226,"&lt;&gt;"&amp;$A38))</f>
        <v/>
      </c>
      <c r="M38" s="79" t="str">
        <f aca="false">IF($A38="","",SUMIF('FUNDED DEALS'!$A$4:$A$1226,$A38,'FUNDED DEALS'!$AL$4:$AL$1226)+SUMIFS('FUNDED DEALS'!$AL$4:$AL$1226,'FUNDED DEALS'!$B$4:$B$1226,$A38,'FUNDED DEALS'!$A$4:$A$1226,"&lt;&gt;"&amp;$A38)+SUMIF('FUNDED DEALS 2027'!$A$4:$A$1226,$A38,'FUNDED DEALS 2027'!$AL$4:$AL$1226)+SUMIFS('FUNDED DEALS 2027'!$AL$4:$AL$1226,'FUNDED DEALS 2027'!$B$4:$B$1226,$A38,'FUNDED DEALS 2027'!$A$4:$A$1226,"&lt;&gt;"&amp;$A38))</f>
        <v/>
      </c>
    </row>
    <row r="39" customFormat="false" ht="15" hidden="false" customHeight="false" outlineLevel="0" collapsed="false">
      <c r="A39" s="74" t="str">
        <f aca="false">IFERROR(IF(35&lt;='FUNDED DEALS'!$AX$920,INDEX('FUNDED DEALS'!$A:$A,MATCH(35,'FUNDED DEALS'!$AX$3:$AX$920,0)+2),INDEX('FUNDED DEALS 2027'!$A:$A,MATCH(35-'FUNDED DEALS'!$AX$920,'FUNDED DEALS 2027'!$AX$3:$AX$1226,0)+2)),"")</f>
        <v/>
      </c>
      <c r="B39" s="57" t="str">
        <f aca="false">IF($A39="","",IFERROR(INDEX('FUNDED DEALS'!$D$4:$D$1226,MATCH($A39,'FUNDED DEALS'!$A$4:$A$1226,0)),IFERROR(INDEX('FUNDED DEALS 2027'!$D$4:$D$1226,MATCH($A39,'FUNDED DEALS 2027'!$A$4:$A$1226,0)),"not found")))</f>
        <v/>
      </c>
      <c r="C39" s="57" t="str">
        <f aca="false">IF($A39="","",IFERROR(INDEX('FUNDED DEALS'!$E$4:$E$1226,MATCH($A39,'FUNDED DEALS'!$A$4:$A$1226,0)),IFERROR(INDEX('FUNDED DEALS 2027'!$E$4:$E$1226,MATCH($A39,'FUNDED DEALS 2027'!$A$4:$A$1226,0)),"not found")))</f>
        <v/>
      </c>
      <c r="D39" s="57" t="str">
        <f aca="false">IF($A39="","",IFERROR(INDEX('FUNDED DEALS'!$F$4:$F$1226,MATCH($A39,'FUNDED DEALS'!$A$4:$A$1226,0)),IFERROR(INDEX('FUNDED DEALS 2027'!$F$4:$F$1226,MATCH($A39,'FUNDED DEALS 2027'!$A$4:$A$1226,0)),"not found")))</f>
        <v/>
      </c>
      <c r="E39" s="75" t="str">
        <f aca="false">IF($A39="","",COUNTIFS('FUNDED DEALS'!$B$4:$B$1226,$A39,'FUNDED DEALS'!$A$4:$A$1226,"&lt;&gt;"&amp;$A39)+COUNTIFS('FUNDED DEALS 2027'!$B$4:$B$1226,$A39,'FUNDED DEALS 2027'!$A$4:$A$1226,"&lt;&gt;"&amp;$A39))</f>
        <v/>
      </c>
      <c r="F39" s="76" t="str">
        <f aca="false">IF($A39="","",SUMIF('FUNDED DEALS'!$A$4:$A$1226,$A39,'FUNDED DEALS'!$G$4:$G$1226)+SUMIFS('FUNDED DEALS'!$G$4:$G$1226,'FUNDED DEALS'!$B$4:$B$1226,$A39,'FUNDED DEALS'!$A$4:$A$1226,"&lt;&gt;"&amp;$A39)+SUMIF('FUNDED DEALS 2027'!$A$4:$A$1226,$A39,'FUNDED DEALS 2027'!$G$4:$G$1226)+SUMIFS('FUNDED DEALS 2027'!$G$4:$G$1226,'FUNDED DEALS 2027'!$B$4:$B$1226,$A39,'FUNDED DEALS 2027'!$A$4:$A$1226,"&lt;&gt;"&amp;$A39))</f>
        <v/>
      </c>
      <c r="G39" s="76" t="str">
        <f aca="false">IF($A39="","",SUMIF('FUNDED DEALS'!$A$4:$A$1226,$A39,'FUNDED DEALS'!$O$4:$O$1226)+SUMIFS('FUNDED DEALS'!$O$4:$O$1226,'FUNDED DEALS'!$B$4:$B$1226,$A39,'FUNDED DEALS'!$A$4:$A$1226,"&lt;&gt;"&amp;$A39)+SUMIF('FUNDED DEALS 2027'!$A$4:$A$1226,$A39,'FUNDED DEALS 2027'!$O$4:$O$1226)+SUMIFS('FUNDED DEALS 2027'!$O$4:$O$1226,'FUNDED DEALS 2027'!$B$4:$B$1226,$A39,'FUNDED DEALS 2027'!$A$4:$A$1226,"&lt;&gt;"&amp;$A39))</f>
        <v/>
      </c>
      <c r="H39" s="76" t="str">
        <f aca="false">IF($A39="","",SUMIF('FUNDED DEALS'!$A$4:$A$1226,$A39,'FUNDED DEALS'!$AC$4:$AC$1226)+SUMIFS('FUNDED DEALS'!$AC$4:$AC$1226,'FUNDED DEALS'!$B$4:$B$1226,$A39,'FUNDED DEALS'!$A$4:$A$1226,"&lt;&gt;"&amp;$A39)+SUMIF('FUNDED DEALS 2027'!$A$4:$A$1226,$A39,'FUNDED DEALS 2027'!$AC$4:$AC$1226)+SUMIFS('FUNDED DEALS 2027'!$AC$4:$AC$1226,'FUNDED DEALS 2027'!$B$4:$B$1226,$A39,'FUNDED DEALS 2027'!$A$4:$A$1226,"&lt;&gt;"&amp;$A39))</f>
        <v/>
      </c>
      <c r="I39" s="76" t="str">
        <f aca="false">IF($A39="","",SUMIF('FUNDED DEALS'!$A$4:$A$1226,$A39,'FUNDED DEALS'!$AD$4:$AD$1226)+SUMIFS('FUNDED DEALS'!$AD$4:$AD$1226,'FUNDED DEALS'!$B$4:$B$1226,$A39,'FUNDED DEALS'!$A$4:$A$1226,"&lt;&gt;"&amp;$A39)+SUMIF('FUNDED DEALS 2027'!$A$4:$A$1226,$A39,'FUNDED DEALS 2027'!$AD$4:$AD$1226)+SUMIFS('FUNDED DEALS 2027'!$AD$4:$AD$1226,'FUNDED DEALS 2027'!$B$4:$B$1226,$A39,'FUNDED DEALS 2027'!$A$4:$A$1226,"&lt;&gt;"&amp;$A39))</f>
        <v/>
      </c>
      <c r="J39" s="76" t="str">
        <f aca="false">IF($A39="","",SUMIFS('FUNDED DEALS'!$O$4:$O$1226,'FUNDED DEALS'!$A$4:$A$1226,$A39,'FUNDED DEALS'!$AM$4:$AM$1226,"YES - Paid In Full")+SUMIFS('FUNDED DEALS'!$O$4:$O$1226,'FUNDED DEALS'!$B$4:$B$1226,$A39,'FUNDED DEALS'!$AM$4:$AM$1226,"YES - Paid In Full",'FUNDED DEALS'!$A$4:$A$1226,"&lt;&gt;"&amp;$A39)+SUMIFS('FUNDED DEALS 2027'!$O$4:$O$1226,'FUNDED DEALS 2027'!$A$4:$A$1226,$A39,'FUNDED DEALS 2027'!$AM$4:$AM$1226,"YES - Paid In Full")+SUMIFS('FUNDED DEALS 2027'!$O$4:$O$1226,'FUNDED DEALS 2027'!$B$4:$B$1226,$A39,'FUNDED DEALS 2027'!$AM$4:$AM$1226,"YES - Paid In Full",'FUNDED DEALS 2027'!$A$4:$A$1226,"&lt;&gt;"&amp;$A39))</f>
        <v/>
      </c>
      <c r="K39" s="76" t="str">
        <f aca="false">IF($A39="","",G39-J39-L39)</f>
        <v/>
      </c>
      <c r="L39" s="76" t="str">
        <f aca="false">IF($A39="","",SUMIF('FUNDED DEALS'!$A$4:$A$1226,$A39,'FUNDED DEALS'!$AE$4:$AE$1226)+SUMIFS('FUNDED DEALS'!$AE$4:$AE$1226,'FUNDED DEALS'!$B$4:$B$1226,$A39,'FUNDED DEALS'!$A$4:$A$1226,"&lt;&gt;"&amp;$A39)+SUMIF('FUNDED DEALS 2027'!$A$4:$A$1226,$A39,'FUNDED DEALS 2027'!$AE$4:$AE$1226)+SUMIFS('FUNDED DEALS 2027'!$AE$4:$AE$1226,'FUNDED DEALS 2027'!$B$4:$B$1226,$A39,'FUNDED DEALS 2027'!$A$4:$A$1226,"&lt;&gt;"&amp;$A39))</f>
        <v/>
      </c>
      <c r="M39" s="76" t="str">
        <f aca="false">IF($A39="","",SUMIF('FUNDED DEALS'!$A$4:$A$1226,$A39,'FUNDED DEALS'!$AL$4:$AL$1226)+SUMIFS('FUNDED DEALS'!$AL$4:$AL$1226,'FUNDED DEALS'!$B$4:$B$1226,$A39,'FUNDED DEALS'!$A$4:$A$1226,"&lt;&gt;"&amp;$A39)+SUMIF('FUNDED DEALS 2027'!$A$4:$A$1226,$A39,'FUNDED DEALS 2027'!$AL$4:$AL$1226)+SUMIFS('FUNDED DEALS 2027'!$AL$4:$AL$1226,'FUNDED DEALS 2027'!$B$4:$B$1226,$A39,'FUNDED DEALS 2027'!$A$4:$A$1226,"&lt;&gt;"&amp;$A39))</f>
        <v/>
      </c>
    </row>
    <row r="40" customFormat="false" ht="15" hidden="false" customHeight="false" outlineLevel="0" collapsed="false">
      <c r="A40" s="77" t="str">
        <f aca="false">IFERROR(IF(36&lt;='FUNDED DEALS'!$AX$920,INDEX('FUNDED DEALS'!$A:$A,MATCH(36,'FUNDED DEALS'!$AX$3:$AX$920,0)+2),INDEX('FUNDED DEALS 2027'!$A:$A,MATCH(36-'FUNDED DEALS'!$AX$920,'FUNDED DEALS 2027'!$AX$3:$AX$1226,0)+2)),"")</f>
        <v/>
      </c>
      <c r="B40" s="55" t="str">
        <f aca="false">IF($A40="","",IFERROR(INDEX('FUNDED DEALS'!$D$4:$D$1226,MATCH($A40,'FUNDED DEALS'!$A$4:$A$1226,0)),IFERROR(INDEX('FUNDED DEALS 2027'!$D$4:$D$1226,MATCH($A40,'FUNDED DEALS 2027'!$A$4:$A$1226,0)),"not found")))</f>
        <v/>
      </c>
      <c r="C40" s="55" t="str">
        <f aca="false">IF($A40="","",IFERROR(INDEX('FUNDED DEALS'!$E$4:$E$1226,MATCH($A40,'FUNDED DEALS'!$A$4:$A$1226,0)),IFERROR(INDEX('FUNDED DEALS 2027'!$E$4:$E$1226,MATCH($A40,'FUNDED DEALS 2027'!$A$4:$A$1226,0)),"not found")))</f>
        <v/>
      </c>
      <c r="D40" s="55" t="str">
        <f aca="false">IF($A40="","",IFERROR(INDEX('FUNDED DEALS'!$F$4:$F$1226,MATCH($A40,'FUNDED DEALS'!$A$4:$A$1226,0)),IFERROR(INDEX('FUNDED DEALS 2027'!$F$4:$F$1226,MATCH($A40,'FUNDED DEALS 2027'!$A$4:$A$1226,0)),"not found")))</f>
        <v/>
      </c>
      <c r="E40" s="78" t="str">
        <f aca="false">IF($A40="","",COUNTIFS('FUNDED DEALS'!$B$4:$B$1226,$A40,'FUNDED DEALS'!$A$4:$A$1226,"&lt;&gt;"&amp;$A40)+COUNTIFS('FUNDED DEALS 2027'!$B$4:$B$1226,$A40,'FUNDED DEALS 2027'!$A$4:$A$1226,"&lt;&gt;"&amp;$A40))</f>
        <v/>
      </c>
      <c r="F40" s="79" t="str">
        <f aca="false">IF($A40="","",SUMIF('FUNDED DEALS'!$A$4:$A$1226,$A40,'FUNDED DEALS'!$G$4:$G$1226)+SUMIFS('FUNDED DEALS'!$G$4:$G$1226,'FUNDED DEALS'!$B$4:$B$1226,$A40,'FUNDED DEALS'!$A$4:$A$1226,"&lt;&gt;"&amp;$A40)+SUMIF('FUNDED DEALS 2027'!$A$4:$A$1226,$A40,'FUNDED DEALS 2027'!$G$4:$G$1226)+SUMIFS('FUNDED DEALS 2027'!$G$4:$G$1226,'FUNDED DEALS 2027'!$B$4:$B$1226,$A40,'FUNDED DEALS 2027'!$A$4:$A$1226,"&lt;&gt;"&amp;$A40))</f>
        <v/>
      </c>
      <c r="G40" s="79" t="str">
        <f aca="false">IF($A40="","",SUMIF('FUNDED DEALS'!$A$4:$A$1226,$A40,'FUNDED DEALS'!$O$4:$O$1226)+SUMIFS('FUNDED DEALS'!$O$4:$O$1226,'FUNDED DEALS'!$B$4:$B$1226,$A40,'FUNDED DEALS'!$A$4:$A$1226,"&lt;&gt;"&amp;$A40)+SUMIF('FUNDED DEALS 2027'!$A$4:$A$1226,$A40,'FUNDED DEALS 2027'!$O$4:$O$1226)+SUMIFS('FUNDED DEALS 2027'!$O$4:$O$1226,'FUNDED DEALS 2027'!$B$4:$B$1226,$A40,'FUNDED DEALS 2027'!$A$4:$A$1226,"&lt;&gt;"&amp;$A40))</f>
        <v/>
      </c>
      <c r="H40" s="79" t="str">
        <f aca="false">IF($A40="","",SUMIF('FUNDED DEALS'!$A$4:$A$1226,$A40,'FUNDED DEALS'!$AC$4:$AC$1226)+SUMIFS('FUNDED DEALS'!$AC$4:$AC$1226,'FUNDED DEALS'!$B$4:$B$1226,$A40,'FUNDED DEALS'!$A$4:$A$1226,"&lt;&gt;"&amp;$A40)+SUMIF('FUNDED DEALS 2027'!$A$4:$A$1226,$A40,'FUNDED DEALS 2027'!$AC$4:$AC$1226)+SUMIFS('FUNDED DEALS 2027'!$AC$4:$AC$1226,'FUNDED DEALS 2027'!$B$4:$B$1226,$A40,'FUNDED DEALS 2027'!$A$4:$A$1226,"&lt;&gt;"&amp;$A40))</f>
        <v/>
      </c>
      <c r="I40" s="79" t="str">
        <f aca="false">IF($A40="","",SUMIF('FUNDED DEALS'!$A$4:$A$1226,$A40,'FUNDED DEALS'!$AD$4:$AD$1226)+SUMIFS('FUNDED DEALS'!$AD$4:$AD$1226,'FUNDED DEALS'!$B$4:$B$1226,$A40,'FUNDED DEALS'!$A$4:$A$1226,"&lt;&gt;"&amp;$A40)+SUMIF('FUNDED DEALS 2027'!$A$4:$A$1226,$A40,'FUNDED DEALS 2027'!$AD$4:$AD$1226)+SUMIFS('FUNDED DEALS 2027'!$AD$4:$AD$1226,'FUNDED DEALS 2027'!$B$4:$B$1226,$A40,'FUNDED DEALS 2027'!$A$4:$A$1226,"&lt;&gt;"&amp;$A40))</f>
        <v/>
      </c>
      <c r="J40" s="79" t="str">
        <f aca="false">IF($A40="","",SUMIFS('FUNDED DEALS'!$O$4:$O$1226,'FUNDED DEALS'!$A$4:$A$1226,$A40,'FUNDED DEALS'!$AM$4:$AM$1226,"YES - Paid In Full")+SUMIFS('FUNDED DEALS'!$O$4:$O$1226,'FUNDED DEALS'!$B$4:$B$1226,$A40,'FUNDED DEALS'!$AM$4:$AM$1226,"YES - Paid In Full",'FUNDED DEALS'!$A$4:$A$1226,"&lt;&gt;"&amp;$A40)+SUMIFS('FUNDED DEALS 2027'!$O$4:$O$1226,'FUNDED DEALS 2027'!$A$4:$A$1226,$A40,'FUNDED DEALS 2027'!$AM$4:$AM$1226,"YES - Paid In Full")+SUMIFS('FUNDED DEALS 2027'!$O$4:$O$1226,'FUNDED DEALS 2027'!$B$4:$B$1226,$A40,'FUNDED DEALS 2027'!$AM$4:$AM$1226,"YES - Paid In Full",'FUNDED DEALS 2027'!$A$4:$A$1226,"&lt;&gt;"&amp;$A40))</f>
        <v/>
      </c>
      <c r="K40" s="79" t="str">
        <f aca="false">IF($A40="","",G40-J40-L40)</f>
        <v/>
      </c>
      <c r="L40" s="79" t="str">
        <f aca="false">IF($A40="","",SUMIF('FUNDED DEALS'!$A$4:$A$1226,$A40,'FUNDED DEALS'!$AE$4:$AE$1226)+SUMIFS('FUNDED DEALS'!$AE$4:$AE$1226,'FUNDED DEALS'!$B$4:$B$1226,$A40,'FUNDED DEALS'!$A$4:$A$1226,"&lt;&gt;"&amp;$A40)+SUMIF('FUNDED DEALS 2027'!$A$4:$A$1226,$A40,'FUNDED DEALS 2027'!$AE$4:$AE$1226)+SUMIFS('FUNDED DEALS 2027'!$AE$4:$AE$1226,'FUNDED DEALS 2027'!$B$4:$B$1226,$A40,'FUNDED DEALS 2027'!$A$4:$A$1226,"&lt;&gt;"&amp;$A40))</f>
        <v/>
      </c>
      <c r="M40" s="79" t="str">
        <f aca="false">IF($A40="","",SUMIF('FUNDED DEALS'!$A$4:$A$1226,$A40,'FUNDED DEALS'!$AL$4:$AL$1226)+SUMIFS('FUNDED DEALS'!$AL$4:$AL$1226,'FUNDED DEALS'!$B$4:$B$1226,$A40,'FUNDED DEALS'!$A$4:$A$1226,"&lt;&gt;"&amp;$A40)+SUMIF('FUNDED DEALS 2027'!$A$4:$A$1226,$A40,'FUNDED DEALS 2027'!$AL$4:$AL$1226)+SUMIFS('FUNDED DEALS 2027'!$AL$4:$AL$1226,'FUNDED DEALS 2027'!$B$4:$B$1226,$A40,'FUNDED DEALS 2027'!$A$4:$A$1226,"&lt;&gt;"&amp;$A40))</f>
        <v/>
      </c>
    </row>
    <row r="41" customFormat="false" ht="15" hidden="false" customHeight="false" outlineLevel="0" collapsed="false">
      <c r="A41" s="74" t="str">
        <f aca="false">IFERROR(IF(37&lt;='FUNDED DEALS'!$AX$920,INDEX('FUNDED DEALS'!$A:$A,MATCH(37,'FUNDED DEALS'!$AX$3:$AX$920,0)+2),INDEX('FUNDED DEALS 2027'!$A:$A,MATCH(37-'FUNDED DEALS'!$AX$920,'FUNDED DEALS 2027'!$AX$3:$AX$1226,0)+2)),"")</f>
        <v/>
      </c>
      <c r="B41" s="57" t="str">
        <f aca="false">IF($A41="","",IFERROR(INDEX('FUNDED DEALS'!$D$4:$D$1226,MATCH($A41,'FUNDED DEALS'!$A$4:$A$1226,0)),IFERROR(INDEX('FUNDED DEALS 2027'!$D$4:$D$1226,MATCH($A41,'FUNDED DEALS 2027'!$A$4:$A$1226,0)),"not found")))</f>
        <v/>
      </c>
      <c r="C41" s="57" t="str">
        <f aca="false">IF($A41="","",IFERROR(INDEX('FUNDED DEALS'!$E$4:$E$1226,MATCH($A41,'FUNDED DEALS'!$A$4:$A$1226,0)),IFERROR(INDEX('FUNDED DEALS 2027'!$E$4:$E$1226,MATCH($A41,'FUNDED DEALS 2027'!$A$4:$A$1226,0)),"not found")))</f>
        <v/>
      </c>
      <c r="D41" s="57" t="str">
        <f aca="false">IF($A41="","",IFERROR(INDEX('FUNDED DEALS'!$F$4:$F$1226,MATCH($A41,'FUNDED DEALS'!$A$4:$A$1226,0)),IFERROR(INDEX('FUNDED DEALS 2027'!$F$4:$F$1226,MATCH($A41,'FUNDED DEALS 2027'!$A$4:$A$1226,0)),"not found")))</f>
        <v/>
      </c>
      <c r="E41" s="75" t="str">
        <f aca="false">IF($A41="","",COUNTIFS('FUNDED DEALS'!$B$4:$B$1226,$A41,'FUNDED DEALS'!$A$4:$A$1226,"&lt;&gt;"&amp;$A41)+COUNTIFS('FUNDED DEALS 2027'!$B$4:$B$1226,$A41,'FUNDED DEALS 2027'!$A$4:$A$1226,"&lt;&gt;"&amp;$A41))</f>
        <v/>
      </c>
      <c r="F41" s="76" t="str">
        <f aca="false">IF($A41="","",SUMIF('FUNDED DEALS'!$A$4:$A$1226,$A41,'FUNDED DEALS'!$G$4:$G$1226)+SUMIFS('FUNDED DEALS'!$G$4:$G$1226,'FUNDED DEALS'!$B$4:$B$1226,$A41,'FUNDED DEALS'!$A$4:$A$1226,"&lt;&gt;"&amp;$A41)+SUMIF('FUNDED DEALS 2027'!$A$4:$A$1226,$A41,'FUNDED DEALS 2027'!$G$4:$G$1226)+SUMIFS('FUNDED DEALS 2027'!$G$4:$G$1226,'FUNDED DEALS 2027'!$B$4:$B$1226,$A41,'FUNDED DEALS 2027'!$A$4:$A$1226,"&lt;&gt;"&amp;$A41))</f>
        <v/>
      </c>
      <c r="G41" s="76" t="str">
        <f aca="false">IF($A41="","",SUMIF('FUNDED DEALS'!$A$4:$A$1226,$A41,'FUNDED DEALS'!$O$4:$O$1226)+SUMIFS('FUNDED DEALS'!$O$4:$O$1226,'FUNDED DEALS'!$B$4:$B$1226,$A41,'FUNDED DEALS'!$A$4:$A$1226,"&lt;&gt;"&amp;$A41)+SUMIF('FUNDED DEALS 2027'!$A$4:$A$1226,$A41,'FUNDED DEALS 2027'!$O$4:$O$1226)+SUMIFS('FUNDED DEALS 2027'!$O$4:$O$1226,'FUNDED DEALS 2027'!$B$4:$B$1226,$A41,'FUNDED DEALS 2027'!$A$4:$A$1226,"&lt;&gt;"&amp;$A41))</f>
        <v/>
      </c>
      <c r="H41" s="76" t="str">
        <f aca="false">IF($A41="","",SUMIF('FUNDED DEALS'!$A$4:$A$1226,$A41,'FUNDED DEALS'!$AC$4:$AC$1226)+SUMIFS('FUNDED DEALS'!$AC$4:$AC$1226,'FUNDED DEALS'!$B$4:$B$1226,$A41,'FUNDED DEALS'!$A$4:$A$1226,"&lt;&gt;"&amp;$A41)+SUMIF('FUNDED DEALS 2027'!$A$4:$A$1226,$A41,'FUNDED DEALS 2027'!$AC$4:$AC$1226)+SUMIFS('FUNDED DEALS 2027'!$AC$4:$AC$1226,'FUNDED DEALS 2027'!$B$4:$B$1226,$A41,'FUNDED DEALS 2027'!$A$4:$A$1226,"&lt;&gt;"&amp;$A41))</f>
        <v/>
      </c>
      <c r="I41" s="76" t="str">
        <f aca="false">IF($A41="","",SUMIF('FUNDED DEALS'!$A$4:$A$1226,$A41,'FUNDED DEALS'!$AD$4:$AD$1226)+SUMIFS('FUNDED DEALS'!$AD$4:$AD$1226,'FUNDED DEALS'!$B$4:$B$1226,$A41,'FUNDED DEALS'!$A$4:$A$1226,"&lt;&gt;"&amp;$A41)+SUMIF('FUNDED DEALS 2027'!$A$4:$A$1226,$A41,'FUNDED DEALS 2027'!$AD$4:$AD$1226)+SUMIFS('FUNDED DEALS 2027'!$AD$4:$AD$1226,'FUNDED DEALS 2027'!$B$4:$B$1226,$A41,'FUNDED DEALS 2027'!$A$4:$A$1226,"&lt;&gt;"&amp;$A41))</f>
        <v/>
      </c>
      <c r="J41" s="76" t="str">
        <f aca="false">IF($A41="","",SUMIFS('FUNDED DEALS'!$O$4:$O$1226,'FUNDED DEALS'!$A$4:$A$1226,$A41,'FUNDED DEALS'!$AM$4:$AM$1226,"YES - Paid In Full")+SUMIFS('FUNDED DEALS'!$O$4:$O$1226,'FUNDED DEALS'!$B$4:$B$1226,$A41,'FUNDED DEALS'!$AM$4:$AM$1226,"YES - Paid In Full",'FUNDED DEALS'!$A$4:$A$1226,"&lt;&gt;"&amp;$A41)+SUMIFS('FUNDED DEALS 2027'!$O$4:$O$1226,'FUNDED DEALS 2027'!$A$4:$A$1226,$A41,'FUNDED DEALS 2027'!$AM$4:$AM$1226,"YES - Paid In Full")+SUMIFS('FUNDED DEALS 2027'!$O$4:$O$1226,'FUNDED DEALS 2027'!$B$4:$B$1226,$A41,'FUNDED DEALS 2027'!$AM$4:$AM$1226,"YES - Paid In Full",'FUNDED DEALS 2027'!$A$4:$A$1226,"&lt;&gt;"&amp;$A41))</f>
        <v/>
      </c>
      <c r="K41" s="76" t="str">
        <f aca="false">IF($A41="","",G41-J41-L41)</f>
        <v/>
      </c>
      <c r="L41" s="76" t="str">
        <f aca="false">IF($A41="","",SUMIF('FUNDED DEALS'!$A$4:$A$1226,$A41,'FUNDED DEALS'!$AE$4:$AE$1226)+SUMIFS('FUNDED DEALS'!$AE$4:$AE$1226,'FUNDED DEALS'!$B$4:$B$1226,$A41,'FUNDED DEALS'!$A$4:$A$1226,"&lt;&gt;"&amp;$A41)+SUMIF('FUNDED DEALS 2027'!$A$4:$A$1226,$A41,'FUNDED DEALS 2027'!$AE$4:$AE$1226)+SUMIFS('FUNDED DEALS 2027'!$AE$4:$AE$1226,'FUNDED DEALS 2027'!$B$4:$B$1226,$A41,'FUNDED DEALS 2027'!$A$4:$A$1226,"&lt;&gt;"&amp;$A41))</f>
        <v/>
      </c>
      <c r="M41" s="76" t="str">
        <f aca="false">IF($A41="","",SUMIF('FUNDED DEALS'!$A$4:$A$1226,$A41,'FUNDED DEALS'!$AL$4:$AL$1226)+SUMIFS('FUNDED DEALS'!$AL$4:$AL$1226,'FUNDED DEALS'!$B$4:$B$1226,$A41,'FUNDED DEALS'!$A$4:$A$1226,"&lt;&gt;"&amp;$A41)+SUMIF('FUNDED DEALS 2027'!$A$4:$A$1226,$A41,'FUNDED DEALS 2027'!$AL$4:$AL$1226)+SUMIFS('FUNDED DEALS 2027'!$AL$4:$AL$1226,'FUNDED DEALS 2027'!$B$4:$B$1226,$A41,'FUNDED DEALS 2027'!$A$4:$A$1226,"&lt;&gt;"&amp;$A41))</f>
        <v/>
      </c>
    </row>
    <row r="42" customFormat="false" ht="15" hidden="false" customHeight="false" outlineLevel="0" collapsed="false">
      <c r="A42" s="77" t="str">
        <f aca="false">IFERROR(IF(38&lt;='FUNDED DEALS'!$AX$920,INDEX('FUNDED DEALS'!$A:$A,MATCH(38,'FUNDED DEALS'!$AX$3:$AX$920,0)+2),INDEX('FUNDED DEALS 2027'!$A:$A,MATCH(38-'FUNDED DEALS'!$AX$920,'FUNDED DEALS 2027'!$AX$3:$AX$1226,0)+2)),"")</f>
        <v/>
      </c>
      <c r="B42" s="55" t="str">
        <f aca="false">IF($A42="","",IFERROR(INDEX('FUNDED DEALS'!$D$4:$D$1226,MATCH($A42,'FUNDED DEALS'!$A$4:$A$1226,0)),IFERROR(INDEX('FUNDED DEALS 2027'!$D$4:$D$1226,MATCH($A42,'FUNDED DEALS 2027'!$A$4:$A$1226,0)),"not found")))</f>
        <v/>
      </c>
      <c r="C42" s="55" t="str">
        <f aca="false">IF($A42="","",IFERROR(INDEX('FUNDED DEALS'!$E$4:$E$1226,MATCH($A42,'FUNDED DEALS'!$A$4:$A$1226,0)),IFERROR(INDEX('FUNDED DEALS 2027'!$E$4:$E$1226,MATCH($A42,'FUNDED DEALS 2027'!$A$4:$A$1226,0)),"not found")))</f>
        <v/>
      </c>
      <c r="D42" s="55" t="str">
        <f aca="false">IF($A42="","",IFERROR(INDEX('FUNDED DEALS'!$F$4:$F$1226,MATCH($A42,'FUNDED DEALS'!$A$4:$A$1226,0)),IFERROR(INDEX('FUNDED DEALS 2027'!$F$4:$F$1226,MATCH($A42,'FUNDED DEALS 2027'!$A$4:$A$1226,0)),"not found")))</f>
        <v/>
      </c>
      <c r="E42" s="78" t="str">
        <f aca="false">IF($A42="","",COUNTIFS('FUNDED DEALS'!$B$4:$B$1226,$A42,'FUNDED DEALS'!$A$4:$A$1226,"&lt;&gt;"&amp;$A42)+COUNTIFS('FUNDED DEALS 2027'!$B$4:$B$1226,$A42,'FUNDED DEALS 2027'!$A$4:$A$1226,"&lt;&gt;"&amp;$A42))</f>
        <v/>
      </c>
      <c r="F42" s="79" t="str">
        <f aca="false">IF($A42="","",SUMIF('FUNDED DEALS'!$A$4:$A$1226,$A42,'FUNDED DEALS'!$G$4:$G$1226)+SUMIFS('FUNDED DEALS'!$G$4:$G$1226,'FUNDED DEALS'!$B$4:$B$1226,$A42,'FUNDED DEALS'!$A$4:$A$1226,"&lt;&gt;"&amp;$A42)+SUMIF('FUNDED DEALS 2027'!$A$4:$A$1226,$A42,'FUNDED DEALS 2027'!$G$4:$G$1226)+SUMIFS('FUNDED DEALS 2027'!$G$4:$G$1226,'FUNDED DEALS 2027'!$B$4:$B$1226,$A42,'FUNDED DEALS 2027'!$A$4:$A$1226,"&lt;&gt;"&amp;$A42))</f>
        <v/>
      </c>
      <c r="G42" s="79" t="str">
        <f aca="false">IF($A42="","",SUMIF('FUNDED DEALS'!$A$4:$A$1226,$A42,'FUNDED DEALS'!$O$4:$O$1226)+SUMIFS('FUNDED DEALS'!$O$4:$O$1226,'FUNDED DEALS'!$B$4:$B$1226,$A42,'FUNDED DEALS'!$A$4:$A$1226,"&lt;&gt;"&amp;$A42)+SUMIF('FUNDED DEALS 2027'!$A$4:$A$1226,$A42,'FUNDED DEALS 2027'!$O$4:$O$1226)+SUMIFS('FUNDED DEALS 2027'!$O$4:$O$1226,'FUNDED DEALS 2027'!$B$4:$B$1226,$A42,'FUNDED DEALS 2027'!$A$4:$A$1226,"&lt;&gt;"&amp;$A42))</f>
        <v/>
      </c>
      <c r="H42" s="79" t="str">
        <f aca="false">IF($A42="","",SUMIF('FUNDED DEALS'!$A$4:$A$1226,$A42,'FUNDED DEALS'!$AC$4:$AC$1226)+SUMIFS('FUNDED DEALS'!$AC$4:$AC$1226,'FUNDED DEALS'!$B$4:$B$1226,$A42,'FUNDED DEALS'!$A$4:$A$1226,"&lt;&gt;"&amp;$A42)+SUMIF('FUNDED DEALS 2027'!$A$4:$A$1226,$A42,'FUNDED DEALS 2027'!$AC$4:$AC$1226)+SUMIFS('FUNDED DEALS 2027'!$AC$4:$AC$1226,'FUNDED DEALS 2027'!$B$4:$B$1226,$A42,'FUNDED DEALS 2027'!$A$4:$A$1226,"&lt;&gt;"&amp;$A42))</f>
        <v/>
      </c>
      <c r="I42" s="79" t="str">
        <f aca="false">IF($A42="","",SUMIF('FUNDED DEALS'!$A$4:$A$1226,$A42,'FUNDED DEALS'!$AD$4:$AD$1226)+SUMIFS('FUNDED DEALS'!$AD$4:$AD$1226,'FUNDED DEALS'!$B$4:$B$1226,$A42,'FUNDED DEALS'!$A$4:$A$1226,"&lt;&gt;"&amp;$A42)+SUMIF('FUNDED DEALS 2027'!$A$4:$A$1226,$A42,'FUNDED DEALS 2027'!$AD$4:$AD$1226)+SUMIFS('FUNDED DEALS 2027'!$AD$4:$AD$1226,'FUNDED DEALS 2027'!$B$4:$B$1226,$A42,'FUNDED DEALS 2027'!$A$4:$A$1226,"&lt;&gt;"&amp;$A42))</f>
        <v/>
      </c>
      <c r="J42" s="79" t="str">
        <f aca="false">IF($A42="","",SUMIFS('FUNDED DEALS'!$O$4:$O$1226,'FUNDED DEALS'!$A$4:$A$1226,$A42,'FUNDED DEALS'!$AM$4:$AM$1226,"YES - Paid In Full")+SUMIFS('FUNDED DEALS'!$O$4:$O$1226,'FUNDED DEALS'!$B$4:$B$1226,$A42,'FUNDED DEALS'!$AM$4:$AM$1226,"YES - Paid In Full",'FUNDED DEALS'!$A$4:$A$1226,"&lt;&gt;"&amp;$A42)+SUMIFS('FUNDED DEALS 2027'!$O$4:$O$1226,'FUNDED DEALS 2027'!$A$4:$A$1226,$A42,'FUNDED DEALS 2027'!$AM$4:$AM$1226,"YES - Paid In Full")+SUMIFS('FUNDED DEALS 2027'!$O$4:$O$1226,'FUNDED DEALS 2027'!$B$4:$B$1226,$A42,'FUNDED DEALS 2027'!$AM$4:$AM$1226,"YES - Paid In Full",'FUNDED DEALS 2027'!$A$4:$A$1226,"&lt;&gt;"&amp;$A42))</f>
        <v/>
      </c>
      <c r="K42" s="79" t="str">
        <f aca="false">IF($A42="","",G42-J42-L42)</f>
        <v/>
      </c>
      <c r="L42" s="79" t="str">
        <f aca="false">IF($A42="","",SUMIF('FUNDED DEALS'!$A$4:$A$1226,$A42,'FUNDED DEALS'!$AE$4:$AE$1226)+SUMIFS('FUNDED DEALS'!$AE$4:$AE$1226,'FUNDED DEALS'!$B$4:$B$1226,$A42,'FUNDED DEALS'!$A$4:$A$1226,"&lt;&gt;"&amp;$A42)+SUMIF('FUNDED DEALS 2027'!$A$4:$A$1226,$A42,'FUNDED DEALS 2027'!$AE$4:$AE$1226)+SUMIFS('FUNDED DEALS 2027'!$AE$4:$AE$1226,'FUNDED DEALS 2027'!$B$4:$B$1226,$A42,'FUNDED DEALS 2027'!$A$4:$A$1226,"&lt;&gt;"&amp;$A42))</f>
        <v/>
      </c>
      <c r="M42" s="79" t="str">
        <f aca="false">IF($A42="","",SUMIF('FUNDED DEALS'!$A$4:$A$1226,$A42,'FUNDED DEALS'!$AL$4:$AL$1226)+SUMIFS('FUNDED DEALS'!$AL$4:$AL$1226,'FUNDED DEALS'!$B$4:$B$1226,$A42,'FUNDED DEALS'!$A$4:$A$1226,"&lt;&gt;"&amp;$A42)+SUMIF('FUNDED DEALS 2027'!$A$4:$A$1226,$A42,'FUNDED DEALS 2027'!$AL$4:$AL$1226)+SUMIFS('FUNDED DEALS 2027'!$AL$4:$AL$1226,'FUNDED DEALS 2027'!$B$4:$B$1226,$A42,'FUNDED DEALS 2027'!$A$4:$A$1226,"&lt;&gt;"&amp;$A42))</f>
        <v/>
      </c>
    </row>
    <row r="43" customFormat="false" ht="15" hidden="false" customHeight="false" outlineLevel="0" collapsed="false">
      <c r="A43" s="74" t="str">
        <f aca="false">IFERROR(IF(39&lt;='FUNDED DEALS'!$AX$920,INDEX('FUNDED DEALS'!$A:$A,MATCH(39,'FUNDED DEALS'!$AX$3:$AX$920,0)+2),INDEX('FUNDED DEALS 2027'!$A:$A,MATCH(39-'FUNDED DEALS'!$AX$920,'FUNDED DEALS 2027'!$AX$3:$AX$1226,0)+2)),"")</f>
        <v/>
      </c>
      <c r="B43" s="57" t="str">
        <f aca="false">IF($A43="","",IFERROR(INDEX('FUNDED DEALS'!$D$4:$D$1226,MATCH($A43,'FUNDED DEALS'!$A$4:$A$1226,0)),IFERROR(INDEX('FUNDED DEALS 2027'!$D$4:$D$1226,MATCH($A43,'FUNDED DEALS 2027'!$A$4:$A$1226,0)),"not found")))</f>
        <v/>
      </c>
      <c r="C43" s="57" t="str">
        <f aca="false">IF($A43="","",IFERROR(INDEX('FUNDED DEALS'!$E$4:$E$1226,MATCH($A43,'FUNDED DEALS'!$A$4:$A$1226,0)),IFERROR(INDEX('FUNDED DEALS 2027'!$E$4:$E$1226,MATCH($A43,'FUNDED DEALS 2027'!$A$4:$A$1226,0)),"not found")))</f>
        <v/>
      </c>
      <c r="D43" s="57" t="str">
        <f aca="false">IF($A43="","",IFERROR(INDEX('FUNDED DEALS'!$F$4:$F$1226,MATCH($A43,'FUNDED DEALS'!$A$4:$A$1226,0)),IFERROR(INDEX('FUNDED DEALS 2027'!$F$4:$F$1226,MATCH($A43,'FUNDED DEALS 2027'!$A$4:$A$1226,0)),"not found")))</f>
        <v/>
      </c>
      <c r="E43" s="75" t="str">
        <f aca="false">IF($A43="","",COUNTIFS('FUNDED DEALS'!$B$4:$B$1226,$A43,'FUNDED DEALS'!$A$4:$A$1226,"&lt;&gt;"&amp;$A43)+COUNTIFS('FUNDED DEALS 2027'!$B$4:$B$1226,$A43,'FUNDED DEALS 2027'!$A$4:$A$1226,"&lt;&gt;"&amp;$A43))</f>
        <v/>
      </c>
      <c r="F43" s="76" t="str">
        <f aca="false">IF($A43="","",SUMIF('FUNDED DEALS'!$A$4:$A$1226,$A43,'FUNDED DEALS'!$G$4:$G$1226)+SUMIFS('FUNDED DEALS'!$G$4:$G$1226,'FUNDED DEALS'!$B$4:$B$1226,$A43,'FUNDED DEALS'!$A$4:$A$1226,"&lt;&gt;"&amp;$A43)+SUMIF('FUNDED DEALS 2027'!$A$4:$A$1226,$A43,'FUNDED DEALS 2027'!$G$4:$G$1226)+SUMIFS('FUNDED DEALS 2027'!$G$4:$G$1226,'FUNDED DEALS 2027'!$B$4:$B$1226,$A43,'FUNDED DEALS 2027'!$A$4:$A$1226,"&lt;&gt;"&amp;$A43))</f>
        <v/>
      </c>
      <c r="G43" s="76" t="str">
        <f aca="false">IF($A43="","",SUMIF('FUNDED DEALS'!$A$4:$A$1226,$A43,'FUNDED DEALS'!$O$4:$O$1226)+SUMIFS('FUNDED DEALS'!$O$4:$O$1226,'FUNDED DEALS'!$B$4:$B$1226,$A43,'FUNDED DEALS'!$A$4:$A$1226,"&lt;&gt;"&amp;$A43)+SUMIF('FUNDED DEALS 2027'!$A$4:$A$1226,$A43,'FUNDED DEALS 2027'!$O$4:$O$1226)+SUMIFS('FUNDED DEALS 2027'!$O$4:$O$1226,'FUNDED DEALS 2027'!$B$4:$B$1226,$A43,'FUNDED DEALS 2027'!$A$4:$A$1226,"&lt;&gt;"&amp;$A43))</f>
        <v/>
      </c>
      <c r="H43" s="76" t="str">
        <f aca="false">IF($A43="","",SUMIF('FUNDED DEALS'!$A$4:$A$1226,$A43,'FUNDED DEALS'!$AC$4:$AC$1226)+SUMIFS('FUNDED DEALS'!$AC$4:$AC$1226,'FUNDED DEALS'!$B$4:$B$1226,$A43,'FUNDED DEALS'!$A$4:$A$1226,"&lt;&gt;"&amp;$A43)+SUMIF('FUNDED DEALS 2027'!$A$4:$A$1226,$A43,'FUNDED DEALS 2027'!$AC$4:$AC$1226)+SUMIFS('FUNDED DEALS 2027'!$AC$4:$AC$1226,'FUNDED DEALS 2027'!$B$4:$B$1226,$A43,'FUNDED DEALS 2027'!$A$4:$A$1226,"&lt;&gt;"&amp;$A43))</f>
        <v/>
      </c>
      <c r="I43" s="76" t="str">
        <f aca="false">IF($A43="","",SUMIF('FUNDED DEALS'!$A$4:$A$1226,$A43,'FUNDED DEALS'!$AD$4:$AD$1226)+SUMIFS('FUNDED DEALS'!$AD$4:$AD$1226,'FUNDED DEALS'!$B$4:$B$1226,$A43,'FUNDED DEALS'!$A$4:$A$1226,"&lt;&gt;"&amp;$A43)+SUMIF('FUNDED DEALS 2027'!$A$4:$A$1226,$A43,'FUNDED DEALS 2027'!$AD$4:$AD$1226)+SUMIFS('FUNDED DEALS 2027'!$AD$4:$AD$1226,'FUNDED DEALS 2027'!$B$4:$B$1226,$A43,'FUNDED DEALS 2027'!$A$4:$A$1226,"&lt;&gt;"&amp;$A43))</f>
        <v/>
      </c>
      <c r="J43" s="76" t="str">
        <f aca="false">IF($A43="","",SUMIFS('FUNDED DEALS'!$O$4:$O$1226,'FUNDED DEALS'!$A$4:$A$1226,$A43,'FUNDED DEALS'!$AM$4:$AM$1226,"YES - Paid In Full")+SUMIFS('FUNDED DEALS'!$O$4:$O$1226,'FUNDED DEALS'!$B$4:$B$1226,$A43,'FUNDED DEALS'!$AM$4:$AM$1226,"YES - Paid In Full",'FUNDED DEALS'!$A$4:$A$1226,"&lt;&gt;"&amp;$A43)+SUMIFS('FUNDED DEALS 2027'!$O$4:$O$1226,'FUNDED DEALS 2027'!$A$4:$A$1226,$A43,'FUNDED DEALS 2027'!$AM$4:$AM$1226,"YES - Paid In Full")+SUMIFS('FUNDED DEALS 2027'!$O$4:$O$1226,'FUNDED DEALS 2027'!$B$4:$B$1226,$A43,'FUNDED DEALS 2027'!$AM$4:$AM$1226,"YES - Paid In Full",'FUNDED DEALS 2027'!$A$4:$A$1226,"&lt;&gt;"&amp;$A43))</f>
        <v/>
      </c>
      <c r="K43" s="76" t="str">
        <f aca="false">IF($A43="","",G43-J43-L43)</f>
        <v/>
      </c>
      <c r="L43" s="76" t="str">
        <f aca="false">IF($A43="","",SUMIF('FUNDED DEALS'!$A$4:$A$1226,$A43,'FUNDED DEALS'!$AE$4:$AE$1226)+SUMIFS('FUNDED DEALS'!$AE$4:$AE$1226,'FUNDED DEALS'!$B$4:$B$1226,$A43,'FUNDED DEALS'!$A$4:$A$1226,"&lt;&gt;"&amp;$A43)+SUMIF('FUNDED DEALS 2027'!$A$4:$A$1226,$A43,'FUNDED DEALS 2027'!$AE$4:$AE$1226)+SUMIFS('FUNDED DEALS 2027'!$AE$4:$AE$1226,'FUNDED DEALS 2027'!$B$4:$B$1226,$A43,'FUNDED DEALS 2027'!$A$4:$A$1226,"&lt;&gt;"&amp;$A43))</f>
        <v/>
      </c>
      <c r="M43" s="76" t="str">
        <f aca="false">IF($A43="","",SUMIF('FUNDED DEALS'!$A$4:$A$1226,$A43,'FUNDED DEALS'!$AL$4:$AL$1226)+SUMIFS('FUNDED DEALS'!$AL$4:$AL$1226,'FUNDED DEALS'!$B$4:$B$1226,$A43,'FUNDED DEALS'!$A$4:$A$1226,"&lt;&gt;"&amp;$A43)+SUMIF('FUNDED DEALS 2027'!$A$4:$A$1226,$A43,'FUNDED DEALS 2027'!$AL$4:$AL$1226)+SUMIFS('FUNDED DEALS 2027'!$AL$4:$AL$1226,'FUNDED DEALS 2027'!$B$4:$B$1226,$A43,'FUNDED DEALS 2027'!$A$4:$A$1226,"&lt;&gt;"&amp;$A43))</f>
        <v/>
      </c>
    </row>
    <row r="44" customFormat="false" ht="15" hidden="false" customHeight="false" outlineLevel="0" collapsed="false">
      <c r="A44" s="77" t="str">
        <f aca="false">IFERROR(IF(40&lt;='FUNDED DEALS'!$AX$920,INDEX('FUNDED DEALS'!$A:$A,MATCH(40,'FUNDED DEALS'!$AX$3:$AX$920,0)+2),INDEX('FUNDED DEALS 2027'!$A:$A,MATCH(40-'FUNDED DEALS'!$AX$920,'FUNDED DEALS 2027'!$AX$3:$AX$1226,0)+2)),"")</f>
        <v/>
      </c>
      <c r="B44" s="55" t="str">
        <f aca="false">IF($A44="","",IFERROR(INDEX('FUNDED DEALS'!$D$4:$D$1226,MATCH($A44,'FUNDED DEALS'!$A$4:$A$1226,0)),IFERROR(INDEX('FUNDED DEALS 2027'!$D$4:$D$1226,MATCH($A44,'FUNDED DEALS 2027'!$A$4:$A$1226,0)),"not found")))</f>
        <v/>
      </c>
      <c r="C44" s="55" t="str">
        <f aca="false">IF($A44="","",IFERROR(INDEX('FUNDED DEALS'!$E$4:$E$1226,MATCH($A44,'FUNDED DEALS'!$A$4:$A$1226,0)),IFERROR(INDEX('FUNDED DEALS 2027'!$E$4:$E$1226,MATCH($A44,'FUNDED DEALS 2027'!$A$4:$A$1226,0)),"not found")))</f>
        <v/>
      </c>
      <c r="D44" s="55" t="str">
        <f aca="false">IF($A44="","",IFERROR(INDEX('FUNDED DEALS'!$F$4:$F$1226,MATCH($A44,'FUNDED DEALS'!$A$4:$A$1226,0)),IFERROR(INDEX('FUNDED DEALS 2027'!$F$4:$F$1226,MATCH($A44,'FUNDED DEALS 2027'!$A$4:$A$1226,0)),"not found")))</f>
        <v/>
      </c>
      <c r="E44" s="78" t="str">
        <f aca="false">IF($A44="","",COUNTIFS('FUNDED DEALS'!$B$4:$B$1226,$A44,'FUNDED DEALS'!$A$4:$A$1226,"&lt;&gt;"&amp;$A44)+COUNTIFS('FUNDED DEALS 2027'!$B$4:$B$1226,$A44,'FUNDED DEALS 2027'!$A$4:$A$1226,"&lt;&gt;"&amp;$A44))</f>
        <v/>
      </c>
      <c r="F44" s="79" t="str">
        <f aca="false">IF($A44="","",SUMIF('FUNDED DEALS'!$A$4:$A$1226,$A44,'FUNDED DEALS'!$G$4:$G$1226)+SUMIFS('FUNDED DEALS'!$G$4:$G$1226,'FUNDED DEALS'!$B$4:$B$1226,$A44,'FUNDED DEALS'!$A$4:$A$1226,"&lt;&gt;"&amp;$A44)+SUMIF('FUNDED DEALS 2027'!$A$4:$A$1226,$A44,'FUNDED DEALS 2027'!$G$4:$G$1226)+SUMIFS('FUNDED DEALS 2027'!$G$4:$G$1226,'FUNDED DEALS 2027'!$B$4:$B$1226,$A44,'FUNDED DEALS 2027'!$A$4:$A$1226,"&lt;&gt;"&amp;$A44))</f>
        <v/>
      </c>
      <c r="G44" s="79" t="str">
        <f aca="false">IF($A44="","",SUMIF('FUNDED DEALS'!$A$4:$A$1226,$A44,'FUNDED DEALS'!$O$4:$O$1226)+SUMIFS('FUNDED DEALS'!$O$4:$O$1226,'FUNDED DEALS'!$B$4:$B$1226,$A44,'FUNDED DEALS'!$A$4:$A$1226,"&lt;&gt;"&amp;$A44)+SUMIF('FUNDED DEALS 2027'!$A$4:$A$1226,$A44,'FUNDED DEALS 2027'!$O$4:$O$1226)+SUMIFS('FUNDED DEALS 2027'!$O$4:$O$1226,'FUNDED DEALS 2027'!$B$4:$B$1226,$A44,'FUNDED DEALS 2027'!$A$4:$A$1226,"&lt;&gt;"&amp;$A44))</f>
        <v/>
      </c>
      <c r="H44" s="79" t="str">
        <f aca="false">IF($A44="","",SUMIF('FUNDED DEALS'!$A$4:$A$1226,$A44,'FUNDED DEALS'!$AC$4:$AC$1226)+SUMIFS('FUNDED DEALS'!$AC$4:$AC$1226,'FUNDED DEALS'!$B$4:$B$1226,$A44,'FUNDED DEALS'!$A$4:$A$1226,"&lt;&gt;"&amp;$A44)+SUMIF('FUNDED DEALS 2027'!$A$4:$A$1226,$A44,'FUNDED DEALS 2027'!$AC$4:$AC$1226)+SUMIFS('FUNDED DEALS 2027'!$AC$4:$AC$1226,'FUNDED DEALS 2027'!$B$4:$B$1226,$A44,'FUNDED DEALS 2027'!$A$4:$A$1226,"&lt;&gt;"&amp;$A44))</f>
        <v/>
      </c>
      <c r="I44" s="79" t="str">
        <f aca="false">IF($A44="","",SUMIF('FUNDED DEALS'!$A$4:$A$1226,$A44,'FUNDED DEALS'!$AD$4:$AD$1226)+SUMIFS('FUNDED DEALS'!$AD$4:$AD$1226,'FUNDED DEALS'!$B$4:$B$1226,$A44,'FUNDED DEALS'!$A$4:$A$1226,"&lt;&gt;"&amp;$A44)+SUMIF('FUNDED DEALS 2027'!$A$4:$A$1226,$A44,'FUNDED DEALS 2027'!$AD$4:$AD$1226)+SUMIFS('FUNDED DEALS 2027'!$AD$4:$AD$1226,'FUNDED DEALS 2027'!$B$4:$B$1226,$A44,'FUNDED DEALS 2027'!$A$4:$A$1226,"&lt;&gt;"&amp;$A44))</f>
        <v/>
      </c>
      <c r="J44" s="79" t="str">
        <f aca="false">IF($A44="","",SUMIFS('FUNDED DEALS'!$O$4:$O$1226,'FUNDED DEALS'!$A$4:$A$1226,$A44,'FUNDED DEALS'!$AM$4:$AM$1226,"YES - Paid In Full")+SUMIFS('FUNDED DEALS'!$O$4:$O$1226,'FUNDED DEALS'!$B$4:$B$1226,$A44,'FUNDED DEALS'!$AM$4:$AM$1226,"YES - Paid In Full",'FUNDED DEALS'!$A$4:$A$1226,"&lt;&gt;"&amp;$A44)+SUMIFS('FUNDED DEALS 2027'!$O$4:$O$1226,'FUNDED DEALS 2027'!$A$4:$A$1226,$A44,'FUNDED DEALS 2027'!$AM$4:$AM$1226,"YES - Paid In Full")+SUMIFS('FUNDED DEALS 2027'!$O$4:$O$1226,'FUNDED DEALS 2027'!$B$4:$B$1226,$A44,'FUNDED DEALS 2027'!$AM$4:$AM$1226,"YES - Paid In Full",'FUNDED DEALS 2027'!$A$4:$A$1226,"&lt;&gt;"&amp;$A44))</f>
        <v/>
      </c>
      <c r="K44" s="79" t="str">
        <f aca="false">IF($A44="","",G44-J44-L44)</f>
        <v/>
      </c>
      <c r="L44" s="79" t="str">
        <f aca="false">IF($A44="","",SUMIF('FUNDED DEALS'!$A$4:$A$1226,$A44,'FUNDED DEALS'!$AE$4:$AE$1226)+SUMIFS('FUNDED DEALS'!$AE$4:$AE$1226,'FUNDED DEALS'!$B$4:$B$1226,$A44,'FUNDED DEALS'!$A$4:$A$1226,"&lt;&gt;"&amp;$A44)+SUMIF('FUNDED DEALS 2027'!$A$4:$A$1226,$A44,'FUNDED DEALS 2027'!$AE$4:$AE$1226)+SUMIFS('FUNDED DEALS 2027'!$AE$4:$AE$1226,'FUNDED DEALS 2027'!$B$4:$B$1226,$A44,'FUNDED DEALS 2027'!$A$4:$A$1226,"&lt;&gt;"&amp;$A44))</f>
        <v/>
      </c>
      <c r="M44" s="79" t="str">
        <f aca="false">IF($A44="","",SUMIF('FUNDED DEALS'!$A$4:$A$1226,$A44,'FUNDED DEALS'!$AL$4:$AL$1226)+SUMIFS('FUNDED DEALS'!$AL$4:$AL$1226,'FUNDED DEALS'!$B$4:$B$1226,$A44,'FUNDED DEALS'!$A$4:$A$1226,"&lt;&gt;"&amp;$A44)+SUMIF('FUNDED DEALS 2027'!$A$4:$A$1226,$A44,'FUNDED DEALS 2027'!$AL$4:$AL$1226)+SUMIFS('FUNDED DEALS 2027'!$AL$4:$AL$1226,'FUNDED DEALS 2027'!$B$4:$B$1226,$A44,'FUNDED DEALS 2027'!$A$4:$A$1226,"&lt;&gt;"&amp;$A44))</f>
        <v/>
      </c>
    </row>
    <row r="45" customFormat="false" ht="15" hidden="false" customHeight="false" outlineLevel="0" collapsed="false">
      <c r="A45" s="74" t="str">
        <f aca="false">IFERROR(IF(41&lt;='FUNDED DEALS'!$AX$920,INDEX('FUNDED DEALS'!$A:$A,MATCH(41,'FUNDED DEALS'!$AX$3:$AX$920,0)+2),INDEX('FUNDED DEALS 2027'!$A:$A,MATCH(41-'FUNDED DEALS'!$AX$920,'FUNDED DEALS 2027'!$AX$3:$AX$1226,0)+2)),"")</f>
        <v/>
      </c>
      <c r="B45" s="57" t="str">
        <f aca="false">IF($A45="","",IFERROR(INDEX('FUNDED DEALS'!$D$4:$D$1226,MATCH($A45,'FUNDED DEALS'!$A$4:$A$1226,0)),IFERROR(INDEX('FUNDED DEALS 2027'!$D$4:$D$1226,MATCH($A45,'FUNDED DEALS 2027'!$A$4:$A$1226,0)),"not found")))</f>
        <v/>
      </c>
      <c r="C45" s="57" t="str">
        <f aca="false">IF($A45="","",IFERROR(INDEX('FUNDED DEALS'!$E$4:$E$1226,MATCH($A45,'FUNDED DEALS'!$A$4:$A$1226,0)),IFERROR(INDEX('FUNDED DEALS 2027'!$E$4:$E$1226,MATCH($A45,'FUNDED DEALS 2027'!$A$4:$A$1226,0)),"not found")))</f>
        <v/>
      </c>
      <c r="D45" s="57" t="str">
        <f aca="false">IF($A45="","",IFERROR(INDEX('FUNDED DEALS'!$F$4:$F$1226,MATCH($A45,'FUNDED DEALS'!$A$4:$A$1226,0)),IFERROR(INDEX('FUNDED DEALS 2027'!$F$4:$F$1226,MATCH($A45,'FUNDED DEALS 2027'!$A$4:$A$1226,0)),"not found")))</f>
        <v/>
      </c>
      <c r="E45" s="75" t="str">
        <f aca="false">IF($A45="","",COUNTIFS('FUNDED DEALS'!$B$4:$B$1226,$A45,'FUNDED DEALS'!$A$4:$A$1226,"&lt;&gt;"&amp;$A45)+COUNTIFS('FUNDED DEALS 2027'!$B$4:$B$1226,$A45,'FUNDED DEALS 2027'!$A$4:$A$1226,"&lt;&gt;"&amp;$A45))</f>
        <v/>
      </c>
      <c r="F45" s="76" t="str">
        <f aca="false">IF($A45="","",SUMIF('FUNDED DEALS'!$A$4:$A$1226,$A45,'FUNDED DEALS'!$G$4:$G$1226)+SUMIFS('FUNDED DEALS'!$G$4:$G$1226,'FUNDED DEALS'!$B$4:$B$1226,$A45,'FUNDED DEALS'!$A$4:$A$1226,"&lt;&gt;"&amp;$A45)+SUMIF('FUNDED DEALS 2027'!$A$4:$A$1226,$A45,'FUNDED DEALS 2027'!$G$4:$G$1226)+SUMIFS('FUNDED DEALS 2027'!$G$4:$G$1226,'FUNDED DEALS 2027'!$B$4:$B$1226,$A45,'FUNDED DEALS 2027'!$A$4:$A$1226,"&lt;&gt;"&amp;$A45))</f>
        <v/>
      </c>
      <c r="G45" s="76" t="str">
        <f aca="false">IF($A45="","",SUMIF('FUNDED DEALS'!$A$4:$A$1226,$A45,'FUNDED DEALS'!$O$4:$O$1226)+SUMIFS('FUNDED DEALS'!$O$4:$O$1226,'FUNDED DEALS'!$B$4:$B$1226,$A45,'FUNDED DEALS'!$A$4:$A$1226,"&lt;&gt;"&amp;$A45)+SUMIF('FUNDED DEALS 2027'!$A$4:$A$1226,$A45,'FUNDED DEALS 2027'!$O$4:$O$1226)+SUMIFS('FUNDED DEALS 2027'!$O$4:$O$1226,'FUNDED DEALS 2027'!$B$4:$B$1226,$A45,'FUNDED DEALS 2027'!$A$4:$A$1226,"&lt;&gt;"&amp;$A45))</f>
        <v/>
      </c>
      <c r="H45" s="76" t="str">
        <f aca="false">IF($A45="","",SUMIF('FUNDED DEALS'!$A$4:$A$1226,$A45,'FUNDED DEALS'!$AC$4:$AC$1226)+SUMIFS('FUNDED DEALS'!$AC$4:$AC$1226,'FUNDED DEALS'!$B$4:$B$1226,$A45,'FUNDED DEALS'!$A$4:$A$1226,"&lt;&gt;"&amp;$A45)+SUMIF('FUNDED DEALS 2027'!$A$4:$A$1226,$A45,'FUNDED DEALS 2027'!$AC$4:$AC$1226)+SUMIFS('FUNDED DEALS 2027'!$AC$4:$AC$1226,'FUNDED DEALS 2027'!$B$4:$B$1226,$A45,'FUNDED DEALS 2027'!$A$4:$A$1226,"&lt;&gt;"&amp;$A45))</f>
        <v/>
      </c>
      <c r="I45" s="76" t="str">
        <f aca="false">IF($A45="","",SUMIF('FUNDED DEALS'!$A$4:$A$1226,$A45,'FUNDED DEALS'!$AD$4:$AD$1226)+SUMIFS('FUNDED DEALS'!$AD$4:$AD$1226,'FUNDED DEALS'!$B$4:$B$1226,$A45,'FUNDED DEALS'!$A$4:$A$1226,"&lt;&gt;"&amp;$A45)+SUMIF('FUNDED DEALS 2027'!$A$4:$A$1226,$A45,'FUNDED DEALS 2027'!$AD$4:$AD$1226)+SUMIFS('FUNDED DEALS 2027'!$AD$4:$AD$1226,'FUNDED DEALS 2027'!$B$4:$B$1226,$A45,'FUNDED DEALS 2027'!$A$4:$A$1226,"&lt;&gt;"&amp;$A45))</f>
        <v/>
      </c>
      <c r="J45" s="76" t="str">
        <f aca="false">IF($A45="","",SUMIFS('FUNDED DEALS'!$O$4:$O$1226,'FUNDED DEALS'!$A$4:$A$1226,$A45,'FUNDED DEALS'!$AM$4:$AM$1226,"YES - Paid In Full")+SUMIFS('FUNDED DEALS'!$O$4:$O$1226,'FUNDED DEALS'!$B$4:$B$1226,$A45,'FUNDED DEALS'!$AM$4:$AM$1226,"YES - Paid In Full",'FUNDED DEALS'!$A$4:$A$1226,"&lt;&gt;"&amp;$A45)+SUMIFS('FUNDED DEALS 2027'!$O$4:$O$1226,'FUNDED DEALS 2027'!$A$4:$A$1226,$A45,'FUNDED DEALS 2027'!$AM$4:$AM$1226,"YES - Paid In Full")+SUMIFS('FUNDED DEALS 2027'!$O$4:$O$1226,'FUNDED DEALS 2027'!$B$4:$B$1226,$A45,'FUNDED DEALS 2027'!$AM$4:$AM$1226,"YES - Paid In Full",'FUNDED DEALS 2027'!$A$4:$A$1226,"&lt;&gt;"&amp;$A45))</f>
        <v/>
      </c>
      <c r="K45" s="76" t="str">
        <f aca="false">IF($A45="","",G45-J45-L45)</f>
        <v/>
      </c>
      <c r="L45" s="76" t="str">
        <f aca="false">IF($A45="","",SUMIF('FUNDED DEALS'!$A$4:$A$1226,$A45,'FUNDED DEALS'!$AE$4:$AE$1226)+SUMIFS('FUNDED DEALS'!$AE$4:$AE$1226,'FUNDED DEALS'!$B$4:$B$1226,$A45,'FUNDED DEALS'!$A$4:$A$1226,"&lt;&gt;"&amp;$A45)+SUMIF('FUNDED DEALS 2027'!$A$4:$A$1226,$A45,'FUNDED DEALS 2027'!$AE$4:$AE$1226)+SUMIFS('FUNDED DEALS 2027'!$AE$4:$AE$1226,'FUNDED DEALS 2027'!$B$4:$B$1226,$A45,'FUNDED DEALS 2027'!$A$4:$A$1226,"&lt;&gt;"&amp;$A45))</f>
        <v/>
      </c>
      <c r="M45" s="76" t="str">
        <f aca="false">IF($A45="","",SUMIF('FUNDED DEALS'!$A$4:$A$1226,$A45,'FUNDED DEALS'!$AL$4:$AL$1226)+SUMIFS('FUNDED DEALS'!$AL$4:$AL$1226,'FUNDED DEALS'!$B$4:$B$1226,$A45,'FUNDED DEALS'!$A$4:$A$1226,"&lt;&gt;"&amp;$A45)+SUMIF('FUNDED DEALS 2027'!$A$4:$A$1226,$A45,'FUNDED DEALS 2027'!$AL$4:$AL$1226)+SUMIFS('FUNDED DEALS 2027'!$AL$4:$AL$1226,'FUNDED DEALS 2027'!$B$4:$B$1226,$A45,'FUNDED DEALS 2027'!$A$4:$A$1226,"&lt;&gt;"&amp;$A45))</f>
        <v/>
      </c>
    </row>
    <row r="46" customFormat="false" ht="15" hidden="false" customHeight="false" outlineLevel="0" collapsed="false">
      <c r="A46" s="77" t="str">
        <f aca="false">IFERROR(IF(42&lt;='FUNDED DEALS'!$AX$920,INDEX('FUNDED DEALS'!$A:$A,MATCH(42,'FUNDED DEALS'!$AX$3:$AX$920,0)+2),INDEX('FUNDED DEALS 2027'!$A:$A,MATCH(42-'FUNDED DEALS'!$AX$920,'FUNDED DEALS 2027'!$AX$3:$AX$1226,0)+2)),"")</f>
        <v/>
      </c>
      <c r="B46" s="55" t="str">
        <f aca="false">IF($A46="","",IFERROR(INDEX('FUNDED DEALS'!$D$4:$D$1226,MATCH($A46,'FUNDED DEALS'!$A$4:$A$1226,0)),IFERROR(INDEX('FUNDED DEALS 2027'!$D$4:$D$1226,MATCH($A46,'FUNDED DEALS 2027'!$A$4:$A$1226,0)),"not found")))</f>
        <v/>
      </c>
      <c r="C46" s="55" t="str">
        <f aca="false">IF($A46="","",IFERROR(INDEX('FUNDED DEALS'!$E$4:$E$1226,MATCH($A46,'FUNDED DEALS'!$A$4:$A$1226,0)),IFERROR(INDEX('FUNDED DEALS 2027'!$E$4:$E$1226,MATCH($A46,'FUNDED DEALS 2027'!$A$4:$A$1226,0)),"not found")))</f>
        <v/>
      </c>
      <c r="D46" s="55" t="str">
        <f aca="false">IF($A46="","",IFERROR(INDEX('FUNDED DEALS'!$F$4:$F$1226,MATCH($A46,'FUNDED DEALS'!$A$4:$A$1226,0)),IFERROR(INDEX('FUNDED DEALS 2027'!$F$4:$F$1226,MATCH($A46,'FUNDED DEALS 2027'!$A$4:$A$1226,0)),"not found")))</f>
        <v/>
      </c>
      <c r="E46" s="78" t="str">
        <f aca="false">IF($A46="","",COUNTIFS('FUNDED DEALS'!$B$4:$B$1226,$A46,'FUNDED DEALS'!$A$4:$A$1226,"&lt;&gt;"&amp;$A46)+COUNTIFS('FUNDED DEALS 2027'!$B$4:$B$1226,$A46,'FUNDED DEALS 2027'!$A$4:$A$1226,"&lt;&gt;"&amp;$A46))</f>
        <v/>
      </c>
      <c r="F46" s="79" t="str">
        <f aca="false">IF($A46="","",SUMIF('FUNDED DEALS'!$A$4:$A$1226,$A46,'FUNDED DEALS'!$G$4:$G$1226)+SUMIFS('FUNDED DEALS'!$G$4:$G$1226,'FUNDED DEALS'!$B$4:$B$1226,$A46,'FUNDED DEALS'!$A$4:$A$1226,"&lt;&gt;"&amp;$A46)+SUMIF('FUNDED DEALS 2027'!$A$4:$A$1226,$A46,'FUNDED DEALS 2027'!$G$4:$G$1226)+SUMIFS('FUNDED DEALS 2027'!$G$4:$G$1226,'FUNDED DEALS 2027'!$B$4:$B$1226,$A46,'FUNDED DEALS 2027'!$A$4:$A$1226,"&lt;&gt;"&amp;$A46))</f>
        <v/>
      </c>
      <c r="G46" s="79" t="str">
        <f aca="false">IF($A46="","",SUMIF('FUNDED DEALS'!$A$4:$A$1226,$A46,'FUNDED DEALS'!$O$4:$O$1226)+SUMIFS('FUNDED DEALS'!$O$4:$O$1226,'FUNDED DEALS'!$B$4:$B$1226,$A46,'FUNDED DEALS'!$A$4:$A$1226,"&lt;&gt;"&amp;$A46)+SUMIF('FUNDED DEALS 2027'!$A$4:$A$1226,$A46,'FUNDED DEALS 2027'!$O$4:$O$1226)+SUMIFS('FUNDED DEALS 2027'!$O$4:$O$1226,'FUNDED DEALS 2027'!$B$4:$B$1226,$A46,'FUNDED DEALS 2027'!$A$4:$A$1226,"&lt;&gt;"&amp;$A46))</f>
        <v/>
      </c>
      <c r="H46" s="79" t="str">
        <f aca="false">IF($A46="","",SUMIF('FUNDED DEALS'!$A$4:$A$1226,$A46,'FUNDED DEALS'!$AC$4:$AC$1226)+SUMIFS('FUNDED DEALS'!$AC$4:$AC$1226,'FUNDED DEALS'!$B$4:$B$1226,$A46,'FUNDED DEALS'!$A$4:$A$1226,"&lt;&gt;"&amp;$A46)+SUMIF('FUNDED DEALS 2027'!$A$4:$A$1226,$A46,'FUNDED DEALS 2027'!$AC$4:$AC$1226)+SUMIFS('FUNDED DEALS 2027'!$AC$4:$AC$1226,'FUNDED DEALS 2027'!$B$4:$B$1226,$A46,'FUNDED DEALS 2027'!$A$4:$A$1226,"&lt;&gt;"&amp;$A46))</f>
        <v/>
      </c>
      <c r="I46" s="79" t="str">
        <f aca="false">IF($A46="","",SUMIF('FUNDED DEALS'!$A$4:$A$1226,$A46,'FUNDED DEALS'!$AD$4:$AD$1226)+SUMIFS('FUNDED DEALS'!$AD$4:$AD$1226,'FUNDED DEALS'!$B$4:$B$1226,$A46,'FUNDED DEALS'!$A$4:$A$1226,"&lt;&gt;"&amp;$A46)+SUMIF('FUNDED DEALS 2027'!$A$4:$A$1226,$A46,'FUNDED DEALS 2027'!$AD$4:$AD$1226)+SUMIFS('FUNDED DEALS 2027'!$AD$4:$AD$1226,'FUNDED DEALS 2027'!$B$4:$B$1226,$A46,'FUNDED DEALS 2027'!$A$4:$A$1226,"&lt;&gt;"&amp;$A46))</f>
        <v/>
      </c>
      <c r="J46" s="79" t="str">
        <f aca="false">IF($A46="","",SUMIFS('FUNDED DEALS'!$O$4:$O$1226,'FUNDED DEALS'!$A$4:$A$1226,$A46,'FUNDED DEALS'!$AM$4:$AM$1226,"YES - Paid In Full")+SUMIFS('FUNDED DEALS'!$O$4:$O$1226,'FUNDED DEALS'!$B$4:$B$1226,$A46,'FUNDED DEALS'!$AM$4:$AM$1226,"YES - Paid In Full",'FUNDED DEALS'!$A$4:$A$1226,"&lt;&gt;"&amp;$A46)+SUMIFS('FUNDED DEALS 2027'!$O$4:$O$1226,'FUNDED DEALS 2027'!$A$4:$A$1226,$A46,'FUNDED DEALS 2027'!$AM$4:$AM$1226,"YES - Paid In Full")+SUMIFS('FUNDED DEALS 2027'!$O$4:$O$1226,'FUNDED DEALS 2027'!$B$4:$B$1226,$A46,'FUNDED DEALS 2027'!$AM$4:$AM$1226,"YES - Paid In Full",'FUNDED DEALS 2027'!$A$4:$A$1226,"&lt;&gt;"&amp;$A46))</f>
        <v/>
      </c>
      <c r="K46" s="79" t="str">
        <f aca="false">IF($A46="","",G46-J46-L46)</f>
        <v/>
      </c>
      <c r="L46" s="79" t="str">
        <f aca="false">IF($A46="","",SUMIF('FUNDED DEALS'!$A$4:$A$1226,$A46,'FUNDED DEALS'!$AE$4:$AE$1226)+SUMIFS('FUNDED DEALS'!$AE$4:$AE$1226,'FUNDED DEALS'!$B$4:$B$1226,$A46,'FUNDED DEALS'!$A$4:$A$1226,"&lt;&gt;"&amp;$A46)+SUMIF('FUNDED DEALS 2027'!$A$4:$A$1226,$A46,'FUNDED DEALS 2027'!$AE$4:$AE$1226)+SUMIFS('FUNDED DEALS 2027'!$AE$4:$AE$1226,'FUNDED DEALS 2027'!$B$4:$B$1226,$A46,'FUNDED DEALS 2027'!$A$4:$A$1226,"&lt;&gt;"&amp;$A46))</f>
        <v/>
      </c>
      <c r="M46" s="79" t="str">
        <f aca="false">IF($A46="","",SUMIF('FUNDED DEALS'!$A$4:$A$1226,$A46,'FUNDED DEALS'!$AL$4:$AL$1226)+SUMIFS('FUNDED DEALS'!$AL$4:$AL$1226,'FUNDED DEALS'!$B$4:$B$1226,$A46,'FUNDED DEALS'!$A$4:$A$1226,"&lt;&gt;"&amp;$A46)+SUMIF('FUNDED DEALS 2027'!$A$4:$A$1226,$A46,'FUNDED DEALS 2027'!$AL$4:$AL$1226)+SUMIFS('FUNDED DEALS 2027'!$AL$4:$AL$1226,'FUNDED DEALS 2027'!$B$4:$B$1226,$A46,'FUNDED DEALS 2027'!$A$4:$A$1226,"&lt;&gt;"&amp;$A46))</f>
        <v/>
      </c>
    </row>
    <row r="47" customFormat="false" ht="15" hidden="false" customHeight="false" outlineLevel="0" collapsed="false">
      <c r="A47" s="74" t="str">
        <f aca="false">IFERROR(IF(43&lt;='FUNDED DEALS'!$AX$920,INDEX('FUNDED DEALS'!$A:$A,MATCH(43,'FUNDED DEALS'!$AX$3:$AX$920,0)+2),INDEX('FUNDED DEALS 2027'!$A:$A,MATCH(43-'FUNDED DEALS'!$AX$920,'FUNDED DEALS 2027'!$AX$3:$AX$1226,0)+2)),"")</f>
        <v/>
      </c>
      <c r="B47" s="57" t="str">
        <f aca="false">IF($A47="","",IFERROR(INDEX('FUNDED DEALS'!$D$4:$D$1226,MATCH($A47,'FUNDED DEALS'!$A$4:$A$1226,0)),IFERROR(INDEX('FUNDED DEALS 2027'!$D$4:$D$1226,MATCH($A47,'FUNDED DEALS 2027'!$A$4:$A$1226,0)),"not found")))</f>
        <v/>
      </c>
      <c r="C47" s="57" t="str">
        <f aca="false">IF($A47="","",IFERROR(INDEX('FUNDED DEALS'!$E$4:$E$1226,MATCH($A47,'FUNDED DEALS'!$A$4:$A$1226,0)),IFERROR(INDEX('FUNDED DEALS 2027'!$E$4:$E$1226,MATCH($A47,'FUNDED DEALS 2027'!$A$4:$A$1226,0)),"not found")))</f>
        <v/>
      </c>
      <c r="D47" s="57" t="str">
        <f aca="false">IF($A47="","",IFERROR(INDEX('FUNDED DEALS'!$F$4:$F$1226,MATCH($A47,'FUNDED DEALS'!$A$4:$A$1226,0)),IFERROR(INDEX('FUNDED DEALS 2027'!$F$4:$F$1226,MATCH($A47,'FUNDED DEALS 2027'!$A$4:$A$1226,0)),"not found")))</f>
        <v/>
      </c>
      <c r="E47" s="75" t="str">
        <f aca="false">IF($A47="","",COUNTIFS('FUNDED DEALS'!$B$4:$B$1226,$A47,'FUNDED DEALS'!$A$4:$A$1226,"&lt;&gt;"&amp;$A47)+COUNTIFS('FUNDED DEALS 2027'!$B$4:$B$1226,$A47,'FUNDED DEALS 2027'!$A$4:$A$1226,"&lt;&gt;"&amp;$A47))</f>
        <v/>
      </c>
      <c r="F47" s="76" t="str">
        <f aca="false">IF($A47="","",SUMIF('FUNDED DEALS'!$A$4:$A$1226,$A47,'FUNDED DEALS'!$G$4:$G$1226)+SUMIFS('FUNDED DEALS'!$G$4:$G$1226,'FUNDED DEALS'!$B$4:$B$1226,$A47,'FUNDED DEALS'!$A$4:$A$1226,"&lt;&gt;"&amp;$A47)+SUMIF('FUNDED DEALS 2027'!$A$4:$A$1226,$A47,'FUNDED DEALS 2027'!$G$4:$G$1226)+SUMIFS('FUNDED DEALS 2027'!$G$4:$G$1226,'FUNDED DEALS 2027'!$B$4:$B$1226,$A47,'FUNDED DEALS 2027'!$A$4:$A$1226,"&lt;&gt;"&amp;$A47))</f>
        <v/>
      </c>
      <c r="G47" s="76" t="str">
        <f aca="false">IF($A47="","",SUMIF('FUNDED DEALS'!$A$4:$A$1226,$A47,'FUNDED DEALS'!$O$4:$O$1226)+SUMIFS('FUNDED DEALS'!$O$4:$O$1226,'FUNDED DEALS'!$B$4:$B$1226,$A47,'FUNDED DEALS'!$A$4:$A$1226,"&lt;&gt;"&amp;$A47)+SUMIF('FUNDED DEALS 2027'!$A$4:$A$1226,$A47,'FUNDED DEALS 2027'!$O$4:$O$1226)+SUMIFS('FUNDED DEALS 2027'!$O$4:$O$1226,'FUNDED DEALS 2027'!$B$4:$B$1226,$A47,'FUNDED DEALS 2027'!$A$4:$A$1226,"&lt;&gt;"&amp;$A47))</f>
        <v/>
      </c>
      <c r="H47" s="76" t="str">
        <f aca="false">IF($A47="","",SUMIF('FUNDED DEALS'!$A$4:$A$1226,$A47,'FUNDED DEALS'!$AC$4:$AC$1226)+SUMIFS('FUNDED DEALS'!$AC$4:$AC$1226,'FUNDED DEALS'!$B$4:$B$1226,$A47,'FUNDED DEALS'!$A$4:$A$1226,"&lt;&gt;"&amp;$A47)+SUMIF('FUNDED DEALS 2027'!$A$4:$A$1226,$A47,'FUNDED DEALS 2027'!$AC$4:$AC$1226)+SUMIFS('FUNDED DEALS 2027'!$AC$4:$AC$1226,'FUNDED DEALS 2027'!$B$4:$B$1226,$A47,'FUNDED DEALS 2027'!$A$4:$A$1226,"&lt;&gt;"&amp;$A47))</f>
        <v/>
      </c>
      <c r="I47" s="76" t="str">
        <f aca="false">IF($A47="","",SUMIF('FUNDED DEALS'!$A$4:$A$1226,$A47,'FUNDED DEALS'!$AD$4:$AD$1226)+SUMIFS('FUNDED DEALS'!$AD$4:$AD$1226,'FUNDED DEALS'!$B$4:$B$1226,$A47,'FUNDED DEALS'!$A$4:$A$1226,"&lt;&gt;"&amp;$A47)+SUMIF('FUNDED DEALS 2027'!$A$4:$A$1226,$A47,'FUNDED DEALS 2027'!$AD$4:$AD$1226)+SUMIFS('FUNDED DEALS 2027'!$AD$4:$AD$1226,'FUNDED DEALS 2027'!$B$4:$B$1226,$A47,'FUNDED DEALS 2027'!$A$4:$A$1226,"&lt;&gt;"&amp;$A47))</f>
        <v/>
      </c>
      <c r="J47" s="76" t="str">
        <f aca="false">IF($A47="","",SUMIFS('FUNDED DEALS'!$O$4:$O$1226,'FUNDED DEALS'!$A$4:$A$1226,$A47,'FUNDED DEALS'!$AM$4:$AM$1226,"YES - Paid In Full")+SUMIFS('FUNDED DEALS'!$O$4:$O$1226,'FUNDED DEALS'!$B$4:$B$1226,$A47,'FUNDED DEALS'!$AM$4:$AM$1226,"YES - Paid In Full",'FUNDED DEALS'!$A$4:$A$1226,"&lt;&gt;"&amp;$A47)+SUMIFS('FUNDED DEALS 2027'!$O$4:$O$1226,'FUNDED DEALS 2027'!$A$4:$A$1226,$A47,'FUNDED DEALS 2027'!$AM$4:$AM$1226,"YES - Paid In Full")+SUMIFS('FUNDED DEALS 2027'!$O$4:$O$1226,'FUNDED DEALS 2027'!$B$4:$B$1226,$A47,'FUNDED DEALS 2027'!$AM$4:$AM$1226,"YES - Paid In Full",'FUNDED DEALS 2027'!$A$4:$A$1226,"&lt;&gt;"&amp;$A47))</f>
        <v/>
      </c>
      <c r="K47" s="76" t="str">
        <f aca="false">IF($A47="","",G47-J47-L47)</f>
        <v/>
      </c>
      <c r="L47" s="76" t="str">
        <f aca="false">IF($A47="","",SUMIF('FUNDED DEALS'!$A$4:$A$1226,$A47,'FUNDED DEALS'!$AE$4:$AE$1226)+SUMIFS('FUNDED DEALS'!$AE$4:$AE$1226,'FUNDED DEALS'!$B$4:$B$1226,$A47,'FUNDED DEALS'!$A$4:$A$1226,"&lt;&gt;"&amp;$A47)+SUMIF('FUNDED DEALS 2027'!$A$4:$A$1226,$A47,'FUNDED DEALS 2027'!$AE$4:$AE$1226)+SUMIFS('FUNDED DEALS 2027'!$AE$4:$AE$1226,'FUNDED DEALS 2027'!$B$4:$B$1226,$A47,'FUNDED DEALS 2027'!$A$4:$A$1226,"&lt;&gt;"&amp;$A47))</f>
        <v/>
      </c>
      <c r="M47" s="76" t="str">
        <f aca="false">IF($A47="","",SUMIF('FUNDED DEALS'!$A$4:$A$1226,$A47,'FUNDED DEALS'!$AL$4:$AL$1226)+SUMIFS('FUNDED DEALS'!$AL$4:$AL$1226,'FUNDED DEALS'!$B$4:$B$1226,$A47,'FUNDED DEALS'!$A$4:$A$1226,"&lt;&gt;"&amp;$A47)+SUMIF('FUNDED DEALS 2027'!$A$4:$A$1226,$A47,'FUNDED DEALS 2027'!$AL$4:$AL$1226)+SUMIFS('FUNDED DEALS 2027'!$AL$4:$AL$1226,'FUNDED DEALS 2027'!$B$4:$B$1226,$A47,'FUNDED DEALS 2027'!$A$4:$A$1226,"&lt;&gt;"&amp;$A47))</f>
        <v/>
      </c>
    </row>
    <row r="48" customFormat="false" ht="15" hidden="false" customHeight="false" outlineLevel="0" collapsed="false">
      <c r="A48" s="77" t="str">
        <f aca="false">IFERROR(IF(44&lt;='FUNDED DEALS'!$AX$920,INDEX('FUNDED DEALS'!$A:$A,MATCH(44,'FUNDED DEALS'!$AX$3:$AX$920,0)+2),INDEX('FUNDED DEALS 2027'!$A:$A,MATCH(44-'FUNDED DEALS'!$AX$920,'FUNDED DEALS 2027'!$AX$3:$AX$1226,0)+2)),"")</f>
        <v/>
      </c>
      <c r="B48" s="55" t="str">
        <f aca="false">IF($A48="","",IFERROR(INDEX('FUNDED DEALS'!$D$4:$D$1226,MATCH($A48,'FUNDED DEALS'!$A$4:$A$1226,0)),IFERROR(INDEX('FUNDED DEALS 2027'!$D$4:$D$1226,MATCH($A48,'FUNDED DEALS 2027'!$A$4:$A$1226,0)),"not found")))</f>
        <v/>
      </c>
      <c r="C48" s="55" t="str">
        <f aca="false">IF($A48="","",IFERROR(INDEX('FUNDED DEALS'!$E$4:$E$1226,MATCH($A48,'FUNDED DEALS'!$A$4:$A$1226,0)),IFERROR(INDEX('FUNDED DEALS 2027'!$E$4:$E$1226,MATCH($A48,'FUNDED DEALS 2027'!$A$4:$A$1226,0)),"not found")))</f>
        <v/>
      </c>
      <c r="D48" s="55" t="str">
        <f aca="false">IF($A48="","",IFERROR(INDEX('FUNDED DEALS'!$F$4:$F$1226,MATCH($A48,'FUNDED DEALS'!$A$4:$A$1226,0)),IFERROR(INDEX('FUNDED DEALS 2027'!$F$4:$F$1226,MATCH($A48,'FUNDED DEALS 2027'!$A$4:$A$1226,0)),"not found")))</f>
        <v/>
      </c>
      <c r="E48" s="78" t="str">
        <f aca="false">IF($A48="","",COUNTIFS('FUNDED DEALS'!$B$4:$B$1226,$A48,'FUNDED DEALS'!$A$4:$A$1226,"&lt;&gt;"&amp;$A48)+COUNTIFS('FUNDED DEALS 2027'!$B$4:$B$1226,$A48,'FUNDED DEALS 2027'!$A$4:$A$1226,"&lt;&gt;"&amp;$A48))</f>
        <v/>
      </c>
      <c r="F48" s="79" t="str">
        <f aca="false">IF($A48="","",SUMIF('FUNDED DEALS'!$A$4:$A$1226,$A48,'FUNDED DEALS'!$G$4:$G$1226)+SUMIFS('FUNDED DEALS'!$G$4:$G$1226,'FUNDED DEALS'!$B$4:$B$1226,$A48,'FUNDED DEALS'!$A$4:$A$1226,"&lt;&gt;"&amp;$A48)+SUMIF('FUNDED DEALS 2027'!$A$4:$A$1226,$A48,'FUNDED DEALS 2027'!$G$4:$G$1226)+SUMIFS('FUNDED DEALS 2027'!$G$4:$G$1226,'FUNDED DEALS 2027'!$B$4:$B$1226,$A48,'FUNDED DEALS 2027'!$A$4:$A$1226,"&lt;&gt;"&amp;$A48))</f>
        <v/>
      </c>
      <c r="G48" s="79" t="str">
        <f aca="false">IF($A48="","",SUMIF('FUNDED DEALS'!$A$4:$A$1226,$A48,'FUNDED DEALS'!$O$4:$O$1226)+SUMIFS('FUNDED DEALS'!$O$4:$O$1226,'FUNDED DEALS'!$B$4:$B$1226,$A48,'FUNDED DEALS'!$A$4:$A$1226,"&lt;&gt;"&amp;$A48)+SUMIF('FUNDED DEALS 2027'!$A$4:$A$1226,$A48,'FUNDED DEALS 2027'!$O$4:$O$1226)+SUMIFS('FUNDED DEALS 2027'!$O$4:$O$1226,'FUNDED DEALS 2027'!$B$4:$B$1226,$A48,'FUNDED DEALS 2027'!$A$4:$A$1226,"&lt;&gt;"&amp;$A48))</f>
        <v/>
      </c>
      <c r="H48" s="79" t="str">
        <f aca="false">IF($A48="","",SUMIF('FUNDED DEALS'!$A$4:$A$1226,$A48,'FUNDED DEALS'!$AC$4:$AC$1226)+SUMIFS('FUNDED DEALS'!$AC$4:$AC$1226,'FUNDED DEALS'!$B$4:$B$1226,$A48,'FUNDED DEALS'!$A$4:$A$1226,"&lt;&gt;"&amp;$A48)+SUMIF('FUNDED DEALS 2027'!$A$4:$A$1226,$A48,'FUNDED DEALS 2027'!$AC$4:$AC$1226)+SUMIFS('FUNDED DEALS 2027'!$AC$4:$AC$1226,'FUNDED DEALS 2027'!$B$4:$B$1226,$A48,'FUNDED DEALS 2027'!$A$4:$A$1226,"&lt;&gt;"&amp;$A48))</f>
        <v/>
      </c>
      <c r="I48" s="79" t="str">
        <f aca="false">IF($A48="","",SUMIF('FUNDED DEALS'!$A$4:$A$1226,$A48,'FUNDED DEALS'!$AD$4:$AD$1226)+SUMIFS('FUNDED DEALS'!$AD$4:$AD$1226,'FUNDED DEALS'!$B$4:$B$1226,$A48,'FUNDED DEALS'!$A$4:$A$1226,"&lt;&gt;"&amp;$A48)+SUMIF('FUNDED DEALS 2027'!$A$4:$A$1226,$A48,'FUNDED DEALS 2027'!$AD$4:$AD$1226)+SUMIFS('FUNDED DEALS 2027'!$AD$4:$AD$1226,'FUNDED DEALS 2027'!$B$4:$B$1226,$A48,'FUNDED DEALS 2027'!$A$4:$A$1226,"&lt;&gt;"&amp;$A48))</f>
        <v/>
      </c>
      <c r="J48" s="79" t="str">
        <f aca="false">IF($A48="","",SUMIFS('FUNDED DEALS'!$O$4:$O$1226,'FUNDED DEALS'!$A$4:$A$1226,$A48,'FUNDED DEALS'!$AM$4:$AM$1226,"YES - Paid In Full")+SUMIFS('FUNDED DEALS'!$O$4:$O$1226,'FUNDED DEALS'!$B$4:$B$1226,$A48,'FUNDED DEALS'!$AM$4:$AM$1226,"YES - Paid In Full",'FUNDED DEALS'!$A$4:$A$1226,"&lt;&gt;"&amp;$A48)+SUMIFS('FUNDED DEALS 2027'!$O$4:$O$1226,'FUNDED DEALS 2027'!$A$4:$A$1226,$A48,'FUNDED DEALS 2027'!$AM$4:$AM$1226,"YES - Paid In Full")+SUMIFS('FUNDED DEALS 2027'!$O$4:$O$1226,'FUNDED DEALS 2027'!$B$4:$B$1226,$A48,'FUNDED DEALS 2027'!$AM$4:$AM$1226,"YES - Paid In Full",'FUNDED DEALS 2027'!$A$4:$A$1226,"&lt;&gt;"&amp;$A48))</f>
        <v/>
      </c>
      <c r="K48" s="79" t="str">
        <f aca="false">IF($A48="","",G48-J48-L48)</f>
        <v/>
      </c>
      <c r="L48" s="79" t="str">
        <f aca="false">IF($A48="","",SUMIF('FUNDED DEALS'!$A$4:$A$1226,$A48,'FUNDED DEALS'!$AE$4:$AE$1226)+SUMIFS('FUNDED DEALS'!$AE$4:$AE$1226,'FUNDED DEALS'!$B$4:$B$1226,$A48,'FUNDED DEALS'!$A$4:$A$1226,"&lt;&gt;"&amp;$A48)+SUMIF('FUNDED DEALS 2027'!$A$4:$A$1226,$A48,'FUNDED DEALS 2027'!$AE$4:$AE$1226)+SUMIFS('FUNDED DEALS 2027'!$AE$4:$AE$1226,'FUNDED DEALS 2027'!$B$4:$B$1226,$A48,'FUNDED DEALS 2027'!$A$4:$A$1226,"&lt;&gt;"&amp;$A48))</f>
        <v/>
      </c>
      <c r="M48" s="79" t="str">
        <f aca="false">IF($A48="","",SUMIF('FUNDED DEALS'!$A$4:$A$1226,$A48,'FUNDED DEALS'!$AL$4:$AL$1226)+SUMIFS('FUNDED DEALS'!$AL$4:$AL$1226,'FUNDED DEALS'!$B$4:$B$1226,$A48,'FUNDED DEALS'!$A$4:$A$1226,"&lt;&gt;"&amp;$A48)+SUMIF('FUNDED DEALS 2027'!$A$4:$A$1226,$A48,'FUNDED DEALS 2027'!$AL$4:$AL$1226)+SUMIFS('FUNDED DEALS 2027'!$AL$4:$AL$1226,'FUNDED DEALS 2027'!$B$4:$B$1226,$A48,'FUNDED DEALS 2027'!$A$4:$A$1226,"&lt;&gt;"&amp;$A48))</f>
        <v/>
      </c>
    </row>
    <row r="49" customFormat="false" ht="15" hidden="false" customHeight="false" outlineLevel="0" collapsed="false">
      <c r="A49" s="74" t="str">
        <f aca="false">IFERROR(IF(45&lt;='FUNDED DEALS'!$AX$920,INDEX('FUNDED DEALS'!$A:$A,MATCH(45,'FUNDED DEALS'!$AX$3:$AX$920,0)+2),INDEX('FUNDED DEALS 2027'!$A:$A,MATCH(45-'FUNDED DEALS'!$AX$920,'FUNDED DEALS 2027'!$AX$3:$AX$1226,0)+2)),"")</f>
        <v/>
      </c>
      <c r="B49" s="57" t="str">
        <f aca="false">IF($A49="","",IFERROR(INDEX('FUNDED DEALS'!$D$4:$D$1226,MATCH($A49,'FUNDED DEALS'!$A$4:$A$1226,0)),IFERROR(INDEX('FUNDED DEALS 2027'!$D$4:$D$1226,MATCH($A49,'FUNDED DEALS 2027'!$A$4:$A$1226,0)),"not found")))</f>
        <v/>
      </c>
      <c r="C49" s="57" t="str">
        <f aca="false">IF($A49="","",IFERROR(INDEX('FUNDED DEALS'!$E$4:$E$1226,MATCH($A49,'FUNDED DEALS'!$A$4:$A$1226,0)),IFERROR(INDEX('FUNDED DEALS 2027'!$E$4:$E$1226,MATCH($A49,'FUNDED DEALS 2027'!$A$4:$A$1226,0)),"not found")))</f>
        <v/>
      </c>
      <c r="D49" s="57" t="str">
        <f aca="false">IF($A49="","",IFERROR(INDEX('FUNDED DEALS'!$F$4:$F$1226,MATCH($A49,'FUNDED DEALS'!$A$4:$A$1226,0)),IFERROR(INDEX('FUNDED DEALS 2027'!$F$4:$F$1226,MATCH($A49,'FUNDED DEALS 2027'!$A$4:$A$1226,0)),"not found")))</f>
        <v/>
      </c>
      <c r="E49" s="75" t="str">
        <f aca="false">IF($A49="","",COUNTIFS('FUNDED DEALS'!$B$4:$B$1226,$A49,'FUNDED DEALS'!$A$4:$A$1226,"&lt;&gt;"&amp;$A49)+COUNTIFS('FUNDED DEALS 2027'!$B$4:$B$1226,$A49,'FUNDED DEALS 2027'!$A$4:$A$1226,"&lt;&gt;"&amp;$A49))</f>
        <v/>
      </c>
      <c r="F49" s="76" t="str">
        <f aca="false">IF($A49="","",SUMIF('FUNDED DEALS'!$A$4:$A$1226,$A49,'FUNDED DEALS'!$G$4:$G$1226)+SUMIFS('FUNDED DEALS'!$G$4:$G$1226,'FUNDED DEALS'!$B$4:$B$1226,$A49,'FUNDED DEALS'!$A$4:$A$1226,"&lt;&gt;"&amp;$A49)+SUMIF('FUNDED DEALS 2027'!$A$4:$A$1226,$A49,'FUNDED DEALS 2027'!$G$4:$G$1226)+SUMIFS('FUNDED DEALS 2027'!$G$4:$G$1226,'FUNDED DEALS 2027'!$B$4:$B$1226,$A49,'FUNDED DEALS 2027'!$A$4:$A$1226,"&lt;&gt;"&amp;$A49))</f>
        <v/>
      </c>
      <c r="G49" s="76" t="str">
        <f aca="false">IF($A49="","",SUMIF('FUNDED DEALS'!$A$4:$A$1226,$A49,'FUNDED DEALS'!$O$4:$O$1226)+SUMIFS('FUNDED DEALS'!$O$4:$O$1226,'FUNDED DEALS'!$B$4:$B$1226,$A49,'FUNDED DEALS'!$A$4:$A$1226,"&lt;&gt;"&amp;$A49)+SUMIF('FUNDED DEALS 2027'!$A$4:$A$1226,$A49,'FUNDED DEALS 2027'!$O$4:$O$1226)+SUMIFS('FUNDED DEALS 2027'!$O$4:$O$1226,'FUNDED DEALS 2027'!$B$4:$B$1226,$A49,'FUNDED DEALS 2027'!$A$4:$A$1226,"&lt;&gt;"&amp;$A49))</f>
        <v/>
      </c>
      <c r="H49" s="76" t="str">
        <f aca="false">IF($A49="","",SUMIF('FUNDED DEALS'!$A$4:$A$1226,$A49,'FUNDED DEALS'!$AC$4:$AC$1226)+SUMIFS('FUNDED DEALS'!$AC$4:$AC$1226,'FUNDED DEALS'!$B$4:$B$1226,$A49,'FUNDED DEALS'!$A$4:$A$1226,"&lt;&gt;"&amp;$A49)+SUMIF('FUNDED DEALS 2027'!$A$4:$A$1226,$A49,'FUNDED DEALS 2027'!$AC$4:$AC$1226)+SUMIFS('FUNDED DEALS 2027'!$AC$4:$AC$1226,'FUNDED DEALS 2027'!$B$4:$B$1226,$A49,'FUNDED DEALS 2027'!$A$4:$A$1226,"&lt;&gt;"&amp;$A49))</f>
        <v/>
      </c>
      <c r="I49" s="76" t="str">
        <f aca="false">IF($A49="","",SUMIF('FUNDED DEALS'!$A$4:$A$1226,$A49,'FUNDED DEALS'!$AD$4:$AD$1226)+SUMIFS('FUNDED DEALS'!$AD$4:$AD$1226,'FUNDED DEALS'!$B$4:$B$1226,$A49,'FUNDED DEALS'!$A$4:$A$1226,"&lt;&gt;"&amp;$A49)+SUMIF('FUNDED DEALS 2027'!$A$4:$A$1226,$A49,'FUNDED DEALS 2027'!$AD$4:$AD$1226)+SUMIFS('FUNDED DEALS 2027'!$AD$4:$AD$1226,'FUNDED DEALS 2027'!$B$4:$B$1226,$A49,'FUNDED DEALS 2027'!$A$4:$A$1226,"&lt;&gt;"&amp;$A49))</f>
        <v/>
      </c>
      <c r="J49" s="76" t="str">
        <f aca="false">IF($A49="","",SUMIFS('FUNDED DEALS'!$O$4:$O$1226,'FUNDED DEALS'!$A$4:$A$1226,$A49,'FUNDED DEALS'!$AM$4:$AM$1226,"YES - Paid In Full")+SUMIFS('FUNDED DEALS'!$O$4:$O$1226,'FUNDED DEALS'!$B$4:$B$1226,$A49,'FUNDED DEALS'!$AM$4:$AM$1226,"YES - Paid In Full",'FUNDED DEALS'!$A$4:$A$1226,"&lt;&gt;"&amp;$A49)+SUMIFS('FUNDED DEALS 2027'!$O$4:$O$1226,'FUNDED DEALS 2027'!$A$4:$A$1226,$A49,'FUNDED DEALS 2027'!$AM$4:$AM$1226,"YES - Paid In Full")+SUMIFS('FUNDED DEALS 2027'!$O$4:$O$1226,'FUNDED DEALS 2027'!$B$4:$B$1226,$A49,'FUNDED DEALS 2027'!$AM$4:$AM$1226,"YES - Paid In Full",'FUNDED DEALS 2027'!$A$4:$A$1226,"&lt;&gt;"&amp;$A49))</f>
        <v/>
      </c>
      <c r="K49" s="76" t="str">
        <f aca="false">IF($A49="","",G49-J49-L49)</f>
        <v/>
      </c>
      <c r="L49" s="76" t="str">
        <f aca="false">IF($A49="","",SUMIF('FUNDED DEALS'!$A$4:$A$1226,$A49,'FUNDED DEALS'!$AE$4:$AE$1226)+SUMIFS('FUNDED DEALS'!$AE$4:$AE$1226,'FUNDED DEALS'!$B$4:$B$1226,$A49,'FUNDED DEALS'!$A$4:$A$1226,"&lt;&gt;"&amp;$A49)+SUMIF('FUNDED DEALS 2027'!$A$4:$A$1226,$A49,'FUNDED DEALS 2027'!$AE$4:$AE$1226)+SUMIFS('FUNDED DEALS 2027'!$AE$4:$AE$1226,'FUNDED DEALS 2027'!$B$4:$B$1226,$A49,'FUNDED DEALS 2027'!$A$4:$A$1226,"&lt;&gt;"&amp;$A49))</f>
        <v/>
      </c>
      <c r="M49" s="76" t="str">
        <f aca="false">IF($A49="","",SUMIF('FUNDED DEALS'!$A$4:$A$1226,$A49,'FUNDED DEALS'!$AL$4:$AL$1226)+SUMIFS('FUNDED DEALS'!$AL$4:$AL$1226,'FUNDED DEALS'!$B$4:$B$1226,$A49,'FUNDED DEALS'!$A$4:$A$1226,"&lt;&gt;"&amp;$A49)+SUMIF('FUNDED DEALS 2027'!$A$4:$A$1226,$A49,'FUNDED DEALS 2027'!$AL$4:$AL$1226)+SUMIFS('FUNDED DEALS 2027'!$AL$4:$AL$1226,'FUNDED DEALS 2027'!$B$4:$B$1226,$A49,'FUNDED DEALS 2027'!$A$4:$A$1226,"&lt;&gt;"&amp;$A49))</f>
        <v/>
      </c>
    </row>
    <row r="50" customFormat="false" ht="15" hidden="false" customHeight="false" outlineLevel="0" collapsed="false">
      <c r="A50" s="77" t="str">
        <f aca="false">IFERROR(IF(46&lt;='FUNDED DEALS'!$AX$920,INDEX('FUNDED DEALS'!$A:$A,MATCH(46,'FUNDED DEALS'!$AX$3:$AX$920,0)+2),INDEX('FUNDED DEALS 2027'!$A:$A,MATCH(46-'FUNDED DEALS'!$AX$920,'FUNDED DEALS 2027'!$AX$3:$AX$1226,0)+2)),"")</f>
        <v/>
      </c>
      <c r="B50" s="55" t="str">
        <f aca="false">IF($A50="","",IFERROR(INDEX('FUNDED DEALS'!$D$4:$D$1226,MATCH($A50,'FUNDED DEALS'!$A$4:$A$1226,0)),IFERROR(INDEX('FUNDED DEALS 2027'!$D$4:$D$1226,MATCH($A50,'FUNDED DEALS 2027'!$A$4:$A$1226,0)),"not found")))</f>
        <v/>
      </c>
      <c r="C50" s="55" t="str">
        <f aca="false">IF($A50="","",IFERROR(INDEX('FUNDED DEALS'!$E$4:$E$1226,MATCH($A50,'FUNDED DEALS'!$A$4:$A$1226,0)),IFERROR(INDEX('FUNDED DEALS 2027'!$E$4:$E$1226,MATCH($A50,'FUNDED DEALS 2027'!$A$4:$A$1226,0)),"not found")))</f>
        <v/>
      </c>
      <c r="D50" s="55" t="str">
        <f aca="false">IF($A50="","",IFERROR(INDEX('FUNDED DEALS'!$F$4:$F$1226,MATCH($A50,'FUNDED DEALS'!$A$4:$A$1226,0)),IFERROR(INDEX('FUNDED DEALS 2027'!$F$4:$F$1226,MATCH($A50,'FUNDED DEALS 2027'!$A$4:$A$1226,0)),"not found")))</f>
        <v/>
      </c>
      <c r="E50" s="78" t="str">
        <f aca="false">IF($A50="","",COUNTIFS('FUNDED DEALS'!$B$4:$B$1226,$A50,'FUNDED DEALS'!$A$4:$A$1226,"&lt;&gt;"&amp;$A50)+COUNTIFS('FUNDED DEALS 2027'!$B$4:$B$1226,$A50,'FUNDED DEALS 2027'!$A$4:$A$1226,"&lt;&gt;"&amp;$A50))</f>
        <v/>
      </c>
      <c r="F50" s="79" t="str">
        <f aca="false">IF($A50="","",SUMIF('FUNDED DEALS'!$A$4:$A$1226,$A50,'FUNDED DEALS'!$G$4:$G$1226)+SUMIFS('FUNDED DEALS'!$G$4:$G$1226,'FUNDED DEALS'!$B$4:$B$1226,$A50,'FUNDED DEALS'!$A$4:$A$1226,"&lt;&gt;"&amp;$A50)+SUMIF('FUNDED DEALS 2027'!$A$4:$A$1226,$A50,'FUNDED DEALS 2027'!$G$4:$G$1226)+SUMIFS('FUNDED DEALS 2027'!$G$4:$G$1226,'FUNDED DEALS 2027'!$B$4:$B$1226,$A50,'FUNDED DEALS 2027'!$A$4:$A$1226,"&lt;&gt;"&amp;$A50))</f>
        <v/>
      </c>
      <c r="G50" s="79" t="str">
        <f aca="false">IF($A50="","",SUMIF('FUNDED DEALS'!$A$4:$A$1226,$A50,'FUNDED DEALS'!$O$4:$O$1226)+SUMIFS('FUNDED DEALS'!$O$4:$O$1226,'FUNDED DEALS'!$B$4:$B$1226,$A50,'FUNDED DEALS'!$A$4:$A$1226,"&lt;&gt;"&amp;$A50)+SUMIF('FUNDED DEALS 2027'!$A$4:$A$1226,$A50,'FUNDED DEALS 2027'!$O$4:$O$1226)+SUMIFS('FUNDED DEALS 2027'!$O$4:$O$1226,'FUNDED DEALS 2027'!$B$4:$B$1226,$A50,'FUNDED DEALS 2027'!$A$4:$A$1226,"&lt;&gt;"&amp;$A50))</f>
        <v/>
      </c>
      <c r="H50" s="79" t="str">
        <f aca="false">IF($A50="","",SUMIF('FUNDED DEALS'!$A$4:$A$1226,$A50,'FUNDED DEALS'!$AC$4:$AC$1226)+SUMIFS('FUNDED DEALS'!$AC$4:$AC$1226,'FUNDED DEALS'!$B$4:$B$1226,$A50,'FUNDED DEALS'!$A$4:$A$1226,"&lt;&gt;"&amp;$A50)+SUMIF('FUNDED DEALS 2027'!$A$4:$A$1226,$A50,'FUNDED DEALS 2027'!$AC$4:$AC$1226)+SUMIFS('FUNDED DEALS 2027'!$AC$4:$AC$1226,'FUNDED DEALS 2027'!$B$4:$B$1226,$A50,'FUNDED DEALS 2027'!$A$4:$A$1226,"&lt;&gt;"&amp;$A50))</f>
        <v/>
      </c>
      <c r="I50" s="79" t="str">
        <f aca="false">IF($A50="","",SUMIF('FUNDED DEALS'!$A$4:$A$1226,$A50,'FUNDED DEALS'!$AD$4:$AD$1226)+SUMIFS('FUNDED DEALS'!$AD$4:$AD$1226,'FUNDED DEALS'!$B$4:$B$1226,$A50,'FUNDED DEALS'!$A$4:$A$1226,"&lt;&gt;"&amp;$A50)+SUMIF('FUNDED DEALS 2027'!$A$4:$A$1226,$A50,'FUNDED DEALS 2027'!$AD$4:$AD$1226)+SUMIFS('FUNDED DEALS 2027'!$AD$4:$AD$1226,'FUNDED DEALS 2027'!$B$4:$B$1226,$A50,'FUNDED DEALS 2027'!$A$4:$A$1226,"&lt;&gt;"&amp;$A50))</f>
        <v/>
      </c>
      <c r="J50" s="79" t="str">
        <f aca="false">IF($A50="","",SUMIFS('FUNDED DEALS'!$O$4:$O$1226,'FUNDED DEALS'!$A$4:$A$1226,$A50,'FUNDED DEALS'!$AM$4:$AM$1226,"YES - Paid In Full")+SUMIFS('FUNDED DEALS'!$O$4:$O$1226,'FUNDED DEALS'!$B$4:$B$1226,$A50,'FUNDED DEALS'!$AM$4:$AM$1226,"YES - Paid In Full",'FUNDED DEALS'!$A$4:$A$1226,"&lt;&gt;"&amp;$A50)+SUMIFS('FUNDED DEALS 2027'!$O$4:$O$1226,'FUNDED DEALS 2027'!$A$4:$A$1226,$A50,'FUNDED DEALS 2027'!$AM$4:$AM$1226,"YES - Paid In Full")+SUMIFS('FUNDED DEALS 2027'!$O$4:$O$1226,'FUNDED DEALS 2027'!$B$4:$B$1226,$A50,'FUNDED DEALS 2027'!$AM$4:$AM$1226,"YES - Paid In Full",'FUNDED DEALS 2027'!$A$4:$A$1226,"&lt;&gt;"&amp;$A50))</f>
        <v/>
      </c>
      <c r="K50" s="79" t="str">
        <f aca="false">IF($A50="","",G50-J50-L50)</f>
        <v/>
      </c>
      <c r="L50" s="79" t="str">
        <f aca="false">IF($A50="","",SUMIF('FUNDED DEALS'!$A$4:$A$1226,$A50,'FUNDED DEALS'!$AE$4:$AE$1226)+SUMIFS('FUNDED DEALS'!$AE$4:$AE$1226,'FUNDED DEALS'!$B$4:$B$1226,$A50,'FUNDED DEALS'!$A$4:$A$1226,"&lt;&gt;"&amp;$A50)+SUMIF('FUNDED DEALS 2027'!$A$4:$A$1226,$A50,'FUNDED DEALS 2027'!$AE$4:$AE$1226)+SUMIFS('FUNDED DEALS 2027'!$AE$4:$AE$1226,'FUNDED DEALS 2027'!$B$4:$B$1226,$A50,'FUNDED DEALS 2027'!$A$4:$A$1226,"&lt;&gt;"&amp;$A50))</f>
        <v/>
      </c>
      <c r="M50" s="79" t="str">
        <f aca="false">IF($A50="","",SUMIF('FUNDED DEALS'!$A$4:$A$1226,$A50,'FUNDED DEALS'!$AL$4:$AL$1226)+SUMIFS('FUNDED DEALS'!$AL$4:$AL$1226,'FUNDED DEALS'!$B$4:$B$1226,$A50,'FUNDED DEALS'!$A$4:$A$1226,"&lt;&gt;"&amp;$A50)+SUMIF('FUNDED DEALS 2027'!$A$4:$A$1226,$A50,'FUNDED DEALS 2027'!$AL$4:$AL$1226)+SUMIFS('FUNDED DEALS 2027'!$AL$4:$AL$1226,'FUNDED DEALS 2027'!$B$4:$B$1226,$A50,'FUNDED DEALS 2027'!$A$4:$A$1226,"&lt;&gt;"&amp;$A50))</f>
        <v/>
      </c>
    </row>
    <row r="51" customFormat="false" ht="15" hidden="false" customHeight="false" outlineLevel="0" collapsed="false">
      <c r="A51" s="74" t="str">
        <f aca="false">IFERROR(IF(47&lt;='FUNDED DEALS'!$AX$920,INDEX('FUNDED DEALS'!$A:$A,MATCH(47,'FUNDED DEALS'!$AX$3:$AX$920,0)+2),INDEX('FUNDED DEALS 2027'!$A:$A,MATCH(47-'FUNDED DEALS'!$AX$920,'FUNDED DEALS 2027'!$AX$3:$AX$1226,0)+2)),"")</f>
        <v/>
      </c>
      <c r="B51" s="57" t="str">
        <f aca="false">IF($A51="","",IFERROR(INDEX('FUNDED DEALS'!$D$4:$D$1226,MATCH($A51,'FUNDED DEALS'!$A$4:$A$1226,0)),IFERROR(INDEX('FUNDED DEALS 2027'!$D$4:$D$1226,MATCH($A51,'FUNDED DEALS 2027'!$A$4:$A$1226,0)),"not found")))</f>
        <v/>
      </c>
      <c r="C51" s="57" t="str">
        <f aca="false">IF($A51="","",IFERROR(INDEX('FUNDED DEALS'!$E$4:$E$1226,MATCH($A51,'FUNDED DEALS'!$A$4:$A$1226,0)),IFERROR(INDEX('FUNDED DEALS 2027'!$E$4:$E$1226,MATCH($A51,'FUNDED DEALS 2027'!$A$4:$A$1226,0)),"not found")))</f>
        <v/>
      </c>
      <c r="D51" s="57" t="str">
        <f aca="false">IF($A51="","",IFERROR(INDEX('FUNDED DEALS'!$F$4:$F$1226,MATCH($A51,'FUNDED DEALS'!$A$4:$A$1226,0)),IFERROR(INDEX('FUNDED DEALS 2027'!$F$4:$F$1226,MATCH($A51,'FUNDED DEALS 2027'!$A$4:$A$1226,0)),"not found")))</f>
        <v/>
      </c>
      <c r="E51" s="75" t="str">
        <f aca="false">IF($A51="","",COUNTIFS('FUNDED DEALS'!$B$4:$B$1226,$A51,'FUNDED DEALS'!$A$4:$A$1226,"&lt;&gt;"&amp;$A51)+COUNTIFS('FUNDED DEALS 2027'!$B$4:$B$1226,$A51,'FUNDED DEALS 2027'!$A$4:$A$1226,"&lt;&gt;"&amp;$A51))</f>
        <v/>
      </c>
      <c r="F51" s="76" t="str">
        <f aca="false">IF($A51="","",SUMIF('FUNDED DEALS'!$A$4:$A$1226,$A51,'FUNDED DEALS'!$G$4:$G$1226)+SUMIFS('FUNDED DEALS'!$G$4:$G$1226,'FUNDED DEALS'!$B$4:$B$1226,$A51,'FUNDED DEALS'!$A$4:$A$1226,"&lt;&gt;"&amp;$A51)+SUMIF('FUNDED DEALS 2027'!$A$4:$A$1226,$A51,'FUNDED DEALS 2027'!$G$4:$G$1226)+SUMIFS('FUNDED DEALS 2027'!$G$4:$G$1226,'FUNDED DEALS 2027'!$B$4:$B$1226,$A51,'FUNDED DEALS 2027'!$A$4:$A$1226,"&lt;&gt;"&amp;$A51))</f>
        <v/>
      </c>
      <c r="G51" s="76" t="str">
        <f aca="false">IF($A51="","",SUMIF('FUNDED DEALS'!$A$4:$A$1226,$A51,'FUNDED DEALS'!$O$4:$O$1226)+SUMIFS('FUNDED DEALS'!$O$4:$O$1226,'FUNDED DEALS'!$B$4:$B$1226,$A51,'FUNDED DEALS'!$A$4:$A$1226,"&lt;&gt;"&amp;$A51)+SUMIF('FUNDED DEALS 2027'!$A$4:$A$1226,$A51,'FUNDED DEALS 2027'!$O$4:$O$1226)+SUMIFS('FUNDED DEALS 2027'!$O$4:$O$1226,'FUNDED DEALS 2027'!$B$4:$B$1226,$A51,'FUNDED DEALS 2027'!$A$4:$A$1226,"&lt;&gt;"&amp;$A51))</f>
        <v/>
      </c>
      <c r="H51" s="76" t="str">
        <f aca="false">IF($A51="","",SUMIF('FUNDED DEALS'!$A$4:$A$1226,$A51,'FUNDED DEALS'!$AC$4:$AC$1226)+SUMIFS('FUNDED DEALS'!$AC$4:$AC$1226,'FUNDED DEALS'!$B$4:$B$1226,$A51,'FUNDED DEALS'!$A$4:$A$1226,"&lt;&gt;"&amp;$A51)+SUMIF('FUNDED DEALS 2027'!$A$4:$A$1226,$A51,'FUNDED DEALS 2027'!$AC$4:$AC$1226)+SUMIFS('FUNDED DEALS 2027'!$AC$4:$AC$1226,'FUNDED DEALS 2027'!$B$4:$B$1226,$A51,'FUNDED DEALS 2027'!$A$4:$A$1226,"&lt;&gt;"&amp;$A51))</f>
        <v/>
      </c>
      <c r="I51" s="76" t="str">
        <f aca="false">IF($A51="","",SUMIF('FUNDED DEALS'!$A$4:$A$1226,$A51,'FUNDED DEALS'!$AD$4:$AD$1226)+SUMIFS('FUNDED DEALS'!$AD$4:$AD$1226,'FUNDED DEALS'!$B$4:$B$1226,$A51,'FUNDED DEALS'!$A$4:$A$1226,"&lt;&gt;"&amp;$A51)+SUMIF('FUNDED DEALS 2027'!$A$4:$A$1226,$A51,'FUNDED DEALS 2027'!$AD$4:$AD$1226)+SUMIFS('FUNDED DEALS 2027'!$AD$4:$AD$1226,'FUNDED DEALS 2027'!$B$4:$B$1226,$A51,'FUNDED DEALS 2027'!$A$4:$A$1226,"&lt;&gt;"&amp;$A51))</f>
        <v/>
      </c>
      <c r="J51" s="76" t="str">
        <f aca="false">IF($A51="","",SUMIFS('FUNDED DEALS'!$O$4:$O$1226,'FUNDED DEALS'!$A$4:$A$1226,$A51,'FUNDED DEALS'!$AM$4:$AM$1226,"YES - Paid In Full")+SUMIFS('FUNDED DEALS'!$O$4:$O$1226,'FUNDED DEALS'!$B$4:$B$1226,$A51,'FUNDED DEALS'!$AM$4:$AM$1226,"YES - Paid In Full",'FUNDED DEALS'!$A$4:$A$1226,"&lt;&gt;"&amp;$A51)+SUMIFS('FUNDED DEALS 2027'!$O$4:$O$1226,'FUNDED DEALS 2027'!$A$4:$A$1226,$A51,'FUNDED DEALS 2027'!$AM$4:$AM$1226,"YES - Paid In Full")+SUMIFS('FUNDED DEALS 2027'!$O$4:$O$1226,'FUNDED DEALS 2027'!$B$4:$B$1226,$A51,'FUNDED DEALS 2027'!$AM$4:$AM$1226,"YES - Paid In Full",'FUNDED DEALS 2027'!$A$4:$A$1226,"&lt;&gt;"&amp;$A51))</f>
        <v/>
      </c>
      <c r="K51" s="76" t="str">
        <f aca="false">IF($A51="","",G51-J51-L51)</f>
        <v/>
      </c>
      <c r="L51" s="76" t="str">
        <f aca="false">IF($A51="","",SUMIF('FUNDED DEALS'!$A$4:$A$1226,$A51,'FUNDED DEALS'!$AE$4:$AE$1226)+SUMIFS('FUNDED DEALS'!$AE$4:$AE$1226,'FUNDED DEALS'!$B$4:$B$1226,$A51,'FUNDED DEALS'!$A$4:$A$1226,"&lt;&gt;"&amp;$A51)+SUMIF('FUNDED DEALS 2027'!$A$4:$A$1226,$A51,'FUNDED DEALS 2027'!$AE$4:$AE$1226)+SUMIFS('FUNDED DEALS 2027'!$AE$4:$AE$1226,'FUNDED DEALS 2027'!$B$4:$B$1226,$A51,'FUNDED DEALS 2027'!$A$4:$A$1226,"&lt;&gt;"&amp;$A51))</f>
        <v/>
      </c>
      <c r="M51" s="76" t="str">
        <f aca="false">IF($A51="","",SUMIF('FUNDED DEALS'!$A$4:$A$1226,$A51,'FUNDED DEALS'!$AL$4:$AL$1226)+SUMIFS('FUNDED DEALS'!$AL$4:$AL$1226,'FUNDED DEALS'!$B$4:$B$1226,$A51,'FUNDED DEALS'!$A$4:$A$1226,"&lt;&gt;"&amp;$A51)+SUMIF('FUNDED DEALS 2027'!$A$4:$A$1226,$A51,'FUNDED DEALS 2027'!$AL$4:$AL$1226)+SUMIFS('FUNDED DEALS 2027'!$AL$4:$AL$1226,'FUNDED DEALS 2027'!$B$4:$B$1226,$A51,'FUNDED DEALS 2027'!$A$4:$A$1226,"&lt;&gt;"&amp;$A51))</f>
        <v/>
      </c>
    </row>
    <row r="52" customFormat="false" ht="15" hidden="false" customHeight="false" outlineLevel="0" collapsed="false">
      <c r="A52" s="77" t="str">
        <f aca="false">IFERROR(IF(48&lt;='FUNDED DEALS'!$AX$920,INDEX('FUNDED DEALS'!$A:$A,MATCH(48,'FUNDED DEALS'!$AX$3:$AX$920,0)+2),INDEX('FUNDED DEALS 2027'!$A:$A,MATCH(48-'FUNDED DEALS'!$AX$920,'FUNDED DEALS 2027'!$AX$3:$AX$1226,0)+2)),"")</f>
        <v/>
      </c>
      <c r="B52" s="55" t="str">
        <f aca="false">IF($A52="","",IFERROR(INDEX('FUNDED DEALS'!$D$4:$D$1226,MATCH($A52,'FUNDED DEALS'!$A$4:$A$1226,0)),IFERROR(INDEX('FUNDED DEALS 2027'!$D$4:$D$1226,MATCH($A52,'FUNDED DEALS 2027'!$A$4:$A$1226,0)),"not found")))</f>
        <v/>
      </c>
      <c r="C52" s="55" t="str">
        <f aca="false">IF($A52="","",IFERROR(INDEX('FUNDED DEALS'!$E$4:$E$1226,MATCH($A52,'FUNDED DEALS'!$A$4:$A$1226,0)),IFERROR(INDEX('FUNDED DEALS 2027'!$E$4:$E$1226,MATCH($A52,'FUNDED DEALS 2027'!$A$4:$A$1226,0)),"not found")))</f>
        <v/>
      </c>
      <c r="D52" s="55" t="str">
        <f aca="false">IF($A52="","",IFERROR(INDEX('FUNDED DEALS'!$F$4:$F$1226,MATCH($A52,'FUNDED DEALS'!$A$4:$A$1226,0)),IFERROR(INDEX('FUNDED DEALS 2027'!$F$4:$F$1226,MATCH($A52,'FUNDED DEALS 2027'!$A$4:$A$1226,0)),"not found")))</f>
        <v/>
      </c>
      <c r="E52" s="78" t="str">
        <f aca="false">IF($A52="","",COUNTIFS('FUNDED DEALS'!$B$4:$B$1226,$A52,'FUNDED DEALS'!$A$4:$A$1226,"&lt;&gt;"&amp;$A52)+COUNTIFS('FUNDED DEALS 2027'!$B$4:$B$1226,$A52,'FUNDED DEALS 2027'!$A$4:$A$1226,"&lt;&gt;"&amp;$A52))</f>
        <v/>
      </c>
      <c r="F52" s="79" t="str">
        <f aca="false">IF($A52="","",SUMIF('FUNDED DEALS'!$A$4:$A$1226,$A52,'FUNDED DEALS'!$G$4:$G$1226)+SUMIFS('FUNDED DEALS'!$G$4:$G$1226,'FUNDED DEALS'!$B$4:$B$1226,$A52,'FUNDED DEALS'!$A$4:$A$1226,"&lt;&gt;"&amp;$A52)+SUMIF('FUNDED DEALS 2027'!$A$4:$A$1226,$A52,'FUNDED DEALS 2027'!$G$4:$G$1226)+SUMIFS('FUNDED DEALS 2027'!$G$4:$G$1226,'FUNDED DEALS 2027'!$B$4:$B$1226,$A52,'FUNDED DEALS 2027'!$A$4:$A$1226,"&lt;&gt;"&amp;$A52))</f>
        <v/>
      </c>
      <c r="G52" s="79" t="str">
        <f aca="false">IF($A52="","",SUMIF('FUNDED DEALS'!$A$4:$A$1226,$A52,'FUNDED DEALS'!$O$4:$O$1226)+SUMIFS('FUNDED DEALS'!$O$4:$O$1226,'FUNDED DEALS'!$B$4:$B$1226,$A52,'FUNDED DEALS'!$A$4:$A$1226,"&lt;&gt;"&amp;$A52)+SUMIF('FUNDED DEALS 2027'!$A$4:$A$1226,$A52,'FUNDED DEALS 2027'!$O$4:$O$1226)+SUMIFS('FUNDED DEALS 2027'!$O$4:$O$1226,'FUNDED DEALS 2027'!$B$4:$B$1226,$A52,'FUNDED DEALS 2027'!$A$4:$A$1226,"&lt;&gt;"&amp;$A52))</f>
        <v/>
      </c>
      <c r="H52" s="79" t="str">
        <f aca="false">IF($A52="","",SUMIF('FUNDED DEALS'!$A$4:$A$1226,$A52,'FUNDED DEALS'!$AC$4:$AC$1226)+SUMIFS('FUNDED DEALS'!$AC$4:$AC$1226,'FUNDED DEALS'!$B$4:$B$1226,$A52,'FUNDED DEALS'!$A$4:$A$1226,"&lt;&gt;"&amp;$A52)+SUMIF('FUNDED DEALS 2027'!$A$4:$A$1226,$A52,'FUNDED DEALS 2027'!$AC$4:$AC$1226)+SUMIFS('FUNDED DEALS 2027'!$AC$4:$AC$1226,'FUNDED DEALS 2027'!$B$4:$B$1226,$A52,'FUNDED DEALS 2027'!$A$4:$A$1226,"&lt;&gt;"&amp;$A52))</f>
        <v/>
      </c>
      <c r="I52" s="79" t="str">
        <f aca="false">IF($A52="","",SUMIF('FUNDED DEALS'!$A$4:$A$1226,$A52,'FUNDED DEALS'!$AD$4:$AD$1226)+SUMIFS('FUNDED DEALS'!$AD$4:$AD$1226,'FUNDED DEALS'!$B$4:$B$1226,$A52,'FUNDED DEALS'!$A$4:$A$1226,"&lt;&gt;"&amp;$A52)+SUMIF('FUNDED DEALS 2027'!$A$4:$A$1226,$A52,'FUNDED DEALS 2027'!$AD$4:$AD$1226)+SUMIFS('FUNDED DEALS 2027'!$AD$4:$AD$1226,'FUNDED DEALS 2027'!$B$4:$B$1226,$A52,'FUNDED DEALS 2027'!$A$4:$A$1226,"&lt;&gt;"&amp;$A52))</f>
        <v/>
      </c>
      <c r="J52" s="79" t="str">
        <f aca="false">IF($A52="","",SUMIFS('FUNDED DEALS'!$O$4:$O$1226,'FUNDED DEALS'!$A$4:$A$1226,$A52,'FUNDED DEALS'!$AM$4:$AM$1226,"YES - Paid In Full")+SUMIFS('FUNDED DEALS'!$O$4:$O$1226,'FUNDED DEALS'!$B$4:$B$1226,$A52,'FUNDED DEALS'!$AM$4:$AM$1226,"YES - Paid In Full",'FUNDED DEALS'!$A$4:$A$1226,"&lt;&gt;"&amp;$A52)+SUMIFS('FUNDED DEALS 2027'!$O$4:$O$1226,'FUNDED DEALS 2027'!$A$4:$A$1226,$A52,'FUNDED DEALS 2027'!$AM$4:$AM$1226,"YES - Paid In Full")+SUMIFS('FUNDED DEALS 2027'!$O$4:$O$1226,'FUNDED DEALS 2027'!$B$4:$B$1226,$A52,'FUNDED DEALS 2027'!$AM$4:$AM$1226,"YES - Paid In Full",'FUNDED DEALS 2027'!$A$4:$A$1226,"&lt;&gt;"&amp;$A52))</f>
        <v/>
      </c>
      <c r="K52" s="79" t="str">
        <f aca="false">IF($A52="","",G52-J52-L52)</f>
        <v/>
      </c>
      <c r="L52" s="79" t="str">
        <f aca="false">IF($A52="","",SUMIF('FUNDED DEALS'!$A$4:$A$1226,$A52,'FUNDED DEALS'!$AE$4:$AE$1226)+SUMIFS('FUNDED DEALS'!$AE$4:$AE$1226,'FUNDED DEALS'!$B$4:$B$1226,$A52,'FUNDED DEALS'!$A$4:$A$1226,"&lt;&gt;"&amp;$A52)+SUMIF('FUNDED DEALS 2027'!$A$4:$A$1226,$A52,'FUNDED DEALS 2027'!$AE$4:$AE$1226)+SUMIFS('FUNDED DEALS 2027'!$AE$4:$AE$1226,'FUNDED DEALS 2027'!$B$4:$B$1226,$A52,'FUNDED DEALS 2027'!$A$4:$A$1226,"&lt;&gt;"&amp;$A52))</f>
        <v/>
      </c>
      <c r="M52" s="79" t="str">
        <f aca="false">IF($A52="","",SUMIF('FUNDED DEALS'!$A$4:$A$1226,$A52,'FUNDED DEALS'!$AL$4:$AL$1226)+SUMIFS('FUNDED DEALS'!$AL$4:$AL$1226,'FUNDED DEALS'!$B$4:$B$1226,$A52,'FUNDED DEALS'!$A$4:$A$1226,"&lt;&gt;"&amp;$A52)+SUMIF('FUNDED DEALS 2027'!$A$4:$A$1226,$A52,'FUNDED DEALS 2027'!$AL$4:$AL$1226)+SUMIFS('FUNDED DEALS 2027'!$AL$4:$AL$1226,'FUNDED DEALS 2027'!$B$4:$B$1226,$A52,'FUNDED DEALS 2027'!$A$4:$A$1226,"&lt;&gt;"&amp;$A52))</f>
        <v/>
      </c>
    </row>
    <row r="53" customFormat="false" ht="15" hidden="false" customHeight="false" outlineLevel="0" collapsed="false">
      <c r="A53" s="74" t="str">
        <f aca="false">IFERROR(IF(49&lt;='FUNDED DEALS'!$AX$920,INDEX('FUNDED DEALS'!$A:$A,MATCH(49,'FUNDED DEALS'!$AX$3:$AX$920,0)+2),INDEX('FUNDED DEALS 2027'!$A:$A,MATCH(49-'FUNDED DEALS'!$AX$920,'FUNDED DEALS 2027'!$AX$3:$AX$1226,0)+2)),"")</f>
        <v/>
      </c>
      <c r="B53" s="57" t="str">
        <f aca="false">IF($A53="","",IFERROR(INDEX('FUNDED DEALS'!$D$4:$D$1226,MATCH($A53,'FUNDED DEALS'!$A$4:$A$1226,0)),IFERROR(INDEX('FUNDED DEALS 2027'!$D$4:$D$1226,MATCH($A53,'FUNDED DEALS 2027'!$A$4:$A$1226,0)),"not found")))</f>
        <v/>
      </c>
      <c r="C53" s="57" t="str">
        <f aca="false">IF($A53="","",IFERROR(INDEX('FUNDED DEALS'!$E$4:$E$1226,MATCH($A53,'FUNDED DEALS'!$A$4:$A$1226,0)),IFERROR(INDEX('FUNDED DEALS 2027'!$E$4:$E$1226,MATCH($A53,'FUNDED DEALS 2027'!$A$4:$A$1226,0)),"not found")))</f>
        <v/>
      </c>
      <c r="D53" s="57" t="str">
        <f aca="false">IF($A53="","",IFERROR(INDEX('FUNDED DEALS'!$F$4:$F$1226,MATCH($A53,'FUNDED DEALS'!$A$4:$A$1226,0)),IFERROR(INDEX('FUNDED DEALS 2027'!$F$4:$F$1226,MATCH($A53,'FUNDED DEALS 2027'!$A$4:$A$1226,0)),"not found")))</f>
        <v/>
      </c>
      <c r="E53" s="75" t="str">
        <f aca="false">IF($A53="","",COUNTIFS('FUNDED DEALS'!$B$4:$B$1226,$A53,'FUNDED DEALS'!$A$4:$A$1226,"&lt;&gt;"&amp;$A53)+COUNTIFS('FUNDED DEALS 2027'!$B$4:$B$1226,$A53,'FUNDED DEALS 2027'!$A$4:$A$1226,"&lt;&gt;"&amp;$A53))</f>
        <v/>
      </c>
      <c r="F53" s="76" t="str">
        <f aca="false">IF($A53="","",SUMIF('FUNDED DEALS'!$A$4:$A$1226,$A53,'FUNDED DEALS'!$G$4:$G$1226)+SUMIFS('FUNDED DEALS'!$G$4:$G$1226,'FUNDED DEALS'!$B$4:$B$1226,$A53,'FUNDED DEALS'!$A$4:$A$1226,"&lt;&gt;"&amp;$A53)+SUMIF('FUNDED DEALS 2027'!$A$4:$A$1226,$A53,'FUNDED DEALS 2027'!$G$4:$G$1226)+SUMIFS('FUNDED DEALS 2027'!$G$4:$G$1226,'FUNDED DEALS 2027'!$B$4:$B$1226,$A53,'FUNDED DEALS 2027'!$A$4:$A$1226,"&lt;&gt;"&amp;$A53))</f>
        <v/>
      </c>
      <c r="G53" s="76" t="str">
        <f aca="false">IF($A53="","",SUMIF('FUNDED DEALS'!$A$4:$A$1226,$A53,'FUNDED DEALS'!$O$4:$O$1226)+SUMIFS('FUNDED DEALS'!$O$4:$O$1226,'FUNDED DEALS'!$B$4:$B$1226,$A53,'FUNDED DEALS'!$A$4:$A$1226,"&lt;&gt;"&amp;$A53)+SUMIF('FUNDED DEALS 2027'!$A$4:$A$1226,$A53,'FUNDED DEALS 2027'!$O$4:$O$1226)+SUMIFS('FUNDED DEALS 2027'!$O$4:$O$1226,'FUNDED DEALS 2027'!$B$4:$B$1226,$A53,'FUNDED DEALS 2027'!$A$4:$A$1226,"&lt;&gt;"&amp;$A53))</f>
        <v/>
      </c>
      <c r="H53" s="76" t="str">
        <f aca="false">IF($A53="","",SUMIF('FUNDED DEALS'!$A$4:$A$1226,$A53,'FUNDED DEALS'!$AC$4:$AC$1226)+SUMIFS('FUNDED DEALS'!$AC$4:$AC$1226,'FUNDED DEALS'!$B$4:$B$1226,$A53,'FUNDED DEALS'!$A$4:$A$1226,"&lt;&gt;"&amp;$A53)+SUMIF('FUNDED DEALS 2027'!$A$4:$A$1226,$A53,'FUNDED DEALS 2027'!$AC$4:$AC$1226)+SUMIFS('FUNDED DEALS 2027'!$AC$4:$AC$1226,'FUNDED DEALS 2027'!$B$4:$B$1226,$A53,'FUNDED DEALS 2027'!$A$4:$A$1226,"&lt;&gt;"&amp;$A53))</f>
        <v/>
      </c>
      <c r="I53" s="76" t="str">
        <f aca="false">IF($A53="","",SUMIF('FUNDED DEALS'!$A$4:$A$1226,$A53,'FUNDED DEALS'!$AD$4:$AD$1226)+SUMIFS('FUNDED DEALS'!$AD$4:$AD$1226,'FUNDED DEALS'!$B$4:$B$1226,$A53,'FUNDED DEALS'!$A$4:$A$1226,"&lt;&gt;"&amp;$A53)+SUMIF('FUNDED DEALS 2027'!$A$4:$A$1226,$A53,'FUNDED DEALS 2027'!$AD$4:$AD$1226)+SUMIFS('FUNDED DEALS 2027'!$AD$4:$AD$1226,'FUNDED DEALS 2027'!$B$4:$B$1226,$A53,'FUNDED DEALS 2027'!$A$4:$A$1226,"&lt;&gt;"&amp;$A53))</f>
        <v/>
      </c>
      <c r="J53" s="76" t="str">
        <f aca="false">IF($A53="","",SUMIFS('FUNDED DEALS'!$O$4:$O$1226,'FUNDED DEALS'!$A$4:$A$1226,$A53,'FUNDED DEALS'!$AM$4:$AM$1226,"YES - Paid In Full")+SUMIFS('FUNDED DEALS'!$O$4:$O$1226,'FUNDED DEALS'!$B$4:$B$1226,$A53,'FUNDED DEALS'!$AM$4:$AM$1226,"YES - Paid In Full",'FUNDED DEALS'!$A$4:$A$1226,"&lt;&gt;"&amp;$A53)+SUMIFS('FUNDED DEALS 2027'!$O$4:$O$1226,'FUNDED DEALS 2027'!$A$4:$A$1226,$A53,'FUNDED DEALS 2027'!$AM$4:$AM$1226,"YES - Paid In Full")+SUMIFS('FUNDED DEALS 2027'!$O$4:$O$1226,'FUNDED DEALS 2027'!$B$4:$B$1226,$A53,'FUNDED DEALS 2027'!$AM$4:$AM$1226,"YES - Paid In Full",'FUNDED DEALS 2027'!$A$4:$A$1226,"&lt;&gt;"&amp;$A53))</f>
        <v/>
      </c>
      <c r="K53" s="76" t="str">
        <f aca="false">IF($A53="","",G53-J53-L53)</f>
        <v/>
      </c>
      <c r="L53" s="76" t="str">
        <f aca="false">IF($A53="","",SUMIF('FUNDED DEALS'!$A$4:$A$1226,$A53,'FUNDED DEALS'!$AE$4:$AE$1226)+SUMIFS('FUNDED DEALS'!$AE$4:$AE$1226,'FUNDED DEALS'!$B$4:$B$1226,$A53,'FUNDED DEALS'!$A$4:$A$1226,"&lt;&gt;"&amp;$A53)+SUMIF('FUNDED DEALS 2027'!$A$4:$A$1226,$A53,'FUNDED DEALS 2027'!$AE$4:$AE$1226)+SUMIFS('FUNDED DEALS 2027'!$AE$4:$AE$1226,'FUNDED DEALS 2027'!$B$4:$B$1226,$A53,'FUNDED DEALS 2027'!$A$4:$A$1226,"&lt;&gt;"&amp;$A53))</f>
        <v/>
      </c>
      <c r="M53" s="76" t="str">
        <f aca="false">IF($A53="","",SUMIF('FUNDED DEALS'!$A$4:$A$1226,$A53,'FUNDED DEALS'!$AL$4:$AL$1226)+SUMIFS('FUNDED DEALS'!$AL$4:$AL$1226,'FUNDED DEALS'!$B$4:$B$1226,$A53,'FUNDED DEALS'!$A$4:$A$1226,"&lt;&gt;"&amp;$A53)+SUMIF('FUNDED DEALS 2027'!$A$4:$A$1226,$A53,'FUNDED DEALS 2027'!$AL$4:$AL$1226)+SUMIFS('FUNDED DEALS 2027'!$AL$4:$AL$1226,'FUNDED DEALS 2027'!$B$4:$B$1226,$A53,'FUNDED DEALS 2027'!$A$4:$A$1226,"&lt;&gt;"&amp;$A53))</f>
        <v/>
      </c>
    </row>
    <row r="54" customFormat="false" ht="15" hidden="false" customHeight="false" outlineLevel="0" collapsed="false">
      <c r="A54" s="77" t="str">
        <f aca="false">IFERROR(IF(50&lt;='FUNDED DEALS'!$AX$920,INDEX('FUNDED DEALS'!$A:$A,MATCH(50,'FUNDED DEALS'!$AX$3:$AX$920,0)+2),INDEX('FUNDED DEALS 2027'!$A:$A,MATCH(50-'FUNDED DEALS'!$AX$920,'FUNDED DEALS 2027'!$AX$3:$AX$1226,0)+2)),"")</f>
        <v/>
      </c>
      <c r="B54" s="55" t="str">
        <f aca="false">IF($A54="","",IFERROR(INDEX('FUNDED DEALS'!$D$4:$D$1226,MATCH($A54,'FUNDED DEALS'!$A$4:$A$1226,0)),IFERROR(INDEX('FUNDED DEALS 2027'!$D$4:$D$1226,MATCH($A54,'FUNDED DEALS 2027'!$A$4:$A$1226,0)),"not found")))</f>
        <v/>
      </c>
      <c r="C54" s="55" t="str">
        <f aca="false">IF($A54="","",IFERROR(INDEX('FUNDED DEALS'!$E$4:$E$1226,MATCH($A54,'FUNDED DEALS'!$A$4:$A$1226,0)),IFERROR(INDEX('FUNDED DEALS 2027'!$E$4:$E$1226,MATCH($A54,'FUNDED DEALS 2027'!$A$4:$A$1226,0)),"not found")))</f>
        <v/>
      </c>
      <c r="D54" s="55" t="str">
        <f aca="false">IF($A54="","",IFERROR(INDEX('FUNDED DEALS'!$F$4:$F$1226,MATCH($A54,'FUNDED DEALS'!$A$4:$A$1226,0)),IFERROR(INDEX('FUNDED DEALS 2027'!$F$4:$F$1226,MATCH($A54,'FUNDED DEALS 2027'!$A$4:$A$1226,0)),"not found")))</f>
        <v/>
      </c>
      <c r="E54" s="78" t="str">
        <f aca="false">IF($A54="","",COUNTIFS('FUNDED DEALS'!$B$4:$B$1226,$A54,'FUNDED DEALS'!$A$4:$A$1226,"&lt;&gt;"&amp;$A54)+COUNTIFS('FUNDED DEALS 2027'!$B$4:$B$1226,$A54,'FUNDED DEALS 2027'!$A$4:$A$1226,"&lt;&gt;"&amp;$A54))</f>
        <v/>
      </c>
      <c r="F54" s="79" t="str">
        <f aca="false">IF($A54="","",SUMIF('FUNDED DEALS'!$A$4:$A$1226,$A54,'FUNDED DEALS'!$G$4:$G$1226)+SUMIFS('FUNDED DEALS'!$G$4:$G$1226,'FUNDED DEALS'!$B$4:$B$1226,$A54,'FUNDED DEALS'!$A$4:$A$1226,"&lt;&gt;"&amp;$A54)+SUMIF('FUNDED DEALS 2027'!$A$4:$A$1226,$A54,'FUNDED DEALS 2027'!$G$4:$G$1226)+SUMIFS('FUNDED DEALS 2027'!$G$4:$G$1226,'FUNDED DEALS 2027'!$B$4:$B$1226,$A54,'FUNDED DEALS 2027'!$A$4:$A$1226,"&lt;&gt;"&amp;$A54))</f>
        <v/>
      </c>
      <c r="G54" s="79" t="str">
        <f aca="false">IF($A54="","",SUMIF('FUNDED DEALS'!$A$4:$A$1226,$A54,'FUNDED DEALS'!$O$4:$O$1226)+SUMIFS('FUNDED DEALS'!$O$4:$O$1226,'FUNDED DEALS'!$B$4:$B$1226,$A54,'FUNDED DEALS'!$A$4:$A$1226,"&lt;&gt;"&amp;$A54)+SUMIF('FUNDED DEALS 2027'!$A$4:$A$1226,$A54,'FUNDED DEALS 2027'!$O$4:$O$1226)+SUMIFS('FUNDED DEALS 2027'!$O$4:$O$1226,'FUNDED DEALS 2027'!$B$4:$B$1226,$A54,'FUNDED DEALS 2027'!$A$4:$A$1226,"&lt;&gt;"&amp;$A54))</f>
        <v/>
      </c>
      <c r="H54" s="79" t="str">
        <f aca="false">IF($A54="","",SUMIF('FUNDED DEALS'!$A$4:$A$1226,$A54,'FUNDED DEALS'!$AC$4:$AC$1226)+SUMIFS('FUNDED DEALS'!$AC$4:$AC$1226,'FUNDED DEALS'!$B$4:$B$1226,$A54,'FUNDED DEALS'!$A$4:$A$1226,"&lt;&gt;"&amp;$A54)+SUMIF('FUNDED DEALS 2027'!$A$4:$A$1226,$A54,'FUNDED DEALS 2027'!$AC$4:$AC$1226)+SUMIFS('FUNDED DEALS 2027'!$AC$4:$AC$1226,'FUNDED DEALS 2027'!$B$4:$B$1226,$A54,'FUNDED DEALS 2027'!$A$4:$A$1226,"&lt;&gt;"&amp;$A54))</f>
        <v/>
      </c>
      <c r="I54" s="79" t="str">
        <f aca="false">IF($A54="","",SUMIF('FUNDED DEALS'!$A$4:$A$1226,$A54,'FUNDED DEALS'!$AD$4:$AD$1226)+SUMIFS('FUNDED DEALS'!$AD$4:$AD$1226,'FUNDED DEALS'!$B$4:$B$1226,$A54,'FUNDED DEALS'!$A$4:$A$1226,"&lt;&gt;"&amp;$A54)+SUMIF('FUNDED DEALS 2027'!$A$4:$A$1226,$A54,'FUNDED DEALS 2027'!$AD$4:$AD$1226)+SUMIFS('FUNDED DEALS 2027'!$AD$4:$AD$1226,'FUNDED DEALS 2027'!$B$4:$B$1226,$A54,'FUNDED DEALS 2027'!$A$4:$A$1226,"&lt;&gt;"&amp;$A54))</f>
        <v/>
      </c>
      <c r="J54" s="79" t="str">
        <f aca="false">IF($A54="","",SUMIFS('FUNDED DEALS'!$O$4:$O$1226,'FUNDED DEALS'!$A$4:$A$1226,$A54,'FUNDED DEALS'!$AM$4:$AM$1226,"YES - Paid In Full")+SUMIFS('FUNDED DEALS'!$O$4:$O$1226,'FUNDED DEALS'!$B$4:$B$1226,$A54,'FUNDED DEALS'!$AM$4:$AM$1226,"YES - Paid In Full",'FUNDED DEALS'!$A$4:$A$1226,"&lt;&gt;"&amp;$A54)+SUMIFS('FUNDED DEALS 2027'!$O$4:$O$1226,'FUNDED DEALS 2027'!$A$4:$A$1226,$A54,'FUNDED DEALS 2027'!$AM$4:$AM$1226,"YES - Paid In Full")+SUMIFS('FUNDED DEALS 2027'!$O$4:$O$1226,'FUNDED DEALS 2027'!$B$4:$B$1226,$A54,'FUNDED DEALS 2027'!$AM$4:$AM$1226,"YES - Paid In Full",'FUNDED DEALS 2027'!$A$4:$A$1226,"&lt;&gt;"&amp;$A54))</f>
        <v/>
      </c>
      <c r="K54" s="79" t="str">
        <f aca="false">IF($A54="","",G54-J54-L54)</f>
        <v/>
      </c>
      <c r="L54" s="79" t="str">
        <f aca="false">IF($A54="","",SUMIF('FUNDED DEALS'!$A$4:$A$1226,$A54,'FUNDED DEALS'!$AE$4:$AE$1226)+SUMIFS('FUNDED DEALS'!$AE$4:$AE$1226,'FUNDED DEALS'!$B$4:$B$1226,$A54,'FUNDED DEALS'!$A$4:$A$1226,"&lt;&gt;"&amp;$A54)+SUMIF('FUNDED DEALS 2027'!$A$4:$A$1226,$A54,'FUNDED DEALS 2027'!$AE$4:$AE$1226)+SUMIFS('FUNDED DEALS 2027'!$AE$4:$AE$1226,'FUNDED DEALS 2027'!$B$4:$B$1226,$A54,'FUNDED DEALS 2027'!$A$4:$A$1226,"&lt;&gt;"&amp;$A54))</f>
        <v/>
      </c>
      <c r="M54" s="79" t="str">
        <f aca="false">IF($A54="","",SUMIF('FUNDED DEALS'!$A$4:$A$1226,$A54,'FUNDED DEALS'!$AL$4:$AL$1226)+SUMIFS('FUNDED DEALS'!$AL$4:$AL$1226,'FUNDED DEALS'!$B$4:$B$1226,$A54,'FUNDED DEALS'!$A$4:$A$1226,"&lt;&gt;"&amp;$A54)+SUMIF('FUNDED DEALS 2027'!$A$4:$A$1226,$A54,'FUNDED DEALS 2027'!$AL$4:$AL$1226)+SUMIFS('FUNDED DEALS 2027'!$AL$4:$AL$1226,'FUNDED DEALS 2027'!$B$4:$B$1226,$A54,'FUNDED DEALS 2027'!$A$4:$A$1226,"&lt;&gt;"&amp;$A54))</f>
        <v/>
      </c>
    </row>
    <row r="55" customFormat="false" ht="15" hidden="false" customHeight="false" outlineLevel="0" collapsed="false">
      <c r="A55" s="74" t="str">
        <f aca="false">IFERROR(IF(51&lt;='FUNDED DEALS'!$AX$920,INDEX('FUNDED DEALS'!$A:$A,MATCH(51,'FUNDED DEALS'!$AX$3:$AX$920,0)+2),INDEX('FUNDED DEALS 2027'!$A:$A,MATCH(51-'FUNDED DEALS'!$AX$920,'FUNDED DEALS 2027'!$AX$3:$AX$1226,0)+2)),"")</f>
        <v/>
      </c>
      <c r="B55" s="57" t="str">
        <f aca="false">IF($A55="","",IFERROR(INDEX('FUNDED DEALS'!$D$4:$D$1226,MATCH($A55,'FUNDED DEALS'!$A$4:$A$1226,0)),IFERROR(INDEX('FUNDED DEALS 2027'!$D$4:$D$1226,MATCH($A55,'FUNDED DEALS 2027'!$A$4:$A$1226,0)),"not found")))</f>
        <v/>
      </c>
      <c r="C55" s="57" t="str">
        <f aca="false">IF($A55="","",IFERROR(INDEX('FUNDED DEALS'!$E$4:$E$1226,MATCH($A55,'FUNDED DEALS'!$A$4:$A$1226,0)),IFERROR(INDEX('FUNDED DEALS 2027'!$E$4:$E$1226,MATCH($A55,'FUNDED DEALS 2027'!$A$4:$A$1226,0)),"not found")))</f>
        <v/>
      </c>
      <c r="D55" s="57" t="str">
        <f aca="false">IF($A55="","",IFERROR(INDEX('FUNDED DEALS'!$F$4:$F$1226,MATCH($A55,'FUNDED DEALS'!$A$4:$A$1226,0)),IFERROR(INDEX('FUNDED DEALS 2027'!$F$4:$F$1226,MATCH($A55,'FUNDED DEALS 2027'!$A$4:$A$1226,0)),"not found")))</f>
        <v/>
      </c>
      <c r="E55" s="75" t="str">
        <f aca="false">IF($A55="","",COUNTIFS('FUNDED DEALS'!$B$4:$B$1226,$A55,'FUNDED DEALS'!$A$4:$A$1226,"&lt;&gt;"&amp;$A55)+COUNTIFS('FUNDED DEALS 2027'!$B$4:$B$1226,$A55,'FUNDED DEALS 2027'!$A$4:$A$1226,"&lt;&gt;"&amp;$A55))</f>
        <v/>
      </c>
      <c r="F55" s="76" t="str">
        <f aca="false">IF($A55="","",SUMIF('FUNDED DEALS'!$A$4:$A$1226,$A55,'FUNDED DEALS'!$G$4:$G$1226)+SUMIFS('FUNDED DEALS'!$G$4:$G$1226,'FUNDED DEALS'!$B$4:$B$1226,$A55,'FUNDED DEALS'!$A$4:$A$1226,"&lt;&gt;"&amp;$A55)+SUMIF('FUNDED DEALS 2027'!$A$4:$A$1226,$A55,'FUNDED DEALS 2027'!$G$4:$G$1226)+SUMIFS('FUNDED DEALS 2027'!$G$4:$G$1226,'FUNDED DEALS 2027'!$B$4:$B$1226,$A55,'FUNDED DEALS 2027'!$A$4:$A$1226,"&lt;&gt;"&amp;$A55))</f>
        <v/>
      </c>
      <c r="G55" s="76" t="str">
        <f aca="false">IF($A55="","",SUMIF('FUNDED DEALS'!$A$4:$A$1226,$A55,'FUNDED DEALS'!$O$4:$O$1226)+SUMIFS('FUNDED DEALS'!$O$4:$O$1226,'FUNDED DEALS'!$B$4:$B$1226,$A55,'FUNDED DEALS'!$A$4:$A$1226,"&lt;&gt;"&amp;$A55)+SUMIF('FUNDED DEALS 2027'!$A$4:$A$1226,$A55,'FUNDED DEALS 2027'!$O$4:$O$1226)+SUMIFS('FUNDED DEALS 2027'!$O$4:$O$1226,'FUNDED DEALS 2027'!$B$4:$B$1226,$A55,'FUNDED DEALS 2027'!$A$4:$A$1226,"&lt;&gt;"&amp;$A55))</f>
        <v/>
      </c>
      <c r="H55" s="76" t="str">
        <f aca="false">IF($A55="","",SUMIF('FUNDED DEALS'!$A$4:$A$1226,$A55,'FUNDED DEALS'!$AC$4:$AC$1226)+SUMIFS('FUNDED DEALS'!$AC$4:$AC$1226,'FUNDED DEALS'!$B$4:$B$1226,$A55,'FUNDED DEALS'!$A$4:$A$1226,"&lt;&gt;"&amp;$A55)+SUMIF('FUNDED DEALS 2027'!$A$4:$A$1226,$A55,'FUNDED DEALS 2027'!$AC$4:$AC$1226)+SUMIFS('FUNDED DEALS 2027'!$AC$4:$AC$1226,'FUNDED DEALS 2027'!$B$4:$B$1226,$A55,'FUNDED DEALS 2027'!$A$4:$A$1226,"&lt;&gt;"&amp;$A55))</f>
        <v/>
      </c>
      <c r="I55" s="76" t="str">
        <f aca="false">IF($A55="","",SUMIF('FUNDED DEALS'!$A$4:$A$1226,$A55,'FUNDED DEALS'!$AD$4:$AD$1226)+SUMIFS('FUNDED DEALS'!$AD$4:$AD$1226,'FUNDED DEALS'!$B$4:$B$1226,$A55,'FUNDED DEALS'!$A$4:$A$1226,"&lt;&gt;"&amp;$A55)+SUMIF('FUNDED DEALS 2027'!$A$4:$A$1226,$A55,'FUNDED DEALS 2027'!$AD$4:$AD$1226)+SUMIFS('FUNDED DEALS 2027'!$AD$4:$AD$1226,'FUNDED DEALS 2027'!$B$4:$B$1226,$A55,'FUNDED DEALS 2027'!$A$4:$A$1226,"&lt;&gt;"&amp;$A55))</f>
        <v/>
      </c>
      <c r="J55" s="76" t="str">
        <f aca="false">IF($A55="","",SUMIFS('FUNDED DEALS'!$O$4:$O$1226,'FUNDED DEALS'!$A$4:$A$1226,$A55,'FUNDED DEALS'!$AM$4:$AM$1226,"YES - Paid In Full")+SUMIFS('FUNDED DEALS'!$O$4:$O$1226,'FUNDED DEALS'!$B$4:$B$1226,$A55,'FUNDED DEALS'!$AM$4:$AM$1226,"YES - Paid In Full",'FUNDED DEALS'!$A$4:$A$1226,"&lt;&gt;"&amp;$A55)+SUMIFS('FUNDED DEALS 2027'!$O$4:$O$1226,'FUNDED DEALS 2027'!$A$4:$A$1226,$A55,'FUNDED DEALS 2027'!$AM$4:$AM$1226,"YES - Paid In Full")+SUMIFS('FUNDED DEALS 2027'!$O$4:$O$1226,'FUNDED DEALS 2027'!$B$4:$B$1226,$A55,'FUNDED DEALS 2027'!$AM$4:$AM$1226,"YES - Paid In Full",'FUNDED DEALS 2027'!$A$4:$A$1226,"&lt;&gt;"&amp;$A55))</f>
        <v/>
      </c>
      <c r="K55" s="76" t="str">
        <f aca="false">IF($A55="","",G55-J55-L55)</f>
        <v/>
      </c>
      <c r="L55" s="76" t="str">
        <f aca="false">IF($A55="","",SUMIF('FUNDED DEALS'!$A$4:$A$1226,$A55,'FUNDED DEALS'!$AE$4:$AE$1226)+SUMIFS('FUNDED DEALS'!$AE$4:$AE$1226,'FUNDED DEALS'!$B$4:$B$1226,$A55,'FUNDED DEALS'!$A$4:$A$1226,"&lt;&gt;"&amp;$A55)+SUMIF('FUNDED DEALS 2027'!$A$4:$A$1226,$A55,'FUNDED DEALS 2027'!$AE$4:$AE$1226)+SUMIFS('FUNDED DEALS 2027'!$AE$4:$AE$1226,'FUNDED DEALS 2027'!$B$4:$B$1226,$A55,'FUNDED DEALS 2027'!$A$4:$A$1226,"&lt;&gt;"&amp;$A55))</f>
        <v/>
      </c>
      <c r="M55" s="76" t="str">
        <f aca="false">IF($A55="","",SUMIF('FUNDED DEALS'!$A$4:$A$1226,$A55,'FUNDED DEALS'!$AL$4:$AL$1226)+SUMIFS('FUNDED DEALS'!$AL$4:$AL$1226,'FUNDED DEALS'!$B$4:$B$1226,$A55,'FUNDED DEALS'!$A$4:$A$1226,"&lt;&gt;"&amp;$A55)+SUMIF('FUNDED DEALS 2027'!$A$4:$A$1226,$A55,'FUNDED DEALS 2027'!$AL$4:$AL$1226)+SUMIFS('FUNDED DEALS 2027'!$AL$4:$AL$1226,'FUNDED DEALS 2027'!$B$4:$B$1226,$A55,'FUNDED DEALS 2027'!$A$4:$A$1226,"&lt;&gt;"&amp;$A55))</f>
        <v/>
      </c>
    </row>
    <row r="56" customFormat="false" ht="15" hidden="false" customHeight="false" outlineLevel="0" collapsed="false">
      <c r="A56" s="77" t="str">
        <f aca="false">IFERROR(IF(52&lt;='FUNDED DEALS'!$AX$920,INDEX('FUNDED DEALS'!$A:$A,MATCH(52,'FUNDED DEALS'!$AX$3:$AX$920,0)+2),INDEX('FUNDED DEALS 2027'!$A:$A,MATCH(52-'FUNDED DEALS'!$AX$920,'FUNDED DEALS 2027'!$AX$3:$AX$1226,0)+2)),"")</f>
        <v/>
      </c>
      <c r="B56" s="55" t="str">
        <f aca="false">IF($A56="","",IFERROR(INDEX('FUNDED DEALS'!$D$4:$D$1226,MATCH($A56,'FUNDED DEALS'!$A$4:$A$1226,0)),IFERROR(INDEX('FUNDED DEALS 2027'!$D$4:$D$1226,MATCH($A56,'FUNDED DEALS 2027'!$A$4:$A$1226,0)),"not found")))</f>
        <v/>
      </c>
      <c r="C56" s="55" t="str">
        <f aca="false">IF($A56="","",IFERROR(INDEX('FUNDED DEALS'!$E$4:$E$1226,MATCH($A56,'FUNDED DEALS'!$A$4:$A$1226,0)),IFERROR(INDEX('FUNDED DEALS 2027'!$E$4:$E$1226,MATCH($A56,'FUNDED DEALS 2027'!$A$4:$A$1226,0)),"not found")))</f>
        <v/>
      </c>
      <c r="D56" s="55" t="str">
        <f aca="false">IF($A56="","",IFERROR(INDEX('FUNDED DEALS'!$F$4:$F$1226,MATCH($A56,'FUNDED DEALS'!$A$4:$A$1226,0)),IFERROR(INDEX('FUNDED DEALS 2027'!$F$4:$F$1226,MATCH($A56,'FUNDED DEALS 2027'!$A$4:$A$1226,0)),"not found")))</f>
        <v/>
      </c>
      <c r="E56" s="78" t="str">
        <f aca="false">IF($A56="","",COUNTIFS('FUNDED DEALS'!$B$4:$B$1226,$A56,'FUNDED DEALS'!$A$4:$A$1226,"&lt;&gt;"&amp;$A56)+COUNTIFS('FUNDED DEALS 2027'!$B$4:$B$1226,$A56,'FUNDED DEALS 2027'!$A$4:$A$1226,"&lt;&gt;"&amp;$A56))</f>
        <v/>
      </c>
      <c r="F56" s="79" t="str">
        <f aca="false">IF($A56="","",SUMIF('FUNDED DEALS'!$A$4:$A$1226,$A56,'FUNDED DEALS'!$G$4:$G$1226)+SUMIFS('FUNDED DEALS'!$G$4:$G$1226,'FUNDED DEALS'!$B$4:$B$1226,$A56,'FUNDED DEALS'!$A$4:$A$1226,"&lt;&gt;"&amp;$A56)+SUMIF('FUNDED DEALS 2027'!$A$4:$A$1226,$A56,'FUNDED DEALS 2027'!$G$4:$G$1226)+SUMIFS('FUNDED DEALS 2027'!$G$4:$G$1226,'FUNDED DEALS 2027'!$B$4:$B$1226,$A56,'FUNDED DEALS 2027'!$A$4:$A$1226,"&lt;&gt;"&amp;$A56))</f>
        <v/>
      </c>
      <c r="G56" s="79" t="str">
        <f aca="false">IF($A56="","",SUMIF('FUNDED DEALS'!$A$4:$A$1226,$A56,'FUNDED DEALS'!$O$4:$O$1226)+SUMIFS('FUNDED DEALS'!$O$4:$O$1226,'FUNDED DEALS'!$B$4:$B$1226,$A56,'FUNDED DEALS'!$A$4:$A$1226,"&lt;&gt;"&amp;$A56)+SUMIF('FUNDED DEALS 2027'!$A$4:$A$1226,$A56,'FUNDED DEALS 2027'!$O$4:$O$1226)+SUMIFS('FUNDED DEALS 2027'!$O$4:$O$1226,'FUNDED DEALS 2027'!$B$4:$B$1226,$A56,'FUNDED DEALS 2027'!$A$4:$A$1226,"&lt;&gt;"&amp;$A56))</f>
        <v/>
      </c>
      <c r="H56" s="79" t="str">
        <f aca="false">IF($A56="","",SUMIF('FUNDED DEALS'!$A$4:$A$1226,$A56,'FUNDED DEALS'!$AC$4:$AC$1226)+SUMIFS('FUNDED DEALS'!$AC$4:$AC$1226,'FUNDED DEALS'!$B$4:$B$1226,$A56,'FUNDED DEALS'!$A$4:$A$1226,"&lt;&gt;"&amp;$A56)+SUMIF('FUNDED DEALS 2027'!$A$4:$A$1226,$A56,'FUNDED DEALS 2027'!$AC$4:$AC$1226)+SUMIFS('FUNDED DEALS 2027'!$AC$4:$AC$1226,'FUNDED DEALS 2027'!$B$4:$B$1226,$A56,'FUNDED DEALS 2027'!$A$4:$A$1226,"&lt;&gt;"&amp;$A56))</f>
        <v/>
      </c>
      <c r="I56" s="79" t="str">
        <f aca="false">IF($A56="","",SUMIF('FUNDED DEALS'!$A$4:$A$1226,$A56,'FUNDED DEALS'!$AD$4:$AD$1226)+SUMIFS('FUNDED DEALS'!$AD$4:$AD$1226,'FUNDED DEALS'!$B$4:$B$1226,$A56,'FUNDED DEALS'!$A$4:$A$1226,"&lt;&gt;"&amp;$A56)+SUMIF('FUNDED DEALS 2027'!$A$4:$A$1226,$A56,'FUNDED DEALS 2027'!$AD$4:$AD$1226)+SUMIFS('FUNDED DEALS 2027'!$AD$4:$AD$1226,'FUNDED DEALS 2027'!$B$4:$B$1226,$A56,'FUNDED DEALS 2027'!$A$4:$A$1226,"&lt;&gt;"&amp;$A56))</f>
        <v/>
      </c>
      <c r="J56" s="79" t="str">
        <f aca="false">IF($A56="","",SUMIFS('FUNDED DEALS'!$O$4:$O$1226,'FUNDED DEALS'!$A$4:$A$1226,$A56,'FUNDED DEALS'!$AM$4:$AM$1226,"YES - Paid In Full")+SUMIFS('FUNDED DEALS'!$O$4:$O$1226,'FUNDED DEALS'!$B$4:$B$1226,$A56,'FUNDED DEALS'!$AM$4:$AM$1226,"YES - Paid In Full",'FUNDED DEALS'!$A$4:$A$1226,"&lt;&gt;"&amp;$A56)+SUMIFS('FUNDED DEALS 2027'!$O$4:$O$1226,'FUNDED DEALS 2027'!$A$4:$A$1226,$A56,'FUNDED DEALS 2027'!$AM$4:$AM$1226,"YES - Paid In Full")+SUMIFS('FUNDED DEALS 2027'!$O$4:$O$1226,'FUNDED DEALS 2027'!$B$4:$B$1226,$A56,'FUNDED DEALS 2027'!$AM$4:$AM$1226,"YES - Paid In Full",'FUNDED DEALS 2027'!$A$4:$A$1226,"&lt;&gt;"&amp;$A56))</f>
        <v/>
      </c>
      <c r="K56" s="79" t="str">
        <f aca="false">IF($A56="","",G56-J56-L56)</f>
        <v/>
      </c>
      <c r="L56" s="79" t="str">
        <f aca="false">IF($A56="","",SUMIF('FUNDED DEALS'!$A$4:$A$1226,$A56,'FUNDED DEALS'!$AE$4:$AE$1226)+SUMIFS('FUNDED DEALS'!$AE$4:$AE$1226,'FUNDED DEALS'!$B$4:$B$1226,$A56,'FUNDED DEALS'!$A$4:$A$1226,"&lt;&gt;"&amp;$A56)+SUMIF('FUNDED DEALS 2027'!$A$4:$A$1226,$A56,'FUNDED DEALS 2027'!$AE$4:$AE$1226)+SUMIFS('FUNDED DEALS 2027'!$AE$4:$AE$1226,'FUNDED DEALS 2027'!$B$4:$B$1226,$A56,'FUNDED DEALS 2027'!$A$4:$A$1226,"&lt;&gt;"&amp;$A56))</f>
        <v/>
      </c>
      <c r="M56" s="79" t="str">
        <f aca="false">IF($A56="","",SUMIF('FUNDED DEALS'!$A$4:$A$1226,$A56,'FUNDED DEALS'!$AL$4:$AL$1226)+SUMIFS('FUNDED DEALS'!$AL$4:$AL$1226,'FUNDED DEALS'!$B$4:$B$1226,$A56,'FUNDED DEALS'!$A$4:$A$1226,"&lt;&gt;"&amp;$A56)+SUMIF('FUNDED DEALS 2027'!$A$4:$A$1226,$A56,'FUNDED DEALS 2027'!$AL$4:$AL$1226)+SUMIFS('FUNDED DEALS 2027'!$AL$4:$AL$1226,'FUNDED DEALS 2027'!$B$4:$B$1226,$A56,'FUNDED DEALS 2027'!$A$4:$A$1226,"&lt;&gt;"&amp;$A56))</f>
        <v/>
      </c>
    </row>
    <row r="57" customFormat="false" ht="15" hidden="false" customHeight="false" outlineLevel="0" collapsed="false">
      <c r="A57" s="74" t="str">
        <f aca="false">IFERROR(IF(53&lt;='FUNDED DEALS'!$AX$920,INDEX('FUNDED DEALS'!$A:$A,MATCH(53,'FUNDED DEALS'!$AX$3:$AX$920,0)+2),INDEX('FUNDED DEALS 2027'!$A:$A,MATCH(53-'FUNDED DEALS'!$AX$920,'FUNDED DEALS 2027'!$AX$3:$AX$1226,0)+2)),"")</f>
        <v/>
      </c>
      <c r="B57" s="57" t="str">
        <f aca="false">IF($A57="","",IFERROR(INDEX('FUNDED DEALS'!$D$4:$D$1226,MATCH($A57,'FUNDED DEALS'!$A$4:$A$1226,0)),IFERROR(INDEX('FUNDED DEALS 2027'!$D$4:$D$1226,MATCH($A57,'FUNDED DEALS 2027'!$A$4:$A$1226,0)),"not found")))</f>
        <v/>
      </c>
      <c r="C57" s="57" t="str">
        <f aca="false">IF($A57="","",IFERROR(INDEX('FUNDED DEALS'!$E$4:$E$1226,MATCH($A57,'FUNDED DEALS'!$A$4:$A$1226,0)),IFERROR(INDEX('FUNDED DEALS 2027'!$E$4:$E$1226,MATCH($A57,'FUNDED DEALS 2027'!$A$4:$A$1226,0)),"not found")))</f>
        <v/>
      </c>
      <c r="D57" s="57" t="str">
        <f aca="false">IF($A57="","",IFERROR(INDEX('FUNDED DEALS'!$F$4:$F$1226,MATCH($A57,'FUNDED DEALS'!$A$4:$A$1226,0)),IFERROR(INDEX('FUNDED DEALS 2027'!$F$4:$F$1226,MATCH($A57,'FUNDED DEALS 2027'!$A$4:$A$1226,0)),"not found")))</f>
        <v/>
      </c>
      <c r="E57" s="75" t="str">
        <f aca="false">IF($A57="","",COUNTIFS('FUNDED DEALS'!$B$4:$B$1226,$A57,'FUNDED DEALS'!$A$4:$A$1226,"&lt;&gt;"&amp;$A57)+COUNTIFS('FUNDED DEALS 2027'!$B$4:$B$1226,$A57,'FUNDED DEALS 2027'!$A$4:$A$1226,"&lt;&gt;"&amp;$A57))</f>
        <v/>
      </c>
      <c r="F57" s="76" t="str">
        <f aca="false">IF($A57="","",SUMIF('FUNDED DEALS'!$A$4:$A$1226,$A57,'FUNDED DEALS'!$G$4:$G$1226)+SUMIFS('FUNDED DEALS'!$G$4:$G$1226,'FUNDED DEALS'!$B$4:$B$1226,$A57,'FUNDED DEALS'!$A$4:$A$1226,"&lt;&gt;"&amp;$A57)+SUMIF('FUNDED DEALS 2027'!$A$4:$A$1226,$A57,'FUNDED DEALS 2027'!$G$4:$G$1226)+SUMIFS('FUNDED DEALS 2027'!$G$4:$G$1226,'FUNDED DEALS 2027'!$B$4:$B$1226,$A57,'FUNDED DEALS 2027'!$A$4:$A$1226,"&lt;&gt;"&amp;$A57))</f>
        <v/>
      </c>
      <c r="G57" s="76" t="str">
        <f aca="false">IF($A57="","",SUMIF('FUNDED DEALS'!$A$4:$A$1226,$A57,'FUNDED DEALS'!$O$4:$O$1226)+SUMIFS('FUNDED DEALS'!$O$4:$O$1226,'FUNDED DEALS'!$B$4:$B$1226,$A57,'FUNDED DEALS'!$A$4:$A$1226,"&lt;&gt;"&amp;$A57)+SUMIF('FUNDED DEALS 2027'!$A$4:$A$1226,$A57,'FUNDED DEALS 2027'!$O$4:$O$1226)+SUMIFS('FUNDED DEALS 2027'!$O$4:$O$1226,'FUNDED DEALS 2027'!$B$4:$B$1226,$A57,'FUNDED DEALS 2027'!$A$4:$A$1226,"&lt;&gt;"&amp;$A57))</f>
        <v/>
      </c>
      <c r="H57" s="76" t="str">
        <f aca="false">IF($A57="","",SUMIF('FUNDED DEALS'!$A$4:$A$1226,$A57,'FUNDED DEALS'!$AC$4:$AC$1226)+SUMIFS('FUNDED DEALS'!$AC$4:$AC$1226,'FUNDED DEALS'!$B$4:$B$1226,$A57,'FUNDED DEALS'!$A$4:$A$1226,"&lt;&gt;"&amp;$A57)+SUMIF('FUNDED DEALS 2027'!$A$4:$A$1226,$A57,'FUNDED DEALS 2027'!$AC$4:$AC$1226)+SUMIFS('FUNDED DEALS 2027'!$AC$4:$AC$1226,'FUNDED DEALS 2027'!$B$4:$B$1226,$A57,'FUNDED DEALS 2027'!$A$4:$A$1226,"&lt;&gt;"&amp;$A57))</f>
        <v/>
      </c>
      <c r="I57" s="76" t="str">
        <f aca="false">IF($A57="","",SUMIF('FUNDED DEALS'!$A$4:$A$1226,$A57,'FUNDED DEALS'!$AD$4:$AD$1226)+SUMIFS('FUNDED DEALS'!$AD$4:$AD$1226,'FUNDED DEALS'!$B$4:$B$1226,$A57,'FUNDED DEALS'!$A$4:$A$1226,"&lt;&gt;"&amp;$A57)+SUMIF('FUNDED DEALS 2027'!$A$4:$A$1226,$A57,'FUNDED DEALS 2027'!$AD$4:$AD$1226)+SUMIFS('FUNDED DEALS 2027'!$AD$4:$AD$1226,'FUNDED DEALS 2027'!$B$4:$B$1226,$A57,'FUNDED DEALS 2027'!$A$4:$A$1226,"&lt;&gt;"&amp;$A57))</f>
        <v/>
      </c>
      <c r="J57" s="76" t="str">
        <f aca="false">IF($A57="","",SUMIFS('FUNDED DEALS'!$O$4:$O$1226,'FUNDED DEALS'!$A$4:$A$1226,$A57,'FUNDED DEALS'!$AM$4:$AM$1226,"YES - Paid In Full")+SUMIFS('FUNDED DEALS'!$O$4:$O$1226,'FUNDED DEALS'!$B$4:$B$1226,$A57,'FUNDED DEALS'!$AM$4:$AM$1226,"YES - Paid In Full",'FUNDED DEALS'!$A$4:$A$1226,"&lt;&gt;"&amp;$A57)+SUMIFS('FUNDED DEALS 2027'!$O$4:$O$1226,'FUNDED DEALS 2027'!$A$4:$A$1226,$A57,'FUNDED DEALS 2027'!$AM$4:$AM$1226,"YES - Paid In Full")+SUMIFS('FUNDED DEALS 2027'!$O$4:$O$1226,'FUNDED DEALS 2027'!$B$4:$B$1226,$A57,'FUNDED DEALS 2027'!$AM$4:$AM$1226,"YES - Paid In Full",'FUNDED DEALS 2027'!$A$4:$A$1226,"&lt;&gt;"&amp;$A57))</f>
        <v/>
      </c>
      <c r="K57" s="76" t="str">
        <f aca="false">IF($A57="","",G57-J57-L57)</f>
        <v/>
      </c>
      <c r="L57" s="76" t="str">
        <f aca="false">IF($A57="","",SUMIF('FUNDED DEALS'!$A$4:$A$1226,$A57,'FUNDED DEALS'!$AE$4:$AE$1226)+SUMIFS('FUNDED DEALS'!$AE$4:$AE$1226,'FUNDED DEALS'!$B$4:$B$1226,$A57,'FUNDED DEALS'!$A$4:$A$1226,"&lt;&gt;"&amp;$A57)+SUMIF('FUNDED DEALS 2027'!$A$4:$A$1226,$A57,'FUNDED DEALS 2027'!$AE$4:$AE$1226)+SUMIFS('FUNDED DEALS 2027'!$AE$4:$AE$1226,'FUNDED DEALS 2027'!$B$4:$B$1226,$A57,'FUNDED DEALS 2027'!$A$4:$A$1226,"&lt;&gt;"&amp;$A57))</f>
        <v/>
      </c>
      <c r="M57" s="76" t="str">
        <f aca="false">IF($A57="","",SUMIF('FUNDED DEALS'!$A$4:$A$1226,$A57,'FUNDED DEALS'!$AL$4:$AL$1226)+SUMIFS('FUNDED DEALS'!$AL$4:$AL$1226,'FUNDED DEALS'!$B$4:$B$1226,$A57,'FUNDED DEALS'!$A$4:$A$1226,"&lt;&gt;"&amp;$A57)+SUMIF('FUNDED DEALS 2027'!$A$4:$A$1226,$A57,'FUNDED DEALS 2027'!$AL$4:$AL$1226)+SUMIFS('FUNDED DEALS 2027'!$AL$4:$AL$1226,'FUNDED DEALS 2027'!$B$4:$B$1226,$A57,'FUNDED DEALS 2027'!$A$4:$A$1226,"&lt;&gt;"&amp;$A57))</f>
        <v/>
      </c>
    </row>
    <row r="58" customFormat="false" ht="15" hidden="false" customHeight="false" outlineLevel="0" collapsed="false">
      <c r="A58" s="77" t="str">
        <f aca="false">IFERROR(IF(54&lt;='FUNDED DEALS'!$AX$920,INDEX('FUNDED DEALS'!$A:$A,MATCH(54,'FUNDED DEALS'!$AX$3:$AX$920,0)+2),INDEX('FUNDED DEALS 2027'!$A:$A,MATCH(54-'FUNDED DEALS'!$AX$920,'FUNDED DEALS 2027'!$AX$3:$AX$1226,0)+2)),"")</f>
        <v/>
      </c>
      <c r="B58" s="55" t="str">
        <f aca="false">IF($A58="","",IFERROR(INDEX('FUNDED DEALS'!$D$4:$D$1226,MATCH($A58,'FUNDED DEALS'!$A$4:$A$1226,0)),IFERROR(INDEX('FUNDED DEALS 2027'!$D$4:$D$1226,MATCH($A58,'FUNDED DEALS 2027'!$A$4:$A$1226,0)),"not found")))</f>
        <v/>
      </c>
      <c r="C58" s="55" t="str">
        <f aca="false">IF($A58="","",IFERROR(INDEX('FUNDED DEALS'!$E$4:$E$1226,MATCH($A58,'FUNDED DEALS'!$A$4:$A$1226,0)),IFERROR(INDEX('FUNDED DEALS 2027'!$E$4:$E$1226,MATCH($A58,'FUNDED DEALS 2027'!$A$4:$A$1226,0)),"not found")))</f>
        <v/>
      </c>
      <c r="D58" s="55" t="str">
        <f aca="false">IF($A58="","",IFERROR(INDEX('FUNDED DEALS'!$F$4:$F$1226,MATCH($A58,'FUNDED DEALS'!$A$4:$A$1226,0)),IFERROR(INDEX('FUNDED DEALS 2027'!$F$4:$F$1226,MATCH($A58,'FUNDED DEALS 2027'!$A$4:$A$1226,0)),"not found")))</f>
        <v/>
      </c>
      <c r="E58" s="78" t="str">
        <f aca="false">IF($A58="","",COUNTIFS('FUNDED DEALS'!$B$4:$B$1226,$A58,'FUNDED DEALS'!$A$4:$A$1226,"&lt;&gt;"&amp;$A58)+COUNTIFS('FUNDED DEALS 2027'!$B$4:$B$1226,$A58,'FUNDED DEALS 2027'!$A$4:$A$1226,"&lt;&gt;"&amp;$A58))</f>
        <v/>
      </c>
      <c r="F58" s="79" t="str">
        <f aca="false">IF($A58="","",SUMIF('FUNDED DEALS'!$A$4:$A$1226,$A58,'FUNDED DEALS'!$G$4:$G$1226)+SUMIFS('FUNDED DEALS'!$G$4:$G$1226,'FUNDED DEALS'!$B$4:$B$1226,$A58,'FUNDED DEALS'!$A$4:$A$1226,"&lt;&gt;"&amp;$A58)+SUMIF('FUNDED DEALS 2027'!$A$4:$A$1226,$A58,'FUNDED DEALS 2027'!$G$4:$G$1226)+SUMIFS('FUNDED DEALS 2027'!$G$4:$G$1226,'FUNDED DEALS 2027'!$B$4:$B$1226,$A58,'FUNDED DEALS 2027'!$A$4:$A$1226,"&lt;&gt;"&amp;$A58))</f>
        <v/>
      </c>
      <c r="G58" s="79" t="str">
        <f aca="false">IF($A58="","",SUMIF('FUNDED DEALS'!$A$4:$A$1226,$A58,'FUNDED DEALS'!$O$4:$O$1226)+SUMIFS('FUNDED DEALS'!$O$4:$O$1226,'FUNDED DEALS'!$B$4:$B$1226,$A58,'FUNDED DEALS'!$A$4:$A$1226,"&lt;&gt;"&amp;$A58)+SUMIF('FUNDED DEALS 2027'!$A$4:$A$1226,$A58,'FUNDED DEALS 2027'!$O$4:$O$1226)+SUMIFS('FUNDED DEALS 2027'!$O$4:$O$1226,'FUNDED DEALS 2027'!$B$4:$B$1226,$A58,'FUNDED DEALS 2027'!$A$4:$A$1226,"&lt;&gt;"&amp;$A58))</f>
        <v/>
      </c>
      <c r="H58" s="79" t="str">
        <f aca="false">IF($A58="","",SUMIF('FUNDED DEALS'!$A$4:$A$1226,$A58,'FUNDED DEALS'!$AC$4:$AC$1226)+SUMIFS('FUNDED DEALS'!$AC$4:$AC$1226,'FUNDED DEALS'!$B$4:$B$1226,$A58,'FUNDED DEALS'!$A$4:$A$1226,"&lt;&gt;"&amp;$A58)+SUMIF('FUNDED DEALS 2027'!$A$4:$A$1226,$A58,'FUNDED DEALS 2027'!$AC$4:$AC$1226)+SUMIFS('FUNDED DEALS 2027'!$AC$4:$AC$1226,'FUNDED DEALS 2027'!$B$4:$B$1226,$A58,'FUNDED DEALS 2027'!$A$4:$A$1226,"&lt;&gt;"&amp;$A58))</f>
        <v/>
      </c>
      <c r="I58" s="79" t="str">
        <f aca="false">IF($A58="","",SUMIF('FUNDED DEALS'!$A$4:$A$1226,$A58,'FUNDED DEALS'!$AD$4:$AD$1226)+SUMIFS('FUNDED DEALS'!$AD$4:$AD$1226,'FUNDED DEALS'!$B$4:$B$1226,$A58,'FUNDED DEALS'!$A$4:$A$1226,"&lt;&gt;"&amp;$A58)+SUMIF('FUNDED DEALS 2027'!$A$4:$A$1226,$A58,'FUNDED DEALS 2027'!$AD$4:$AD$1226)+SUMIFS('FUNDED DEALS 2027'!$AD$4:$AD$1226,'FUNDED DEALS 2027'!$B$4:$B$1226,$A58,'FUNDED DEALS 2027'!$A$4:$A$1226,"&lt;&gt;"&amp;$A58))</f>
        <v/>
      </c>
      <c r="J58" s="79" t="str">
        <f aca="false">IF($A58="","",SUMIFS('FUNDED DEALS'!$O$4:$O$1226,'FUNDED DEALS'!$A$4:$A$1226,$A58,'FUNDED DEALS'!$AM$4:$AM$1226,"YES - Paid In Full")+SUMIFS('FUNDED DEALS'!$O$4:$O$1226,'FUNDED DEALS'!$B$4:$B$1226,$A58,'FUNDED DEALS'!$AM$4:$AM$1226,"YES - Paid In Full",'FUNDED DEALS'!$A$4:$A$1226,"&lt;&gt;"&amp;$A58)+SUMIFS('FUNDED DEALS 2027'!$O$4:$O$1226,'FUNDED DEALS 2027'!$A$4:$A$1226,$A58,'FUNDED DEALS 2027'!$AM$4:$AM$1226,"YES - Paid In Full")+SUMIFS('FUNDED DEALS 2027'!$O$4:$O$1226,'FUNDED DEALS 2027'!$B$4:$B$1226,$A58,'FUNDED DEALS 2027'!$AM$4:$AM$1226,"YES - Paid In Full",'FUNDED DEALS 2027'!$A$4:$A$1226,"&lt;&gt;"&amp;$A58))</f>
        <v/>
      </c>
      <c r="K58" s="79" t="str">
        <f aca="false">IF($A58="","",G58-J58-L58)</f>
        <v/>
      </c>
      <c r="L58" s="79" t="str">
        <f aca="false">IF($A58="","",SUMIF('FUNDED DEALS'!$A$4:$A$1226,$A58,'FUNDED DEALS'!$AE$4:$AE$1226)+SUMIFS('FUNDED DEALS'!$AE$4:$AE$1226,'FUNDED DEALS'!$B$4:$B$1226,$A58,'FUNDED DEALS'!$A$4:$A$1226,"&lt;&gt;"&amp;$A58)+SUMIF('FUNDED DEALS 2027'!$A$4:$A$1226,$A58,'FUNDED DEALS 2027'!$AE$4:$AE$1226)+SUMIFS('FUNDED DEALS 2027'!$AE$4:$AE$1226,'FUNDED DEALS 2027'!$B$4:$B$1226,$A58,'FUNDED DEALS 2027'!$A$4:$A$1226,"&lt;&gt;"&amp;$A58))</f>
        <v/>
      </c>
      <c r="M58" s="79" t="str">
        <f aca="false">IF($A58="","",SUMIF('FUNDED DEALS'!$A$4:$A$1226,$A58,'FUNDED DEALS'!$AL$4:$AL$1226)+SUMIFS('FUNDED DEALS'!$AL$4:$AL$1226,'FUNDED DEALS'!$B$4:$B$1226,$A58,'FUNDED DEALS'!$A$4:$A$1226,"&lt;&gt;"&amp;$A58)+SUMIF('FUNDED DEALS 2027'!$A$4:$A$1226,$A58,'FUNDED DEALS 2027'!$AL$4:$AL$1226)+SUMIFS('FUNDED DEALS 2027'!$AL$4:$AL$1226,'FUNDED DEALS 2027'!$B$4:$B$1226,$A58,'FUNDED DEALS 2027'!$A$4:$A$1226,"&lt;&gt;"&amp;$A58))</f>
        <v/>
      </c>
    </row>
    <row r="59" customFormat="false" ht="15" hidden="false" customHeight="false" outlineLevel="0" collapsed="false">
      <c r="A59" s="74" t="str">
        <f aca="false">IFERROR(IF(55&lt;='FUNDED DEALS'!$AX$920,INDEX('FUNDED DEALS'!$A:$A,MATCH(55,'FUNDED DEALS'!$AX$3:$AX$920,0)+2),INDEX('FUNDED DEALS 2027'!$A:$A,MATCH(55-'FUNDED DEALS'!$AX$920,'FUNDED DEALS 2027'!$AX$3:$AX$1226,0)+2)),"")</f>
        <v/>
      </c>
      <c r="B59" s="57" t="str">
        <f aca="false">IF($A59="","",IFERROR(INDEX('FUNDED DEALS'!$D$4:$D$1226,MATCH($A59,'FUNDED DEALS'!$A$4:$A$1226,0)),IFERROR(INDEX('FUNDED DEALS 2027'!$D$4:$D$1226,MATCH($A59,'FUNDED DEALS 2027'!$A$4:$A$1226,0)),"not found")))</f>
        <v/>
      </c>
      <c r="C59" s="57" t="str">
        <f aca="false">IF($A59="","",IFERROR(INDEX('FUNDED DEALS'!$E$4:$E$1226,MATCH($A59,'FUNDED DEALS'!$A$4:$A$1226,0)),IFERROR(INDEX('FUNDED DEALS 2027'!$E$4:$E$1226,MATCH($A59,'FUNDED DEALS 2027'!$A$4:$A$1226,0)),"not found")))</f>
        <v/>
      </c>
      <c r="D59" s="57" t="str">
        <f aca="false">IF($A59="","",IFERROR(INDEX('FUNDED DEALS'!$F$4:$F$1226,MATCH($A59,'FUNDED DEALS'!$A$4:$A$1226,0)),IFERROR(INDEX('FUNDED DEALS 2027'!$F$4:$F$1226,MATCH($A59,'FUNDED DEALS 2027'!$A$4:$A$1226,0)),"not found")))</f>
        <v/>
      </c>
      <c r="E59" s="75" t="str">
        <f aca="false">IF($A59="","",COUNTIFS('FUNDED DEALS'!$B$4:$B$1226,$A59,'FUNDED DEALS'!$A$4:$A$1226,"&lt;&gt;"&amp;$A59)+COUNTIFS('FUNDED DEALS 2027'!$B$4:$B$1226,$A59,'FUNDED DEALS 2027'!$A$4:$A$1226,"&lt;&gt;"&amp;$A59))</f>
        <v/>
      </c>
      <c r="F59" s="76" t="str">
        <f aca="false">IF($A59="","",SUMIF('FUNDED DEALS'!$A$4:$A$1226,$A59,'FUNDED DEALS'!$G$4:$G$1226)+SUMIFS('FUNDED DEALS'!$G$4:$G$1226,'FUNDED DEALS'!$B$4:$B$1226,$A59,'FUNDED DEALS'!$A$4:$A$1226,"&lt;&gt;"&amp;$A59)+SUMIF('FUNDED DEALS 2027'!$A$4:$A$1226,$A59,'FUNDED DEALS 2027'!$G$4:$G$1226)+SUMIFS('FUNDED DEALS 2027'!$G$4:$G$1226,'FUNDED DEALS 2027'!$B$4:$B$1226,$A59,'FUNDED DEALS 2027'!$A$4:$A$1226,"&lt;&gt;"&amp;$A59))</f>
        <v/>
      </c>
      <c r="G59" s="76" t="str">
        <f aca="false">IF($A59="","",SUMIF('FUNDED DEALS'!$A$4:$A$1226,$A59,'FUNDED DEALS'!$O$4:$O$1226)+SUMIFS('FUNDED DEALS'!$O$4:$O$1226,'FUNDED DEALS'!$B$4:$B$1226,$A59,'FUNDED DEALS'!$A$4:$A$1226,"&lt;&gt;"&amp;$A59)+SUMIF('FUNDED DEALS 2027'!$A$4:$A$1226,$A59,'FUNDED DEALS 2027'!$O$4:$O$1226)+SUMIFS('FUNDED DEALS 2027'!$O$4:$O$1226,'FUNDED DEALS 2027'!$B$4:$B$1226,$A59,'FUNDED DEALS 2027'!$A$4:$A$1226,"&lt;&gt;"&amp;$A59))</f>
        <v/>
      </c>
      <c r="H59" s="76" t="str">
        <f aca="false">IF($A59="","",SUMIF('FUNDED DEALS'!$A$4:$A$1226,$A59,'FUNDED DEALS'!$AC$4:$AC$1226)+SUMIFS('FUNDED DEALS'!$AC$4:$AC$1226,'FUNDED DEALS'!$B$4:$B$1226,$A59,'FUNDED DEALS'!$A$4:$A$1226,"&lt;&gt;"&amp;$A59)+SUMIF('FUNDED DEALS 2027'!$A$4:$A$1226,$A59,'FUNDED DEALS 2027'!$AC$4:$AC$1226)+SUMIFS('FUNDED DEALS 2027'!$AC$4:$AC$1226,'FUNDED DEALS 2027'!$B$4:$B$1226,$A59,'FUNDED DEALS 2027'!$A$4:$A$1226,"&lt;&gt;"&amp;$A59))</f>
        <v/>
      </c>
      <c r="I59" s="76" t="str">
        <f aca="false">IF($A59="","",SUMIF('FUNDED DEALS'!$A$4:$A$1226,$A59,'FUNDED DEALS'!$AD$4:$AD$1226)+SUMIFS('FUNDED DEALS'!$AD$4:$AD$1226,'FUNDED DEALS'!$B$4:$B$1226,$A59,'FUNDED DEALS'!$A$4:$A$1226,"&lt;&gt;"&amp;$A59)+SUMIF('FUNDED DEALS 2027'!$A$4:$A$1226,$A59,'FUNDED DEALS 2027'!$AD$4:$AD$1226)+SUMIFS('FUNDED DEALS 2027'!$AD$4:$AD$1226,'FUNDED DEALS 2027'!$B$4:$B$1226,$A59,'FUNDED DEALS 2027'!$A$4:$A$1226,"&lt;&gt;"&amp;$A59))</f>
        <v/>
      </c>
      <c r="J59" s="76" t="str">
        <f aca="false">IF($A59="","",SUMIFS('FUNDED DEALS'!$O$4:$O$1226,'FUNDED DEALS'!$A$4:$A$1226,$A59,'FUNDED DEALS'!$AM$4:$AM$1226,"YES - Paid In Full")+SUMIFS('FUNDED DEALS'!$O$4:$O$1226,'FUNDED DEALS'!$B$4:$B$1226,$A59,'FUNDED DEALS'!$AM$4:$AM$1226,"YES - Paid In Full",'FUNDED DEALS'!$A$4:$A$1226,"&lt;&gt;"&amp;$A59)+SUMIFS('FUNDED DEALS 2027'!$O$4:$O$1226,'FUNDED DEALS 2027'!$A$4:$A$1226,$A59,'FUNDED DEALS 2027'!$AM$4:$AM$1226,"YES - Paid In Full")+SUMIFS('FUNDED DEALS 2027'!$O$4:$O$1226,'FUNDED DEALS 2027'!$B$4:$B$1226,$A59,'FUNDED DEALS 2027'!$AM$4:$AM$1226,"YES - Paid In Full",'FUNDED DEALS 2027'!$A$4:$A$1226,"&lt;&gt;"&amp;$A59))</f>
        <v/>
      </c>
      <c r="K59" s="76" t="str">
        <f aca="false">IF($A59="","",G59-J59-L59)</f>
        <v/>
      </c>
      <c r="L59" s="76" t="str">
        <f aca="false">IF($A59="","",SUMIF('FUNDED DEALS'!$A$4:$A$1226,$A59,'FUNDED DEALS'!$AE$4:$AE$1226)+SUMIFS('FUNDED DEALS'!$AE$4:$AE$1226,'FUNDED DEALS'!$B$4:$B$1226,$A59,'FUNDED DEALS'!$A$4:$A$1226,"&lt;&gt;"&amp;$A59)+SUMIF('FUNDED DEALS 2027'!$A$4:$A$1226,$A59,'FUNDED DEALS 2027'!$AE$4:$AE$1226)+SUMIFS('FUNDED DEALS 2027'!$AE$4:$AE$1226,'FUNDED DEALS 2027'!$B$4:$B$1226,$A59,'FUNDED DEALS 2027'!$A$4:$A$1226,"&lt;&gt;"&amp;$A59))</f>
        <v/>
      </c>
      <c r="M59" s="76" t="str">
        <f aca="false">IF($A59="","",SUMIF('FUNDED DEALS'!$A$4:$A$1226,$A59,'FUNDED DEALS'!$AL$4:$AL$1226)+SUMIFS('FUNDED DEALS'!$AL$4:$AL$1226,'FUNDED DEALS'!$B$4:$B$1226,$A59,'FUNDED DEALS'!$A$4:$A$1226,"&lt;&gt;"&amp;$A59)+SUMIF('FUNDED DEALS 2027'!$A$4:$A$1226,$A59,'FUNDED DEALS 2027'!$AL$4:$AL$1226)+SUMIFS('FUNDED DEALS 2027'!$AL$4:$AL$1226,'FUNDED DEALS 2027'!$B$4:$B$1226,$A59,'FUNDED DEALS 2027'!$A$4:$A$1226,"&lt;&gt;"&amp;$A59))</f>
        <v/>
      </c>
    </row>
    <row r="60" customFormat="false" ht="15" hidden="false" customHeight="false" outlineLevel="0" collapsed="false">
      <c r="A60" s="77" t="str">
        <f aca="false">IFERROR(IF(56&lt;='FUNDED DEALS'!$AX$920,INDEX('FUNDED DEALS'!$A:$A,MATCH(56,'FUNDED DEALS'!$AX$3:$AX$920,0)+2),INDEX('FUNDED DEALS 2027'!$A:$A,MATCH(56-'FUNDED DEALS'!$AX$920,'FUNDED DEALS 2027'!$AX$3:$AX$1226,0)+2)),"")</f>
        <v/>
      </c>
      <c r="B60" s="55" t="str">
        <f aca="false">IF($A60="","",IFERROR(INDEX('FUNDED DEALS'!$D$4:$D$1226,MATCH($A60,'FUNDED DEALS'!$A$4:$A$1226,0)),IFERROR(INDEX('FUNDED DEALS 2027'!$D$4:$D$1226,MATCH($A60,'FUNDED DEALS 2027'!$A$4:$A$1226,0)),"not found")))</f>
        <v/>
      </c>
      <c r="C60" s="55" t="str">
        <f aca="false">IF($A60="","",IFERROR(INDEX('FUNDED DEALS'!$E$4:$E$1226,MATCH($A60,'FUNDED DEALS'!$A$4:$A$1226,0)),IFERROR(INDEX('FUNDED DEALS 2027'!$E$4:$E$1226,MATCH($A60,'FUNDED DEALS 2027'!$A$4:$A$1226,0)),"not found")))</f>
        <v/>
      </c>
      <c r="D60" s="55" t="str">
        <f aca="false">IF($A60="","",IFERROR(INDEX('FUNDED DEALS'!$F$4:$F$1226,MATCH($A60,'FUNDED DEALS'!$A$4:$A$1226,0)),IFERROR(INDEX('FUNDED DEALS 2027'!$F$4:$F$1226,MATCH($A60,'FUNDED DEALS 2027'!$A$4:$A$1226,0)),"not found")))</f>
        <v/>
      </c>
      <c r="E60" s="78" t="str">
        <f aca="false">IF($A60="","",COUNTIFS('FUNDED DEALS'!$B$4:$B$1226,$A60,'FUNDED DEALS'!$A$4:$A$1226,"&lt;&gt;"&amp;$A60)+COUNTIFS('FUNDED DEALS 2027'!$B$4:$B$1226,$A60,'FUNDED DEALS 2027'!$A$4:$A$1226,"&lt;&gt;"&amp;$A60))</f>
        <v/>
      </c>
      <c r="F60" s="79" t="str">
        <f aca="false">IF($A60="","",SUMIF('FUNDED DEALS'!$A$4:$A$1226,$A60,'FUNDED DEALS'!$G$4:$G$1226)+SUMIFS('FUNDED DEALS'!$G$4:$G$1226,'FUNDED DEALS'!$B$4:$B$1226,$A60,'FUNDED DEALS'!$A$4:$A$1226,"&lt;&gt;"&amp;$A60)+SUMIF('FUNDED DEALS 2027'!$A$4:$A$1226,$A60,'FUNDED DEALS 2027'!$G$4:$G$1226)+SUMIFS('FUNDED DEALS 2027'!$G$4:$G$1226,'FUNDED DEALS 2027'!$B$4:$B$1226,$A60,'FUNDED DEALS 2027'!$A$4:$A$1226,"&lt;&gt;"&amp;$A60))</f>
        <v/>
      </c>
      <c r="G60" s="79" t="str">
        <f aca="false">IF($A60="","",SUMIF('FUNDED DEALS'!$A$4:$A$1226,$A60,'FUNDED DEALS'!$O$4:$O$1226)+SUMIFS('FUNDED DEALS'!$O$4:$O$1226,'FUNDED DEALS'!$B$4:$B$1226,$A60,'FUNDED DEALS'!$A$4:$A$1226,"&lt;&gt;"&amp;$A60)+SUMIF('FUNDED DEALS 2027'!$A$4:$A$1226,$A60,'FUNDED DEALS 2027'!$O$4:$O$1226)+SUMIFS('FUNDED DEALS 2027'!$O$4:$O$1226,'FUNDED DEALS 2027'!$B$4:$B$1226,$A60,'FUNDED DEALS 2027'!$A$4:$A$1226,"&lt;&gt;"&amp;$A60))</f>
        <v/>
      </c>
      <c r="H60" s="79" t="str">
        <f aca="false">IF($A60="","",SUMIF('FUNDED DEALS'!$A$4:$A$1226,$A60,'FUNDED DEALS'!$AC$4:$AC$1226)+SUMIFS('FUNDED DEALS'!$AC$4:$AC$1226,'FUNDED DEALS'!$B$4:$B$1226,$A60,'FUNDED DEALS'!$A$4:$A$1226,"&lt;&gt;"&amp;$A60)+SUMIF('FUNDED DEALS 2027'!$A$4:$A$1226,$A60,'FUNDED DEALS 2027'!$AC$4:$AC$1226)+SUMIFS('FUNDED DEALS 2027'!$AC$4:$AC$1226,'FUNDED DEALS 2027'!$B$4:$B$1226,$A60,'FUNDED DEALS 2027'!$A$4:$A$1226,"&lt;&gt;"&amp;$A60))</f>
        <v/>
      </c>
      <c r="I60" s="79" t="str">
        <f aca="false">IF($A60="","",SUMIF('FUNDED DEALS'!$A$4:$A$1226,$A60,'FUNDED DEALS'!$AD$4:$AD$1226)+SUMIFS('FUNDED DEALS'!$AD$4:$AD$1226,'FUNDED DEALS'!$B$4:$B$1226,$A60,'FUNDED DEALS'!$A$4:$A$1226,"&lt;&gt;"&amp;$A60)+SUMIF('FUNDED DEALS 2027'!$A$4:$A$1226,$A60,'FUNDED DEALS 2027'!$AD$4:$AD$1226)+SUMIFS('FUNDED DEALS 2027'!$AD$4:$AD$1226,'FUNDED DEALS 2027'!$B$4:$B$1226,$A60,'FUNDED DEALS 2027'!$A$4:$A$1226,"&lt;&gt;"&amp;$A60))</f>
        <v/>
      </c>
      <c r="J60" s="79" t="str">
        <f aca="false">IF($A60="","",SUMIFS('FUNDED DEALS'!$O$4:$O$1226,'FUNDED DEALS'!$A$4:$A$1226,$A60,'FUNDED DEALS'!$AM$4:$AM$1226,"YES - Paid In Full")+SUMIFS('FUNDED DEALS'!$O$4:$O$1226,'FUNDED DEALS'!$B$4:$B$1226,$A60,'FUNDED DEALS'!$AM$4:$AM$1226,"YES - Paid In Full",'FUNDED DEALS'!$A$4:$A$1226,"&lt;&gt;"&amp;$A60)+SUMIFS('FUNDED DEALS 2027'!$O$4:$O$1226,'FUNDED DEALS 2027'!$A$4:$A$1226,$A60,'FUNDED DEALS 2027'!$AM$4:$AM$1226,"YES - Paid In Full")+SUMIFS('FUNDED DEALS 2027'!$O$4:$O$1226,'FUNDED DEALS 2027'!$B$4:$B$1226,$A60,'FUNDED DEALS 2027'!$AM$4:$AM$1226,"YES - Paid In Full",'FUNDED DEALS 2027'!$A$4:$A$1226,"&lt;&gt;"&amp;$A60))</f>
        <v/>
      </c>
      <c r="K60" s="79" t="str">
        <f aca="false">IF($A60="","",G60-J60-L60)</f>
        <v/>
      </c>
      <c r="L60" s="79" t="str">
        <f aca="false">IF($A60="","",SUMIF('FUNDED DEALS'!$A$4:$A$1226,$A60,'FUNDED DEALS'!$AE$4:$AE$1226)+SUMIFS('FUNDED DEALS'!$AE$4:$AE$1226,'FUNDED DEALS'!$B$4:$B$1226,$A60,'FUNDED DEALS'!$A$4:$A$1226,"&lt;&gt;"&amp;$A60)+SUMIF('FUNDED DEALS 2027'!$A$4:$A$1226,$A60,'FUNDED DEALS 2027'!$AE$4:$AE$1226)+SUMIFS('FUNDED DEALS 2027'!$AE$4:$AE$1226,'FUNDED DEALS 2027'!$B$4:$B$1226,$A60,'FUNDED DEALS 2027'!$A$4:$A$1226,"&lt;&gt;"&amp;$A60))</f>
        <v/>
      </c>
      <c r="M60" s="79" t="str">
        <f aca="false">IF($A60="","",SUMIF('FUNDED DEALS'!$A$4:$A$1226,$A60,'FUNDED DEALS'!$AL$4:$AL$1226)+SUMIFS('FUNDED DEALS'!$AL$4:$AL$1226,'FUNDED DEALS'!$B$4:$B$1226,$A60,'FUNDED DEALS'!$A$4:$A$1226,"&lt;&gt;"&amp;$A60)+SUMIF('FUNDED DEALS 2027'!$A$4:$A$1226,$A60,'FUNDED DEALS 2027'!$AL$4:$AL$1226)+SUMIFS('FUNDED DEALS 2027'!$AL$4:$AL$1226,'FUNDED DEALS 2027'!$B$4:$B$1226,$A60,'FUNDED DEALS 2027'!$A$4:$A$1226,"&lt;&gt;"&amp;$A60))</f>
        <v/>
      </c>
    </row>
    <row r="61" customFormat="false" ht="15" hidden="false" customHeight="false" outlineLevel="0" collapsed="false">
      <c r="A61" s="74" t="str">
        <f aca="false">IFERROR(IF(57&lt;='FUNDED DEALS'!$AX$920,INDEX('FUNDED DEALS'!$A:$A,MATCH(57,'FUNDED DEALS'!$AX$3:$AX$920,0)+2),INDEX('FUNDED DEALS 2027'!$A:$A,MATCH(57-'FUNDED DEALS'!$AX$920,'FUNDED DEALS 2027'!$AX$3:$AX$1226,0)+2)),"")</f>
        <v/>
      </c>
      <c r="B61" s="57" t="str">
        <f aca="false">IF($A61="","",IFERROR(INDEX('FUNDED DEALS'!$D$4:$D$1226,MATCH($A61,'FUNDED DEALS'!$A$4:$A$1226,0)),IFERROR(INDEX('FUNDED DEALS 2027'!$D$4:$D$1226,MATCH($A61,'FUNDED DEALS 2027'!$A$4:$A$1226,0)),"not found")))</f>
        <v/>
      </c>
      <c r="C61" s="57" t="str">
        <f aca="false">IF($A61="","",IFERROR(INDEX('FUNDED DEALS'!$E$4:$E$1226,MATCH($A61,'FUNDED DEALS'!$A$4:$A$1226,0)),IFERROR(INDEX('FUNDED DEALS 2027'!$E$4:$E$1226,MATCH($A61,'FUNDED DEALS 2027'!$A$4:$A$1226,0)),"not found")))</f>
        <v/>
      </c>
      <c r="D61" s="57" t="str">
        <f aca="false">IF($A61="","",IFERROR(INDEX('FUNDED DEALS'!$F$4:$F$1226,MATCH($A61,'FUNDED DEALS'!$A$4:$A$1226,0)),IFERROR(INDEX('FUNDED DEALS 2027'!$F$4:$F$1226,MATCH($A61,'FUNDED DEALS 2027'!$A$4:$A$1226,0)),"not found")))</f>
        <v/>
      </c>
      <c r="E61" s="75" t="str">
        <f aca="false">IF($A61="","",COUNTIFS('FUNDED DEALS'!$B$4:$B$1226,$A61,'FUNDED DEALS'!$A$4:$A$1226,"&lt;&gt;"&amp;$A61)+COUNTIFS('FUNDED DEALS 2027'!$B$4:$B$1226,$A61,'FUNDED DEALS 2027'!$A$4:$A$1226,"&lt;&gt;"&amp;$A61))</f>
        <v/>
      </c>
      <c r="F61" s="76" t="str">
        <f aca="false">IF($A61="","",SUMIF('FUNDED DEALS'!$A$4:$A$1226,$A61,'FUNDED DEALS'!$G$4:$G$1226)+SUMIFS('FUNDED DEALS'!$G$4:$G$1226,'FUNDED DEALS'!$B$4:$B$1226,$A61,'FUNDED DEALS'!$A$4:$A$1226,"&lt;&gt;"&amp;$A61)+SUMIF('FUNDED DEALS 2027'!$A$4:$A$1226,$A61,'FUNDED DEALS 2027'!$G$4:$G$1226)+SUMIFS('FUNDED DEALS 2027'!$G$4:$G$1226,'FUNDED DEALS 2027'!$B$4:$B$1226,$A61,'FUNDED DEALS 2027'!$A$4:$A$1226,"&lt;&gt;"&amp;$A61))</f>
        <v/>
      </c>
      <c r="G61" s="76" t="str">
        <f aca="false">IF($A61="","",SUMIF('FUNDED DEALS'!$A$4:$A$1226,$A61,'FUNDED DEALS'!$O$4:$O$1226)+SUMIFS('FUNDED DEALS'!$O$4:$O$1226,'FUNDED DEALS'!$B$4:$B$1226,$A61,'FUNDED DEALS'!$A$4:$A$1226,"&lt;&gt;"&amp;$A61)+SUMIF('FUNDED DEALS 2027'!$A$4:$A$1226,$A61,'FUNDED DEALS 2027'!$O$4:$O$1226)+SUMIFS('FUNDED DEALS 2027'!$O$4:$O$1226,'FUNDED DEALS 2027'!$B$4:$B$1226,$A61,'FUNDED DEALS 2027'!$A$4:$A$1226,"&lt;&gt;"&amp;$A61))</f>
        <v/>
      </c>
      <c r="H61" s="76" t="str">
        <f aca="false">IF($A61="","",SUMIF('FUNDED DEALS'!$A$4:$A$1226,$A61,'FUNDED DEALS'!$AC$4:$AC$1226)+SUMIFS('FUNDED DEALS'!$AC$4:$AC$1226,'FUNDED DEALS'!$B$4:$B$1226,$A61,'FUNDED DEALS'!$A$4:$A$1226,"&lt;&gt;"&amp;$A61)+SUMIF('FUNDED DEALS 2027'!$A$4:$A$1226,$A61,'FUNDED DEALS 2027'!$AC$4:$AC$1226)+SUMIFS('FUNDED DEALS 2027'!$AC$4:$AC$1226,'FUNDED DEALS 2027'!$B$4:$B$1226,$A61,'FUNDED DEALS 2027'!$A$4:$A$1226,"&lt;&gt;"&amp;$A61))</f>
        <v/>
      </c>
      <c r="I61" s="76" t="str">
        <f aca="false">IF($A61="","",SUMIF('FUNDED DEALS'!$A$4:$A$1226,$A61,'FUNDED DEALS'!$AD$4:$AD$1226)+SUMIFS('FUNDED DEALS'!$AD$4:$AD$1226,'FUNDED DEALS'!$B$4:$B$1226,$A61,'FUNDED DEALS'!$A$4:$A$1226,"&lt;&gt;"&amp;$A61)+SUMIF('FUNDED DEALS 2027'!$A$4:$A$1226,$A61,'FUNDED DEALS 2027'!$AD$4:$AD$1226)+SUMIFS('FUNDED DEALS 2027'!$AD$4:$AD$1226,'FUNDED DEALS 2027'!$B$4:$B$1226,$A61,'FUNDED DEALS 2027'!$A$4:$A$1226,"&lt;&gt;"&amp;$A61))</f>
        <v/>
      </c>
      <c r="J61" s="76" t="str">
        <f aca="false">IF($A61="","",SUMIFS('FUNDED DEALS'!$O$4:$O$1226,'FUNDED DEALS'!$A$4:$A$1226,$A61,'FUNDED DEALS'!$AM$4:$AM$1226,"YES - Paid In Full")+SUMIFS('FUNDED DEALS'!$O$4:$O$1226,'FUNDED DEALS'!$B$4:$B$1226,$A61,'FUNDED DEALS'!$AM$4:$AM$1226,"YES - Paid In Full",'FUNDED DEALS'!$A$4:$A$1226,"&lt;&gt;"&amp;$A61)+SUMIFS('FUNDED DEALS 2027'!$O$4:$O$1226,'FUNDED DEALS 2027'!$A$4:$A$1226,$A61,'FUNDED DEALS 2027'!$AM$4:$AM$1226,"YES - Paid In Full")+SUMIFS('FUNDED DEALS 2027'!$O$4:$O$1226,'FUNDED DEALS 2027'!$B$4:$B$1226,$A61,'FUNDED DEALS 2027'!$AM$4:$AM$1226,"YES - Paid In Full",'FUNDED DEALS 2027'!$A$4:$A$1226,"&lt;&gt;"&amp;$A61))</f>
        <v/>
      </c>
      <c r="K61" s="76" t="str">
        <f aca="false">IF($A61="","",G61-J61-L61)</f>
        <v/>
      </c>
      <c r="L61" s="76" t="str">
        <f aca="false">IF($A61="","",SUMIF('FUNDED DEALS'!$A$4:$A$1226,$A61,'FUNDED DEALS'!$AE$4:$AE$1226)+SUMIFS('FUNDED DEALS'!$AE$4:$AE$1226,'FUNDED DEALS'!$B$4:$B$1226,$A61,'FUNDED DEALS'!$A$4:$A$1226,"&lt;&gt;"&amp;$A61)+SUMIF('FUNDED DEALS 2027'!$A$4:$A$1226,$A61,'FUNDED DEALS 2027'!$AE$4:$AE$1226)+SUMIFS('FUNDED DEALS 2027'!$AE$4:$AE$1226,'FUNDED DEALS 2027'!$B$4:$B$1226,$A61,'FUNDED DEALS 2027'!$A$4:$A$1226,"&lt;&gt;"&amp;$A61))</f>
        <v/>
      </c>
      <c r="M61" s="76" t="str">
        <f aca="false">IF($A61="","",SUMIF('FUNDED DEALS'!$A$4:$A$1226,$A61,'FUNDED DEALS'!$AL$4:$AL$1226)+SUMIFS('FUNDED DEALS'!$AL$4:$AL$1226,'FUNDED DEALS'!$B$4:$B$1226,$A61,'FUNDED DEALS'!$A$4:$A$1226,"&lt;&gt;"&amp;$A61)+SUMIF('FUNDED DEALS 2027'!$A$4:$A$1226,$A61,'FUNDED DEALS 2027'!$AL$4:$AL$1226)+SUMIFS('FUNDED DEALS 2027'!$AL$4:$AL$1226,'FUNDED DEALS 2027'!$B$4:$B$1226,$A61,'FUNDED DEALS 2027'!$A$4:$A$1226,"&lt;&gt;"&amp;$A61))</f>
        <v/>
      </c>
    </row>
    <row r="62" customFormat="false" ht="15" hidden="false" customHeight="false" outlineLevel="0" collapsed="false">
      <c r="A62" s="77" t="str">
        <f aca="false">IFERROR(IF(58&lt;='FUNDED DEALS'!$AX$920,INDEX('FUNDED DEALS'!$A:$A,MATCH(58,'FUNDED DEALS'!$AX$3:$AX$920,0)+2),INDEX('FUNDED DEALS 2027'!$A:$A,MATCH(58-'FUNDED DEALS'!$AX$920,'FUNDED DEALS 2027'!$AX$3:$AX$1226,0)+2)),"")</f>
        <v/>
      </c>
      <c r="B62" s="55" t="str">
        <f aca="false">IF($A62="","",IFERROR(INDEX('FUNDED DEALS'!$D$4:$D$1226,MATCH($A62,'FUNDED DEALS'!$A$4:$A$1226,0)),IFERROR(INDEX('FUNDED DEALS 2027'!$D$4:$D$1226,MATCH($A62,'FUNDED DEALS 2027'!$A$4:$A$1226,0)),"not found")))</f>
        <v/>
      </c>
      <c r="C62" s="55" t="str">
        <f aca="false">IF($A62="","",IFERROR(INDEX('FUNDED DEALS'!$E$4:$E$1226,MATCH($A62,'FUNDED DEALS'!$A$4:$A$1226,0)),IFERROR(INDEX('FUNDED DEALS 2027'!$E$4:$E$1226,MATCH($A62,'FUNDED DEALS 2027'!$A$4:$A$1226,0)),"not found")))</f>
        <v/>
      </c>
      <c r="D62" s="55" t="str">
        <f aca="false">IF($A62="","",IFERROR(INDEX('FUNDED DEALS'!$F$4:$F$1226,MATCH($A62,'FUNDED DEALS'!$A$4:$A$1226,0)),IFERROR(INDEX('FUNDED DEALS 2027'!$F$4:$F$1226,MATCH($A62,'FUNDED DEALS 2027'!$A$4:$A$1226,0)),"not found")))</f>
        <v/>
      </c>
      <c r="E62" s="78" t="str">
        <f aca="false">IF($A62="","",COUNTIFS('FUNDED DEALS'!$B$4:$B$1226,$A62,'FUNDED DEALS'!$A$4:$A$1226,"&lt;&gt;"&amp;$A62)+COUNTIFS('FUNDED DEALS 2027'!$B$4:$B$1226,$A62,'FUNDED DEALS 2027'!$A$4:$A$1226,"&lt;&gt;"&amp;$A62))</f>
        <v/>
      </c>
      <c r="F62" s="79" t="str">
        <f aca="false">IF($A62="","",SUMIF('FUNDED DEALS'!$A$4:$A$1226,$A62,'FUNDED DEALS'!$G$4:$G$1226)+SUMIFS('FUNDED DEALS'!$G$4:$G$1226,'FUNDED DEALS'!$B$4:$B$1226,$A62,'FUNDED DEALS'!$A$4:$A$1226,"&lt;&gt;"&amp;$A62)+SUMIF('FUNDED DEALS 2027'!$A$4:$A$1226,$A62,'FUNDED DEALS 2027'!$G$4:$G$1226)+SUMIFS('FUNDED DEALS 2027'!$G$4:$G$1226,'FUNDED DEALS 2027'!$B$4:$B$1226,$A62,'FUNDED DEALS 2027'!$A$4:$A$1226,"&lt;&gt;"&amp;$A62))</f>
        <v/>
      </c>
      <c r="G62" s="79" t="str">
        <f aca="false">IF($A62="","",SUMIF('FUNDED DEALS'!$A$4:$A$1226,$A62,'FUNDED DEALS'!$O$4:$O$1226)+SUMIFS('FUNDED DEALS'!$O$4:$O$1226,'FUNDED DEALS'!$B$4:$B$1226,$A62,'FUNDED DEALS'!$A$4:$A$1226,"&lt;&gt;"&amp;$A62)+SUMIF('FUNDED DEALS 2027'!$A$4:$A$1226,$A62,'FUNDED DEALS 2027'!$O$4:$O$1226)+SUMIFS('FUNDED DEALS 2027'!$O$4:$O$1226,'FUNDED DEALS 2027'!$B$4:$B$1226,$A62,'FUNDED DEALS 2027'!$A$4:$A$1226,"&lt;&gt;"&amp;$A62))</f>
        <v/>
      </c>
      <c r="H62" s="79" t="str">
        <f aca="false">IF($A62="","",SUMIF('FUNDED DEALS'!$A$4:$A$1226,$A62,'FUNDED DEALS'!$AC$4:$AC$1226)+SUMIFS('FUNDED DEALS'!$AC$4:$AC$1226,'FUNDED DEALS'!$B$4:$B$1226,$A62,'FUNDED DEALS'!$A$4:$A$1226,"&lt;&gt;"&amp;$A62)+SUMIF('FUNDED DEALS 2027'!$A$4:$A$1226,$A62,'FUNDED DEALS 2027'!$AC$4:$AC$1226)+SUMIFS('FUNDED DEALS 2027'!$AC$4:$AC$1226,'FUNDED DEALS 2027'!$B$4:$B$1226,$A62,'FUNDED DEALS 2027'!$A$4:$A$1226,"&lt;&gt;"&amp;$A62))</f>
        <v/>
      </c>
      <c r="I62" s="79" t="str">
        <f aca="false">IF($A62="","",SUMIF('FUNDED DEALS'!$A$4:$A$1226,$A62,'FUNDED DEALS'!$AD$4:$AD$1226)+SUMIFS('FUNDED DEALS'!$AD$4:$AD$1226,'FUNDED DEALS'!$B$4:$B$1226,$A62,'FUNDED DEALS'!$A$4:$A$1226,"&lt;&gt;"&amp;$A62)+SUMIF('FUNDED DEALS 2027'!$A$4:$A$1226,$A62,'FUNDED DEALS 2027'!$AD$4:$AD$1226)+SUMIFS('FUNDED DEALS 2027'!$AD$4:$AD$1226,'FUNDED DEALS 2027'!$B$4:$B$1226,$A62,'FUNDED DEALS 2027'!$A$4:$A$1226,"&lt;&gt;"&amp;$A62))</f>
        <v/>
      </c>
      <c r="J62" s="79" t="str">
        <f aca="false">IF($A62="","",SUMIFS('FUNDED DEALS'!$O$4:$O$1226,'FUNDED DEALS'!$A$4:$A$1226,$A62,'FUNDED DEALS'!$AM$4:$AM$1226,"YES - Paid In Full")+SUMIFS('FUNDED DEALS'!$O$4:$O$1226,'FUNDED DEALS'!$B$4:$B$1226,$A62,'FUNDED DEALS'!$AM$4:$AM$1226,"YES - Paid In Full",'FUNDED DEALS'!$A$4:$A$1226,"&lt;&gt;"&amp;$A62)+SUMIFS('FUNDED DEALS 2027'!$O$4:$O$1226,'FUNDED DEALS 2027'!$A$4:$A$1226,$A62,'FUNDED DEALS 2027'!$AM$4:$AM$1226,"YES - Paid In Full")+SUMIFS('FUNDED DEALS 2027'!$O$4:$O$1226,'FUNDED DEALS 2027'!$B$4:$B$1226,$A62,'FUNDED DEALS 2027'!$AM$4:$AM$1226,"YES - Paid In Full",'FUNDED DEALS 2027'!$A$4:$A$1226,"&lt;&gt;"&amp;$A62))</f>
        <v/>
      </c>
      <c r="K62" s="79" t="str">
        <f aca="false">IF($A62="","",G62-J62-L62)</f>
        <v/>
      </c>
      <c r="L62" s="79" t="str">
        <f aca="false">IF($A62="","",SUMIF('FUNDED DEALS'!$A$4:$A$1226,$A62,'FUNDED DEALS'!$AE$4:$AE$1226)+SUMIFS('FUNDED DEALS'!$AE$4:$AE$1226,'FUNDED DEALS'!$B$4:$B$1226,$A62,'FUNDED DEALS'!$A$4:$A$1226,"&lt;&gt;"&amp;$A62)+SUMIF('FUNDED DEALS 2027'!$A$4:$A$1226,$A62,'FUNDED DEALS 2027'!$AE$4:$AE$1226)+SUMIFS('FUNDED DEALS 2027'!$AE$4:$AE$1226,'FUNDED DEALS 2027'!$B$4:$B$1226,$A62,'FUNDED DEALS 2027'!$A$4:$A$1226,"&lt;&gt;"&amp;$A62))</f>
        <v/>
      </c>
      <c r="M62" s="79" t="str">
        <f aca="false">IF($A62="","",SUMIF('FUNDED DEALS'!$A$4:$A$1226,$A62,'FUNDED DEALS'!$AL$4:$AL$1226)+SUMIFS('FUNDED DEALS'!$AL$4:$AL$1226,'FUNDED DEALS'!$B$4:$B$1226,$A62,'FUNDED DEALS'!$A$4:$A$1226,"&lt;&gt;"&amp;$A62)+SUMIF('FUNDED DEALS 2027'!$A$4:$A$1226,$A62,'FUNDED DEALS 2027'!$AL$4:$AL$1226)+SUMIFS('FUNDED DEALS 2027'!$AL$4:$AL$1226,'FUNDED DEALS 2027'!$B$4:$B$1226,$A62,'FUNDED DEALS 2027'!$A$4:$A$1226,"&lt;&gt;"&amp;$A62))</f>
        <v/>
      </c>
    </row>
    <row r="63" customFormat="false" ht="15" hidden="false" customHeight="false" outlineLevel="0" collapsed="false">
      <c r="A63" s="74" t="str">
        <f aca="false">IFERROR(IF(59&lt;='FUNDED DEALS'!$AX$920,INDEX('FUNDED DEALS'!$A:$A,MATCH(59,'FUNDED DEALS'!$AX$3:$AX$920,0)+2),INDEX('FUNDED DEALS 2027'!$A:$A,MATCH(59-'FUNDED DEALS'!$AX$920,'FUNDED DEALS 2027'!$AX$3:$AX$1226,0)+2)),"")</f>
        <v/>
      </c>
      <c r="B63" s="57" t="str">
        <f aca="false">IF($A63="","",IFERROR(INDEX('FUNDED DEALS'!$D$4:$D$1226,MATCH($A63,'FUNDED DEALS'!$A$4:$A$1226,0)),IFERROR(INDEX('FUNDED DEALS 2027'!$D$4:$D$1226,MATCH($A63,'FUNDED DEALS 2027'!$A$4:$A$1226,0)),"not found")))</f>
        <v/>
      </c>
      <c r="C63" s="57" t="str">
        <f aca="false">IF($A63="","",IFERROR(INDEX('FUNDED DEALS'!$E$4:$E$1226,MATCH($A63,'FUNDED DEALS'!$A$4:$A$1226,0)),IFERROR(INDEX('FUNDED DEALS 2027'!$E$4:$E$1226,MATCH($A63,'FUNDED DEALS 2027'!$A$4:$A$1226,0)),"not found")))</f>
        <v/>
      </c>
      <c r="D63" s="57" t="str">
        <f aca="false">IF($A63="","",IFERROR(INDEX('FUNDED DEALS'!$F$4:$F$1226,MATCH($A63,'FUNDED DEALS'!$A$4:$A$1226,0)),IFERROR(INDEX('FUNDED DEALS 2027'!$F$4:$F$1226,MATCH($A63,'FUNDED DEALS 2027'!$A$4:$A$1226,0)),"not found")))</f>
        <v/>
      </c>
      <c r="E63" s="75" t="str">
        <f aca="false">IF($A63="","",COUNTIFS('FUNDED DEALS'!$B$4:$B$1226,$A63,'FUNDED DEALS'!$A$4:$A$1226,"&lt;&gt;"&amp;$A63)+COUNTIFS('FUNDED DEALS 2027'!$B$4:$B$1226,$A63,'FUNDED DEALS 2027'!$A$4:$A$1226,"&lt;&gt;"&amp;$A63))</f>
        <v/>
      </c>
      <c r="F63" s="76" t="str">
        <f aca="false">IF($A63="","",SUMIF('FUNDED DEALS'!$A$4:$A$1226,$A63,'FUNDED DEALS'!$G$4:$G$1226)+SUMIFS('FUNDED DEALS'!$G$4:$G$1226,'FUNDED DEALS'!$B$4:$B$1226,$A63,'FUNDED DEALS'!$A$4:$A$1226,"&lt;&gt;"&amp;$A63)+SUMIF('FUNDED DEALS 2027'!$A$4:$A$1226,$A63,'FUNDED DEALS 2027'!$G$4:$G$1226)+SUMIFS('FUNDED DEALS 2027'!$G$4:$G$1226,'FUNDED DEALS 2027'!$B$4:$B$1226,$A63,'FUNDED DEALS 2027'!$A$4:$A$1226,"&lt;&gt;"&amp;$A63))</f>
        <v/>
      </c>
      <c r="G63" s="76" t="str">
        <f aca="false">IF($A63="","",SUMIF('FUNDED DEALS'!$A$4:$A$1226,$A63,'FUNDED DEALS'!$O$4:$O$1226)+SUMIFS('FUNDED DEALS'!$O$4:$O$1226,'FUNDED DEALS'!$B$4:$B$1226,$A63,'FUNDED DEALS'!$A$4:$A$1226,"&lt;&gt;"&amp;$A63)+SUMIF('FUNDED DEALS 2027'!$A$4:$A$1226,$A63,'FUNDED DEALS 2027'!$O$4:$O$1226)+SUMIFS('FUNDED DEALS 2027'!$O$4:$O$1226,'FUNDED DEALS 2027'!$B$4:$B$1226,$A63,'FUNDED DEALS 2027'!$A$4:$A$1226,"&lt;&gt;"&amp;$A63))</f>
        <v/>
      </c>
      <c r="H63" s="76" t="str">
        <f aca="false">IF($A63="","",SUMIF('FUNDED DEALS'!$A$4:$A$1226,$A63,'FUNDED DEALS'!$AC$4:$AC$1226)+SUMIFS('FUNDED DEALS'!$AC$4:$AC$1226,'FUNDED DEALS'!$B$4:$B$1226,$A63,'FUNDED DEALS'!$A$4:$A$1226,"&lt;&gt;"&amp;$A63)+SUMIF('FUNDED DEALS 2027'!$A$4:$A$1226,$A63,'FUNDED DEALS 2027'!$AC$4:$AC$1226)+SUMIFS('FUNDED DEALS 2027'!$AC$4:$AC$1226,'FUNDED DEALS 2027'!$B$4:$B$1226,$A63,'FUNDED DEALS 2027'!$A$4:$A$1226,"&lt;&gt;"&amp;$A63))</f>
        <v/>
      </c>
      <c r="I63" s="76" t="str">
        <f aca="false">IF($A63="","",SUMIF('FUNDED DEALS'!$A$4:$A$1226,$A63,'FUNDED DEALS'!$AD$4:$AD$1226)+SUMIFS('FUNDED DEALS'!$AD$4:$AD$1226,'FUNDED DEALS'!$B$4:$B$1226,$A63,'FUNDED DEALS'!$A$4:$A$1226,"&lt;&gt;"&amp;$A63)+SUMIF('FUNDED DEALS 2027'!$A$4:$A$1226,$A63,'FUNDED DEALS 2027'!$AD$4:$AD$1226)+SUMIFS('FUNDED DEALS 2027'!$AD$4:$AD$1226,'FUNDED DEALS 2027'!$B$4:$B$1226,$A63,'FUNDED DEALS 2027'!$A$4:$A$1226,"&lt;&gt;"&amp;$A63))</f>
        <v/>
      </c>
      <c r="J63" s="76" t="str">
        <f aca="false">IF($A63="","",SUMIFS('FUNDED DEALS'!$O$4:$O$1226,'FUNDED DEALS'!$A$4:$A$1226,$A63,'FUNDED DEALS'!$AM$4:$AM$1226,"YES - Paid In Full")+SUMIFS('FUNDED DEALS'!$O$4:$O$1226,'FUNDED DEALS'!$B$4:$B$1226,$A63,'FUNDED DEALS'!$AM$4:$AM$1226,"YES - Paid In Full",'FUNDED DEALS'!$A$4:$A$1226,"&lt;&gt;"&amp;$A63)+SUMIFS('FUNDED DEALS 2027'!$O$4:$O$1226,'FUNDED DEALS 2027'!$A$4:$A$1226,$A63,'FUNDED DEALS 2027'!$AM$4:$AM$1226,"YES - Paid In Full")+SUMIFS('FUNDED DEALS 2027'!$O$4:$O$1226,'FUNDED DEALS 2027'!$B$4:$B$1226,$A63,'FUNDED DEALS 2027'!$AM$4:$AM$1226,"YES - Paid In Full",'FUNDED DEALS 2027'!$A$4:$A$1226,"&lt;&gt;"&amp;$A63))</f>
        <v/>
      </c>
      <c r="K63" s="76" t="str">
        <f aca="false">IF($A63="","",G63-J63-L63)</f>
        <v/>
      </c>
      <c r="L63" s="76" t="str">
        <f aca="false">IF($A63="","",SUMIF('FUNDED DEALS'!$A$4:$A$1226,$A63,'FUNDED DEALS'!$AE$4:$AE$1226)+SUMIFS('FUNDED DEALS'!$AE$4:$AE$1226,'FUNDED DEALS'!$B$4:$B$1226,$A63,'FUNDED DEALS'!$A$4:$A$1226,"&lt;&gt;"&amp;$A63)+SUMIF('FUNDED DEALS 2027'!$A$4:$A$1226,$A63,'FUNDED DEALS 2027'!$AE$4:$AE$1226)+SUMIFS('FUNDED DEALS 2027'!$AE$4:$AE$1226,'FUNDED DEALS 2027'!$B$4:$B$1226,$A63,'FUNDED DEALS 2027'!$A$4:$A$1226,"&lt;&gt;"&amp;$A63))</f>
        <v/>
      </c>
      <c r="M63" s="76" t="str">
        <f aca="false">IF($A63="","",SUMIF('FUNDED DEALS'!$A$4:$A$1226,$A63,'FUNDED DEALS'!$AL$4:$AL$1226)+SUMIFS('FUNDED DEALS'!$AL$4:$AL$1226,'FUNDED DEALS'!$B$4:$B$1226,$A63,'FUNDED DEALS'!$A$4:$A$1226,"&lt;&gt;"&amp;$A63)+SUMIF('FUNDED DEALS 2027'!$A$4:$A$1226,$A63,'FUNDED DEALS 2027'!$AL$4:$AL$1226)+SUMIFS('FUNDED DEALS 2027'!$AL$4:$AL$1226,'FUNDED DEALS 2027'!$B$4:$B$1226,$A63,'FUNDED DEALS 2027'!$A$4:$A$1226,"&lt;&gt;"&amp;$A63))</f>
        <v/>
      </c>
    </row>
    <row r="64" customFormat="false" ht="15" hidden="false" customHeight="false" outlineLevel="0" collapsed="false">
      <c r="A64" s="77" t="str">
        <f aca="false">IFERROR(IF(60&lt;='FUNDED DEALS'!$AX$920,INDEX('FUNDED DEALS'!$A:$A,MATCH(60,'FUNDED DEALS'!$AX$3:$AX$920,0)+2),INDEX('FUNDED DEALS 2027'!$A:$A,MATCH(60-'FUNDED DEALS'!$AX$920,'FUNDED DEALS 2027'!$AX$3:$AX$1226,0)+2)),"")</f>
        <v/>
      </c>
      <c r="B64" s="55" t="str">
        <f aca="false">IF($A64="","",IFERROR(INDEX('FUNDED DEALS'!$D$4:$D$1226,MATCH($A64,'FUNDED DEALS'!$A$4:$A$1226,0)),IFERROR(INDEX('FUNDED DEALS 2027'!$D$4:$D$1226,MATCH($A64,'FUNDED DEALS 2027'!$A$4:$A$1226,0)),"not found")))</f>
        <v/>
      </c>
      <c r="C64" s="55" t="str">
        <f aca="false">IF($A64="","",IFERROR(INDEX('FUNDED DEALS'!$E$4:$E$1226,MATCH($A64,'FUNDED DEALS'!$A$4:$A$1226,0)),IFERROR(INDEX('FUNDED DEALS 2027'!$E$4:$E$1226,MATCH($A64,'FUNDED DEALS 2027'!$A$4:$A$1226,0)),"not found")))</f>
        <v/>
      </c>
      <c r="D64" s="55" t="str">
        <f aca="false">IF($A64="","",IFERROR(INDEX('FUNDED DEALS'!$F$4:$F$1226,MATCH($A64,'FUNDED DEALS'!$A$4:$A$1226,0)),IFERROR(INDEX('FUNDED DEALS 2027'!$F$4:$F$1226,MATCH($A64,'FUNDED DEALS 2027'!$A$4:$A$1226,0)),"not found")))</f>
        <v/>
      </c>
      <c r="E64" s="78" t="str">
        <f aca="false">IF($A64="","",COUNTIFS('FUNDED DEALS'!$B$4:$B$1226,$A64,'FUNDED DEALS'!$A$4:$A$1226,"&lt;&gt;"&amp;$A64)+COUNTIFS('FUNDED DEALS 2027'!$B$4:$B$1226,$A64,'FUNDED DEALS 2027'!$A$4:$A$1226,"&lt;&gt;"&amp;$A64))</f>
        <v/>
      </c>
      <c r="F64" s="79" t="str">
        <f aca="false">IF($A64="","",SUMIF('FUNDED DEALS'!$A$4:$A$1226,$A64,'FUNDED DEALS'!$G$4:$G$1226)+SUMIFS('FUNDED DEALS'!$G$4:$G$1226,'FUNDED DEALS'!$B$4:$B$1226,$A64,'FUNDED DEALS'!$A$4:$A$1226,"&lt;&gt;"&amp;$A64)+SUMIF('FUNDED DEALS 2027'!$A$4:$A$1226,$A64,'FUNDED DEALS 2027'!$G$4:$G$1226)+SUMIFS('FUNDED DEALS 2027'!$G$4:$G$1226,'FUNDED DEALS 2027'!$B$4:$B$1226,$A64,'FUNDED DEALS 2027'!$A$4:$A$1226,"&lt;&gt;"&amp;$A64))</f>
        <v/>
      </c>
      <c r="G64" s="79" t="str">
        <f aca="false">IF($A64="","",SUMIF('FUNDED DEALS'!$A$4:$A$1226,$A64,'FUNDED DEALS'!$O$4:$O$1226)+SUMIFS('FUNDED DEALS'!$O$4:$O$1226,'FUNDED DEALS'!$B$4:$B$1226,$A64,'FUNDED DEALS'!$A$4:$A$1226,"&lt;&gt;"&amp;$A64)+SUMIF('FUNDED DEALS 2027'!$A$4:$A$1226,$A64,'FUNDED DEALS 2027'!$O$4:$O$1226)+SUMIFS('FUNDED DEALS 2027'!$O$4:$O$1226,'FUNDED DEALS 2027'!$B$4:$B$1226,$A64,'FUNDED DEALS 2027'!$A$4:$A$1226,"&lt;&gt;"&amp;$A64))</f>
        <v/>
      </c>
      <c r="H64" s="79" t="str">
        <f aca="false">IF($A64="","",SUMIF('FUNDED DEALS'!$A$4:$A$1226,$A64,'FUNDED DEALS'!$AC$4:$AC$1226)+SUMIFS('FUNDED DEALS'!$AC$4:$AC$1226,'FUNDED DEALS'!$B$4:$B$1226,$A64,'FUNDED DEALS'!$A$4:$A$1226,"&lt;&gt;"&amp;$A64)+SUMIF('FUNDED DEALS 2027'!$A$4:$A$1226,$A64,'FUNDED DEALS 2027'!$AC$4:$AC$1226)+SUMIFS('FUNDED DEALS 2027'!$AC$4:$AC$1226,'FUNDED DEALS 2027'!$B$4:$B$1226,$A64,'FUNDED DEALS 2027'!$A$4:$A$1226,"&lt;&gt;"&amp;$A64))</f>
        <v/>
      </c>
      <c r="I64" s="79" t="str">
        <f aca="false">IF($A64="","",SUMIF('FUNDED DEALS'!$A$4:$A$1226,$A64,'FUNDED DEALS'!$AD$4:$AD$1226)+SUMIFS('FUNDED DEALS'!$AD$4:$AD$1226,'FUNDED DEALS'!$B$4:$B$1226,$A64,'FUNDED DEALS'!$A$4:$A$1226,"&lt;&gt;"&amp;$A64)+SUMIF('FUNDED DEALS 2027'!$A$4:$A$1226,$A64,'FUNDED DEALS 2027'!$AD$4:$AD$1226)+SUMIFS('FUNDED DEALS 2027'!$AD$4:$AD$1226,'FUNDED DEALS 2027'!$B$4:$B$1226,$A64,'FUNDED DEALS 2027'!$A$4:$A$1226,"&lt;&gt;"&amp;$A64))</f>
        <v/>
      </c>
      <c r="J64" s="79" t="str">
        <f aca="false">IF($A64="","",SUMIFS('FUNDED DEALS'!$O$4:$O$1226,'FUNDED DEALS'!$A$4:$A$1226,$A64,'FUNDED DEALS'!$AM$4:$AM$1226,"YES - Paid In Full")+SUMIFS('FUNDED DEALS'!$O$4:$O$1226,'FUNDED DEALS'!$B$4:$B$1226,$A64,'FUNDED DEALS'!$AM$4:$AM$1226,"YES - Paid In Full",'FUNDED DEALS'!$A$4:$A$1226,"&lt;&gt;"&amp;$A64)+SUMIFS('FUNDED DEALS 2027'!$O$4:$O$1226,'FUNDED DEALS 2027'!$A$4:$A$1226,$A64,'FUNDED DEALS 2027'!$AM$4:$AM$1226,"YES - Paid In Full")+SUMIFS('FUNDED DEALS 2027'!$O$4:$O$1226,'FUNDED DEALS 2027'!$B$4:$B$1226,$A64,'FUNDED DEALS 2027'!$AM$4:$AM$1226,"YES - Paid In Full",'FUNDED DEALS 2027'!$A$4:$A$1226,"&lt;&gt;"&amp;$A64))</f>
        <v/>
      </c>
      <c r="K64" s="79" t="str">
        <f aca="false">IF($A64="","",G64-J64-L64)</f>
        <v/>
      </c>
      <c r="L64" s="79" t="str">
        <f aca="false">IF($A64="","",SUMIF('FUNDED DEALS'!$A$4:$A$1226,$A64,'FUNDED DEALS'!$AE$4:$AE$1226)+SUMIFS('FUNDED DEALS'!$AE$4:$AE$1226,'FUNDED DEALS'!$B$4:$B$1226,$A64,'FUNDED DEALS'!$A$4:$A$1226,"&lt;&gt;"&amp;$A64)+SUMIF('FUNDED DEALS 2027'!$A$4:$A$1226,$A64,'FUNDED DEALS 2027'!$AE$4:$AE$1226)+SUMIFS('FUNDED DEALS 2027'!$AE$4:$AE$1226,'FUNDED DEALS 2027'!$B$4:$B$1226,$A64,'FUNDED DEALS 2027'!$A$4:$A$1226,"&lt;&gt;"&amp;$A64))</f>
        <v/>
      </c>
      <c r="M64" s="79" t="str">
        <f aca="false">IF($A64="","",SUMIF('FUNDED DEALS'!$A$4:$A$1226,$A64,'FUNDED DEALS'!$AL$4:$AL$1226)+SUMIFS('FUNDED DEALS'!$AL$4:$AL$1226,'FUNDED DEALS'!$B$4:$B$1226,$A64,'FUNDED DEALS'!$A$4:$A$1226,"&lt;&gt;"&amp;$A64)+SUMIF('FUNDED DEALS 2027'!$A$4:$A$1226,$A64,'FUNDED DEALS 2027'!$AL$4:$AL$1226)+SUMIFS('FUNDED DEALS 2027'!$AL$4:$AL$1226,'FUNDED DEALS 2027'!$B$4:$B$1226,$A64,'FUNDED DEALS 2027'!$A$4:$A$1226,"&lt;&gt;"&amp;$A64))</f>
        <v/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72" t="s">
        <v>158</v>
      </c>
      <c r="B1" s="72" t="s">
        <v>159</v>
      </c>
      <c r="C1" s="72" t="s">
        <v>160</v>
      </c>
      <c r="D1" s="72" t="s">
        <v>161</v>
      </c>
      <c r="E1" s="72" t="s">
        <v>162</v>
      </c>
      <c r="F1" s="72" t="s">
        <v>163</v>
      </c>
      <c r="I1" s="5" t="s">
        <v>164</v>
      </c>
    </row>
    <row r="2" customFormat="false" ht="16.15" hidden="false" customHeight="false" outlineLevel="0" collapsed="false">
      <c r="A2" s="80" t="s">
        <v>165</v>
      </c>
      <c r="B2" s="80" t="s">
        <v>166</v>
      </c>
      <c r="C2" s="80" t="s">
        <v>167</v>
      </c>
      <c r="D2" s="80" t="s">
        <v>168</v>
      </c>
      <c r="E2" s="80" t="s">
        <v>169</v>
      </c>
      <c r="F2" s="80" t="s">
        <v>170</v>
      </c>
      <c r="I2" s="62" t="n">
        <v>30</v>
      </c>
    </row>
    <row r="3" customFormat="false" ht="15" hidden="false" customHeight="false" outlineLevel="0" collapsed="false">
      <c r="A3" s="81"/>
      <c r="B3" s="82" t="s">
        <v>171</v>
      </c>
      <c r="C3" s="82" t="s">
        <v>172</v>
      </c>
      <c r="D3" s="82" t="s">
        <v>173</v>
      </c>
      <c r="E3" s="82" t="s">
        <v>174</v>
      </c>
      <c r="F3" s="82" t="s">
        <v>175</v>
      </c>
      <c r="I3" s="41" t="s">
        <v>176</v>
      </c>
    </row>
    <row r="4" customFormat="false" ht="15" hidden="false" customHeight="false" outlineLevel="0" collapsed="false">
      <c r="A4" s="83"/>
      <c r="B4" s="80" t="s">
        <v>177</v>
      </c>
      <c r="C4" s="80" t="s">
        <v>178</v>
      </c>
      <c r="D4" s="80" t="s">
        <v>179</v>
      </c>
      <c r="E4" s="80" t="s">
        <v>180</v>
      </c>
      <c r="F4" s="80" t="s">
        <v>181</v>
      </c>
      <c r="I4" s="5" t="s">
        <v>182</v>
      </c>
    </row>
    <row r="5" customFormat="false" ht="16.15" hidden="false" customHeight="false" outlineLevel="0" collapsed="false">
      <c r="A5" s="81"/>
      <c r="B5" s="82" t="s">
        <v>183</v>
      </c>
      <c r="C5" s="82" t="s">
        <v>184</v>
      </c>
      <c r="D5" s="82" t="s">
        <v>185</v>
      </c>
      <c r="E5" s="82" t="s">
        <v>186</v>
      </c>
      <c r="F5" s="82" t="s">
        <v>187</v>
      </c>
      <c r="I5" s="62" t="n">
        <v>14</v>
      </c>
    </row>
    <row r="6" customFormat="false" ht="15" hidden="false" customHeight="false" outlineLevel="0" collapsed="false">
      <c r="A6" s="83"/>
      <c r="B6" s="80" t="s">
        <v>188</v>
      </c>
      <c r="C6" s="83"/>
      <c r="D6" s="80" t="s">
        <v>189</v>
      </c>
      <c r="E6" s="80" t="s">
        <v>190</v>
      </c>
      <c r="F6" s="80" t="s">
        <v>191</v>
      </c>
      <c r="I6" s="41" t="s">
        <v>192</v>
      </c>
    </row>
    <row r="7" customFormat="false" ht="15" hidden="false" customHeight="false" outlineLevel="0" collapsed="false">
      <c r="A7" s="81"/>
      <c r="B7" s="82" t="s">
        <v>193</v>
      </c>
      <c r="C7" s="81"/>
      <c r="D7" s="82" t="s">
        <v>194</v>
      </c>
      <c r="E7" s="82" t="s">
        <v>195</v>
      </c>
      <c r="F7" s="82" t="s">
        <v>196</v>
      </c>
      <c r="I7" s="5" t="s">
        <v>197</v>
      </c>
    </row>
    <row r="8" customFormat="false" ht="16.15" hidden="false" customHeight="false" outlineLevel="0" collapsed="false">
      <c r="A8" s="83"/>
      <c r="B8" s="80" t="s">
        <v>198</v>
      </c>
      <c r="C8" s="83"/>
      <c r="D8" s="83"/>
      <c r="E8" s="80" t="s">
        <v>199</v>
      </c>
      <c r="F8" s="83"/>
      <c r="I8" s="84" t="n">
        <v>0.4</v>
      </c>
    </row>
    <row r="9" customFormat="false" ht="15" hidden="false" customHeight="false" outlineLevel="0" collapsed="false">
      <c r="A9" s="81"/>
      <c r="B9" s="82" t="s">
        <v>200</v>
      </c>
      <c r="C9" s="81"/>
      <c r="D9" s="81"/>
      <c r="E9" s="82" t="s">
        <v>201</v>
      </c>
      <c r="F9" s="81"/>
      <c r="I9" s="41" t="s">
        <v>202</v>
      </c>
    </row>
    <row r="10" customFormat="false" ht="28.35" hidden="false" customHeight="false" outlineLevel="0" collapsed="false">
      <c r="A10" s="83"/>
      <c r="B10" s="80" t="s">
        <v>203</v>
      </c>
      <c r="C10" s="83"/>
      <c r="D10" s="83"/>
      <c r="E10" s="80" t="s">
        <v>204</v>
      </c>
      <c r="F10" s="83"/>
      <c r="I10" s="5" t="s">
        <v>205</v>
      </c>
    </row>
    <row r="11" customFormat="false" ht="16.15" hidden="false" customHeight="false" outlineLevel="0" collapsed="false">
      <c r="A11" s="81"/>
      <c r="B11" s="82" t="s">
        <v>206</v>
      </c>
      <c r="C11" s="81"/>
      <c r="D11" s="81"/>
      <c r="E11" s="82" t="s">
        <v>207</v>
      </c>
      <c r="F11" s="81"/>
      <c r="I11" s="62" t="n">
        <v>30</v>
      </c>
    </row>
    <row r="12" customFormat="false" ht="15" hidden="false" customHeight="false" outlineLevel="0" collapsed="false">
      <c r="A12" s="83"/>
      <c r="B12" s="80" t="s">
        <v>208</v>
      </c>
      <c r="C12" s="83"/>
      <c r="D12" s="83"/>
      <c r="E12" s="80" t="s">
        <v>209</v>
      </c>
      <c r="F12" s="83"/>
      <c r="I12" s="41" t="s">
        <v>210</v>
      </c>
    </row>
    <row r="13" customFormat="false" ht="15" hidden="false" customHeight="false" outlineLevel="0" collapsed="false">
      <c r="A13" s="81"/>
      <c r="B13" s="81"/>
      <c r="C13" s="81"/>
      <c r="D13" s="81"/>
      <c r="E13" s="81"/>
      <c r="F13" s="81"/>
    </row>
    <row r="14" customFormat="false" ht="15" hidden="false" customHeight="false" outlineLevel="0" collapsed="false">
      <c r="A14" s="83"/>
      <c r="B14" s="83"/>
      <c r="C14" s="83"/>
      <c r="D14" s="83"/>
      <c r="E14" s="83"/>
      <c r="F14" s="83"/>
    </row>
    <row r="15" customFormat="false" ht="15" hidden="false" customHeight="false" outlineLevel="0" collapsed="false">
      <c r="A15" s="81"/>
      <c r="B15" s="81"/>
      <c r="C15" s="81"/>
      <c r="D15" s="81"/>
      <c r="E15" s="81"/>
      <c r="F15" s="81"/>
    </row>
    <row r="16" customFormat="false" ht="15" hidden="false" customHeight="false" outlineLevel="0" collapsed="false">
      <c r="A16" s="83"/>
      <c r="B16" s="83"/>
      <c r="C16" s="83"/>
      <c r="D16" s="83"/>
      <c r="E16" s="83"/>
      <c r="F16" s="83"/>
    </row>
    <row r="17" customFormat="false" ht="15" hidden="false" customHeight="false" outlineLevel="0" collapsed="false">
      <c r="A17" s="81"/>
      <c r="B17" s="81"/>
      <c r="C17" s="81"/>
      <c r="D17" s="81"/>
      <c r="E17" s="81"/>
      <c r="F17" s="81"/>
    </row>
    <row r="18" customFormat="false" ht="15" hidden="false" customHeight="false" outlineLevel="0" collapsed="false">
      <c r="A18" s="83"/>
      <c r="B18" s="83"/>
      <c r="C18" s="83"/>
      <c r="D18" s="83"/>
      <c r="E18" s="83"/>
      <c r="F18" s="83"/>
    </row>
    <row r="19" customFormat="false" ht="15" hidden="false" customHeight="false" outlineLevel="0" collapsed="false">
      <c r="A19" s="81"/>
      <c r="B19" s="81"/>
      <c r="C19" s="81"/>
      <c r="D19" s="81"/>
      <c r="E19" s="81"/>
      <c r="F19" s="81"/>
    </row>
    <row r="20" customFormat="false" ht="15" hidden="false" customHeight="false" outlineLevel="0" collapsed="false">
      <c r="A20" s="83"/>
      <c r="B20" s="83"/>
      <c r="C20" s="83"/>
      <c r="D20" s="83"/>
      <c r="E20" s="83"/>
      <c r="F20" s="83"/>
    </row>
    <row r="21" customFormat="false" ht="15" hidden="false" customHeight="false" outlineLevel="0" collapsed="false">
      <c r="A21" s="81"/>
      <c r="B21" s="81"/>
      <c r="C21" s="81"/>
      <c r="D21" s="81"/>
      <c r="E21" s="81"/>
      <c r="F21" s="81"/>
    </row>
    <row r="22" customFormat="false" ht="15" hidden="false" customHeight="false" outlineLevel="0" collapsed="false">
      <c r="A22" s="83"/>
      <c r="B22" s="83"/>
      <c r="C22" s="83"/>
      <c r="D22" s="83"/>
      <c r="E22" s="83"/>
      <c r="F22" s="83"/>
    </row>
    <row r="23" customFormat="false" ht="15" hidden="false" customHeight="false" outlineLevel="0" collapsed="false">
      <c r="A23" s="81"/>
      <c r="B23" s="81"/>
      <c r="C23" s="81"/>
      <c r="D23" s="81"/>
      <c r="E23" s="81"/>
      <c r="F23" s="81"/>
    </row>
    <row r="24" customFormat="false" ht="15" hidden="false" customHeight="false" outlineLevel="0" collapsed="false">
      <c r="A24" s="83"/>
      <c r="B24" s="83"/>
      <c r="C24" s="83"/>
      <c r="D24" s="83"/>
      <c r="E24" s="83"/>
      <c r="F24" s="83"/>
    </row>
    <row r="25" customFormat="false" ht="15" hidden="false" customHeight="false" outlineLevel="0" collapsed="false">
      <c r="A25" s="81"/>
      <c r="B25" s="81"/>
      <c r="C25" s="81"/>
      <c r="D25" s="81"/>
      <c r="E25" s="81"/>
      <c r="F25" s="81"/>
    </row>
    <row r="26" customFormat="false" ht="15" hidden="false" customHeight="false" outlineLevel="0" collapsed="false">
      <c r="A26" s="83"/>
      <c r="B26" s="83"/>
      <c r="C26" s="83"/>
      <c r="D26" s="83"/>
      <c r="E26" s="83"/>
      <c r="F26" s="83"/>
    </row>
    <row r="27" customFormat="false" ht="15" hidden="false" customHeight="false" outlineLevel="0" collapsed="false">
      <c r="A27" s="81"/>
      <c r="B27" s="81"/>
      <c r="C27" s="81"/>
      <c r="D27" s="81"/>
      <c r="E27" s="81"/>
      <c r="F27" s="81"/>
    </row>
    <row r="28" customFormat="false" ht="15" hidden="false" customHeight="false" outlineLevel="0" collapsed="false">
      <c r="A28" s="83"/>
      <c r="B28" s="83"/>
      <c r="C28" s="83"/>
      <c r="D28" s="83"/>
      <c r="E28" s="83"/>
      <c r="F28" s="83"/>
    </row>
    <row r="29" customFormat="false" ht="15" hidden="false" customHeight="false" outlineLevel="0" collapsed="false">
      <c r="A29" s="81"/>
      <c r="B29" s="81"/>
      <c r="C29" s="81"/>
      <c r="D29" s="81"/>
      <c r="E29" s="81"/>
      <c r="F29" s="81"/>
    </row>
    <row r="30" customFormat="false" ht="15" hidden="false" customHeight="false" outlineLevel="0" collapsed="false">
      <c r="A30" s="83"/>
      <c r="B30" s="83"/>
      <c r="C30" s="83"/>
      <c r="D30" s="83"/>
      <c r="E30" s="83"/>
      <c r="F30" s="83"/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3" min="11" style="0" width="18"/>
    <col collapsed="false" customWidth="true" hidden="true" outlineLevel="0" max="15" min="15" style="0" width="13"/>
  </cols>
  <sheetData>
    <row r="1" customFormat="false" ht="31.5" hidden="false" customHeight="true" outlineLevel="0" collapsed="false">
      <c r="A1" s="5" t="s">
        <v>211</v>
      </c>
      <c r="B1" s="5" t="s">
        <v>21</v>
      </c>
      <c r="C1" s="5" t="s">
        <v>24</v>
      </c>
      <c r="D1" s="5" t="s">
        <v>27</v>
      </c>
      <c r="E1" s="5" t="s">
        <v>212</v>
      </c>
      <c r="F1" s="5" t="s">
        <v>213</v>
      </c>
      <c r="G1" s="5" t="s">
        <v>145</v>
      </c>
      <c r="H1" s="5" t="s">
        <v>120</v>
      </c>
      <c r="I1" s="5" t="s">
        <v>214</v>
      </c>
      <c r="J1" s="5" t="s">
        <v>215</v>
      </c>
      <c r="K1" s="42" t="s">
        <v>216</v>
      </c>
      <c r="L1" s="42" t="s">
        <v>112</v>
      </c>
      <c r="M1" s="42" t="s">
        <v>217</v>
      </c>
    </row>
    <row r="2" customFormat="false" ht="17.35" hidden="false" customHeight="false" outlineLevel="0" collapsed="false">
      <c r="A2" s="80" t="s">
        <v>218</v>
      </c>
      <c r="B2" s="85" t="n">
        <v>0.2</v>
      </c>
      <c r="C2" s="85" t="n">
        <v>0.2</v>
      </c>
      <c r="D2" s="85" t="n">
        <v>0.05</v>
      </c>
      <c r="E2" s="48" t="n">
        <f aca="false">IF($A2="","",SUMIFS('FUNDED DEALS'!$V$4:$V$1226,'FUNDED DEALS'!$T$4:$T$1226,$A2)+SUMIFS('FUNDED DEALS 2027'!$V$4:$V$1226,'FUNDED DEALS 2027'!$T$4:$T$1226,$A2)+SUMIFS('FUNDED DEALS'!$Y$4:$Y$1226,'FUNDED DEALS'!$W$4:$W$1226,$A2)+SUMIFS('FUNDED DEALS 2027'!$Y$4:$Y$1226,'FUNDED DEALS 2027'!$W$4:$W$1226,$A2)+SUMIFS('FUNDED DEALS'!$AB$4:$AB$1226,'FUNDED DEALS'!$Z$4:$Z$1226,$A2)+SUMIFS('FUNDED DEALS 2027'!$AB$4:$AB$1226,'FUNDED DEALS 2027'!$Z$4:$Z$1226,$A2))</f>
        <v>0</v>
      </c>
      <c r="F2" s="48" t="n">
        <f aca="false">IF($A2="","",SUMIFS('FUNDED DEALS'!$AG$4:$AG$1226,'FUNDED DEALS'!$T$4:$T$1226,$A2)+SUMIFS('FUNDED DEALS 2027'!$AG$4:$AG$1226,'FUNDED DEALS 2027'!$T$4:$T$1226,$A2)+SUMIFS('FUNDED DEALS'!$AH$4:$AH$1226,'FUNDED DEALS'!$W$4:$W$1226,$A2)+SUMIFS('FUNDED DEALS 2027'!$AH$4:$AH$1226,'FUNDED DEALS 2027'!$W$4:$W$1226,$A2)+SUMIFS('FUNDED DEALS'!$AI$4:$AI$1226,'FUNDED DEALS'!$Z$4:$Z$1226,$A2)+SUMIFS('FUNDED DEALS 2027'!$AI$4:$AI$1226,'FUNDED DEALS 2027'!$Z$4:$Z$1226,$A2))</f>
        <v>0</v>
      </c>
      <c r="G2" s="48" t="n">
        <f aca="false">IF($A2="","",SUMIFS('FUNDED DEALS'!$V$4:$V$1226,'FUNDED DEALS'!$T$4:$T$1226,$A2,'FUNDED DEALS'!$AO$4:$AO$1226,"&lt;&gt;")+SUMIFS('FUNDED DEALS 2027'!$V$4:$V$1226,'FUNDED DEALS 2027'!$T$4:$T$1226,$A2,'FUNDED DEALS 2027'!$AO$4:$AO$1226,"&lt;&gt;")+SUMIFS('FUNDED DEALS'!$Y$4:$Y$1226,'FUNDED DEALS'!$W$4:$W$1226,$A2,'FUNDED DEALS'!$AO$4:$AO$1226,"&lt;&gt;")+SUMIFS('FUNDED DEALS 2027'!$Y$4:$Y$1226,'FUNDED DEALS 2027'!$W$4:$W$1226,$A2,'FUNDED DEALS 2027'!$AO$4:$AO$1226,"&lt;&gt;")+SUMIFS('FUNDED DEALS'!$AB$4:$AB$1226,'FUNDED DEALS'!$Z$4:$Z$1226,$A2,'FUNDED DEALS'!$AO$4:$AO$1226,"&lt;&gt;")+SUMIFS('FUNDED DEALS 2027'!$AB$4:$AB$1226,'FUNDED DEALS 2027'!$Z$4:$Z$1226,$A2,'FUNDED DEALS 2027'!$AO$4:$AO$1226,"&lt;&gt;"))</f>
        <v>0</v>
      </c>
      <c r="H2" s="48" t="n">
        <f aca="false">IF($A2="","",E2-F2-G2)</f>
        <v>0</v>
      </c>
      <c r="I2" s="86" t="n">
        <f aca="false">IF($A2="","",COUNTIFS('FUNDED DEALS'!$T$4:$T$1226,$A2)+COUNTIFS('FUNDED DEALS 2027'!$T$4:$T$1226,$A2)+COUNTIFS('FUNDED DEALS'!$W$4:$W$1226,$A2)+COUNTIFS('FUNDED DEALS 2027'!$W$4:$W$1226,$A2)+COUNTIFS('FUNDED DEALS'!$Z$4:$Z$1226,$A2)+COUNTIFS('FUNDED DEALS 2027'!$Z$4:$Z$1226,$A2))</f>
        <v>0</v>
      </c>
      <c r="J2" s="87" t="s">
        <v>215</v>
      </c>
      <c r="K2" s="43" t="n">
        <f aca="false">SUM(E2:E40)</f>
        <v>0</v>
      </c>
      <c r="L2" s="44" t="n">
        <f aca="false">SUM(G2:G40)</f>
        <v>0</v>
      </c>
      <c r="M2" s="45" t="n">
        <f aca="false">SUM(H2:H40)</f>
        <v>0</v>
      </c>
      <c r="O2" s="0" t="str">
        <f aca="false">IF(AND($A2&lt;&gt;"",$J2="Active"),$A2,"")</f>
        <v>Leor</v>
      </c>
    </row>
    <row r="3" customFormat="false" ht="15" hidden="false" customHeight="false" outlineLevel="0" collapsed="false">
      <c r="A3" s="82" t="s">
        <v>219</v>
      </c>
      <c r="B3" s="88" t="n">
        <v>0.2</v>
      </c>
      <c r="C3" s="88" t="n">
        <v>0.2</v>
      </c>
      <c r="D3" s="88" t="n">
        <v>0.05</v>
      </c>
      <c r="E3" s="51" t="n">
        <f aca="false">IF($A3="","",SUMIFS('FUNDED DEALS'!$V$4:$V$1226,'FUNDED DEALS'!$T$4:$T$1226,$A3)+SUMIFS('FUNDED DEALS 2027'!$V$4:$V$1226,'FUNDED DEALS 2027'!$T$4:$T$1226,$A3)+SUMIFS('FUNDED DEALS'!$Y$4:$Y$1226,'FUNDED DEALS'!$W$4:$W$1226,$A3)+SUMIFS('FUNDED DEALS 2027'!$Y$4:$Y$1226,'FUNDED DEALS 2027'!$W$4:$W$1226,$A3)+SUMIFS('FUNDED DEALS'!$AB$4:$AB$1226,'FUNDED DEALS'!$Z$4:$Z$1226,$A3)+SUMIFS('FUNDED DEALS 2027'!$AB$4:$AB$1226,'FUNDED DEALS 2027'!$Z$4:$Z$1226,$A3))</f>
        <v>0</v>
      </c>
      <c r="F3" s="51" t="n">
        <f aca="false">IF($A3="","",SUMIFS('FUNDED DEALS'!$AG$4:$AG$1226,'FUNDED DEALS'!$T$4:$T$1226,$A3)+SUMIFS('FUNDED DEALS 2027'!$AG$4:$AG$1226,'FUNDED DEALS 2027'!$T$4:$T$1226,$A3)+SUMIFS('FUNDED DEALS'!$AH$4:$AH$1226,'FUNDED DEALS'!$W$4:$W$1226,$A3)+SUMIFS('FUNDED DEALS 2027'!$AH$4:$AH$1226,'FUNDED DEALS 2027'!$W$4:$W$1226,$A3)+SUMIFS('FUNDED DEALS'!$AI$4:$AI$1226,'FUNDED DEALS'!$Z$4:$Z$1226,$A3)+SUMIFS('FUNDED DEALS 2027'!$AI$4:$AI$1226,'FUNDED DEALS 2027'!$Z$4:$Z$1226,$A3))</f>
        <v>0</v>
      </c>
      <c r="G3" s="51" t="n">
        <f aca="false">IF($A3="","",SUMIFS('FUNDED DEALS'!$V$4:$V$1226,'FUNDED DEALS'!$T$4:$T$1226,$A3,'FUNDED DEALS'!$AO$4:$AO$1226,"&lt;&gt;")+SUMIFS('FUNDED DEALS 2027'!$V$4:$V$1226,'FUNDED DEALS 2027'!$T$4:$T$1226,$A3,'FUNDED DEALS 2027'!$AO$4:$AO$1226,"&lt;&gt;")+SUMIFS('FUNDED DEALS'!$Y$4:$Y$1226,'FUNDED DEALS'!$W$4:$W$1226,$A3,'FUNDED DEALS'!$AO$4:$AO$1226,"&lt;&gt;")+SUMIFS('FUNDED DEALS 2027'!$Y$4:$Y$1226,'FUNDED DEALS 2027'!$W$4:$W$1226,$A3,'FUNDED DEALS 2027'!$AO$4:$AO$1226,"&lt;&gt;")+SUMIFS('FUNDED DEALS'!$AB$4:$AB$1226,'FUNDED DEALS'!$Z$4:$Z$1226,$A3,'FUNDED DEALS'!$AO$4:$AO$1226,"&lt;&gt;")+SUMIFS('FUNDED DEALS 2027'!$AB$4:$AB$1226,'FUNDED DEALS 2027'!$Z$4:$Z$1226,$A3,'FUNDED DEALS 2027'!$AO$4:$AO$1226,"&lt;&gt;"))</f>
        <v>0</v>
      </c>
      <c r="H3" s="51" t="n">
        <f aca="false">IF($A3="","",E3-F3-G3)</f>
        <v>0</v>
      </c>
      <c r="I3" s="89" t="n">
        <f aca="false">IF($A3="","",COUNTIFS('FUNDED DEALS'!$T$4:$T$1226,$A3)+COUNTIFS('FUNDED DEALS 2027'!$T$4:$T$1226,$A3)+COUNTIFS('FUNDED DEALS'!$W$4:$W$1226,$A3)+COUNTIFS('FUNDED DEALS 2027'!$W$4:$W$1226,$A3)+COUNTIFS('FUNDED DEALS'!$Z$4:$Z$1226,$A3)+COUNTIFS('FUNDED DEALS 2027'!$Z$4:$Z$1226,$A3))</f>
        <v>0</v>
      </c>
      <c r="J3" s="90" t="s">
        <v>215</v>
      </c>
      <c r="O3" s="0" t="str">
        <f aca="false">IF(AND($A3&lt;&gt;"",$J3="Active"),$A3,"")</f>
        <v>Raymond Amato</v>
      </c>
    </row>
    <row r="4" customFormat="false" ht="15" hidden="false" customHeight="false" outlineLevel="0" collapsed="false">
      <c r="A4" s="80" t="s">
        <v>220</v>
      </c>
      <c r="B4" s="85" t="n">
        <v>0.2</v>
      </c>
      <c r="C4" s="85" t="n">
        <v>0.2</v>
      </c>
      <c r="D4" s="85" t="n">
        <v>0.05</v>
      </c>
      <c r="E4" s="48" t="n">
        <f aca="false">IF($A4="","",SUMIFS('FUNDED DEALS'!$V$4:$V$1226,'FUNDED DEALS'!$T$4:$T$1226,$A4)+SUMIFS('FUNDED DEALS 2027'!$V$4:$V$1226,'FUNDED DEALS 2027'!$T$4:$T$1226,$A4)+SUMIFS('FUNDED DEALS'!$Y$4:$Y$1226,'FUNDED DEALS'!$W$4:$W$1226,$A4)+SUMIFS('FUNDED DEALS 2027'!$Y$4:$Y$1226,'FUNDED DEALS 2027'!$W$4:$W$1226,$A4)+SUMIFS('FUNDED DEALS'!$AB$4:$AB$1226,'FUNDED DEALS'!$Z$4:$Z$1226,$A4)+SUMIFS('FUNDED DEALS 2027'!$AB$4:$AB$1226,'FUNDED DEALS 2027'!$Z$4:$Z$1226,$A4))</f>
        <v>0</v>
      </c>
      <c r="F4" s="48" t="n">
        <f aca="false">IF($A4="","",SUMIFS('FUNDED DEALS'!$AG$4:$AG$1226,'FUNDED DEALS'!$T$4:$T$1226,$A4)+SUMIFS('FUNDED DEALS 2027'!$AG$4:$AG$1226,'FUNDED DEALS 2027'!$T$4:$T$1226,$A4)+SUMIFS('FUNDED DEALS'!$AH$4:$AH$1226,'FUNDED DEALS'!$W$4:$W$1226,$A4)+SUMIFS('FUNDED DEALS 2027'!$AH$4:$AH$1226,'FUNDED DEALS 2027'!$W$4:$W$1226,$A4)+SUMIFS('FUNDED DEALS'!$AI$4:$AI$1226,'FUNDED DEALS'!$Z$4:$Z$1226,$A4)+SUMIFS('FUNDED DEALS 2027'!$AI$4:$AI$1226,'FUNDED DEALS 2027'!$Z$4:$Z$1226,$A4))</f>
        <v>0</v>
      </c>
      <c r="G4" s="48" t="n">
        <f aca="false">IF($A4="","",SUMIFS('FUNDED DEALS'!$V$4:$V$1226,'FUNDED DEALS'!$T$4:$T$1226,$A4,'FUNDED DEALS'!$AO$4:$AO$1226,"&lt;&gt;")+SUMIFS('FUNDED DEALS 2027'!$V$4:$V$1226,'FUNDED DEALS 2027'!$T$4:$T$1226,$A4,'FUNDED DEALS 2027'!$AO$4:$AO$1226,"&lt;&gt;")+SUMIFS('FUNDED DEALS'!$Y$4:$Y$1226,'FUNDED DEALS'!$W$4:$W$1226,$A4,'FUNDED DEALS'!$AO$4:$AO$1226,"&lt;&gt;")+SUMIFS('FUNDED DEALS 2027'!$Y$4:$Y$1226,'FUNDED DEALS 2027'!$W$4:$W$1226,$A4,'FUNDED DEALS 2027'!$AO$4:$AO$1226,"&lt;&gt;")+SUMIFS('FUNDED DEALS'!$AB$4:$AB$1226,'FUNDED DEALS'!$Z$4:$Z$1226,$A4,'FUNDED DEALS'!$AO$4:$AO$1226,"&lt;&gt;")+SUMIFS('FUNDED DEALS 2027'!$AB$4:$AB$1226,'FUNDED DEALS 2027'!$Z$4:$Z$1226,$A4,'FUNDED DEALS 2027'!$AO$4:$AO$1226,"&lt;&gt;"))</f>
        <v>0</v>
      </c>
      <c r="H4" s="48" t="n">
        <f aca="false">IF($A4="","",E4-F4-G4)</f>
        <v>0</v>
      </c>
      <c r="I4" s="86" t="n">
        <f aca="false">IF($A4="","",COUNTIFS('FUNDED DEALS'!$T$4:$T$1226,$A4)+COUNTIFS('FUNDED DEALS 2027'!$T$4:$T$1226,$A4)+COUNTIFS('FUNDED DEALS'!$W$4:$W$1226,$A4)+COUNTIFS('FUNDED DEALS 2027'!$W$4:$W$1226,$A4)+COUNTIFS('FUNDED DEALS'!$Z$4:$Z$1226,$A4)+COUNTIFS('FUNDED DEALS 2027'!$Z$4:$Z$1226,$A4))</f>
        <v>0</v>
      </c>
      <c r="J4" s="87" t="s">
        <v>215</v>
      </c>
      <c r="K4" s="41" t="s">
        <v>221</v>
      </c>
      <c r="O4" s="0" t="str">
        <f aca="false">IF(AND($A4&lt;&gt;"",$J4="Active"),$A4,"")</f>
        <v>Azi Sharbani</v>
      </c>
    </row>
    <row r="5" customFormat="false" ht="15" hidden="false" customHeight="false" outlineLevel="0" collapsed="false">
      <c r="A5" s="82" t="s">
        <v>222</v>
      </c>
      <c r="B5" s="88" t="n">
        <v>0.2</v>
      </c>
      <c r="C5" s="88" t="n">
        <v>0.2</v>
      </c>
      <c r="D5" s="88" t="n">
        <v>0.05</v>
      </c>
      <c r="E5" s="51" t="n">
        <f aca="false">IF($A5="","",SUMIFS('FUNDED DEALS'!$V$4:$V$1226,'FUNDED DEALS'!$T$4:$T$1226,$A5)+SUMIFS('FUNDED DEALS 2027'!$V$4:$V$1226,'FUNDED DEALS 2027'!$T$4:$T$1226,$A5)+SUMIFS('FUNDED DEALS'!$Y$4:$Y$1226,'FUNDED DEALS'!$W$4:$W$1226,$A5)+SUMIFS('FUNDED DEALS 2027'!$Y$4:$Y$1226,'FUNDED DEALS 2027'!$W$4:$W$1226,$A5)+SUMIFS('FUNDED DEALS'!$AB$4:$AB$1226,'FUNDED DEALS'!$Z$4:$Z$1226,$A5)+SUMIFS('FUNDED DEALS 2027'!$AB$4:$AB$1226,'FUNDED DEALS 2027'!$Z$4:$Z$1226,$A5))</f>
        <v>0</v>
      </c>
      <c r="F5" s="51" t="n">
        <f aca="false">IF($A5="","",SUMIFS('FUNDED DEALS'!$AG$4:$AG$1226,'FUNDED DEALS'!$T$4:$T$1226,$A5)+SUMIFS('FUNDED DEALS 2027'!$AG$4:$AG$1226,'FUNDED DEALS 2027'!$T$4:$T$1226,$A5)+SUMIFS('FUNDED DEALS'!$AH$4:$AH$1226,'FUNDED DEALS'!$W$4:$W$1226,$A5)+SUMIFS('FUNDED DEALS 2027'!$AH$4:$AH$1226,'FUNDED DEALS 2027'!$W$4:$W$1226,$A5)+SUMIFS('FUNDED DEALS'!$AI$4:$AI$1226,'FUNDED DEALS'!$Z$4:$Z$1226,$A5)+SUMIFS('FUNDED DEALS 2027'!$AI$4:$AI$1226,'FUNDED DEALS 2027'!$Z$4:$Z$1226,$A5))</f>
        <v>0</v>
      </c>
      <c r="G5" s="51" t="n">
        <f aca="false">IF($A5="","",SUMIFS('FUNDED DEALS'!$V$4:$V$1226,'FUNDED DEALS'!$T$4:$T$1226,$A5,'FUNDED DEALS'!$AO$4:$AO$1226,"&lt;&gt;")+SUMIFS('FUNDED DEALS 2027'!$V$4:$V$1226,'FUNDED DEALS 2027'!$T$4:$T$1226,$A5,'FUNDED DEALS 2027'!$AO$4:$AO$1226,"&lt;&gt;")+SUMIFS('FUNDED DEALS'!$Y$4:$Y$1226,'FUNDED DEALS'!$W$4:$W$1226,$A5,'FUNDED DEALS'!$AO$4:$AO$1226,"&lt;&gt;")+SUMIFS('FUNDED DEALS 2027'!$Y$4:$Y$1226,'FUNDED DEALS 2027'!$W$4:$W$1226,$A5,'FUNDED DEALS 2027'!$AO$4:$AO$1226,"&lt;&gt;")+SUMIFS('FUNDED DEALS'!$AB$4:$AB$1226,'FUNDED DEALS'!$Z$4:$Z$1226,$A5,'FUNDED DEALS'!$AO$4:$AO$1226,"&lt;&gt;")+SUMIFS('FUNDED DEALS 2027'!$AB$4:$AB$1226,'FUNDED DEALS 2027'!$Z$4:$Z$1226,$A5,'FUNDED DEALS 2027'!$AO$4:$AO$1226,"&lt;&gt;"))</f>
        <v>0</v>
      </c>
      <c r="H5" s="51" t="n">
        <f aca="false">IF($A5="","",E5-F5-G5)</f>
        <v>0</v>
      </c>
      <c r="I5" s="89" t="n">
        <f aca="false">IF($A5="","",COUNTIFS('FUNDED DEALS'!$T$4:$T$1226,$A5)+COUNTIFS('FUNDED DEALS 2027'!$T$4:$T$1226,$A5)+COUNTIFS('FUNDED DEALS'!$W$4:$W$1226,$A5)+COUNTIFS('FUNDED DEALS 2027'!$W$4:$W$1226,$A5)+COUNTIFS('FUNDED DEALS'!$Z$4:$Z$1226,$A5)+COUNTIFS('FUNDED DEALS 2027'!$Z$4:$Z$1226,$A5))</f>
        <v>0</v>
      </c>
      <c r="J5" s="90" t="s">
        <v>215</v>
      </c>
      <c r="O5" s="0" t="str">
        <f aca="false">IF(AND($A5&lt;&gt;"",$J5="Active"),$A5,"")</f>
        <v>Nick Faldo</v>
      </c>
    </row>
    <row r="6" customFormat="false" ht="15" hidden="false" customHeight="false" outlineLevel="0" collapsed="false">
      <c r="A6" s="80" t="s">
        <v>223</v>
      </c>
      <c r="B6" s="85" t="n">
        <v>0.4</v>
      </c>
      <c r="C6" s="85" t="n">
        <v>0.4</v>
      </c>
      <c r="D6" s="85" t="n">
        <v>0.05</v>
      </c>
      <c r="E6" s="48" t="n">
        <f aca="false">IF($A6="","",SUMIFS('FUNDED DEALS'!$V$4:$V$1226,'FUNDED DEALS'!$T$4:$T$1226,$A6)+SUMIFS('FUNDED DEALS 2027'!$V$4:$V$1226,'FUNDED DEALS 2027'!$T$4:$T$1226,$A6)+SUMIFS('FUNDED DEALS'!$Y$4:$Y$1226,'FUNDED DEALS'!$W$4:$W$1226,$A6)+SUMIFS('FUNDED DEALS 2027'!$Y$4:$Y$1226,'FUNDED DEALS 2027'!$W$4:$W$1226,$A6)+SUMIFS('FUNDED DEALS'!$AB$4:$AB$1226,'FUNDED DEALS'!$Z$4:$Z$1226,$A6)+SUMIFS('FUNDED DEALS 2027'!$AB$4:$AB$1226,'FUNDED DEALS 2027'!$Z$4:$Z$1226,$A6))</f>
        <v>0</v>
      </c>
      <c r="F6" s="48" t="n">
        <f aca="false">IF($A6="","",SUMIFS('FUNDED DEALS'!$AG$4:$AG$1226,'FUNDED DEALS'!$T$4:$T$1226,$A6)+SUMIFS('FUNDED DEALS 2027'!$AG$4:$AG$1226,'FUNDED DEALS 2027'!$T$4:$T$1226,$A6)+SUMIFS('FUNDED DEALS'!$AH$4:$AH$1226,'FUNDED DEALS'!$W$4:$W$1226,$A6)+SUMIFS('FUNDED DEALS 2027'!$AH$4:$AH$1226,'FUNDED DEALS 2027'!$W$4:$W$1226,$A6)+SUMIFS('FUNDED DEALS'!$AI$4:$AI$1226,'FUNDED DEALS'!$Z$4:$Z$1226,$A6)+SUMIFS('FUNDED DEALS 2027'!$AI$4:$AI$1226,'FUNDED DEALS 2027'!$Z$4:$Z$1226,$A6))</f>
        <v>0</v>
      </c>
      <c r="G6" s="48" t="n">
        <f aca="false">IF($A6="","",SUMIFS('FUNDED DEALS'!$V$4:$V$1226,'FUNDED DEALS'!$T$4:$T$1226,$A6,'FUNDED DEALS'!$AO$4:$AO$1226,"&lt;&gt;")+SUMIFS('FUNDED DEALS 2027'!$V$4:$V$1226,'FUNDED DEALS 2027'!$T$4:$T$1226,$A6,'FUNDED DEALS 2027'!$AO$4:$AO$1226,"&lt;&gt;")+SUMIFS('FUNDED DEALS'!$Y$4:$Y$1226,'FUNDED DEALS'!$W$4:$W$1226,$A6,'FUNDED DEALS'!$AO$4:$AO$1226,"&lt;&gt;")+SUMIFS('FUNDED DEALS 2027'!$Y$4:$Y$1226,'FUNDED DEALS 2027'!$W$4:$W$1226,$A6,'FUNDED DEALS 2027'!$AO$4:$AO$1226,"&lt;&gt;")+SUMIFS('FUNDED DEALS'!$AB$4:$AB$1226,'FUNDED DEALS'!$Z$4:$Z$1226,$A6,'FUNDED DEALS'!$AO$4:$AO$1226,"&lt;&gt;")+SUMIFS('FUNDED DEALS 2027'!$AB$4:$AB$1226,'FUNDED DEALS 2027'!$Z$4:$Z$1226,$A6,'FUNDED DEALS 2027'!$AO$4:$AO$1226,"&lt;&gt;"))</f>
        <v>0</v>
      </c>
      <c r="H6" s="48" t="n">
        <f aca="false">IF($A6="","",E6-F6-G6)</f>
        <v>0</v>
      </c>
      <c r="I6" s="86" t="n">
        <f aca="false">IF($A6="","",COUNTIFS('FUNDED DEALS'!$T$4:$T$1226,$A6)+COUNTIFS('FUNDED DEALS 2027'!$T$4:$T$1226,$A6)+COUNTIFS('FUNDED DEALS'!$W$4:$W$1226,$A6)+COUNTIFS('FUNDED DEALS 2027'!$W$4:$W$1226,$A6)+COUNTIFS('FUNDED DEALS'!$Z$4:$Z$1226,$A6)+COUNTIFS('FUNDED DEALS 2027'!$Z$4:$Z$1226,$A6))</f>
        <v>0</v>
      </c>
      <c r="J6" s="87" t="s">
        <v>215</v>
      </c>
      <c r="O6" s="0" t="str">
        <f aca="false">IF(AND($A6&lt;&gt;"",$J6="Active"),$A6,"")</f>
        <v>Zach Sanders</v>
      </c>
    </row>
    <row r="7" customFormat="false" ht="15" hidden="false" customHeight="false" outlineLevel="0" collapsed="false">
      <c r="A7" s="82" t="s">
        <v>224</v>
      </c>
      <c r="B7" s="88" t="n">
        <v>0.3</v>
      </c>
      <c r="C7" s="88" t="n">
        <v>0.3</v>
      </c>
      <c r="D7" s="88" t="n">
        <v>0.05</v>
      </c>
      <c r="E7" s="51" t="n">
        <f aca="false">IF($A7="","",SUMIFS('FUNDED DEALS'!$V$4:$V$1226,'FUNDED DEALS'!$T$4:$T$1226,$A7)+SUMIFS('FUNDED DEALS 2027'!$V$4:$V$1226,'FUNDED DEALS 2027'!$T$4:$T$1226,$A7)+SUMIFS('FUNDED DEALS'!$Y$4:$Y$1226,'FUNDED DEALS'!$W$4:$W$1226,$A7)+SUMIFS('FUNDED DEALS 2027'!$Y$4:$Y$1226,'FUNDED DEALS 2027'!$W$4:$W$1226,$A7)+SUMIFS('FUNDED DEALS'!$AB$4:$AB$1226,'FUNDED DEALS'!$Z$4:$Z$1226,$A7)+SUMIFS('FUNDED DEALS 2027'!$AB$4:$AB$1226,'FUNDED DEALS 2027'!$Z$4:$Z$1226,$A7))</f>
        <v>0</v>
      </c>
      <c r="F7" s="51" t="n">
        <f aca="false">IF($A7="","",SUMIFS('FUNDED DEALS'!$AG$4:$AG$1226,'FUNDED DEALS'!$T$4:$T$1226,$A7)+SUMIFS('FUNDED DEALS 2027'!$AG$4:$AG$1226,'FUNDED DEALS 2027'!$T$4:$T$1226,$A7)+SUMIFS('FUNDED DEALS'!$AH$4:$AH$1226,'FUNDED DEALS'!$W$4:$W$1226,$A7)+SUMIFS('FUNDED DEALS 2027'!$AH$4:$AH$1226,'FUNDED DEALS 2027'!$W$4:$W$1226,$A7)+SUMIFS('FUNDED DEALS'!$AI$4:$AI$1226,'FUNDED DEALS'!$Z$4:$Z$1226,$A7)+SUMIFS('FUNDED DEALS 2027'!$AI$4:$AI$1226,'FUNDED DEALS 2027'!$Z$4:$Z$1226,$A7))</f>
        <v>0</v>
      </c>
      <c r="G7" s="51" t="n">
        <f aca="false">IF($A7="","",SUMIFS('FUNDED DEALS'!$V$4:$V$1226,'FUNDED DEALS'!$T$4:$T$1226,$A7,'FUNDED DEALS'!$AO$4:$AO$1226,"&lt;&gt;")+SUMIFS('FUNDED DEALS 2027'!$V$4:$V$1226,'FUNDED DEALS 2027'!$T$4:$T$1226,$A7,'FUNDED DEALS 2027'!$AO$4:$AO$1226,"&lt;&gt;")+SUMIFS('FUNDED DEALS'!$Y$4:$Y$1226,'FUNDED DEALS'!$W$4:$W$1226,$A7,'FUNDED DEALS'!$AO$4:$AO$1226,"&lt;&gt;")+SUMIFS('FUNDED DEALS 2027'!$Y$4:$Y$1226,'FUNDED DEALS 2027'!$W$4:$W$1226,$A7,'FUNDED DEALS 2027'!$AO$4:$AO$1226,"&lt;&gt;")+SUMIFS('FUNDED DEALS'!$AB$4:$AB$1226,'FUNDED DEALS'!$Z$4:$Z$1226,$A7,'FUNDED DEALS'!$AO$4:$AO$1226,"&lt;&gt;")+SUMIFS('FUNDED DEALS 2027'!$AB$4:$AB$1226,'FUNDED DEALS 2027'!$Z$4:$Z$1226,$A7,'FUNDED DEALS 2027'!$AO$4:$AO$1226,"&lt;&gt;"))</f>
        <v>0</v>
      </c>
      <c r="H7" s="51" t="n">
        <f aca="false">IF($A7="","",E7-F7-G7)</f>
        <v>0</v>
      </c>
      <c r="I7" s="89" t="n">
        <f aca="false">IF($A7="","",COUNTIFS('FUNDED DEALS'!$T$4:$T$1226,$A7)+COUNTIFS('FUNDED DEALS 2027'!$T$4:$T$1226,$A7)+COUNTIFS('FUNDED DEALS'!$W$4:$W$1226,$A7)+COUNTIFS('FUNDED DEALS 2027'!$W$4:$W$1226,$A7)+COUNTIFS('FUNDED DEALS'!$Z$4:$Z$1226,$A7)+COUNTIFS('FUNDED DEALS 2027'!$Z$4:$Z$1226,$A7))</f>
        <v>0</v>
      </c>
      <c r="J7" s="90" t="s">
        <v>215</v>
      </c>
      <c r="O7" s="0" t="str">
        <f aca="false">IF(AND($A7&lt;&gt;"",$J7="Active"),$A7,"")</f>
        <v>Gil Dichy</v>
      </c>
    </row>
    <row r="8" customFormat="false" ht="15" hidden="false" customHeight="false" outlineLevel="0" collapsed="false">
      <c r="A8" s="80" t="s">
        <v>225</v>
      </c>
      <c r="B8" s="85" t="n">
        <v>0.35</v>
      </c>
      <c r="C8" s="85" t="n">
        <v>0.35</v>
      </c>
      <c r="D8" s="85" t="n">
        <v>0.025</v>
      </c>
      <c r="E8" s="48" t="n">
        <f aca="false">IF($A8="","",SUMIFS('FUNDED DEALS'!$V$4:$V$1226,'FUNDED DEALS'!$T$4:$T$1226,$A8)+SUMIFS('FUNDED DEALS 2027'!$V$4:$V$1226,'FUNDED DEALS 2027'!$T$4:$T$1226,$A8)+SUMIFS('FUNDED DEALS'!$Y$4:$Y$1226,'FUNDED DEALS'!$W$4:$W$1226,$A8)+SUMIFS('FUNDED DEALS 2027'!$Y$4:$Y$1226,'FUNDED DEALS 2027'!$W$4:$W$1226,$A8)+SUMIFS('FUNDED DEALS'!$AB$4:$AB$1226,'FUNDED DEALS'!$Z$4:$Z$1226,$A8)+SUMIFS('FUNDED DEALS 2027'!$AB$4:$AB$1226,'FUNDED DEALS 2027'!$Z$4:$Z$1226,$A8))</f>
        <v>0</v>
      </c>
      <c r="F8" s="48" t="n">
        <f aca="false">IF($A8="","",SUMIFS('FUNDED DEALS'!$AG$4:$AG$1226,'FUNDED DEALS'!$T$4:$T$1226,$A8)+SUMIFS('FUNDED DEALS 2027'!$AG$4:$AG$1226,'FUNDED DEALS 2027'!$T$4:$T$1226,$A8)+SUMIFS('FUNDED DEALS'!$AH$4:$AH$1226,'FUNDED DEALS'!$W$4:$W$1226,$A8)+SUMIFS('FUNDED DEALS 2027'!$AH$4:$AH$1226,'FUNDED DEALS 2027'!$W$4:$W$1226,$A8)+SUMIFS('FUNDED DEALS'!$AI$4:$AI$1226,'FUNDED DEALS'!$Z$4:$Z$1226,$A8)+SUMIFS('FUNDED DEALS 2027'!$AI$4:$AI$1226,'FUNDED DEALS 2027'!$Z$4:$Z$1226,$A8))</f>
        <v>0</v>
      </c>
      <c r="G8" s="48" t="n">
        <f aca="false">IF($A8="","",SUMIFS('FUNDED DEALS'!$V$4:$V$1226,'FUNDED DEALS'!$T$4:$T$1226,$A8,'FUNDED DEALS'!$AO$4:$AO$1226,"&lt;&gt;")+SUMIFS('FUNDED DEALS 2027'!$V$4:$V$1226,'FUNDED DEALS 2027'!$T$4:$T$1226,$A8,'FUNDED DEALS 2027'!$AO$4:$AO$1226,"&lt;&gt;")+SUMIFS('FUNDED DEALS'!$Y$4:$Y$1226,'FUNDED DEALS'!$W$4:$W$1226,$A8,'FUNDED DEALS'!$AO$4:$AO$1226,"&lt;&gt;")+SUMIFS('FUNDED DEALS 2027'!$Y$4:$Y$1226,'FUNDED DEALS 2027'!$W$4:$W$1226,$A8,'FUNDED DEALS 2027'!$AO$4:$AO$1226,"&lt;&gt;")+SUMIFS('FUNDED DEALS'!$AB$4:$AB$1226,'FUNDED DEALS'!$Z$4:$Z$1226,$A8,'FUNDED DEALS'!$AO$4:$AO$1226,"&lt;&gt;")+SUMIFS('FUNDED DEALS 2027'!$AB$4:$AB$1226,'FUNDED DEALS 2027'!$Z$4:$Z$1226,$A8,'FUNDED DEALS 2027'!$AO$4:$AO$1226,"&lt;&gt;"))</f>
        <v>0</v>
      </c>
      <c r="H8" s="48" t="n">
        <f aca="false">IF($A8="","",E8-F8-G8)</f>
        <v>0</v>
      </c>
      <c r="I8" s="86" t="n">
        <f aca="false">IF($A8="","",COUNTIFS('FUNDED DEALS'!$T$4:$T$1226,$A8)+COUNTIFS('FUNDED DEALS 2027'!$T$4:$T$1226,$A8)+COUNTIFS('FUNDED DEALS'!$W$4:$W$1226,$A8)+COUNTIFS('FUNDED DEALS 2027'!$W$4:$W$1226,$A8)+COUNTIFS('FUNDED DEALS'!$Z$4:$Z$1226,$A8)+COUNTIFS('FUNDED DEALS 2027'!$Z$4:$Z$1226,$A8))</f>
        <v>0</v>
      </c>
      <c r="J8" s="87" t="s">
        <v>215</v>
      </c>
      <c r="O8" s="0" t="str">
        <f aca="false">IF(AND($A8&lt;&gt;"",$J8="Active"),$A8,"")</f>
        <v>Julian Ribak</v>
      </c>
    </row>
    <row r="9" customFormat="false" ht="15" hidden="false" customHeight="false" outlineLevel="0" collapsed="false">
      <c r="A9" s="82" t="s">
        <v>226</v>
      </c>
      <c r="B9" s="88" t="n">
        <v>0.35</v>
      </c>
      <c r="C9" s="88" t="n">
        <v>0.35</v>
      </c>
      <c r="D9" s="88" t="n">
        <v>0.05</v>
      </c>
      <c r="E9" s="51" t="n">
        <f aca="false">IF($A9="","",SUMIFS('FUNDED DEALS'!$V$4:$V$1226,'FUNDED DEALS'!$T$4:$T$1226,$A9)+SUMIFS('FUNDED DEALS 2027'!$V$4:$V$1226,'FUNDED DEALS 2027'!$T$4:$T$1226,$A9)+SUMIFS('FUNDED DEALS'!$Y$4:$Y$1226,'FUNDED DEALS'!$W$4:$W$1226,$A9)+SUMIFS('FUNDED DEALS 2027'!$Y$4:$Y$1226,'FUNDED DEALS 2027'!$W$4:$W$1226,$A9)+SUMIFS('FUNDED DEALS'!$AB$4:$AB$1226,'FUNDED DEALS'!$Z$4:$Z$1226,$A9)+SUMIFS('FUNDED DEALS 2027'!$AB$4:$AB$1226,'FUNDED DEALS 2027'!$Z$4:$Z$1226,$A9))</f>
        <v>0</v>
      </c>
      <c r="F9" s="51" t="n">
        <f aca="false">IF($A9="","",SUMIFS('FUNDED DEALS'!$AG$4:$AG$1226,'FUNDED DEALS'!$T$4:$T$1226,$A9)+SUMIFS('FUNDED DEALS 2027'!$AG$4:$AG$1226,'FUNDED DEALS 2027'!$T$4:$T$1226,$A9)+SUMIFS('FUNDED DEALS'!$AH$4:$AH$1226,'FUNDED DEALS'!$W$4:$W$1226,$A9)+SUMIFS('FUNDED DEALS 2027'!$AH$4:$AH$1226,'FUNDED DEALS 2027'!$W$4:$W$1226,$A9)+SUMIFS('FUNDED DEALS'!$AI$4:$AI$1226,'FUNDED DEALS'!$Z$4:$Z$1226,$A9)+SUMIFS('FUNDED DEALS 2027'!$AI$4:$AI$1226,'FUNDED DEALS 2027'!$Z$4:$Z$1226,$A9))</f>
        <v>0</v>
      </c>
      <c r="G9" s="51" t="n">
        <f aca="false">IF($A9="","",SUMIFS('FUNDED DEALS'!$V$4:$V$1226,'FUNDED DEALS'!$T$4:$T$1226,$A9,'FUNDED DEALS'!$AO$4:$AO$1226,"&lt;&gt;")+SUMIFS('FUNDED DEALS 2027'!$V$4:$V$1226,'FUNDED DEALS 2027'!$T$4:$T$1226,$A9,'FUNDED DEALS 2027'!$AO$4:$AO$1226,"&lt;&gt;")+SUMIFS('FUNDED DEALS'!$Y$4:$Y$1226,'FUNDED DEALS'!$W$4:$W$1226,$A9,'FUNDED DEALS'!$AO$4:$AO$1226,"&lt;&gt;")+SUMIFS('FUNDED DEALS 2027'!$Y$4:$Y$1226,'FUNDED DEALS 2027'!$W$4:$W$1226,$A9,'FUNDED DEALS 2027'!$AO$4:$AO$1226,"&lt;&gt;")+SUMIFS('FUNDED DEALS'!$AB$4:$AB$1226,'FUNDED DEALS'!$Z$4:$Z$1226,$A9,'FUNDED DEALS'!$AO$4:$AO$1226,"&lt;&gt;")+SUMIFS('FUNDED DEALS 2027'!$AB$4:$AB$1226,'FUNDED DEALS 2027'!$Z$4:$Z$1226,$A9,'FUNDED DEALS 2027'!$AO$4:$AO$1226,"&lt;&gt;"))</f>
        <v>0</v>
      </c>
      <c r="H9" s="51" t="n">
        <f aca="false">IF($A9="","",E9-F9-G9)</f>
        <v>0</v>
      </c>
      <c r="I9" s="89" t="n">
        <f aca="false">IF($A9="","",COUNTIFS('FUNDED DEALS'!$T$4:$T$1226,$A9)+COUNTIFS('FUNDED DEALS 2027'!$T$4:$T$1226,$A9)+COUNTIFS('FUNDED DEALS'!$W$4:$W$1226,$A9)+COUNTIFS('FUNDED DEALS 2027'!$W$4:$W$1226,$A9)+COUNTIFS('FUNDED DEALS'!$Z$4:$Z$1226,$A9)+COUNTIFS('FUNDED DEALS 2027'!$Z$4:$Z$1226,$A9))</f>
        <v>0</v>
      </c>
      <c r="J9" s="90" t="s">
        <v>215</v>
      </c>
      <c r="O9" s="0" t="str">
        <f aca="false">IF(AND($A9&lt;&gt;"",$J9="Active"),$A9,"")</f>
        <v>Louie Palleta</v>
      </c>
    </row>
    <row r="10" customFormat="false" ht="15" hidden="false" customHeight="false" outlineLevel="0" collapsed="false">
      <c r="A10" s="80" t="s">
        <v>227</v>
      </c>
      <c r="B10" s="85" t="n">
        <v>0.35</v>
      </c>
      <c r="C10" s="85" t="n">
        <v>0.35</v>
      </c>
      <c r="D10" s="85" t="n">
        <v>0.05</v>
      </c>
      <c r="E10" s="48" t="n">
        <f aca="false">IF($A10="","",SUMIFS('FUNDED DEALS'!$V$4:$V$1226,'FUNDED DEALS'!$T$4:$T$1226,$A10)+SUMIFS('FUNDED DEALS 2027'!$V$4:$V$1226,'FUNDED DEALS 2027'!$T$4:$T$1226,$A10)+SUMIFS('FUNDED DEALS'!$Y$4:$Y$1226,'FUNDED DEALS'!$W$4:$W$1226,$A10)+SUMIFS('FUNDED DEALS 2027'!$Y$4:$Y$1226,'FUNDED DEALS 2027'!$W$4:$W$1226,$A10)+SUMIFS('FUNDED DEALS'!$AB$4:$AB$1226,'FUNDED DEALS'!$Z$4:$Z$1226,$A10)+SUMIFS('FUNDED DEALS 2027'!$AB$4:$AB$1226,'FUNDED DEALS 2027'!$Z$4:$Z$1226,$A10))</f>
        <v>0</v>
      </c>
      <c r="F10" s="48" t="n">
        <f aca="false">IF($A10="","",SUMIFS('FUNDED DEALS'!$AG$4:$AG$1226,'FUNDED DEALS'!$T$4:$T$1226,$A10)+SUMIFS('FUNDED DEALS 2027'!$AG$4:$AG$1226,'FUNDED DEALS 2027'!$T$4:$T$1226,$A10)+SUMIFS('FUNDED DEALS'!$AH$4:$AH$1226,'FUNDED DEALS'!$W$4:$W$1226,$A10)+SUMIFS('FUNDED DEALS 2027'!$AH$4:$AH$1226,'FUNDED DEALS 2027'!$W$4:$W$1226,$A10)+SUMIFS('FUNDED DEALS'!$AI$4:$AI$1226,'FUNDED DEALS'!$Z$4:$Z$1226,$A10)+SUMIFS('FUNDED DEALS 2027'!$AI$4:$AI$1226,'FUNDED DEALS 2027'!$Z$4:$Z$1226,$A10))</f>
        <v>0</v>
      </c>
      <c r="G10" s="48" t="n">
        <f aca="false">IF($A10="","",SUMIFS('FUNDED DEALS'!$V$4:$V$1226,'FUNDED DEALS'!$T$4:$T$1226,$A10,'FUNDED DEALS'!$AO$4:$AO$1226,"&lt;&gt;")+SUMIFS('FUNDED DEALS 2027'!$V$4:$V$1226,'FUNDED DEALS 2027'!$T$4:$T$1226,$A10,'FUNDED DEALS 2027'!$AO$4:$AO$1226,"&lt;&gt;")+SUMIFS('FUNDED DEALS'!$Y$4:$Y$1226,'FUNDED DEALS'!$W$4:$W$1226,$A10,'FUNDED DEALS'!$AO$4:$AO$1226,"&lt;&gt;")+SUMIFS('FUNDED DEALS 2027'!$Y$4:$Y$1226,'FUNDED DEALS 2027'!$W$4:$W$1226,$A10,'FUNDED DEALS 2027'!$AO$4:$AO$1226,"&lt;&gt;")+SUMIFS('FUNDED DEALS'!$AB$4:$AB$1226,'FUNDED DEALS'!$Z$4:$Z$1226,$A10,'FUNDED DEALS'!$AO$4:$AO$1226,"&lt;&gt;")+SUMIFS('FUNDED DEALS 2027'!$AB$4:$AB$1226,'FUNDED DEALS 2027'!$Z$4:$Z$1226,$A10,'FUNDED DEALS 2027'!$AO$4:$AO$1226,"&lt;&gt;"))</f>
        <v>0</v>
      </c>
      <c r="H10" s="48" t="n">
        <f aca="false">IF($A10="","",E10-F10-G10)</f>
        <v>0</v>
      </c>
      <c r="I10" s="86" t="n">
        <f aca="false">IF($A10="","",COUNTIFS('FUNDED DEALS'!$T$4:$T$1226,$A10)+COUNTIFS('FUNDED DEALS 2027'!$T$4:$T$1226,$A10)+COUNTIFS('FUNDED DEALS'!$W$4:$W$1226,$A10)+COUNTIFS('FUNDED DEALS 2027'!$W$4:$W$1226,$A10)+COUNTIFS('FUNDED DEALS'!$Z$4:$Z$1226,$A10)+COUNTIFS('FUNDED DEALS 2027'!$Z$4:$Z$1226,$A10))</f>
        <v>0</v>
      </c>
      <c r="J10" s="87" t="s">
        <v>215</v>
      </c>
      <c r="O10" s="0" t="str">
        <f aca="false">IF(AND($A10&lt;&gt;"",$J10="Active"),$A10,"")</f>
        <v>Jacobo Simkin</v>
      </c>
    </row>
    <row r="11" customFormat="false" ht="15" hidden="false" customHeight="false" outlineLevel="0" collapsed="false">
      <c r="A11" s="82" t="s">
        <v>228</v>
      </c>
      <c r="B11" s="88" t="n">
        <v>0.3</v>
      </c>
      <c r="C11" s="88" t="n">
        <v>0.3</v>
      </c>
      <c r="D11" s="88" t="n">
        <v>0.05</v>
      </c>
      <c r="E11" s="51" t="n">
        <f aca="false">IF($A11="","",SUMIFS('FUNDED DEALS'!$V$4:$V$1226,'FUNDED DEALS'!$T$4:$T$1226,$A11)+SUMIFS('FUNDED DEALS 2027'!$V$4:$V$1226,'FUNDED DEALS 2027'!$T$4:$T$1226,$A11)+SUMIFS('FUNDED DEALS'!$Y$4:$Y$1226,'FUNDED DEALS'!$W$4:$W$1226,$A11)+SUMIFS('FUNDED DEALS 2027'!$Y$4:$Y$1226,'FUNDED DEALS 2027'!$W$4:$W$1226,$A11)+SUMIFS('FUNDED DEALS'!$AB$4:$AB$1226,'FUNDED DEALS'!$Z$4:$Z$1226,$A11)+SUMIFS('FUNDED DEALS 2027'!$AB$4:$AB$1226,'FUNDED DEALS 2027'!$Z$4:$Z$1226,$A11))</f>
        <v>0</v>
      </c>
      <c r="F11" s="51" t="n">
        <f aca="false">IF($A11="","",SUMIFS('FUNDED DEALS'!$AG$4:$AG$1226,'FUNDED DEALS'!$T$4:$T$1226,$A11)+SUMIFS('FUNDED DEALS 2027'!$AG$4:$AG$1226,'FUNDED DEALS 2027'!$T$4:$T$1226,$A11)+SUMIFS('FUNDED DEALS'!$AH$4:$AH$1226,'FUNDED DEALS'!$W$4:$W$1226,$A11)+SUMIFS('FUNDED DEALS 2027'!$AH$4:$AH$1226,'FUNDED DEALS 2027'!$W$4:$W$1226,$A11)+SUMIFS('FUNDED DEALS'!$AI$4:$AI$1226,'FUNDED DEALS'!$Z$4:$Z$1226,$A11)+SUMIFS('FUNDED DEALS 2027'!$AI$4:$AI$1226,'FUNDED DEALS 2027'!$Z$4:$Z$1226,$A11))</f>
        <v>0</v>
      </c>
      <c r="G11" s="51" t="n">
        <f aca="false">IF($A11="","",SUMIFS('FUNDED DEALS'!$V$4:$V$1226,'FUNDED DEALS'!$T$4:$T$1226,$A11,'FUNDED DEALS'!$AO$4:$AO$1226,"&lt;&gt;")+SUMIFS('FUNDED DEALS 2027'!$V$4:$V$1226,'FUNDED DEALS 2027'!$T$4:$T$1226,$A11,'FUNDED DEALS 2027'!$AO$4:$AO$1226,"&lt;&gt;")+SUMIFS('FUNDED DEALS'!$Y$4:$Y$1226,'FUNDED DEALS'!$W$4:$W$1226,$A11,'FUNDED DEALS'!$AO$4:$AO$1226,"&lt;&gt;")+SUMIFS('FUNDED DEALS 2027'!$Y$4:$Y$1226,'FUNDED DEALS 2027'!$W$4:$W$1226,$A11,'FUNDED DEALS 2027'!$AO$4:$AO$1226,"&lt;&gt;")+SUMIFS('FUNDED DEALS'!$AB$4:$AB$1226,'FUNDED DEALS'!$Z$4:$Z$1226,$A11,'FUNDED DEALS'!$AO$4:$AO$1226,"&lt;&gt;")+SUMIFS('FUNDED DEALS 2027'!$AB$4:$AB$1226,'FUNDED DEALS 2027'!$Z$4:$Z$1226,$A11,'FUNDED DEALS 2027'!$AO$4:$AO$1226,"&lt;&gt;"))</f>
        <v>0</v>
      </c>
      <c r="H11" s="51" t="n">
        <f aca="false">IF($A11="","",E11-F11-G11)</f>
        <v>0</v>
      </c>
      <c r="I11" s="89" t="n">
        <f aca="false">IF($A11="","",COUNTIFS('FUNDED DEALS'!$T$4:$T$1226,$A11)+COUNTIFS('FUNDED DEALS 2027'!$T$4:$T$1226,$A11)+COUNTIFS('FUNDED DEALS'!$W$4:$W$1226,$A11)+COUNTIFS('FUNDED DEALS 2027'!$W$4:$W$1226,$A11)+COUNTIFS('FUNDED DEALS'!$Z$4:$Z$1226,$A11)+COUNTIFS('FUNDED DEALS 2027'!$Z$4:$Z$1226,$A11))</f>
        <v>0</v>
      </c>
      <c r="J11" s="90" t="s">
        <v>215</v>
      </c>
      <c r="O11" s="0" t="str">
        <f aca="false">IF(AND($A11&lt;&gt;"",$J11="Active"),$A11,"")</f>
        <v>Gabriel Barnes</v>
      </c>
    </row>
    <row r="12" customFormat="false" ht="15" hidden="false" customHeight="false" outlineLevel="0" collapsed="false">
      <c r="A12" s="80" t="s">
        <v>229</v>
      </c>
      <c r="B12" s="85" t="n">
        <v>0.15</v>
      </c>
      <c r="C12" s="85" t="n">
        <v>0.15</v>
      </c>
      <c r="D12" s="85" t="n">
        <v>0.05</v>
      </c>
      <c r="E12" s="48" t="n">
        <f aca="false">IF($A12="","",SUMIFS('FUNDED DEALS'!$V$4:$V$1226,'FUNDED DEALS'!$T$4:$T$1226,$A12)+SUMIFS('FUNDED DEALS 2027'!$V$4:$V$1226,'FUNDED DEALS 2027'!$T$4:$T$1226,$A12)+SUMIFS('FUNDED DEALS'!$Y$4:$Y$1226,'FUNDED DEALS'!$W$4:$W$1226,$A12)+SUMIFS('FUNDED DEALS 2027'!$Y$4:$Y$1226,'FUNDED DEALS 2027'!$W$4:$W$1226,$A12)+SUMIFS('FUNDED DEALS'!$AB$4:$AB$1226,'FUNDED DEALS'!$Z$4:$Z$1226,$A12)+SUMIFS('FUNDED DEALS 2027'!$AB$4:$AB$1226,'FUNDED DEALS 2027'!$Z$4:$Z$1226,$A12))</f>
        <v>0</v>
      </c>
      <c r="F12" s="48" t="n">
        <f aca="false">IF($A12="","",SUMIFS('FUNDED DEALS'!$AG$4:$AG$1226,'FUNDED DEALS'!$T$4:$T$1226,$A12)+SUMIFS('FUNDED DEALS 2027'!$AG$4:$AG$1226,'FUNDED DEALS 2027'!$T$4:$T$1226,$A12)+SUMIFS('FUNDED DEALS'!$AH$4:$AH$1226,'FUNDED DEALS'!$W$4:$W$1226,$A12)+SUMIFS('FUNDED DEALS 2027'!$AH$4:$AH$1226,'FUNDED DEALS 2027'!$W$4:$W$1226,$A12)+SUMIFS('FUNDED DEALS'!$AI$4:$AI$1226,'FUNDED DEALS'!$Z$4:$Z$1226,$A12)+SUMIFS('FUNDED DEALS 2027'!$AI$4:$AI$1226,'FUNDED DEALS 2027'!$Z$4:$Z$1226,$A12))</f>
        <v>0</v>
      </c>
      <c r="G12" s="48" t="n">
        <f aca="false">IF($A12="","",SUMIFS('FUNDED DEALS'!$V$4:$V$1226,'FUNDED DEALS'!$T$4:$T$1226,$A12,'FUNDED DEALS'!$AO$4:$AO$1226,"&lt;&gt;")+SUMIFS('FUNDED DEALS 2027'!$V$4:$V$1226,'FUNDED DEALS 2027'!$T$4:$T$1226,$A12,'FUNDED DEALS 2027'!$AO$4:$AO$1226,"&lt;&gt;")+SUMIFS('FUNDED DEALS'!$Y$4:$Y$1226,'FUNDED DEALS'!$W$4:$W$1226,$A12,'FUNDED DEALS'!$AO$4:$AO$1226,"&lt;&gt;")+SUMIFS('FUNDED DEALS 2027'!$Y$4:$Y$1226,'FUNDED DEALS 2027'!$W$4:$W$1226,$A12,'FUNDED DEALS 2027'!$AO$4:$AO$1226,"&lt;&gt;")+SUMIFS('FUNDED DEALS'!$AB$4:$AB$1226,'FUNDED DEALS'!$Z$4:$Z$1226,$A12,'FUNDED DEALS'!$AO$4:$AO$1226,"&lt;&gt;")+SUMIFS('FUNDED DEALS 2027'!$AB$4:$AB$1226,'FUNDED DEALS 2027'!$Z$4:$Z$1226,$A12,'FUNDED DEALS 2027'!$AO$4:$AO$1226,"&lt;&gt;"))</f>
        <v>0</v>
      </c>
      <c r="H12" s="48" t="n">
        <f aca="false">IF($A12="","",E12-F12-G12)</f>
        <v>0</v>
      </c>
      <c r="I12" s="86" t="n">
        <f aca="false">IF($A12="","",COUNTIFS('FUNDED DEALS'!$T$4:$T$1226,$A12)+COUNTIFS('FUNDED DEALS 2027'!$T$4:$T$1226,$A12)+COUNTIFS('FUNDED DEALS'!$W$4:$W$1226,$A12)+COUNTIFS('FUNDED DEALS 2027'!$W$4:$W$1226,$A12)+COUNTIFS('FUNDED DEALS'!$Z$4:$Z$1226,$A12)+COUNTIFS('FUNDED DEALS 2027'!$Z$4:$Z$1226,$A12))</f>
        <v>0</v>
      </c>
      <c r="J12" s="87" t="s">
        <v>215</v>
      </c>
      <c r="O12" s="0" t="str">
        <f aca="false">IF(AND($A12&lt;&gt;"",$J12="Active"),$A12,"")</f>
        <v>Edward Obi</v>
      </c>
    </row>
    <row r="13" customFormat="false" ht="15" hidden="false" customHeight="false" outlineLevel="0" collapsed="false">
      <c r="A13" s="82" t="s">
        <v>230</v>
      </c>
      <c r="B13" s="88" t="n">
        <v>0.3</v>
      </c>
      <c r="C13" s="88" t="n">
        <v>0.3</v>
      </c>
      <c r="D13" s="88" t="n">
        <v>0.05</v>
      </c>
      <c r="E13" s="51" t="n">
        <f aca="false">IF($A13="","",SUMIFS('FUNDED DEALS'!$V$4:$V$1226,'FUNDED DEALS'!$T$4:$T$1226,$A13)+SUMIFS('FUNDED DEALS 2027'!$V$4:$V$1226,'FUNDED DEALS 2027'!$T$4:$T$1226,$A13)+SUMIFS('FUNDED DEALS'!$Y$4:$Y$1226,'FUNDED DEALS'!$W$4:$W$1226,$A13)+SUMIFS('FUNDED DEALS 2027'!$Y$4:$Y$1226,'FUNDED DEALS 2027'!$W$4:$W$1226,$A13)+SUMIFS('FUNDED DEALS'!$AB$4:$AB$1226,'FUNDED DEALS'!$Z$4:$Z$1226,$A13)+SUMIFS('FUNDED DEALS 2027'!$AB$4:$AB$1226,'FUNDED DEALS 2027'!$Z$4:$Z$1226,$A13))</f>
        <v>0</v>
      </c>
      <c r="F13" s="51" t="n">
        <f aca="false">IF($A13="","",SUMIFS('FUNDED DEALS'!$AG$4:$AG$1226,'FUNDED DEALS'!$T$4:$T$1226,$A13)+SUMIFS('FUNDED DEALS 2027'!$AG$4:$AG$1226,'FUNDED DEALS 2027'!$T$4:$T$1226,$A13)+SUMIFS('FUNDED DEALS'!$AH$4:$AH$1226,'FUNDED DEALS'!$W$4:$W$1226,$A13)+SUMIFS('FUNDED DEALS 2027'!$AH$4:$AH$1226,'FUNDED DEALS 2027'!$W$4:$W$1226,$A13)+SUMIFS('FUNDED DEALS'!$AI$4:$AI$1226,'FUNDED DEALS'!$Z$4:$Z$1226,$A13)+SUMIFS('FUNDED DEALS 2027'!$AI$4:$AI$1226,'FUNDED DEALS 2027'!$Z$4:$Z$1226,$A13))</f>
        <v>0</v>
      </c>
      <c r="G13" s="51" t="n">
        <f aca="false">IF($A13="","",SUMIFS('FUNDED DEALS'!$V$4:$V$1226,'FUNDED DEALS'!$T$4:$T$1226,$A13,'FUNDED DEALS'!$AO$4:$AO$1226,"&lt;&gt;")+SUMIFS('FUNDED DEALS 2027'!$V$4:$V$1226,'FUNDED DEALS 2027'!$T$4:$T$1226,$A13,'FUNDED DEALS 2027'!$AO$4:$AO$1226,"&lt;&gt;")+SUMIFS('FUNDED DEALS'!$Y$4:$Y$1226,'FUNDED DEALS'!$W$4:$W$1226,$A13,'FUNDED DEALS'!$AO$4:$AO$1226,"&lt;&gt;")+SUMIFS('FUNDED DEALS 2027'!$Y$4:$Y$1226,'FUNDED DEALS 2027'!$W$4:$W$1226,$A13,'FUNDED DEALS 2027'!$AO$4:$AO$1226,"&lt;&gt;")+SUMIFS('FUNDED DEALS'!$AB$4:$AB$1226,'FUNDED DEALS'!$Z$4:$Z$1226,$A13,'FUNDED DEALS'!$AO$4:$AO$1226,"&lt;&gt;")+SUMIFS('FUNDED DEALS 2027'!$AB$4:$AB$1226,'FUNDED DEALS 2027'!$Z$4:$Z$1226,$A13,'FUNDED DEALS 2027'!$AO$4:$AO$1226,"&lt;&gt;"))</f>
        <v>0</v>
      </c>
      <c r="H13" s="51" t="n">
        <f aca="false">IF($A13="","",E13-F13-G13)</f>
        <v>0</v>
      </c>
      <c r="I13" s="89" t="n">
        <f aca="false">IF($A13="","",COUNTIFS('FUNDED DEALS'!$T$4:$T$1226,$A13)+COUNTIFS('FUNDED DEALS 2027'!$T$4:$T$1226,$A13)+COUNTIFS('FUNDED DEALS'!$W$4:$W$1226,$A13)+COUNTIFS('FUNDED DEALS 2027'!$W$4:$W$1226,$A13)+COUNTIFS('FUNDED DEALS'!$Z$4:$Z$1226,$A13)+COUNTIFS('FUNDED DEALS 2027'!$Z$4:$Z$1226,$A13))</f>
        <v>0</v>
      </c>
      <c r="J13" s="90" t="s">
        <v>215</v>
      </c>
      <c r="O13" s="0" t="str">
        <f aca="false">IF(AND($A13&lt;&gt;"",$J13="Active"),$A13,"")</f>
        <v>Shulamit Cohen</v>
      </c>
    </row>
    <row r="14" customFormat="false" ht="15" hidden="false" customHeight="false" outlineLevel="0" collapsed="false">
      <c r="A14" s="80" t="s">
        <v>231</v>
      </c>
      <c r="B14" s="85" t="n">
        <v>0.2</v>
      </c>
      <c r="C14" s="85" t="n">
        <v>0.2</v>
      </c>
      <c r="D14" s="85" t="n">
        <v>0.075</v>
      </c>
      <c r="E14" s="48" t="n">
        <f aca="false">IF($A14="","",SUMIFS('FUNDED DEALS'!$V$4:$V$1226,'FUNDED DEALS'!$T$4:$T$1226,$A14)+SUMIFS('FUNDED DEALS 2027'!$V$4:$V$1226,'FUNDED DEALS 2027'!$T$4:$T$1226,$A14)+SUMIFS('FUNDED DEALS'!$Y$4:$Y$1226,'FUNDED DEALS'!$W$4:$W$1226,$A14)+SUMIFS('FUNDED DEALS 2027'!$Y$4:$Y$1226,'FUNDED DEALS 2027'!$W$4:$W$1226,$A14)+SUMIFS('FUNDED DEALS'!$AB$4:$AB$1226,'FUNDED DEALS'!$Z$4:$Z$1226,$A14)+SUMIFS('FUNDED DEALS 2027'!$AB$4:$AB$1226,'FUNDED DEALS 2027'!$Z$4:$Z$1226,$A14))</f>
        <v>0</v>
      </c>
      <c r="F14" s="48" t="n">
        <f aca="false">IF($A14="","",SUMIFS('FUNDED DEALS'!$AG$4:$AG$1226,'FUNDED DEALS'!$T$4:$T$1226,$A14)+SUMIFS('FUNDED DEALS 2027'!$AG$4:$AG$1226,'FUNDED DEALS 2027'!$T$4:$T$1226,$A14)+SUMIFS('FUNDED DEALS'!$AH$4:$AH$1226,'FUNDED DEALS'!$W$4:$W$1226,$A14)+SUMIFS('FUNDED DEALS 2027'!$AH$4:$AH$1226,'FUNDED DEALS 2027'!$W$4:$W$1226,$A14)+SUMIFS('FUNDED DEALS'!$AI$4:$AI$1226,'FUNDED DEALS'!$Z$4:$Z$1226,$A14)+SUMIFS('FUNDED DEALS 2027'!$AI$4:$AI$1226,'FUNDED DEALS 2027'!$Z$4:$Z$1226,$A14))</f>
        <v>0</v>
      </c>
      <c r="G14" s="48" t="n">
        <f aca="false">IF($A14="","",SUMIFS('FUNDED DEALS'!$V$4:$V$1226,'FUNDED DEALS'!$T$4:$T$1226,$A14,'FUNDED DEALS'!$AO$4:$AO$1226,"&lt;&gt;")+SUMIFS('FUNDED DEALS 2027'!$V$4:$V$1226,'FUNDED DEALS 2027'!$T$4:$T$1226,$A14,'FUNDED DEALS 2027'!$AO$4:$AO$1226,"&lt;&gt;")+SUMIFS('FUNDED DEALS'!$Y$4:$Y$1226,'FUNDED DEALS'!$W$4:$W$1226,$A14,'FUNDED DEALS'!$AO$4:$AO$1226,"&lt;&gt;")+SUMIFS('FUNDED DEALS 2027'!$Y$4:$Y$1226,'FUNDED DEALS 2027'!$W$4:$W$1226,$A14,'FUNDED DEALS 2027'!$AO$4:$AO$1226,"&lt;&gt;")+SUMIFS('FUNDED DEALS'!$AB$4:$AB$1226,'FUNDED DEALS'!$Z$4:$Z$1226,$A14,'FUNDED DEALS'!$AO$4:$AO$1226,"&lt;&gt;")+SUMIFS('FUNDED DEALS 2027'!$AB$4:$AB$1226,'FUNDED DEALS 2027'!$Z$4:$Z$1226,$A14,'FUNDED DEALS 2027'!$AO$4:$AO$1226,"&lt;&gt;"))</f>
        <v>0</v>
      </c>
      <c r="H14" s="48" t="n">
        <f aca="false">IF($A14="","",E14-F14-G14)</f>
        <v>0</v>
      </c>
      <c r="I14" s="86" t="n">
        <f aca="false">IF($A14="","",COUNTIFS('FUNDED DEALS'!$T$4:$T$1226,$A14)+COUNTIFS('FUNDED DEALS 2027'!$T$4:$T$1226,$A14)+COUNTIFS('FUNDED DEALS'!$W$4:$W$1226,$A14)+COUNTIFS('FUNDED DEALS 2027'!$W$4:$W$1226,$A14)+COUNTIFS('FUNDED DEALS'!$Z$4:$Z$1226,$A14)+COUNTIFS('FUNDED DEALS 2027'!$Z$4:$Z$1226,$A14))</f>
        <v>0</v>
      </c>
      <c r="J14" s="87" t="s">
        <v>215</v>
      </c>
      <c r="O14" s="0" t="str">
        <f aca="false">IF(AND($A14&lt;&gt;"",$J14="Active"),$A14,"")</f>
        <v>Albert Dichy</v>
      </c>
    </row>
    <row r="15" customFormat="false" ht="15" hidden="false" customHeight="false" outlineLevel="0" collapsed="false">
      <c r="A15" s="82" t="s">
        <v>232</v>
      </c>
      <c r="B15" s="88" t="n">
        <v>0.35</v>
      </c>
      <c r="C15" s="88" t="n">
        <v>0.35</v>
      </c>
      <c r="D15" s="88" t="n">
        <v>0.05</v>
      </c>
      <c r="E15" s="51" t="n">
        <f aca="false">IF($A15="","",SUMIFS('FUNDED DEALS'!$V$4:$V$1226,'FUNDED DEALS'!$T$4:$T$1226,$A15)+SUMIFS('FUNDED DEALS 2027'!$V$4:$V$1226,'FUNDED DEALS 2027'!$T$4:$T$1226,$A15)+SUMIFS('FUNDED DEALS'!$Y$4:$Y$1226,'FUNDED DEALS'!$W$4:$W$1226,$A15)+SUMIFS('FUNDED DEALS 2027'!$Y$4:$Y$1226,'FUNDED DEALS 2027'!$W$4:$W$1226,$A15)+SUMIFS('FUNDED DEALS'!$AB$4:$AB$1226,'FUNDED DEALS'!$Z$4:$Z$1226,$A15)+SUMIFS('FUNDED DEALS 2027'!$AB$4:$AB$1226,'FUNDED DEALS 2027'!$Z$4:$Z$1226,$A15))</f>
        <v>0</v>
      </c>
      <c r="F15" s="51" t="n">
        <f aca="false">IF($A15="","",SUMIFS('FUNDED DEALS'!$AG$4:$AG$1226,'FUNDED DEALS'!$T$4:$T$1226,$A15)+SUMIFS('FUNDED DEALS 2027'!$AG$4:$AG$1226,'FUNDED DEALS 2027'!$T$4:$T$1226,$A15)+SUMIFS('FUNDED DEALS'!$AH$4:$AH$1226,'FUNDED DEALS'!$W$4:$W$1226,$A15)+SUMIFS('FUNDED DEALS 2027'!$AH$4:$AH$1226,'FUNDED DEALS 2027'!$W$4:$W$1226,$A15)+SUMIFS('FUNDED DEALS'!$AI$4:$AI$1226,'FUNDED DEALS'!$Z$4:$Z$1226,$A15)+SUMIFS('FUNDED DEALS 2027'!$AI$4:$AI$1226,'FUNDED DEALS 2027'!$Z$4:$Z$1226,$A15))</f>
        <v>0</v>
      </c>
      <c r="G15" s="51" t="n">
        <f aca="false">IF($A15="","",SUMIFS('FUNDED DEALS'!$V$4:$V$1226,'FUNDED DEALS'!$T$4:$T$1226,$A15,'FUNDED DEALS'!$AO$4:$AO$1226,"&lt;&gt;")+SUMIFS('FUNDED DEALS 2027'!$V$4:$V$1226,'FUNDED DEALS 2027'!$T$4:$T$1226,$A15,'FUNDED DEALS 2027'!$AO$4:$AO$1226,"&lt;&gt;")+SUMIFS('FUNDED DEALS'!$Y$4:$Y$1226,'FUNDED DEALS'!$W$4:$W$1226,$A15,'FUNDED DEALS'!$AO$4:$AO$1226,"&lt;&gt;")+SUMIFS('FUNDED DEALS 2027'!$Y$4:$Y$1226,'FUNDED DEALS 2027'!$W$4:$W$1226,$A15,'FUNDED DEALS 2027'!$AO$4:$AO$1226,"&lt;&gt;")+SUMIFS('FUNDED DEALS'!$AB$4:$AB$1226,'FUNDED DEALS'!$Z$4:$Z$1226,$A15,'FUNDED DEALS'!$AO$4:$AO$1226,"&lt;&gt;")+SUMIFS('FUNDED DEALS 2027'!$AB$4:$AB$1226,'FUNDED DEALS 2027'!$Z$4:$Z$1226,$A15,'FUNDED DEALS 2027'!$AO$4:$AO$1226,"&lt;&gt;"))</f>
        <v>0</v>
      </c>
      <c r="H15" s="51" t="n">
        <f aca="false">IF($A15="","",E15-F15-G15)</f>
        <v>0</v>
      </c>
      <c r="I15" s="89" t="n">
        <f aca="false">IF($A15="","",COUNTIFS('FUNDED DEALS'!$T$4:$T$1226,$A15)+COUNTIFS('FUNDED DEALS 2027'!$T$4:$T$1226,$A15)+COUNTIFS('FUNDED DEALS'!$W$4:$W$1226,$A15)+COUNTIFS('FUNDED DEALS 2027'!$W$4:$W$1226,$A15)+COUNTIFS('FUNDED DEALS'!$Z$4:$Z$1226,$A15)+COUNTIFS('FUNDED DEALS 2027'!$Z$4:$Z$1226,$A15))</f>
        <v>0</v>
      </c>
      <c r="J15" s="90" t="s">
        <v>215</v>
      </c>
      <c r="O15" s="0" t="str">
        <f aca="false">IF(AND($A15&lt;&gt;"",$J15="Active"),$A15,"")</f>
        <v>Louie Espinoza</v>
      </c>
    </row>
    <row r="16" customFormat="false" ht="15" hidden="false" customHeight="false" outlineLevel="0" collapsed="false">
      <c r="A16" s="80" t="s">
        <v>233</v>
      </c>
      <c r="B16" s="85" t="n">
        <v>0.2</v>
      </c>
      <c r="C16" s="85" t="n">
        <v>0.2</v>
      </c>
      <c r="D16" s="85" t="n">
        <v>0.05</v>
      </c>
      <c r="E16" s="48" t="n">
        <f aca="false">IF($A16="","",SUMIFS('FUNDED DEALS'!$V$4:$V$1226,'FUNDED DEALS'!$T$4:$T$1226,$A16)+SUMIFS('FUNDED DEALS 2027'!$V$4:$V$1226,'FUNDED DEALS 2027'!$T$4:$T$1226,$A16)+SUMIFS('FUNDED DEALS'!$Y$4:$Y$1226,'FUNDED DEALS'!$W$4:$W$1226,$A16)+SUMIFS('FUNDED DEALS 2027'!$Y$4:$Y$1226,'FUNDED DEALS 2027'!$W$4:$W$1226,$A16)+SUMIFS('FUNDED DEALS'!$AB$4:$AB$1226,'FUNDED DEALS'!$Z$4:$Z$1226,$A16)+SUMIFS('FUNDED DEALS 2027'!$AB$4:$AB$1226,'FUNDED DEALS 2027'!$Z$4:$Z$1226,$A16))</f>
        <v>0</v>
      </c>
      <c r="F16" s="48" t="n">
        <f aca="false">IF($A16="","",SUMIFS('FUNDED DEALS'!$AG$4:$AG$1226,'FUNDED DEALS'!$T$4:$T$1226,$A16)+SUMIFS('FUNDED DEALS 2027'!$AG$4:$AG$1226,'FUNDED DEALS 2027'!$T$4:$T$1226,$A16)+SUMIFS('FUNDED DEALS'!$AH$4:$AH$1226,'FUNDED DEALS'!$W$4:$W$1226,$A16)+SUMIFS('FUNDED DEALS 2027'!$AH$4:$AH$1226,'FUNDED DEALS 2027'!$W$4:$W$1226,$A16)+SUMIFS('FUNDED DEALS'!$AI$4:$AI$1226,'FUNDED DEALS'!$Z$4:$Z$1226,$A16)+SUMIFS('FUNDED DEALS 2027'!$AI$4:$AI$1226,'FUNDED DEALS 2027'!$Z$4:$Z$1226,$A16))</f>
        <v>0</v>
      </c>
      <c r="G16" s="48" t="n">
        <f aca="false">IF($A16="","",SUMIFS('FUNDED DEALS'!$V$4:$V$1226,'FUNDED DEALS'!$T$4:$T$1226,$A16,'FUNDED DEALS'!$AO$4:$AO$1226,"&lt;&gt;")+SUMIFS('FUNDED DEALS 2027'!$V$4:$V$1226,'FUNDED DEALS 2027'!$T$4:$T$1226,$A16,'FUNDED DEALS 2027'!$AO$4:$AO$1226,"&lt;&gt;")+SUMIFS('FUNDED DEALS'!$Y$4:$Y$1226,'FUNDED DEALS'!$W$4:$W$1226,$A16,'FUNDED DEALS'!$AO$4:$AO$1226,"&lt;&gt;")+SUMIFS('FUNDED DEALS 2027'!$Y$4:$Y$1226,'FUNDED DEALS 2027'!$W$4:$W$1226,$A16,'FUNDED DEALS 2027'!$AO$4:$AO$1226,"&lt;&gt;")+SUMIFS('FUNDED DEALS'!$AB$4:$AB$1226,'FUNDED DEALS'!$Z$4:$Z$1226,$A16,'FUNDED DEALS'!$AO$4:$AO$1226,"&lt;&gt;")+SUMIFS('FUNDED DEALS 2027'!$AB$4:$AB$1226,'FUNDED DEALS 2027'!$Z$4:$Z$1226,$A16,'FUNDED DEALS 2027'!$AO$4:$AO$1226,"&lt;&gt;"))</f>
        <v>0</v>
      </c>
      <c r="H16" s="48" t="n">
        <f aca="false">IF($A16="","",E16-F16-G16)</f>
        <v>0</v>
      </c>
      <c r="I16" s="86" t="n">
        <f aca="false">IF($A16="","",COUNTIFS('FUNDED DEALS'!$T$4:$T$1226,$A16)+COUNTIFS('FUNDED DEALS 2027'!$T$4:$T$1226,$A16)+COUNTIFS('FUNDED DEALS'!$W$4:$W$1226,$A16)+COUNTIFS('FUNDED DEALS 2027'!$W$4:$W$1226,$A16)+COUNTIFS('FUNDED DEALS'!$Z$4:$Z$1226,$A16)+COUNTIFS('FUNDED DEALS 2027'!$Z$4:$Z$1226,$A16))</f>
        <v>0</v>
      </c>
      <c r="J16" s="87" t="s">
        <v>215</v>
      </c>
      <c r="O16" s="0" t="str">
        <f aca="false">IF(AND($A16&lt;&gt;"",$J16="Active"),$A16,"")</f>
        <v>Noah Levine</v>
      </c>
    </row>
    <row r="17" customFormat="false" ht="15" hidden="false" customHeight="false" outlineLevel="0" collapsed="false">
      <c r="A17" s="82" t="s">
        <v>234</v>
      </c>
      <c r="B17" s="88" t="n">
        <v>0.2</v>
      </c>
      <c r="C17" s="88" t="n">
        <v>0.2</v>
      </c>
      <c r="D17" s="88" t="n">
        <v>0.05</v>
      </c>
      <c r="E17" s="51" t="n">
        <f aca="false">IF($A17="","",SUMIFS('FUNDED DEALS'!$V$4:$V$1226,'FUNDED DEALS'!$T$4:$T$1226,$A17)+SUMIFS('FUNDED DEALS 2027'!$V$4:$V$1226,'FUNDED DEALS 2027'!$T$4:$T$1226,$A17)+SUMIFS('FUNDED DEALS'!$Y$4:$Y$1226,'FUNDED DEALS'!$W$4:$W$1226,$A17)+SUMIFS('FUNDED DEALS 2027'!$Y$4:$Y$1226,'FUNDED DEALS 2027'!$W$4:$W$1226,$A17)+SUMIFS('FUNDED DEALS'!$AB$4:$AB$1226,'FUNDED DEALS'!$Z$4:$Z$1226,$A17)+SUMIFS('FUNDED DEALS 2027'!$AB$4:$AB$1226,'FUNDED DEALS 2027'!$Z$4:$Z$1226,$A17))</f>
        <v>0</v>
      </c>
      <c r="F17" s="51" t="n">
        <f aca="false">IF($A17="","",SUMIFS('FUNDED DEALS'!$AG$4:$AG$1226,'FUNDED DEALS'!$T$4:$T$1226,$A17)+SUMIFS('FUNDED DEALS 2027'!$AG$4:$AG$1226,'FUNDED DEALS 2027'!$T$4:$T$1226,$A17)+SUMIFS('FUNDED DEALS'!$AH$4:$AH$1226,'FUNDED DEALS'!$W$4:$W$1226,$A17)+SUMIFS('FUNDED DEALS 2027'!$AH$4:$AH$1226,'FUNDED DEALS 2027'!$W$4:$W$1226,$A17)+SUMIFS('FUNDED DEALS'!$AI$4:$AI$1226,'FUNDED DEALS'!$Z$4:$Z$1226,$A17)+SUMIFS('FUNDED DEALS 2027'!$AI$4:$AI$1226,'FUNDED DEALS 2027'!$Z$4:$Z$1226,$A17))</f>
        <v>0</v>
      </c>
      <c r="G17" s="51" t="n">
        <f aca="false">IF($A17="","",SUMIFS('FUNDED DEALS'!$V$4:$V$1226,'FUNDED DEALS'!$T$4:$T$1226,$A17,'FUNDED DEALS'!$AO$4:$AO$1226,"&lt;&gt;")+SUMIFS('FUNDED DEALS 2027'!$V$4:$V$1226,'FUNDED DEALS 2027'!$T$4:$T$1226,$A17,'FUNDED DEALS 2027'!$AO$4:$AO$1226,"&lt;&gt;")+SUMIFS('FUNDED DEALS'!$Y$4:$Y$1226,'FUNDED DEALS'!$W$4:$W$1226,$A17,'FUNDED DEALS'!$AO$4:$AO$1226,"&lt;&gt;")+SUMIFS('FUNDED DEALS 2027'!$Y$4:$Y$1226,'FUNDED DEALS 2027'!$W$4:$W$1226,$A17,'FUNDED DEALS 2027'!$AO$4:$AO$1226,"&lt;&gt;")+SUMIFS('FUNDED DEALS'!$AB$4:$AB$1226,'FUNDED DEALS'!$Z$4:$Z$1226,$A17,'FUNDED DEALS'!$AO$4:$AO$1226,"&lt;&gt;")+SUMIFS('FUNDED DEALS 2027'!$AB$4:$AB$1226,'FUNDED DEALS 2027'!$Z$4:$Z$1226,$A17,'FUNDED DEALS 2027'!$AO$4:$AO$1226,"&lt;&gt;"))</f>
        <v>0</v>
      </c>
      <c r="H17" s="51" t="n">
        <f aca="false">IF($A17="","",E17-F17-G17)</f>
        <v>0</v>
      </c>
      <c r="I17" s="89" t="n">
        <f aca="false">IF($A17="","",COUNTIFS('FUNDED DEALS'!$T$4:$T$1226,$A17)+COUNTIFS('FUNDED DEALS 2027'!$T$4:$T$1226,$A17)+COUNTIFS('FUNDED DEALS'!$W$4:$W$1226,$A17)+COUNTIFS('FUNDED DEALS 2027'!$W$4:$W$1226,$A17)+COUNTIFS('FUNDED DEALS'!$Z$4:$Z$1226,$A17)+COUNTIFS('FUNDED DEALS 2027'!$Z$4:$Z$1226,$A17))</f>
        <v>0</v>
      </c>
      <c r="J17" s="90" t="s">
        <v>215</v>
      </c>
      <c r="O17" s="0" t="str">
        <f aca="false">IF(AND($A17&lt;&gt;"",$J17="Active"),$A17,"")</f>
        <v>Samuel Knox</v>
      </c>
    </row>
    <row r="18" customFormat="false" ht="15" hidden="false" customHeight="false" outlineLevel="0" collapsed="false">
      <c r="A18" s="80" t="s">
        <v>235</v>
      </c>
      <c r="B18" s="85" t="n">
        <v>0.2</v>
      </c>
      <c r="C18" s="85" t="n">
        <v>0.2</v>
      </c>
      <c r="D18" s="85" t="n">
        <v>0.05</v>
      </c>
      <c r="E18" s="48" t="n">
        <f aca="false">IF($A18="","",SUMIFS('FUNDED DEALS'!$V$4:$V$1226,'FUNDED DEALS'!$T$4:$T$1226,$A18)+SUMIFS('FUNDED DEALS 2027'!$V$4:$V$1226,'FUNDED DEALS 2027'!$T$4:$T$1226,$A18)+SUMIFS('FUNDED DEALS'!$Y$4:$Y$1226,'FUNDED DEALS'!$W$4:$W$1226,$A18)+SUMIFS('FUNDED DEALS 2027'!$Y$4:$Y$1226,'FUNDED DEALS 2027'!$W$4:$W$1226,$A18)+SUMIFS('FUNDED DEALS'!$AB$4:$AB$1226,'FUNDED DEALS'!$Z$4:$Z$1226,$A18)+SUMIFS('FUNDED DEALS 2027'!$AB$4:$AB$1226,'FUNDED DEALS 2027'!$Z$4:$Z$1226,$A18))</f>
        <v>0</v>
      </c>
      <c r="F18" s="48" t="n">
        <f aca="false">IF($A18="","",SUMIFS('FUNDED DEALS'!$AG$4:$AG$1226,'FUNDED DEALS'!$T$4:$T$1226,$A18)+SUMIFS('FUNDED DEALS 2027'!$AG$4:$AG$1226,'FUNDED DEALS 2027'!$T$4:$T$1226,$A18)+SUMIFS('FUNDED DEALS'!$AH$4:$AH$1226,'FUNDED DEALS'!$W$4:$W$1226,$A18)+SUMIFS('FUNDED DEALS 2027'!$AH$4:$AH$1226,'FUNDED DEALS 2027'!$W$4:$W$1226,$A18)+SUMIFS('FUNDED DEALS'!$AI$4:$AI$1226,'FUNDED DEALS'!$Z$4:$Z$1226,$A18)+SUMIFS('FUNDED DEALS 2027'!$AI$4:$AI$1226,'FUNDED DEALS 2027'!$Z$4:$Z$1226,$A18))</f>
        <v>0</v>
      </c>
      <c r="G18" s="48" t="n">
        <f aca="false">IF($A18="","",SUMIFS('FUNDED DEALS'!$V$4:$V$1226,'FUNDED DEALS'!$T$4:$T$1226,$A18,'FUNDED DEALS'!$AO$4:$AO$1226,"&lt;&gt;")+SUMIFS('FUNDED DEALS 2027'!$V$4:$V$1226,'FUNDED DEALS 2027'!$T$4:$T$1226,$A18,'FUNDED DEALS 2027'!$AO$4:$AO$1226,"&lt;&gt;")+SUMIFS('FUNDED DEALS'!$Y$4:$Y$1226,'FUNDED DEALS'!$W$4:$W$1226,$A18,'FUNDED DEALS'!$AO$4:$AO$1226,"&lt;&gt;")+SUMIFS('FUNDED DEALS 2027'!$Y$4:$Y$1226,'FUNDED DEALS 2027'!$W$4:$W$1226,$A18,'FUNDED DEALS 2027'!$AO$4:$AO$1226,"&lt;&gt;")+SUMIFS('FUNDED DEALS'!$AB$4:$AB$1226,'FUNDED DEALS'!$Z$4:$Z$1226,$A18,'FUNDED DEALS'!$AO$4:$AO$1226,"&lt;&gt;")+SUMIFS('FUNDED DEALS 2027'!$AB$4:$AB$1226,'FUNDED DEALS 2027'!$Z$4:$Z$1226,$A18,'FUNDED DEALS 2027'!$AO$4:$AO$1226,"&lt;&gt;"))</f>
        <v>0</v>
      </c>
      <c r="H18" s="48" t="n">
        <f aca="false">IF($A18="","",E18-F18-G18)</f>
        <v>0</v>
      </c>
      <c r="I18" s="86" t="n">
        <f aca="false">IF($A18="","",COUNTIFS('FUNDED DEALS'!$T$4:$T$1226,$A18)+COUNTIFS('FUNDED DEALS 2027'!$T$4:$T$1226,$A18)+COUNTIFS('FUNDED DEALS'!$W$4:$W$1226,$A18)+COUNTIFS('FUNDED DEALS 2027'!$W$4:$W$1226,$A18)+COUNTIFS('FUNDED DEALS'!$Z$4:$Z$1226,$A18)+COUNTIFS('FUNDED DEALS 2027'!$Z$4:$Z$1226,$A18))</f>
        <v>0</v>
      </c>
      <c r="J18" s="87" t="s">
        <v>215</v>
      </c>
      <c r="O18" s="0" t="str">
        <f aca="false">IF(AND($A18&lt;&gt;"",$J18="Active"),$A18,"")</f>
        <v>Rav Sova</v>
      </c>
    </row>
    <row r="19" customFormat="false" ht="15" hidden="false" customHeight="false" outlineLevel="0" collapsed="false">
      <c r="A19" s="82" t="s">
        <v>236</v>
      </c>
      <c r="B19" s="88" t="n">
        <v>0.2</v>
      </c>
      <c r="C19" s="88" t="n">
        <v>0.2</v>
      </c>
      <c r="D19" s="88" t="n">
        <v>0.05</v>
      </c>
      <c r="E19" s="51" t="n">
        <f aca="false">IF($A19="","",SUMIFS('FUNDED DEALS'!$V$4:$V$1226,'FUNDED DEALS'!$T$4:$T$1226,$A19)+SUMIFS('FUNDED DEALS 2027'!$V$4:$V$1226,'FUNDED DEALS 2027'!$T$4:$T$1226,$A19)+SUMIFS('FUNDED DEALS'!$Y$4:$Y$1226,'FUNDED DEALS'!$W$4:$W$1226,$A19)+SUMIFS('FUNDED DEALS 2027'!$Y$4:$Y$1226,'FUNDED DEALS 2027'!$W$4:$W$1226,$A19)+SUMIFS('FUNDED DEALS'!$AB$4:$AB$1226,'FUNDED DEALS'!$Z$4:$Z$1226,$A19)+SUMIFS('FUNDED DEALS 2027'!$AB$4:$AB$1226,'FUNDED DEALS 2027'!$Z$4:$Z$1226,$A19))</f>
        <v>0</v>
      </c>
      <c r="F19" s="51" t="n">
        <f aca="false">IF($A19="","",SUMIFS('FUNDED DEALS'!$AG$4:$AG$1226,'FUNDED DEALS'!$T$4:$T$1226,$A19)+SUMIFS('FUNDED DEALS 2027'!$AG$4:$AG$1226,'FUNDED DEALS 2027'!$T$4:$T$1226,$A19)+SUMIFS('FUNDED DEALS'!$AH$4:$AH$1226,'FUNDED DEALS'!$W$4:$W$1226,$A19)+SUMIFS('FUNDED DEALS 2027'!$AH$4:$AH$1226,'FUNDED DEALS 2027'!$W$4:$W$1226,$A19)+SUMIFS('FUNDED DEALS'!$AI$4:$AI$1226,'FUNDED DEALS'!$Z$4:$Z$1226,$A19)+SUMIFS('FUNDED DEALS 2027'!$AI$4:$AI$1226,'FUNDED DEALS 2027'!$Z$4:$Z$1226,$A19))</f>
        <v>0</v>
      </c>
      <c r="G19" s="51" t="n">
        <f aca="false">IF($A19="","",SUMIFS('FUNDED DEALS'!$V$4:$V$1226,'FUNDED DEALS'!$T$4:$T$1226,$A19,'FUNDED DEALS'!$AO$4:$AO$1226,"&lt;&gt;")+SUMIFS('FUNDED DEALS 2027'!$V$4:$V$1226,'FUNDED DEALS 2027'!$T$4:$T$1226,$A19,'FUNDED DEALS 2027'!$AO$4:$AO$1226,"&lt;&gt;")+SUMIFS('FUNDED DEALS'!$Y$4:$Y$1226,'FUNDED DEALS'!$W$4:$W$1226,$A19,'FUNDED DEALS'!$AO$4:$AO$1226,"&lt;&gt;")+SUMIFS('FUNDED DEALS 2027'!$Y$4:$Y$1226,'FUNDED DEALS 2027'!$W$4:$W$1226,$A19,'FUNDED DEALS 2027'!$AO$4:$AO$1226,"&lt;&gt;")+SUMIFS('FUNDED DEALS'!$AB$4:$AB$1226,'FUNDED DEALS'!$Z$4:$Z$1226,$A19,'FUNDED DEALS'!$AO$4:$AO$1226,"&lt;&gt;")+SUMIFS('FUNDED DEALS 2027'!$AB$4:$AB$1226,'FUNDED DEALS 2027'!$Z$4:$Z$1226,$A19,'FUNDED DEALS 2027'!$AO$4:$AO$1226,"&lt;&gt;"))</f>
        <v>0</v>
      </c>
      <c r="H19" s="51" t="n">
        <f aca="false">IF($A19="","",E19-F19-G19)</f>
        <v>0</v>
      </c>
      <c r="I19" s="89" t="n">
        <f aca="false">IF($A19="","",COUNTIFS('FUNDED DEALS'!$T$4:$T$1226,$A19)+COUNTIFS('FUNDED DEALS 2027'!$T$4:$T$1226,$A19)+COUNTIFS('FUNDED DEALS'!$W$4:$W$1226,$A19)+COUNTIFS('FUNDED DEALS 2027'!$W$4:$W$1226,$A19)+COUNTIFS('FUNDED DEALS'!$Z$4:$Z$1226,$A19)+COUNTIFS('FUNDED DEALS 2027'!$Z$4:$Z$1226,$A19))</f>
        <v>0</v>
      </c>
      <c r="J19" s="90" t="s">
        <v>215</v>
      </c>
      <c r="O19" s="0" t="str">
        <f aca="false">IF(AND($A19&lt;&gt;"",$J19="Active"),$A19,"")</f>
        <v>Netanel Benjamin</v>
      </c>
    </row>
    <row r="20" customFormat="false" ht="15" hidden="false" customHeight="false" outlineLevel="0" collapsed="false">
      <c r="A20" s="80" t="s">
        <v>237</v>
      </c>
      <c r="B20" s="85" t="n">
        <v>0.2</v>
      </c>
      <c r="C20" s="85" t="n">
        <v>0.15</v>
      </c>
      <c r="D20" s="85"/>
      <c r="E20" s="48" t="n">
        <f aca="false">IF($A20="","",SUMIFS('FUNDED DEALS'!$V$4:$V$1226,'FUNDED DEALS'!$T$4:$T$1226,$A20)+SUMIFS('FUNDED DEALS 2027'!$V$4:$V$1226,'FUNDED DEALS 2027'!$T$4:$T$1226,$A20)+SUMIFS('FUNDED DEALS'!$Y$4:$Y$1226,'FUNDED DEALS'!$W$4:$W$1226,$A20)+SUMIFS('FUNDED DEALS 2027'!$Y$4:$Y$1226,'FUNDED DEALS 2027'!$W$4:$W$1226,$A20)+SUMIFS('FUNDED DEALS'!$AB$4:$AB$1226,'FUNDED DEALS'!$Z$4:$Z$1226,$A20)+SUMIFS('FUNDED DEALS 2027'!$AB$4:$AB$1226,'FUNDED DEALS 2027'!$Z$4:$Z$1226,$A20))</f>
        <v>0</v>
      </c>
      <c r="F20" s="48" t="n">
        <f aca="false">IF($A20="","",SUMIFS('FUNDED DEALS'!$AG$4:$AG$1226,'FUNDED DEALS'!$T$4:$T$1226,$A20)+SUMIFS('FUNDED DEALS 2027'!$AG$4:$AG$1226,'FUNDED DEALS 2027'!$T$4:$T$1226,$A20)+SUMIFS('FUNDED DEALS'!$AH$4:$AH$1226,'FUNDED DEALS'!$W$4:$W$1226,$A20)+SUMIFS('FUNDED DEALS 2027'!$AH$4:$AH$1226,'FUNDED DEALS 2027'!$W$4:$W$1226,$A20)+SUMIFS('FUNDED DEALS'!$AI$4:$AI$1226,'FUNDED DEALS'!$Z$4:$Z$1226,$A20)+SUMIFS('FUNDED DEALS 2027'!$AI$4:$AI$1226,'FUNDED DEALS 2027'!$Z$4:$Z$1226,$A20))</f>
        <v>0</v>
      </c>
      <c r="G20" s="48" t="n">
        <f aca="false">IF($A20="","",SUMIFS('FUNDED DEALS'!$V$4:$V$1226,'FUNDED DEALS'!$T$4:$T$1226,$A20,'FUNDED DEALS'!$AO$4:$AO$1226,"&lt;&gt;")+SUMIFS('FUNDED DEALS 2027'!$V$4:$V$1226,'FUNDED DEALS 2027'!$T$4:$T$1226,$A20,'FUNDED DEALS 2027'!$AO$4:$AO$1226,"&lt;&gt;")+SUMIFS('FUNDED DEALS'!$Y$4:$Y$1226,'FUNDED DEALS'!$W$4:$W$1226,$A20,'FUNDED DEALS'!$AO$4:$AO$1226,"&lt;&gt;")+SUMIFS('FUNDED DEALS 2027'!$Y$4:$Y$1226,'FUNDED DEALS 2027'!$W$4:$W$1226,$A20,'FUNDED DEALS 2027'!$AO$4:$AO$1226,"&lt;&gt;")+SUMIFS('FUNDED DEALS'!$AB$4:$AB$1226,'FUNDED DEALS'!$Z$4:$Z$1226,$A20,'FUNDED DEALS'!$AO$4:$AO$1226,"&lt;&gt;")+SUMIFS('FUNDED DEALS 2027'!$AB$4:$AB$1226,'FUNDED DEALS 2027'!$Z$4:$Z$1226,$A20,'FUNDED DEALS 2027'!$AO$4:$AO$1226,"&lt;&gt;"))</f>
        <v>0</v>
      </c>
      <c r="H20" s="48" t="n">
        <f aca="false">IF($A20="","",E20-F20-G20)</f>
        <v>0</v>
      </c>
      <c r="I20" s="86" t="n">
        <f aca="false">IF($A20="","",COUNTIFS('FUNDED DEALS'!$T$4:$T$1226,$A20)+COUNTIFS('FUNDED DEALS 2027'!$T$4:$T$1226,$A20)+COUNTIFS('FUNDED DEALS'!$W$4:$W$1226,$A20)+COUNTIFS('FUNDED DEALS 2027'!$W$4:$W$1226,$A20)+COUNTIFS('FUNDED DEALS'!$Z$4:$Z$1226,$A20)+COUNTIFS('FUNDED DEALS 2027'!$Z$4:$Z$1226,$A20))</f>
        <v>0</v>
      </c>
      <c r="J20" s="87" t="s">
        <v>215</v>
      </c>
      <c r="O20" s="0" t="str">
        <f aca="false">IF(AND($A20&lt;&gt;"",$J20="Active"),$A20,"")</f>
        <v>Solomon Gold</v>
      </c>
    </row>
    <row r="21" customFormat="false" ht="15" hidden="false" customHeight="false" outlineLevel="0" collapsed="false">
      <c r="A21" s="82" t="s">
        <v>238</v>
      </c>
      <c r="B21" s="88" t="n">
        <v>0.2</v>
      </c>
      <c r="C21" s="88" t="n">
        <v>0.2</v>
      </c>
      <c r="D21" s="88"/>
      <c r="E21" s="51" t="n">
        <f aca="false">IF($A21="","",SUMIFS('FUNDED DEALS'!$V$4:$V$1226,'FUNDED DEALS'!$T$4:$T$1226,$A21)+SUMIFS('FUNDED DEALS 2027'!$V$4:$V$1226,'FUNDED DEALS 2027'!$T$4:$T$1226,$A21)+SUMIFS('FUNDED DEALS'!$Y$4:$Y$1226,'FUNDED DEALS'!$W$4:$W$1226,$A21)+SUMIFS('FUNDED DEALS 2027'!$Y$4:$Y$1226,'FUNDED DEALS 2027'!$W$4:$W$1226,$A21)+SUMIFS('FUNDED DEALS'!$AB$4:$AB$1226,'FUNDED DEALS'!$Z$4:$Z$1226,$A21)+SUMIFS('FUNDED DEALS 2027'!$AB$4:$AB$1226,'FUNDED DEALS 2027'!$Z$4:$Z$1226,$A21))</f>
        <v>0</v>
      </c>
      <c r="F21" s="51" t="n">
        <f aca="false">IF($A21="","",SUMIFS('FUNDED DEALS'!$AG$4:$AG$1226,'FUNDED DEALS'!$T$4:$T$1226,$A21)+SUMIFS('FUNDED DEALS 2027'!$AG$4:$AG$1226,'FUNDED DEALS 2027'!$T$4:$T$1226,$A21)+SUMIFS('FUNDED DEALS'!$AH$4:$AH$1226,'FUNDED DEALS'!$W$4:$W$1226,$A21)+SUMIFS('FUNDED DEALS 2027'!$AH$4:$AH$1226,'FUNDED DEALS 2027'!$W$4:$W$1226,$A21)+SUMIFS('FUNDED DEALS'!$AI$4:$AI$1226,'FUNDED DEALS'!$Z$4:$Z$1226,$A21)+SUMIFS('FUNDED DEALS 2027'!$AI$4:$AI$1226,'FUNDED DEALS 2027'!$Z$4:$Z$1226,$A21))</f>
        <v>0</v>
      </c>
      <c r="G21" s="51" t="n">
        <f aca="false">IF($A21="","",SUMIFS('FUNDED DEALS'!$V$4:$V$1226,'FUNDED DEALS'!$T$4:$T$1226,$A21,'FUNDED DEALS'!$AO$4:$AO$1226,"&lt;&gt;")+SUMIFS('FUNDED DEALS 2027'!$V$4:$V$1226,'FUNDED DEALS 2027'!$T$4:$T$1226,$A21,'FUNDED DEALS 2027'!$AO$4:$AO$1226,"&lt;&gt;")+SUMIFS('FUNDED DEALS'!$Y$4:$Y$1226,'FUNDED DEALS'!$W$4:$W$1226,$A21,'FUNDED DEALS'!$AO$4:$AO$1226,"&lt;&gt;")+SUMIFS('FUNDED DEALS 2027'!$Y$4:$Y$1226,'FUNDED DEALS 2027'!$W$4:$W$1226,$A21,'FUNDED DEALS 2027'!$AO$4:$AO$1226,"&lt;&gt;")+SUMIFS('FUNDED DEALS'!$AB$4:$AB$1226,'FUNDED DEALS'!$Z$4:$Z$1226,$A21,'FUNDED DEALS'!$AO$4:$AO$1226,"&lt;&gt;")+SUMIFS('FUNDED DEALS 2027'!$AB$4:$AB$1226,'FUNDED DEALS 2027'!$Z$4:$Z$1226,$A21,'FUNDED DEALS 2027'!$AO$4:$AO$1226,"&lt;&gt;"))</f>
        <v>0</v>
      </c>
      <c r="H21" s="51" t="n">
        <f aca="false">IF($A21="","",E21-F21-G21)</f>
        <v>0</v>
      </c>
      <c r="I21" s="89" t="n">
        <f aca="false">IF($A21="","",COUNTIFS('FUNDED DEALS'!$T$4:$T$1226,$A21)+COUNTIFS('FUNDED DEALS 2027'!$T$4:$T$1226,$A21)+COUNTIFS('FUNDED DEALS'!$W$4:$W$1226,$A21)+COUNTIFS('FUNDED DEALS 2027'!$W$4:$W$1226,$A21)+COUNTIFS('FUNDED DEALS'!$Z$4:$Z$1226,$A21)+COUNTIFS('FUNDED DEALS 2027'!$Z$4:$Z$1226,$A21))</f>
        <v>0</v>
      </c>
      <c r="J21" s="90" t="s">
        <v>215</v>
      </c>
      <c r="O21" s="0" t="str">
        <f aca="false">IF(AND($A21&lt;&gt;"",$J21="Active"),$A21,"")</f>
        <v>Mark Gold</v>
      </c>
    </row>
    <row r="22" customFormat="false" ht="15" hidden="false" customHeight="false" outlineLevel="0" collapsed="false">
      <c r="A22" s="80" t="s">
        <v>239</v>
      </c>
      <c r="B22" s="85" t="n">
        <v>0.2</v>
      </c>
      <c r="C22" s="85" t="n">
        <v>0.2</v>
      </c>
      <c r="D22" s="85"/>
      <c r="E22" s="48" t="n">
        <f aca="false">IF($A22="","",SUMIFS('FUNDED DEALS'!$V$4:$V$1226,'FUNDED DEALS'!$T$4:$T$1226,$A22)+SUMIFS('FUNDED DEALS 2027'!$V$4:$V$1226,'FUNDED DEALS 2027'!$T$4:$T$1226,$A22)+SUMIFS('FUNDED DEALS'!$Y$4:$Y$1226,'FUNDED DEALS'!$W$4:$W$1226,$A22)+SUMIFS('FUNDED DEALS 2027'!$Y$4:$Y$1226,'FUNDED DEALS 2027'!$W$4:$W$1226,$A22)+SUMIFS('FUNDED DEALS'!$AB$4:$AB$1226,'FUNDED DEALS'!$Z$4:$Z$1226,$A22)+SUMIFS('FUNDED DEALS 2027'!$AB$4:$AB$1226,'FUNDED DEALS 2027'!$Z$4:$Z$1226,$A22))</f>
        <v>0</v>
      </c>
      <c r="F22" s="48" t="n">
        <f aca="false">IF($A22="","",SUMIFS('FUNDED DEALS'!$AG$4:$AG$1226,'FUNDED DEALS'!$T$4:$T$1226,$A22)+SUMIFS('FUNDED DEALS 2027'!$AG$4:$AG$1226,'FUNDED DEALS 2027'!$T$4:$T$1226,$A22)+SUMIFS('FUNDED DEALS'!$AH$4:$AH$1226,'FUNDED DEALS'!$W$4:$W$1226,$A22)+SUMIFS('FUNDED DEALS 2027'!$AH$4:$AH$1226,'FUNDED DEALS 2027'!$W$4:$W$1226,$A22)+SUMIFS('FUNDED DEALS'!$AI$4:$AI$1226,'FUNDED DEALS'!$Z$4:$Z$1226,$A22)+SUMIFS('FUNDED DEALS 2027'!$AI$4:$AI$1226,'FUNDED DEALS 2027'!$Z$4:$Z$1226,$A22))</f>
        <v>0</v>
      </c>
      <c r="G22" s="48" t="n">
        <f aca="false">IF($A22="","",SUMIFS('FUNDED DEALS'!$V$4:$V$1226,'FUNDED DEALS'!$T$4:$T$1226,$A22,'FUNDED DEALS'!$AO$4:$AO$1226,"&lt;&gt;")+SUMIFS('FUNDED DEALS 2027'!$V$4:$V$1226,'FUNDED DEALS 2027'!$T$4:$T$1226,$A22,'FUNDED DEALS 2027'!$AO$4:$AO$1226,"&lt;&gt;")+SUMIFS('FUNDED DEALS'!$Y$4:$Y$1226,'FUNDED DEALS'!$W$4:$W$1226,$A22,'FUNDED DEALS'!$AO$4:$AO$1226,"&lt;&gt;")+SUMIFS('FUNDED DEALS 2027'!$Y$4:$Y$1226,'FUNDED DEALS 2027'!$W$4:$W$1226,$A22,'FUNDED DEALS 2027'!$AO$4:$AO$1226,"&lt;&gt;")+SUMIFS('FUNDED DEALS'!$AB$4:$AB$1226,'FUNDED DEALS'!$Z$4:$Z$1226,$A22,'FUNDED DEALS'!$AO$4:$AO$1226,"&lt;&gt;")+SUMIFS('FUNDED DEALS 2027'!$AB$4:$AB$1226,'FUNDED DEALS 2027'!$Z$4:$Z$1226,$A22,'FUNDED DEALS 2027'!$AO$4:$AO$1226,"&lt;&gt;"))</f>
        <v>0</v>
      </c>
      <c r="H22" s="48" t="n">
        <f aca="false">IF($A22="","",E22-F22-G22)</f>
        <v>0</v>
      </c>
      <c r="I22" s="86" t="n">
        <f aca="false">IF($A22="","",COUNTIFS('FUNDED DEALS'!$T$4:$T$1226,$A22)+COUNTIFS('FUNDED DEALS 2027'!$T$4:$T$1226,$A22)+COUNTIFS('FUNDED DEALS'!$W$4:$W$1226,$A22)+COUNTIFS('FUNDED DEALS 2027'!$W$4:$W$1226,$A22)+COUNTIFS('FUNDED DEALS'!$Z$4:$Z$1226,$A22)+COUNTIFS('FUNDED DEALS 2027'!$Z$4:$Z$1226,$A22))</f>
        <v>0</v>
      </c>
      <c r="J22" s="87" t="s">
        <v>215</v>
      </c>
      <c r="O22" s="0" t="str">
        <f aca="false">IF(AND($A22&lt;&gt;"",$J22="Active"),$A22,"")</f>
        <v>Aaron Dahan</v>
      </c>
    </row>
    <row r="23" customFormat="false" ht="15" hidden="false" customHeight="false" outlineLevel="0" collapsed="false">
      <c r="A23" s="82" t="s">
        <v>240</v>
      </c>
      <c r="B23" s="88" t="n">
        <v>0.2</v>
      </c>
      <c r="C23" s="88" t="n">
        <v>0.15</v>
      </c>
      <c r="D23" s="88"/>
      <c r="E23" s="51" t="n">
        <f aca="false">IF($A23="","",SUMIFS('FUNDED DEALS'!$V$4:$V$1226,'FUNDED DEALS'!$T$4:$T$1226,$A23)+SUMIFS('FUNDED DEALS 2027'!$V$4:$V$1226,'FUNDED DEALS 2027'!$T$4:$T$1226,$A23)+SUMIFS('FUNDED DEALS'!$Y$4:$Y$1226,'FUNDED DEALS'!$W$4:$W$1226,$A23)+SUMIFS('FUNDED DEALS 2027'!$Y$4:$Y$1226,'FUNDED DEALS 2027'!$W$4:$W$1226,$A23)+SUMIFS('FUNDED DEALS'!$AB$4:$AB$1226,'FUNDED DEALS'!$Z$4:$Z$1226,$A23)+SUMIFS('FUNDED DEALS 2027'!$AB$4:$AB$1226,'FUNDED DEALS 2027'!$Z$4:$Z$1226,$A23))</f>
        <v>0</v>
      </c>
      <c r="F23" s="51" t="n">
        <f aca="false">IF($A23="","",SUMIFS('FUNDED DEALS'!$AG$4:$AG$1226,'FUNDED DEALS'!$T$4:$T$1226,$A23)+SUMIFS('FUNDED DEALS 2027'!$AG$4:$AG$1226,'FUNDED DEALS 2027'!$T$4:$T$1226,$A23)+SUMIFS('FUNDED DEALS'!$AH$4:$AH$1226,'FUNDED DEALS'!$W$4:$W$1226,$A23)+SUMIFS('FUNDED DEALS 2027'!$AH$4:$AH$1226,'FUNDED DEALS 2027'!$W$4:$W$1226,$A23)+SUMIFS('FUNDED DEALS'!$AI$4:$AI$1226,'FUNDED DEALS'!$Z$4:$Z$1226,$A23)+SUMIFS('FUNDED DEALS 2027'!$AI$4:$AI$1226,'FUNDED DEALS 2027'!$Z$4:$Z$1226,$A23))</f>
        <v>0</v>
      </c>
      <c r="G23" s="51" t="n">
        <f aca="false">IF($A23="","",SUMIFS('FUNDED DEALS'!$V$4:$V$1226,'FUNDED DEALS'!$T$4:$T$1226,$A23,'FUNDED DEALS'!$AO$4:$AO$1226,"&lt;&gt;")+SUMIFS('FUNDED DEALS 2027'!$V$4:$V$1226,'FUNDED DEALS 2027'!$T$4:$T$1226,$A23,'FUNDED DEALS 2027'!$AO$4:$AO$1226,"&lt;&gt;")+SUMIFS('FUNDED DEALS'!$Y$4:$Y$1226,'FUNDED DEALS'!$W$4:$W$1226,$A23,'FUNDED DEALS'!$AO$4:$AO$1226,"&lt;&gt;")+SUMIFS('FUNDED DEALS 2027'!$Y$4:$Y$1226,'FUNDED DEALS 2027'!$W$4:$W$1226,$A23,'FUNDED DEALS 2027'!$AO$4:$AO$1226,"&lt;&gt;")+SUMIFS('FUNDED DEALS'!$AB$4:$AB$1226,'FUNDED DEALS'!$Z$4:$Z$1226,$A23,'FUNDED DEALS'!$AO$4:$AO$1226,"&lt;&gt;")+SUMIFS('FUNDED DEALS 2027'!$AB$4:$AB$1226,'FUNDED DEALS 2027'!$Z$4:$Z$1226,$A23,'FUNDED DEALS 2027'!$AO$4:$AO$1226,"&lt;&gt;"))</f>
        <v>0</v>
      </c>
      <c r="H23" s="51" t="n">
        <f aca="false">IF($A23="","",E23-F23-G23)</f>
        <v>0</v>
      </c>
      <c r="I23" s="89" t="n">
        <f aca="false">IF($A23="","",COUNTIFS('FUNDED DEALS'!$T$4:$T$1226,$A23)+COUNTIFS('FUNDED DEALS 2027'!$T$4:$T$1226,$A23)+COUNTIFS('FUNDED DEALS'!$W$4:$W$1226,$A23)+COUNTIFS('FUNDED DEALS 2027'!$W$4:$W$1226,$A23)+COUNTIFS('FUNDED DEALS'!$Z$4:$Z$1226,$A23)+COUNTIFS('FUNDED DEALS 2027'!$Z$4:$Z$1226,$A23))</f>
        <v>0</v>
      </c>
      <c r="J23" s="90" t="s">
        <v>215</v>
      </c>
      <c r="O23" s="0" t="str">
        <f aca="false">IF(AND($A23&lt;&gt;"",$J23="Active"),$A23,"")</f>
        <v>Darren Wolf</v>
      </c>
    </row>
    <row r="24" customFormat="false" ht="15" hidden="false" customHeight="false" outlineLevel="0" collapsed="false">
      <c r="A24" s="80" t="s">
        <v>241</v>
      </c>
      <c r="B24" s="85" t="n">
        <v>0.2</v>
      </c>
      <c r="C24" s="85" t="n">
        <v>0.15</v>
      </c>
      <c r="D24" s="85"/>
      <c r="E24" s="48" t="n">
        <f aca="false">IF($A24="","",SUMIFS('FUNDED DEALS'!$V$4:$V$1226,'FUNDED DEALS'!$T$4:$T$1226,$A24)+SUMIFS('FUNDED DEALS 2027'!$V$4:$V$1226,'FUNDED DEALS 2027'!$T$4:$T$1226,$A24)+SUMIFS('FUNDED DEALS'!$Y$4:$Y$1226,'FUNDED DEALS'!$W$4:$W$1226,$A24)+SUMIFS('FUNDED DEALS 2027'!$Y$4:$Y$1226,'FUNDED DEALS 2027'!$W$4:$W$1226,$A24)+SUMIFS('FUNDED DEALS'!$AB$4:$AB$1226,'FUNDED DEALS'!$Z$4:$Z$1226,$A24)+SUMIFS('FUNDED DEALS 2027'!$AB$4:$AB$1226,'FUNDED DEALS 2027'!$Z$4:$Z$1226,$A24))</f>
        <v>0</v>
      </c>
      <c r="F24" s="48" t="n">
        <f aca="false">IF($A24="","",SUMIFS('FUNDED DEALS'!$AG$4:$AG$1226,'FUNDED DEALS'!$T$4:$T$1226,$A24)+SUMIFS('FUNDED DEALS 2027'!$AG$4:$AG$1226,'FUNDED DEALS 2027'!$T$4:$T$1226,$A24)+SUMIFS('FUNDED DEALS'!$AH$4:$AH$1226,'FUNDED DEALS'!$W$4:$W$1226,$A24)+SUMIFS('FUNDED DEALS 2027'!$AH$4:$AH$1226,'FUNDED DEALS 2027'!$W$4:$W$1226,$A24)+SUMIFS('FUNDED DEALS'!$AI$4:$AI$1226,'FUNDED DEALS'!$Z$4:$Z$1226,$A24)+SUMIFS('FUNDED DEALS 2027'!$AI$4:$AI$1226,'FUNDED DEALS 2027'!$Z$4:$Z$1226,$A24))</f>
        <v>0</v>
      </c>
      <c r="G24" s="48" t="n">
        <f aca="false">IF($A24="","",SUMIFS('FUNDED DEALS'!$V$4:$V$1226,'FUNDED DEALS'!$T$4:$T$1226,$A24,'FUNDED DEALS'!$AO$4:$AO$1226,"&lt;&gt;")+SUMIFS('FUNDED DEALS 2027'!$V$4:$V$1226,'FUNDED DEALS 2027'!$T$4:$T$1226,$A24,'FUNDED DEALS 2027'!$AO$4:$AO$1226,"&lt;&gt;")+SUMIFS('FUNDED DEALS'!$Y$4:$Y$1226,'FUNDED DEALS'!$W$4:$W$1226,$A24,'FUNDED DEALS'!$AO$4:$AO$1226,"&lt;&gt;")+SUMIFS('FUNDED DEALS 2027'!$Y$4:$Y$1226,'FUNDED DEALS 2027'!$W$4:$W$1226,$A24,'FUNDED DEALS 2027'!$AO$4:$AO$1226,"&lt;&gt;")+SUMIFS('FUNDED DEALS'!$AB$4:$AB$1226,'FUNDED DEALS'!$Z$4:$Z$1226,$A24,'FUNDED DEALS'!$AO$4:$AO$1226,"&lt;&gt;")+SUMIFS('FUNDED DEALS 2027'!$AB$4:$AB$1226,'FUNDED DEALS 2027'!$Z$4:$Z$1226,$A24,'FUNDED DEALS 2027'!$AO$4:$AO$1226,"&lt;&gt;"))</f>
        <v>0</v>
      </c>
      <c r="H24" s="48" t="n">
        <f aca="false">IF($A24="","",E24-F24-G24)</f>
        <v>0</v>
      </c>
      <c r="I24" s="86" t="n">
        <f aca="false">IF($A24="","",COUNTIFS('FUNDED DEALS'!$T$4:$T$1226,$A24)+COUNTIFS('FUNDED DEALS 2027'!$T$4:$T$1226,$A24)+COUNTIFS('FUNDED DEALS'!$W$4:$W$1226,$A24)+COUNTIFS('FUNDED DEALS 2027'!$W$4:$W$1226,$A24)+COUNTIFS('FUNDED DEALS'!$Z$4:$Z$1226,$A24)+COUNTIFS('FUNDED DEALS 2027'!$Z$4:$Z$1226,$A24))</f>
        <v>0</v>
      </c>
      <c r="J24" s="87" t="s">
        <v>215</v>
      </c>
      <c r="O24" s="0" t="str">
        <f aca="false">IF(AND($A24&lt;&gt;"",$J24="Active"),$A24,"")</f>
        <v>David Silvers</v>
      </c>
    </row>
    <row r="25" customFormat="false" ht="15" hidden="false" customHeight="false" outlineLevel="0" collapsed="false">
      <c r="A25" s="82" t="s">
        <v>242</v>
      </c>
      <c r="B25" s="88" t="n">
        <v>0.2</v>
      </c>
      <c r="C25" s="88" t="n">
        <v>0.2</v>
      </c>
      <c r="D25" s="88"/>
      <c r="E25" s="51" t="n">
        <f aca="false">IF($A25="","",SUMIFS('FUNDED DEALS'!$V$4:$V$1226,'FUNDED DEALS'!$T$4:$T$1226,$A25)+SUMIFS('FUNDED DEALS 2027'!$V$4:$V$1226,'FUNDED DEALS 2027'!$T$4:$T$1226,$A25)+SUMIFS('FUNDED DEALS'!$Y$4:$Y$1226,'FUNDED DEALS'!$W$4:$W$1226,$A25)+SUMIFS('FUNDED DEALS 2027'!$Y$4:$Y$1226,'FUNDED DEALS 2027'!$W$4:$W$1226,$A25)+SUMIFS('FUNDED DEALS'!$AB$4:$AB$1226,'FUNDED DEALS'!$Z$4:$Z$1226,$A25)+SUMIFS('FUNDED DEALS 2027'!$AB$4:$AB$1226,'FUNDED DEALS 2027'!$Z$4:$Z$1226,$A25))</f>
        <v>0</v>
      </c>
      <c r="F25" s="51" t="n">
        <f aca="false">IF($A25="","",SUMIFS('FUNDED DEALS'!$AG$4:$AG$1226,'FUNDED DEALS'!$T$4:$T$1226,$A25)+SUMIFS('FUNDED DEALS 2027'!$AG$4:$AG$1226,'FUNDED DEALS 2027'!$T$4:$T$1226,$A25)+SUMIFS('FUNDED DEALS'!$AH$4:$AH$1226,'FUNDED DEALS'!$W$4:$W$1226,$A25)+SUMIFS('FUNDED DEALS 2027'!$AH$4:$AH$1226,'FUNDED DEALS 2027'!$W$4:$W$1226,$A25)+SUMIFS('FUNDED DEALS'!$AI$4:$AI$1226,'FUNDED DEALS'!$Z$4:$Z$1226,$A25)+SUMIFS('FUNDED DEALS 2027'!$AI$4:$AI$1226,'FUNDED DEALS 2027'!$Z$4:$Z$1226,$A25))</f>
        <v>0</v>
      </c>
      <c r="G25" s="51" t="n">
        <f aca="false">IF($A25="","",SUMIFS('FUNDED DEALS'!$V$4:$V$1226,'FUNDED DEALS'!$T$4:$T$1226,$A25,'FUNDED DEALS'!$AO$4:$AO$1226,"&lt;&gt;")+SUMIFS('FUNDED DEALS 2027'!$V$4:$V$1226,'FUNDED DEALS 2027'!$T$4:$T$1226,$A25,'FUNDED DEALS 2027'!$AO$4:$AO$1226,"&lt;&gt;")+SUMIFS('FUNDED DEALS'!$Y$4:$Y$1226,'FUNDED DEALS'!$W$4:$W$1226,$A25,'FUNDED DEALS'!$AO$4:$AO$1226,"&lt;&gt;")+SUMIFS('FUNDED DEALS 2027'!$Y$4:$Y$1226,'FUNDED DEALS 2027'!$W$4:$W$1226,$A25,'FUNDED DEALS 2027'!$AO$4:$AO$1226,"&lt;&gt;")+SUMIFS('FUNDED DEALS'!$AB$4:$AB$1226,'FUNDED DEALS'!$Z$4:$Z$1226,$A25,'FUNDED DEALS'!$AO$4:$AO$1226,"&lt;&gt;")+SUMIFS('FUNDED DEALS 2027'!$AB$4:$AB$1226,'FUNDED DEALS 2027'!$Z$4:$Z$1226,$A25,'FUNDED DEALS 2027'!$AO$4:$AO$1226,"&lt;&gt;"))</f>
        <v>0</v>
      </c>
      <c r="H25" s="51" t="n">
        <f aca="false">IF($A25="","",E25-F25-G25)</f>
        <v>0</v>
      </c>
      <c r="I25" s="89" t="n">
        <f aca="false">IF($A25="","",COUNTIFS('FUNDED DEALS'!$T$4:$T$1226,$A25)+COUNTIFS('FUNDED DEALS 2027'!$T$4:$T$1226,$A25)+COUNTIFS('FUNDED DEALS'!$W$4:$W$1226,$A25)+COUNTIFS('FUNDED DEALS 2027'!$W$4:$W$1226,$A25)+COUNTIFS('FUNDED DEALS'!$Z$4:$Z$1226,$A25)+COUNTIFS('FUNDED DEALS 2027'!$Z$4:$Z$1226,$A25))</f>
        <v>0</v>
      </c>
      <c r="J25" s="90" t="s">
        <v>215</v>
      </c>
      <c r="O25" s="0" t="str">
        <f aca="false">IF(AND($A25&lt;&gt;"",$J25="Active"),$A25,"")</f>
        <v>Jason Reed</v>
      </c>
    </row>
    <row r="26" customFormat="false" ht="15" hidden="false" customHeight="false" outlineLevel="0" collapsed="false">
      <c r="A26" s="80" t="s">
        <v>243</v>
      </c>
      <c r="B26" s="85" t="n">
        <v>0.2</v>
      </c>
      <c r="C26" s="85" t="n">
        <v>0.2</v>
      </c>
      <c r="D26" s="85"/>
      <c r="E26" s="48" t="n">
        <f aca="false">IF($A26="","",SUMIFS('FUNDED DEALS'!$V$4:$V$1226,'FUNDED DEALS'!$T$4:$T$1226,$A26)+SUMIFS('FUNDED DEALS 2027'!$V$4:$V$1226,'FUNDED DEALS 2027'!$T$4:$T$1226,$A26)+SUMIFS('FUNDED DEALS'!$Y$4:$Y$1226,'FUNDED DEALS'!$W$4:$W$1226,$A26)+SUMIFS('FUNDED DEALS 2027'!$Y$4:$Y$1226,'FUNDED DEALS 2027'!$W$4:$W$1226,$A26)+SUMIFS('FUNDED DEALS'!$AB$4:$AB$1226,'FUNDED DEALS'!$Z$4:$Z$1226,$A26)+SUMIFS('FUNDED DEALS 2027'!$AB$4:$AB$1226,'FUNDED DEALS 2027'!$Z$4:$Z$1226,$A26))</f>
        <v>0</v>
      </c>
      <c r="F26" s="48" t="n">
        <f aca="false">IF($A26="","",SUMIFS('FUNDED DEALS'!$AG$4:$AG$1226,'FUNDED DEALS'!$T$4:$T$1226,$A26)+SUMIFS('FUNDED DEALS 2027'!$AG$4:$AG$1226,'FUNDED DEALS 2027'!$T$4:$T$1226,$A26)+SUMIFS('FUNDED DEALS'!$AH$4:$AH$1226,'FUNDED DEALS'!$W$4:$W$1226,$A26)+SUMIFS('FUNDED DEALS 2027'!$AH$4:$AH$1226,'FUNDED DEALS 2027'!$W$4:$W$1226,$A26)+SUMIFS('FUNDED DEALS'!$AI$4:$AI$1226,'FUNDED DEALS'!$Z$4:$Z$1226,$A26)+SUMIFS('FUNDED DEALS 2027'!$AI$4:$AI$1226,'FUNDED DEALS 2027'!$Z$4:$Z$1226,$A26))</f>
        <v>0</v>
      </c>
      <c r="G26" s="48" t="n">
        <f aca="false">IF($A26="","",SUMIFS('FUNDED DEALS'!$V$4:$V$1226,'FUNDED DEALS'!$T$4:$T$1226,$A26,'FUNDED DEALS'!$AO$4:$AO$1226,"&lt;&gt;")+SUMIFS('FUNDED DEALS 2027'!$V$4:$V$1226,'FUNDED DEALS 2027'!$T$4:$T$1226,$A26,'FUNDED DEALS 2027'!$AO$4:$AO$1226,"&lt;&gt;")+SUMIFS('FUNDED DEALS'!$Y$4:$Y$1226,'FUNDED DEALS'!$W$4:$W$1226,$A26,'FUNDED DEALS'!$AO$4:$AO$1226,"&lt;&gt;")+SUMIFS('FUNDED DEALS 2027'!$Y$4:$Y$1226,'FUNDED DEALS 2027'!$W$4:$W$1226,$A26,'FUNDED DEALS 2027'!$AO$4:$AO$1226,"&lt;&gt;")+SUMIFS('FUNDED DEALS'!$AB$4:$AB$1226,'FUNDED DEALS'!$Z$4:$Z$1226,$A26,'FUNDED DEALS'!$AO$4:$AO$1226,"&lt;&gt;")+SUMIFS('FUNDED DEALS 2027'!$AB$4:$AB$1226,'FUNDED DEALS 2027'!$Z$4:$Z$1226,$A26,'FUNDED DEALS 2027'!$AO$4:$AO$1226,"&lt;&gt;"))</f>
        <v>0</v>
      </c>
      <c r="H26" s="48" t="n">
        <f aca="false">IF($A26="","",E26-F26-G26)</f>
        <v>0</v>
      </c>
      <c r="I26" s="86" t="n">
        <f aca="false">IF($A26="","",COUNTIFS('FUNDED DEALS'!$T$4:$T$1226,$A26)+COUNTIFS('FUNDED DEALS 2027'!$T$4:$T$1226,$A26)+COUNTIFS('FUNDED DEALS'!$W$4:$W$1226,$A26)+COUNTIFS('FUNDED DEALS 2027'!$W$4:$W$1226,$A26)+COUNTIFS('FUNDED DEALS'!$Z$4:$Z$1226,$A26)+COUNTIFS('FUNDED DEALS 2027'!$Z$4:$Z$1226,$A26))</f>
        <v>0</v>
      </c>
      <c r="J26" s="87" t="s">
        <v>215</v>
      </c>
      <c r="O26" s="0" t="str">
        <f aca="false">IF(AND($A26&lt;&gt;"",$J26="Active"),$A26,"")</f>
        <v>Levi Forgash</v>
      </c>
    </row>
    <row r="27" customFormat="false" ht="15" hidden="false" customHeight="false" outlineLevel="0" collapsed="false">
      <c r="A27" s="82"/>
      <c r="B27" s="88"/>
      <c r="C27" s="88"/>
      <c r="D27" s="88"/>
      <c r="E27" s="51" t="str">
        <f aca="false">IF($A27="","",SUMIFS('FUNDED DEALS'!$V$4:$V$1226,'FUNDED DEALS'!$T$4:$T$1226,$A27)+SUMIFS('FUNDED DEALS 2027'!$V$4:$V$1226,'FUNDED DEALS 2027'!$T$4:$T$1226,$A27)+SUMIFS('FUNDED DEALS'!$Y$4:$Y$1226,'FUNDED DEALS'!$W$4:$W$1226,$A27)+SUMIFS('FUNDED DEALS 2027'!$Y$4:$Y$1226,'FUNDED DEALS 2027'!$W$4:$W$1226,$A27)+SUMIFS('FUNDED DEALS'!$AB$4:$AB$1226,'FUNDED DEALS'!$Z$4:$Z$1226,$A27)+SUMIFS('FUNDED DEALS 2027'!$AB$4:$AB$1226,'FUNDED DEALS 2027'!$Z$4:$Z$1226,$A27))</f>
        <v/>
      </c>
      <c r="F27" s="51" t="str">
        <f aca="false">IF($A27="","",SUMIFS('FUNDED DEALS'!$AG$4:$AG$1226,'FUNDED DEALS'!$T$4:$T$1226,$A27)+SUMIFS('FUNDED DEALS 2027'!$AG$4:$AG$1226,'FUNDED DEALS 2027'!$T$4:$T$1226,$A27)+SUMIFS('FUNDED DEALS'!$AH$4:$AH$1226,'FUNDED DEALS'!$W$4:$W$1226,$A27)+SUMIFS('FUNDED DEALS 2027'!$AH$4:$AH$1226,'FUNDED DEALS 2027'!$W$4:$W$1226,$A27)+SUMIFS('FUNDED DEALS'!$AI$4:$AI$1226,'FUNDED DEALS'!$Z$4:$Z$1226,$A27)+SUMIFS('FUNDED DEALS 2027'!$AI$4:$AI$1226,'FUNDED DEALS 2027'!$Z$4:$Z$1226,$A27))</f>
        <v/>
      </c>
      <c r="G27" s="51" t="str">
        <f aca="false">IF($A27="","",SUMIFS('FUNDED DEALS'!$V$4:$V$1226,'FUNDED DEALS'!$T$4:$T$1226,$A27,'FUNDED DEALS'!$AO$4:$AO$1226,"&lt;&gt;")+SUMIFS('FUNDED DEALS 2027'!$V$4:$V$1226,'FUNDED DEALS 2027'!$T$4:$T$1226,$A27,'FUNDED DEALS 2027'!$AO$4:$AO$1226,"&lt;&gt;")+SUMIFS('FUNDED DEALS'!$Y$4:$Y$1226,'FUNDED DEALS'!$W$4:$W$1226,$A27,'FUNDED DEALS'!$AO$4:$AO$1226,"&lt;&gt;")+SUMIFS('FUNDED DEALS 2027'!$Y$4:$Y$1226,'FUNDED DEALS 2027'!$W$4:$W$1226,$A27,'FUNDED DEALS 2027'!$AO$4:$AO$1226,"&lt;&gt;")+SUMIFS('FUNDED DEALS'!$AB$4:$AB$1226,'FUNDED DEALS'!$Z$4:$Z$1226,$A27,'FUNDED DEALS'!$AO$4:$AO$1226,"&lt;&gt;")+SUMIFS('FUNDED DEALS 2027'!$AB$4:$AB$1226,'FUNDED DEALS 2027'!$Z$4:$Z$1226,$A27,'FUNDED DEALS 2027'!$AO$4:$AO$1226,"&lt;&gt;"))</f>
        <v/>
      </c>
      <c r="H27" s="51" t="str">
        <f aca="false">IF($A27="","",E27-F27-G27)</f>
        <v/>
      </c>
      <c r="I27" s="89" t="str">
        <f aca="false">IF($A27="","",COUNTIFS('FUNDED DEALS'!$T$4:$T$1226,$A27)+COUNTIFS('FUNDED DEALS 2027'!$T$4:$T$1226,$A27)+COUNTIFS('FUNDED DEALS'!$W$4:$W$1226,$A27)+COUNTIFS('FUNDED DEALS 2027'!$W$4:$W$1226,$A27)+COUNTIFS('FUNDED DEALS'!$Z$4:$Z$1226,$A27)+COUNTIFS('FUNDED DEALS 2027'!$Z$4:$Z$1226,$A27))</f>
        <v/>
      </c>
      <c r="J27" s="90"/>
      <c r="O27" s="0" t="str">
        <f aca="false">IF(AND($A27&lt;&gt;"",$J27="Active"),$A27,"")</f>
        <v/>
      </c>
    </row>
    <row r="28" customFormat="false" ht="15" hidden="false" customHeight="false" outlineLevel="0" collapsed="false">
      <c r="A28" s="80"/>
      <c r="B28" s="85"/>
      <c r="C28" s="85"/>
      <c r="D28" s="85"/>
      <c r="E28" s="48" t="str">
        <f aca="false">IF($A28="","",SUMIFS('FUNDED DEALS'!$V$4:$V$1226,'FUNDED DEALS'!$T$4:$T$1226,$A28)+SUMIFS('FUNDED DEALS 2027'!$V$4:$V$1226,'FUNDED DEALS 2027'!$T$4:$T$1226,$A28)+SUMIFS('FUNDED DEALS'!$Y$4:$Y$1226,'FUNDED DEALS'!$W$4:$W$1226,$A28)+SUMIFS('FUNDED DEALS 2027'!$Y$4:$Y$1226,'FUNDED DEALS 2027'!$W$4:$W$1226,$A28)+SUMIFS('FUNDED DEALS'!$AB$4:$AB$1226,'FUNDED DEALS'!$Z$4:$Z$1226,$A28)+SUMIFS('FUNDED DEALS 2027'!$AB$4:$AB$1226,'FUNDED DEALS 2027'!$Z$4:$Z$1226,$A28))</f>
        <v/>
      </c>
      <c r="F28" s="48" t="str">
        <f aca="false">IF($A28="","",SUMIFS('FUNDED DEALS'!$AG$4:$AG$1226,'FUNDED DEALS'!$T$4:$T$1226,$A28)+SUMIFS('FUNDED DEALS 2027'!$AG$4:$AG$1226,'FUNDED DEALS 2027'!$T$4:$T$1226,$A28)+SUMIFS('FUNDED DEALS'!$AH$4:$AH$1226,'FUNDED DEALS'!$W$4:$W$1226,$A28)+SUMIFS('FUNDED DEALS 2027'!$AH$4:$AH$1226,'FUNDED DEALS 2027'!$W$4:$W$1226,$A28)+SUMIFS('FUNDED DEALS'!$AI$4:$AI$1226,'FUNDED DEALS'!$Z$4:$Z$1226,$A28)+SUMIFS('FUNDED DEALS 2027'!$AI$4:$AI$1226,'FUNDED DEALS 2027'!$Z$4:$Z$1226,$A28))</f>
        <v/>
      </c>
      <c r="G28" s="48" t="str">
        <f aca="false">IF($A28="","",SUMIFS('FUNDED DEALS'!$V$4:$V$1226,'FUNDED DEALS'!$T$4:$T$1226,$A28,'FUNDED DEALS'!$AO$4:$AO$1226,"&lt;&gt;")+SUMIFS('FUNDED DEALS 2027'!$V$4:$V$1226,'FUNDED DEALS 2027'!$T$4:$T$1226,$A28,'FUNDED DEALS 2027'!$AO$4:$AO$1226,"&lt;&gt;")+SUMIFS('FUNDED DEALS'!$Y$4:$Y$1226,'FUNDED DEALS'!$W$4:$W$1226,$A28,'FUNDED DEALS'!$AO$4:$AO$1226,"&lt;&gt;")+SUMIFS('FUNDED DEALS 2027'!$Y$4:$Y$1226,'FUNDED DEALS 2027'!$W$4:$W$1226,$A28,'FUNDED DEALS 2027'!$AO$4:$AO$1226,"&lt;&gt;")+SUMIFS('FUNDED DEALS'!$AB$4:$AB$1226,'FUNDED DEALS'!$Z$4:$Z$1226,$A28,'FUNDED DEALS'!$AO$4:$AO$1226,"&lt;&gt;")+SUMIFS('FUNDED DEALS 2027'!$AB$4:$AB$1226,'FUNDED DEALS 2027'!$Z$4:$Z$1226,$A28,'FUNDED DEALS 2027'!$AO$4:$AO$1226,"&lt;&gt;"))</f>
        <v/>
      </c>
      <c r="H28" s="48" t="str">
        <f aca="false">IF($A28="","",E28-F28-G28)</f>
        <v/>
      </c>
      <c r="I28" s="86" t="str">
        <f aca="false">IF($A28="","",COUNTIFS('FUNDED DEALS'!$T$4:$T$1226,$A28)+COUNTIFS('FUNDED DEALS 2027'!$T$4:$T$1226,$A28)+COUNTIFS('FUNDED DEALS'!$W$4:$W$1226,$A28)+COUNTIFS('FUNDED DEALS 2027'!$W$4:$W$1226,$A28)+COUNTIFS('FUNDED DEALS'!$Z$4:$Z$1226,$A28)+COUNTIFS('FUNDED DEALS 2027'!$Z$4:$Z$1226,$A28))</f>
        <v/>
      </c>
      <c r="J28" s="87"/>
      <c r="O28" s="0" t="str">
        <f aca="false">IF(AND($A28&lt;&gt;"",$J28="Active"),$A28,"")</f>
        <v/>
      </c>
    </row>
    <row r="29" customFormat="false" ht="15" hidden="false" customHeight="false" outlineLevel="0" collapsed="false">
      <c r="A29" s="82"/>
      <c r="B29" s="88"/>
      <c r="C29" s="88"/>
      <c r="D29" s="88"/>
      <c r="E29" s="51" t="str">
        <f aca="false">IF($A29="","",SUMIFS('FUNDED DEALS'!$V$4:$V$1226,'FUNDED DEALS'!$T$4:$T$1226,$A29)+SUMIFS('FUNDED DEALS 2027'!$V$4:$V$1226,'FUNDED DEALS 2027'!$T$4:$T$1226,$A29)+SUMIFS('FUNDED DEALS'!$Y$4:$Y$1226,'FUNDED DEALS'!$W$4:$W$1226,$A29)+SUMIFS('FUNDED DEALS 2027'!$Y$4:$Y$1226,'FUNDED DEALS 2027'!$W$4:$W$1226,$A29)+SUMIFS('FUNDED DEALS'!$AB$4:$AB$1226,'FUNDED DEALS'!$Z$4:$Z$1226,$A29)+SUMIFS('FUNDED DEALS 2027'!$AB$4:$AB$1226,'FUNDED DEALS 2027'!$Z$4:$Z$1226,$A29))</f>
        <v/>
      </c>
      <c r="F29" s="51" t="str">
        <f aca="false">IF($A29="","",SUMIFS('FUNDED DEALS'!$AG$4:$AG$1226,'FUNDED DEALS'!$T$4:$T$1226,$A29)+SUMIFS('FUNDED DEALS 2027'!$AG$4:$AG$1226,'FUNDED DEALS 2027'!$T$4:$T$1226,$A29)+SUMIFS('FUNDED DEALS'!$AH$4:$AH$1226,'FUNDED DEALS'!$W$4:$W$1226,$A29)+SUMIFS('FUNDED DEALS 2027'!$AH$4:$AH$1226,'FUNDED DEALS 2027'!$W$4:$W$1226,$A29)+SUMIFS('FUNDED DEALS'!$AI$4:$AI$1226,'FUNDED DEALS'!$Z$4:$Z$1226,$A29)+SUMIFS('FUNDED DEALS 2027'!$AI$4:$AI$1226,'FUNDED DEALS 2027'!$Z$4:$Z$1226,$A29))</f>
        <v/>
      </c>
      <c r="G29" s="51" t="str">
        <f aca="false">IF($A29="","",SUMIFS('FUNDED DEALS'!$V$4:$V$1226,'FUNDED DEALS'!$T$4:$T$1226,$A29,'FUNDED DEALS'!$AO$4:$AO$1226,"&lt;&gt;")+SUMIFS('FUNDED DEALS 2027'!$V$4:$V$1226,'FUNDED DEALS 2027'!$T$4:$T$1226,$A29,'FUNDED DEALS 2027'!$AO$4:$AO$1226,"&lt;&gt;")+SUMIFS('FUNDED DEALS'!$Y$4:$Y$1226,'FUNDED DEALS'!$W$4:$W$1226,$A29,'FUNDED DEALS'!$AO$4:$AO$1226,"&lt;&gt;")+SUMIFS('FUNDED DEALS 2027'!$Y$4:$Y$1226,'FUNDED DEALS 2027'!$W$4:$W$1226,$A29,'FUNDED DEALS 2027'!$AO$4:$AO$1226,"&lt;&gt;")+SUMIFS('FUNDED DEALS'!$AB$4:$AB$1226,'FUNDED DEALS'!$Z$4:$Z$1226,$A29,'FUNDED DEALS'!$AO$4:$AO$1226,"&lt;&gt;")+SUMIFS('FUNDED DEALS 2027'!$AB$4:$AB$1226,'FUNDED DEALS 2027'!$Z$4:$Z$1226,$A29,'FUNDED DEALS 2027'!$AO$4:$AO$1226,"&lt;&gt;"))</f>
        <v/>
      </c>
      <c r="H29" s="51" t="str">
        <f aca="false">IF($A29="","",E29-F29-G29)</f>
        <v/>
      </c>
      <c r="I29" s="89" t="str">
        <f aca="false">IF($A29="","",COUNTIFS('FUNDED DEALS'!$T$4:$T$1226,$A29)+COUNTIFS('FUNDED DEALS 2027'!$T$4:$T$1226,$A29)+COUNTIFS('FUNDED DEALS'!$W$4:$W$1226,$A29)+COUNTIFS('FUNDED DEALS 2027'!$W$4:$W$1226,$A29)+COUNTIFS('FUNDED DEALS'!$Z$4:$Z$1226,$A29)+COUNTIFS('FUNDED DEALS 2027'!$Z$4:$Z$1226,$A29))</f>
        <v/>
      </c>
      <c r="J29" s="90"/>
      <c r="O29" s="0" t="str">
        <f aca="false">IF(AND($A29&lt;&gt;"",$J29="Active"),$A29,"")</f>
        <v/>
      </c>
    </row>
    <row r="30" customFormat="false" ht="15" hidden="true" customHeight="false" outlineLevel="0" collapsed="false">
      <c r="A30" s="80"/>
      <c r="B30" s="85"/>
      <c r="C30" s="85"/>
      <c r="D30" s="85"/>
      <c r="E30" s="48" t="str">
        <f aca="false">IF($A30="","",SUMIFS('FUNDED DEALS'!$V$4:$V$1226,'FUNDED DEALS'!$T$4:$T$1226,$A30)+SUMIFS('FUNDED DEALS 2027'!$V$4:$V$1226,'FUNDED DEALS 2027'!$T$4:$T$1226,$A30)+SUMIFS('FUNDED DEALS'!$Y$4:$Y$1226,'FUNDED DEALS'!$W$4:$W$1226,$A30)+SUMIFS('FUNDED DEALS 2027'!$Y$4:$Y$1226,'FUNDED DEALS 2027'!$W$4:$W$1226,$A30)+SUMIFS('FUNDED DEALS'!$AB$4:$AB$1226,'FUNDED DEALS'!$Z$4:$Z$1226,$A30)+SUMIFS('FUNDED DEALS 2027'!$AB$4:$AB$1226,'FUNDED DEALS 2027'!$Z$4:$Z$1226,$A30))</f>
        <v/>
      </c>
      <c r="F30" s="48" t="str">
        <f aca="false">IF($A30="","",SUMIFS('FUNDED DEALS'!$AG$4:$AG$1226,'FUNDED DEALS'!$T$4:$T$1226,$A30)+SUMIFS('FUNDED DEALS 2027'!$AG$4:$AG$1226,'FUNDED DEALS 2027'!$T$4:$T$1226,$A30)+SUMIFS('FUNDED DEALS'!$AH$4:$AH$1226,'FUNDED DEALS'!$W$4:$W$1226,$A30)+SUMIFS('FUNDED DEALS 2027'!$AH$4:$AH$1226,'FUNDED DEALS 2027'!$W$4:$W$1226,$A30)+SUMIFS('FUNDED DEALS'!$AI$4:$AI$1226,'FUNDED DEALS'!$Z$4:$Z$1226,$A30)+SUMIFS('FUNDED DEALS 2027'!$AI$4:$AI$1226,'FUNDED DEALS 2027'!$Z$4:$Z$1226,$A30))</f>
        <v/>
      </c>
      <c r="G30" s="48" t="str">
        <f aca="false">IF($A30="","",SUMIFS('FUNDED DEALS'!$V$4:$V$1226,'FUNDED DEALS'!$T$4:$T$1226,$A30,'FUNDED DEALS'!$AO$4:$AO$1226,"&lt;&gt;")+SUMIFS('FUNDED DEALS 2027'!$V$4:$V$1226,'FUNDED DEALS 2027'!$T$4:$T$1226,$A30,'FUNDED DEALS 2027'!$AO$4:$AO$1226,"&lt;&gt;")+SUMIFS('FUNDED DEALS'!$Y$4:$Y$1226,'FUNDED DEALS'!$W$4:$W$1226,$A30,'FUNDED DEALS'!$AO$4:$AO$1226,"&lt;&gt;")+SUMIFS('FUNDED DEALS 2027'!$Y$4:$Y$1226,'FUNDED DEALS 2027'!$W$4:$W$1226,$A30,'FUNDED DEALS 2027'!$AO$4:$AO$1226,"&lt;&gt;")+SUMIFS('FUNDED DEALS'!$AB$4:$AB$1226,'FUNDED DEALS'!$Z$4:$Z$1226,$A30,'FUNDED DEALS'!$AO$4:$AO$1226,"&lt;&gt;")+SUMIFS('FUNDED DEALS 2027'!$AB$4:$AB$1226,'FUNDED DEALS 2027'!$Z$4:$Z$1226,$A30,'FUNDED DEALS 2027'!$AO$4:$AO$1226,"&lt;&gt;"))</f>
        <v/>
      </c>
      <c r="H30" s="48" t="str">
        <f aca="false">IF($A30="","",E30-F30-G30)</f>
        <v/>
      </c>
      <c r="I30" s="86" t="str">
        <f aca="false">IF($A30="","",COUNTIFS('FUNDED DEALS'!$T$4:$T$1226,$A30)+COUNTIFS('FUNDED DEALS 2027'!$T$4:$T$1226,$A30)+COUNTIFS('FUNDED DEALS'!$W$4:$W$1226,$A30)+COUNTIFS('FUNDED DEALS 2027'!$W$4:$W$1226,$A30)+COUNTIFS('FUNDED DEALS'!$Z$4:$Z$1226,$A30)+COUNTIFS('FUNDED DEALS 2027'!$Z$4:$Z$1226,$A30))</f>
        <v/>
      </c>
      <c r="J30" s="87"/>
      <c r="O30" s="0" t="str">
        <f aca="false">IF(AND($A30&lt;&gt;"",$J30="Active"),$A30,"")</f>
        <v/>
      </c>
    </row>
    <row r="31" customFormat="false" ht="15" hidden="true" customHeight="false" outlineLevel="0" collapsed="false">
      <c r="A31" s="82"/>
      <c r="B31" s="88"/>
      <c r="C31" s="88"/>
      <c r="D31" s="88"/>
      <c r="E31" s="51" t="str">
        <f aca="false">IF($A31="","",SUMIFS('FUNDED DEALS'!$V$4:$V$1226,'FUNDED DEALS'!$T$4:$T$1226,$A31)+SUMIFS('FUNDED DEALS 2027'!$V$4:$V$1226,'FUNDED DEALS 2027'!$T$4:$T$1226,$A31)+SUMIFS('FUNDED DEALS'!$Y$4:$Y$1226,'FUNDED DEALS'!$W$4:$W$1226,$A31)+SUMIFS('FUNDED DEALS 2027'!$Y$4:$Y$1226,'FUNDED DEALS 2027'!$W$4:$W$1226,$A31)+SUMIFS('FUNDED DEALS'!$AB$4:$AB$1226,'FUNDED DEALS'!$Z$4:$Z$1226,$A31)+SUMIFS('FUNDED DEALS 2027'!$AB$4:$AB$1226,'FUNDED DEALS 2027'!$Z$4:$Z$1226,$A31))</f>
        <v/>
      </c>
      <c r="F31" s="51" t="str">
        <f aca="false">IF($A31="","",SUMIFS('FUNDED DEALS'!$AG$4:$AG$1226,'FUNDED DEALS'!$T$4:$T$1226,$A31)+SUMIFS('FUNDED DEALS 2027'!$AG$4:$AG$1226,'FUNDED DEALS 2027'!$T$4:$T$1226,$A31)+SUMIFS('FUNDED DEALS'!$AH$4:$AH$1226,'FUNDED DEALS'!$W$4:$W$1226,$A31)+SUMIFS('FUNDED DEALS 2027'!$AH$4:$AH$1226,'FUNDED DEALS 2027'!$W$4:$W$1226,$A31)+SUMIFS('FUNDED DEALS'!$AI$4:$AI$1226,'FUNDED DEALS'!$Z$4:$Z$1226,$A31)+SUMIFS('FUNDED DEALS 2027'!$AI$4:$AI$1226,'FUNDED DEALS 2027'!$Z$4:$Z$1226,$A31))</f>
        <v/>
      </c>
      <c r="G31" s="51" t="str">
        <f aca="false">IF($A31="","",SUMIFS('FUNDED DEALS'!$V$4:$V$1226,'FUNDED DEALS'!$T$4:$T$1226,$A31,'FUNDED DEALS'!$AO$4:$AO$1226,"&lt;&gt;")+SUMIFS('FUNDED DEALS 2027'!$V$4:$V$1226,'FUNDED DEALS 2027'!$T$4:$T$1226,$A31,'FUNDED DEALS 2027'!$AO$4:$AO$1226,"&lt;&gt;")+SUMIFS('FUNDED DEALS'!$Y$4:$Y$1226,'FUNDED DEALS'!$W$4:$W$1226,$A31,'FUNDED DEALS'!$AO$4:$AO$1226,"&lt;&gt;")+SUMIFS('FUNDED DEALS 2027'!$Y$4:$Y$1226,'FUNDED DEALS 2027'!$W$4:$W$1226,$A31,'FUNDED DEALS 2027'!$AO$4:$AO$1226,"&lt;&gt;")+SUMIFS('FUNDED DEALS'!$AB$4:$AB$1226,'FUNDED DEALS'!$Z$4:$Z$1226,$A31,'FUNDED DEALS'!$AO$4:$AO$1226,"&lt;&gt;")+SUMIFS('FUNDED DEALS 2027'!$AB$4:$AB$1226,'FUNDED DEALS 2027'!$Z$4:$Z$1226,$A31,'FUNDED DEALS 2027'!$AO$4:$AO$1226,"&lt;&gt;"))</f>
        <v/>
      </c>
      <c r="H31" s="51" t="str">
        <f aca="false">IF($A31="","",E31-F31-G31)</f>
        <v/>
      </c>
      <c r="I31" s="89" t="str">
        <f aca="false">IF($A31="","",COUNTIFS('FUNDED DEALS'!$T$4:$T$1226,$A31)+COUNTIFS('FUNDED DEALS 2027'!$T$4:$T$1226,$A31)+COUNTIFS('FUNDED DEALS'!$W$4:$W$1226,$A31)+COUNTIFS('FUNDED DEALS 2027'!$W$4:$W$1226,$A31)+COUNTIFS('FUNDED DEALS'!$Z$4:$Z$1226,$A31)+COUNTIFS('FUNDED DEALS 2027'!$Z$4:$Z$1226,$A31))</f>
        <v/>
      </c>
      <c r="J31" s="90"/>
      <c r="O31" s="0" t="str">
        <f aca="false">IF(AND($A31&lt;&gt;"",$J31="Active"),$A31,"")</f>
        <v/>
      </c>
    </row>
    <row r="32" customFormat="false" ht="15" hidden="true" customHeight="false" outlineLevel="0" collapsed="false">
      <c r="A32" s="80"/>
      <c r="B32" s="85"/>
      <c r="C32" s="85"/>
      <c r="D32" s="85"/>
      <c r="E32" s="48" t="str">
        <f aca="false">IF($A32="","",SUMIFS('FUNDED DEALS'!$V$4:$V$1226,'FUNDED DEALS'!$T$4:$T$1226,$A32)+SUMIFS('FUNDED DEALS 2027'!$V$4:$V$1226,'FUNDED DEALS 2027'!$T$4:$T$1226,$A32)+SUMIFS('FUNDED DEALS'!$Y$4:$Y$1226,'FUNDED DEALS'!$W$4:$W$1226,$A32)+SUMIFS('FUNDED DEALS 2027'!$Y$4:$Y$1226,'FUNDED DEALS 2027'!$W$4:$W$1226,$A32)+SUMIFS('FUNDED DEALS'!$AB$4:$AB$1226,'FUNDED DEALS'!$Z$4:$Z$1226,$A32)+SUMIFS('FUNDED DEALS 2027'!$AB$4:$AB$1226,'FUNDED DEALS 2027'!$Z$4:$Z$1226,$A32))</f>
        <v/>
      </c>
      <c r="F32" s="48" t="str">
        <f aca="false">IF($A32="","",SUMIFS('FUNDED DEALS'!$AG$4:$AG$1226,'FUNDED DEALS'!$T$4:$T$1226,$A32)+SUMIFS('FUNDED DEALS 2027'!$AG$4:$AG$1226,'FUNDED DEALS 2027'!$T$4:$T$1226,$A32)+SUMIFS('FUNDED DEALS'!$AH$4:$AH$1226,'FUNDED DEALS'!$W$4:$W$1226,$A32)+SUMIFS('FUNDED DEALS 2027'!$AH$4:$AH$1226,'FUNDED DEALS 2027'!$W$4:$W$1226,$A32)+SUMIFS('FUNDED DEALS'!$AI$4:$AI$1226,'FUNDED DEALS'!$Z$4:$Z$1226,$A32)+SUMIFS('FUNDED DEALS 2027'!$AI$4:$AI$1226,'FUNDED DEALS 2027'!$Z$4:$Z$1226,$A32))</f>
        <v/>
      </c>
      <c r="G32" s="48" t="str">
        <f aca="false">IF($A32="","",SUMIFS('FUNDED DEALS'!$V$4:$V$1226,'FUNDED DEALS'!$T$4:$T$1226,$A32,'FUNDED DEALS'!$AO$4:$AO$1226,"&lt;&gt;")+SUMIFS('FUNDED DEALS 2027'!$V$4:$V$1226,'FUNDED DEALS 2027'!$T$4:$T$1226,$A32,'FUNDED DEALS 2027'!$AO$4:$AO$1226,"&lt;&gt;")+SUMIFS('FUNDED DEALS'!$Y$4:$Y$1226,'FUNDED DEALS'!$W$4:$W$1226,$A32,'FUNDED DEALS'!$AO$4:$AO$1226,"&lt;&gt;")+SUMIFS('FUNDED DEALS 2027'!$Y$4:$Y$1226,'FUNDED DEALS 2027'!$W$4:$W$1226,$A32,'FUNDED DEALS 2027'!$AO$4:$AO$1226,"&lt;&gt;")+SUMIFS('FUNDED DEALS'!$AB$4:$AB$1226,'FUNDED DEALS'!$Z$4:$Z$1226,$A32,'FUNDED DEALS'!$AO$4:$AO$1226,"&lt;&gt;")+SUMIFS('FUNDED DEALS 2027'!$AB$4:$AB$1226,'FUNDED DEALS 2027'!$Z$4:$Z$1226,$A32,'FUNDED DEALS 2027'!$AO$4:$AO$1226,"&lt;&gt;"))</f>
        <v/>
      </c>
      <c r="H32" s="48" t="str">
        <f aca="false">IF($A32="","",E32-F32-G32)</f>
        <v/>
      </c>
      <c r="I32" s="86" t="str">
        <f aca="false">IF($A32="","",COUNTIFS('FUNDED DEALS'!$T$4:$T$1226,$A32)+COUNTIFS('FUNDED DEALS 2027'!$T$4:$T$1226,$A32)+COUNTIFS('FUNDED DEALS'!$W$4:$W$1226,$A32)+COUNTIFS('FUNDED DEALS 2027'!$W$4:$W$1226,$A32)+COUNTIFS('FUNDED DEALS'!$Z$4:$Z$1226,$A32)+COUNTIFS('FUNDED DEALS 2027'!$Z$4:$Z$1226,$A32))</f>
        <v/>
      </c>
      <c r="J32" s="87"/>
      <c r="O32" s="0" t="str">
        <f aca="false">IF(AND($A32&lt;&gt;"",$J32="Active"),$A32,"")</f>
        <v/>
      </c>
    </row>
    <row r="33" customFormat="false" ht="15" hidden="true" customHeight="false" outlineLevel="0" collapsed="false">
      <c r="A33" s="82"/>
      <c r="B33" s="88"/>
      <c r="C33" s="88"/>
      <c r="D33" s="88"/>
      <c r="E33" s="51" t="str">
        <f aca="false">IF($A33="","",SUMIFS('FUNDED DEALS'!$V$4:$V$1226,'FUNDED DEALS'!$T$4:$T$1226,$A33)+SUMIFS('FUNDED DEALS 2027'!$V$4:$V$1226,'FUNDED DEALS 2027'!$T$4:$T$1226,$A33)+SUMIFS('FUNDED DEALS'!$Y$4:$Y$1226,'FUNDED DEALS'!$W$4:$W$1226,$A33)+SUMIFS('FUNDED DEALS 2027'!$Y$4:$Y$1226,'FUNDED DEALS 2027'!$W$4:$W$1226,$A33)+SUMIFS('FUNDED DEALS'!$AB$4:$AB$1226,'FUNDED DEALS'!$Z$4:$Z$1226,$A33)+SUMIFS('FUNDED DEALS 2027'!$AB$4:$AB$1226,'FUNDED DEALS 2027'!$Z$4:$Z$1226,$A33))</f>
        <v/>
      </c>
      <c r="F33" s="51" t="str">
        <f aca="false">IF($A33="","",SUMIFS('FUNDED DEALS'!$AG$4:$AG$1226,'FUNDED DEALS'!$T$4:$T$1226,$A33)+SUMIFS('FUNDED DEALS 2027'!$AG$4:$AG$1226,'FUNDED DEALS 2027'!$T$4:$T$1226,$A33)+SUMIFS('FUNDED DEALS'!$AH$4:$AH$1226,'FUNDED DEALS'!$W$4:$W$1226,$A33)+SUMIFS('FUNDED DEALS 2027'!$AH$4:$AH$1226,'FUNDED DEALS 2027'!$W$4:$W$1226,$A33)+SUMIFS('FUNDED DEALS'!$AI$4:$AI$1226,'FUNDED DEALS'!$Z$4:$Z$1226,$A33)+SUMIFS('FUNDED DEALS 2027'!$AI$4:$AI$1226,'FUNDED DEALS 2027'!$Z$4:$Z$1226,$A33))</f>
        <v/>
      </c>
      <c r="G33" s="51" t="str">
        <f aca="false">IF($A33="","",SUMIFS('FUNDED DEALS'!$V$4:$V$1226,'FUNDED DEALS'!$T$4:$T$1226,$A33,'FUNDED DEALS'!$AO$4:$AO$1226,"&lt;&gt;")+SUMIFS('FUNDED DEALS 2027'!$V$4:$V$1226,'FUNDED DEALS 2027'!$T$4:$T$1226,$A33,'FUNDED DEALS 2027'!$AO$4:$AO$1226,"&lt;&gt;")+SUMIFS('FUNDED DEALS'!$Y$4:$Y$1226,'FUNDED DEALS'!$W$4:$W$1226,$A33,'FUNDED DEALS'!$AO$4:$AO$1226,"&lt;&gt;")+SUMIFS('FUNDED DEALS 2027'!$Y$4:$Y$1226,'FUNDED DEALS 2027'!$W$4:$W$1226,$A33,'FUNDED DEALS 2027'!$AO$4:$AO$1226,"&lt;&gt;")+SUMIFS('FUNDED DEALS'!$AB$4:$AB$1226,'FUNDED DEALS'!$Z$4:$Z$1226,$A33,'FUNDED DEALS'!$AO$4:$AO$1226,"&lt;&gt;")+SUMIFS('FUNDED DEALS 2027'!$AB$4:$AB$1226,'FUNDED DEALS 2027'!$Z$4:$Z$1226,$A33,'FUNDED DEALS 2027'!$AO$4:$AO$1226,"&lt;&gt;"))</f>
        <v/>
      </c>
      <c r="H33" s="51" t="str">
        <f aca="false">IF($A33="","",E33-F33-G33)</f>
        <v/>
      </c>
      <c r="I33" s="89" t="str">
        <f aca="false">IF($A33="","",COUNTIFS('FUNDED DEALS'!$T$4:$T$1226,$A33)+COUNTIFS('FUNDED DEALS 2027'!$T$4:$T$1226,$A33)+COUNTIFS('FUNDED DEALS'!$W$4:$W$1226,$A33)+COUNTIFS('FUNDED DEALS 2027'!$W$4:$W$1226,$A33)+COUNTIFS('FUNDED DEALS'!$Z$4:$Z$1226,$A33)+COUNTIFS('FUNDED DEALS 2027'!$Z$4:$Z$1226,$A33))</f>
        <v/>
      </c>
      <c r="J33" s="90"/>
      <c r="O33" s="0" t="str">
        <f aca="false">IF(AND($A33&lt;&gt;"",$J33="Active"),$A33,"")</f>
        <v/>
      </c>
    </row>
    <row r="34" customFormat="false" ht="15" hidden="true" customHeight="false" outlineLevel="0" collapsed="false">
      <c r="A34" s="80"/>
      <c r="B34" s="85"/>
      <c r="C34" s="85"/>
      <c r="D34" s="85"/>
      <c r="E34" s="48" t="str">
        <f aca="false">IF($A34="","",SUMIFS('FUNDED DEALS'!$V$4:$V$1226,'FUNDED DEALS'!$T$4:$T$1226,$A34)+SUMIFS('FUNDED DEALS 2027'!$V$4:$V$1226,'FUNDED DEALS 2027'!$T$4:$T$1226,$A34)+SUMIFS('FUNDED DEALS'!$Y$4:$Y$1226,'FUNDED DEALS'!$W$4:$W$1226,$A34)+SUMIFS('FUNDED DEALS 2027'!$Y$4:$Y$1226,'FUNDED DEALS 2027'!$W$4:$W$1226,$A34)+SUMIFS('FUNDED DEALS'!$AB$4:$AB$1226,'FUNDED DEALS'!$Z$4:$Z$1226,$A34)+SUMIFS('FUNDED DEALS 2027'!$AB$4:$AB$1226,'FUNDED DEALS 2027'!$Z$4:$Z$1226,$A34))</f>
        <v/>
      </c>
      <c r="F34" s="48" t="str">
        <f aca="false">IF($A34="","",SUMIFS('FUNDED DEALS'!$AG$4:$AG$1226,'FUNDED DEALS'!$T$4:$T$1226,$A34)+SUMIFS('FUNDED DEALS 2027'!$AG$4:$AG$1226,'FUNDED DEALS 2027'!$T$4:$T$1226,$A34)+SUMIFS('FUNDED DEALS'!$AH$4:$AH$1226,'FUNDED DEALS'!$W$4:$W$1226,$A34)+SUMIFS('FUNDED DEALS 2027'!$AH$4:$AH$1226,'FUNDED DEALS 2027'!$W$4:$W$1226,$A34)+SUMIFS('FUNDED DEALS'!$AI$4:$AI$1226,'FUNDED DEALS'!$Z$4:$Z$1226,$A34)+SUMIFS('FUNDED DEALS 2027'!$AI$4:$AI$1226,'FUNDED DEALS 2027'!$Z$4:$Z$1226,$A34))</f>
        <v/>
      </c>
      <c r="G34" s="48" t="str">
        <f aca="false">IF($A34="","",SUMIFS('FUNDED DEALS'!$V$4:$V$1226,'FUNDED DEALS'!$T$4:$T$1226,$A34,'FUNDED DEALS'!$AO$4:$AO$1226,"&lt;&gt;")+SUMIFS('FUNDED DEALS 2027'!$V$4:$V$1226,'FUNDED DEALS 2027'!$T$4:$T$1226,$A34,'FUNDED DEALS 2027'!$AO$4:$AO$1226,"&lt;&gt;")+SUMIFS('FUNDED DEALS'!$Y$4:$Y$1226,'FUNDED DEALS'!$W$4:$W$1226,$A34,'FUNDED DEALS'!$AO$4:$AO$1226,"&lt;&gt;")+SUMIFS('FUNDED DEALS 2027'!$Y$4:$Y$1226,'FUNDED DEALS 2027'!$W$4:$W$1226,$A34,'FUNDED DEALS 2027'!$AO$4:$AO$1226,"&lt;&gt;")+SUMIFS('FUNDED DEALS'!$AB$4:$AB$1226,'FUNDED DEALS'!$Z$4:$Z$1226,$A34,'FUNDED DEALS'!$AO$4:$AO$1226,"&lt;&gt;")+SUMIFS('FUNDED DEALS 2027'!$AB$4:$AB$1226,'FUNDED DEALS 2027'!$Z$4:$Z$1226,$A34,'FUNDED DEALS 2027'!$AO$4:$AO$1226,"&lt;&gt;"))</f>
        <v/>
      </c>
      <c r="H34" s="48" t="str">
        <f aca="false">IF($A34="","",E34-F34-G34)</f>
        <v/>
      </c>
      <c r="I34" s="86" t="str">
        <f aca="false">IF($A34="","",COUNTIFS('FUNDED DEALS'!$T$4:$T$1226,$A34)+COUNTIFS('FUNDED DEALS 2027'!$T$4:$T$1226,$A34)+COUNTIFS('FUNDED DEALS'!$W$4:$W$1226,$A34)+COUNTIFS('FUNDED DEALS 2027'!$W$4:$W$1226,$A34)+COUNTIFS('FUNDED DEALS'!$Z$4:$Z$1226,$A34)+COUNTIFS('FUNDED DEALS 2027'!$Z$4:$Z$1226,$A34))</f>
        <v/>
      </c>
      <c r="J34" s="87"/>
      <c r="O34" s="0" t="str">
        <f aca="false">IF(AND($A34&lt;&gt;"",$J34="Active"),$A34,"")</f>
        <v/>
      </c>
    </row>
    <row r="35" customFormat="false" ht="15" hidden="true" customHeight="false" outlineLevel="0" collapsed="false">
      <c r="A35" s="82"/>
      <c r="B35" s="88"/>
      <c r="C35" s="88"/>
      <c r="D35" s="88"/>
      <c r="E35" s="51" t="str">
        <f aca="false">IF($A35="","",SUMIFS('FUNDED DEALS'!$V$4:$V$1226,'FUNDED DEALS'!$T$4:$T$1226,$A35)+SUMIFS('FUNDED DEALS 2027'!$V$4:$V$1226,'FUNDED DEALS 2027'!$T$4:$T$1226,$A35)+SUMIFS('FUNDED DEALS'!$Y$4:$Y$1226,'FUNDED DEALS'!$W$4:$W$1226,$A35)+SUMIFS('FUNDED DEALS 2027'!$Y$4:$Y$1226,'FUNDED DEALS 2027'!$W$4:$W$1226,$A35)+SUMIFS('FUNDED DEALS'!$AB$4:$AB$1226,'FUNDED DEALS'!$Z$4:$Z$1226,$A35)+SUMIFS('FUNDED DEALS 2027'!$AB$4:$AB$1226,'FUNDED DEALS 2027'!$Z$4:$Z$1226,$A35))</f>
        <v/>
      </c>
      <c r="F35" s="51" t="str">
        <f aca="false">IF($A35="","",SUMIFS('FUNDED DEALS'!$AG$4:$AG$1226,'FUNDED DEALS'!$T$4:$T$1226,$A35)+SUMIFS('FUNDED DEALS 2027'!$AG$4:$AG$1226,'FUNDED DEALS 2027'!$T$4:$T$1226,$A35)+SUMIFS('FUNDED DEALS'!$AH$4:$AH$1226,'FUNDED DEALS'!$W$4:$W$1226,$A35)+SUMIFS('FUNDED DEALS 2027'!$AH$4:$AH$1226,'FUNDED DEALS 2027'!$W$4:$W$1226,$A35)+SUMIFS('FUNDED DEALS'!$AI$4:$AI$1226,'FUNDED DEALS'!$Z$4:$Z$1226,$A35)+SUMIFS('FUNDED DEALS 2027'!$AI$4:$AI$1226,'FUNDED DEALS 2027'!$Z$4:$Z$1226,$A35))</f>
        <v/>
      </c>
      <c r="G35" s="51" t="str">
        <f aca="false">IF($A35="","",SUMIFS('FUNDED DEALS'!$V$4:$V$1226,'FUNDED DEALS'!$T$4:$T$1226,$A35,'FUNDED DEALS'!$AO$4:$AO$1226,"&lt;&gt;")+SUMIFS('FUNDED DEALS 2027'!$V$4:$V$1226,'FUNDED DEALS 2027'!$T$4:$T$1226,$A35,'FUNDED DEALS 2027'!$AO$4:$AO$1226,"&lt;&gt;")+SUMIFS('FUNDED DEALS'!$Y$4:$Y$1226,'FUNDED DEALS'!$W$4:$W$1226,$A35,'FUNDED DEALS'!$AO$4:$AO$1226,"&lt;&gt;")+SUMIFS('FUNDED DEALS 2027'!$Y$4:$Y$1226,'FUNDED DEALS 2027'!$W$4:$W$1226,$A35,'FUNDED DEALS 2027'!$AO$4:$AO$1226,"&lt;&gt;")+SUMIFS('FUNDED DEALS'!$AB$4:$AB$1226,'FUNDED DEALS'!$Z$4:$Z$1226,$A35,'FUNDED DEALS'!$AO$4:$AO$1226,"&lt;&gt;")+SUMIFS('FUNDED DEALS 2027'!$AB$4:$AB$1226,'FUNDED DEALS 2027'!$Z$4:$Z$1226,$A35,'FUNDED DEALS 2027'!$AO$4:$AO$1226,"&lt;&gt;"))</f>
        <v/>
      </c>
      <c r="H35" s="51" t="str">
        <f aca="false">IF($A35="","",E35-F35-G35)</f>
        <v/>
      </c>
      <c r="I35" s="89" t="str">
        <f aca="false">IF($A35="","",COUNTIFS('FUNDED DEALS'!$T$4:$T$1226,$A35)+COUNTIFS('FUNDED DEALS 2027'!$T$4:$T$1226,$A35)+COUNTIFS('FUNDED DEALS'!$W$4:$W$1226,$A35)+COUNTIFS('FUNDED DEALS 2027'!$W$4:$W$1226,$A35)+COUNTIFS('FUNDED DEALS'!$Z$4:$Z$1226,$A35)+COUNTIFS('FUNDED DEALS 2027'!$Z$4:$Z$1226,$A35))</f>
        <v/>
      </c>
      <c r="J35" s="90"/>
      <c r="O35" s="0" t="str">
        <f aca="false">IF(AND($A35&lt;&gt;"",$J35="Active"),$A35,"")</f>
        <v/>
      </c>
    </row>
    <row r="36" customFormat="false" ht="15" hidden="true" customHeight="false" outlineLevel="0" collapsed="false">
      <c r="A36" s="80"/>
      <c r="B36" s="85"/>
      <c r="C36" s="85"/>
      <c r="D36" s="85"/>
      <c r="E36" s="48" t="str">
        <f aca="false">IF($A36="","",SUMIFS('FUNDED DEALS'!$V$4:$V$1226,'FUNDED DEALS'!$T$4:$T$1226,$A36)+SUMIFS('FUNDED DEALS 2027'!$V$4:$V$1226,'FUNDED DEALS 2027'!$T$4:$T$1226,$A36)+SUMIFS('FUNDED DEALS'!$Y$4:$Y$1226,'FUNDED DEALS'!$W$4:$W$1226,$A36)+SUMIFS('FUNDED DEALS 2027'!$Y$4:$Y$1226,'FUNDED DEALS 2027'!$W$4:$W$1226,$A36)+SUMIFS('FUNDED DEALS'!$AB$4:$AB$1226,'FUNDED DEALS'!$Z$4:$Z$1226,$A36)+SUMIFS('FUNDED DEALS 2027'!$AB$4:$AB$1226,'FUNDED DEALS 2027'!$Z$4:$Z$1226,$A36))</f>
        <v/>
      </c>
      <c r="F36" s="48" t="str">
        <f aca="false">IF($A36="","",SUMIFS('FUNDED DEALS'!$AG$4:$AG$1226,'FUNDED DEALS'!$T$4:$T$1226,$A36)+SUMIFS('FUNDED DEALS 2027'!$AG$4:$AG$1226,'FUNDED DEALS 2027'!$T$4:$T$1226,$A36)+SUMIFS('FUNDED DEALS'!$AH$4:$AH$1226,'FUNDED DEALS'!$W$4:$W$1226,$A36)+SUMIFS('FUNDED DEALS 2027'!$AH$4:$AH$1226,'FUNDED DEALS 2027'!$W$4:$W$1226,$A36)+SUMIFS('FUNDED DEALS'!$AI$4:$AI$1226,'FUNDED DEALS'!$Z$4:$Z$1226,$A36)+SUMIFS('FUNDED DEALS 2027'!$AI$4:$AI$1226,'FUNDED DEALS 2027'!$Z$4:$Z$1226,$A36))</f>
        <v/>
      </c>
      <c r="G36" s="48" t="str">
        <f aca="false">IF($A36="","",SUMIFS('FUNDED DEALS'!$V$4:$V$1226,'FUNDED DEALS'!$T$4:$T$1226,$A36,'FUNDED DEALS'!$AO$4:$AO$1226,"&lt;&gt;")+SUMIFS('FUNDED DEALS 2027'!$V$4:$V$1226,'FUNDED DEALS 2027'!$T$4:$T$1226,$A36,'FUNDED DEALS 2027'!$AO$4:$AO$1226,"&lt;&gt;")+SUMIFS('FUNDED DEALS'!$Y$4:$Y$1226,'FUNDED DEALS'!$W$4:$W$1226,$A36,'FUNDED DEALS'!$AO$4:$AO$1226,"&lt;&gt;")+SUMIFS('FUNDED DEALS 2027'!$Y$4:$Y$1226,'FUNDED DEALS 2027'!$W$4:$W$1226,$A36,'FUNDED DEALS 2027'!$AO$4:$AO$1226,"&lt;&gt;")+SUMIFS('FUNDED DEALS'!$AB$4:$AB$1226,'FUNDED DEALS'!$Z$4:$Z$1226,$A36,'FUNDED DEALS'!$AO$4:$AO$1226,"&lt;&gt;")+SUMIFS('FUNDED DEALS 2027'!$AB$4:$AB$1226,'FUNDED DEALS 2027'!$Z$4:$Z$1226,$A36,'FUNDED DEALS 2027'!$AO$4:$AO$1226,"&lt;&gt;"))</f>
        <v/>
      </c>
      <c r="H36" s="48" t="str">
        <f aca="false">IF($A36="","",E36-F36-G36)</f>
        <v/>
      </c>
      <c r="I36" s="86" t="str">
        <f aca="false">IF($A36="","",COUNTIFS('FUNDED DEALS'!$T$4:$T$1226,$A36)+COUNTIFS('FUNDED DEALS 2027'!$T$4:$T$1226,$A36)+COUNTIFS('FUNDED DEALS'!$W$4:$W$1226,$A36)+COUNTIFS('FUNDED DEALS 2027'!$W$4:$W$1226,$A36)+COUNTIFS('FUNDED DEALS'!$Z$4:$Z$1226,$A36)+COUNTIFS('FUNDED DEALS 2027'!$Z$4:$Z$1226,$A36))</f>
        <v/>
      </c>
      <c r="J36" s="87"/>
      <c r="O36" s="0" t="str">
        <f aca="false">IF(AND($A36&lt;&gt;"",$J36="Active"),$A36,"")</f>
        <v/>
      </c>
    </row>
    <row r="37" customFormat="false" ht="15" hidden="true" customHeight="false" outlineLevel="0" collapsed="false">
      <c r="A37" s="82"/>
      <c r="B37" s="88"/>
      <c r="C37" s="88"/>
      <c r="D37" s="88"/>
      <c r="E37" s="51" t="str">
        <f aca="false">IF($A37="","",SUMIFS('FUNDED DEALS'!$V$4:$V$1226,'FUNDED DEALS'!$T$4:$T$1226,$A37)+SUMIFS('FUNDED DEALS 2027'!$V$4:$V$1226,'FUNDED DEALS 2027'!$T$4:$T$1226,$A37)+SUMIFS('FUNDED DEALS'!$Y$4:$Y$1226,'FUNDED DEALS'!$W$4:$W$1226,$A37)+SUMIFS('FUNDED DEALS 2027'!$Y$4:$Y$1226,'FUNDED DEALS 2027'!$W$4:$W$1226,$A37)+SUMIFS('FUNDED DEALS'!$AB$4:$AB$1226,'FUNDED DEALS'!$Z$4:$Z$1226,$A37)+SUMIFS('FUNDED DEALS 2027'!$AB$4:$AB$1226,'FUNDED DEALS 2027'!$Z$4:$Z$1226,$A37))</f>
        <v/>
      </c>
      <c r="F37" s="51" t="str">
        <f aca="false">IF($A37="","",SUMIFS('FUNDED DEALS'!$AG$4:$AG$1226,'FUNDED DEALS'!$T$4:$T$1226,$A37)+SUMIFS('FUNDED DEALS 2027'!$AG$4:$AG$1226,'FUNDED DEALS 2027'!$T$4:$T$1226,$A37)+SUMIFS('FUNDED DEALS'!$AH$4:$AH$1226,'FUNDED DEALS'!$W$4:$W$1226,$A37)+SUMIFS('FUNDED DEALS 2027'!$AH$4:$AH$1226,'FUNDED DEALS 2027'!$W$4:$W$1226,$A37)+SUMIFS('FUNDED DEALS'!$AI$4:$AI$1226,'FUNDED DEALS'!$Z$4:$Z$1226,$A37)+SUMIFS('FUNDED DEALS 2027'!$AI$4:$AI$1226,'FUNDED DEALS 2027'!$Z$4:$Z$1226,$A37))</f>
        <v/>
      </c>
      <c r="G37" s="51" t="str">
        <f aca="false">IF($A37="","",SUMIFS('FUNDED DEALS'!$V$4:$V$1226,'FUNDED DEALS'!$T$4:$T$1226,$A37,'FUNDED DEALS'!$AO$4:$AO$1226,"&lt;&gt;")+SUMIFS('FUNDED DEALS 2027'!$V$4:$V$1226,'FUNDED DEALS 2027'!$T$4:$T$1226,$A37,'FUNDED DEALS 2027'!$AO$4:$AO$1226,"&lt;&gt;")+SUMIFS('FUNDED DEALS'!$Y$4:$Y$1226,'FUNDED DEALS'!$W$4:$W$1226,$A37,'FUNDED DEALS'!$AO$4:$AO$1226,"&lt;&gt;")+SUMIFS('FUNDED DEALS 2027'!$Y$4:$Y$1226,'FUNDED DEALS 2027'!$W$4:$W$1226,$A37,'FUNDED DEALS 2027'!$AO$4:$AO$1226,"&lt;&gt;")+SUMIFS('FUNDED DEALS'!$AB$4:$AB$1226,'FUNDED DEALS'!$Z$4:$Z$1226,$A37,'FUNDED DEALS'!$AO$4:$AO$1226,"&lt;&gt;")+SUMIFS('FUNDED DEALS 2027'!$AB$4:$AB$1226,'FUNDED DEALS 2027'!$Z$4:$Z$1226,$A37,'FUNDED DEALS 2027'!$AO$4:$AO$1226,"&lt;&gt;"))</f>
        <v/>
      </c>
      <c r="H37" s="51" t="str">
        <f aca="false">IF($A37="","",E37-F37-G37)</f>
        <v/>
      </c>
      <c r="I37" s="89" t="str">
        <f aca="false">IF($A37="","",COUNTIFS('FUNDED DEALS'!$T$4:$T$1226,$A37)+COUNTIFS('FUNDED DEALS 2027'!$T$4:$T$1226,$A37)+COUNTIFS('FUNDED DEALS'!$W$4:$W$1226,$A37)+COUNTIFS('FUNDED DEALS 2027'!$W$4:$W$1226,$A37)+COUNTIFS('FUNDED DEALS'!$Z$4:$Z$1226,$A37)+COUNTIFS('FUNDED DEALS 2027'!$Z$4:$Z$1226,$A37))</f>
        <v/>
      </c>
      <c r="J37" s="90"/>
      <c r="O37" s="0" t="str">
        <f aca="false">IF(AND($A37&lt;&gt;"",$J37="Active"),$A37,"")</f>
        <v/>
      </c>
    </row>
    <row r="38" customFormat="false" ht="15" hidden="true" customHeight="false" outlineLevel="0" collapsed="false">
      <c r="A38" s="80"/>
      <c r="B38" s="85"/>
      <c r="C38" s="85"/>
      <c r="D38" s="85"/>
      <c r="E38" s="48" t="str">
        <f aca="false">IF($A38="","",SUMIFS('FUNDED DEALS'!$V$4:$V$1226,'FUNDED DEALS'!$T$4:$T$1226,$A38)+SUMIFS('FUNDED DEALS 2027'!$V$4:$V$1226,'FUNDED DEALS 2027'!$T$4:$T$1226,$A38)+SUMIFS('FUNDED DEALS'!$Y$4:$Y$1226,'FUNDED DEALS'!$W$4:$W$1226,$A38)+SUMIFS('FUNDED DEALS 2027'!$Y$4:$Y$1226,'FUNDED DEALS 2027'!$W$4:$W$1226,$A38)+SUMIFS('FUNDED DEALS'!$AB$4:$AB$1226,'FUNDED DEALS'!$Z$4:$Z$1226,$A38)+SUMIFS('FUNDED DEALS 2027'!$AB$4:$AB$1226,'FUNDED DEALS 2027'!$Z$4:$Z$1226,$A38))</f>
        <v/>
      </c>
      <c r="F38" s="48" t="str">
        <f aca="false">IF($A38="","",SUMIFS('FUNDED DEALS'!$AG$4:$AG$1226,'FUNDED DEALS'!$T$4:$T$1226,$A38)+SUMIFS('FUNDED DEALS 2027'!$AG$4:$AG$1226,'FUNDED DEALS 2027'!$T$4:$T$1226,$A38)+SUMIFS('FUNDED DEALS'!$AH$4:$AH$1226,'FUNDED DEALS'!$W$4:$W$1226,$A38)+SUMIFS('FUNDED DEALS 2027'!$AH$4:$AH$1226,'FUNDED DEALS 2027'!$W$4:$W$1226,$A38)+SUMIFS('FUNDED DEALS'!$AI$4:$AI$1226,'FUNDED DEALS'!$Z$4:$Z$1226,$A38)+SUMIFS('FUNDED DEALS 2027'!$AI$4:$AI$1226,'FUNDED DEALS 2027'!$Z$4:$Z$1226,$A38))</f>
        <v/>
      </c>
      <c r="G38" s="48" t="str">
        <f aca="false">IF($A38="","",SUMIFS('FUNDED DEALS'!$V$4:$V$1226,'FUNDED DEALS'!$T$4:$T$1226,$A38,'FUNDED DEALS'!$AO$4:$AO$1226,"&lt;&gt;")+SUMIFS('FUNDED DEALS 2027'!$V$4:$V$1226,'FUNDED DEALS 2027'!$T$4:$T$1226,$A38,'FUNDED DEALS 2027'!$AO$4:$AO$1226,"&lt;&gt;")+SUMIFS('FUNDED DEALS'!$Y$4:$Y$1226,'FUNDED DEALS'!$W$4:$W$1226,$A38,'FUNDED DEALS'!$AO$4:$AO$1226,"&lt;&gt;")+SUMIFS('FUNDED DEALS 2027'!$Y$4:$Y$1226,'FUNDED DEALS 2027'!$W$4:$W$1226,$A38,'FUNDED DEALS 2027'!$AO$4:$AO$1226,"&lt;&gt;")+SUMIFS('FUNDED DEALS'!$AB$4:$AB$1226,'FUNDED DEALS'!$Z$4:$Z$1226,$A38,'FUNDED DEALS'!$AO$4:$AO$1226,"&lt;&gt;")+SUMIFS('FUNDED DEALS 2027'!$AB$4:$AB$1226,'FUNDED DEALS 2027'!$Z$4:$Z$1226,$A38,'FUNDED DEALS 2027'!$AO$4:$AO$1226,"&lt;&gt;"))</f>
        <v/>
      </c>
      <c r="H38" s="48" t="str">
        <f aca="false">IF($A38="","",E38-F38-G38)</f>
        <v/>
      </c>
      <c r="I38" s="86" t="str">
        <f aca="false">IF($A38="","",COUNTIFS('FUNDED DEALS'!$T$4:$T$1226,$A38)+COUNTIFS('FUNDED DEALS 2027'!$T$4:$T$1226,$A38)+COUNTIFS('FUNDED DEALS'!$W$4:$W$1226,$A38)+COUNTIFS('FUNDED DEALS 2027'!$W$4:$W$1226,$A38)+COUNTIFS('FUNDED DEALS'!$Z$4:$Z$1226,$A38)+COUNTIFS('FUNDED DEALS 2027'!$Z$4:$Z$1226,$A38))</f>
        <v/>
      </c>
      <c r="J38" s="87"/>
      <c r="O38" s="0" t="str">
        <f aca="false">IF(AND($A38&lt;&gt;"",$J38="Active"),$A38,"")</f>
        <v/>
      </c>
    </row>
    <row r="39" customFormat="false" ht="15" hidden="true" customHeight="false" outlineLevel="0" collapsed="false">
      <c r="A39" s="82"/>
      <c r="B39" s="88"/>
      <c r="C39" s="88"/>
      <c r="D39" s="88"/>
      <c r="E39" s="51" t="str">
        <f aca="false">IF($A39="","",SUMIFS('FUNDED DEALS'!$V$4:$V$1226,'FUNDED DEALS'!$T$4:$T$1226,$A39)+SUMIFS('FUNDED DEALS 2027'!$V$4:$V$1226,'FUNDED DEALS 2027'!$T$4:$T$1226,$A39)+SUMIFS('FUNDED DEALS'!$Y$4:$Y$1226,'FUNDED DEALS'!$W$4:$W$1226,$A39)+SUMIFS('FUNDED DEALS 2027'!$Y$4:$Y$1226,'FUNDED DEALS 2027'!$W$4:$W$1226,$A39)+SUMIFS('FUNDED DEALS'!$AB$4:$AB$1226,'FUNDED DEALS'!$Z$4:$Z$1226,$A39)+SUMIFS('FUNDED DEALS 2027'!$AB$4:$AB$1226,'FUNDED DEALS 2027'!$Z$4:$Z$1226,$A39))</f>
        <v/>
      </c>
      <c r="F39" s="51" t="str">
        <f aca="false">IF($A39="","",SUMIFS('FUNDED DEALS'!$AG$4:$AG$1226,'FUNDED DEALS'!$T$4:$T$1226,$A39)+SUMIFS('FUNDED DEALS 2027'!$AG$4:$AG$1226,'FUNDED DEALS 2027'!$T$4:$T$1226,$A39)+SUMIFS('FUNDED DEALS'!$AH$4:$AH$1226,'FUNDED DEALS'!$W$4:$W$1226,$A39)+SUMIFS('FUNDED DEALS 2027'!$AH$4:$AH$1226,'FUNDED DEALS 2027'!$W$4:$W$1226,$A39)+SUMIFS('FUNDED DEALS'!$AI$4:$AI$1226,'FUNDED DEALS'!$Z$4:$Z$1226,$A39)+SUMIFS('FUNDED DEALS 2027'!$AI$4:$AI$1226,'FUNDED DEALS 2027'!$Z$4:$Z$1226,$A39))</f>
        <v/>
      </c>
      <c r="G39" s="51" t="str">
        <f aca="false">IF($A39="","",SUMIFS('FUNDED DEALS'!$V$4:$V$1226,'FUNDED DEALS'!$T$4:$T$1226,$A39,'FUNDED DEALS'!$AO$4:$AO$1226,"&lt;&gt;")+SUMIFS('FUNDED DEALS 2027'!$V$4:$V$1226,'FUNDED DEALS 2027'!$T$4:$T$1226,$A39,'FUNDED DEALS 2027'!$AO$4:$AO$1226,"&lt;&gt;")+SUMIFS('FUNDED DEALS'!$Y$4:$Y$1226,'FUNDED DEALS'!$W$4:$W$1226,$A39,'FUNDED DEALS'!$AO$4:$AO$1226,"&lt;&gt;")+SUMIFS('FUNDED DEALS 2027'!$Y$4:$Y$1226,'FUNDED DEALS 2027'!$W$4:$W$1226,$A39,'FUNDED DEALS 2027'!$AO$4:$AO$1226,"&lt;&gt;")+SUMIFS('FUNDED DEALS'!$AB$4:$AB$1226,'FUNDED DEALS'!$Z$4:$Z$1226,$A39,'FUNDED DEALS'!$AO$4:$AO$1226,"&lt;&gt;")+SUMIFS('FUNDED DEALS 2027'!$AB$4:$AB$1226,'FUNDED DEALS 2027'!$Z$4:$Z$1226,$A39,'FUNDED DEALS 2027'!$AO$4:$AO$1226,"&lt;&gt;"))</f>
        <v/>
      </c>
      <c r="H39" s="51" t="str">
        <f aca="false">IF($A39="","",E39-F39-G39)</f>
        <v/>
      </c>
      <c r="I39" s="89" t="str">
        <f aca="false">IF($A39="","",COUNTIFS('FUNDED DEALS'!$T$4:$T$1226,$A39)+COUNTIFS('FUNDED DEALS 2027'!$T$4:$T$1226,$A39)+COUNTIFS('FUNDED DEALS'!$W$4:$W$1226,$A39)+COUNTIFS('FUNDED DEALS 2027'!$W$4:$W$1226,$A39)+COUNTIFS('FUNDED DEALS'!$Z$4:$Z$1226,$A39)+COUNTIFS('FUNDED DEALS 2027'!$Z$4:$Z$1226,$A39))</f>
        <v/>
      </c>
      <c r="J39" s="90"/>
      <c r="O39" s="0" t="str">
        <f aca="false">IF(AND($A39&lt;&gt;"",$J39="Active"),$A39,"")</f>
        <v/>
      </c>
    </row>
    <row r="40" customFormat="false" ht="15" hidden="true" customHeight="false" outlineLevel="0" collapsed="false">
      <c r="A40" s="80"/>
      <c r="B40" s="85"/>
      <c r="C40" s="85"/>
      <c r="D40" s="85"/>
      <c r="E40" s="48" t="str">
        <f aca="false">IF($A40="","",SUMIFS('FUNDED DEALS'!$V$4:$V$1226,'FUNDED DEALS'!$T$4:$T$1226,$A40)+SUMIFS('FUNDED DEALS 2027'!$V$4:$V$1226,'FUNDED DEALS 2027'!$T$4:$T$1226,$A40)+SUMIFS('FUNDED DEALS'!$Y$4:$Y$1226,'FUNDED DEALS'!$W$4:$W$1226,$A40)+SUMIFS('FUNDED DEALS 2027'!$Y$4:$Y$1226,'FUNDED DEALS 2027'!$W$4:$W$1226,$A40)+SUMIFS('FUNDED DEALS'!$AB$4:$AB$1226,'FUNDED DEALS'!$Z$4:$Z$1226,$A40)+SUMIFS('FUNDED DEALS 2027'!$AB$4:$AB$1226,'FUNDED DEALS 2027'!$Z$4:$Z$1226,$A40))</f>
        <v/>
      </c>
      <c r="F40" s="48" t="str">
        <f aca="false">IF($A40="","",SUMIFS('FUNDED DEALS'!$AG$4:$AG$1226,'FUNDED DEALS'!$T$4:$T$1226,$A40)+SUMIFS('FUNDED DEALS 2027'!$AG$4:$AG$1226,'FUNDED DEALS 2027'!$T$4:$T$1226,$A40)+SUMIFS('FUNDED DEALS'!$AH$4:$AH$1226,'FUNDED DEALS'!$W$4:$W$1226,$A40)+SUMIFS('FUNDED DEALS 2027'!$AH$4:$AH$1226,'FUNDED DEALS 2027'!$W$4:$W$1226,$A40)+SUMIFS('FUNDED DEALS'!$AI$4:$AI$1226,'FUNDED DEALS'!$Z$4:$Z$1226,$A40)+SUMIFS('FUNDED DEALS 2027'!$AI$4:$AI$1226,'FUNDED DEALS 2027'!$Z$4:$Z$1226,$A40))</f>
        <v/>
      </c>
      <c r="G40" s="48" t="str">
        <f aca="false">IF($A40="","",SUMIFS('FUNDED DEALS'!$V$4:$V$1226,'FUNDED DEALS'!$T$4:$T$1226,$A40,'FUNDED DEALS'!$AO$4:$AO$1226,"&lt;&gt;")+SUMIFS('FUNDED DEALS 2027'!$V$4:$V$1226,'FUNDED DEALS 2027'!$T$4:$T$1226,$A40,'FUNDED DEALS 2027'!$AO$4:$AO$1226,"&lt;&gt;")+SUMIFS('FUNDED DEALS'!$Y$4:$Y$1226,'FUNDED DEALS'!$W$4:$W$1226,$A40,'FUNDED DEALS'!$AO$4:$AO$1226,"&lt;&gt;")+SUMIFS('FUNDED DEALS 2027'!$Y$4:$Y$1226,'FUNDED DEALS 2027'!$W$4:$W$1226,$A40,'FUNDED DEALS 2027'!$AO$4:$AO$1226,"&lt;&gt;")+SUMIFS('FUNDED DEALS'!$AB$4:$AB$1226,'FUNDED DEALS'!$Z$4:$Z$1226,$A40,'FUNDED DEALS'!$AO$4:$AO$1226,"&lt;&gt;")+SUMIFS('FUNDED DEALS 2027'!$AB$4:$AB$1226,'FUNDED DEALS 2027'!$Z$4:$Z$1226,$A40,'FUNDED DEALS 2027'!$AO$4:$AO$1226,"&lt;&gt;"))</f>
        <v/>
      </c>
      <c r="H40" s="48" t="str">
        <f aca="false">IF($A40="","",E40-F40-G40)</f>
        <v/>
      </c>
      <c r="I40" s="86" t="str">
        <f aca="false">IF($A40="","",COUNTIFS('FUNDED DEALS'!$T$4:$T$1226,$A40)+COUNTIFS('FUNDED DEALS 2027'!$T$4:$T$1226,$A40)+COUNTIFS('FUNDED DEALS'!$W$4:$W$1226,$A40)+COUNTIFS('FUNDED DEALS 2027'!$W$4:$W$1226,$A40)+COUNTIFS('FUNDED DEALS'!$Z$4:$Z$1226,$A40)+COUNTIFS('FUNDED DEALS 2027'!$Z$4:$Z$1226,$A40))</f>
        <v/>
      </c>
      <c r="J40" s="87"/>
      <c r="O40" s="0" t="str">
        <f aca="false">IF(AND($A40&lt;&gt;"",$J40="Active"),$A40,"")</f>
        <v/>
      </c>
    </row>
    <row r="41" customFormat="false" ht="15" hidden="false" customHeight="false" outlineLevel="0" collapsed="false">
      <c r="A41" s="63" t="s">
        <v>98</v>
      </c>
      <c r="B41" s="69"/>
      <c r="C41" s="69"/>
      <c r="D41" s="69"/>
      <c r="E41" s="64" t="n">
        <f aca="false">SUM(E2:E40)</f>
        <v>0</v>
      </c>
      <c r="F41" s="64" t="n">
        <f aca="false">SUM(F2:F40)</f>
        <v>0</v>
      </c>
      <c r="G41" s="64" t="n">
        <f aca="false">SUM(G2:G40)</f>
        <v>0</v>
      </c>
      <c r="H41" s="64" t="n">
        <f aca="false">SUM(H2:H40)</f>
        <v>0</v>
      </c>
      <c r="I41" s="63" t="n">
        <f aca="false">SUM(I2:I40)</f>
        <v>0</v>
      </c>
      <c r="J41" s="69"/>
    </row>
  </sheetData>
  <sheetProtection sheet="true" formatRows="false"/>
  <conditionalFormatting sqref="J2:J40">
    <cfRule type="expression" priority="2" aboveAverage="0" equalAverage="0" bottom="0" percent="0" rank="0" text="" dxfId="1">
      <formula>$J2="Active"</formula>
    </cfRule>
    <cfRule type="expression" priority="3" aboveAverage="0" equalAverage="0" bottom="0" percent="0" rank="0" text="" dxfId="3">
      <formula>$J2="Inactive"</formula>
    </cfRule>
  </conditionalFormatting>
  <dataValidations count="1">
    <dataValidation allowBlank="true" errorStyle="stop" operator="between" showDropDown="false" showErrorMessage="false" showInputMessage="false" sqref="J2:J40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6" style="0" width="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2"/>
    <col collapsed="false" customWidth="true" hidden="false" outlineLevel="0" max="14" min="13" style="0" width="18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244</v>
      </c>
      <c r="D1" s="5" t="s">
        <v>245</v>
      </c>
      <c r="G1" s="91" t="s">
        <v>246</v>
      </c>
      <c r="H1" s="91"/>
      <c r="I1" s="91"/>
      <c r="J1" s="91"/>
      <c r="K1" s="91"/>
      <c r="M1" s="42" t="s">
        <v>247</v>
      </c>
      <c r="N1" s="42" t="s">
        <v>248</v>
      </c>
    </row>
    <row r="2" customFormat="false" ht="24" hidden="false" customHeight="true" outlineLevel="0" collapsed="false">
      <c r="A2" s="80" t="s">
        <v>169</v>
      </c>
      <c r="B2" s="85" t="n">
        <v>0.15</v>
      </c>
      <c r="C2" s="48" t="n">
        <f aca="false">IF($A2="","",SUMIFS('FUNDED DEALS'!$R$4:$R$1226,'FUNDED DEALS'!$P$4:$P$1226,$A2)+SUMIFS('FUNDED DEALS 2027'!$R$4:$R$1226,'FUNDED DEALS 2027'!$P$4:$P$1226,$A2))</f>
        <v>0</v>
      </c>
      <c r="D2" s="92" t="n">
        <v>15000</v>
      </c>
      <c r="G2" s="61" t="s">
        <v>249</v>
      </c>
      <c r="H2" s="93" t="s">
        <v>169</v>
      </c>
      <c r="M2" s="43" t="n">
        <f aca="false">J25</f>
        <v>0</v>
      </c>
      <c r="N2" s="44" t="n">
        <f aca="false">K25</f>
        <v>0</v>
      </c>
    </row>
    <row r="3" customFormat="false" ht="27.75" hidden="false" customHeight="true" outlineLevel="0" collapsed="false">
      <c r="A3" s="82" t="s">
        <v>250</v>
      </c>
      <c r="B3" s="88" t="n">
        <v>0.1</v>
      </c>
      <c r="C3" s="51" t="n">
        <f aca="false">IF($A3="","",SUMIFS('FUNDED DEALS'!$R$4:$R$1226,'FUNDED DEALS'!$P$4:$P$1226,$A3)+SUMIFS('FUNDED DEALS 2027'!$R$4:$R$1226,'FUNDED DEALS 2027'!$P$4:$P$1226,$A3))</f>
        <v>0</v>
      </c>
      <c r="D3" s="94"/>
      <c r="G3" s="5" t="s">
        <v>117</v>
      </c>
      <c r="H3" s="5" t="s">
        <v>251</v>
      </c>
      <c r="I3" s="5" t="s">
        <v>252</v>
      </c>
      <c r="J3" s="5" t="s">
        <v>253</v>
      </c>
      <c r="K3" s="5" t="s">
        <v>254</v>
      </c>
    </row>
    <row r="4" customFormat="false" ht="15" hidden="false" customHeight="false" outlineLevel="0" collapsed="false">
      <c r="A4" s="80" t="s">
        <v>255</v>
      </c>
      <c r="B4" s="85" t="n">
        <v>0.1</v>
      </c>
      <c r="C4" s="48" t="n">
        <f aca="false">IF($A4="","",SUMIFS('FUNDED DEALS'!$R$4:$R$1226,'FUNDED DEALS'!$P$4:$P$1226,$A4)+SUMIFS('FUNDED DEALS 2027'!$R$4:$R$1226,'FUNDED DEALS 2027'!$P$4:$P$1226,$A4))</f>
        <v>0</v>
      </c>
      <c r="D4" s="92"/>
      <c r="G4" s="49" t="s">
        <v>121</v>
      </c>
      <c r="H4" s="48" t="n">
        <f aca="false">SUMIFS('FUNDED DEALS'!$R$4:$R$1226,'FUNDED DEALS'!$P$4:$P$1226,$H$2,'FUNDED DEALS'!$C$4:$C$1226,"&gt;="&amp;DATE(2026,4,1),'FUNDED DEALS'!$C$4:$C$1226,"&lt;"&amp;DATE(2026,5,1))+SUMIFS('FUNDED DEALS 2027'!$R$4:$R$1226,'FUNDED DEALS 2027'!$P$4:$P$1226,$H$2,'FUNDED DEALS 2027'!$C$4:$C$1226,"&gt;="&amp;DATE(2026,4,1),'FUNDED DEALS 2027'!$C$4:$C$1226,"&lt;"&amp;DATE(2026,5,1))</f>
        <v>0</v>
      </c>
      <c r="I4" s="48" t="n">
        <f aca="false">IFERROR(IF(VLOOKUP($H$2,$A$2:$D$30,4,0)="","",VLOOKUP($H$2,$A$2:$D$30,4,0)),"")</f>
        <v>15000</v>
      </c>
      <c r="J4" s="48" t="n">
        <f aca="false">IF($I4="",H4,MIN(H4,I4))</f>
        <v>0</v>
      </c>
      <c r="K4" s="48" t="n">
        <f aca="false">H4-J4</f>
        <v>0</v>
      </c>
    </row>
    <row r="5" customFormat="false" ht="15" hidden="false" customHeight="false" outlineLevel="0" collapsed="false">
      <c r="A5" s="82" t="s">
        <v>256</v>
      </c>
      <c r="B5" s="88" t="n">
        <v>0</v>
      </c>
      <c r="C5" s="51" t="n">
        <f aca="false">IF($A5="","",SUMIFS('FUNDED DEALS'!$R$4:$R$1226,'FUNDED DEALS'!$P$4:$P$1226,$A5)+SUMIFS('FUNDED DEALS 2027'!$R$4:$R$1226,'FUNDED DEALS 2027'!$P$4:$P$1226,$A5))</f>
        <v>0</v>
      </c>
      <c r="D5" s="94"/>
      <c r="G5" s="52" t="s">
        <v>122</v>
      </c>
      <c r="H5" s="51" t="n">
        <f aca="false">SUMIFS('FUNDED DEALS'!$R$4:$R$1226,'FUNDED DEALS'!$P$4:$P$1226,$H$2,'FUNDED DEALS'!$C$4:$C$1226,"&gt;="&amp;DATE(2026,5,1),'FUNDED DEALS'!$C$4:$C$1226,"&lt;"&amp;DATE(2026,6,1))+SUMIFS('FUNDED DEALS 2027'!$R$4:$R$1226,'FUNDED DEALS 2027'!$P$4:$P$1226,$H$2,'FUNDED DEALS 2027'!$C$4:$C$1226,"&gt;="&amp;DATE(2026,5,1),'FUNDED DEALS 2027'!$C$4:$C$1226,"&lt;"&amp;DATE(2026,6,1))</f>
        <v>0</v>
      </c>
      <c r="I5" s="51" t="n">
        <f aca="false">IFERROR(IF(VLOOKUP($H$2,$A$2:$D$30,4,0)="","",VLOOKUP($H$2,$A$2:$D$30,4,0)),"")</f>
        <v>15000</v>
      </c>
      <c r="J5" s="51" t="n">
        <f aca="false">IF($I5="",H5,MIN(H5,I5))</f>
        <v>0</v>
      </c>
      <c r="K5" s="51" t="n">
        <f aca="false">H5-J5</f>
        <v>0</v>
      </c>
      <c r="M5" s="41" t="s">
        <v>257</v>
      </c>
    </row>
    <row r="6" customFormat="false" ht="15" hidden="false" customHeight="false" outlineLevel="0" collapsed="false">
      <c r="A6" s="80"/>
      <c r="B6" s="85"/>
      <c r="C6" s="48" t="str">
        <f aca="false">IF($A6="","",SUMIFS('FUNDED DEALS'!$R$4:$R$1226,'FUNDED DEALS'!$P$4:$P$1226,$A6)+SUMIFS('FUNDED DEALS 2027'!$R$4:$R$1226,'FUNDED DEALS 2027'!$P$4:$P$1226,$A6))</f>
        <v/>
      </c>
      <c r="D6" s="92"/>
      <c r="G6" s="49" t="s">
        <v>123</v>
      </c>
      <c r="H6" s="48" t="n">
        <f aca="false">SUMIFS('FUNDED DEALS'!$R$4:$R$1226,'FUNDED DEALS'!$P$4:$P$1226,$H$2,'FUNDED DEALS'!$C$4:$C$1226,"&gt;="&amp;DATE(2026,6,1),'FUNDED DEALS'!$C$4:$C$1226,"&lt;"&amp;DATE(2026,7,1))+SUMIFS('FUNDED DEALS 2027'!$R$4:$R$1226,'FUNDED DEALS 2027'!$P$4:$P$1226,$H$2,'FUNDED DEALS 2027'!$C$4:$C$1226,"&gt;="&amp;DATE(2026,6,1),'FUNDED DEALS 2027'!$C$4:$C$1226,"&lt;"&amp;DATE(2026,7,1))</f>
        <v>0</v>
      </c>
      <c r="I6" s="48" t="n">
        <f aca="false">IFERROR(IF(VLOOKUP($H$2,$A$2:$D$30,4,0)="","",VLOOKUP($H$2,$A$2:$D$30,4,0)),"")</f>
        <v>15000</v>
      </c>
      <c r="J6" s="48" t="n">
        <f aca="false">IF($I6="",H6,MIN(H6,I6))</f>
        <v>0</v>
      </c>
      <c r="K6" s="48" t="n">
        <f aca="false">H6-J6</f>
        <v>0</v>
      </c>
      <c r="M6" s="41" t="s">
        <v>258</v>
      </c>
    </row>
    <row r="7" customFormat="false" ht="15" hidden="false" customHeight="false" outlineLevel="0" collapsed="false">
      <c r="A7" s="82"/>
      <c r="B7" s="88"/>
      <c r="C7" s="51" t="str">
        <f aca="false">IF($A7="","",SUMIFS('FUNDED DEALS'!$R$4:$R$1226,'FUNDED DEALS'!$P$4:$P$1226,$A7)+SUMIFS('FUNDED DEALS 2027'!$R$4:$R$1226,'FUNDED DEALS 2027'!$P$4:$P$1226,$A7))</f>
        <v/>
      </c>
      <c r="D7" s="94"/>
      <c r="G7" s="52" t="s">
        <v>124</v>
      </c>
      <c r="H7" s="51" t="n">
        <f aca="false">SUMIFS('FUNDED DEALS'!$R$4:$R$1226,'FUNDED DEALS'!$P$4:$P$1226,$H$2,'FUNDED DEALS'!$C$4:$C$1226,"&gt;="&amp;DATE(2026,7,1),'FUNDED DEALS'!$C$4:$C$1226,"&lt;"&amp;DATE(2026,8,1))+SUMIFS('FUNDED DEALS 2027'!$R$4:$R$1226,'FUNDED DEALS 2027'!$P$4:$P$1226,$H$2,'FUNDED DEALS 2027'!$C$4:$C$1226,"&gt;="&amp;DATE(2026,7,1),'FUNDED DEALS 2027'!$C$4:$C$1226,"&lt;"&amp;DATE(2026,8,1))</f>
        <v>0</v>
      </c>
      <c r="I7" s="51" t="n">
        <f aca="false">IFERROR(IF(VLOOKUP($H$2,$A$2:$D$30,4,0)="","",VLOOKUP($H$2,$A$2:$D$30,4,0)),"")</f>
        <v>15000</v>
      </c>
      <c r="J7" s="51" t="n">
        <f aca="false">IF($I7="",H7,MIN(H7,I7))</f>
        <v>0</v>
      </c>
      <c r="K7" s="51" t="n">
        <f aca="false">H7-J7</f>
        <v>0</v>
      </c>
      <c r="M7" s="41" t="s">
        <v>259</v>
      </c>
    </row>
    <row r="8" customFormat="false" ht="15" hidden="false" customHeight="false" outlineLevel="0" collapsed="false">
      <c r="A8" s="80"/>
      <c r="B8" s="85"/>
      <c r="C8" s="48" t="str">
        <f aca="false">IF($A8="","",SUMIFS('FUNDED DEALS'!$R$4:$R$1226,'FUNDED DEALS'!$P$4:$P$1226,$A8)+SUMIFS('FUNDED DEALS 2027'!$R$4:$R$1226,'FUNDED DEALS 2027'!$P$4:$P$1226,$A8))</f>
        <v/>
      </c>
      <c r="D8" s="92"/>
      <c r="G8" s="49" t="s">
        <v>125</v>
      </c>
      <c r="H8" s="48" t="n">
        <f aca="false">SUMIFS('FUNDED DEALS'!$R$4:$R$1226,'FUNDED DEALS'!$P$4:$P$1226,$H$2,'FUNDED DEALS'!$C$4:$C$1226,"&gt;="&amp;DATE(2026,8,1),'FUNDED DEALS'!$C$4:$C$1226,"&lt;"&amp;DATE(2026,9,1))+SUMIFS('FUNDED DEALS 2027'!$R$4:$R$1226,'FUNDED DEALS 2027'!$P$4:$P$1226,$H$2,'FUNDED DEALS 2027'!$C$4:$C$1226,"&gt;="&amp;DATE(2026,8,1),'FUNDED DEALS 2027'!$C$4:$C$1226,"&lt;"&amp;DATE(2026,9,1))</f>
        <v>0</v>
      </c>
      <c r="I8" s="48" t="n">
        <f aca="false">IFERROR(IF(VLOOKUP($H$2,$A$2:$D$30,4,0)="","",VLOOKUP($H$2,$A$2:$D$30,4,0)),"")</f>
        <v>15000</v>
      </c>
      <c r="J8" s="48" t="n">
        <f aca="false">IF($I8="",H8,MIN(H8,I8))</f>
        <v>0</v>
      </c>
      <c r="K8" s="48" t="n">
        <f aca="false">H8-J8</f>
        <v>0</v>
      </c>
      <c r="M8" s="41" t="s">
        <v>260</v>
      </c>
    </row>
    <row r="9" customFormat="false" ht="15" hidden="false" customHeight="false" outlineLevel="0" collapsed="false">
      <c r="A9" s="82"/>
      <c r="B9" s="88"/>
      <c r="C9" s="51" t="str">
        <f aca="false">IF($A9="","",SUMIFS('FUNDED DEALS'!$R$4:$R$1226,'FUNDED DEALS'!$P$4:$P$1226,$A9)+SUMIFS('FUNDED DEALS 2027'!$R$4:$R$1226,'FUNDED DEALS 2027'!$P$4:$P$1226,$A9))</f>
        <v/>
      </c>
      <c r="D9" s="94"/>
      <c r="G9" s="52" t="s">
        <v>126</v>
      </c>
      <c r="H9" s="51" t="n">
        <f aca="false">SUMIFS('FUNDED DEALS'!$R$4:$R$1226,'FUNDED DEALS'!$P$4:$P$1226,$H$2,'FUNDED DEALS'!$C$4:$C$1226,"&gt;="&amp;DATE(2026,9,1),'FUNDED DEALS'!$C$4:$C$1226,"&lt;"&amp;DATE(2026,10,1))+SUMIFS('FUNDED DEALS 2027'!$R$4:$R$1226,'FUNDED DEALS 2027'!$P$4:$P$1226,$H$2,'FUNDED DEALS 2027'!$C$4:$C$1226,"&gt;="&amp;DATE(2026,9,1),'FUNDED DEALS 2027'!$C$4:$C$1226,"&lt;"&amp;DATE(2026,10,1))</f>
        <v>0</v>
      </c>
      <c r="I9" s="51" t="n">
        <f aca="false">IFERROR(IF(VLOOKUP($H$2,$A$2:$D$30,4,0)="","",VLOOKUP($H$2,$A$2:$D$30,4,0)),"")</f>
        <v>15000</v>
      </c>
      <c r="J9" s="51" t="n">
        <f aca="false">IF($I9="",H9,MIN(H9,I9))</f>
        <v>0</v>
      </c>
      <c r="K9" s="51" t="n">
        <f aca="false">H9-J9</f>
        <v>0</v>
      </c>
    </row>
    <row r="10" customFormat="false" ht="15" hidden="false" customHeight="false" outlineLevel="0" collapsed="false">
      <c r="A10" s="80"/>
      <c r="B10" s="85"/>
      <c r="C10" s="48" t="str">
        <f aca="false">IF($A10="","",SUMIFS('FUNDED DEALS'!$R$4:$R$1226,'FUNDED DEALS'!$P$4:$P$1226,$A10)+SUMIFS('FUNDED DEALS 2027'!$R$4:$R$1226,'FUNDED DEALS 2027'!$P$4:$P$1226,$A10))</f>
        <v/>
      </c>
      <c r="D10" s="92"/>
      <c r="G10" s="49" t="s">
        <v>127</v>
      </c>
      <c r="H10" s="48" t="n">
        <f aca="false">SUMIFS('FUNDED DEALS'!$R$4:$R$1226,'FUNDED DEALS'!$P$4:$P$1226,$H$2,'FUNDED DEALS'!$C$4:$C$1226,"&gt;="&amp;DATE(2026,10,1),'FUNDED DEALS'!$C$4:$C$1226,"&lt;"&amp;DATE(2026,11,1))+SUMIFS('FUNDED DEALS 2027'!$R$4:$R$1226,'FUNDED DEALS 2027'!$P$4:$P$1226,$H$2,'FUNDED DEALS 2027'!$C$4:$C$1226,"&gt;="&amp;DATE(2026,10,1),'FUNDED DEALS 2027'!$C$4:$C$1226,"&lt;"&amp;DATE(2026,11,1))</f>
        <v>0</v>
      </c>
      <c r="I10" s="48" t="n">
        <f aca="false">IFERROR(IF(VLOOKUP($H$2,$A$2:$D$30,4,0)="","",VLOOKUP($H$2,$A$2:$D$30,4,0)),"")</f>
        <v>15000</v>
      </c>
      <c r="J10" s="48" t="n">
        <f aca="false">IF($I10="",H10,MIN(H10,I10))</f>
        <v>0</v>
      </c>
      <c r="K10" s="48" t="n">
        <f aca="false">H10-J10</f>
        <v>0</v>
      </c>
    </row>
    <row r="11" customFormat="false" ht="15" hidden="false" customHeight="false" outlineLevel="0" collapsed="false">
      <c r="A11" s="82"/>
      <c r="B11" s="88"/>
      <c r="C11" s="51" t="str">
        <f aca="false">IF($A11="","",SUMIFS('FUNDED DEALS'!$R$4:$R$1226,'FUNDED DEALS'!$P$4:$P$1226,$A11)+SUMIFS('FUNDED DEALS 2027'!$R$4:$R$1226,'FUNDED DEALS 2027'!$P$4:$P$1226,$A11))</f>
        <v/>
      </c>
      <c r="D11" s="94"/>
      <c r="G11" s="52" t="s">
        <v>128</v>
      </c>
      <c r="H11" s="51" t="n">
        <f aca="false">SUMIFS('FUNDED DEALS'!$R$4:$R$1226,'FUNDED DEALS'!$P$4:$P$1226,$H$2,'FUNDED DEALS'!$C$4:$C$1226,"&gt;="&amp;DATE(2026,11,1),'FUNDED DEALS'!$C$4:$C$1226,"&lt;"&amp;DATE(2026,12,1))+SUMIFS('FUNDED DEALS 2027'!$R$4:$R$1226,'FUNDED DEALS 2027'!$P$4:$P$1226,$H$2,'FUNDED DEALS 2027'!$C$4:$C$1226,"&gt;="&amp;DATE(2026,11,1),'FUNDED DEALS 2027'!$C$4:$C$1226,"&lt;"&amp;DATE(2026,12,1))</f>
        <v>0</v>
      </c>
      <c r="I11" s="51" t="n">
        <f aca="false">IFERROR(IF(VLOOKUP($H$2,$A$2:$D$30,4,0)="","",VLOOKUP($H$2,$A$2:$D$30,4,0)),"")</f>
        <v>15000</v>
      </c>
      <c r="J11" s="51" t="n">
        <f aca="false">IF($I11="",H11,MIN(H11,I11))</f>
        <v>0</v>
      </c>
      <c r="K11" s="51" t="n">
        <f aca="false">H11-J11</f>
        <v>0</v>
      </c>
    </row>
    <row r="12" customFormat="false" ht="15" hidden="false" customHeight="false" outlineLevel="0" collapsed="false">
      <c r="A12" s="80"/>
      <c r="B12" s="85"/>
      <c r="C12" s="48" t="str">
        <f aca="false">IF($A12="","",SUMIFS('FUNDED DEALS'!$R$4:$R$1226,'FUNDED DEALS'!$P$4:$P$1226,$A12)+SUMIFS('FUNDED DEALS 2027'!$R$4:$R$1226,'FUNDED DEALS 2027'!$P$4:$P$1226,$A12))</f>
        <v/>
      </c>
      <c r="D12" s="92"/>
      <c r="G12" s="49" t="s">
        <v>129</v>
      </c>
      <c r="H12" s="48" t="n">
        <f aca="false">SUMIFS('FUNDED DEALS'!$R$4:$R$1226,'FUNDED DEALS'!$P$4:$P$1226,$H$2,'FUNDED DEALS'!$C$4:$C$1226,"&gt;="&amp;DATE(2026,12,1),'FUNDED DEALS'!$C$4:$C$1226,"&lt;"&amp;DATE(2027,1,1))+SUMIFS('FUNDED DEALS 2027'!$R$4:$R$1226,'FUNDED DEALS 2027'!$P$4:$P$1226,$H$2,'FUNDED DEALS 2027'!$C$4:$C$1226,"&gt;="&amp;DATE(2026,12,1),'FUNDED DEALS 2027'!$C$4:$C$1226,"&lt;"&amp;DATE(2027,1,1))</f>
        <v>0</v>
      </c>
      <c r="I12" s="48" t="n">
        <f aca="false">IFERROR(IF(VLOOKUP($H$2,$A$2:$D$30,4,0)="","",VLOOKUP($H$2,$A$2:$D$30,4,0)),"")</f>
        <v>15000</v>
      </c>
      <c r="J12" s="48" t="n">
        <f aca="false">IF($I12="",H12,MIN(H12,I12))</f>
        <v>0</v>
      </c>
      <c r="K12" s="48" t="n">
        <f aca="false">H12-J12</f>
        <v>0</v>
      </c>
    </row>
    <row r="13" customFormat="false" ht="15" hidden="false" customHeight="false" outlineLevel="0" collapsed="false">
      <c r="A13" s="82"/>
      <c r="B13" s="88"/>
      <c r="C13" s="51" t="str">
        <f aca="false">IF($A13="","",SUMIFS('FUNDED DEALS'!$R$4:$R$1226,'FUNDED DEALS'!$P$4:$P$1226,$A13)+SUMIFS('FUNDED DEALS 2027'!$R$4:$R$1226,'FUNDED DEALS 2027'!$P$4:$P$1226,$A13))</f>
        <v/>
      </c>
      <c r="D13" s="94"/>
      <c r="G13" s="52" t="s">
        <v>130</v>
      </c>
      <c r="H13" s="51" t="n">
        <f aca="false">SUMIFS('FUNDED DEALS'!$R$4:$R$1226,'FUNDED DEALS'!$P$4:$P$1226,$H$2,'FUNDED DEALS'!$C$4:$C$1226,"&gt;="&amp;DATE(2027,1,1),'FUNDED DEALS'!$C$4:$C$1226,"&lt;"&amp;DATE(2027,2,1))+SUMIFS('FUNDED DEALS 2027'!$R$4:$R$1226,'FUNDED DEALS 2027'!$P$4:$P$1226,$H$2,'FUNDED DEALS 2027'!$C$4:$C$1226,"&gt;="&amp;DATE(2027,1,1),'FUNDED DEALS 2027'!$C$4:$C$1226,"&lt;"&amp;DATE(2027,2,1))</f>
        <v>0</v>
      </c>
      <c r="I13" s="51" t="n">
        <f aca="false">IFERROR(IF(VLOOKUP($H$2,$A$2:$D$30,4,0)="","",VLOOKUP($H$2,$A$2:$D$30,4,0)),"")</f>
        <v>15000</v>
      </c>
      <c r="J13" s="51" t="n">
        <f aca="false">IF($I13="",H13,MIN(H13,I13))</f>
        <v>0</v>
      </c>
      <c r="K13" s="51" t="n">
        <f aca="false">H13-J13</f>
        <v>0</v>
      </c>
    </row>
    <row r="14" customFormat="false" ht="15" hidden="false" customHeight="false" outlineLevel="0" collapsed="false">
      <c r="A14" s="80"/>
      <c r="B14" s="85"/>
      <c r="C14" s="48" t="str">
        <f aca="false">IF($A14="","",SUMIFS('FUNDED DEALS'!$R$4:$R$1226,'FUNDED DEALS'!$P$4:$P$1226,$A14)+SUMIFS('FUNDED DEALS 2027'!$R$4:$R$1226,'FUNDED DEALS 2027'!$P$4:$P$1226,$A14))</f>
        <v/>
      </c>
      <c r="D14" s="92"/>
      <c r="G14" s="49" t="s">
        <v>131</v>
      </c>
      <c r="H14" s="48" t="n">
        <f aca="false">SUMIFS('FUNDED DEALS'!$R$4:$R$1226,'FUNDED DEALS'!$P$4:$P$1226,$H$2,'FUNDED DEALS'!$C$4:$C$1226,"&gt;="&amp;DATE(2027,2,1),'FUNDED DEALS'!$C$4:$C$1226,"&lt;"&amp;DATE(2027,3,1))+SUMIFS('FUNDED DEALS 2027'!$R$4:$R$1226,'FUNDED DEALS 2027'!$P$4:$P$1226,$H$2,'FUNDED DEALS 2027'!$C$4:$C$1226,"&gt;="&amp;DATE(2027,2,1),'FUNDED DEALS 2027'!$C$4:$C$1226,"&lt;"&amp;DATE(2027,3,1))</f>
        <v>0</v>
      </c>
      <c r="I14" s="48" t="n">
        <f aca="false">IFERROR(IF(VLOOKUP($H$2,$A$2:$D$30,4,0)="","",VLOOKUP($H$2,$A$2:$D$30,4,0)),"")</f>
        <v>15000</v>
      </c>
      <c r="J14" s="48" t="n">
        <f aca="false">IF($I14="",H14,MIN(H14,I14))</f>
        <v>0</v>
      </c>
      <c r="K14" s="48" t="n">
        <f aca="false">H14-J14</f>
        <v>0</v>
      </c>
    </row>
    <row r="15" customFormat="false" ht="15" hidden="false" customHeight="false" outlineLevel="0" collapsed="false">
      <c r="A15" s="82"/>
      <c r="B15" s="88"/>
      <c r="C15" s="51" t="str">
        <f aca="false">IF($A15="","",SUMIFS('FUNDED DEALS'!$R$4:$R$1226,'FUNDED DEALS'!$P$4:$P$1226,$A15)+SUMIFS('FUNDED DEALS 2027'!$R$4:$R$1226,'FUNDED DEALS 2027'!$P$4:$P$1226,$A15))</f>
        <v/>
      </c>
      <c r="D15" s="94"/>
      <c r="G15" s="52" t="s">
        <v>132</v>
      </c>
      <c r="H15" s="51" t="n">
        <f aca="false">SUMIFS('FUNDED DEALS'!$R$4:$R$1226,'FUNDED DEALS'!$P$4:$P$1226,$H$2,'FUNDED DEALS'!$C$4:$C$1226,"&gt;="&amp;DATE(2027,3,1),'FUNDED DEALS'!$C$4:$C$1226,"&lt;"&amp;DATE(2027,4,1))+SUMIFS('FUNDED DEALS 2027'!$R$4:$R$1226,'FUNDED DEALS 2027'!$P$4:$P$1226,$H$2,'FUNDED DEALS 2027'!$C$4:$C$1226,"&gt;="&amp;DATE(2027,3,1),'FUNDED DEALS 2027'!$C$4:$C$1226,"&lt;"&amp;DATE(2027,4,1))</f>
        <v>0</v>
      </c>
      <c r="I15" s="51" t="n">
        <f aca="false">IFERROR(IF(VLOOKUP($H$2,$A$2:$D$30,4,0)="","",VLOOKUP($H$2,$A$2:$D$30,4,0)),"")</f>
        <v>15000</v>
      </c>
      <c r="J15" s="51" t="n">
        <f aca="false">IF($I15="",H15,MIN(H15,I15))</f>
        <v>0</v>
      </c>
      <c r="K15" s="51" t="n">
        <f aca="false">H15-J15</f>
        <v>0</v>
      </c>
    </row>
    <row r="16" customFormat="false" ht="15" hidden="false" customHeight="false" outlineLevel="0" collapsed="false">
      <c r="A16" s="80"/>
      <c r="B16" s="85"/>
      <c r="C16" s="48" t="str">
        <f aca="false">IF($A16="","",SUMIFS('FUNDED DEALS'!$R$4:$R$1226,'FUNDED DEALS'!$P$4:$P$1226,$A16)+SUMIFS('FUNDED DEALS 2027'!$R$4:$R$1226,'FUNDED DEALS 2027'!$P$4:$P$1226,$A16))</f>
        <v/>
      </c>
      <c r="D16" s="92"/>
      <c r="G16" s="49" t="s">
        <v>133</v>
      </c>
      <c r="H16" s="48" t="n">
        <f aca="false">SUMIFS('FUNDED DEALS'!$R$4:$R$1226,'FUNDED DEALS'!$P$4:$P$1226,$H$2,'FUNDED DEALS'!$C$4:$C$1226,"&gt;="&amp;DATE(2027,4,1),'FUNDED DEALS'!$C$4:$C$1226,"&lt;"&amp;DATE(2027,5,1))+SUMIFS('FUNDED DEALS 2027'!$R$4:$R$1226,'FUNDED DEALS 2027'!$P$4:$P$1226,$H$2,'FUNDED DEALS 2027'!$C$4:$C$1226,"&gt;="&amp;DATE(2027,4,1),'FUNDED DEALS 2027'!$C$4:$C$1226,"&lt;"&amp;DATE(2027,5,1))</f>
        <v>0</v>
      </c>
      <c r="I16" s="48" t="n">
        <f aca="false">IFERROR(IF(VLOOKUP($H$2,$A$2:$D$30,4,0)="","",VLOOKUP($H$2,$A$2:$D$30,4,0)),"")</f>
        <v>15000</v>
      </c>
      <c r="J16" s="48" t="n">
        <f aca="false">IF($I16="",H16,MIN(H16,I16))</f>
        <v>0</v>
      </c>
      <c r="K16" s="48" t="n">
        <f aca="false">H16-J16</f>
        <v>0</v>
      </c>
    </row>
    <row r="17" customFormat="false" ht="15" hidden="false" customHeight="false" outlineLevel="0" collapsed="false">
      <c r="A17" s="82"/>
      <c r="B17" s="88"/>
      <c r="C17" s="51" t="str">
        <f aca="false">IF($A17="","",SUMIFS('FUNDED DEALS'!$R$4:$R$1226,'FUNDED DEALS'!$P$4:$P$1226,$A17)+SUMIFS('FUNDED DEALS 2027'!$R$4:$R$1226,'FUNDED DEALS 2027'!$P$4:$P$1226,$A17))</f>
        <v/>
      </c>
      <c r="D17" s="94"/>
      <c r="G17" s="52" t="s">
        <v>134</v>
      </c>
      <c r="H17" s="51" t="n">
        <f aca="false">SUMIFS('FUNDED DEALS'!$R$4:$R$1226,'FUNDED DEALS'!$P$4:$P$1226,$H$2,'FUNDED DEALS'!$C$4:$C$1226,"&gt;="&amp;DATE(2027,5,1),'FUNDED DEALS'!$C$4:$C$1226,"&lt;"&amp;DATE(2027,6,1))+SUMIFS('FUNDED DEALS 2027'!$R$4:$R$1226,'FUNDED DEALS 2027'!$P$4:$P$1226,$H$2,'FUNDED DEALS 2027'!$C$4:$C$1226,"&gt;="&amp;DATE(2027,5,1),'FUNDED DEALS 2027'!$C$4:$C$1226,"&lt;"&amp;DATE(2027,6,1))</f>
        <v>0</v>
      </c>
      <c r="I17" s="51" t="n">
        <f aca="false">IFERROR(IF(VLOOKUP($H$2,$A$2:$D$30,4,0)="","",VLOOKUP($H$2,$A$2:$D$30,4,0)),"")</f>
        <v>15000</v>
      </c>
      <c r="J17" s="51" t="n">
        <f aca="false">IF($I17="",H17,MIN(H17,I17))</f>
        <v>0</v>
      </c>
      <c r="K17" s="51" t="n">
        <f aca="false">H17-J17</f>
        <v>0</v>
      </c>
    </row>
    <row r="18" customFormat="false" ht="15" hidden="false" customHeight="false" outlineLevel="0" collapsed="false">
      <c r="A18" s="80"/>
      <c r="B18" s="85"/>
      <c r="C18" s="48" t="str">
        <f aca="false">IF($A18="","",SUMIFS('FUNDED DEALS'!$R$4:$R$1226,'FUNDED DEALS'!$P$4:$P$1226,$A18)+SUMIFS('FUNDED DEALS 2027'!$R$4:$R$1226,'FUNDED DEALS 2027'!$P$4:$P$1226,$A18))</f>
        <v/>
      </c>
      <c r="D18" s="92"/>
      <c r="G18" s="49" t="s">
        <v>135</v>
      </c>
      <c r="H18" s="48" t="n">
        <f aca="false">SUMIFS('FUNDED DEALS'!$R$4:$R$1226,'FUNDED DEALS'!$P$4:$P$1226,$H$2,'FUNDED DEALS'!$C$4:$C$1226,"&gt;="&amp;DATE(2027,6,1),'FUNDED DEALS'!$C$4:$C$1226,"&lt;"&amp;DATE(2027,7,1))+SUMIFS('FUNDED DEALS 2027'!$R$4:$R$1226,'FUNDED DEALS 2027'!$P$4:$P$1226,$H$2,'FUNDED DEALS 2027'!$C$4:$C$1226,"&gt;="&amp;DATE(2027,6,1),'FUNDED DEALS 2027'!$C$4:$C$1226,"&lt;"&amp;DATE(2027,7,1))</f>
        <v>0</v>
      </c>
      <c r="I18" s="48" t="n">
        <f aca="false">IFERROR(IF(VLOOKUP($H$2,$A$2:$D$30,4,0)="","",VLOOKUP($H$2,$A$2:$D$30,4,0)),"")</f>
        <v>15000</v>
      </c>
      <c r="J18" s="48" t="n">
        <f aca="false">IF($I18="",H18,MIN(H18,I18))</f>
        <v>0</v>
      </c>
      <c r="K18" s="48" t="n">
        <f aca="false">H18-J18</f>
        <v>0</v>
      </c>
    </row>
    <row r="19" customFormat="false" ht="15" hidden="false" customHeight="false" outlineLevel="0" collapsed="false">
      <c r="A19" s="82"/>
      <c r="B19" s="88"/>
      <c r="C19" s="51" t="str">
        <f aca="false">IF($A19="","",SUMIFS('FUNDED DEALS'!$R$4:$R$1226,'FUNDED DEALS'!$P$4:$P$1226,$A19)+SUMIFS('FUNDED DEALS 2027'!$R$4:$R$1226,'FUNDED DEALS 2027'!$P$4:$P$1226,$A19))</f>
        <v/>
      </c>
      <c r="D19" s="94"/>
      <c r="G19" s="52" t="s">
        <v>136</v>
      </c>
      <c r="H19" s="51" t="n">
        <f aca="false">SUMIFS('FUNDED DEALS'!$R$4:$R$1226,'FUNDED DEALS'!$P$4:$P$1226,$H$2,'FUNDED DEALS'!$C$4:$C$1226,"&gt;="&amp;DATE(2027,7,1),'FUNDED DEALS'!$C$4:$C$1226,"&lt;"&amp;DATE(2027,8,1))+SUMIFS('FUNDED DEALS 2027'!$R$4:$R$1226,'FUNDED DEALS 2027'!$P$4:$P$1226,$H$2,'FUNDED DEALS 2027'!$C$4:$C$1226,"&gt;="&amp;DATE(2027,7,1),'FUNDED DEALS 2027'!$C$4:$C$1226,"&lt;"&amp;DATE(2027,8,1))</f>
        <v>0</v>
      </c>
      <c r="I19" s="51" t="n">
        <f aca="false">IFERROR(IF(VLOOKUP($H$2,$A$2:$D$30,4,0)="","",VLOOKUP($H$2,$A$2:$D$30,4,0)),"")</f>
        <v>15000</v>
      </c>
      <c r="J19" s="51" t="n">
        <f aca="false">IF($I19="",H19,MIN(H19,I19))</f>
        <v>0</v>
      </c>
      <c r="K19" s="51" t="n">
        <f aca="false">H19-J19</f>
        <v>0</v>
      </c>
    </row>
    <row r="20" customFormat="false" ht="15" hidden="false" customHeight="false" outlineLevel="0" collapsed="false">
      <c r="A20" s="80"/>
      <c r="B20" s="85"/>
      <c r="C20" s="48" t="str">
        <f aca="false">IF($A20="","",SUMIFS('FUNDED DEALS'!$R$4:$R$1226,'FUNDED DEALS'!$P$4:$P$1226,$A20)+SUMIFS('FUNDED DEALS 2027'!$R$4:$R$1226,'FUNDED DEALS 2027'!$P$4:$P$1226,$A20))</f>
        <v/>
      </c>
      <c r="D20" s="92"/>
      <c r="G20" s="49" t="s">
        <v>137</v>
      </c>
      <c r="H20" s="48" t="n">
        <f aca="false">SUMIFS('FUNDED DEALS'!$R$4:$R$1226,'FUNDED DEALS'!$P$4:$P$1226,$H$2,'FUNDED DEALS'!$C$4:$C$1226,"&gt;="&amp;DATE(2027,8,1),'FUNDED DEALS'!$C$4:$C$1226,"&lt;"&amp;DATE(2027,9,1))+SUMIFS('FUNDED DEALS 2027'!$R$4:$R$1226,'FUNDED DEALS 2027'!$P$4:$P$1226,$H$2,'FUNDED DEALS 2027'!$C$4:$C$1226,"&gt;="&amp;DATE(2027,8,1),'FUNDED DEALS 2027'!$C$4:$C$1226,"&lt;"&amp;DATE(2027,9,1))</f>
        <v>0</v>
      </c>
      <c r="I20" s="48" t="n">
        <f aca="false">IFERROR(IF(VLOOKUP($H$2,$A$2:$D$30,4,0)="","",VLOOKUP($H$2,$A$2:$D$30,4,0)),"")</f>
        <v>15000</v>
      </c>
      <c r="J20" s="48" t="n">
        <f aca="false">IF($I20="",H20,MIN(H20,I20))</f>
        <v>0</v>
      </c>
      <c r="K20" s="48" t="n">
        <f aca="false">H20-J20</f>
        <v>0</v>
      </c>
    </row>
    <row r="21" customFormat="false" ht="15" hidden="false" customHeight="false" outlineLevel="0" collapsed="false">
      <c r="A21" s="82"/>
      <c r="B21" s="88"/>
      <c r="C21" s="51" t="str">
        <f aca="false">IF($A21="","",SUMIFS('FUNDED DEALS'!$R$4:$R$1226,'FUNDED DEALS'!$P$4:$P$1226,$A21)+SUMIFS('FUNDED DEALS 2027'!$R$4:$R$1226,'FUNDED DEALS 2027'!$P$4:$P$1226,$A21))</f>
        <v/>
      </c>
      <c r="D21" s="94"/>
      <c r="G21" s="52" t="s">
        <v>138</v>
      </c>
      <c r="H21" s="51" t="n">
        <f aca="false">SUMIFS('FUNDED DEALS'!$R$4:$R$1226,'FUNDED DEALS'!$P$4:$P$1226,$H$2,'FUNDED DEALS'!$C$4:$C$1226,"&gt;="&amp;DATE(2027,9,1),'FUNDED DEALS'!$C$4:$C$1226,"&lt;"&amp;DATE(2027,10,1))+SUMIFS('FUNDED DEALS 2027'!$R$4:$R$1226,'FUNDED DEALS 2027'!$P$4:$P$1226,$H$2,'FUNDED DEALS 2027'!$C$4:$C$1226,"&gt;="&amp;DATE(2027,9,1),'FUNDED DEALS 2027'!$C$4:$C$1226,"&lt;"&amp;DATE(2027,10,1))</f>
        <v>0</v>
      </c>
      <c r="I21" s="51" t="n">
        <f aca="false">IFERROR(IF(VLOOKUP($H$2,$A$2:$D$30,4,0)="","",VLOOKUP($H$2,$A$2:$D$30,4,0)),"")</f>
        <v>15000</v>
      </c>
      <c r="J21" s="51" t="n">
        <f aca="false">IF($I21="",H21,MIN(H21,I21))</f>
        <v>0</v>
      </c>
      <c r="K21" s="51" t="n">
        <f aca="false">H21-J21</f>
        <v>0</v>
      </c>
    </row>
    <row r="22" customFormat="false" ht="15" hidden="false" customHeight="false" outlineLevel="0" collapsed="false">
      <c r="A22" s="80"/>
      <c r="B22" s="85"/>
      <c r="C22" s="48" t="str">
        <f aca="false">IF($A22="","",SUMIFS('FUNDED DEALS'!$R$4:$R$1226,'FUNDED DEALS'!$P$4:$P$1226,$A22)+SUMIFS('FUNDED DEALS 2027'!$R$4:$R$1226,'FUNDED DEALS 2027'!$P$4:$P$1226,$A22))</f>
        <v/>
      </c>
      <c r="D22" s="92"/>
      <c r="G22" s="49" t="s">
        <v>139</v>
      </c>
      <c r="H22" s="48" t="n">
        <f aca="false">SUMIFS('FUNDED DEALS'!$R$4:$R$1226,'FUNDED DEALS'!$P$4:$P$1226,$H$2,'FUNDED DEALS'!$C$4:$C$1226,"&gt;="&amp;DATE(2027,10,1),'FUNDED DEALS'!$C$4:$C$1226,"&lt;"&amp;DATE(2027,11,1))+SUMIFS('FUNDED DEALS 2027'!$R$4:$R$1226,'FUNDED DEALS 2027'!$P$4:$P$1226,$H$2,'FUNDED DEALS 2027'!$C$4:$C$1226,"&gt;="&amp;DATE(2027,10,1),'FUNDED DEALS 2027'!$C$4:$C$1226,"&lt;"&amp;DATE(2027,11,1))</f>
        <v>0</v>
      </c>
      <c r="I22" s="48" t="n">
        <f aca="false">IFERROR(IF(VLOOKUP($H$2,$A$2:$D$30,4,0)="","",VLOOKUP($H$2,$A$2:$D$30,4,0)),"")</f>
        <v>15000</v>
      </c>
      <c r="J22" s="48" t="n">
        <f aca="false">IF($I22="",H22,MIN(H22,I22))</f>
        <v>0</v>
      </c>
      <c r="K22" s="48" t="n">
        <f aca="false">H22-J22</f>
        <v>0</v>
      </c>
    </row>
    <row r="23" customFormat="false" ht="15" hidden="false" customHeight="false" outlineLevel="0" collapsed="false">
      <c r="A23" s="82"/>
      <c r="B23" s="88"/>
      <c r="C23" s="51" t="str">
        <f aca="false">IF($A23="","",SUMIFS('FUNDED DEALS'!$R$4:$R$1226,'FUNDED DEALS'!$P$4:$P$1226,$A23)+SUMIFS('FUNDED DEALS 2027'!$R$4:$R$1226,'FUNDED DEALS 2027'!$P$4:$P$1226,$A23))</f>
        <v/>
      </c>
      <c r="D23" s="94"/>
      <c r="G23" s="52" t="s">
        <v>140</v>
      </c>
      <c r="H23" s="51" t="n">
        <f aca="false">SUMIFS('FUNDED DEALS'!$R$4:$R$1226,'FUNDED DEALS'!$P$4:$P$1226,$H$2,'FUNDED DEALS'!$C$4:$C$1226,"&gt;="&amp;DATE(2027,11,1),'FUNDED DEALS'!$C$4:$C$1226,"&lt;"&amp;DATE(2027,12,1))+SUMIFS('FUNDED DEALS 2027'!$R$4:$R$1226,'FUNDED DEALS 2027'!$P$4:$P$1226,$H$2,'FUNDED DEALS 2027'!$C$4:$C$1226,"&gt;="&amp;DATE(2027,11,1),'FUNDED DEALS 2027'!$C$4:$C$1226,"&lt;"&amp;DATE(2027,12,1))</f>
        <v>0</v>
      </c>
      <c r="I23" s="51" t="n">
        <f aca="false">IFERROR(IF(VLOOKUP($H$2,$A$2:$D$30,4,0)="","",VLOOKUP($H$2,$A$2:$D$30,4,0)),"")</f>
        <v>15000</v>
      </c>
      <c r="J23" s="51" t="n">
        <f aca="false">IF($I23="",H23,MIN(H23,I23))</f>
        <v>0</v>
      </c>
      <c r="K23" s="51" t="n">
        <f aca="false">H23-J23</f>
        <v>0</v>
      </c>
    </row>
    <row r="24" customFormat="false" ht="15" hidden="false" customHeight="false" outlineLevel="0" collapsed="false">
      <c r="A24" s="80"/>
      <c r="B24" s="85"/>
      <c r="C24" s="48" t="str">
        <f aca="false">IF($A24="","",SUMIFS('FUNDED DEALS'!$R$4:$R$1226,'FUNDED DEALS'!$P$4:$P$1226,$A24)+SUMIFS('FUNDED DEALS 2027'!$R$4:$R$1226,'FUNDED DEALS 2027'!$P$4:$P$1226,$A24))</f>
        <v/>
      </c>
      <c r="D24" s="92"/>
      <c r="G24" s="49" t="s">
        <v>141</v>
      </c>
      <c r="H24" s="48" t="n">
        <f aca="false">SUMIFS('FUNDED DEALS'!$R$4:$R$1226,'FUNDED DEALS'!$P$4:$P$1226,$H$2,'FUNDED DEALS'!$C$4:$C$1226,"&gt;="&amp;DATE(2027,12,1),'FUNDED DEALS'!$C$4:$C$1226,"&lt;"&amp;DATE(2028,1,1))+SUMIFS('FUNDED DEALS 2027'!$R$4:$R$1226,'FUNDED DEALS 2027'!$P$4:$P$1226,$H$2,'FUNDED DEALS 2027'!$C$4:$C$1226,"&gt;="&amp;DATE(2027,12,1),'FUNDED DEALS 2027'!$C$4:$C$1226,"&lt;"&amp;DATE(2028,1,1))</f>
        <v>0</v>
      </c>
      <c r="I24" s="48" t="n">
        <f aca="false">IFERROR(IF(VLOOKUP($H$2,$A$2:$D$30,4,0)="","",VLOOKUP($H$2,$A$2:$D$30,4,0)),"")</f>
        <v>15000</v>
      </c>
      <c r="J24" s="48" t="n">
        <f aca="false">IF($I24="",H24,MIN(H24,I24))</f>
        <v>0</v>
      </c>
      <c r="K24" s="48" t="n">
        <f aca="false">H24-J24</f>
        <v>0</v>
      </c>
    </row>
    <row r="25" customFormat="false" ht="15" hidden="false" customHeight="false" outlineLevel="0" collapsed="false">
      <c r="A25" s="82"/>
      <c r="B25" s="88"/>
      <c r="C25" s="51" t="str">
        <f aca="false">IF($A25="","",SUMIFS('FUNDED DEALS'!$R$4:$R$1226,'FUNDED DEALS'!$P$4:$P$1226,$A25)+SUMIFS('FUNDED DEALS 2027'!$R$4:$R$1226,'FUNDED DEALS 2027'!$P$4:$P$1226,$A25))</f>
        <v/>
      </c>
      <c r="D25" s="94"/>
      <c r="G25" s="63" t="s">
        <v>98</v>
      </c>
      <c r="H25" s="64" t="n">
        <f aca="false">SUM(H4:H24)</f>
        <v>0</v>
      </c>
      <c r="I25" s="69"/>
      <c r="J25" s="64" t="n">
        <f aca="false">SUM(J4:J24)</f>
        <v>0</v>
      </c>
      <c r="K25" s="64" t="n">
        <f aca="false">SUM(K4:K24)</f>
        <v>0</v>
      </c>
    </row>
    <row r="26" customFormat="false" ht="15" hidden="false" customHeight="false" outlineLevel="0" collapsed="false">
      <c r="A26" s="80"/>
      <c r="B26" s="85"/>
      <c r="C26" s="48" t="str">
        <f aca="false">IF($A26="","",SUMIFS('FUNDED DEALS'!$R$4:$R$1226,'FUNDED DEALS'!$P$4:$P$1226,$A26)+SUMIFS('FUNDED DEALS 2027'!$R$4:$R$1226,'FUNDED DEALS 2027'!$P$4:$P$1226,$A26))</f>
        <v/>
      </c>
      <c r="D26" s="92"/>
    </row>
    <row r="27" customFormat="false" ht="15" hidden="false" customHeight="false" outlineLevel="0" collapsed="false">
      <c r="A27" s="82"/>
      <c r="B27" s="88"/>
      <c r="C27" s="51" t="str">
        <f aca="false">IF($A27="","",SUMIFS('FUNDED DEALS'!$R$4:$R$1226,'FUNDED DEALS'!$P$4:$P$1226,$A27)+SUMIFS('FUNDED DEALS 2027'!$R$4:$R$1226,'FUNDED DEALS 2027'!$P$4:$P$1226,$A27))</f>
        <v/>
      </c>
      <c r="D27" s="94"/>
    </row>
    <row r="28" customFormat="false" ht="15" hidden="false" customHeight="false" outlineLevel="0" collapsed="false">
      <c r="A28" s="80"/>
      <c r="B28" s="85"/>
      <c r="C28" s="48" t="str">
        <f aca="false">IF($A28="","",SUMIFS('FUNDED DEALS'!$R$4:$R$1226,'FUNDED DEALS'!$P$4:$P$1226,$A28)+SUMIFS('FUNDED DEALS 2027'!$R$4:$R$1226,'FUNDED DEALS 2027'!$P$4:$P$1226,$A28))</f>
        <v/>
      </c>
      <c r="D28" s="92"/>
    </row>
    <row r="29" customFormat="false" ht="15" hidden="false" customHeight="false" outlineLevel="0" collapsed="false">
      <c r="A29" s="82"/>
      <c r="B29" s="88"/>
      <c r="C29" s="51" t="str">
        <f aca="false">IF($A29="","",SUMIFS('FUNDED DEALS'!$R$4:$R$1226,'FUNDED DEALS'!$P$4:$P$1226,$A29)+SUMIFS('FUNDED DEALS 2027'!$R$4:$R$1226,'FUNDED DEALS 2027'!$P$4:$P$1226,$A29))</f>
        <v/>
      </c>
      <c r="D29" s="94"/>
    </row>
    <row r="30" customFormat="false" ht="15" hidden="false" customHeight="false" outlineLevel="0" collapsed="false">
      <c r="A30" s="80"/>
      <c r="B30" s="85"/>
      <c r="C30" s="48" t="str">
        <f aca="false">IF($A30="","",SUMIFS('FUNDED DEALS'!$R$4:$R$1226,'FUNDED DEALS'!$P$4:$P$1226,$A30)+SUMIFS('FUNDED DEALS 2027'!$R$4:$R$1226,'FUNDED DEALS 2027'!$P$4:$P$1226,$A30))</f>
        <v/>
      </c>
      <c r="D30" s="92"/>
    </row>
  </sheetData>
  <sheetProtection sheet="true"/>
  <mergeCells count="1">
    <mergeCell ref="G1:K1"/>
  </mergeCells>
  <conditionalFormatting sqref="J4:J24">
    <cfRule type="expression" priority="2" aboveAverage="0" equalAverage="0" bottom="0" percent="0" rank="0" text="" dxfId="4">
      <formula>AND($I4&lt;&gt;"",$H4&gt;$I4)</formula>
    </cfRule>
  </conditionalFormatting>
  <dataValidations count="1">
    <dataValidation allowBlank="true" errorStyle="stop" operator="between" showDropDown="false" showErrorMessage="false" showInputMessage="false" sqref="H2" type="list">
      <formula1>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2026-08-24T12:46:32Z</dcterms:created>
  <dc:creator>openpyxl</dc:creator>
  <dc:description/>
  <dc:language>en-US</dc:language>
  <cp:lastModifiedBy/>
  <dcterms:modified xsi:type="dcterms:W3CDTF">2026-09-02T14:53:13Z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